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105" yWindow="-105" windowWidth="20730" windowHeight="11760" tabRatio="840" activeTab="8"/>
  </bookViews>
  <sheets>
    <sheet name="TH (2)" sheetId="37" r:id="rId1"/>
    <sheet name="THXL (2)" sheetId="38" r:id="rId2"/>
    <sheet name="TMC" sheetId="26" state="hidden" r:id="rId3"/>
    <sheet name="TDT" sheetId="10" state="hidden" r:id="rId4"/>
    <sheet name="TH" sheetId="9" state="hidden" r:id="rId5"/>
    <sheet name="THXL" sheetId="8" state="hidden" r:id="rId6"/>
    <sheet name="GT" sheetId="7" r:id="rId7"/>
    <sheet name="CT-DD" sheetId="2" r:id="rId8"/>
    <sheet name="CT-TBA" sheetId="11" r:id="rId9"/>
    <sheet name="CT-CS" sheetId="34" state="hidden" r:id="rId10"/>
    <sheet name="CTHL" sheetId="36" state="hidden" r:id="rId11"/>
    <sheet name="TK" sheetId="13" state="hidden" r:id="rId12"/>
    <sheet name="CT-TL" sheetId="19" r:id="rId13"/>
    <sheet name="LDTB" sheetId="15" state="hidden" r:id="rId14"/>
    <sheet name="CPHC" sheetId="16" state="hidden" r:id="rId15"/>
    <sheet name="TNHC" sheetId="12" state="hidden" r:id="rId16"/>
    <sheet name="VCDD" sheetId="14" r:id="rId17"/>
    <sheet name="KLVT" sheetId="20" r:id="rId18"/>
    <sheet name="BKCS" sheetId="35" state="hidden" r:id="rId19"/>
    <sheet name="BK" sheetId="5" r:id="rId20"/>
    <sheet name="R_ADDROUTE" sheetId="30" state="veryHidden" r:id="rId21"/>
    <sheet name="R_TL" sheetId="29" state="veryHidden" r:id="rId22"/>
    <sheet name="Enable Macro" sheetId="33" state="veryHidden" r:id="rId23"/>
    <sheet name="SETTING" sheetId="31" state="hidden" r:id="rId24"/>
    <sheet name="DG" sheetId="21" state="hidden" r:id="rId25"/>
    <sheet name="R_SETTING" sheetId="6" state="veryHidden" r:id="rId26"/>
    <sheet name="R_DD" sheetId="23" state="veryHidden" r:id="rId27"/>
    <sheet name="R_TBA" sheetId="22" state="veryHidden" r:id="rId28"/>
    <sheet name="R_DG" sheetId="1" r:id="rId29"/>
    <sheet name="R_GT" sheetId="4" state="veryHidden" r:id="rId30"/>
    <sheet name="R_BK" sheetId="3" state="veryHidden" r:id="rId31"/>
    <sheet name="Sheet1" sheetId="39" r:id="rId32"/>
    <sheet name="Sheet2" sheetId="40" r:id="rId33"/>
    <sheet name="Sheet3" sheetId="41" r:id="rId34"/>
  </sheets>
  <externalReferences>
    <externalReference r:id="rId35"/>
    <externalReference r:id="rId36"/>
  </externalReferences>
  <definedNames>
    <definedName name="_xlnm._FilterDatabase" localSheetId="19" hidden="1">BK!$A$6:$BM$138</definedName>
    <definedName name="_xlnm._FilterDatabase" localSheetId="9" hidden="1">'CT-CS'!$N$4:$N$79</definedName>
    <definedName name="_xlnm._FilterDatabase" localSheetId="7" hidden="1">'CT-DD'!$A$5:$N$1131</definedName>
    <definedName name="_xlnm._FilterDatabase" localSheetId="10" hidden="1">CTHL!$P$4:$P$24</definedName>
    <definedName name="_xlnm._FilterDatabase" localSheetId="8" hidden="1">'CT-TBA'!$A$5:$V$390</definedName>
    <definedName name="_xlnm._FilterDatabase" localSheetId="12" hidden="1">'CT-TL'!$R$4:$R$190</definedName>
    <definedName name="_xlnm._FilterDatabase" localSheetId="24" hidden="1">DG!$A$3:$I$130</definedName>
    <definedName name="_xlnm._FilterDatabase" localSheetId="6" hidden="1">GT!$M$5:$M$34</definedName>
    <definedName name="_xlnm._FilterDatabase" localSheetId="17" hidden="1">KLVT!$K$4:$K$1435</definedName>
    <definedName name="_xlnm._FilterDatabase" localSheetId="26" hidden="1">R_DD!$A$5:$M$1120</definedName>
    <definedName name="_xlnm._FilterDatabase" localSheetId="28" hidden="1">R_DG!$A$1:$AM$1373</definedName>
    <definedName name="_xlnm._FilterDatabase" localSheetId="25" hidden="1">R_SETTING!$D$5:$D$24</definedName>
    <definedName name="_xlnm._FilterDatabase" localSheetId="27" hidden="1">R_TBA!$O$5:$O$390</definedName>
    <definedName name="_xlnm._FilterDatabase" localSheetId="21" hidden="1">R_TL!$R$5:$R$190</definedName>
    <definedName name="_xlnm._FilterDatabase" localSheetId="4" hidden="1">TH!$H$5:$H$47</definedName>
    <definedName name="_xlnm._FilterDatabase" localSheetId="0" hidden="1">'TH (2)'!$H$5:$H$48</definedName>
    <definedName name="_xlnm._FilterDatabase" localSheetId="2" hidden="1">TMC!$C$17:$C$37</definedName>
    <definedName name="_xlnm._FilterDatabase" localSheetId="15" hidden="1">TNHC!$L$4:$L$65</definedName>
    <definedName name="BKDD">'CT-DD'!$A$6:$L$1096</definedName>
    <definedName name="BU">R_GT!$O$42:$O$51</definedName>
    <definedName name="CAMAY">SETTING!$A$24:$B$43</definedName>
    <definedName name="CAP">R_GT!$Q$42:$Q$58</definedName>
    <definedName name="CAPDAT">R_SETTING!$B$108</definedName>
    <definedName name="CHUYENPKDD">KLVT!$J$1434</definedName>
    <definedName name="CHUYENTBTBA">KLVT!$J$1435</definedName>
    <definedName name="CHUYENTRUDD">KLVT!$J$1433</definedName>
    <definedName name="cmpower" localSheetId="23">SETTING!#REF!</definedName>
    <definedName name="cpks_ks">#REF!</definedName>
    <definedName name="ctks_mtc">#REF!</definedName>
    <definedName name="ctks_nc">#REF!</definedName>
    <definedName name="ctks_vl">#REF!</definedName>
    <definedName name="cttba_mtctb1_1">'CT-TBA'!$M$15</definedName>
    <definedName name="cttba_mtcvt1_1">'CT-TBA'!$M$390</definedName>
    <definedName name="cttba_nctb1_1">'CT-TBA'!$L$15</definedName>
    <definedName name="cttba_ncvt1_1">'CT-TBA'!$L$390</definedName>
    <definedName name="cttba_vltb1_1">'CT-TBA'!$K$15</definedName>
    <definedName name="cttba_vlvt1_1">'CT-TBA'!$K$390</definedName>
    <definedName name="cttba_yesno">'CT-TBA'!$A$4</definedName>
    <definedName name="cttl_mtcdd1">'CT-TL'!$Q$187</definedName>
    <definedName name="cttl_mtctba1">'CT-TL'!$Q$189</definedName>
    <definedName name="cttl_ncdd1">'CT-TL'!$Q$186</definedName>
    <definedName name="cttl_nctba1">'CT-TL'!$Q$188</definedName>
    <definedName name="DMVCDD">R_GT!$H$220:$N$260</definedName>
    <definedName name="DONGIA">R_DG!$A$7:$R$1305</definedName>
    <definedName name="FEZN">R_DG!#REF!</definedName>
    <definedName name="FUSE">R_GT!$N$42:$N$56</definedName>
    <definedName name="gt_mtc1">GT!$L$33</definedName>
    <definedName name="gt_mtcdd1">GT!$L$32</definedName>
    <definedName name="gt_nc1">GT!$K$33</definedName>
    <definedName name="gt_ncdd1">GT!$K$32</definedName>
    <definedName name="gt_tbdd1">GT!$J$32</definedName>
    <definedName name="gt_vl1">GT!$J$33</definedName>
    <definedName name="Gtbtt">TH!#REF!</definedName>
    <definedName name="Gxdtt">TH!#REF!</definedName>
    <definedName name="HSGSLDTB">SETTING!$B$21</definedName>
    <definedName name="HSGSTCXD">SETTING!$B$20</definedName>
    <definedName name="HSHSDTTB">SETTING!$B$19</definedName>
    <definedName name="HSHSDTXD">SETTING!$B$18</definedName>
    <definedName name="HSMTCCS">SETTING!$B$9</definedName>
    <definedName name="HSMTCDD">SETTING!$B$3</definedName>
    <definedName name="HSMTCKS">SETTING!$B$11</definedName>
    <definedName name="HSMTCTBA">SETTING!$B$5</definedName>
    <definedName name="HSMTCTN">SETTING!$B$7</definedName>
    <definedName name="HSNCCS">SETTING!$B$8</definedName>
    <definedName name="HSNCDD">SETTING!$B$2</definedName>
    <definedName name="HSNCKS">SETTING!$B$10</definedName>
    <definedName name="HSNCTBA">SETTING!$B$4</definedName>
    <definedName name="HSNCTN">SETTING!$B$6</definedName>
    <definedName name="HSQLDA">SETTING!$B$14</definedName>
    <definedName name="HSTTDT">SETTING!$B$17</definedName>
    <definedName name="HSTTTK">SETTING!$B$16</definedName>
    <definedName name="HSTVTK">SETTING!$B$15</definedName>
    <definedName name="KLPKDD">KLVT!$J$1431</definedName>
    <definedName name="KLPKTBA">KLVT!$J$1432</definedName>
    <definedName name="KLTRUDA">KLVT!$J$1430</definedName>
    <definedName name="LD">R_DG!#REF!</definedName>
    <definedName name="ldtb_ldtbdd1">LDTB!$G$16</definedName>
    <definedName name="ldtb_ldtbtba1">LDTB!$E$16</definedName>
    <definedName name="LINE">R_GT!$S$42:$S$58</definedName>
    <definedName name="LOAIMBA">R_GT!$AG$9:$AG$21</definedName>
    <definedName name="LOAITRU">R_SETTING!$I$3:$I$10</definedName>
    <definedName name="LOxCAP">R_GT!$S$42:$V$58</definedName>
    <definedName name="maBK">BK!$2:$2</definedName>
    <definedName name="MCCB">R_GT!$P$42:$P$55</definedName>
    <definedName name="mtctbDD1">'CT-DD'!$L$1096</definedName>
    <definedName name="nctbDD1">'CT-DD'!$K$1096</definedName>
    <definedName name="PHUKIENKHACRDD">R_DD!$B$944:$B$1095</definedName>
    <definedName name="_xlnm.Print_Area" localSheetId="19">BK!$A$1:$BM$138</definedName>
    <definedName name="_xlnm.Print_Area" localSheetId="14">CPHC!$A$1:$G$18</definedName>
    <definedName name="_xlnm.Print_Area" localSheetId="9">'CT-CS'!$C$1:$M$79</definedName>
    <definedName name="_xlnm.Print_Area" localSheetId="7">'CT-DD'!$C$1:$L$1131</definedName>
    <definedName name="_xlnm.Print_Area" localSheetId="10">CTHL!$A$1:$O$36</definedName>
    <definedName name="_xlnm.Print_Area" localSheetId="8">'CT-TBA'!$C$1:$N$389</definedName>
    <definedName name="_xlnm.Print_Area" localSheetId="12">'CT-TL'!$C$1:$Q$189</definedName>
    <definedName name="_xlnm.Print_Area" localSheetId="24">DG!$B$3:$G$3</definedName>
    <definedName name="_xlnm.Print_Area" localSheetId="6">GT!$C$1:$L$34</definedName>
    <definedName name="_xlnm.Print_Area" localSheetId="17">KLVT!$B$1:$G$1429</definedName>
    <definedName name="_xlnm.Print_Area" localSheetId="13">LDTB!$A$1:$G$18</definedName>
    <definedName name="_xlnm.Print_Area" localSheetId="27">R_TBA!$A$1:$N$390</definedName>
    <definedName name="_xlnm.Print_Area" localSheetId="21">R_TL!$A$1:$Q$190</definedName>
    <definedName name="_xlnm.Print_Area" localSheetId="3">TDT!$A$1:$F$13</definedName>
    <definedName name="_xlnm.Print_Area" localSheetId="4">TH!$A$1:$G$47</definedName>
    <definedName name="_xlnm.Print_Area" localSheetId="0">'TH (2)'!$A$1:$G$50</definedName>
    <definedName name="_xlnm.Print_Area" localSheetId="5">THXL!$A$1:$G$19</definedName>
    <definedName name="_xlnm.Print_Area" localSheetId="1">'THXL (2)'!$A$1:$G$24</definedName>
    <definedName name="_xlnm.Print_Area" localSheetId="11">TK!$A$1:$C$11</definedName>
    <definedName name="_xlnm.Print_Area" localSheetId="2">TMC!$A$1:$B$37</definedName>
    <definedName name="_xlnm.Print_Area" localSheetId="15">TNHC!$B$1:$K$65</definedName>
    <definedName name="_xlnm.Print_Area" localSheetId="16">VCDD!$A$1:$C$34</definedName>
    <definedName name="_xlnm.Print_Titles" localSheetId="19">BK!$2:$4</definedName>
    <definedName name="_xlnm.Print_Titles" localSheetId="9">'CT-CS'!$3:$4</definedName>
    <definedName name="_xlnm.Print_Titles" localSheetId="7">'CT-DD'!$3:$4</definedName>
    <definedName name="_xlnm.Print_Titles" localSheetId="8">'CT-TBA'!$3:$4</definedName>
    <definedName name="_xlnm.Print_Titles" localSheetId="6">GT!$3:$4</definedName>
    <definedName name="_xlnm.Print_Titles" localSheetId="17">KLVT!$4:$4</definedName>
    <definedName name="_xlnm.Print_Titles" localSheetId="3">TDT!$4:$4</definedName>
    <definedName name="_xlnm.Print_Titles" localSheetId="4">TH!$4:$5</definedName>
    <definedName name="_xlnm.Print_Titles" localSheetId="0">'TH (2)'!$4:$5</definedName>
    <definedName name="_xlnm.Print_Titles" localSheetId="5">THXL!$3:$3</definedName>
    <definedName name="_xlnm.Print_Titles" localSheetId="1">'THXL (2)'!$5:$5</definedName>
    <definedName name="SODAY">R_GT!$AK$2:$AK$7</definedName>
    <definedName name="t_chitietthunghiem">R_GT!$B$131:$L$195</definedName>
    <definedName name="t_cpks">R_GT!$C$284:$G$302</definedName>
    <definedName name="t_ctks">R_GT!$C$272:$M$278</definedName>
    <definedName name="t_gt">R_GT!$C$3:$L$6</definedName>
    <definedName name="t_ldtb">R_GT!$C$112:$I$129</definedName>
    <definedName name="t_thcpk">R_GT!$C$31:$J$85</definedName>
    <definedName name="t_ththunghiem">R_GT!$C$196:$I$213</definedName>
    <definedName name="t_thuviendaydan">R_SETTING!$M$3:$M$59</definedName>
    <definedName name="t_thuvienduongday">R_SETTING!$Y$3:$Y$110</definedName>
    <definedName name="t_thuvienphukien">R_SETTING!$U$3:$U$154</definedName>
    <definedName name="t_thuvienthietbi">R_SETTING!$X$3:$X$25</definedName>
    <definedName name="t_thxl">R_GT!$C$9:$K$28</definedName>
    <definedName name="t_tk">R_GT!$C$257:$E$267</definedName>
    <definedName name="t_TMC">R_GT!$C$367:$E$405</definedName>
    <definedName name="t_TMDT">R_GT!$C$313:$F$366</definedName>
    <definedName name="t_tonghop">R_GT!$C$91:$K$103</definedName>
    <definedName name="t_vcdd">R_GT!$C$219:$E$252</definedName>
    <definedName name="TAN">R_DG!#REF!</definedName>
    <definedName name="TBA">SETTING!$S$25:$AF$55</definedName>
    <definedName name="th_gtbtt">TH!$D$17</definedName>
    <definedName name="th_gxdtt">TH!$D$6</definedName>
    <definedName name="thxl_gxldd1">THXL!$E$17</definedName>
    <definedName name="thxl_gxltba1">THXL!$G$17</definedName>
    <definedName name="TI">R_GT!$T$42:$T$52</definedName>
    <definedName name="TIENLUONG">SETTING!$E$5:$H$58</definedName>
    <definedName name="tk">TK!$C$5</definedName>
    <definedName name="TKLDA">KLVT!$A$6:$H$1429</definedName>
    <definedName name="tnhc_gtdd1">CPHC!$G$14</definedName>
    <definedName name="tnhc_gttba1">CPHC!$E$14</definedName>
    <definedName name="tnhc_mtctndd1">TNHC!$K$27</definedName>
    <definedName name="tnhc_mtctntba1">TNHC!$K$65</definedName>
    <definedName name="tnhc_nctndd1">TNHC!$J$27</definedName>
    <definedName name="tnhc_nctntba1">TNHC!$J$65</definedName>
    <definedName name="tnhc_vltndd1">TNHC!$I$27</definedName>
    <definedName name="tnhc_vltntba1">TNHC!$I$65</definedName>
    <definedName name="tongBK1">BK!$A$138:$BN$138</definedName>
    <definedName name="tongctvtdd1">'CT-DD'!$N$5:$N$861</definedName>
    <definedName name="tongctvtpk1">'CT-DD'!$N$862:$N$1096</definedName>
    <definedName name="vcdd_gtvcdd1">VCDD!$C$18</definedName>
    <definedName name="vcdd_gtvctba1">VCDD!$C$28</definedName>
    <definedName name="vltbDD1">'CT-DD'!$J$1096</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8" i="1" l="1"/>
  <c r="AA9" i="1"/>
  <c r="AA10" i="1"/>
  <c r="AA11" i="1"/>
  <c r="AA12" i="1"/>
  <c r="AA13" i="1"/>
  <c r="AA14" i="1"/>
  <c r="AA15" i="1"/>
  <c r="AA16" i="1"/>
  <c r="AA17" i="1"/>
  <c r="AA23" i="1"/>
  <c r="AA24" i="1"/>
  <c r="AA25" i="1"/>
  <c r="AA27" i="1"/>
  <c r="AA28" i="1"/>
  <c r="AA29" i="1"/>
  <c r="AA30" i="1"/>
  <c r="AA31" i="1"/>
  <c r="AA32" i="1"/>
  <c r="AA33" i="1"/>
  <c r="AA34" i="1"/>
  <c r="AA35" i="1"/>
  <c r="AA36" i="1"/>
  <c r="AA37" i="1"/>
  <c r="AA38" i="1"/>
  <c r="AA39" i="1"/>
  <c r="AA40" i="1"/>
  <c r="AA41" i="1"/>
  <c r="AA44" i="1"/>
  <c r="AA45" i="1"/>
  <c r="AA46" i="1"/>
  <c r="AA47" i="1"/>
  <c r="AA48" i="1"/>
  <c r="AA49" i="1"/>
  <c r="AA50" i="1"/>
  <c r="AA51" i="1"/>
  <c r="AA52" i="1"/>
  <c r="AA53" i="1"/>
  <c r="AA54" i="1"/>
  <c r="AA55" i="1"/>
  <c r="AA56" i="1"/>
  <c r="AA57" i="1"/>
  <c r="AA58" i="1"/>
  <c r="AA62" i="1"/>
  <c r="AA63" i="1"/>
  <c r="AA64" i="1"/>
  <c r="AA65" i="1"/>
  <c r="AA66" i="1"/>
  <c r="AA67" i="1"/>
  <c r="AA68" i="1"/>
  <c r="AA69" i="1"/>
  <c r="AA70" i="1"/>
  <c r="AA71" i="1"/>
  <c r="AA72" i="1"/>
  <c r="AA73" i="1"/>
  <c r="AA74" i="1"/>
  <c r="AA76" i="1"/>
  <c r="AA77" i="1"/>
  <c r="AA78" i="1"/>
  <c r="AA79" i="1"/>
  <c r="AA80" i="1"/>
  <c r="AA81" i="1"/>
  <c r="AA82" i="1"/>
  <c r="AA83" i="1"/>
  <c r="AA84" i="1"/>
  <c r="AA85" i="1"/>
  <c r="AA87" i="1"/>
  <c r="AA88" i="1"/>
  <c r="AA90" i="1"/>
  <c r="AA91" i="1"/>
  <c r="AA94" i="1"/>
  <c r="AA95" i="1"/>
  <c r="AA96" i="1"/>
  <c r="AA101"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36" i="1"/>
  <c r="AA137" i="1"/>
  <c r="AA138" i="1"/>
  <c r="AA139" i="1"/>
  <c r="AA140" i="1"/>
  <c r="AA141" i="1"/>
  <c r="AA142" i="1"/>
  <c r="AA143" i="1"/>
  <c r="AA144" i="1"/>
  <c r="AA145" i="1"/>
  <c r="AA146" i="1"/>
  <c r="AA147" i="1"/>
  <c r="AA148" i="1"/>
  <c r="AA149" i="1"/>
  <c r="AA150" i="1"/>
  <c r="AA151" i="1"/>
  <c r="AA152" i="1"/>
  <c r="AA153" i="1"/>
  <c r="AA154" i="1"/>
  <c r="AA155" i="1"/>
  <c r="AA156"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93" i="1"/>
  <c r="AA194" i="1"/>
  <c r="AA195" i="1"/>
  <c r="AA196" i="1"/>
  <c r="AA197" i="1"/>
  <c r="AA198" i="1"/>
  <c r="AA199" i="1"/>
  <c r="AA200" i="1"/>
  <c r="AA204" i="1"/>
  <c r="AA205" i="1"/>
  <c r="AA206" i="1"/>
  <c r="AA207" i="1"/>
  <c r="AA208" i="1"/>
  <c r="AA209" i="1"/>
  <c r="AA210"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2" i="1"/>
  <c r="AA284" i="1"/>
  <c r="AA285" i="1"/>
  <c r="AA286" i="1"/>
  <c r="AA287" i="1"/>
  <c r="AA288" i="1"/>
  <c r="AA289" i="1"/>
  <c r="AA290" i="1"/>
  <c r="AA291" i="1"/>
  <c r="AA292" i="1"/>
  <c r="AA293" i="1"/>
  <c r="AA294" i="1"/>
  <c r="AA295" i="1"/>
  <c r="AA296" i="1"/>
  <c r="AA297" i="1"/>
  <c r="AA298" i="1"/>
  <c r="AA299" i="1"/>
  <c r="AA300" i="1"/>
  <c r="AA301"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6" i="1"/>
  <c r="AA347" i="1"/>
  <c r="AA348" i="1"/>
  <c r="AA349" i="1"/>
  <c r="AA350" i="1"/>
  <c r="AA351" i="1"/>
  <c r="AA352" i="1"/>
  <c r="AA353" i="1"/>
  <c r="AA354" i="1"/>
  <c r="AA360" i="1"/>
  <c r="AA361" i="1"/>
  <c r="AA362" i="1"/>
  <c r="AA363" i="1"/>
  <c r="AA364" i="1"/>
  <c r="AA365" i="1"/>
  <c r="AA366" i="1"/>
  <c r="AA367" i="1"/>
  <c r="AA368" i="1"/>
  <c r="AA369" i="1"/>
  <c r="AA370" i="1"/>
  <c r="AA371" i="1"/>
  <c r="AA372" i="1"/>
  <c r="AA7" i="1"/>
  <c r="F5" i="40" l="1"/>
  <c r="F6" i="40"/>
  <c r="F7" i="40"/>
  <c r="F8" i="40"/>
  <c r="F9" i="40"/>
  <c r="F10" i="40"/>
  <c r="F11" i="40"/>
  <c r="F12" i="40"/>
  <c r="F13" i="40"/>
  <c r="F14" i="40"/>
  <c r="F15" i="40"/>
  <c r="F16" i="40"/>
  <c r="F17" i="40"/>
  <c r="F4" i="40"/>
  <c r="F39" i="40"/>
  <c r="F40" i="40"/>
  <c r="F41" i="40"/>
  <c r="F42" i="40"/>
  <c r="F43" i="40"/>
  <c r="F38" i="40"/>
  <c r="F31" i="40"/>
  <c r="F33" i="40"/>
  <c r="F34" i="40"/>
  <c r="F35" i="40"/>
  <c r="F30" i="40"/>
  <c r="E32" i="40"/>
  <c r="F32" i="40" s="1"/>
  <c r="F20" i="40"/>
  <c r="F21" i="40"/>
  <c r="F22" i="40"/>
  <c r="F23" i="40"/>
  <c r="F24" i="40"/>
  <c r="F25" i="40"/>
  <c r="F26" i="40"/>
  <c r="F27" i="40"/>
  <c r="F28" i="40"/>
  <c r="F19" i="40"/>
  <c r="F44" i="40" l="1"/>
  <c r="F45" i="40" s="1"/>
  <c r="G91" i="2"/>
  <c r="F46" i="40" l="1"/>
  <c r="G109" i="2"/>
  <c r="G108" i="2"/>
  <c r="G175" i="2" s="1"/>
  <c r="G192" i="2" s="1"/>
  <c r="F14" i="38" l="1"/>
  <c r="D14" i="38"/>
  <c r="F13" i="38"/>
  <c r="D13" i="38"/>
  <c r="F11" i="38"/>
  <c r="D11" i="38"/>
  <c r="F10" i="38"/>
  <c r="D10" i="38"/>
  <c r="H48" i="37"/>
  <c r="E48" i="37"/>
  <c r="C48" i="37"/>
  <c r="A48" i="37"/>
  <c r="H47" i="37"/>
  <c r="H46" i="37"/>
  <c r="H45" i="37"/>
  <c r="H44" i="37"/>
  <c r="E44" i="37"/>
  <c r="C44" i="37"/>
  <c r="A44" i="37"/>
  <c r="H43" i="37"/>
  <c r="C42" i="37"/>
  <c r="E35" i="37"/>
  <c r="F35" i="37" s="1"/>
  <c r="G35" i="37" s="1"/>
  <c r="H35" i="37" s="1"/>
  <c r="C34" i="37"/>
  <c r="C33" i="37"/>
  <c r="C32" i="37"/>
  <c r="F30" i="37"/>
  <c r="G30" i="37" s="1"/>
  <c r="H30" i="37" s="1"/>
  <c r="C27" i="37"/>
  <c r="F26" i="37"/>
  <c r="G26" i="37" s="1"/>
  <c r="H26" i="37" s="1"/>
  <c r="G22" i="37"/>
  <c r="H22" i="37" s="1"/>
  <c r="F22" i="37"/>
  <c r="D22" i="37"/>
  <c r="G18" i="37"/>
  <c r="H18" i="37" s="1"/>
  <c r="F18" i="37"/>
  <c r="D18" i="37"/>
  <c r="F16" i="37"/>
  <c r="G16" i="37" s="1"/>
  <c r="H16" i="37" s="1"/>
  <c r="F13" i="37"/>
  <c r="G13" i="37" s="1"/>
  <c r="H13" i="37" s="1"/>
  <c r="F12" i="37"/>
  <c r="G12" i="37" s="1"/>
  <c r="H12" i="37" s="1"/>
  <c r="G11" i="37"/>
  <c r="H11" i="37" s="1"/>
  <c r="F11" i="37"/>
  <c r="F10" i="37"/>
  <c r="G10" i="37" s="1"/>
  <c r="H10" i="37" s="1"/>
  <c r="H5" i="37"/>
  <c r="A3" i="37"/>
  <c r="A3" i="38" s="1"/>
  <c r="A2" i="37"/>
  <c r="A2" i="38" s="1"/>
  <c r="F17" i="37" l="1"/>
  <c r="G17" i="37" s="1"/>
  <c r="H17" i="37" s="1"/>
  <c r="D17" i="37"/>
  <c r="D34" i="37"/>
  <c r="D32" i="37"/>
  <c r="F32" i="37" s="1"/>
  <c r="G32" i="37" s="1"/>
  <c r="H32" i="37" s="1"/>
  <c r="F34" i="37" l="1"/>
  <c r="G34" i="37" s="1"/>
  <c r="H34" i="37" s="1"/>
  <c r="N65" i="19"/>
  <c r="N64" i="19"/>
  <c r="F36" i="31" l="1"/>
  <c r="F37" i="31" s="1"/>
  <c r="G7" i="19"/>
  <c r="G29" i="7"/>
  <c r="J29" i="7" s="1"/>
  <c r="G889" i="2"/>
  <c r="G855" i="2"/>
  <c r="G846" i="2"/>
  <c r="H709" i="2"/>
  <c r="H694" i="2"/>
  <c r="H701" i="2"/>
  <c r="H83" i="2"/>
  <c r="H181" i="2" s="1"/>
  <c r="H358" i="2"/>
  <c r="H333" i="2"/>
  <c r="H97" i="2" l="1"/>
  <c r="H114" i="2"/>
  <c r="N36" i="36"/>
  <c r="N34" i="36"/>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8" i="5"/>
  <c r="K14" i="7"/>
  <c r="L14" i="7"/>
  <c r="J15" i="7"/>
  <c r="K15" i="7"/>
  <c r="L15" i="7"/>
  <c r="J16" i="7"/>
  <c r="K16" i="7"/>
  <c r="L16" i="7"/>
  <c r="J17" i="7"/>
  <c r="K17" i="7"/>
  <c r="L17" i="7"/>
  <c r="J18" i="7"/>
  <c r="K18" i="7"/>
  <c r="L18" i="7"/>
  <c r="J19" i="7"/>
  <c r="K19" i="7"/>
  <c r="L19" i="7"/>
  <c r="G14" i="7"/>
  <c r="J14" i="7" s="1"/>
  <c r="G1076" i="2"/>
  <c r="M19" i="7" l="1"/>
  <c r="M18" i="7"/>
  <c r="M14" i="7"/>
  <c r="M17" i="7"/>
  <c r="M15" i="7"/>
  <c r="M16" i="7"/>
  <c r="BH136" i="5"/>
  <c r="BH137" i="5"/>
  <c r="BL138" i="5"/>
  <c r="BK138" i="5"/>
  <c r="BJ138" i="5"/>
  <c r="BI138" i="5"/>
  <c r="BH138" i="5"/>
  <c r="C41" i="9" l="1"/>
  <c r="AQ138" i="5" l="1"/>
  <c r="AR138" i="5"/>
  <c r="AS138" i="5"/>
  <c r="AU138" i="5"/>
  <c r="AV138" i="5"/>
  <c r="AW138" i="5"/>
  <c r="AX138" i="5"/>
  <c r="AY138" i="5"/>
  <c r="AZ138" i="5"/>
  <c r="BA138" i="5"/>
  <c r="BB138" i="5"/>
  <c r="BC138" i="5"/>
  <c r="BD138" i="5"/>
  <c r="BE138" i="5"/>
  <c r="BF138" i="5"/>
  <c r="BG138" i="5"/>
  <c r="AK138" i="5"/>
  <c r="AL138" i="5"/>
  <c r="N138" i="5"/>
  <c r="P138" i="5"/>
  <c r="R138" i="5"/>
  <c r="S138" i="5"/>
  <c r="T138" i="5"/>
  <c r="U138" i="5"/>
  <c r="V138" i="5"/>
  <c r="W138" i="5"/>
  <c r="X138" i="5"/>
  <c r="Y138" i="5"/>
  <c r="Z138" i="5"/>
  <c r="AA138" i="5"/>
  <c r="AB138" i="5"/>
  <c r="AC138" i="5"/>
  <c r="AE138" i="5"/>
  <c r="AF138" i="5"/>
  <c r="AG138" i="5"/>
  <c r="AH138" i="5"/>
  <c r="F1078" i="2" s="1"/>
  <c r="F138" i="5"/>
  <c r="AI138" i="5" l="1"/>
  <c r="AP138" i="5" l="1"/>
  <c r="AT138" i="5"/>
  <c r="AO138" i="5" l="1"/>
  <c r="F857" i="2"/>
  <c r="F851" i="2"/>
  <c r="F849" i="2"/>
  <c r="F848" i="2"/>
  <c r="F846" i="2"/>
  <c r="F845" i="2"/>
  <c r="F250" i="1"/>
  <c r="F1079" i="2"/>
  <c r="M1079" i="2" s="1"/>
  <c r="L28" i="12"/>
  <c r="L57" i="12"/>
  <c r="O14" i="11"/>
  <c r="O17" i="11"/>
  <c r="O18" i="11"/>
  <c r="O23" i="11"/>
  <c r="O28" i="11"/>
  <c r="O30" i="11"/>
  <c r="O31" i="11"/>
  <c r="O33" i="11"/>
  <c r="O38" i="11"/>
  <c r="O39" i="11"/>
  <c r="O45" i="11"/>
  <c r="O52" i="11"/>
  <c r="O54" i="11"/>
  <c r="O58" i="11"/>
  <c r="O63" i="11"/>
  <c r="O71" i="11"/>
  <c r="O72" i="11"/>
  <c r="O96" i="11"/>
  <c r="O155" i="11"/>
  <c r="O156" i="11"/>
  <c r="O161" i="11"/>
  <c r="O165" i="11"/>
  <c r="O166" i="11"/>
  <c r="O167" i="11"/>
  <c r="O168" i="11"/>
  <c r="O170" i="11"/>
  <c r="O171" i="11"/>
  <c r="O198" i="11"/>
  <c r="O199" i="11"/>
  <c r="O208" i="11"/>
  <c r="O209" i="11"/>
  <c r="O219" i="11"/>
  <c r="O226" i="11"/>
  <c r="O228" i="11"/>
  <c r="O233" i="11"/>
  <c r="O240" i="11"/>
  <c r="O247" i="11"/>
  <c r="O250" i="11"/>
  <c r="O253" i="11"/>
  <c r="O255" i="11"/>
  <c r="O256" i="11"/>
  <c r="O263" i="11"/>
  <c r="O269" i="11"/>
  <c r="O277" i="11"/>
  <c r="O284" i="11"/>
  <c r="O291" i="11"/>
  <c r="O296" i="11"/>
  <c r="O301" i="11"/>
  <c r="O306" i="11"/>
  <c r="O309" i="11"/>
  <c r="O316" i="11"/>
  <c r="O317" i="11"/>
  <c r="O327" i="11"/>
  <c r="O330" i="11"/>
  <c r="O337" i="11"/>
  <c r="O338" i="11"/>
  <c r="O348" i="11"/>
  <c r="O351" i="11"/>
  <c r="O358" i="11"/>
  <c r="O359" i="11"/>
  <c r="O369" i="11"/>
  <c r="O373" i="11"/>
  <c r="O379" i="11"/>
  <c r="O380" i="11"/>
  <c r="O4" i="11"/>
  <c r="H42" i="9"/>
  <c r="H43" i="9"/>
  <c r="H44" i="9"/>
  <c r="H45" i="9"/>
  <c r="H46" i="9"/>
  <c r="H47" i="9"/>
  <c r="H5" i="9"/>
  <c r="C37" i="26"/>
  <c r="B37" i="26"/>
  <c r="C36" i="26"/>
  <c r="B36" i="26"/>
  <c r="C35" i="26"/>
  <c r="C32" i="26"/>
  <c r="C19" i="26"/>
  <c r="C18" i="26"/>
  <c r="C17" i="26"/>
  <c r="B8" i="26"/>
  <c r="A2" i="26"/>
  <c r="B9" i="26" s="1"/>
  <c r="A1" i="26"/>
  <c r="C10" i="10"/>
  <c r="A10" i="10"/>
  <c r="A3" i="10"/>
  <c r="A2" i="10"/>
  <c r="F11" i="16"/>
  <c r="D11" i="16"/>
  <c r="F9" i="16"/>
  <c r="D9" i="16"/>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B15" i="12"/>
  <c r="F14" i="12"/>
  <c r="D14" i="12"/>
  <c r="C14" i="12"/>
  <c r="B14" i="12"/>
  <c r="F13" i="12"/>
  <c r="D13" i="12"/>
  <c r="C13" i="12"/>
  <c r="B13" i="12"/>
  <c r="F12" i="12"/>
  <c r="D12" i="12"/>
  <c r="C12" i="12"/>
  <c r="B12" i="12"/>
  <c r="F11" i="12"/>
  <c r="D11" i="12"/>
  <c r="C11" i="12"/>
  <c r="B11" i="12"/>
  <c r="F10" i="12"/>
  <c r="D10" i="12"/>
  <c r="C10" i="12"/>
  <c r="B10" i="12"/>
  <c r="F9" i="12"/>
  <c r="D9" i="12"/>
  <c r="C9" i="12"/>
  <c r="B9" i="12"/>
  <c r="F8" i="12"/>
  <c r="D8" i="12"/>
  <c r="C8" i="12"/>
  <c r="B8" i="12"/>
  <c r="F7" i="12"/>
  <c r="D7" i="12"/>
  <c r="C7" i="12"/>
  <c r="B7" i="12"/>
  <c r="F6" i="12"/>
  <c r="D6" i="12"/>
  <c r="C6" i="12"/>
  <c r="B6" i="12"/>
  <c r="F11" i="15"/>
  <c r="D11" i="15"/>
  <c r="F9" i="15"/>
  <c r="D9" i="15"/>
  <c r="E6" i="15"/>
  <c r="E47" i="9"/>
  <c r="C47" i="9"/>
  <c r="A47" i="9"/>
  <c r="E43" i="9"/>
  <c r="C43" i="9"/>
  <c r="A43" i="9"/>
  <c r="E34" i="9"/>
  <c r="F34" i="9" s="1"/>
  <c r="G34" i="9" s="1"/>
  <c r="H34" i="9" s="1"/>
  <c r="C33" i="9"/>
  <c r="C32" i="9"/>
  <c r="C31" i="9"/>
  <c r="F30" i="9"/>
  <c r="G30" i="9" s="1"/>
  <c r="H30" i="9" s="1"/>
  <c r="C27" i="9"/>
  <c r="F26" i="9"/>
  <c r="G26" i="9" s="1"/>
  <c r="H26" i="9" s="1"/>
  <c r="F16" i="9"/>
  <c r="G16" i="9" s="1"/>
  <c r="H16" i="9" s="1"/>
  <c r="F13" i="9"/>
  <c r="G13" i="9" s="1"/>
  <c r="H13" i="9" s="1"/>
  <c r="F12" i="9"/>
  <c r="G12" i="9" s="1"/>
  <c r="H12" i="9" s="1"/>
  <c r="F11" i="9"/>
  <c r="F10" i="9"/>
  <c r="G10" i="9" s="1"/>
  <c r="H10" i="9" s="1"/>
  <c r="A3" i="9"/>
  <c r="A2" i="9"/>
  <c r="H13" i="8"/>
  <c r="F13" i="8"/>
  <c r="D13" i="8"/>
  <c r="H12" i="8"/>
  <c r="F12" i="8"/>
  <c r="D12" i="8"/>
  <c r="I11" i="8"/>
  <c r="H10" i="8"/>
  <c r="F10" i="8"/>
  <c r="D10" i="8"/>
  <c r="H9" i="8"/>
  <c r="F9" i="8"/>
  <c r="D9" i="8"/>
  <c r="I8" i="8"/>
  <c r="I5" i="8"/>
  <c r="E32" i="7"/>
  <c r="D32" i="7"/>
  <c r="E31" i="7"/>
  <c r="D31" i="7"/>
  <c r="E30" i="7"/>
  <c r="D30" i="7"/>
  <c r="E28" i="7"/>
  <c r="D28" i="7"/>
  <c r="E27" i="7"/>
  <c r="D27" i="7"/>
  <c r="E26" i="7"/>
  <c r="D26" i="7"/>
  <c r="E25" i="7"/>
  <c r="D25" i="7"/>
  <c r="E24" i="7"/>
  <c r="D24" i="7"/>
  <c r="E23" i="7"/>
  <c r="D23" i="7"/>
  <c r="E22" i="7"/>
  <c r="D22" i="7"/>
  <c r="E21" i="7"/>
  <c r="D21" i="7"/>
  <c r="E20" i="7"/>
  <c r="D20" i="7"/>
  <c r="E13" i="7"/>
  <c r="D13" i="7"/>
  <c r="E12" i="7"/>
  <c r="D12" i="7"/>
  <c r="E11" i="7"/>
  <c r="D11" i="7"/>
  <c r="E10" i="7"/>
  <c r="D10" i="7"/>
  <c r="E9" i="7"/>
  <c r="D9" i="7"/>
  <c r="E8" i="7"/>
  <c r="D8" i="7"/>
  <c r="E7" i="7"/>
  <c r="D7" i="7"/>
  <c r="E6" i="7"/>
  <c r="D6" i="7"/>
  <c r="M1" i="7"/>
  <c r="C184" i="19"/>
  <c r="I180" i="19"/>
  <c r="I179" i="19"/>
  <c r="I178" i="19"/>
  <c r="I177" i="19"/>
  <c r="I174" i="19"/>
  <c r="I173" i="19"/>
  <c r="I172" i="19"/>
  <c r="M172" i="19" s="1"/>
  <c r="I171" i="19"/>
  <c r="M171" i="19" s="1"/>
  <c r="I170" i="19"/>
  <c r="I169" i="19"/>
  <c r="I168" i="19"/>
  <c r="M168" i="19" s="1"/>
  <c r="I167" i="19"/>
  <c r="M167" i="19" s="1"/>
  <c r="I166" i="19"/>
  <c r="I165" i="19"/>
  <c r="M162" i="19"/>
  <c r="M161" i="19"/>
  <c r="M160" i="19"/>
  <c r="M159" i="19"/>
  <c r="M158" i="19"/>
  <c r="M157" i="19"/>
  <c r="M156" i="19"/>
  <c r="M155" i="19"/>
  <c r="N148" i="19"/>
  <c r="I148" i="19"/>
  <c r="M148" i="19" s="1"/>
  <c r="G148" i="19"/>
  <c r="R148" i="19" s="1"/>
  <c r="N147" i="19"/>
  <c r="I147" i="19"/>
  <c r="G147" i="19"/>
  <c r="N146" i="19"/>
  <c r="I146" i="19"/>
  <c r="M146" i="19" s="1"/>
  <c r="G146" i="19"/>
  <c r="R146" i="19" s="1"/>
  <c r="N145" i="19"/>
  <c r="I145" i="19"/>
  <c r="M145" i="19" s="1"/>
  <c r="G145" i="19"/>
  <c r="K145" i="19" s="1"/>
  <c r="N144" i="19"/>
  <c r="I144" i="19"/>
  <c r="M144" i="19" s="1"/>
  <c r="G144" i="19"/>
  <c r="N143" i="19"/>
  <c r="I143" i="19"/>
  <c r="M143" i="19" s="1"/>
  <c r="G143" i="19"/>
  <c r="N142" i="19"/>
  <c r="I142" i="19"/>
  <c r="M142" i="19" s="1"/>
  <c r="G142" i="19"/>
  <c r="K142" i="19" s="1"/>
  <c r="N141" i="19"/>
  <c r="I141" i="19"/>
  <c r="M141" i="19" s="1"/>
  <c r="G141" i="19"/>
  <c r="N140" i="19"/>
  <c r="M140" i="19"/>
  <c r="G140" i="19"/>
  <c r="N139" i="19"/>
  <c r="M139" i="19"/>
  <c r="G139" i="19"/>
  <c r="R139" i="19" s="1"/>
  <c r="N138" i="19"/>
  <c r="M138" i="19"/>
  <c r="G138" i="19"/>
  <c r="K138" i="19" s="1"/>
  <c r="N137" i="19"/>
  <c r="M137" i="19"/>
  <c r="G137" i="19"/>
  <c r="N136" i="19"/>
  <c r="M136" i="19"/>
  <c r="G136" i="19"/>
  <c r="K136" i="19" s="1"/>
  <c r="N135" i="19"/>
  <c r="M135" i="19"/>
  <c r="G135" i="19"/>
  <c r="R135" i="19" s="1"/>
  <c r="N134" i="19"/>
  <c r="M134" i="19"/>
  <c r="G134" i="19"/>
  <c r="R134" i="19" s="1"/>
  <c r="N133" i="19"/>
  <c r="M133" i="19"/>
  <c r="G133" i="19"/>
  <c r="N132" i="19"/>
  <c r="M132" i="19"/>
  <c r="G132" i="19"/>
  <c r="N131" i="19"/>
  <c r="M131" i="19"/>
  <c r="G131" i="19"/>
  <c r="N130" i="19"/>
  <c r="M130" i="19"/>
  <c r="G130" i="19"/>
  <c r="R130" i="19" s="1"/>
  <c r="N129" i="19"/>
  <c r="M129" i="19"/>
  <c r="G129" i="19"/>
  <c r="N128" i="19"/>
  <c r="G128" i="19"/>
  <c r="R128" i="19" s="1"/>
  <c r="N127" i="19"/>
  <c r="M127" i="19"/>
  <c r="G127" i="19"/>
  <c r="C127" i="19" s="1"/>
  <c r="N126" i="19"/>
  <c r="M126" i="19"/>
  <c r="G126" i="19"/>
  <c r="N125" i="19"/>
  <c r="M125" i="19"/>
  <c r="G125" i="19"/>
  <c r="N124" i="19"/>
  <c r="M124" i="19"/>
  <c r="G124" i="19"/>
  <c r="K124" i="19" s="1"/>
  <c r="N123" i="19"/>
  <c r="M123" i="19"/>
  <c r="G123" i="19"/>
  <c r="G182" i="19" s="1"/>
  <c r="C182" i="19" s="1"/>
  <c r="N122" i="19"/>
  <c r="M122" i="19"/>
  <c r="G122" i="19"/>
  <c r="N121" i="19"/>
  <c r="M121" i="19"/>
  <c r="I121" i="19"/>
  <c r="G121" i="19"/>
  <c r="G180" i="19" s="1"/>
  <c r="N120" i="19"/>
  <c r="M120" i="19"/>
  <c r="G120" i="19"/>
  <c r="G179" i="19" s="1"/>
  <c r="N119" i="19"/>
  <c r="I119" i="19"/>
  <c r="M119" i="19" s="1"/>
  <c r="G119" i="19"/>
  <c r="G178" i="19" s="1"/>
  <c r="N118" i="19"/>
  <c r="I118" i="19"/>
  <c r="M118" i="19" s="1"/>
  <c r="G118" i="19"/>
  <c r="M114" i="19"/>
  <c r="G114" i="19"/>
  <c r="R114" i="19" s="1"/>
  <c r="M113" i="19"/>
  <c r="G113" i="19"/>
  <c r="R113" i="19" s="1"/>
  <c r="N112" i="19"/>
  <c r="I112" i="19"/>
  <c r="G112" i="19"/>
  <c r="C112" i="19" s="1"/>
  <c r="N111" i="19"/>
  <c r="I111" i="19"/>
  <c r="G111" i="19"/>
  <c r="N110" i="19"/>
  <c r="I110" i="19"/>
  <c r="G110" i="19"/>
  <c r="C110" i="19" s="1"/>
  <c r="M109" i="19"/>
  <c r="G109" i="19"/>
  <c r="R109" i="19" s="1"/>
  <c r="I108" i="19"/>
  <c r="M108" i="19" s="1"/>
  <c r="G108" i="19"/>
  <c r="M107" i="19"/>
  <c r="G107" i="19"/>
  <c r="R107" i="19" s="1"/>
  <c r="L106" i="19"/>
  <c r="I106" i="19"/>
  <c r="M106" i="19" s="1"/>
  <c r="M105" i="19"/>
  <c r="G105" i="19"/>
  <c r="C105" i="19" s="1"/>
  <c r="M104" i="19"/>
  <c r="G104" i="19"/>
  <c r="C104" i="19" s="1"/>
  <c r="M103" i="19"/>
  <c r="G103" i="19"/>
  <c r="M102" i="19"/>
  <c r="G102" i="19"/>
  <c r="C102" i="19" s="1"/>
  <c r="M101" i="19"/>
  <c r="G101" i="19"/>
  <c r="C101" i="19" s="1"/>
  <c r="I100" i="19"/>
  <c r="M100" i="19" s="1"/>
  <c r="M99" i="19"/>
  <c r="G99" i="19"/>
  <c r="K99" i="19" s="1"/>
  <c r="I98" i="19"/>
  <c r="M97" i="19"/>
  <c r="G97" i="19"/>
  <c r="M96" i="19"/>
  <c r="G96" i="19"/>
  <c r="K96" i="19" s="1"/>
  <c r="M95" i="19"/>
  <c r="G95" i="19"/>
  <c r="C95" i="19" s="1"/>
  <c r="M94" i="19"/>
  <c r="M93" i="19"/>
  <c r="G93" i="19"/>
  <c r="C93" i="19" s="1"/>
  <c r="M92" i="19"/>
  <c r="G92" i="19"/>
  <c r="C92" i="19" s="1"/>
  <c r="M91" i="19"/>
  <c r="G91" i="19"/>
  <c r="C91" i="19" s="1"/>
  <c r="I90" i="19"/>
  <c r="G90" i="19"/>
  <c r="R90" i="19" s="1"/>
  <c r="I89" i="19"/>
  <c r="G89" i="19"/>
  <c r="R89" i="19" s="1"/>
  <c r="M88" i="19"/>
  <c r="M87" i="19"/>
  <c r="M86" i="19"/>
  <c r="M85" i="19"/>
  <c r="G85" i="19"/>
  <c r="R85" i="19" s="1"/>
  <c r="M84" i="19"/>
  <c r="G84" i="19"/>
  <c r="R84" i="19" s="1"/>
  <c r="I83" i="19"/>
  <c r="G83" i="19"/>
  <c r="G174" i="19" s="1"/>
  <c r="I82" i="19"/>
  <c r="G82" i="19"/>
  <c r="G173" i="19" s="1"/>
  <c r="I81" i="19"/>
  <c r="G81" i="19"/>
  <c r="G172" i="19" s="1"/>
  <c r="I80" i="19"/>
  <c r="G80" i="19"/>
  <c r="G171" i="19" s="1"/>
  <c r="I79" i="19"/>
  <c r="I128" i="19" s="1"/>
  <c r="G79" i="19"/>
  <c r="G170" i="19" s="1"/>
  <c r="I78" i="19"/>
  <c r="G78" i="19"/>
  <c r="G169" i="19" s="1"/>
  <c r="I77" i="19"/>
  <c r="G77" i="19"/>
  <c r="G168" i="19" s="1"/>
  <c r="I76" i="19"/>
  <c r="G76" i="19"/>
  <c r="G167" i="19" s="1"/>
  <c r="I75" i="19"/>
  <c r="G75" i="19"/>
  <c r="G166" i="19" s="1"/>
  <c r="I74" i="19"/>
  <c r="M71" i="19"/>
  <c r="G71" i="19"/>
  <c r="C71" i="19" s="1"/>
  <c r="M70" i="19"/>
  <c r="G70" i="19"/>
  <c r="G162" i="19" s="1"/>
  <c r="M69" i="19"/>
  <c r="G69" i="19"/>
  <c r="G161" i="19" s="1"/>
  <c r="M68" i="19"/>
  <c r="G68" i="19"/>
  <c r="G160" i="19" s="1"/>
  <c r="M67" i="19"/>
  <c r="G67" i="19"/>
  <c r="G159" i="19" s="1"/>
  <c r="M66" i="19"/>
  <c r="G66" i="19"/>
  <c r="G158" i="19" s="1"/>
  <c r="M65" i="19"/>
  <c r="M64" i="19"/>
  <c r="M63" i="19"/>
  <c r="G63" i="19"/>
  <c r="G155" i="19" s="1"/>
  <c r="M62" i="19"/>
  <c r="M61" i="19"/>
  <c r="G61" i="19"/>
  <c r="C61" i="19" s="1"/>
  <c r="I60" i="19"/>
  <c r="G60" i="19"/>
  <c r="R60" i="19" s="1"/>
  <c r="I59" i="19"/>
  <c r="M59" i="19" s="1"/>
  <c r="G59" i="19"/>
  <c r="R59" i="19" s="1"/>
  <c r="I58" i="19"/>
  <c r="M58" i="19" s="1"/>
  <c r="M57" i="19"/>
  <c r="G57" i="19"/>
  <c r="R57" i="19" s="1"/>
  <c r="I56" i="19"/>
  <c r="M56" i="19" s="1"/>
  <c r="M55" i="19"/>
  <c r="G55" i="19"/>
  <c r="C55" i="19" s="1"/>
  <c r="M54" i="19"/>
  <c r="G54" i="19"/>
  <c r="C54" i="19" s="1"/>
  <c r="M53" i="19"/>
  <c r="G53" i="19"/>
  <c r="C53" i="19" s="1"/>
  <c r="M52" i="19"/>
  <c r="G52" i="19"/>
  <c r="C52" i="19" s="1"/>
  <c r="I51" i="19"/>
  <c r="M50" i="19"/>
  <c r="G50" i="19"/>
  <c r="R50" i="19" s="1"/>
  <c r="M49" i="19"/>
  <c r="G49" i="19"/>
  <c r="M48" i="19"/>
  <c r="G48" i="19"/>
  <c r="R48" i="19" s="1"/>
  <c r="M47" i="19"/>
  <c r="G47" i="19"/>
  <c r="I46" i="19"/>
  <c r="M46" i="19" s="1"/>
  <c r="M45" i="19"/>
  <c r="G45" i="19"/>
  <c r="R45" i="19" s="1"/>
  <c r="I44" i="19"/>
  <c r="M44" i="19" s="1"/>
  <c r="G44" i="19"/>
  <c r="R44" i="19" s="1"/>
  <c r="M43" i="19"/>
  <c r="G43" i="19"/>
  <c r="K43" i="19" s="1"/>
  <c r="M42" i="19"/>
  <c r="G42" i="19"/>
  <c r="R42" i="19" s="1"/>
  <c r="M41" i="19"/>
  <c r="G41" i="19"/>
  <c r="R41" i="19" s="1"/>
  <c r="M40" i="19"/>
  <c r="G40" i="19"/>
  <c r="R40" i="19" s="1"/>
  <c r="M39" i="19"/>
  <c r="G39" i="19"/>
  <c r="R39" i="19" s="1"/>
  <c r="M38" i="19"/>
  <c r="G38" i="19"/>
  <c r="R38" i="19" s="1"/>
  <c r="M37" i="19"/>
  <c r="G37" i="19"/>
  <c r="M36" i="19"/>
  <c r="R36" i="19"/>
  <c r="M35" i="19"/>
  <c r="G35" i="19"/>
  <c r="R35" i="19" s="1"/>
  <c r="M34" i="19"/>
  <c r="M33" i="19"/>
  <c r="M32" i="19"/>
  <c r="G32" i="19"/>
  <c r="R32" i="19" s="1"/>
  <c r="M31" i="19"/>
  <c r="G31" i="19"/>
  <c r="R31" i="19" s="1"/>
  <c r="M30" i="19"/>
  <c r="G30" i="19"/>
  <c r="R30" i="19" s="1"/>
  <c r="M29" i="19"/>
  <c r="N28" i="19"/>
  <c r="M28" i="19"/>
  <c r="J28" i="19"/>
  <c r="G28" i="19"/>
  <c r="R28" i="19" s="1"/>
  <c r="N27" i="19"/>
  <c r="M27" i="19"/>
  <c r="J27" i="19"/>
  <c r="G27" i="19"/>
  <c r="N26" i="19"/>
  <c r="M26" i="19"/>
  <c r="J26" i="19"/>
  <c r="G26" i="19"/>
  <c r="R26" i="19" s="1"/>
  <c r="N25" i="19"/>
  <c r="M25" i="19"/>
  <c r="J25" i="19"/>
  <c r="N24" i="19"/>
  <c r="M24" i="19"/>
  <c r="J24" i="19"/>
  <c r="G24" i="19"/>
  <c r="R24" i="19" s="1"/>
  <c r="N23" i="19"/>
  <c r="M23" i="19"/>
  <c r="J23" i="19"/>
  <c r="G23" i="19"/>
  <c r="K23" i="19" s="1"/>
  <c r="N22" i="19"/>
  <c r="M22" i="19"/>
  <c r="J22" i="19"/>
  <c r="G22" i="19"/>
  <c r="R22" i="19" s="1"/>
  <c r="N21" i="19"/>
  <c r="M21" i="19"/>
  <c r="J21" i="19"/>
  <c r="G21" i="19"/>
  <c r="K21" i="19" s="1"/>
  <c r="N20" i="19"/>
  <c r="M20" i="19"/>
  <c r="J20" i="19"/>
  <c r="G20" i="19"/>
  <c r="R20" i="19" s="1"/>
  <c r="N19" i="19"/>
  <c r="M19" i="19"/>
  <c r="J19" i="19"/>
  <c r="G19" i="19"/>
  <c r="K19" i="19" s="1"/>
  <c r="N18" i="19"/>
  <c r="M18" i="19"/>
  <c r="J18" i="19"/>
  <c r="G18" i="19"/>
  <c r="R18" i="19" s="1"/>
  <c r="M17" i="19"/>
  <c r="G17" i="19"/>
  <c r="C17" i="19" s="1"/>
  <c r="M16" i="19"/>
  <c r="G16" i="19"/>
  <c r="C16" i="19" s="1"/>
  <c r="M15" i="19"/>
  <c r="G15" i="19"/>
  <c r="R15" i="19" s="1"/>
  <c r="M14" i="19"/>
  <c r="G14" i="19"/>
  <c r="C14" i="19" s="1"/>
  <c r="M13" i="19"/>
  <c r="G13" i="19"/>
  <c r="C13" i="19" s="1"/>
  <c r="M12" i="19"/>
  <c r="G12" i="19"/>
  <c r="C12" i="19" s="1"/>
  <c r="M11" i="19"/>
  <c r="M10" i="19"/>
  <c r="M9" i="19"/>
  <c r="M8" i="19"/>
  <c r="G8" i="19"/>
  <c r="C8" i="19" s="1"/>
  <c r="M7" i="19"/>
  <c r="M6" i="19"/>
  <c r="BM138" i="5"/>
  <c r="G106" i="19"/>
  <c r="K106" i="19" s="1"/>
  <c r="G100" i="19"/>
  <c r="G98" i="19"/>
  <c r="K98" i="19" s="1"/>
  <c r="G94" i="19"/>
  <c r="G88" i="19"/>
  <c r="G87" i="19"/>
  <c r="G86" i="19"/>
  <c r="G157" i="19"/>
  <c r="G156" i="19"/>
  <c r="G62" i="19"/>
  <c r="G51" i="19"/>
  <c r="G56" i="19" s="1"/>
  <c r="R56" i="19" s="1"/>
  <c r="G34" i="19"/>
  <c r="G33" i="19"/>
  <c r="G10" i="19"/>
  <c r="G9" i="19"/>
  <c r="R9" i="19" s="1"/>
  <c r="F1010" i="2"/>
  <c r="N1010" i="2" s="1"/>
  <c r="F990" i="2"/>
  <c r="F983" i="2"/>
  <c r="N983" i="2" s="1"/>
  <c r="N963" i="2"/>
  <c r="F28" i="7"/>
  <c r="F27" i="7"/>
  <c r="F26" i="7"/>
  <c r="F25" i="7"/>
  <c r="F24" i="7"/>
  <c r="F23" i="7"/>
  <c r="F22" i="7"/>
  <c r="F21" i="7"/>
  <c r="F20" i="7"/>
  <c r="F12" i="7"/>
  <c r="F10" i="7"/>
  <c r="L138" i="5"/>
  <c r="F8" i="7" s="1"/>
  <c r="K138" i="5"/>
  <c r="F7" i="7" s="1"/>
  <c r="J138" i="5"/>
  <c r="C890" i="2"/>
  <c r="F890" i="2" s="1"/>
  <c r="M890" i="2" s="1"/>
  <c r="H138" i="5"/>
  <c r="G138" i="5"/>
  <c r="E138" i="5"/>
  <c r="N1120" i="2"/>
  <c r="M1120" i="2"/>
  <c r="G1119" i="2"/>
  <c r="F1119" i="2"/>
  <c r="M1119" i="2" s="1"/>
  <c r="E1119" i="2"/>
  <c r="D1119" i="2"/>
  <c r="C1119" i="2"/>
  <c r="G1118" i="2"/>
  <c r="F1118" i="2"/>
  <c r="M1118" i="2" s="1"/>
  <c r="E1118" i="2"/>
  <c r="D1118" i="2"/>
  <c r="C1118" i="2"/>
  <c r="G1117" i="2"/>
  <c r="F1117" i="2"/>
  <c r="M1117" i="2" s="1"/>
  <c r="E1117" i="2"/>
  <c r="D1117" i="2"/>
  <c r="C1117" i="2"/>
  <c r="G1116" i="2"/>
  <c r="F1116" i="2"/>
  <c r="M1116" i="2" s="1"/>
  <c r="E1116" i="2"/>
  <c r="D1116" i="2"/>
  <c r="C1116" i="2"/>
  <c r="G1115" i="2"/>
  <c r="F1115" i="2"/>
  <c r="M1115" i="2" s="1"/>
  <c r="E1115" i="2"/>
  <c r="D1115" i="2"/>
  <c r="C1115" i="2"/>
  <c r="G1114" i="2"/>
  <c r="F1114" i="2"/>
  <c r="M1114" i="2" s="1"/>
  <c r="E1114" i="2"/>
  <c r="D1114" i="2"/>
  <c r="C1114" i="2"/>
  <c r="G1113" i="2"/>
  <c r="F1113" i="2"/>
  <c r="M1113" i="2" s="1"/>
  <c r="E1113" i="2"/>
  <c r="D1113" i="2"/>
  <c r="C1113" i="2"/>
  <c r="G1112" i="2"/>
  <c r="F1112" i="2"/>
  <c r="M1112" i="2" s="1"/>
  <c r="E1112" i="2"/>
  <c r="D1112" i="2"/>
  <c r="C1112" i="2"/>
  <c r="G1111" i="2"/>
  <c r="F1111" i="2"/>
  <c r="N1111" i="2" s="1"/>
  <c r="E1111" i="2"/>
  <c r="D1111" i="2"/>
  <c r="C1111" i="2"/>
  <c r="G1110" i="2"/>
  <c r="F1110" i="2"/>
  <c r="E1110" i="2"/>
  <c r="D1110" i="2"/>
  <c r="C1110" i="2"/>
  <c r="G1109" i="2"/>
  <c r="F1109" i="2"/>
  <c r="N1109" i="2" s="1"/>
  <c r="E1109" i="2"/>
  <c r="D1109" i="2"/>
  <c r="C1109" i="2"/>
  <c r="G1108" i="2"/>
  <c r="F1108" i="2"/>
  <c r="E1108" i="2"/>
  <c r="D1108" i="2"/>
  <c r="C1108" i="2"/>
  <c r="G1107" i="2"/>
  <c r="F1107" i="2"/>
  <c r="N1107" i="2" s="1"/>
  <c r="E1107" i="2"/>
  <c r="D1107" i="2"/>
  <c r="C1107" i="2"/>
  <c r="G1106" i="2"/>
  <c r="F1106" i="2"/>
  <c r="E1106" i="2"/>
  <c r="D1106" i="2"/>
  <c r="C1106" i="2"/>
  <c r="G1105" i="2"/>
  <c r="F1105" i="2"/>
  <c r="N1105" i="2" s="1"/>
  <c r="E1105" i="2"/>
  <c r="D1105" i="2"/>
  <c r="C1105" i="2"/>
  <c r="G1104" i="2"/>
  <c r="F1104" i="2"/>
  <c r="E1104" i="2"/>
  <c r="D1104" i="2"/>
  <c r="C1104" i="2"/>
  <c r="G1103" i="2"/>
  <c r="F1103" i="2"/>
  <c r="N1103" i="2" s="1"/>
  <c r="E1103" i="2"/>
  <c r="D1103" i="2"/>
  <c r="C1103" i="2"/>
  <c r="G1102" i="2"/>
  <c r="F1102" i="2"/>
  <c r="E1102" i="2"/>
  <c r="D1102" i="2"/>
  <c r="C1102" i="2"/>
  <c r="G1101" i="2"/>
  <c r="F1101" i="2"/>
  <c r="N1101" i="2" s="1"/>
  <c r="E1101" i="2"/>
  <c r="D1101" i="2"/>
  <c r="C1101" i="2"/>
  <c r="G1100" i="2"/>
  <c r="F1100" i="2"/>
  <c r="N1100" i="2" s="1"/>
  <c r="E1100" i="2"/>
  <c r="D1100" i="2"/>
  <c r="C1100" i="2"/>
  <c r="G1099" i="2"/>
  <c r="F1099" i="2"/>
  <c r="N1099" i="2" s="1"/>
  <c r="E1099" i="2"/>
  <c r="D1099" i="2"/>
  <c r="C1099" i="2"/>
  <c r="G1098" i="2"/>
  <c r="F1098" i="2"/>
  <c r="E1098" i="2"/>
  <c r="D1098" i="2"/>
  <c r="C1098" i="2"/>
  <c r="G1097" i="2"/>
  <c r="F1097" i="2"/>
  <c r="N1097" i="2" s="1"/>
  <c r="E1097" i="2"/>
  <c r="D1097" i="2"/>
  <c r="C1097" i="2"/>
  <c r="N1096" i="2"/>
  <c r="G1095" i="2"/>
  <c r="F1095" i="2"/>
  <c r="N1095" i="2" s="1"/>
  <c r="D1095" i="2"/>
  <c r="C1095" i="2"/>
  <c r="G1094" i="2"/>
  <c r="F1094" i="2"/>
  <c r="E1094" i="2"/>
  <c r="D1094" i="2"/>
  <c r="C1094" i="2"/>
  <c r="G1093" i="2"/>
  <c r="F1093" i="2"/>
  <c r="E1093" i="2"/>
  <c r="D1093" i="2"/>
  <c r="C1093" i="2"/>
  <c r="G1092" i="2"/>
  <c r="F1092" i="2"/>
  <c r="E1092" i="2"/>
  <c r="D1092" i="2"/>
  <c r="C1092" i="2"/>
  <c r="G1091" i="2"/>
  <c r="F1091" i="2"/>
  <c r="E1091" i="2"/>
  <c r="D1091" i="2"/>
  <c r="C1091" i="2"/>
  <c r="G1090" i="2"/>
  <c r="F1090" i="2"/>
  <c r="E1090" i="2"/>
  <c r="D1090" i="2"/>
  <c r="C1090" i="2"/>
  <c r="G1089" i="2"/>
  <c r="F1089" i="2"/>
  <c r="N1089" i="2" s="1"/>
  <c r="E1089" i="2"/>
  <c r="D1089" i="2"/>
  <c r="C1089" i="2"/>
  <c r="G1088" i="2"/>
  <c r="F1088" i="2"/>
  <c r="E1088" i="2"/>
  <c r="D1088" i="2"/>
  <c r="C1088" i="2"/>
  <c r="G1087" i="2"/>
  <c r="F1087" i="2"/>
  <c r="N1087" i="2" s="1"/>
  <c r="E1087" i="2"/>
  <c r="D1087" i="2"/>
  <c r="C1087" i="2"/>
  <c r="G1086" i="2"/>
  <c r="F1086" i="2"/>
  <c r="E1086" i="2"/>
  <c r="D1086" i="2"/>
  <c r="C1086" i="2"/>
  <c r="G1085" i="2"/>
  <c r="F1085" i="2"/>
  <c r="M1085" i="2" s="1"/>
  <c r="E1085" i="2"/>
  <c r="D1085" i="2"/>
  <c r="C1085" i="2"/>
  <c r="G1084" i="2"/>
  <c r="F1084" i="2"/>
  <c r="E1084" i="2"/>
  <c r="D1084" i="2"/>
  <c r="C1084" i="2"/>
  <c r="G1083" i="2"/>
  <c r="F1083" i="2"/>
  <c r="M1083" i="2" s="1"/>
  <c r="E1083" i="2"/>
  <c r="D1083" i="2"/>
  <c r="C1083" i="2"/>
  <c r="G1082" i="2"/>
  <c r="F1082" i="2"/>
  <c r="E1082" i="2"/>
  <c r="D1082" i="2"/>
  <c r="C1082" i="2"/>
  <c r="G1081" i="2"/>
  <c r="F1081" i="2"/>
  <c r="M1081" i="2" s="1"/>
  <c r="E1081" i="2"/>
  <c r="D1081" i="2"/>
  <c r="C1081" i="2"/>
  <c r="G1080" i="2"/>
  <c r="F1080" i="2"/>
  <c r="E1080" i="2"/>
  <c r="D1080" i="2"/>
  <c r="C1080" i="2"/>
  <c r="G1079" i="2"/>
  <c r="E1079" i="2"/>
  <c r="D1079" i="2"/>
  <c r="C1079" i="2"/>
  <c r="G1078" i="2"/>
  <c r="E1078" i="2"/>
  <c r="D1078" i="2"/>
  <c r="C1078" i="2"/>
  <c r="G1077" i="2"/>
  <c r="M1077" i="2"/>
  <c r="E1077" i="2"/>
  <c r="D1077" i="2"/>
  <c r="C1077" i="2"/>
  <c r="E1076" i="2"/>
  <c r="D1076" i="2"/>
  <c r="C1076" i="2"/>
  <c r="G1075" i="2"/>
  <c r="F1075" i="2"/>
  <c r="M1075" i="2" s="1"/>
  <c r="E1075" i="2"/>
  <c r="D1075" i="2"/>
  <c r="C1075" i="2"/>
  <c r="G1074" i="2"/>
  <c r="F1074" i="2"/>
  <c r="E1074" i="2"/>
  <c r="D1074" i="2"/>
  <c r="C1074" i="2"/>
  <c r="G1073" i="2"/>
  <c r="F1073" i="2"/>
  <c r="E1073" i="2"/>
  <c r="D1073" i="2"/>
  <c r="C1073" i="2"/>
  <c r="G1072" i="2"/>
  <c r="F1072" i="2"/>
  <c r="E1072" i="2"/>
  <c r="D1072" i="2"/>
  <c r="C1072" i="2"/>
  <c r="G1071" i="2"/>
  <c r="F1071" i="2"/>
  <c r="M1071" i="2" s="1"/>
  <c r="E1071" i="2"/>
  <c r="D1071" i="2"/>
  <c r="C1071" i="2"/>
  <c r="G1070" i="2"/>
  <c r="F1070" i="2"/>
  <c r="E1070" i="2"/>
  <c r="D1070" i="2"/>
  <c r="C1070" i="2"/>
  <c r="G1069" i="2"/>
  <c r="F1069" i="2"/>
  <c r="E1069" i="2"/>
  <c r="D1069" i="2"/>
  <c r="C1069" i="2"/>
  <c r="G1068" i="2"/>
  <c r="F1068" i="2"/>
  <c r="E1068" i="2"/>
  <c r="D1068" i="2"/>
  <c r="C1068" i="2"/>
  <c r="G1067" i="2"/>
  <c r="F1067" i="2"/>
  <c r="M1067" i="2" s="1"/>
  <c r="E1067" i="2"/>
  <c r="D1067" i="2"/>
  <c r="C1067" i="2"/>
  <c r="G1066" i="2"/>
  <c r="F1066" i="2"/>
  <c r="E1066" i="2"/>
  <c r="D1066" i="2"/>
  <c r="C1066" i="2"/>
  <c r="G1065" i="2"/>
  <c r="F1065" i="2"/>
  <c r="M1065" i="2" s="1"/>
  <c r="E1065" i="2"/>
  <c r="D1065" i="2"/>
  <c r="C1065" i="2"/>
  <c r="G1064" i="2"/>
  <c r="F1064" i="2"/>
  <c r="E1064" i="2"/>
  <c r="D1064" i="2"/>
  <c r="C1064" i="2"/>
  <c r="G1063" i="2"/>
  <c r="M1063" i="2"/>
  <c r="E1063" i="2"/>
  <c r="D1063" i="2"/>
  <c r="C1063" i="2"/>
  <c r="G1062" i="2"/>
  <c r="F1062" i="2"/>
  <c r="E1062" i="2"/>
  <c r="D1062" i="2"/>
  <c r="C1062" i="2"/>
  <c r="G1061" i="2"/>
  <c r="F1061" i="2"/>
  <c r="M1061" i="2" s="1"/>
  <c r="E1061" i="2"/>
  <c r="D1061" i="2"/>
  <c r="C1061" i="2"/>
  <c r="G1060" i="2"/>
  <c r="F1060" i="2"/>
  <c r="E1060" i="2"/>
  <c r="D1060" i="2"/>
  <c r="C1060" i="2"/>
  <c r="G1059" i="2"/>
  <c r="F1059" i="2"/>
  <c r="M1059" i="2" s="1"/>
  <c r="E1059" i="2"/>
  <c r="D1059" i="2"/>
  <c r="C1059" i="2"/>
  <c r="G1058" i="2"/>
  <c r="F1058" i="2"/>
  <c r="E1058" i="2"/>
  <c r="D1058" i="2"/>
  <c r="C1058" i="2"/>
  <c r="F1057" i="2"/>
  <c r="E1057" i="2"/>
  <c r="D1057" i="2"/>
  <c r="C1057" i="2"/>
  <c r="F1056" i="2"/>
  <c r="E1056" i="2"/>
  <c r="D1056" i="2"/>
  <c r="C1056" i="2"/>
  <c r="F1055" i="2"/>
  <c r="M1055" i="2" s="1"/>
  <c r="E1055" i="2"/>
  <c r="D1055" i="2"/>
  <c r="C1055" i="2"/>
  <c r="F1054" i="2"/>
  <c r="E1054" i="2"/>
  <c r="D1054" i="2"/>
  <c r="C1054" i="2"/>
  <c r="F1053" i="2"/>
  <c r="E1053" i="2"/>
  <c r="D1053" i="2"/>
  <c r="C1053" i="2"/>
  <c r="F1052" i="2"/>
  <c r="E1052" i="2"/>
  <c r="D1052" i="2"/>
  <c r="C1052" i="2"/>
  <c r="F1051" i="2"/>
  <c r="N1051" i="2" s="1"/>
  <c r="E1051" i="2"/>
  <c r="D1051" i="2"/>
  <c r="C1051" i="2"/>
  <c r="F1050" i="2"/>
  <c r="N1050" i="2" s="1"/>
  <c r="E1050" i="2"/>
  <c r="D1050" i="2"/>
  <c r="C1050" i="2"/>
  <c r="F1049" i="2"/>
  <c r="N1049" i="2" s="1"/>
  <c r="E1049" i="2"/>
  <c r="D1049" i="2"/>
  <c r="C1049" i="2"/>
  <c r="F1048" i="2"/>
  <c r="N1048" i="2" s="1"/>
  <c r="E1048" i="2"/>
  <c r="D1048" i="2"/>
  <c r="C1048" i="2"/>
  <c r="F1047" i="2"/>
  <c r="N1047" i="2" s="1"/>
  <c r="E1047" i="2"/>
  <c r="D1047" i="2"/>
  <c r="C1047" i="2"/>
  <c r="F1046" i="2"/>
  <c r="N1046" i="2" s="1"/>
  <c r="E1046" i="2"/>
  <c r="D1046" i="2"/>
  <c r="C1046" i="2"/>
  <c r="F1045" i="2"/>
  <c r="N1045" i="2" s="1"/>
  <c r="E1045" i="2"/>
  <c r="D1045" i="2"/>
  <c r="C1045" i="2"/>
  <c r="F1044" i="2"/>
  <c r="N1044" i="2" s="1"/>
  <c r="E1044" i="2"/>
  <c r="D1044" i="2"/>
  <c r="C1044" i="2"/>
  <c r="F1043" i="2"/>
  <c r="N1043" i="2" s="1"/>
  <c r="E1043" i="2"/>
  <c r="D1043" i="2"/>
  <c r="C1043" i="2"/>
  <c r="F1042" i="2"/>
  <c r="N1042" i="2" s="1"/>
  <c r="E1042" i="2"/>
  <c r="D1042" i="2"/>
  <c r="C1042" i="2"/>
  <c r="F1041" i="2"/>
  <c r="N1041" i="2" s="1"/>
  <c r="E1041" i="2"/>
  <c r="D1041" i="2"/>
  <c r="C1041" i="2"/>
  <c r="F1040" i="2"/>
  <c r="N1040" i="2" s="1"/>
  <c r="E1040" i="2"/>
  <c r="D1040" i="2"/>
  <c r="C1040" i="2"/>
  <c r="F1039" i="2"/>
  <c r="N1039" i="2" s="1"/>
  <c r="E1039" i="2"/>
  <c r="D1039" i="2"/>
  <c r="C1039" i="2"/>
  <c r="F1038" i="2"/>
  <c r="N1038" i="2" s="1"/>
  <c r="E1038" i="2"/>
  <c r="D1038" i="2"/>
  <c r="C1038" i="2"/>
  <c r="F1037" i="2"/>
  <c r="N1037" i="2" s="1"/>
  <c r="E1037" i="2"/>
  <c r="D1037" i="2"/>
  <c r="C1037" i="2"/>
  <c r="F1036" i="2"/>
  <c r="N1036" i="2" s="1"/>
  <c r="E1036" i="2"/>
  <c r="D1036" i="2"/>
  <c r="C1036" i="2"/>
  <c r="G1035" i="2"/>
  <c r="F1035" i="2"/>
  <c r="N1035" i="2" s="1"/>
  <c r="E1035" i="2"/>
  <c r="D1035" i="2"/>
  <c r="C1035" i="2"/>
  <c r="G1034" i="2"/>
  <c r="F1034" i="2"/>
  <c r="N1034" i="2" s="1"/>
  <c r="E1034" i="2"/>
  <c r="D1034" i="2"/>
  <c r="C1034" i="2"/>
  <c r="G1033" i="2"/>
  <c r="F1033" i="2"/>
  <c r="N1033" i="2" s="1"/>
  <c r="E1033" i="2"/>
  <c r="D1033" i="2"/>
  <c r="C1033" i="2"/>
  <c r="G1032" i="2"/>
  <c r="F1032" i="2"/>
  <c r="N1032" i="2" s="1"/>
  <c r="E1032" i="2"/>
  <c r="D1032" i="2"/>
  <c r="C1032" i="2"/>
  <c r="G1031" i="2"/>
  <c r="F1031" i="2"/>
  <c r="N1031" i="2" s="1"/>
  <c r="E1031" i="2"/>
  <c r="D1031" i="2"/>
  <c r="C1031" i="2"/>
  <c r="G1030" i="2"/>
  <c r="F1030" i="2"/>
  <c r="N1030" i="2" s="1"/>
  <c r="E1030" i="2"/>
  <c r="D1030" i="2"/>
  <c r="C1030" i="2"/>
  <c r="G1029" i="2"/>
  <c r="F1029" i="2"/>
  <c r="N1029" i="2" s="1"/>
  <c r="E1029" i="2"/>
  <c r="D1029" i="2"/>
  <c r="C1029" i="2"/>
  <c r="G1028" i="2"/>
  <c r="F1028" i="2"/>
  <c r="N1028" i="2" s="1"/>
  <c r="E1028" i="2"/>
  <c r="D1028" i="2"/>
  <c r="C1028" i="2"/>
  <c r="G1027" i="2"/>
  <c r="F1027" i="2"/>
  <c r="N1027" i="2" s="1"/>
  <c r="E1027" i="2"/>
  <c r="D1027" i="2"/>
  <c r="C1027" i="2"/>
  <c r="G1026" i="2"/>
  <c r="F1026" i="2"/>
  <c r="N1026" i="2" s="1"/>
  <c r="E1026" i="2"/>
  <c r="D1026" i="2"/>
  <c r="C1026" i="2"/>
  <c r="G1025" i="2"/>
  <c r="F1025" i="2"/>
  <c r="N1025" i="2" s="1"/>
  <c r="E1025" i="2"/>
  <c r="D1025" i="2"/>
  <c r="C1025" i="2"/>
  <c r="G1024" i="2"/>
  <c r="F1024" i="2"/>
  <c r="N1024" i="2" s="1"/>
  <c r="E1024" i="2"/>
  <c r="D1024" i="2"/>
  <c r="C1024" i="2"/>
  <c r="G1023" i="2"/>
  <c r="F1023" i="2"/>
  <c r="N1023" i="2" s="1"/>
  <c r="E1023" i="2"/>
  <c r="D1023" i="2"/>
  <c r="C1023" i="2"/>
  <c r="G1022" i="2"/>
  <c r="N1022" i="2"/>
  <c r="E1022" i="2"/>
  <c r="D1022" i="2"/>
  <c r="C1022" i="2"/>
  <c r="G1021" i="2"/>
  <c r="F1021" i="2"/>
  <c r="N1021" i="2" s="1"/>
  <c r="E1021" i="2"/>
  <c r="D1021" i="2"/>
  <c r="C1021" i="2"/>
  <c r="G1020" i="2"/>
  <c r="F1020" i="2"/>
  <c r="E1020" i="2"/>
  <c r="D1020" i="2"/>
  <c r="C1020" i="2"/>
  <c r="G1019" i="2"/>
  <c r="N1019" i="2"/>
  <c r="E1019" i="2"/>
  <c r="D1019" i="2"/>
  <c r="C1019" i="2"/>
  <c r="G1018" i="2"/>
  <c r="F1018" i="2"/>
  <c r="N1018" i="2" s="1"/>
  <c r="E1018" i="2"/>
  <c r="D1018" i="2"/>
  <c r="C1018" i="2"/>
  <c r="G1017" i="2"/>
  <c r="F1017" i="2"/>
  <c r="N1017" i="2" s="1"/>
  <c r="E1017" i="2"/>
  <c r="D1017" i="2"/>
  <c r="C1017" i="2"/>
  <c r="G1016" i="2"/>
  <c r="F1016" i="2"/>
  <c r="N1016" i="2" s="1"/>
  <c r="E1016" i="2"/>
  <c r="D1016" i="2"/>
  <c r="C1016" i="2"/>
  <c r="G1015" i="2"/>
  <c r="F1015" i="2"/>
  <c r="N1015" i="2" s="1"/>
  <c r="E1015" i="2"/>
  <c r="D1015" i="2"/>
  <c r="C1015" i="2"/>
  <c r="G1014" i="2"/>
  <c r="F1014" i="2"/>
  <c r="N1014" i="2" s="1"/>
  <c r="E1014" i="2"/>
  <c r="D1014" i="2"/>
  <c r="C1014" i="2"/>
  <c r="G1013" i="2"/>
  <c r="F1013" i="2"/>
  <c r="N1013" i="2" s="1"/>
  <c r="E1013" i="2"/>
  <c r="D1013" i="2"/>
  <c r="C1013" i="2"/>
  <c r="G1012" i="2"/>
  <c r="N1012" i="2"/>
  <c r="E1012" i="2"/>
  <c r="D1012" i="2"/>
  <c r="C1012" i="2"/>
  <c r="G1011" i="2"/>
  <c r="F1011" i="2"/>
  <c r="E1011" i="2"/>
  <c r="D1011" i="2"/>
  <c r="C1011" i="2"/>
  <c r="G1010" i="2"/>
  <c r="E1010" i="2"/>
  <c r="D1010" i="2"/>
  <c r="C1010" i="2"/>
  <c r="G1009" i="2"/>
  <c r="F1009" i="2"/>
  <c r="N1009" i="2" s="1"/>
  <c r="E1009" i="2"/>
  <c r="D1009" i="2"/>
  <c r="C1009" i="2"/>
  <c r="G1008" i="2"/>
  <c r="F1008" i="2"/>
  <c r="N1008" i="2" s="1"/>
  <c r="E1008" i="2"/>
  <c r="D1008" i="2"/>
  <c r="C1008" i="2"/>
  <c r="G1007" i="2"/>
  <c r="F1007" i="2"/>
  <c r="N1007" i="2" s="1"/>
  <c r="E1007" i="2"/>
  <c r="D1007" i="2"/>
  <c r="C1007" i="2"/>
  <c r="G1006" i="2"/>
  <c r="N1006" i="2"/>
  <c r="E1006" i="2"/>
  <c r="D1006" i="2"/>
  <c r="C1006" i="2"/>
  <c r="G1005" i="2"/>
  <c r="F1005" i="2"/>
  <c r="N1005" i="2" s="1"/>
  <c r="E1005" i="2"/>
  <c r="D1005" i="2"/>
  <c r="C1005" i="2"/>
  <c r="G1004" i="2"/>
  <c r="F1004" i="2"/>
  <c r="N1004" i="2" s="1"/>
  <c r="E1004" i="2"/>
  <c r="D1004" i="2"/>
  <c r="C1004" i="2"/>
  <c r="G1003" i="2"/>
  <c r="F1003" i="2"/>
  <c r="N1003" i="2" s="1"/>
  <c r="E1003" i="2"/>
  <c r="D1003" i="2"/>
  <c r="C1003" i="2"/>
  <c r="G1002" i="2"/>
  <c r="F1002" i="2"/>
  <c r="E1002" i="2"/>
  <c r="D1002" i="2"/>
  <c r="C1002" i="2"/>
  <c r="G1001" i="2"/>
  <c r="N1001" i="2"/>
  <c r="E1001" i="2"/>
  <c r="D1001" i="2"/>
  <c r="C1001" i="2"/>
  <c r="G1000" i="2"/>
  <c r="F1000" i="2"/>
  <c r="N1000" i="2" s="1"/>
  <c r="E1000" i="2"/>
  <c r="D1000" i="2"/>
  <c r="C1000" i="2"/>
  <c r="G999" i="2"/>
  <c r="F999" i="2"/>
  <c r="N999" i="2" s="1"/>
  <c r="E999" i="2"/>
  <c r="D999" i="2"/>
  <c r="C999" i="2"/>
  <c r="G998" i="2"/>
  <c r="F998" i="2"/>
  <c r="E998" i="2"/>
  <c r="D998" i="2"/>
  <c r="C998" i="2"/>
  <c r="G997" i="2"/>
  <c r="E997" i="2"/>
  <c r="D997" i="2"/>
  <c r="C997" i="2"/>
  <c r="G996" i="2"/>
  <c r="F996" i="2"/>
  <c r="N996" i="2" s="1"/>
  <c r="E996" i="2"/>
  <c r="D996" i="2"/>
  <c r="C996" i="2"/>
  <c r="G995" i="2"/>
  <c r="F995" i="2"/>
  <c r="N995" i="2" s="1"/>
  <c r="E995" i="2"/>
  <c r="D995" i="2"/>
  <c r="C995" i="2"/>
  <c r="G994" i="2"/>
  <c r="F994" i="2"/>
  <c r="E994" i="2"/>
  <c r="D994" i="2"/>
  <c r="C994" i="2"/>
  <c r="G993" i="2"/>
  <c r="F993" i="2"/>
  <c r="N993" i="2" s="1"/>
  <c r="E993" i="2"/>
  <c r="D993" i="2"/>
  <c r="C993" i="2"/>
  <c r="G992" i="2"/>
  <c r="F992" i="2"/>
  <c r="N992" i="2" s="1"/>
  <c r="E992" i="2"/>
  <c r="D992" i="2"/>
  <c r="C992" i="2"/>
  <c r="G991" i="2"/>
  <c r="F991" i="2"/>
  <c r="N991" i="2" s="1"/>
  <c r="E991" i="2"/>
  <c r="D991" i="2"/>
  <c r="C991" i="2"/>
  <c r="G990" i="2"/>
  <c r="E990" i="2"/>
  <c r="D990" i="2"/>
  <c r="C990" i="2"/>
  <c r="G989" i="2"/>
  <c r="F989" i="2"/>
  <c r="N989" i="2" s="1"/>
  <c r="E989" i="2"/>
  <c r="D989" i="2"/>
  <c r="C989" i="2"/>
  <c r="G988" i="2"/>
  <c r="F988" i="2"/>
  <c r="N988" i="2" s="1"/>
  <c r="E988" i="2"/>
  <c r="D988" i="2"/>
  <c r="C988" i="2"/>
  <c r="G987" i="2"/>
  <c r="F987" i="2"/>
  <c r="N987" i="2" s="1"/>
  <c r="E987" i="2"/>
  <c r="D987" i="2"/>
  <c r="C987" i="2"/>
  <c r="G986" i="2"/>
  <c r="F986" i="2"/>
  <c r="E986" i="2"/>
  <c r="D986" i="2"/>
  <c r="C986" i="2"/>
  <c r="G985" i="2"/>
  <c r="F985" i="2"/>
  <c r="N985" i="2" s="1"/>
  <c r="E985" i="2"/>
  <c r="D985" i="2"/>
  <c r="C985" i="2"/>
  <c r="G984" i="2"/>
  <c r="F984" i="2"/>
  <c r="E984" i="2"/>
  <c r="D984" i="2"/>
  <c r="C984" i="2"/>
  <c r="G983" i="2"/>
  <c r="E983" i="2"/>
  <c r="D983" i="2"/>
  <c r="C983" i="2"/>
  <c r="G982" i="2"/>
  <c r="F982" i="2"/>
  <c r="E982" i="2"/>
  <c r="D982" i="2"/>
  <c r="C982" i="2"/>
  <c r="G981" i="2"/>
  <c r="F981" i="2"/>
  <c r="N981" i="2" s="1"/>
  <c r="E981" i="2"/>
  <c r="D981" i="2"/>
  <c r="C981" i="2"/>
  <c r="G980" i="2"/>
  <c r="F980" i="2"/>
  <c r="E980" i="2"/>
  <c r="D980" i="2"/>
  <c r="C980" i="2"/>
  <c r="G979" i="2"/>
  <c r="N979" i="2"/>
  <c r="E979" i="2"/>
  <c r="D979" i="2"/>
  <c r="C979" i="2"/>
  <c r="G978" i="2"/>
  <c r="E978" i="2"/>
  <c r="D978" i="2"/>
  <c r="C978" i="2"/>
  <c r="G977" i="2"/>
  <c r="N977" i="2"/>
  <c r="E977" i="2"/>
  <c r="D977" i="2"/>
  <c r="C977" i="2"/>
  <c r="G976" i="2"/>
  <c r="F976" i="2"/>
  <c r="E976" i="2"/>
  <c r="D976" i="2"/>
  <c r="C976" i="2"/>
  <c r="G975" i="2"/>
  <c r="F975" i="2"/>
  <c r="N975" i="2" s="1"/>
  <c r="E975" i="2"/>
  <c r="D975" i="2"/>
  <c r="C975" i="2"/>
  <c r="G974" i="2"/>
  <c r="F974" i="2"/>
  <c r="N974" i="2" s="1"/>
  <c r="E974" i="2"/>
  <c r="D974" i="2"/>
  <c r="C974" i="2"/>
  <c r="G973" i="2"/>
  <c r="F973" i="2"/>
  <c r="N973" i="2" s="1"/>
  <c r="E973" i="2"/>
  <c r="D973" i="2"/>
  <c r="C973" i="2"/>
  <c r="G972" i="2"/>
  <c r="F972" i="2"/>
  <c r="E972" i="2"/>
  <c r="D972" i="2"/>
  <c r="C972" i="2"/>
  <c r="G971" i="2"/>
  <c r="F971" i="2"/>
  <c r="N971" i="2" s="1"/>
  <c r="E971" i="2"/>
  <c r="D971" i="2"/>
  <c r="C971" i="2"/>
  <c r="G970" i="2"/>
  <c r="F970" i="2"/>
  <c r="N970" i="2" s="1"/>
  <c r="E970" i="2"/>
  <c r="D970" i="2"/>
  <c r="C970" i="2"/>
  <c r="G969" i="2"/>
  <c r="F969" i="2"/>
  <c r="N969" i="2" s="1"/>
  <c r="E969" i="2"/>
  <c r="D969" i="2"/>
  <c r="C969" i="2"/>
  <c r="G968" i="2"/>
  <c r="F968" i="2"/>
  <c r="E968" i="2"/>
  <c r="D968" i="2"/>
  <c r="C968" i="2"/>
  <c r="G967" i="2"/>
  <c r="F967" i="2"/>
  <c r="N967" i="2" s="1"/>
  <c r="E967" i="2"/>
  <c r="D967" i="2"/>
  <c r="C967" i="2"/>
  <c r="G966" i="2"/>
  <c r="F966" i="2"/>
  <c r="N966" i="2" s="1"/>
  <c r="E966" i="2"/>
  <c r="D966" i="2"/>
  <c r="C966" i="2"/>
  <c r="G965" i="2"/>
  <c r="F965" i="2"/>
  <c r="N965" i="2" s="1"/>
  <c r="E965" i="2"/>
  <c r="D965" i="2"/>
  <c r="C965" i="2"/>
  <c r="G964" i="2"/>
  <c r="E964" i="2"/>
  <c r="D964" i="2"/>
  <c r="C964" i="2"/>
  <c r="G963" i="2"/>
  <c r="E963" i="2"/>
  <c r="D963" i="2"/>
  <c r="C963" i="2"/>
  <c r="G962" i="2"/>
  <c r="F962" i="2"/>
  <c r="N962" i="2" s="1"/>
  <c r="E962" i="2"/>
  <c r="D962" i="2"/>
  <c r="C962" i="2"/>
  <c r="G961" i="2"/>
  <c r="F961" i="2"/>
  <c r="E961" i="2"/>
  <c r="D961" i="2"/>
  <c r="C961" i="2"/>
  <c r="G960" i="2"/>
  <c r="F960" i="2"/>
  <c r="N960" i="2" s="1"/>
  <c r="E960" i="2"/>
  <c r="D960" i="2"/>
  <c r="C960" i="2"/>
  <c r="G959" i="2"/>
  <c r="F959" i="2"/>
  <c r="N959" i="2" s="1"/>
  <c r="E959" i="2"/>
  <c r="D959" i="2"/>
  <c r="C959" i="2"/>
  <c r="G958" i="2"/>
  <c r="F958" i="2"/>
  <c r="N958" i="2" s="1"/>
  <c r="E958" i="2"/>
  <c r="D958" i="2"/>
  <c r="C958" i="2"/>
  <c r="G957" i="2"/>
  <c r="F957" i="2"/>
  <c r="N957" i="2" s="1"/>
  <c r="E957" i="2"/>
  <c r="D957" i="2"/>
  <c r="C957" i="2"/>
  <c r="G956" i="2"/>
  <c r="F956" i="2"/>
  <c r="N956" i="2" s="1"/>
  <c r="E956" i="2"/>
  <c r="D956" i="2"/>
  <c r="C956" i="2"/>
  <c r="G955" i="2"/>
  <c r="F955" i="2"/>
  <c r="N955" i="2" s="1"/>
  <c r="E955" i="2"/>
  <c r="D955" i="2"/>
  <c r="C955" i="2"/>
  <c r="G954" i="2"/>
  <c r="F954" i="2"/>
  <c r="N954" i="2" s="1"/>
  <c r="E954" i="2"/>
  <c r="D954" i="2"/>
  <c r="C954" i="2"/>
  <c r="G953" i="2"/>
  <c r="F953" i="2"/>
  <c r="N953" i="2" s="1"/>
  <c r="E953" i="2"/>
  <c r="D953" i="2"/>
  <c r="C953" i="2"/>
  <c r="G952" i="2"/>
  <c r="F952" i="2"/>
  <c r="N952" i="2" s="1"/>
  <c r="E952" i="2"/>
  <c r="D952" i="2"/>
  <c r="C952" i="2"/>
  <c r="G951" i="2"/>
  <c r="F951" i="2"/>
  <c r="N951" i="2" s="1"/>
  <c r="E951" i="2"/>
  <c r="D951" i="2"/>
  <c r="C951" i="2"/>
  <c r="G950" i="2"/>
  <c r="F950" i="2"/>
  <c r="N950" i="2" s="1"/>
  <c r="E950" i="2"/>
  <c r="D950" i="2"/>
  <c r="C950" i="2"/>
  <c r="G949" i="2"/>
  <c r="F949" i="2"/>
  <c r="N949" i="2" s="1"/>
  <c r="E949" i="2"/>
  <c r="D949" i="2"/>
  <c r="C949" i="2"/>
  <c r="G948" i="2"/>
  <c r="F948" i="2"/>
  <c r="N948" i="2" s="1"/>
  <c r="E948" i="2"/>
  <c r="D948" i="2"/>
  <c r="C948" i="2"/>
  <c r="G947" i="2"/>
  <c r="F947" i="2"/>
  <c r="N947" i="2" s="1"/>
  <c r="E947" i="2"/>
  <c r="D947" i="2"/>
  <c r="C947" i="2"/>
  <c r="G946" i="2"/>
  <c r="F946" i="2"/>
  <c r="N946" i="2" s="1"/>
  <c r="E946" i="2"/>
  <c r="D946" i="2"/>
  <c r="C946" i="2"/>
  <c r="G945" i="2"/>
  <c r="F945" i="2"/>
  <c r="N945" i="2" s="1"/>
  <c r="E945" i="2"/>
  <c r="D945" i="2"/>
  <c r="C945" i="2"/>
  <c r="G944" i="2"/>
  <c r="F944" i="2"/>
  <c r="N944" i="2" s="1"/>
  <c r="E944" i="2"/>
  <c r="D944" i="2"/>
  <c r="C944" i="2"/>
  <c r="N943" i="2"/>
  <c r="N942" i="2"/>
  <c r="M942" i="2"/>
  <c r="G942" i="2"/>
  <c r="J942" i="2" s="1"/>
  <c r="E942" i="2"/>
  <c r="D942" i="2"/>
  <c r="C942" i="2"/>
  <c r="G941" i="2"/>
  <c r="E941" i="2"/>
  <c r="D941" i="2"/>
  <c r="C941" i="2"/>
  <c r="N940" i="2"/>
  <c r="M940" i="2"/>
  <c r="G940" i="2"/>
  <c r="J940" i="2" s="1"/>
  <c r="E940" i="2"/>
  <c r="D940" i="2"/>
  <c r="C940" i="2"/>
  <c r="N939" i="2"/>
  <c r="M939" i="2"/>
  <c r="G939" i="2"/>
  <c r="J939" i="2" s="1"/>
  <c r="E939" i="2"/>
  <c r="D939" i="2"/>
  <c r="C939" i="2"/>
  <c r="N938" i="2"/>
  <c r="M938" i="2"/>
  <c r="G938" i="2"/>
  <c r="J938" i="2" s="1"/>
  <c r="E938" i="2"/>
  <c r="D938" i="2"/>
  <c r="C938" i="2"/>
  <c r="G937" i="2"/>
  <c r="E937" i="2"/>
  <c r="D937" i="2"/>
  <c r="C937" i="2"/>
  <c r="G936" i="2"/>
  <c r="E936" i="2"/>
  <c r="D936" i="2"/>
  <c r="C936" i="2"/>
  <c r="G935" i="2"/>
  <c r="E935" i="2"/>
  <c r="D935" i="2"/>
  <c r="C935" i="2"/>
  <c r="N934" i="2"/>
  <c r="M934" i="2"/>
  <c r="G934" i="2"/>
  <c r="J934" i="2" s="1"/>
  <c r="E934" i="2"/>
  <c r="D934" i="2"/>
  <c r="C934" i="2"/>
  <c r="N933" i="2"/>
  <c r="M933" i="2"/>
  <c r="G933" i="2"/>
  <c r="J933" i="2" s="1"/>
  <c r="E933" i="2"/>
  <c r="D933" i="2"/>
  <c r="C933" i="2"/>
  <c r="N932" i="2"/>
  <c r="M932" i="2"/>
  <c r="G932" i="2"/>
  <c r="J932" i="2" s="1"/>
  <c r="E932" i="2"/>
  <c r="D932" i="2"/>
  <c r="C932" i="2"/>
  <c r="G931" i="2"/>
  <c r="E931" i="2"/>
  <c r="D931" i="2"/>
  <c r="C931" i="2"/>
  <c r="G930" i="2"/>
  <c r="E930" i="2"/>
  <c r="D930" i="2"/>
  <c r="C930" i="2"/>
  <c r="G929" i="2"/>
  <c r="E929" i="2"/>
  <c r="D929" i="2"/>
  <c r="C929" i="2"/>
  <c r="G928" i="2"/>
  <c r="E928" i="2"/>
  <c r="D928" i="2"/>
  <c r="C928" i="2"/>
  <c r="N927" i="2"/>
  <c r="M927" i="2"/>
  <c r="G927" i="2"/>
  <c r="J927" i="2" s="1"/>
  <c r="E927" i="2"/>
  <c r="D927" i="2"/>
  <c r="C927" i="2"/>
  <c r="N926" i="2"/>
  <c r="M926" i="2"/>
  <c r="G926" i="2"/>
  <c r="J926" i="2" s="1"/>
  <c r="E926" i="2"/>
  <c r="D926" i="2"/>
  <c r="C926" i="2"/>
  <c r="N925" i="2"/>
  <c r="M925" i="2"/>
  <c r="G925" i="2"/>
  <c r="J925" i="2" s="1"/>
  <c r="E925" i="2"/>
  <c r="D925" i="2"/>
  <c r="C925" i="2"/>
  <c r="G924" i="2"/>
  <c r="E924" i="2"/>
  <c r="D924" i="2"/>
  <c r="C924" i="2"/>
  <c r="G923" i="2"/>
  <c r="E923" i="2"/>
  <c r="D923" i="2"/>
  <c r="C923" i="2"/>
  <c r="G922" i="2"/>
  <c r="E922" i="2"/>
  <c r="D922" i="2"/>
  <c r="C922" i="2"/>
  <c r="G921" i="2"/>
  <c r="E921" i="2"/>
  <c r="D921" i="2"/>
  <c r="C921" i="2"/>
  <c r="G920" i="2"/>
  <c r="E920" i="2"/>
  <c r="D920" i="2"/>
  <c r="C920" i="2"/>
  <c r="G919" i="2"/>
  <c r="E919" i="2"/>
  <c r="D919" i="2"/>
  <c r="C919" i="2"/>
  <c r="F919" i="2" s="1"/>
  <c r="M919" i="2" s="1"/>
  <c r="G918" i="2"/>
  <c r="E918" i="2"/>
  <c r="D918" i="2"/>
  <c r="C918" i="2"/>
  <c r="F918" i="2" s="1"/>
  <c r="M918" i="2" s="1"/>
  <c r="G917" i="2"/>
  <c r="E917" i="2"/>
  <c r="D917" i="2"/>
  <c r="C917" i="2"/>
  <c r="F917" i="2" s="1"/>
  <c r="M917" i="2" s="1"/>
  <c r="G916" i="2"/>
  <c r="E916" i="2"/>
  <c r="D916" i="2"/>
  <c r="C916" i="2"/>
  <c r="F916" i="2" s="1"/>
  <c r="M916" i="2" s="1"/>
  <c r="G915" i="2"/>
  <c r="E915" i="2"/>
  <c r="D915" i="2"/>
  <c r="C915" i="2"/>
  <c r="F915" i="2" s="1"/>
  <c r="M915" i="2" s="1"/>
  <c r="G914" i="2"/>
  <c r="E914" i="2"/>
  <c r="D914" i="2"/>
  <c r="C914" i="2"/>
  <c r="F914" i="2" s="1"/>
  <c r="M914" i="2" s="1"/>
  <c r="G913" i="2"/>
  <c r="E913" i="2"/>
  <c r="D913" i="2"/>
  <c r="C913" i="2"/>
  <c r="F913" i="2" s="1"/>
  <c r="M913" i="2" s="1"/>
  <c r="G912" i="2"/>
  <c r="E912" i="2"/>
  <c r="D912" i="2"/>
  <c r="C912" i="2"/>
  <c r="F912" i="2" s="1"/>
  <c r="M912" i="2" s="1"/>
  <c r="G911" i="2"/>
  <c r="E911" i="2"/>
  <c r="D911" i="2"/>
  <c r="C911" i="2"/>
  <c r="F911" i="2" s="1"/>
  <c r="M911" i="2" s="1"/>
  <c r="G910" i="2"/>
  <c r="E910" i="2"/>
  <c r="D910" i="2"/>
  <c r="C910" i="2"/>
  <c r="F910" i="2" s="1"/>
  <c r="M910" i="2" s="1"/>
  <c r="G909" i="2"/>
  <c r="E909" i="2"/>
  <c r="D909" i="2"/>
  <c r="C909" i="2"/>
  <c r="F909" i="2" s="1"/>
  <c r="M909" i="2" s="1"/>
  <c r="G908" i="2"/>
  <c r="E908" i="2"/>
  <c r="D908" i="2"/>
  <c r="C908" i="2"/>
  <c r="F908" i="2" s="1"/>
  <c r="M908" i="2" s="1"/>
  <c r="G907" i="2"/>
  <c r="E907" i="2"/>
  <c r="D907" i="2"/>
  <c r="C907" i="2"/>
  <c r="F907" i="2" s="1"/>
  <c r="M907" i="2" s="1"/>
  <c r="G906" i="2"/>
  <c r="E906" i="2"/>
  <c r="D906" i="2"/>
  <c r="C906" i="2"/>
  <c r="F906" i="2" s="1"/>
  <c r="M906" i="2" s="1"/>
  <c r="G905" i="2"/>
  <c r="E905" i="2"/>
  <c r="D905" i="2"/>
  <c r="C905" i="2"/>
  <c r="F905" i="2" s="1"/>
  <c r="M905" i="2" s="1"/>
  <c r="G904" i="2"/>
  <c r="E904" i="2"/>
  <c r="D904" i="2"/>
  <c r="C904" i="2"/>
  <c r="F904" i="2" s="1"/>
  <c r="M904" i="2" s="1"/>
  <c r="G903" i="2"/>
  <c r="E903" i="2"/>
  <c r="D903" i="2"/>
  <c r="C903" i="2"/>
  <c r="F903" i="2" s="1"/>
  <c r="M903" i="2" s="1"/>
  <c r="G902" i="2"/>
  <c r="E902" i="2"/>
  <c r="D902" i="2"/>
  <c r="C902" i="2"/>
  <c r="F902" i="2" s="1"/>
  <c r="M902" i="2" s="1"/>
  <c r="G901" i="2"/>
  <c r="E901" i="2"/>
  <c r="D901" i="2"/>
  <c r="C901" i="2"/>
  <c r="F901" i="2" s="1"/>
  <c r="M901" i="2" s="1"/>
  <c r="G900" i="2"/>
  <c r="E900" i="2"/>
  <c r="D900" i="2"/>
  <c r="C900" i="2"/>
  <c r="F900" i="2" s="1"/>
  <c r="M900" i="2" s="1"/>
  <c r="G899" i="2"/>
  <c r="E899" i="2"/>
  <c r="D899" i="2"/>
  <c r="C899" i="2"/>
  <c r="F899" i="2" s="1"/>
  <c r="M899" i="2" s="1"/>
  <c r="G898" i="2"/>
  <c r="E898" i="2"/>
  <c r="D898" i="2"/>
  <c r="C898" i="2"/>
  <c r="F898" i="2" s="1"/>
  <c r="M898" i="2" s="1"/>
  <c r="G897" i="2"/>
  <c r="E897" i="2"/>
  <c r="D897" i="2"/>
  <c r="C897" i="2"/>
  <c r="F897" i="2" s="1"/>
  <c r="M897" i="2" s="1"/>
  <c r="G896" i="2"/>
  <c r="E896" i="2"/>
  <c r="D896" i="2"/>
  <c r="F896" i="2"/>
  <c r="M896" i="2" s="1"/>
  <c r="G895" i="2"/>
  <c r="E895" i="2"/>
  <c r="D895" i="2"/>
  <c r="C895" i="2"/>
  <c r="F895" i="2" s="1"/>
  <c r="M895" i="2" s="1"/>
  <c r="G894" i="2"/>
  <c r="E894" i="2"/>
  <c r="D894" i="2"/>
  <c r="C894" i="2"/>
  <c r="F894" i="2" s="1"/>
  <c r="M894" i="2" s="1"/>
  <c r="G893" i="2"/>
  <c r="E893" i="2"/>
  <c r="D893" i="2"/>
  <c r="C893" i="2"/>
  <c r="F893" i="2" s="1"/>
  <c r="M893" i="2" s="1"/>
  <c r="G892" i="2"/>
  <c r="E892" i="2"/>
  <c r="D892" i="2"/>
  <c r="C892" i="2"/>
  <c r="F892" i="2" s="1"/>
  <c r="M892" i="2" s="1"/>
  <c r="G891" i="2"/>
  <c r="E891" i="2"/>
  <c r="D891" i="2"/>
  <c r="C891" i="2"/>
  <c r="F891" i="2" s="1"/>
  <c r="M891" i="2" s="1"/>
  <c r="G890" i="2"/>
  <c r="E890" i="2"/>
  <c r="D890" i="2"/>
  <c r="E889" i="2"/>
  <c r="D889" i="2"/>
  <c r="F936" i="2"/>
  <c r="G888" i="2"/>
  <c r="E888" i="2"/>
  <c r="D888" i="2"/>
  <c r="F937" i="2"/>
  <c r="G887" i="2"/>
  <c r="E887" i="2"/>
  <c r="D887" i="2"/>
  <c r="C887" i="2"/>
  <c r="F887" i="2" s="1"/>
  <c r="M887" i="2" s="1"/>
  <c r="G886" i="2"/>
  <c r="E886" i="2"/>
  <c r="D886" i="2"/>
  <c r="C886" i="2"/>
  <c r="F886" i="2" s="1"/>
  <c r="M886" i="2" s="1"/>
  <c r="G885" i="2"/>
  <c r="E885" i="2"/>
  <c r="D885" i="2"/>
  <c r="C885" i="2"/>
  <c r="F885" i="2" s="1"/>
  <c r="M885" i="2" s="1"/>
  <c r="G884" i="2"/>
  <c r="E884" i="2"/>
  <c r="D884" i="2"/>
  <c r="C884" i="2"/>
  <c r="F884" i="2" s="1"/>
  <c r="M884" i="2" s="1"/>
  <c r="G883" i="2"/>
  <c r="E883" i="2"/>
  <c r="D883" i="2"/>
  <c r="C883" i="2"/>
  <c r="F883" i="2" s="1"/>
  <c r="M883" i="2" s="1"/>
  <c r="G882" i="2"/>
  <c r="E882" i="2"/>
  <c r="D882" i="2"/>
  <c r="C882" i="2"/>
  <c r="F882" i="2" s="1"/>
  <c r="G881" i="2"/>
  <c r="E881" i="2"/>
  <c r="D881" i="2"/>
  <c r="C881" i="2"/>
  <c r="F881" i="2" s="1"/>
  <c r="G880" i="2"/>
  <c r="E880" i="2"/>
  <c r="D880" i="2"/>
  <c r="C880" i="2"/>
  <c r="F880" i="2" s="1"/>
  <c r="G879" i="2"/>
  <c r="E879" i="2"/>
  <c r="D879" i="2"/>
  <c r="C879" i="2"/>
  <c r="F879" i="2" s="1"/>
  <c r="G878" i="2"/>
  <c r="E878" i="2"/>
  <c r="D878" i="2"/>
  <c r="C878" i="2"/>
  <c r="F878" i="2" s="1"/>
  <c r="G877" i="2"/>
  <c r="E877" i="2"/>
  <c r="D877" i="2"/>
  <c r="C877" i="2"/>
  <c r="F877" i="2" s="1"/>
  <c r="G876" i="2"/>
  <c r="E876" i="2"/>
  <c r="D876" i="2"/>
  <c r="C876" i="2"/>
  <c r="F876" i="2" s="1"/>
  <c r="G875" i="2"/>
  <c r="E875" i="2"/>
  <c r="D875" i="2"/>
  <c r="C875" i="2"/>
  <c r="F875" i="2" s="1"/>
  <c r="G874" i="2"/>
  <c r="E874" i="2"/>
  <c r="D874" i="2"/>
  <c r="C874" i="2"/>
  <c r="G873" i="2"/>
  <c r="E873" i="2"/>
  <c r="D873" i="2"/>
  <c r="C873" i="2"/>
  <c r="G872" i="2"/>
  <c r="E872" i="2"/>
  <c r="D872" i="2"/>
  <c r="C872" i="2"/>
  <c r="F872" i="2" s="1"/>
  <c r="G871" i="2"/>
  <c r="E871" i="2"/>
  <c r="D871" i="2"/>
  <c r="C871" i="2"/>
  <c r="G870" i="2"/>
  <c r="E870" i="2"/>
  <c r="G869" i="2"/>
  <c r="E869" i="2"/>
  <c r="D869" i="2"/>
  <c r="C869" i="2"/>
  <c r="F869" i="2" s="1"/>
  <c r="G868" i="2"/>
  <c r="E868" i="2"/>
  <c r="D868" i="2"/>
  <c r="C868" i="2"/>
  <c r="F868" i="2" s="1"/>
  <c r="G867" i="2"/>
  <c r="E867" i="2"/>
  <c r="D867" i="2"/>
  <c r="C867" i="2"/>
  <c r="G866" i="2"/>
  <c r="E866" i="2"/>
  <c r="D866" i="2"/>
  <c r="C866" i="2"/>
  <c r="G865" i="2"/>
  <c r="E865" i="2"/>
  <c r="D865" i="2"/>
  <c r="C865" i="2"/>
  <c r="G864" i="2"/>
  <c r="E864" i="2"/>
  <c r="D864" i="2"/>
  <c r="C864" i="2"/>
  <c r="G863" i="2"/>
  <c r="E863" i="2"/>
  <c r="D863" i="2"/>
  <c r="N862" i="2"/>
  <c r="M861" i="2"/>
  <c r="G861" i="2"/>
  <c r="J861" i="2" s="1"/>
  <c r="E861" i="2"/>
  <c r="D861" i="2"/>
  <c r="C861" i="2"/>
  <c r="M860" i="2"/>
  <c r="G860" i="2"/>
  <c r="J860" i="2" s="1"/>
  <c r="E860" i="2"/>
  <c r="D860" i="2"/>
  <c r="C860" i="2"/>
  <c r="G859" i="2"/>
  <c r="J859" i="2" s="1"/>
  <c r="E859" i="2"/>
  <c r="D859" i="2"/>
  <c r="C859" i="2"/>
  <c r="G858" i="2"/>
  <c r="E858" i="2"/>
  <c r="D858" i="2"/>
  <c r="C858" i="2"/>
  <c r="G857" i="2"/>
  <c r="F858" i="2"/>
  <c r="E857" i="2"/>
  <c r="D857" i="2"/>
  <c r="C857" i="2"/>
  <c r="G856" i="2"/>
  <c r="E856" i="2"/>
  <c r="D856" i="2"/>
  <c r="C856" i="2"/>
  <c r="E855" i="2"/>
  <c r="D855" i="2"/>
  <c r="C855" i="2"/>
  <c r="G854" i="2"/>
  <c r="F854" i="2"/>
  <c r="E854" i="2"/>
  <c r="D854" i="2"/>
  <c r="C854" i="2"/>
  <c r="M853" i="2"/>
  <c r="G853" i="2"/>
  <c r="J853" i="2" s="1"/>
  <c r="E853" i="2"/>
  <c r="D853" i="2"/>
  <c r="C853" i="2"/>
  <c r="M852" i="2"/>
  <c r="G852" i="2"/>
  <c r="J852" i="2" s="1"/>
  <c r="E852" i="2"/>
  <c r="D852" i="2"/>
  <c r="C852" i="2"/>
  <c r="G851" i="2"/>
  <c r="E851" i="2"/>
  <c r="D851" i="2"/>
  <c r="C851" i="2"/>
  <c r="M850" i="2"/>
  <c r="G850" i="2"/>
  <c r="J850" i="2" s="1"/>
  <c r="E850" i="2"/>
  <c r="D850" i="2"/>
  <c r="C850" i="2"/>
  <c r="G849" i="2"/>
  <c r="E849" i="2"/>
  <c r="D849" i="2"/>
  <c r="C849" i="2"/>
  <c r="G848" i="2"/>
  <c r="E848" i="2"/>
  <c r="D848" i="2"/>
  <c r="C848" i="2"/>
  <c r="M847" i="2"/>
  <c r="G847" i="2"/>
  <c r="J847" i="2" s="1"/>
  <c r="E847" i="2"/>
  <c r="D847" i="2"/>
  <c r="C847" i="2"/>
  <c r="E846" i="2"/>
  <c r="D846" i="2"/>
  <c r="C846" i="2"/>
  <c r="G845" i="2"/>
  <c r="E845" i="2"/>
  <c r="D845" i="2"/>
  <c r="C845" i="2"/>
  <c r="M844" i="2"/>
  <c r="M859" i="2" s="1"/>
  <c r="G843" i="2"/>
  <c r="F843" i="2"/>
  <c r="E843" i="2"/>
  <c r="D843" i="2"/>
  <c r="C843" i="2"/>
  <c r="G842" i="2"/>
  <c r="J842" i="2" s="1"/>
  <c r="E842" i="2"/>
  <c r="D842" i="2"/>
  <c r="C842" i="2"/>
  <c r="G841" i="2"/>
  <c r="J841" i="2" s="1"/>
  <c r="E841" i="2"/>
  <c r="D841" i="2"/>
  <c r="C841" i="2"/>
  <c r="G840" i="2"/>
  <c r="J840" i="2" s="1"/>
  <c r="E840" i="2"/>
  <c r="D840" i="2"/>
  <c r="C840" i="2"/>
  <c r="G839" i="2"/>
  <c r="J839" i="2" s="1"/>
  <c r="E839" i="2"/>
  <c r="D839" i="2"/>
  <c r="C839" i="2"/>
  <c r="G838" i="2"/>
  <c r="J838" i="2" s="1"/>
  <c r="E838" i="2"/>
  <c r="D838" i="2"/>
  <c r="C838" i="2"/>
  <c r="G837" i="2"/>
  <c r="J837" i="2" s="1"/>
  <c r="E837" i="2"/>
  <c r="D837" i="2"/>
  <c r="C837" i="2"/>
  <c r="G836" i="2"/>
  <c r="J836" i="2" s="1"/>
  <c r="E836" i="2"/>
  <c r="D836" i="2"/>
  <c r="C836" i="2"/>
  <c r="G835" i="2"/>
  <c r="J835" i="2" s="1"/>
  <c r="E835" i="2"/>
  <c r="D835" i="2"/>
  <c r="C835" i="2"/>
  <c r="G834" i="2"/>
  <c r="J834" i="2" s="1"/>
  <c r="E834" i="2"/>
  <c r="D834" i="2"/>
  <c r="C834" i="2"/>
  <c r="G833" i="2"/>
  <c r="J833" i="2" s="1"/>
  <c r="E833" i="2"/>
  <c r="D833" i="2"/>
  <c r="C833" i="2"/>
  <c r="G832" i="2"/>
  <c r="F832" i="2"/>
  <c r="E832" i="2"/>
  <c r="D832" i="2"/>
  <c r="C832" i="2"/>
  <c r="G831" i="2"/>
  <c r="F831" i="2"/>
  <c r="E831" i="2"/>
  <c r="D831" i="2"/>
  <c r="C831" i="2"/>
  <c r="G830" i="2"/>
  <c r="J830" i="2" s="1"/>
  <c r="E830" i="2"/>
  <c r="D830" i="2"/>
  <c r="C830" i="2"/>
  <c r="G829" i="2"/>
  <c r="J829" i="2" s="1"/>
  <c r="E829" i="2"/>
  <c r="D829" i="2"/>
  <c r="C829" i="2"/>
  <c r="G828" i="2"/>
  <c r="J828" i="2" s="1"/>
  <c r="E828" i="2"/>
  <c r="D828" i="2"/>
  <c r="C828" i="2"/>
  <c r="G827" i="2"/>
  <c r="J827" i="2" s="1"/>
  <c r="E827" i="2"/>
  <c r="D827" i="2"/>
  <c r="C827" i="2"/>
  <c r="N826" i="2"/>
  <c r="N852" i="2" s="1"/>
  <c r="M826" i="2"/>
  <c r="M840" i="2" s="1"/>
  <c r="M825" i="2"/>
  <c r="G825" i="2"/>
  <c r="J825" i="2" s="1"/>
  <c r="E825" i="2"/>
  <c r="D825" i="2"/>
  <c r="C825" i="2"/>
  <c r="G824" i="2"/>
  <c r="F824" i="2"/>
  <c r="E824" i="2"/>
  <c r="D824" i="2"/>
  <c r="C824" i="2"/>
  <c r="G823" i="2"/>
  <c r="J823" i="2" s="1"/>
  <c r="E823" i="2"/>
  <c r="D823" i="2"/>
  <c r="C823" i="2"/>
  <c r="G822" i="2"/>
  <c r="J822" i="2" s="1"/>
  <c r="E822" i="2"/>
  <c r="D822" i="2"/>
  <c r="C822" i="2"/>
  <c r="G821" i="2"/>
  <c r="J821" i="2" s="1"/>
  <c r="E821" i="2"/>
  <c r="D821" i="2"/>
  <c r="C821" i="2"/>
  <c r="G820" i="2"/>
  <c r="J820" i="2" s="1"/>
  <c r="E820" i="2"/>
  <c r="D820" i="2"/>
  <c r="C820" i="2"/>
  <c r="G819" i="2"/>
  <c r="J819" i="2" s="1"/>
  <c r="E819" i="2"/>
  <c r="D819" i="2"/>
  <c r="C819" i="2"/>
  <c r="G818" i="2"/>
  <c r="J818" i="2" s="1"/>
  <c r="E818" i="2"/>
  <c r="D818" i="2"/>
  <c r="C818" i="2"/>
  <c r="G817" i="2"/>
  <c r="J817" i="2" s="1"/>
  <c r="E817" i="2"/>
  <c r="D817" i="2"/>
  <c r="C817" i="2"/>
  <c r="G816" i="2"/>
  <c r="J816" i="2" s="1"/>
  <c r="E816" i="2"/>
  <c r="D816" i="2"/>
  <c r="C816" i="2"/>
  <c r="G815" i="2"/>
  <c r="J815" i="2" s="1"/>
  <c r="E815" i="2"/>
  <c r="D815" i="2"/>
  <c r="C815" i="2"/>
  <c r="G814" i="2"/>
  <c r="J814" i="2" s="1"/>
  <c r="E814" i="2"/>
  <c r="D814" i="2"/>
  <c r="C814" i="2"/>
  <c r="G813" i="2"/>
  <c r="F813" i="2"/>
  <c r="E813" i="2"/>
  <c r="D813" i="2"/>
  <c r="C813" i="2"/>
  <c r="G812" i="2"/>
  <c r="F812" i="2"/>
  <c r="E812" i="2"/>
  <c r="D812" i="2"/>
  <c r="C812" i="2"/>
  <c r="G811" i="2"/>
  <c r="J811" i="2" s="1"/>
  <c r="E811" i="2"/>
  <c r="D811" i="2"/>
  <c r="C811" i="2"/>
  <c r="G810" i="2"/>
  <c r="J810" i="2" s="1"/>
  <c r="E810" i="2"/>
  <c r="D810" i="2"/>
  <c r="C810" i="2"/>
  <c r="G809" i="2"/>
  <c r="J809" i="2" s="1"/>
  <c r="E809" i="2"/>
  <c r="D809" i="2"/>
  <c r="C809" i="2"/>
  <c r="G808" i="2"/>
  <c r="J808" i="2" s="1"/>
  <c r="E808" i="2"/>
  <c r="D808" i="2"/>
  <c r="C808" i="2"/>
  <c r="N807" i="2"/>
  <c r="N823" i="2" s="1"/>
  <c r="M807" i="2"/>
  <c r="M821" i="2" s="1"/>
  <c r="G806" i="2"/>
  <c r="J806" i="2" s="1"/>
  <c r="E806" i="2"/>
  <c r="D806" i="2"/>
  <c r="C806" i="2"/>
  <c r="G805" i="2"/>
  <c r="J805" i="2" s="1"/>
  <c r="E805" i="2"/>
  <c r="D805" i="2"/>
  <c r="C805" i="2"/>
  <c r="G804" i="2"/>
  <c r="J804" i="2" s="1"/>
  <c r="E804" i="2"/>
  <c r="D804" i="2"/>
  <c r="C804" i="2"/>
  <c r="M803" i="2"/>
  <c r="G803" i="2"/>
  <c r="J803" i="2" s="1"/>
  <c r="E803" i="2"/>
  <c r="D803" i="2"/>
  <c r="C803" i="2"/>
  <c r="N802" i="2"/>
  <c r="N806" i="2" s="1"/>
  <c r="M802" i="2"/>
  <c r="M806" i="2" s="1"/>
  <c r="G801" i="2"/>
  <c r="J801" i="2" s="1"/>
  <c r="E801" i="2"/>
  <c r="D801" i="2"/>
  <c r="C801" i="2"/>
  <c r="G800" i="2"/>
  <c r="J800" i="2" s="1"/>
  <c r="E800" i="2"/>
  <c r="D800" i="2"/>
  <c r="C800" i="2"/>
  <c r="G799" i="2"/>
  <c r="J799" i="2" s="1"/>
  <c r="E799" i="2"/>
  <c r="D799" i="2"/>
  <c r="C799" i="2"/>
  <c r="N798" i="2"/>
  <c r="N801" i="2" s="1"/>
  <c r="M798" i="2"/>
  <c r="M800" i="2" s="1"/>
  <c r="G797" i="2"/>
  <c r="J797" i="2" s="1"/>
  <c r="E797" i="2"/>
  <c r="D797" i="2"/>
  <c r="C797" i="2"/>
  <c r="G796" i="2"/>
  <c r="J796" i="2" s="1"/>
  <c r="E796" i="2"/>
  <c r="D796" i="2"/>
  <c r="C796" i="2"/>
  <c r="N795" i="2"/>
  <c r="N796" i="2" s="1"/>
  <c r="M795" i="2"/>
  <c r="G794" i="2"/>
  <c r="J794" i="2" s="1"/>
  <c r="E794" i="2"/>
  <c r="D794" i="2"/>
  <c r="C794" i="2"/>
  <c r="G793" i="2"/>
  <c r="J793" i="2" s="1"/>
  <c r="E793" i="2"/>
  <c r="D793" i="2"/>
  <c r="C793" i="2"/>
  <c r="G792" i="2"/>
  <c r="J792" i="2" s="1"/>
  <c r="E792" i="2"/>
  <c r="D792" i="2"/>
  <c r="C792" i="2"/>
  <c r="M791" i="2"/>
  <c r="G791" i="2"/>
  <c r="J791" i="2" s="1"/>
  <c r="E791" i="2"/>
  <c r="D791" i="2"/>
  <c r="C791" i="2"/>
  <c r="N790" i="2"/>
  <c r="N793" i="2" s="1"/>
  <c r="M790" i="2"/>
  <c r="M792" i="2" s="1"/>
  <c r="G789" i="2"/>
  <c r="J789" i="2" s="1"/>
  <c r="E789" i="2"/>
  <c r="D789" i="2"/>
  <c r="C789" i="2"/>
  <c r="G788" i="2"/>
  <c r="J788" i="2" s="1"/>
  <c r="E788" i="2"/>
  <c r="D788" i="2"/>
  <c r="C788" i="2"/>
  <c r="G787" i="2"/>
  <c r="J787" i="2" s="1"/>
  <c r="E787" i="2"/>
  <c r="D787" i="2"/>
  <c r="C787" i="2"/>
  <c r="N786" i="2"/>
  <c r="M786" i="2"/>
  <c r="M789" i="2" s="1"/>
  <c r="G785" i="2"/>
  <c r="J785" i="2" s="1"/>
  <c r="E785" i="2"/>
  <c r="D785" i="2"/>
  <c r="C785" i="2"/>
  <c r="G784" i="2"/>
  <c r="J784" i="2" s="1"/>
  <c r="E784" i="2"/>
  <c r="D784" i="2"/>
  <c r="C784" i="2"/>
  <c r="N783" i="2"/>
  <c r="N785" i="2" s="1"/>
  <c r="M783" i="2"/>
  <c r="G782" i="2"/>
  <c r="J782" i="2" s="1"/>
  <c r="E782" i="2"/>
  <c r="D782" i="2"/>
  <c r="C782" i="2"/>
  <c r="G781" i="2"/>
  <c r="J781" i="2" s="1"/>
  <c r="E781" i="2"/>
  <c r="D781" i="2"/>
  <c r="C781" i="2"/>
  <c r="G780" i="2"/>
  <c r="J780" i="2" s="1"/>
  <c r="E780" i="2"/>
  <c r="D780" i="2"/>
  <c r="C780" i="2"/>
  <c r="E779" i="2"/>
  <c r="D779" i="2"/>
  <c r="C779" i="2"/>
  <c r="G778" i="2"/>
  <c r="J778" i="2" s="1"/>
  <c r="E778" i="2"/>
  <c r="D778" i="2"/>
  <c r="C778" i="2"/>
  <c r="N777" i="2"/>
  <c r="M777" i="2"/>
  <c r="G776" i="2"/>
  <c r="J776" i="2" s="1"/>
  <c r="E776" i="2"/>
  <c r="D776" i="2"/>
  <c r="C776" i="2"/>
  <c r="G775" i="2"/>
  <c r="J775" i="2" s="1"/>
  <c r="E775" i="2"/>
  <c r="D775" i="2"/>
  <c r="C775" i="2"/>
  <c r="G774" i="2"/>
  <c r="J774" i="2" s="1"/>
  <c r="E774" i="2"/>
  <c r="D774" i="2"/>
  <c r="C774" i="2"/>
  <c r="E773" i="2"/>
  <c r="D773" i="2"/>
  <c r="C773" i="2"/>
  <c r="G772" i="2"/>
  <c r="J772" i="2" s="1"/>
  <c r="E772" i="2"/>
  <c r="D772" i="2"/>
  <c r="C772" i="2"/>
  <c r="N771" i="2"/>
  <c r="N779" i="2" s="1"/>
  <c r="M771" i="2"/>
  <c r="M776" i="2" s="1"/>
  <c r="G770" i="2"/>
  <c r="J770" i="2" s="1"/>
  <c r="E770" i="2"/>
  <c r="D770" i="2"/>
  <c r="C770" i="2"/>
  <c r="G769" i="2"/>
  <c r="J769" i="2" s="1"/>
  <c r="E769" i="2"/>
  <c r="D769" i="2"/>
  <c r="C769" i="2"/>
  <c r="E768" i="2"/>
  <c r="D768" i="2"/>
  <c r="C768" i="2"/>
  <c r="G767" i="2"/>
  <c r="J767" i="2" s="1"/>
  <c r="E767" i="2"/>
  <c r="D767" i="2"/>
  <c r="C767" i="2"/>
  <c r="N766" i="2"/>
  <c r="N767" i="2" s="1"/>
  <c r="M766" i="2"/>
  <c r="M782" i="2" s="1"/>
  <c r="G765" i="2"/>
  <c r="J765" i="2" s="1"/>
  <c r="E765" i="2"/>
  <c r="D765" i="2"/>
  <c r="C765" i="2"/>
  <c r="G764" i="2"/>
  <c r="J764" i="2" s="1"/>
  <c r="E764" i="2"/>
  <c r="D764" i="2"/>
  <c r="C764" i="2"/>
  <c r="E763" i="2"/>
  <c r="D763" i="2"/>
  <c r="C763" i="2"/>
  <c r="G762" i="2"/>
  <c r="J762" i="2" s="1"/>
  <c r="E762" i="2"/>
  <c r="D762" i="2"/>
  <c r="C762" i="2"/>
  <c r="N761" i="2"/>
  <c r="M761" i="2"/>
  <c r="M764" i="2" s="1"/>
  <c r="G760" i="2"/>
  <c r="J760" i="2" s="1"/>
  <c r="E760" i="2"/>
  <c r="D760" i="2"/>
  <c r="C760" i="2"/>
  <c r="G759" i="2"/>
  <c r="J759" i="2" s="1"/>
  <c r="E759" i="2"/>
  <c r="D759" i="2"/>
  <c r="C759" i="2"/>
  <c r="M758" i="2"/>
  <c r="G758" i="2"/>
  <c r="J758" i="2" s="1"/>
  <c r="E758" i="2"/>
  <c r="D758" i="2"/>
  <c r="C758" i="2"/>
  <c r="G757" i="2"/>
  <c r="J757" i="2" s="1"/>
  <c r="E757" i="2"/>
  <c r="D757" i="2"/>
  <c r="C757" i="2"/>
  <c r="G756" i="2"/>
  <c r="J756" i="2" s="1"/>
  <c r="E756" i="2"/>
  <c r="D756" i="2"/>
  <c r="C756" i="2"/>
  <c r="G755" i="2"/>
  <c r="J755" i="2" s="1"/>
  <c r="E755" i="2"/>
  <c r="D755" i="2"/>
  <c r="C755" i="2"/>
  <c r="N754" i="2"/>
  <c r="M754" i="2"/>
  <c r="M759" i="2" s="1"/>
  <c r="G753" i="2"/>
  <c r="J753" i="2" s="1"/>
  <c r="E753" i="2"/>
  <c r="D753" i="2"/>
  <c r="C753" i="2"/>
  <c r="M752" i="2"/>
  <c r="G752" i="2"/>
  <c r="J752" i="2" s="1"/>
  <c r="E752" i="2"/>
  <c r="D752" i="2"/>
  <c r="C752" i="2"/>
  <c r="G751" i="2"/>
  <c r="J751" i="2" s="1"/>
  <c r="E751" i="2"/>
  <c r="D751" i="2"/>
  <c r="C751" i="2"/>
  <c r="G750" i="2"/>
  <c r="J750" i="2" s="1"/>
  <c r="E750" i="2"/>
  <c r="D750" i="2"/>
  <c r="C750" i="2"/>
  <c r="G749" i="2"/>
  <c r="J749" i="2" s="1"/>
  <c r="E749" i="2"/>
  <c r="D749" i="2"/>
  <c r="C749" i="2"/>
  <c r="N748" i="2"/>
  <c r="N753" i="2" s="1"/>
  <c r="M748" i="2"/>
  <c r="M747" i="2"/>
  <c r="G747" i="2"/>
  <c r="J747" i="2" s="1"/>
  <c r="E747" i="2"/>
  <c r="D747" i="2"/>
  <c r="C747" i="2"/>
  <c r="G746" i="2"/>
  <c r="J746" i="2" s="1"/>
  <c r="E746" i="2"/>
  <c r="D746" i="2"/>
  <c r="C746" i="2"/>
  <c r="G745" i="2"/>
  <c r="J745" i="2" s="1"/>
  <c r="E745" i="2"/>
  <c r="D745" i="2"/>
  <c r="C745" i="2"/>
  <c r="G744" i="2"/>
  <c r="J744" i="2" s="1"/>
  <c r="E744" i="2"/>
  <c r="D744" i="2"/>
  <c r="C744" i="2"/>
  <c r="N743" i="2"/>
  <c r="N747" i="2" s="1"/>
  <c r="M743" i="2"/>
  <c r="M746" i="2" s="1"/>
  <c r="G742" i="2"/>
  <c r="J742" i="2" s="1"/>
  <c r="E742" i="2"/>
  <c r="D742" i="2"/>
  <c r="C742" i="2"/>
  <c r="G741" i="2"/>
  <c r="J741" i="2" s="1"/>
  <c r="E741" i="2"/>
  <c r="D741" i="2"/>
  <c r="C741" i="2"/>
  <c r="G740" i="2"/>
  <c r="J740" i="2" s="1"/>
  <c r="E740" i="2"/>
  <c r="D740" i="2"/>
  <c r="C740" i="2"/>
  <c r="G739" i="2"/>
  <c r="J739" i="2" s="1"/>
  <c r="E739" i="2"/>
  <c r="D739" i="2"/>
  <c r="C739" i="2"/>
  <c r="G738" i="2"/>
  <c r="J738" i="2" s="1"/>
  <c r="E738" i="2"/>
  <c r="D738" i="2"/>
  <c r="C738" i="2"/>
  <c r="N737" i="2"/>
  <c r="N741" i="2" s="1"/>
  <c r="M737" i="2"/>
  <c r="M740" i="2" s="1"/>
  <c r="E736" i="2"/>
  <c r="D736" i="2"/>
  <c r="C736" i="2"/>
  <c r="G735" i="2"/>
  <c r="J735" i="2" s="1"/>
  <c r="E735" i="2"/>
  <c r="D735" i="2"/>
  <c r="C735" i="2"/>
  <c r="G734" i="2"/>
  <c r="J734" i="2" s="1"/>
  <c r="E734" i="2"/>
  <c r="D734" i="2"/>
  <c r="C734" i="2"/>
  <c r="N733" i="2"/>
  <c r="N735" i="2" s="1"/>
  <c r="M733" i="2"/>
  <c r="M735" i="2" s="1"/>
  <c r="E732" i="2"/>
  <c r="D732" i="2"/>
  <c r="C732" i="2"/>
  <c r="G731" i="2"/>
  <c r="J731" i="2" s="1"/>
  <c r="E731" i="2"/>
  <c r="D731" i="2"/>
  <c r="C731" i="2"/>
  <c r="G730" i="2"/>
  <c r="J730" i="2" s="1"/>
  <c r="E730" i="2"/>
  <c r="D730" i="2"/>
  <c r="C730" i="2"/>
  <c r="N729" i="2"/>
  <c r="N730" i="2" s="1"/>
  <c r="M729" i="2"/>
  <c r="M732" i="2" s="1"/>
  <c r="G728" i="2"/>
  <c r="J728" i="2" s="1"/>
  <c r="E728" i="2"/>
  <c r="D728" i="2"/>
  <c r="C728" i="2"/>
  <c r="G727" i="2"/>
  <c r="J727" i="2" s="1"/>
  <c r="E727" i="2"/>
  <c r="D727" i="2"/>
  <c r="C727" i="2"/>
  <c r="N726" i="2"/>
  <c r="M727" i="2"/>
  <c r="G725" i="2"/>
  <c r="J725" i="2" s="1"/>
  <c r="E725" i="2"/>
  <c r="D725" i="2"/>
  <c r="C725" i="2"/>
  <c r="G724" i="2"/>
  <c r="J724" i="2" s="1"/>
  <c r="E724" i="2"/>
  <c r="D724" i="2"/>
  <c r="C724" i="2"/>
  <c r="G723" i="2"/>
  <c r="J723" i="2" s="1"/>
  <c r="E723" i="2"/>
  <c r="D723" i="2"/>
  <c r="C723" i="2"/>
  <c r="G722" i="2"/>
  <c r="J722" i="2" s="1"/>
  <c r="E722" i="2"/>
  <c r="D722" i="2"/>
  <c r="C722" i="2"/>
  <c r="N721" i="2"/>
  <c r="N725" i="2" s="1"/>
  <c r="M721" i="2"/>
  <c r="M724" i="2" s="1"/>
  <c r="E720" i="2"/>
  <c r="D720" i="2"/>
  <c r="C720" i="2"/>
  <c r="G719" i="2"/>
  <c r="J719" i="2" s="1"/>
  <c r="E719" i="2"/>
  <c r="D719" i="2"/>
  <c r="C719" i="2"/>
  <c r="N718" i="2"/>
  <c r="N719" i="2" s="1"/>
  <c r="M718" i="2"/>
  <c r="M719" i="2" s="1"/>
  <c r="M717" i="2"/>
  <c r="G717" i="2"/>
  <c r="J717" i="2" s="1"/>
  <c r="E717" i="2"/>
  <c r="D717" i="2"/>
  <c r="C717" i="2"/>
  <c r="B716" i="2"/>
  <c r="B715" i="2"/>
  <c r="M714" i="2"/>
  <c r="G714" i="2"/>
  <c r="J714" i="2" s="1"/>
  <c r="E714" i="2"/>
  <c r="D714" i="2"/>
  <c r="C714" i="2"/>
  <c r="G713" i="2"/>
  <c r="J713" i="2" s="1"/>
  <c r="E713" i="2"/>
  <c r="D713" i="2"/>
  <c r="C713" i="2"/>
  <c r="G712" i="2"/>
  <c r="J712" i="2" s="1"/>
  <c r="E712" i="2"/>
  <c r="D712" i="2"/>
  <c r="C712" i="2"/>
  <c r="M713" i="2"/>
  <c r="M710" i="2"/>
  <c r="G710" i="2"/>
  <c r="J710" i="2" s="1"/>
  <c r="E710" i="2"/>
  <c r="D710" i="2"/>
  <c r="C710" i="2"/>
  <c r="B709" i="2"/>
  <c r="E709" i="2" s="1"/>
  <c r="B708" i="2"/>
  <c r="E708" i="2" s="1"/>
  <c r="M707" i="2"/>
  <c r="G707" i="2"/>
  <c r="J707" i="2" s="1"/>
  <c r="E707" i="2"/>
  <c r="D707" i="2"/>
  <c r="C707" i="2"/>
  <c r="G706" i="2"/>
  <c r="J706" i="2" s="1"/>
  <c r="E706" i="2"/>
  <c r="D706" i="2"/>
  <c r="C706" i="2"/>
  <c r="G705" i="2"/>
  <c r="J705" i="2" s="1"/>
  <c r="E705" i="2"/>
  <c r="D705" i="2"/>
  <c r="C705" i="2"/>
  <c r="M706" i="2"/>
  <c r="M703" i="2"/>
  <c r="G703" i="2"/>
  <c r="J703" i="2" s="1"/>
  <c r="E703" i="2"/>
  <c r="D703" i="2"/>
  <c r="C703" i="2"/>
  <c r="M702" i="2"/>
  <c r="G702" i="2"/>
  <c r="J702" i="2" s="1"/>
  <c r="E702" i="2"/>
  <c r="D702" i="2"/>
  <c r="C702" i="2"/>
  <c r="B701" i="2"/>
  <c r="E701" i="2" s="1"/>
  <c r="B700" i="2"/>
  <c r="E700" i="2" s="1"/>
  <c r="G699" i="2"/>
  <c r="J699" i="2" s="1"/>
  <c r="E699" i="2"/>
  <c r="D699" i="2"/>
  <c r="C699" i="2"/>
  <c r="G698" i="2"/>
  <c r="J698" i="2" s="1"/>
  <c r="E698" i="2"/>
  <c r="D698" i="2"/>
  <c r="C698" i="2"/>
  <c r="M701" i="2"/>
  <c r="M696" i="2"/>
  <c r="G696" i="2"/>
  <c r="J696" i="2" s="1"/>
  <c r="E696" i="2"/>
  <c r="D696" i="2"/>
  <c r="C696" i="2"/>
  <c r="M695" i="2"/>
  <c r="G695" i="2"/>
  <c r="J695" i="2" s="1"/>
  <c r="E695" i="2"/>
  <c r="D695" i="2"/>
  <c r="C695" i="2"/>
  <c r="B694" i="2"/>
  <c r="G694" i="2" s="1"/>
  <c r="J694" i="2" s="1"/>
  <c r="B693" i="2"/>
  <c r="G693" i="2" s="1"/>
  <c r="J693" i="2" s="1"/>
  <c r="G692" i="2"/>
  <c r="J692" i="2" s="1"/>
  <c r="E692" i="2"/>
  <c r="D692" i="2"/>
  <c r="C692" i="2"/>
  <c r="G691" i="2"/>
  <c r="J691" i="2" s="1"/>
  <c r="E691" i="2"/>
  <c r="D691" i="2"/>
  <c r="C691" i="2"/>
  <c r="M691" i="2"/>
  <c r="G689" i="2"/>
  <c r="J689" i="2" s="1"/>
  <c r="E689" i="2"/>
  <c r="D689" i="2"/>
  <c r="C689" i="2"/>
  <c r="G688" i="2"/>
  <c r="J688" i="2" s="1"/>
  <c r="E688" i="2"/>
  <c r="D688" i="2"/>
  <c r="C688" i="2"/>
  <c r="G687" i="2"/>
  <c r="J687" i="2" s="1"/>
  <c r="E687" i="2"/>
  <c r="D687" i="2"/>
  <c r="C687" i="2"/>
  <c r="G686" i="2"/>
  <c r="J686" i="2" s="1"/>
  <c r="E686" i="2"/>
  <c r="D686" i="2"/>
  <c r="C686" i="2"/>
  <c r="G685" i="2"/>
  <c r="J685" i="2" s="1"/>
  <c r="E685" i="2"/>
  <c r="D685" i="2"/>
  <c r="C685" i="2"/>
  <c r="G684" i="2"/>
  <c r="J684" i="2" s="1"/>
  <c r="E684" i="2"/>
  <c r="D684" i="2"/>
  <c r="C684" i="2"/>
  <c r="N683" i="2"/>
  <c r="N689" i="2" s="1"/>
  <c r="M683" i="2"/>
  <c r="M688" i="2" s="1"/>
  <c r="G682" i="2"/>
  <c r="J682" i="2" s="1"/>
  <c r="E682" i="2"/>
  <c r="D682" i="2"/>
  <c r="C682" i="2"/>
  <c r="G681" i="2"/>
  <c r="J681" i="2" s="1"/>
  <c r="E681" i="2"/>
  <c r="D681" i="2"/>
  <c r="C681" i="2"/>
  <c r="G680" i="2"/>
  <c r="J680" i="2" s="1"/>
  <c r="E680" i="2"/>
  <c r="D680" i="2"/>
  <c r="C680" i="2"/>
  <c r="G679" i="2"/>
  <c r="J679" i="2" s="1"/>
  <c r="E679" i="2"/>
  <c r="D679" i="2"/>
  <c r="C679" i="2"/>
  <c r="G678" i="2"/>
  <c r="J678" i="2" s="1"/>
  <c r="E678" i="2"/>
  <c r="D678" i="2"/>
  <c r="C678" i="2"/>
  <c r="G677" i="2"/>
  <c r="J677" i="2" s="1"/>
  <c r="E677" i="2"/>
  <c r="D677" i="2"/>
  <c r="C677" i="2"/>
  <c r="N676" i="2"/>
  <c r="N680" i="2" s="1"/>
  <c r="M676" i="2"/>
  <c r="M682" i="2" s="1"/>
  <c r="G675" i="2"/>
  <c r="J675" i="2" s="1"/>
  <c r="E675" i="2"/>
  <c r="D675" i="2"/>
  <c r="C675" i="2"/>
  <c r="G674" i="2"/>
  <c r="J674" i="2" s="1"/>
  <c r="E674" i="2"/>
  <c r="D674" i="2"/>
  <c r="C674" i="2"/>
  <c r="G673" i="2"/>
  <c r="J673" i="2" s="1"/>
  <c r="E673" i="2"/>
  <c r="D673" i="2"/>
  <c r="C673" i="2"/>
  <c r="G672" i="2"/>
  <c r="F672" i="2"/>
  <c r="E672" i="2"/>
  <c r="D672" i="2"/>
  <c r="C672" i="2"/>
  <c r="G671" i="2"/>
  <c r="J671" i="2" s="1"/>
  <c r="E671" i="2"/>
  <c r="D671" i="2"/>
  <c r="C671" i="2"/>
  <c r="G670" i="2"/>
  <c r="J670" i="2" s="1"/>
  <c r="E670" i="2"/>
  <c r="D670" i="2"/>
  <c r="C670" i="2"/>
  <c r="G669" i="2"/>
  <c r="J669" i="2" s="1"/>
  <c r="E669" i="2"/>
  <c r="D669" i="2"/>
  <c r="C669" i="2"/>
  <c r="N668" i="2"/>
  <c r="N673" i="2" s="1"/>
  <c r="M668" i="2"/>
  <c r="G667" i="2"/>
  <c r="J667" i="2" s="1"/>
  <c r="E667" i="2"/>
  <c r="D667" i="2"/>
  <c r="C667" i="2"/>
  <c r="G666" i="2"/>
  <c r="J666" i="2" s="1"/>
  <c r="E666" i="2"/>
  <c r="D666" i="2"/>
  <c r="C666" i="2"/>
  <c r="G665" i="2"/>
  <c r="J665" i="2" s="1"/>
  <c r="E665" i="2"/>
  <c r="D665" i="2"/>
  <c r="C665" i="2"/>
  <c r="G664" i="2"/>
  <c r="J664" i="2" s="1"/>
  <c r="E664" i="2"/>
  <c r="D664" i="2"/>
  <c r="C664" i="2"/>
  <c r="G663" i="2"/>
  <c r="J663" i="2" s="1"/>
  <c r="E663" i="2"/>
  <c r="D663" i="2"/>
  <c r="C663" i="2"/>
  <c r="G662" i="2"/>
  <c r="J662" i="2" s="1"/>
  <c r="E662" i="2"/>
  <c r="D662" i="2"/>
  <c r="C662" i="2"/>
  <c r="G661" i="2"/>
  <c r="J661" i="2" s="1"/>
  <c r="E661" i="2"/>
  <c r="D661" i="2"/>
  <c r="C661" i="2"/>
  <c r="G660" i="2"/>
  <c r="J660" i="2" s="1"/>
  <c r="E660" i="2"/>
  <c r="D660" i="2"/>
  <c r="C660" i="2"/>
  <c r="G659" i="2"/>
  <c r="J659" i="2" s="1"/>
  <c r="E659" i="2"/>
  <c r="D659" i="2"/>
  <c r="C659" i="2"/>
  <c r="N658" i="2"/>
  <c r="N666" i="2" s="1"/>
  <c r="M658" i="2"/>
  <c r="M665" i="2" s="1"/>
  <c r="G657" i="2"/>
  <c r="F657" i="2"/>
  <c r="E657" i="2"/>
  <c r="D657" i="2"/>
  <c r="C657" i="2"/>
  <c r="G656" i="2"/>
  <c r="J656" i="2" s="1"/>
  <c r="E656" i="2"/>
  <c r="D656" i="2"/>
  <c r="C656" i="2"/>
  <c r="G655" i="2"/>
  <c r="J655" i="2" s="1"/>
  <c r="E655" i="2"/>
  <c r="D655" i="2"/>
  <c r="C655" i="2"/>
  <c r="G654" i="2"/>
  <c r="J654" i="2" s="1"/>
  <c r="E654" i="2"/>
  <c r="D654" i="2"/>
  <c r="C654" i="2"/>
  <c r="G653" i="2"/>
  <c r="J653" i="2" s="1"/>
  <c r="E653" i="2"/>
  <c r="D653" i="2"/>
  <c r="C653" i="2"/>
  <c r="G652" i="2"/>
  <c r="J652" i="2" s="1"/>
  <c r="E652" i="2"/>
  <c r="D652" i="2"/>
  <c r="C652" i="2"/>
  <c r="G651" i="2"/>
  <c r="J651" i="2" s="1"/>
  <c r="E651" i="2"/>
  <c r="D651" i="2"/>
  <c r="C651" i="2"/>
  <c r="N650" i="2"/>
  <c r="N656" i="2" s="1"/>
  <c r="M650" i="2"/>
  <c r="M654" i="2" s="1"/>
  <c r="G649" i="2"/>
  <c r="J649" i="2" s="1"/>
  <c r="E649" i="2"/>
  <c r="D649" i="2"/>
  <c r="C649" i="2"/>
  <c r="G648" i="2"/>
  <c r="J648" i="2" s="1"/>
  <c r="E648" i="2"/>
  <c r="D648" i="2"/>
  <c r="C648" i="2"/>
  <c r="G647" i="2"/>
  <c r="J647" i="2" s="1"/>
  <c r="E647" i="2"/>
  <c r="D647" i="2"/>
  <c r="C647" i="2"/>
  <c r="G646" i="2"/>
  <c r="J646" i="2" s="1"/>
  <c r="E646" i="2"/>
  <c r="D646" i="2"/>
  <c r="C646" i="2"/>
  <c r="G645" i="2"/>
  <c r="J645" i="2" s="1"/>
  <c r="E645" i="2"/>
  <c r="D645" i="2"/>
  <c r="C645" i="2"/>
  <c r="G644" i="2"/>
  <c r="J644" i="2" s="1"/>
  <c r="E644" i="2"/>
  <c r="D644" i="2"/>
  <c r="C644" i="2"/>
  <c r="G643" i="2"/>
  <c r="J643" i="2" s="1"/>
  <c r="E643" i="2"/>
  <c r="D643" i="2"/>
  <c r="C643" i="2"/>
  <c r="N642" i="2"/>
  <c r="N649" i="2" s="1"/>
  <c r="M642" i="2"/>
  <c r="M648" i="2" s="1"/>
  <c r="G641" i="2"/>
  <c r="J641" i="2" s="1"/>
  <c r="E641" i="2"/>
  <c r="D641" i="2"/>
  <c r="C641" i="2"/>
  <c r="G640" i="2"/>
  <c r="J640" i="2" s="1"/>
  <c r="E640" i="2"/>
  <c r="D640" i="2"/>
  <c r="C640" i="2"/>
  <c r="G639" i="2"/>
  <c r="J639" i="2" s="1"/>
  <c r="E639" i="2"/>
  <c r="D639" i="2"/>
  <c r="C639" i="2"/>
  <c r="G638" i="2"/>
  <c r="J638" i="2" s="1"/>
  <c r="E638" i="2"/>
  <c r="D638" i="2"/>
  <c r="C638" i="2"/>
  <c r="G637" i="2"/>
  <c r="J637" i="2" s="1"/>
  <c r="E637" i="2"/>
  <c r="D637" i="2"/>
  <c r="C637" i="2"/>
  <c r="G636" i="2"/>
  <c r="F636" i="2"/>
  <c r="E636" i="2"/>
  <c r="D636" i="2"/>
  <c r="C636" i="2"/>
  <c r="G635" i="2"/>
  <c r="J635" i="2" s="1"/>
  <c r="E635" i="2"/>
  <c r="D635" i="2"/>
  <c r="C635" i="2"/>
  <c r="G634" i="2"/>
  <c r="J634" i="2" s="1"/>
  <c r="E634" i="2"/>
  <c r="D634" i="2"/>
  <c r="C634" i="2"/>
  <c r="G633" i="2"/>
  <c r="J633" i="2" s="1"/>
  <c r="E633" i="2"/>
  <c r="D633" i="2"/>
  <c r="C633" i="2"/>
  <c r="M639" i="2"/>
  <c r="M631" i="2"/>
  <c r="G631" i="2"/>
  <c r="J631" i="2" s="1"/>
  <c r="E631" i="2"/>
  <c r="D631" i="2"/>
  <c r="C631" i="2"/>
  <c r="G630" i="2"/>
  <c r="F630" i="2"/>
  <c r="E630" i="2"/>
  <c r="D630" i="2"/>
  <c r="C630" i="2"/>
  <c r="G629" i="2"/>
  <c r="J629" i="2" s="1"/>
  <c r="E629" i="2"/>
  <c r="D629" i="2"/>
  <c r="C629" i="2"/>
  <c r="G628" i="2"/>
  <c r="J628" i="2" s="1"/>
  <c r="E628" i="2"/>
  <c r="D628" i="2"/>
  <c r="C628" i="2"/>
  <c r="G627" i="2"/>
  <c r="F627" i="2"/>
  <c r="E627" i="2"/>
  <c r="D627" i="2"/>
  <c r="C627" i="2"/>
  <c r="G626" i="2"/>
  <c r="J626" i="2" s="1"/>
  <c r="E626" i="2"/>
  <c r="D626" i="2"/>
  <c r="C626" i="2"/>
  <c r="G625" i="2"/>
  <c r="J625" i="2" s="1"/>
  <c r="E625" i="2"/>
  <c r="D625" i="2"/>
  <c r="C625" i="2"/>
  <c r="G624" i="2"/>
  <c r="J624" i="2" s="1"/>
  <c r="E624" i="2"/>
  <c r="D624" i="2"/>
  <c r="C624" i="2"/>
  <c r="M625" i="2"/>
  <c r="G622" i="2"/>
  <c r="F622" i="2"/>
  <c r="E622" i="2"/>
  <c r="D622" i="2"/>
  <c r="C622" i="2"/>
  <c r="G621" i="2"/>
  <c r="J621" i="2" s="1"/>
  <c r="E621" i="2"/>
  <c r="D621" i="2"/>
  <c r="C621" i="2"/>
  <c r="G620" i="2"/>
  <c r="J620" i="2" s="1"/>
  <c r="E620" i="2"/>
  <c r="D620" i="2"/>
  <c r="C620" i="2"/>
  <c r="G619" i="2"/>
  <c r="J619" i="2" s="1"/>
  <c r="E619" i="2"/>
  <c r="D619" i="2"/>
  <c r="C619" i="2"/>
  <c r="G618" i="2"/>
  <c r="J618" i="2" s="1"/>
  <c r="E618" i="2"/>
  <c r="D618" i="2"/>
  <c r="C618" i="2"/>
  <c r="G617" i="2"/>
  <c r="J617" i="2" s="1"/>
  <c r="E617" i="2"/>
  <c r="D617" i="2"/>
  <c r="C617" i="2"/>
  <c r="G616" i="2"/>
  <c r="J616" i="2" s="1"/>
  <c r="E616" i="2"/>
  <c r="D616" i="2"/>
  <c r="C616" i="2"/>
  <c r="N615" i="2"/>
  <c r="N619" i="2" s="1"/>
  <c r="M615" i="2"/>
  <c r="G614" i="2"/>
  <c r="E614" i="2"/>
  <c r="D614" i="2"/>
  <c r="C614" i="2"/>
  <c r="G613" i="2"/>
  <c r="F613" i="2"/>
  <c r="E613" i="2"/>
  <c r="D613" i="2"/>
  <c r="C613" i="2"/>
  <c r="G612" i="2"/>
  <c r="J612" i="2" s="1"/>
  <c r="E612" i="2"/>
  <c r="D612" i="2"/>
  <c r="C612" i="2"/>
  <c r="G611" i="2"/>
  <c r="J611" i="2" s="1"/>
  <c r="E611" i="2"/>
  <c r="D611" i="2"/>
  <c r="C611" i="2"/>
  <c r="G610" i="2"/>
  <c r="J610" i="2" s="1"/>
  <c r="E610" i="2"/>
  <c r="D610" i="2"/>
  <c r="C610" i="2"/>
  <c r="G609" i="2"/>
  <c r="F609" i="2"/>
  <c r="E609" i="2"/>
  <c r="D609" i="2"/>
  <c r="C609" i="2"/>
  <c r="G608" i="2"/>
  <c r="J608" i="2" s="1"/>
  <c r="E608" i="2"/>
  <c r="D608" i="2"/>
  <c r="C608" i="2"/>
  <c r="G607" i="2"/>
  <c r="J607" i="2" s="1"/>
  <c r="E607" i="2"/>
  <c r="D607" i="2"/>
  <c r="C607" i="2"/>
  <c r="G606" i="2"/>
  <c r="J606" i="2" s="1"/>
  <c r="E606" i="2"/>
  <c r="D606" i="2"/>
  <c r="C606" i="2"/>
  <c r="N605" i="2"/>
  <c r="N611" i="2" s="1"/>
  <c r="M605" i="2"/>
  <c r="M610" i="2" s="1"/>
  <c r="G604" i="2"/>
  <c r="F604" i="2"/>
  <c r="E604" i="2"/>
  <c r="D604" i="2"/>
  <c r="C604" i="2"/>
  <c r="G603" i="2"/>
  <c r="J603" i="2" s="1"/>
  <c r="E603" i="2"/>
  <c r="D603" i="2"/>
  <c r="C603" i="2"/>
  <c r="G602" i="2"/>
  <c r="J602" i="2" s="1"/>
  <c r="E602" i="2"/>
  <c r="D602" i="2"/>
  <c r="C602" i="2"/>
  <c r="G601" i="2"/>
  <c r="F601" i="2"/>
  <c r="E601" i="2"/>
  <c r="D601" i="2"/>
  <c r="C601" i="2"/>
  <c r="G600" i="2"/>
  <c r="J600" i="2" s="1"/>
  <c r="E600" i="2"/>
  <c r="D600" i="2"/>
  <c r="C600" i="2"/>
  <c r="G599" i="2"/>
  <c r="J599" i="2" s="1"/>
  <c r="E599" i="2"/>
  <c r="D599" i="2"/>
  <c r="C599" i="2"/>
  <c r="G598" i="2"/>
  <c r="J598" i="2" s="1"/>
  <c r="E598" i="2"/>
  <c r="D598" i="2"/>
  <c r="C598" i="2"/>
  <c r="N597" i="2"/>
  <c r="N603" i="2" s="1"/>
  <c r="M597" i="2"/>
  <c r="G596" i="2"/>
  <c r="E596" i="2"/>
  <c r="D596" i="2"/>
  <c r="C596" i="2"/>
  <c r="G595" i="2"/>
  <c r="F595" i="2"/>
  <c r="E595" i="2"/>
  <c r="D595" i="2"/>
  <c r="C595" i="2"/>
  <c r="G594" i="2"/>
  <c r="J594" i="2" s="1"/>
  <c r="E594" i="2"/>
  <c r="D594" i="2"/>
  <c r="C594" i="2"/>
  <c r="G593" i="2"/>
  <c r="J593" i="2" s="1"/>
  <c r="E593" i="2"/>
  <c r="D593" i="2"/>
  <c r="C593" i="2"/>
  <c r="G592" i="2"/>
  <c r="J592" i="2" s="1"/>
  <c r="E592" i="2"/>
  <c r="D592" i="2"/>
  <c r="C592" i="2"/>
  <c r="G591" i="2"/>
  <c r="F591" i="2"/>
  <c r="E591" i="2"/>
  <c r="D591" i="2"/>
  <c r="C591" i="2"/>
  <c r="G590" i="2"/>
  <c r="J590" i="2" s="1"/>
  <c r="E590" i="2"/>
  <c r="D590" i="2"/>
  <c r="C590" i="2"/>
  <c r="G589" i="2"/>
  <c r="J589" i="2" s="1"/>
  <c r="E589" i="2"/>
  <c r="D589" i="2"/>
  <c r="C589" i="2"/>
  <c r="G588" i="2"/>
  <c r="J588" i="2" s="1"/>
  <c r="E588" i="2"/>
  <c r="D588" i="2"/>
  <c r="C588" i="2"/>
  <c r="G586" i="2"/>
  <c r="F586" i="2"/>
  <c r="F596" i="2" s="1"/>
  <c r="E586" i="2"/>
  <c r="D586" i="2"/>
  <c r="C586" i="2"/>
  <c r="G585" i="2"/>
  <c r="J585" i="2" s="1"/>
  <c r="E585" i="2"/>
  <c r="D585" i="2"/>
  <c r="C585" i="2"/>
  <c r="G584" i="2"/>
  <c r="J584" i="2" s="1"/>
  <c r="E584" i="2"/>
  <c r="D584" i="2"/>
  <c r="C584" i="2"/>
  <c r="G583" i="2"/>
  <c r="F583" i="2"/>
  <c r="E583" i="2"/>
  <c r="D583" i="2"/>
  <c r="C583" i="2"/>
  <c r="G582" i="2"/>
  <c r="J582" i="2" s="1"/>
  <c r="E582" i="2"/>
  <c r="D582" i="2"/>
  <c r="C582" i="2"/>
  <c r="G581" i="2"/>
  <c r="J581" i="2" s="1"/>
  <c r="E581" i="2"/>
  <c r="D581" i="2"/>
  <c r="C581" i="2"/>
  <c r="G580" i="2"/>
  <c r="J580" i="2" s="1"/>
  <c r="E580" i="2"/>
  <c r="D580" i="2"/>
  <c r="C580" i="2"/>
  <c r="M583" i="2"/>
  <c r="M578" i="2"/>
  <c r="G578" i="2"/>
  <c r="J578" i="2" s="1"/>
  <c r="E578" i="2"/>
  <c r="D578" i="2"/>
  <c r="C578" i="2"/>
  <c r="G577" i="2"/>
  <c r="J577" i="2" s="1"/>
  <c r="E577" i="2"/>
  <c r="D577" i="2"/>
  <c r="C577" i="2"/>
  <c r="E576" i="2"/>
  <c r="D576" i="2"/>
  <c r="C576" i="2"/>
  <c r="E575" i="2"/>
  <c r="D575" i="2"/>
  <c r="C575" i="2"/>
  <c r="G574" i="2"/>
  <c r="F574" i="2"/>
  <c r="E574" i="2"/>
  <c r="D574" i="2"/>
  <c r="C574" i="2"/>
  <c r="N573" i="2"/>
  <c r="N575" i="2" s="1"/>
  <c r="M573" i="2"/>
  <c r="M572" i="2"/>
  <c r="G572" i="2"/>
  <c r="J572" i="2" s="1"/>
  <c r="E572" i="2"/>
  <c r="D572" i="2"/>
  <c r="C572" i="2"/>
  <c r="G571" i="2"/>
  <c r="J571" i="2" s="1"/>
  <c r="E571" i="2"/>
  <c r="D571" i="2"/>
  <c r="C571" i="2"/>
  <c r="E570" i="2"/>
  <c r="D570" i="2"/>
  <c r="C570" i="2"/>
  <c r="G569" i="2"/>
  <c r="F569" i="2"/>
  <c r="E569" i="2"/>
  <c r="D569" i="2"/>
  <c r="C569" i="2"/>
  <c r="N568" i="2"/>
  <c r="N572" i="2" s="1"/>
  <c r="M568" i="2"/>
  <c r="M567" i="2"/>
  <c r="G567" i="2"/>
  <c r="J567" i="2" s="1"/>
  <c r="E567" i="2"/>
  <c r="D567" i="2"/>
  <c r="C567" i="2"/>
  <c r="G566" i="2"/>
  <c r="J566" i="2" s="1"/>
  <c r="E566" i="2"/>
  <c r="D566" i="2"/>
  <c r="C566" i="2"/>
  <c r="E565" i="2"/>
  <c r="D565" i="2"/>
  <c r="C565" i="2"/>
  <c r="E564" i="2"/>
  <c r="D564" i="2"/>
  <c r="C564" i="2"/>
  <c r="E563" i="2"/>
  <c r="D563" i="2"/>
  <c r="C563" i="2"/>
  <c r="E562" i="2"/>
  <c r="D562" i="2"/>
  <c r="C562" i="2"/>
  <c r="G561" i="2"/>
  <c r="J561" i="2" s="1"/>
  <c r="E561" i="2"/>
  <c r="D561" i="2"/>
  <c r="C561" i="2"/>
  <c r="E560" i="2"/>
  <c r="D560" i="2"/>
  <c r="C560" i="2"/>
  <c r="N559" i="2"/>
  <c r="M559" i="2"/>
  <c r="M564" i="2" s="1"/>
  <c r="M558" i="2"/>
  <c r="G558" i="2"/>
  <c r="J558" i="2" s="1"/>
  <c r="E558" i="2"/>
  <c r="D558" i="2"/>
  <c r="C558" i="2"/>
  <c r="G557" i="2"/>
  <c r="J557" i="2" s="1"/>
  <c r="E557" i="2"/>
  <c r="D557" i="2"/>
  <c r="C557" i="2"/>
  <c r="E556" i="2"/>
  <c r="D556" i="2"/>
  <c r="C556" i="2"/>
  <c r="E555" i="2"/>
  <c r="D555" i="2"/>
  <c r="C555" i="2"/>
  <c r="G554" i="2"/>
  <c r="J554" i="2" s="1"/>
  <c r="E554" i="2"/>
  <c r="D554" i="2"/>
  <c r="C554" i="2"/>
  <c r="E553" i="2"/>
  <c r="D553" i="2"/>
  <c r="C553" i="2"/>
  <c r="N552" i="2"/>
  <c r="M552" i="2"/>
  <c r="M557" i="2" s="1"/>
  <c r="M551" i="2"/>
  <c r="G551" i="2"/>
  <c r="J551" i="2" s="1"/>
  <c r="E551" i="2"/>
  <c r="D551" i="2"/>
  <c r="C551" i="2"/>
  <c r="G550" i="2"/>
  <c r="J550" i="2" s="1"/>
  <c r="E550" i="2"/>
  <c r="D550" i="2"/>
  <c r="C550" i="2"/>
  <c r="E549" i="2"/>
  <c r="D549" i="2"/>
  <c r="C549" i="2"/>
  <c r="E548" i="2"/>
  <c r="D548" i="2"/>
  <c r="C548" i="2"/>
  <c r="E547" i="2"/>
  <c r="D547" i="2"/>
  <c r="C547" i="2"/>
  <c r="M546" i="2"/>
  <c r="G546" i="2"/>
  <c r="J546" i="2" s="1"/>
  <c r="E546" i="2"/>
  <c r="D546" i="2"/>
  <c r="C546" i="2"/>
  <c r="E545" i="2"/>
  <c r="D545" i="2"/>
  <c r="C545" i="2"/>
  <c r="E544" i="2"/>
  <c r="D544" i="2"/>
  <c r="C544" i="2"/>
  <c r="N543" i="2"/>
  <c r="N551" i="2" s="1"/>
  <c r="M543" i="2"/>
  <c r="M550" i="2" s="1"/>
  <c r="M542" i="2"/>
  <c r="G542" i="2"/>
  <c r="J542" i="2" s="1"/>
  <c r="E542" i="2"/>
  <c r="D542" i="2"/>
  <c r="C542" i="2"/>
  <c r="G541" i="2"/>
  <c r="J541" i="2" s="1"/>
  <c r="E541" i="2"/>
  <c r="D541" i="2"/>
  <c r="C541" i="2"/>
  <c r="E540" i="2"/>
  <c r="D540" i="2"/>
  <c r="C540" i="2"/>
  <c r="E539" i="2"/>
  <c r="D539" i="2"/>
  <c r="C539" i="2"/>
  <c r="E538" i="2"/>
  <c r="D538" i="2"/>
  <c r="C538" i="2"/>
  <c r="E537" i="2"/>
  <c r="D537" i="2"/>
  <c r="C537" i="2"/>
  <c r="N536" i="2"/>
  <c r="N541" i="2" s="1"/>
  <c r="M536" i="2"/>
  <c r="M540" i="2" s="1"/>
  <c r="M535" i="2"/>
  <c r="G535" i="2"/>
  <c r="J535" i="2" s="1"/>
  <c r="E535" i="2"/>
  <c r="D535" i="2"/>
  <c r="C535" i="2"/>
  <c r="G534" i="2"/>
  <c r="J534" i="2" s="1"/>
  <c r="E534" i="2"/>
  <c r="D534" i="2"/>
  <c r="C534" i="2"/>
  <c r="E533" i="2"/>
  <c r="D533" i="2"/>
  <c r="C533" i="2"/>
  <c r="E532" i="2"/>
  <c r="D532" i="2"/>
  <c r="C532" i="2"/>
  <c r="E531" i="2"/>
  <c r="D531" i="2"/>
  <c r="C531" i="2"/>
  <c r="G530" i="2"/>
  <c r="J530" i="2" s="1"/>
  <c r="E530" i="2"/>
  <c r="D530" i="2"/>
  <c r="C530" i="2"/>
  <c r="E529" i="2"/>
  <c r="D529" i="2"/>
  <c r="C529" i="2"/>
  <c r="N528" i="2"/>
  <c r="N535" i="2" s="1"/>
  <c r="M528" i="2"/>
  <c r="M534" i="2" s="1"/>
  <c r="M527" i="2"/>
  <c r="G527" i="2"/>
  <c r="J527" i="2" s="1"/>
  <c r="E527" i="2"/>
  <c r="D527" i="2"/>
  <c r="C527" i="2"/>
  <c r="G526" i="2"/>
  <c r="J526" i="2" s="1"/>
  <c r="E526" i="2"/>
  <c r="D526" i="2"/>
  <c r="C526" i="2"/>
  <c r="E525" i="2"/>
  <c r="D525" i="2"/>
  <c r="C525" i="2"/>
  <c r="E524" i="2"/>
  <c r="D524" i="2"/>
  <c r="C524" i="2"/>
  <c r="G523" i="2"/>
  <c r="J523" i="2" s="1"/>
  <c r="E523" i="2"/>
  <c r="D523" i="2"/>
  <c r="C523" i="2"/>
  <c r="E522" i="2"/>
  <c r="D522" i="2"/>
  <c r="C522" i="2"/>
  <c r="N521" i="2"/>
  <c r="N525" i="2" s="1"/>
  <c r="M521" i="2"/>
  <c r="M524" i="2" s="1"/>
  <c r="M520" i="2"/>
  <c r="G520" i="2"/>
  <c r="J520" i="2" s="1"/>
  <c r="E520" i="2"/>
  <c r="D520" i="2"/>
  <c r="C520" i="2"/>
  <c r="G519" i="2"/>
  <c r="J519" i="2" s="1"/>
  <c r="E519" i="2"/>
  <c r="D519" i="2"/>
  <c r="C519" i="2"/>
  <c r="E518" i="2"/>
  <c r="D518" i="2"/>
  <c r="C518" i="2"/>
  <c r="E517" i="2"/>
  <c r="D517" i="2"/>
  <c r="C517" i="2"/>
  <c r="E516" i="2"/>
  <c r="D516" i="2"/>
  <c r="C516" i="2"/>
  <c r="G515" i="2"/>
  <c r="F515" i="2"/>
  <c r="E515" i="2"/>
  <c r="D515" i="2"/>
  <c r="C515" i="2"/>
  <c r="G514" i="2"/>
  <c r="F514" i="2"/>
  <c r="E514" i="2"/>
  <c r="D514" i="2"/>
  <c r="C514" i="2"/>
  <c r="N513" i="2"/>
  <c r="N519" i="2" s="1"/>
  <c r="M513" i="2"/>
  <c r="M518" i="2" s="1"/>
  <c r="M512" i="2"/>
  <c r="G512" i="2"/>
  <c r="J512" i="2" s="1"/>
  <c r="E512" i="2"/>
  <c r="D512" i="2"/>
  <c r="C512" i="2"/>
  <c r="G511" i="2"/>
  <c r="J511" i="2" s="1"/>
  <c r="E511" i="2"/>
  <c r="D511" i="2"/>
  <c r="C511" i="2"/>
  <c r="E510" i="2"/>
  <c r="D510" i="2"/>
  <c r="C510" i="2"/>
  <c r="E509" i="2"/>
  <c r="D509" i="2"/>
  <c r="C509" i="2"/>
  <c r="G508" i="2"/>
  <c r="F508" i="2"/>
  <c r="E508" i="2"/>
  <c r="D508" i="2"/>
  <c r="C508" i="2"/>
  <c r="G507" i="2"/>
  <c r="F507" i="2"/>
  <c r="E507" i="2"/>
  <c r="D507" i="2"/>
  <c r="C507" i="2"/>
  <c r="N506" i="2"/>
  <c r="M506" i="2"/>
  <c r="M510" i="2" s="1"/>
  <c r="M505" i="2"/>
  <c r="G505" i="2"/>
  <c r="J505" i="2" s="1"/>
  <c r="E505" i="2"/>
  <c r="D505" i="2"/>
  <c r="C505" i="2"/>
  <c r="G504" i="2"/>
  <c r="J504" i="2" s="1"/>
  <c r="E504" i="2"/>
  <c r="D504" i="2"/>
  <c r="C504" i="2"/>
  <c r="E503" i="2"/>
  <c r="D503" i="2"/>
  <c r="C503" i="2"/>
  <c r="E502" i="2"/>
  <c r="D502" i="2"/>
  <c r="C502" i="2"/>
  <c r="E501" i="2"/>
  <c r="D501" i="2"/>
  <c r="C501" i="2"/>
  <c r="E500" i="2"/>
  <c r="D500" i="2"/>
  <c r="C500" i="2"/>
  <c r="E499" i="2"/>
  <c r="D499" i="2"/>
  <c r="C499" i="2"/>
  <c r="E498" i="2"/>
  <c r="D498" i="2"/>
  <c r="C498" i="2"/>
  <c r="N497" i="2"/>
  <c r="N503" i="2" s="1"/>
  <c r="M497" i="2"/>
  <c r="M502" i="2" s="1"/>
  <c r="M496" i="2"/>
  <c r="L496" i="2"/>
  <c r="K496" i="2"/>
  <c r="J496" i="2"/>
  <c r="M495" i="2"/>
  <c r="G495" i="2"/>
  <c r="J495" i="2" s="1"/>
  <c r="E495" i="2"/>
  <c r="D495" i="2"/>
  <c r="C495" i="2"/>
  <c r="G494" i="2"/>
  <c r="F494" i="2"/>
  <c r="E494" i="2"/>
  <c r="D494" i="2"/>
  <c r="C494" i="2"/>
  <c r="E493" i="2"/>
  <c r="D493" i="2"/>
  <c r="C493" i="2"/>
  <c r="E492" i="2"/>
  <c r="D492" i="2"/>
  <c r="C492" i="2"/>
  <c r="M491" i="2"/>
  <c r="E491" i="2"/>
  <c r="D491" i="2"/>
  <c r="C491" i="2"/>
  <c r="E490" i="2"/>
  <c r="D490" i="2"/>
  <c r="C490" i="2"/>
  <c r="G489" i="2"/>
  <c r="J489" i="2" s="1"/>
  <c r="E489" i="2"/>
  <c r="D489" i="2"/>
  <c r="C489" i="2"/>
  <c r="E488" i="2"/>
  <c r="D488" i="2"/>
  <c r="C488" i="2"/>
  <c r="N487" i="2"/>
  <c r="N491" i="2" s="1"/>
  <c r="M487" i="2"/>
  <c r="M486" i="2"/>
  <c r="G486" i="2"/>
  <c r="J486" i="2" s="1"/>
  <c r="E486" i="2"/>
  <c r="D486" i="2"/>
  <c r="C486" i="2"/>
  <c r="G485" i="2"/>
  <c r="F485" i="2"/>
  <c r="E485" i="2"/>
  <c r="D485" i="2"/>
  <c r="C485" i="2"/>
  <c r="E484" i="2"/>
  <c r="D484" i="2"/>
  <c r="C484" i="2"/>
  <c r="E483" i="2"/>
  <c r="D483" i="2"/>
  <c r="C483" i="2"/>
  <c r="E482" i="2"/>
  <c r="D482" i="2"/>
  <c r="C482" i="2"/>
  <c r="E481" i="2"/>
  <c r="D481" i="2"/>
  <c r="C481" i="2"/>
  <c r="G480" i="2"/>
  <c r="J480" i="2" s="1"/>
  <c r="E480" i="2"/>
  <c r="D480" i="2"/>
  <c r="C480" i="2"/>
  <c r="E479" i="2"/>
  <c r="D479" i="2"/>
  <c r="C479" i="2"/>
  <c r="N478" i="2"/>
  <c r="N484" i="2" s="1"/>
  <c r="M478" i="2"/>
  <c r="M482" i="2" s="1"/>
  <c r="M477" i="2"/>
  <c r="G477" i="2"/>
  <c r="J477" i="2" s="1"/>
  <c r="E477" i="2"/>
  <c r="D477" i="2"/>
  <c r="C477" i="2"/>
  <c r="G476" i="2"/>
  <c r="J476" i="2" s="1"/>
  <c r="E476" i="2"/>
  <c r="D476" i="2"/>
  <c r="C476" i="2"/>
  <c r="E475" i="2"/>
  <c r="D475" i="2"/>
  <c r="C475" i="2"/>
  <c r="E474" i="2"/>
  <c r="D474" i="2"/>
  <c r="C474" i="2"/>
  <c r="M473" i="2"/>
  <c r="G473" i="2"/>
  <c r="J473" i="2" s="1"/>
  <c r="E473" i="2"/>
  <c r="D473" i="2"/>
  <c r="C473" i="2"/>
  <c r="M472" i="2"/>
  <c r="G472" i="2"/>
  <c r="J472" i="2" s="1"/>
  <c r="E472" i="2"/>
  <c r="D472" i="2"/>
  <c r="C472" i="2"/>
  <c r="G471" i="2"/>
  <c r="J471" i="2" s="1"/>
  <c r="E471" i="2"/>
  <c r="D471" i="2"/>
  <c r="C471" i="2"/>
  <c r="E470" i="2"/>
  <c r="D470" i="2"/>
  <c r="C470" i="2"/>
  <c r="N469" i="2"/>
  <c r="N473" i="2" s="1"/>
  <c r="M469" i="2"/>
  <c r="M475" i="2" s="1"/>
  <c r="M468" i="2"/>
  <c r="G468" i="2"/>
  <c r="J468" i="2" s="1"/>
  <c r="E468" i="2"/>
  <c r="D468" i="2"/>
  <c r="C468" i="2"/>
  <c r="G467" i="2"/>
  <c r="F467" i="2"/>
  <c r="E467" i="2"/>
  <c r="D467" i="2"/>
  <c r="C467" i="2"/>
  <c r="E466" i="2"/>
  <c r="D466" i="2"/>
  <c r="C466" i="2"/>
  <c r="E465" i="2"/>
  <c r="D465" i="2"/>
  <c r="C465" i="2"/>
  <c r="E464" i="2"/>
  <c r="D464" i="2"/>
  <c r="C464" i="2"/>
  <c r="E463" i="2"/>
  <c r="D463" i="2"/>
  <c r="C463" i="2"/>
  <c r="G462" i="2"/>
  <c r="J462" i="2" s="1"/>
  <c r="E462" i="2"/>
  <c r="D462" i="2"/>
  <c r="C462" i="2"/>
  <c r="E461" i="2"/>
  <c r="D461" i="2"/>
  <c r="C461" i="2"/>
  <c r="N460" i="2"/>
  <c r="N468" i="2" s="1"/>
  <c r="M460" i="2"/>
  <c r="M464" i="2" s="1"/>
  <c r="M459" i="2"/>
  <c r="G459" i="2"/>
  <c r="J459" i="2" s="1"/>
  <c r="E459" i="2"/>
  <c r="D459" i="2"/>
  <c r="C459" i="2"/>
  <c r="G458" i="2"/>
  <c r="J458" i="2" s="1"/>
  <c r="E458" i="2"/>
  <c r="D458" i="2"/>
  <c r="C458" i="2"/>
  <c r="E457" i="2"/>
  <c r="D457" i="2"/>
  <c r="C457" i="2"/>
  <c r="E456" i="2"/>
  <c r="D456" i="2"/>
  <c r="C456" i="2"/>
  <c r="G455" i="2"/>
  <c r="J455" i="2" s="1"/>
  <c r="E455" i="2"/>
  <c r="D455" i="2"/>
  <c r="C455" i="2"/>
  <c r="E454" i="2"/>
  <c r="D454" i="2"/>
  <c r="C454" i="2"/>
  <c r="N453" i="2"/>
  <c r="M457" i="2"/>
  <c r="M452" i="2"/>
  <c r="G452" i="2"/>
  <c r="J452" i="2" s="1"/>
  <c r="E452" i="2"/>
  <c r="D452" i="2"/>
  <c r="C452" i="2"/>
  <c r="G451" i="2"/>
  <c r="F451" i="2"/>
  <c r="E451" i="2"/>
  <c r="D451" i="2"/>
  <c r="C451" i="2"/>
  <c r="E450" i="2"/>
  <c r="D450" i="2"/>
  <c r="C450" i="2"/>
  <c r="E449" i="2"/>
  <c r="D449" i="2"/>
  <c r="C449" i="2"/>
  <c r="E448" i="2"/>
  <c r="D448" i="2"/>
  <c r="C448" i="2"/>
  <c r="G447" i="2"/>
  <c r="J447" i="2" s="1"/>
  <c r="E447" i="2"/>
  <c r="D447" i="2"/>
  <c r="C447" i="2"/>
  <c r="E446" i="2"/>
  <c r="D446" i="2"/>
  <c r="C446" i="2"/>
  <c r="N445" i="2"/>
  <c r="N448" i="2" s="1"/>
  <c r="M445" i="2"/>
  <c r="M447" i="2" s="1"/>
  <c r="M444" i="2"/>
  <c r="G444" i="2"/>
  <c r="J444" i="2" s="1"/>
  <c r="E444" i="2"/>
  <c r="D444" i="2"/>
  <c r="C444" i="2"/>
  <c r="G443" i="2"/>
  <c r="J443" i="2" s="1"/>
  <c r="E443" i="2"/>
  <c r="D443" i="2"/>
  <c r="C443" i="2"/>
  <c r="E442" i="2"/>
  <c r="D442" i="2"/>
  <c r="C442" i="2"/>
  <c r="E441" i="2"/>
  <c r="D441" i="2"/>
  <c r="C441" i="2"/>
  <c r="M440" i="2"/>
  <c r="G440" i="2"/>
  <c r="J440" i="2" s="1"/>
  <c r="E440" i="2"/>
  <c r="D440" i="2"/>
  <c r="C440" i="2"/>
  <c r="G439" i="2"/>
  <c r="J439" i="2" s="1"/>
  <c r="E439" i="2"/>
  <c r="D439" i="2"/>
  <c r="C439" i="2"/>
  <c r="E438" i="2"/>
  <c r="D438" i="2"/>
  <c r="C438" i="2"/>
  <c r="N437" i="2"/>
  <c r="N439" i="2" s="1"/>
  <c r="M437" i="2"/>
  <c r="M441" i="2" s="1"/>
  <c r="E436" i="2"/>
  <c r="D436" i="2"/>
  <c r="C436" i="2"/>
  <c r="E435" i="2"/>
  <c r="D435" i="2"/>
  <c r="C435" i="2"/>
  <c r="G434" i="2"/>
  <c r="J434" i="2" s="1"/>
  <c r="E434" i="2"/>
  <c r="D434" i="2"/>
  <c r="C434" i="2"/>
  <c r="G433" i="2"/>
  <c r="J433" i="2" s="1"/>
  <c r="E433" i="2"/>
  <c r="D433" i="2"/>
  <c r="C433" i="2"/>
  <c r="G432" i="2"/>
  <c r="J432" i="2" s="1"/>
  <c r="E432" i="2"/>
  <c r="D432" i="2"/>
  <c r="C432" i="2"/>
  <c r="G431" i="2"/>
  <c r="J431" i="2" s="1"/>
  <c r="E431" i="2"/>
  <c r="D431" i="2"/>
  <c r="C431" i="2"/>
  <c r="G430" i="2"/>
  <c r="J430" i="2" s="1"/>
  <c r="E430" i="2"/>
  <c r="D430" i="2"/>
  <c r="C430" i="2"/>
  <c r="G429" i="2"/>
  <c r="J429" i="2" s="1"/>
  <c r="E429" i="2"/>
  <c r="D429" i="2"/>
  <c r="C429" i="2"/>
  <c r="N428" i="2"/>
  <c r="N436" i="2" s="1"/>
  <c r="M428" i="2"/>
  <c r="M436" i="2" s="1"/>
  <c r="E427" i="2"/>
  <c r="D427" i="2"/>
  <c r="C427" i="2"/>
  <c r="E426" i="2"/>
  <c r="D426" i="2"/>
  <c r="C426" i="2"/>
  <c r="E425" i="2"/>
  <c r="D425" i="2"/>
  <c r="C425" i="2"/>
  <c r="G424" i="2"/>
  <c r="J424" i="2" s="1"/>
  <c r="E424" i="2"/>
  <c r="D424" i="2"/>
  <c r="C424" i="2"/>
  <c r="G423" i="2"/>
  <c r="J423" i="2" s="1"/>
  <c r="E423" i="2"/>
  <c r="D423" i="2"/>
  <c r="C423" i="2"/>
  <c r="G422" i="2"/>
  <c r="J422" i="2" s="1"/>
  <c r="E422" i="2"/>
  <c r="D422" i="2"/>
  <c r="C422" i="2"/>
  <c r="G421" i="2"/>
  <c r="J421" i="2" s="1"/>
  <c r="E421" i="2"/>
  <c r="D421" i="2"/>
  <c r="C421" i="2"/>
  <c r="G420" i="2"/>
  <c r="J420" i="2" s="1"/>
  <c r="E420" i="2"/>
  <c r="D420" i="2"/>
  <c r="C420" i="2"/>
  <c r="G419" i="2"/>
  <c r="J419" i="2" s="1"/>
  <c r="E419" i="2"/>
  <c r="D419" i="2"/>
  <c r="C419" i="2"/>
  <c r="N418" i="2"/>
  <c r="N423" i="2" s="1"/>
  <c r="M418" i="2"/>
  <c r="M426" i="2" s="1"/>
  <c r="E417" i="2"/>
  <c r="D417" i="2"/>
  <c r="C417" i="2"/>
  <c r="E416" i="2"/>
  <c r="D416" i="2"/>
  <c r="C416" i="2"/>
  <c r="G415" i="2"/>
  <c r="J415" i="2" s="1"/>
  <c r="E415" i="2"/>
  <c r="D415" i="2"/>
  <c r="C415" i="2"/>
  <c r="G414" i="2"/>
  <c r="J414" i="2" s="1"/>
  <c r="E414" i="2"/>
  <c r="D414" i="2"/>
  <c r="C414" i="2"/>
  <c r="G413" i="2"/>
  <c r="J413" i="2" s="1"/>
  <c r="E413" i="2"/>
  <c r="D413" i="2"/>
  <c r="C413" i="2"/>
  <c r="G412" i="2"/>
  <c r="J412" i="2" s="1"/>
  <c r="E412" i="2"/>
  <c r="D412" i="2"/>
  <c r="C412" i="2"/>
  <c r="G411" i="2"/>
  <c r="J411" i="2" s="1"/>
  <c r="E411" i="2"/>
  <c r="D411" i="2"/>
  <c r="C411" i="2"/>
  <c r="G410" i="2"/>
  <c r="J410" i="2" s="1"/>
  <c r="E410" i="2"/>
  <c r="D410" i="2"/>
  <c r="C410" i="2"/>
  <c r="N409" i="2"/>
  <c r="N417" i="2" s="1"/>
  <c r="M409" i="2"/>
  <c r="M416" i="2" s="1"/>
  <c r="E408" i="2"/>
  <c r="D408" i="2"/>
  <c r="C408" i="2"/>
  <c r="E407" i="2"/>
  <c r="D407" i="2"/>
  <c r="C407" i="2"/>
  <c r="E406" i="2"/>
  <c r="D406" i="2"/>
  <c r="C406" i="2"/>
  <c r="G405" i="2"/>
  <c r="J405" i="2" s="1"/>
  <c r="E405" i="2"/>
  <c r="D405" i="2"/>
  <c r="C405" i="2"/>
  <c r="G404" i="2"/>
  <c r="J404" i="2" s="1"/>
  <c r="E404" i="2"/>
  <c r="D404" i="2"/>
  <c r="C404" i="2"/>
  <c r="G403" i="2"/>
  <c r="J403" i="2" s="1"/>
  <c r="E403" i="2"/>
  <c r="D403" i="2"/>
  <c r="C403" i="2"/>
  <c r="G402" i="2"/>
  <c r="J402" i="2" s="1"/>
  <c r="E402" i="2"/>
  <c r="D402" i="2"/>
  <c r="C402" i="2"/>
  <c r="G401" i="2"/>
  <c r="J401" i="2" s="1"/>
  <c r="E401" i="2"/>
  <c r="D401" i="2"/>
  <c r="C401" i="2"/>
  <c r="G400" i="2"/>
  <c r="J400" i="2" s="1"/>
  <c r="E400" i="2"/>
  <c r="D400" i="2"/>
  <c r="C400" i="2"/>
  <c r="N399" i="2"/>
  <c r="N407" i="2" s="1"/>
  <c r="M399" i="2"/>
  <c r="M406" i="2" s="1"/>
  <c r="M398" i="2"/>
  <c r="G398" i="2"/>
  <c r="J398" i="2" s="1"/>
  <c r="E398" i="2"/>
  <c r="D398" i="2"/>
  <c r="C398" i="2"/>
  <c r="G397" i="2"/>
  <c r="F397" i="2"/>
  <c r="E397" i="2"/>
  <c r="D397" i="2"/>
  <c r="C397" i="2"/>
  <c r="G396" i="2"/>
  <c r="J396" i="2" s="1"/>
  <c r="E396" i="2"/>
  <c r="D396" i="2"/>
  <c r="C396" i="2"/>
  <c r="G395" i="2"/>
  <c r="F395" i="2"/>
  <c r="E395" i="2"/>
  <c r="D395" i="2"/>
  <c r="C395" i="2"/>
  <c r="G394" i="2"/>
  <c r="E394" i="2"/>
  <c r="D394" i="2"/>
  <c r="C394" i="2"/>
  <c r="G393" i="2"/>
  <c r="J393" i="2" s="1"/>
  <c r="E393" i="2"/>
  <c r="D393" i="2"/>
  <c r="C393" i="2"/>
  <c r="G392" i="2"/>
  <c r="J392" i="2" s="1"/>
  <c r="E392" i="2"/>
  <c r="D392" i="2"/>
  <c r="C392" i="2"/>
  <c r="G391" i="2"/>
  <c r="J391" i="2" s="1"/>
  <c r="E391" i="2"/>
  <c r="D391" i="2"/>
  <c r="C391" i="2"/>
  <c r="G390" i="2"/>
  <c r="J390" i="2" s="1"/>
  <c r="E390" i="2"/>
  <c r="D390" i="2"/>
  <c r="C390" i="2"/>
  <c r="G389" i="2"/>
  <c r="J389" i="2" s="1"/>
  <c r="E389" i="2"/>
  <c r="D389" i="2"/>
  <c r="C389" i="2"/>
  <c r="G388" i="2"/>
  <c r="J388" i="2" s="1"/>
  <c r="E388" i="2"/>
  <c r="D388" i="2"/>
  <c r="C388" i="2"/>
  <c r="G387" i="2"/>
  <c r="J387" i="2" s="1"/>
  <c r="E387" i="2"/>
  <c r="D387" i="2"/>
  <c r="C387" i="2"/>
  <c r="G386" i="2"/>
  <c r="F386" i="2"/>
  <c r="E386" i="2"/>
  <c r="D386" i="2"/>
  <c r="C386" i="2"/>
  <c r="N385" i="2"/>
  <c r="N396" i="2" s="1"/>
  <c r="M385" i="2"/>
  <c r="G384" i="2"/>
  <c r="J384" i="2" s="1"/>
  <c r="E384" i="2"/>
  <c r="D384" i="2"/>
  <c r="C384" i="2"/>
  <c r="G383" i="2"/>
  <c r="J383" i="2" s="1"/>
  <c r="E383" i="2"/>
  <c r="D383" i="2"/>
  <c r="C383" i="2"/>
  <c r="G382" i="2"/>
  <c r="E382" i="2"/>
  <c r="D382" i="2"/>
  <c r="C382" i="2"/>
  <c r="G381" i="2"/>
  <c r="J381" i="2" s="1"/>
  <c r="E381" i="2"/>
  <c r="D381" i="2"/>
  <c r="C381" i="2"/>
  <c r="G380" i="2"/>
  <c r="J380" i="2" s="1"/>
  <c r="E380" i="2"/>
  <c r="D380" i="2"/>
  <c r="C380" i="2"/>
  <c r="G379" i="2"/>
  <c r="F379" i="2"/>
  <c r="E379" i="2"/>
  <c r="D379" i="2"/>
  <c r="C379" i="2"/>
  <c r="N378" i="2"/>
  <c r="N383" i="2" s="1"/>
  <c r="M378" i="2"/>
  <c r="M383" i="2" s="1"/>
  <c r="M377" i="2"/>
  <c r="G377" i="2"/>
  <c r="J377" i="2" s="1"/>
  <c r="E377" i="2"/>
  <c r="D377" i="2"/>
  <c r="C377" i="2"/>
  <c r="G376" i="2"/>
  <c r="J376" i="2" s="1"/>
  <c r="E376" i="2"/>
  <c r="D376" i="2"/>
  <c r="C376" i="2"/>
  <c r="G375" i="2"/>
  <c r="E375" i="2"/>
  <c r="D375" i="2"/>
  <c r="C375" i="2"/>
  <c r="G374" i="2"/>
  <c r="J374" i="2" s="1"/>
  <c r="E374" i="2"/>
  <c r="D374" i="2"/>
  <c r="C374" i="2"/>
  <c r="G373" i="2"/>
  <c r="J373" i="2" s="1"/>
  <c r="E373" i="2"/>
  <c r="D373" i="2"/>
  <c r="C373" i="2"/>
  <c r="G372" i="2"/>
  <c r="J372" i="2" s="1"/>
  <c r="E372" i="2"/>
  <c r="D372" i="2"/>
  <c r="C372" i="2"/>
  <c r="G371" i="2"/>
  <c r="J371" i="2" s="1"/>
  <c r="E371" i="2"/>
  <c r="D371" i="2"/>
  <c r="C371" i="2"/>
  <c r="G370" i="2"/>
  <c r="F370" i="2"/>
  <c r="F375" i="2" s="1"/>
  <c r="E370" i="2"/>
  <c r="D370" i="2"/>
  <c r="C370" i="2"/>
  <c r="N369" i="2"/>
  <c r="N374" i="2" s="1"/>
  <c r="M369" i="2"/>
  <c r="M373" i="2" s="1"/>
  <c r="G368" i="2"/>
  <c r="J368" i="2" s="1"/>
  <c r="E368" i="2"/>
  <c r="D368" i="2"/>
  <c r="C368" i="2"/>
  <c r="G367" i="2"/>
  <c r="F367" i="2"/>
  <c r="E367" i="2"/>
  <c r="D367" i="2"/>
  <c r="C367" i="2"/>
  <c r="G366" i="2"/>
  <c r="E366" i="2"/>
  <c r="D366" i="2"/>
  <c r="C366" i="2"/>
  <c r="G365" i="2"/>
  <c r="J365" i="2" s="1"/>
  <c r="E365" i="2"/>
  <c r="D365" i="2"/>
  <c r="C365" i="2"/>
  <c r="G364" i="2"/>
  <c r="J364" i="2" s="1"/>
  <c r="E364" i="2"/>
  <c r="D364" i="2"/>
  <c r="C364" i="2"/>
  <c r="G363" i="2"/>
  <c r="J363" i="2" s="1"/>
  <c r="E363" i="2"/>
  <c r="D363" i="2"/>
  <c r="C363" i="2"/>
  <c r="G362" i="2"/>
  <c r="J362" i="2" s="1"/>
  <c r="E362" i="2"/>
  <c r="D362" i="2"/>
  <c r="C362" i="2"/>
  <c r="G361" i="2"/>
  <c r="F361" i="2"/>
  <c r="F366" i="2" s="1"/>
  <c r="E361" i="2"/>
  <c r="D361" i="2"/>
  <c r="C361" i="2"/>
  <c r="N360" i="2"/>
  <c r="N365" i="2" s="1"/>
  <c r="M360" i="2"/>
  <c r="M365" i="2" s="1"/>
  <c r="M359" i="2"/>
  <c r="G359" i="2"/>
  <c r="J359" i="2" s="1"/>
  <c r="E359" i="2"/>
  <c r="D359" i="2"/>
  <c r="C359" i="2"/>
  <c r="G358" i="2"/>
  <c r="F358" i="2"/>
  <c r="E358" i="2"/>
  <c r="D358" i="2"/>
  <c r="C358" i="2"/>
  <c r="G357" i="2"/>
  <c r="E357" i="2"/>
  <c r="D357" i="2"/>
  <c r="C357" i="2"/>
  <c r="M356" i="2"/>
  <c r="G356" i="2"/>
  <c r="J356" i="2" s="1"/>
  <c r="E356" i="2"/>
  <c r="D356" i="2"/>
  <c r="C356" i="2"/>
  <c r="M355" i="2"/>
  <c r="G355" i="2"/>
  <c r="J355" i="2" s="1"/>
  <c r="E355" i="2"/>
  <c r="D355" i="2"/>
  <c r="C355" i="2"/>
  <c r="G354" i="2"/>
  <c r="J354" i="2" s="1"/>
  <c r="E354" i="2"/>
  <c r="D354" i="2"/>
  <c r="C354" i="2"/>
  <c r="G353" i="2"/>
  <c r="J353" i="2" s="1"/>
  <c r="E353" i="2"/>
  <c r="D353" i="2"/>
  <c r="C353" i="2"/>
  <c r="G352" i="2"/>
  <c r="F352" i="2"/>
  <c r="F357" i="2" s="1"/>
  <c r="E352" i="2"/>
  <c r="D352" i="2"/>
  <c r="C352" i="2"/>
  <c r="M351" i="2"/>
  <c r="M353" i="2" s="1"/>
  <c r="M350" i="2"/>
  <c r="G350" i="2"/>
  <c r="J350" i="2" s="1"/>
  <c r="E350" i="2"/>
  <c r="D350" i="2"/>
  <c r="C350" i="2"/>
  <c r="G349" i="2"/>
  <c r="F349" i="2"/>
  <c r="E349" i="2"/>
  <c r="D349" i="2"/>
  <c r="C349" i="2"/>
  <c r="G348" i="2"/>
  <c r="E348" i="2"/>
  <c r="D348" i="2"/>
  <c r="C348" i="2"/>
  <c r="G347" i="2"/>
  <c r="J347" i="2" s="1"/>
  <c r="E347" i="2"/>
  <c r="D347" i="2"/>
  <c r="C347" i="2"/>
  <c r="G346" i="2"/>
  <c r="J346" i="2" s="1"/>
  <c r="E346" i="2"/>
  <c r="D346" i="2"/>
  <c r="C346" i="2"/>
  <c r="G345" i="2"/>
  <c r="J345" i="2" s="1"/>
  <c r="E345" i="2"/>
  <c r="D345" i="2"/>
  <c r="C345" i="2"/>
  <c r="G344" i="2"/>
  <c r="J344" i="2" s="1"/>
  <c r="E344" i="2"/>
  <c r="D344" i="2"/>
  <c r="C344" i="2"/>
  <c r="G343" i="2"/>
  <c r="F343" i="2"/>
  <c r="F348" i="2" s="1"/>
  <c r="E343" i="2"/>
  <c r="D343" i="2"/>
  <c r="C343" i="2"/>
  <c r="N342" i="2"/>
  <c r="N347" i="2" s="1"/>
  <c r="M342" i="2"/>
  <c r="M347" i="2" s="1"/>
  <c r="M341" i="2"/>
  <c r="G341" i="2"/>
  <c r="J341" i="2" s="1"/>
  <c r="E341" i="2"/>
  <c r="D341" i="2"/>
  <c r="C341" i="2"/>
  <c r="G340" i="2"/>
  <c r="J340" i="2" s="1"/>
  <c r="E340" i="2"/>
  <c r="D340" i="2"/>
  <c r="C340" i="2"/>
  <c r="G339" i="2"/>
  <c r="E339" i="2"/>
  <c r="D339" i="2"/>
  <c r="C339" i="2"/>
  <c r="I338" i="2"/>
  <c r="L338" i="2" s="1"/>
  <c r="H338" i="2"/>
  <c r="K338" i="2" s="1"/>
  <c r="G338" i="2"/>
  <c r="J338" i="2" s="1"/>
  <c r="E338" i="2"/>
  <c r="D338" i="2"/>
  <c r="C338" i="2"/>
  <c r="G337" i="2"/>
  <c r="J337" i="2" s="1"/>
  <c r="E337" i="2"/>
  <c r="D337" i="2"/>
  <c r="C337" i="2"/>
  <c r="G336" i="2"/>
  <c r="F336" i="2"/>
  <c r="E336" i="2"/>
  <c r="D336" i="2"/>
  <c r="C336" i="2"/>
  <c r="N335" i="2"/>
  <c r="N341" i="2" s="1"/>
  <c r="M335" i="2"/>
  <c r="M337" i="2" s="1"/>
  <c r="M334" i="2"/>
  <c r="G334" i="2"/>
  <c r="J334" i="2" s="1"/>
  <c r="E334" i="2"/>
  <c r="D334" i="2"/>
  <c r="C334" i="2"/>
  <c r="G333" i="2"/>
  <c r="J333" i="2" s="1"/>
  <c r="E333" i="2"/>
  <c r="D333" i="2"/>
  <c r="C333" i="2"/>
  <c r="G332" i="2"/>
  <c r="E332" i="2"/>
  <c r="D332" i="2"/>
  <c r="C332" i="2"/>
  <c r="G331" i="2"/>
  <c r="J331" i="2" s="1"/>
  <c r="E331" i="2"/>
  <c r="D331" i="2"/>
  <c r="C331" i="2"/>
  <c r="G330" i="2"/>
  <c r="J330" i="2" s="1"/>
  <c r="E330" i="2"/>
  <c r="D330" i="2"/>
  <c r="C330" i="2"/>
  <c r="G329" i="2"/>
  <c r="J329" i="2" s="1"/>
  <c r="E329" i="2"/>
  <c r="D329" i="2"/>
  <c r="C329" i="2"/>
  <c r="G328" i="2"/>
  <c r="J328" i="2" s="1"/>
  <c r="E328" i="2"/>
  <c r="D328" i="2"/>
  <c r="C328" i="2"/>
  <c r="G327" i="2"/>
  <c r="F327" i="2"/>
  <c r="F332" i="2" s="1"/>
  <c r="E327" i="2"/>
  <c r="D327" i="2"/>
  <c r="C327" i="2"/>
  <c r="M326" i="2"/>
  <c r="M331" i="2" s="1"/>
  <c r="M325" i="2"/>
  <c r="G325" i="2"/>
  <c r="D1131" i="2" s="1"/>
  <c r="E325" i="2"/>
  <c r="D325" i="2"/>
  <c r="C325" i="2"/>
  <c r="G324" i="2"/>
  <c r="J324" i="2" s="1"/>
  <c r="E324" i="2"/>
  <c r="D324" i="2"/>
  <c r="C324" i="2"/>
  <c r="G323" i="2"/>
  <c r="E323" i="2"/>
  <c r="D323" i="2"/>
  <c r="C323" i="2"/>
  <c r="G322" i="2"/>
  <c r="J322" i="2" s="1"/>
  <c r="E322" i="2"/>
  <c r="D322" i="2"/>
  <c r="C322" i="2"/>
  <c r="G321" i="2"/>
  <c r="J321" i="2" s="1"/>
  <c r="E321" i="2"/>
  <c r="D321" i="2"/>
  <c r="C321" i="2"/>
  <c r="G320" i="2"/>
  <c r="J320" i="2" s="1"/>
  <c r="E320" i="2"/>
  <c r="D320" i="2"/>
  <c r="C320" i="2"/>
  <c r="G319" i="2"/>
  <c r="J319" i="2" s="1"/>
  <c r="E319" i="2"/>
  <c r="D319" i="2"/>
  <c r="C319" i="2"/>
  <c r="G318" i="2"/>
  <c r="F318" i="2"/>
  <c r="F323" i="2" s="1"/>
  <c r="E318" i="2"/>
  <c r="D318" i="2"/>
  <c r="C318" i="2"/>
  <c r="N317" i="2"/>
  <c r="N321" i="2" s="1"/>
  <c r="M317" i="2"/>
  <c r="M322" i="2" s="1"/>
  <c r="G316" i="2"/>
  <c r="J316" i="2" s="1"/>
  <c r="E316" i="2"/>
  <c r="D316" i="2"/>
  <c r="C316" i="2"/>
  <c r="G315" i="2"/>
  <c r="J315" i="2" s="1"/>
  <c r="E315" i="2"/>
  <c r="D315" i="2"/>
  <c r="C315" i="2"/>
  <c r="G314" i="2"/>
  <c r="E314" i="2"/>
  <c r="D314" i="2"/>
  <c r="C314" i="2"/>
  <c r="G313" i="2"/>
  <c r="J313" i="2" s="1"/>
  <c r="E313" i="2"/>
  <c r="D313" i="2"/>
  <c r="C313" i="2"/>
  <c r="G312" i="2"/>
  <c r="J312" i="2" s="1"/>
  <c r="E312" i="2"/>
  <c r="D312" i="2"/>
  <c r="C312" i="2"/>
  <c r="G311" i="2"/>
  <c r="F311" i="2"/>
  <c r="E311" i="2"/>
  <c r="D311" i="2"/>
  <c r="C311" i="2"/>
  <c r="N310" i="2"/>
  <c r="N316" i="2" s="1"/>
  <c r="M310" i="2"/>
  <c r="M316" i="2" s="1"/>
  <c r="M309" i="2"/>
  <c r="G309" i="2"/>
  <c r="J309" i="2" s="1"/>
  <c r="E309" i="2"/>
  <c r="D309" i="2"/>
  <c r="C309" i="2"/>
  <c r="M308" i="2"/>
  <c r="G308" i="2"/>
  <c r="J308" i="2" s="1"/>
  <c r="E308" i="2"/>
  <c r="D308" i="2"/>
  <c r="C308" i="2"/>
  <c r="G307" i="2"/>
  <c r="J307" i="2" s="1"/>
  <c r="E307" i="2"/>
  <c r="D307" i="2"/>
  <c r="C307" i="2"/>
  <c r="G306" i="2"/>
  <c r="J306" i="2" s="1"/>
  <c r="E306" i="2"/>
  <c r="D306" i="2"/>
  <c r="C306" i="2"/>
  <c r="G305" i="2"/>
  <c r="J305" i="2" s="1"/>
  <c r="E305" i="2"/>
  <c r="D305" i="2"/>
  <c r="C305" i="2"/>
  <c r="G304" i="2"/>
  <c r="J304" i="2" s="1"/>
  <c r="E304" i="2"/>
  <c r="D304" i="2"/>
  <c r="C304" i="2"/>
  <c r="G303" i="2"/>
  <c r="F303" i="2"/>
  <c r="E303" i="2"/>
  <c r="D303" i="2"/>
  <c r="C303" i="2"/>
  <c r="N302" i="2"/>
  <c r="M302" i="2"/>
  <c r="M307" i="2" s="1"/>
  <c r="G301" i="2"/>
  <c r="J301" i="2" s="1"/>
  <c r="E301" i="2"/>
  <c r="D301" i="2"/>
  <c r="C301" i="2"/>
  <c r="G300" i="2"/>
  <c r="J300" i="2" s="1"/>
  <c r="E300" i="2"/>
  <c r="D300" i="2"/>
  <c r="C300" i="2"/>
  <c r="G299" i="2"/>
  <c r="J299" i="2" s="1"/>
  <c r="E299" i="2"/>
  <c r="D299" i="2"/>
  <c r="C299" i="2"/>
  <c r="G298" i="2"/>
  <c r="J298" i="2" s="1"/>
  <c r="E298" i="2"/>
  <c r="D298" i="2"/>
  <c r="C298" i="2"/>
  <c r="G297" i="2"/>
  <c r="J297" i="2" s="1"/>
  <c r="E297" i="2"/>
  <c r="D297" i="2"/>
  <c r="C297" i="2"/>
  <c r="G296" i="2"/>
  <c r="J296" i="2" s="1"/>
  <c r="E296" i="2"/>
  <c r="D296" i="2"/>
  <c r="C296" i="2"/>
  <c r="G295" i="2"/>
  <c r="J295" i="2" s="1"/>
  <c r="E295" i="2"/>
  <c r="D295" i="2"/>
  <c r="C295" i="2"/>
  <c r="M294" i="2"/>
  <c r="G294" i="2"/>
  <c r="J294" i="2" s="1"/>
  <c r="E294" i="2"/>
  <c r="D294" i="2"/>
  <c r="C294" i="2"/>
  <c r="G293" i="2"/>
  <c r="J293" i="2" s="1"/>
  <c r="E293" i="2"/>
  <c r="D293" i="2"/>
  <c r="C293" i="2"/>
  <c r="G292" i="2"/>
  <c r="J292" i="2" s="1"/>
  <c r="E292" i="2"/>
  <c r="D292" i="2"/>
  <c r="C292" i="2"/>
  <c r="G291" i="2"/>
  <c r="J291" i="2" s="1"/>
  <c r="E291" i="2"/>
  <c r="D291" i="2"/>
  <c r="C291" i="2"/>
  <c r="N290" i="2"/>
  <c r="N309" i="2" s="1"/>
  <c r="M290" i="2"/>
  <c r="M293" i="2" s="1"/>
  <c r="G289" i="2"/>
  <c r="J289" i="2" s="1"/>
  <c r="E289" i="2"/>
  <c r="D289" i="2"/>
  <c r="C289" i="2"/>
  <c r="G288" i="2"/>
  <c r="J288" i="2" s="1"/>
  <c r="E288" i="2"/>
  <c r="D288" i="2"/>
  <c r="C288" i="2"/>
  <c r="G287" i="2"/>
  <c r="J287" i="2" s="1"/>
  <c r="E287" i="2"/>
  <c r="D287" i="2"/>
  <c r="C287" i="2"/>
  <c r="G286" i="2"/>
  <c r="J286" i="2" s="1"/>
  <c r="E286" i="2"/>
  <c r="D286" i="2"/>
  <c r="C286" i="2"/>
  <c r="G285" i="2"/>
  <c r="J285" i="2" s="1"/>
  <c r="E285" i="2"/>
  <c r="D285" i="2"/>
  <c r="C285" i="2"/>
  <c r="G284" i="2"/>
  <c r="J284" i="2" s="1"/>
  <c r="E284" i="2"/>
  <c r="D284" i="2"/>
  <c r="C284" i="2"/>
  <c r="G283" i="2"/>
  <c r="J283" i="2" s="1"/>
  <c r="E283" i="2"/>
  <c r="D283" i="2"/>
  <c r="C283" i="2"/>
  <c r="G282" i="2"/>
  <c r="J282" i="2" s="1"/>
  <c r="E282" i="2"/>
  <c r="D282" i="2"/>
  <c r="C282" i="2"/>
  <c r="G281" i="2"/>
  <c r="J281" i="2" s="1"/>
  <c r="E281" i="2"/>
  <c r="D281" i="2"/>
  <c r="C281" i="2"/>
  <c r="G280" i="2"/>
  <c r="J280" i="2" s="1"/>
  <c r="E280" i="2"/>
  <c r="D280" i="2"/>
  <c r="C280" i="2"/>
  <c r="G279" i="2"/>
  <c r="J279" i="2" s="1"/>
  <c r="E279" i="2"/>
  <c r="D279" i="2"/>
  <c r="C279" i="2"/>
  <c r="N278" i="2"/>
  <c r="N289" i="2" s="1"/>
  <c r="M278" i="2"/>
  <c r="M286" i="2" s="1"/>
  <c r="G277" i="2"/>
  <c r="F277" i="2"/>
  <c r="E277" i="2"/>
  <c r="D277" i="2"/>
  <c r="C277" i="2"/>
  <c r="B276" i="2"/>
  <c r="E276" i="2" s="1"/>
  <c r="B275" i="2"/>
  <c r="E275" i="2" s="1"/>
  <c r="E274" i="2"/>
  <c r="D274" i="2"/>
  <c r="C274" i="2"/>
  <c r="G273" i="2"/>
  <c r="J273" i="2" s="1"/>
  <c r="E273" i="2"/>
  <c r="D273" i="2"/>
  <c r="C273" i="2"/>
  <c r="N272" i="2"/>
  <c r="N273" i="2" s="1"/>
  <c r="M272" i="2"/>
  <c r="M273" i="2" s="1"/>
  <c r="G271" i="2"/>
  <c r="F271" i="2"/>
  <c r="E271" i="2"/>
  <c r="D271" i="2"/>
  <c r="C271" i="2"/>
  <c r="B270" i="2"/>
  <c r="G270" i="2" s="1"/>
  <c r="J270" i="2" s="1"/>
  <c r="B269" i="2"/>
  <c r="G269" i="2" s="1"/>
  <c r="J269" i="2" s="1"/>
  <c r="G268" i="2"/>
  <c r="J268" i="2" s="1"/>
  <c r="E268" i="2"/>
  <c r="D268" i="2"/>
  <c r="C268" i="2"/>
  <c r="E267" i="2"/>
  <c r="D267" i="2"/>
  <c r="C267" i="2"/>
  <c r="G266" i="2"/>
  <c r="J266" i="2" s="1"/>
  <c r="E266" i="2"/>
  <c r="D266" i="2"/>
  <c r="C266" i="2"/>
  <c r="N265" i="2"/>
  <c r="N266" i="2" s="1"/>
  <c r="M265" i="2"/>
  <c r="M266" i="2" s="1"/>
  <c r="G264" i="2"/>
  <c r="F264" i="2"/>
  <c r="E264" i="2"/>
  <c r="D264" i="2"/>
  <c r="C264" i="2"/>
  <c r="B263" i="2"/>
  <c r="G263" i="2" s="1"/>
  <c r="J263" i="2" s="1"/>
  <c r="B262" i="2"/>
  <c r="G262" i="2" s="1"/>
  <c r="J262" i="2" s="1"/>
  <c r="G261" i="2"/>
  <c r="J261" i="2" s="1"/>
  <c r="E261" i="2"/>
  <c r="D261" i="2"/>
  <c r="C261" i="2"/>
  <c r="E260" i="2"/>
  <c r="D260" i="2"/>
  <c r="C260" i="2"/>
  <c r="G259" i="2"/>
  <c r="J259" i="2" s="1"/>
  <c r="E259" i="2"/>
  <c r="D259" i="2"/>
  <c r="C259" i="2"/>
  <c r="N258" i="2"/>
  <c r="N259" i="2" s="1"/>
  <c r="M258" i="2"/>
  <c r="M263" i="2" s="1"/>
  <c r="G257" i="2"/>
  <c r="J257" i="2" s="1"/>
  <c r="E257" i="2"/>
  <c r="D257" i="2"/>
  <c r="C257" i="2"/>
  <c r="G256" i="2"/>
  <c r="F256" i="2"/>
  <c r="E256" i="2"/>
  <c r="D256" i="2"/>
  <c r="C256" i="2"/>
  <c r="M255" i="2"/>
  <c r="G255" i="2"/>
  <c r="J255" i="2" s="1"/>
  <c r="E255" i="2"/>
  <c r="D255" i="2"/>
  <c r="C255" i="2"/>
  <c r="M254" i="2"/>
  <c r="G254" i="2"/>
  <c r="J254" i="2" s="1"/>
  <c r="E254" i="2"/>
  <c r="D254" i="2"/>
  <c r="C254" i="2"/>
  <c r="M253" i="2"/>
  <c r="G253" i="2"/>
  <c r="J253" i="2" s="1"/>
  <c r="E253" i="2"/>
  <c r="D253" i="2"/>
  <c r="C253" i="2"/>
  <c r="M252" i="2"/>
  <c r="G252" i="2"/>
  <c r="J252" i="2" s="1"/>
  <c r="E252" i="2"/>
  <c r="D252" i="2"/>
  <c r="C252" i="2"/>
  <c r="M251" i="2"/>
  <c r="G251" i="2"/>
  <c r="J251" i="2" s="1"/>
  <c r="E251" i="2"/>
  <c r="D251" i="2"/>
  <c r="C251" i="2"/>
  <c r="M250" i="2"/>
  <c r="G250" i="2"/>
  <c r="J250" i="2" s="1"/>
  <c r="E250" i="2"/>
  <c r="D250" i="2"/>
  <c r="C250" i="2"/>
  <c r="M249" i="2"/>
  <c r="G249" i="2"/>
  <c r="J249" i="2" s="1"/>
  <c r="E249" i="2"/>
  <c r="D249" i="2"/>
  <c r="C249" i="2"/>
  <c r="E248" i="2"/>
  <c r="D248" i="2"/>
  <c r="C248" i="2"/>
  <c r="E247" i="2"/>
  <c r="D247" i="2"/>
  <c r="C247" i="2"/>
  <c r="E246" i="2"/>
  <c r="D246" i="2"/>
  <c r="C246" i="2"/>
  <c r="M245" i="2"/>
  <c r="G245" i="2"/>
  <c r="J245" i="2" s="1"/>
  <c r="E245" i="2"/>
  <c r="D245" i="2"/>
  <c r="C245" i="2"/>
  <c r="G244" i="2"/>
  <c r="J244" i="2" s="1"/>
  <c r="E244" i="2"/>
  <c r="D244" i="2"/>
  <c r="C244" i="2"/>
  <c r="G243" i="2"/>
  <c r="J243" i="2" s="1"/>
  <c r="E243" i="2"/>
  <c r="D243" i="2"/>
  <c r="C243" i="2"/>
  <c r="G242" i="2"/>
  <c r="J242" i="2" s="1"/>
  <c r="E242" i="2"/>
  <c r="D242" i="2"/>
  <c r="C242" i="2"/>
  <c r="G241" i="2"/>
  <c r="J241" i="2" s="1"/>
  <c r="E241" i="2"/>
  <c r="D241" i="2"/>
  <c r="C241" i="2"/>
  <c r="G240" i="2"/>
  <c r="J240" i="2" s="1"/>
  <c r="E240" i="2"/>
  <c r="D240" i="2"/>
  <c r="C240" i="2"/>
  <c r="G239" i="2"/>
  <c r="J239" i="2" s="1"/>
  <c r="E239" i="2"/>
  <c r="D239" i="2"/>
  <c r="C239" i="2"/>
  <c r="N238" i="2"/>
  <c r="N253" i="2" s="1"/>
  <c r="M238" i="2"/>
  <c r="M241" i="2" s="1"/>
  <c r="G237" i="2"/>
  <c r="J237" i="2" s="1"/>
  <c r="E237" i="2"/>
  <c r="D237" i="2"/>
  <c r="C237" i="2"/>
  <c r="G236" i="2"/>
  <c r="F236" i="2"/>
  <c r="E236" i="2"/>
  <c r="D236" i="2"/>
  <c r="C236" i="2"/>
  <c r="M235" i="2"/>
  <c r="G235" i="2"/>
  <c r="J235" i="2" s="1"/>
  <c r="E235" i="2"/>
  <c r="D235" i="2"/>
  <c r="C235" i="2"/>
  <c r="M234" i="2"/>
  <c r="G234" i="2"/>
  <c r="J234" i="2" s="1"/>
  <c r="E234" i="2"/>
  <c r="D234" i="2"/>
  <c r="C234" i="2"/>
  <c r="M233" i="2"/>
  <c r="G233" i="2"/>
  <c r="J233" i="2" s="1"/>
  <c r="E233" i="2"/>
  <c r="D233" i="2"/>
  <c r="C233" i="2"/>
  <c r="M232" i="2"/>
  <c r="G232" i="2"/>
  <c r="J232" i="2" s="1"/>
  <c r="E232" i="2"/>
  <c r="D232" i="2"/>
  <c r="C232" i="2"/>
  <c r="M231" i="2"/>
  <c r="G231" i="2"/>
  <c r="J231" i="2" s="1"/>
  <c r="E231" i="2"/>
  <c r="D231" i="2"/>
  <c r="C231" i="2"/>
  <c r="M230" i="2"/>
  <c r="G230" i="2"/>
  <c r="J230" i="2" s="1"/>
  <c r="E230" i="2"/>
  <c r="D230" i="2"/>
  <c r="C230" i="2"/>
  <c r="M229" i="2"/>
  <c r="G229" i="2"/>
  <c r="J229" i="2" s="1"/>
  <c r="E229" i="2"/>
  <c r="D229" i="2"/>
  <c r="C229" i="2"/>
  <c r="M228" i="2"/>
  <c r="G228" i="2"/>
  <c r="J228" i="2" s="1"/>
  <c r="E228" i="2"/>
  <c r="D228" i="2"/>
  <c r="C228" i="2"/>
  <c r="G227" i="2"/>
  <c r="J227" i="2" s="1"/>
  <c r="E227" i="2"/>
  <c r="D227" i="2"/>
  <c r="C227" i="2"/>
  <c r="G226" i="2"/>
  <c r="J226" i="2" s="1"/>
  <c r="E226" i="2"/>
  <c r="D226" i="2"/>
  <c r="C226" i="2"/>
  <c r="G225" i="2"/>
  <c r="J225" i="2" s="1"/>
  <c r="E225" i="2"/>
  <c r="D225" i="2"/>
  <c r="C225" i="2"/>
  <c r="G224" i="2"/>
  <c r="J224" i="2" s="1"/>
  <c r="E224" i="2"/>
  <c r="D224" i="2"/>
  <c r="C224" i="2"/>
  <c r="G223" i="2"/>
  <c r="J223" i="2" s="1"/>
  <c r="E223" i="2"/>
  <c r="D223" i="2"/>
  <c r="C223" i="2"/>
  <c r="G222" i="2"/>
  <c r="J222" i="2" s="1"/>
  <c r="E222" i="2"/>
  <c r="D222" i="2"/>
  <c r="C222" i="2"/>
  <c r="N221" i="2"/>
  <c r="N237" i="2" s="1"/>
  <c r="M221" i="2"/>
  <c r="M225" i="2" s="1"/>
  <c r="M220" i="2"/>
  <c r="G220" i="2"/>
  <c r="J220" i="2" s="1"/>
  <c r="E220" i="2"/>
  <c r="D220" i="2"/>
  <c r="C220" i="2"/>
  <c r="B219" i="2"/>
  <c r="G219" i="2" s="1"/>
  <c r="J219" i="2" s="1"/>
  <c r="B218" i="2"/>
  <c r="G218" i="2" s="1"/>
  <c r="J218" i="2" s="1"/>
  <c r="E217" i="2"/>
  <c r="D217" i="2"/>
  <c r="C217" i="2"/>
  <c r="G216" i="2"/>
  <c r="J216" i="2" s="1"/>
  <c r="E216" i="2"/>
  <c r="D216" i="2"/>
  <c r="C216" i="2"/>
  <c r="N215" i="2"/>
  <c r="N216" i="2" s="1"/>
  <c r="M215" i="2"/>
  <c r="M219" i="2" s="1"/>
  <c r="G214" i="2"/>
  <c r="J214" i="2" s="1"/>
  <c r="E214" i="2"/>
  <c r="D214" i="2"/>
  <c r="C214" i="2"/>
  <c r="G213" i="2"/>
  <c r="J213" i="2" s="1"/>
  <c r="E213" i="2"/>
  <c r="D213" i="2"/>
  <c r="C213" i="2"/>
  <c r="N212" i="2"/>
  <c r="N213" i="2" s="1"/>
  <c r="M212" i="2"/>
  <c r="M214" i="2" s="1"/>
  <c r="G211" i="2"/>
  <c r="J211" i="2" s="1"/>
  <c r="E211" i="2"/>
  <c r="D211" i="2"/>
  <c r="C211" i="2"/>
  <c r="G210" i="2"/>
  <c r="F210" i="2"/>
  <c r="E210" i="2"/>
  <c r="D210" i="2"/>
  <c r="C210" i="2"/>
  <c r="M209" i="2"/>
  <c r="G209" i="2"/>
  <c r="J209" i="2" s="1"/>
  <c r="E209" i="2"/>
  <c r="D209" i="2"/>
  <c r="C209" i="2"/>
  <c r="M208" i="2"/>
  <c r="G208" i="2"/>
  <c r="J208" i="2" s="1"/>
  <c r="E208" i="2"/>
  <c r="D208" i="2"/>
  <c r="C208" i="2"/>
  <c r="M207" i="2"/>
  <c r="G207" i="2"/>
  <c r="J207" i="2" s="1"/>
  <c r="E207" i="2"/>
  <c r="D207" i="2"/>
  <c r="C207" i="2"/>
  <c r="M206" i="2"/>
  <c r="G206" i="2"/>
  <c r="J206" i="2" s="1"/>
  <c r="E206" i="2"/>
  <c r="D206" i="2"/>
  <c r="C206" i="2"/>
  <c r="M205" i="2"/>
  <c r="G205" i="2"/>
  <c r="J205" i="2" s="1"/>
  <c r="E205" i="2"/>
  <c r="D205" i="2"/>
  <c r="C205" i="2"/>
  <c r="M204" i="2"/>
  <c r="G204" i="2"/>
  <c r="J204" i="2" s="1"/>
  <c r="E204" i="2"/>
  <c r="D204" i="2"/>
  <c r="C204" i="2"/>
  <c r="M203" i="2"/>
  <c r="G203" i="2"/>
  <c r="J203" i="2" s="1"/>
  <c r="E203" i="2"/>
  <c r="D203" i="2"/>
  <c r="C203" i="2"/>
  <c r="E202" i="2"/>
  <c r="D202" i="2"/>
  <c r="C202" i="2"/>
  <c r="E201" i="2"/>
  <c r="D201" i="2"/>
  <c r="C201" i="2"/>
  <c r="E200" i="2"/>
  <c r="D200" i="2"/>
  <c r="C200" i="2"/>
  <c r="G199" i="2"/>
  <c r="J199" i="2" s="1"/>
  <c r="E199" i="2"/>
  <c r="D199" i="2"/>
  <c r="C199" i="2"/>
  <c r="B198" i="2"/>
  <c r="G198" i="2" s="1"/>
  <c r="J198" i="2" s="1"/>
  <c r="M197" i="2"/>
  <c r="G197" i="2"/>
  <c r="J197" i="2" s="1"/>
  <c r="E197" i="2"/>
  <c r="D197" i="2"/>
  <c r="C197" i="2"/>
  <c r="M196" i="2"/>
  <c r="G196" i="2"/>
  <c r="J196" i="2" s="1"/>
  <c r="E196" i="2"/>
  <c r="D196" i="2"/>
  <c r="C196" i="2"/>
  <c r="M195" i="2"/>
  <c r="E195" i="2"/>
  <c r="D195" i="2"/>
  <c r="C195" i="2"/>
  <c r="G194" i="2"/>
  <c r="J194" i="2" s="1"/>
  <c r="E194" i="2"/>
  <c r="D194" i="2"/>
  <c r="C194" i="2"/>
  <c r="J193" i="2"/>
  <c r="E193" i="2"/>
  <c r="D193" i="2"/>
  <c r="C193" i="2"/>
  <c r="J192" i="2"/>
  <c r="E192" i="2"/>
  <c r="D192" i="2"/>
  <c r="C192" i="2"/>
  <c r="M191" i="2"/>
  <c r="M200" i="2" s="1"/>
  <c r="G190" i="2"/>
  <c r="J190" i="2" s="1"/>
  <c r="E190" i="2"/>
  <c r="D190" i="2"/>
  <c r="C190" i="2"/>
  <c r="G189" i="2"/>
  <c r="F189" i="2"/>
  <c r="M189" i="2" s="1"/>
  <c r="E189" i="2"/>
  <c r="D189" i="2"/>
  <c r="C189" i="2"/>
  <c r="M188" i="2"/>
  <c r="G188" i="2"/>
  <c r="J188" i="2" s="1"/>
  <c r="E188" i="2"/>
  <c r="D188" i="2"/>
  <c r="C188" i="2"/>
  <c r="M187" i="2"/>
  <c r="G187" i="2"/>
  <c r="J187" i="2" s="1"/>
  <c r="E187" i="2"/>
  <c r="D187" i="2"/>
  <c r="C187" i="2"/>
  <c r="M186" i="2"/>
  <c r="G186" i="2"/>
  <c r="J186" i="2" s="1"/>
  <c r="E186" i="2"/>
  <c r="D186" i="2"/>
  <c r="C186" i="2"/>
  <c r="M185" i="2"/>
  <c r="G185" i="2"/>
  <c r="J185" i="2" s="1"/>
  <c r="E185" i="2"/>
  <c r="D185" i="2"/>
  <c r="C185" i="2"/>
  <c r="M184" i="2"/>
  <c r="E184" i="2"/>
  <c r="D184" i="2"/>
  <c r="C184" i="2"/>
  <c r="M183" i="2"/>
  <c r="E183" i="2"/>
  <c r="D183" i="2"/>
  <c r="C183" i="2"/>
  <c r="M182" i="2"/>
  <c r="E182" i="2"/>
  <c r="D182" i="2"/>
  <c r="C182" i="2"/>
  <c r="G181" i="2"/>
  <c r="J181" i="2" s="1"/>
  <c r="E181" i="2"/>
  <c r="D181" i="2"/>
  <c r="C181" i="2"/>
  <c r="B180" i="2"/>
  <c r="G180" i="2" s="1"/>
  <c r="J180" i="2" s="1"/>
  <c r="M179" i="2"/>
  <c r="G179" i="2"/>
  <c r="J179" i="2" s="1"/>
  <c r="E179" i="2"/>
  <c r="D179" i="2"/>
  <c r="C179" i="2"/>
  <c r="M178" i="2"/>
  <c r="G178" i="2"/>
  <c r="J178" i="2" s="1"/>
  <c r="E178" i="2"/>
  <c r="D178" i="2"/>
  <c r="C178" i="2"/>
  <c r="G177" i="2"/>
  <c r="J177" i="2" s="1"/>
  <c r="E177" i="2"/>
  <c r="D177" i="2"/>
  <c r="C177" i="2"/>
  <c r="J176" i="2"/>
  <c r="E176" i="2"/>
  <c r="D176" i="2"/>
  <c r="C176" i="2"/>
  <c r="J175" i="2"/>
  <c r="E175" i="2"/>
  <c r="D175" i="2"/>
  <c r="C175" i="2"/>
  <c r="M174" i="2"/>
  <c r="M190" i="2" s="1"/>
  <c r="G173" i="2"/>
  <c r="J173" i="2" s="1"/>
  <c r="E173" i="2"/>
  <c r="D173" i="2"/>
  <c r="C173" i="2"/>
  <c r="G172" i="2"/>
  <c r="J172" i="2" s="1"/>
  <c r="E172" i="2"/>
  <c r="D172" i="2"/>
  <c r="C172" i="2"/>
  <c r="G171" i="2"/>
  <c r="J171" i="2" s="1"/>
  <c r="E171" i="2"/>
  <c r="D171" i="2"/>
  <c r="C171" i="2"/>
  <c r="N170" i="2"/>
  <c r="N171" i="2" s="1"/>
  <c r="M170" i="2"/>
  <c r="M172" i="2" s="1"/>
  <c r="G169" i="2"/>
  <c r="F169" i="2"/>
  <c r="M169" i="2" s="1"/>
  <c r="E169" i="2"/>
  <c r="D169" i="2"/>
  <c r="C169" i="2"/>
  <c r="B168" i="2"/>
  <c r="G168" i="2" s="1"/>
  <c r="J168" i="2" s="1"/>
  <c r="B167" i="2"/>
  <c r="G167" i="2" s="1"/>
  <c r="J167" i="2" s="1"/>
  <c r="E166" i="2"/>
  <c r="D166" i="2"/>
  <c r="C166" i="2"/>
  <c r="G165" i="2"/>
  <c r="J165" i="2" s="1"/>
  <c r="E165" i="2"/>
  <c r="D165" i="2"/>
  <c r="C165" i="2"/>
  <c r="N164" i="2"/>
  <c r="N165" i="2" s="1"/>
  <c r="M164" i="2"/>
  <c r="M165" i="2" s="1"/>
  <c r="B163" i="2"/>
  <c r="G163" i="2" s="1"/>
  <c r="J163" i="2" s="1"/>
  <c r="B162" i="2"/>
  <c r="G162" i="2" s="1"/>
  <c r="J162" i="2" s="1"/>
  <c r="M161" i="2"/>
  <c r="M163" i="2" s="1"/>
  <c r="G160" i="2"/>
  <c r="J160" i="2" s="1"/>
  <c r="E160" i="2"/>
  <c r="D160" i="2"/>
  <c r="C160" i="2"/>
  <c r="G159" i="2"/>
  <c r="F159" i="2"/>
  <c r="E159" i="2"/>
  <c r="D159" i="2"/>
  <c r="C159" i="2"/>
  <c r="G158" i="2"/>
  <c r="F158" i="2"/>
  <c r="E158" i="2"/>
  <c r="D158" i="2"/>
  <c r="C158" i="2"/>
  <c r="G157" i="2"/>
  <c r="F157" i="2"/>
  <c r="E157" i="2"/>
  <c r="D157" i="2"/>
  <c r="C157" i="2"/>
  <c r="G156" i="2"/>
  <c r="F156" i="2"/>
  <c r="E156" i="2"/>
  <c r="D156" i="2"/>
  <c r="C156" i="2"/>
  <c r="G155" i="2"/>
  <c r="J155" i="2" s="1"/>
  <c r="E155" i="2"/>
  <c r="D155" i="2"/>
  <c r="C155" i="2"/>
  <c r="G154" i="2"/>
  <c r="J154" i="2" s="1"/>
  <c r="E154" i="2"/>
  <c r="D154" i="2"/>
  <c r="C154" i="2"/>
  <c r="M153" i="2"/>
  <c r="G153" i="2"/>
  <c r="J153" i="2" s="1"/>
  <c r="E153" i="2"/>
  <c r="D153" i="2"/>
  <c r="C153" i="2"/>
  <c r="G152" i="2"/>
  <c r="J152" i="2" s="1"/>
  <c r="E152" i="2"/>
  <c r="D152" i="2"/>
  <c r="C152" i="2"/>
  <c r="G151" i="2"/>
  <c r="J151" i="2" s="1"/>
  <c r="E151" i="2"/>
  <c r="D151" i="2"/>
  <c r="C151" i="2"/>
  <c r="G150" i="2"/>
  <c r="J150" i="2" s="1"/>
  <c r="E150" i="2"/>
  <c r="D150" i="2"/>
  <c r="C150" i="2"/>
  <c r="G149" i="2"/>
  <c r="J149" i="2" s="1"/>
  <c r="E149" i="2"/>
  <c r="D149" i="2"/>
  <c r="C149" i="2"/>
  <c r="G148" i="2"/>
  <c r="J148" i="2" s="1"/>
  <c r="E148" i="2"/>
  <c r="D148" i="2"/>
  <c r="C148" i="2"/>
  <c r="N147" i="2"/>
  <c r="N155" i="2" s="1"/>
  <c r="M147" i="2"/>
  <c r="M155" i="2" s="1"/>
  <c r="G146" i="2"/>
  <c r="J146" i="2" s="1"/>
  <c r="E146" i="2"/>
  <c r="D146" i="2"/>
  <c r="C146" i="2"/>
  <c r="G145" i="2"/>
  <c r="F145" i="2"/>
  <c r="E145" i="2"/>
  <c r="D145" i="2"/>
  <c r="C145" i="2"/>
  <c r="G144" i="2"/>
  <c r="F144" i="2"/>
  <c r="M144" i="2" s="1"/>
  <c r="E144" i="2"/>
  <c r="D144" i="2"/>
  <c r="C144" i="2"/>
  <c r="G143" i="2"/>
  <c r="F143" i="2"/>
  <c r="M143" i="2" s="1"/>
  <c r="E143" i="2"/>
  <c r="D143" i="2"/>
  <c r="C143" i="2"/>
  <c r="G142" i="2"/>
  <c r="F142" i="2"/>
  <c r="M142" i="2" s="1"/>
  <c r="E142" i="2"/>
  <c r="D142" i="2"/>
  <c r="C142" i="2"/>
  <c r="G141" i="2"/>
  <c r="J141" i="2" s="1"/>
  <c r="E141" i="2"/>
  <c r="D141" i="2"/>
  <c r="C141" i="2"/>
  <c r="G140" i="2"/>
  <c r="J140" i="2" s="1"/>
  <c r="E140" i="2"/>
  <c r="D140" i="2"/>
  <c r="C140" i="2"/>
  <c r="M139" i="2"/>
  <c r="G139" i="2"/>
  <c r="J139" i="2" s="1"/>
  <c r="E139" i="2"/>
  <c r="D139" i="2"/>
  <c r="C139" i="2"/>
  <c r="G138" i="2"/>
  <c r="J138" i="2" s="1"/>
  <c r="E138" i="2"/>
  <c r="D138" i="2"/>
  <c r="C138" i="2"/>
  <c r="G137" i="2"/>
  <c r="J137" i="2" s="1"/>
  <c r="E137" i="2"/>
  <c r="D137" i="2"/>
  <c r="C137" i="2"/>
  <c r="G136" i="2"/>
  <c r="J136" i="2" s="1"/>
  <c r="E136" i="2"/>
  <c r="D136" i="2"/>
  <c r="C136" i="2"/>
  <c r="G135" i="2"/>
  <c r="J135" i="2" s="1"/>
  <c r="E135" i="2"/>
  <c r="D135" i="2"/>
  <c r="C135" i="2"/>
  <c r="G134" i="2"/>
  <c r="J134" i="2" s="1"/>
  <c r="E134" i="2"/>
  <c r="D134" i="2"/>
  <c r="C134" i="2"/>
  <c r="N133" i="2"/>
  <c r="N135" i="2" s="1"/>
  <c r="M133" i="2"/>
  <c r="M141" i="2" s="1"/>
  <c r="M132" i="2"/>
  <c r="G132" i="2"/>
  <c r="J132" i="2" s="1"/>
  <c r="E132" i="2"/>
  <c r="D132" i="2"/>
  <c r="C132" i="2"/>
  <c r="B131" i="2"/>
  <c r="G131" i="2" s="1"/>
  <c r="J131" i="2" s="1"/>
  <c r="B130" i="2"/>
  <c r="G130" i="2" s="1"/>
  <c r="J130" i="2" s="1"/>
  <c r="E129" i="2"/>
  <c r="D129" i="2"/>
  <c r="C129" i="2"/>
  <c r="G128" i="2"/>
  <c r="J128" i="2" s="1"/>
  <c r="E128" i="2"/>
  <c r="D128" i="2"/>
  <c r="C128" i="2"/>
  <c r="N127" i="2"/>
  <c r="N129" i="2" s="1"/>
  <c r="M127" i="2"/>
  <c r="M130" i="2" s="1"/>
  <c r="G126" i="2"/>
  <c r="J126" i="2" s="1"/>
  <c r="E126" i="2"/>
  <c r="D126" i="2"/>
  <c r="C126" i="2"/>
  <c r="G125" i="2"/>
  <c r="J125" i="2" s="1"/>
  <c r="E125" i="2"/>
  <c r="D125" i="2"/>
  <c r="C125" i="2"/>
  <c r="N124" i="2"/>
  <c r="N125" i="2" s="1"/>
  <c r="M124" i="2"/>
  <c r="M125" i="2" s="1"/>
  <c r="G123" i="2"/>
  <c r="J123" i="2" s="1"/>
  <c r="E123" i="2"/>
  <c r="D123" i="2"/>
  <c r="C123" i="2"/>
  <c r="M122" i="2"/>
  <c r="G122" i="2"/>
  <c r="J122" i="2" s="1"/>
  <c r="E122" i="2"/>
  <c r="D122" i="2"/>
  <c r="C122" i="2"/>
  <c r="G121" i="2"/>
  <c r="F121" i="2"/>
  <c r="E121" i="2"/>
  <c r="D121" i="2"/>
  <c r="C121" i="2"/>
  <c r="G120" i="2"/>
  <c r="F120" i="2"/>
  <c r="E120" i="2"/>
  <c r="D120" i="2"/>
  <c r="C120" i="2"/>
  <c r="G119" i="2"/>
  <c r="F119" i="2"/>
  <c r="E119" i="2"/>
  <c r="D119" i="2"/>
  <c r="C119" i="2"/>
  <c r="G118" i="2"/>
  <c r="F118" i="2"/>
  <c r="M118" i="2" s="1"/>
  <c r="E118" i="2"/>
  <c r="D118" i="2"/>
  <c r="C118" i="2"/>
  <c r="E117" i="2"/>
  <c r="D117" i="2"/>
  <c r="C117" i="2"/>
  <c r="E116" i="2"/>
  <c r="D116" i="2"/>
  <c r="C116" i="2"/>
  <c r="E115" i="2"/>
  <c r="D115" i="2"/>
  <c r="C115" i="2"/>
  <c r="G114" i="2"/>
  <c r="J114" i="2" s="1"/>
  <c r="E114" i="2"/>
  <c r="D114" i="2"/>
  <c r="C114" i="2"/>
  <c r="G113" i="2"/>
  <c r="J113" i="2" s="1"/>
  <c r="E113" i="2"/>
  <c r="D113" i="2"/>
  <c r="C113" i="2"/>
  <c r="M112" i="2"/>
  <c r="G112" i="2"/>
  <c r="J112" i="2" s="1"/>
  <c r="E112" i="2"/>
  <c r="D112" i="2"/>
  <c r="C112" i="2"/>
  <c r="M111" i="2"/>
  <c r="G111" i="2"/>
  <c r="J111" i="2" s="1"/>
  <c r="E111" i="2"/>
  <c r="D111" i="2"/>
  <c r="C111" i="2"/>
  <c r="G110" i="2"/>
  <c r="J110" i="2" s="1"/>
  <c r="E110" i="2"/>
  <c r="D110" i="2"/>
  <c r="C110" i="2"/>
  <c r="J109" i="2"/>
  <c r="E109" i="2"/>
  <c r="D109" i="2"/>
  <c r="C109" i="2"/>
  <c r="J108" i="2"/>
  <c r="E108" i="2"/>
  <c r="D108" i="2"/>
  <c r="C108" i="2"/>
  <c r="M107" i="2"/>
  <c r="M114" i="2" s="1"/>
  <c r="G106" i="2"/>
  <c r="J106" i="2" s="1"/>
  <c r="E106" i="2"/>
  <c r="D106" i="2"/>
  <c r="C106" i="2"/>
  <c r="M105" i="2"/>
  <c r="G105" i="2"/>
  <c r="J105" i="2" s="1"/>
  <c r="E105" i="2"/>
  <c r="D105" i="2"/>
  <c r="C105" i="2"/>
  <c r="G104" i="2"/>
  <c r="E104" i="2"/>
  <c r="D104" i="2"/>
  <c r="C104" i="2"/>
  <c r="G103" i="2"/>
  <c r="E103" i="2"/>
  <c r="D103" i="2"/>
  <c r="C103" i="2"/>
  <c r="G102" i="2"/>
  <c r="E102" i="2"/>
  <c r="D102" i="2"/>
  <c r="C102" i="2"/>
  <c r="G101" i="2"/>
  <c r="F101" i="2"/>
  <c r="M101" i="2" s="1"/>
  <c r="E101" i="2"/>
  <c r="D101" i="2"/>
  <c r="C101" i="2"/>
  <c r="G100" i="2"/>
  <c r="E100" i="2"/>
  <c r="D100" i="2"/>
  <c r="C100" i="2"/>
  <c r="G99" i="2"/>
  <c r="E99" i="2"/>
  <c r="D99" i="2"/>
  <c r="C99" i="2"/>
  <c r="G98" i="2"/>
  <c r="E98" i="2"/>
  <c r="D98" i="2"/>
  <c r="C98" i="2"/>
  <c r="G97" i="2"/>
  <c r="J97" i="2" s="1"/>
  <c r="E97" i="2"/>
  <c r="D97" i="2"/>
  <c r="C97" i="2"/>
  <c r="G96" i="2"/>
  <c r="J96" i="2" s="1"/>
  <c r="E96" i="2"/>
  <c r="D96" i="2"/>
  <c r="C96" i="2"/>
  <c r="M95" i="2"/>
  <c r="G95" i="2"/>
  <c r="J95" i="2" s="1"/>
  <c r="E95" i="2"/>
  <c r="D95" i="2"/>
  <c r="C95" i="2"/>
  <c r="M94" i="2"/>
  <c r="G94" i="2"/>
  <c r="J94" i="2" s="1"/>
  <c r="E94" i="2"/>
  <c r="D94" i="2"/>
  <c r="C94" i="2"/>
  <c r="G93" i="2"/>
  <c r="F93" i="2"/>
  <c r="E93" i="2"/>
  <c r="D93" i="2"/>
  <c r="C93" i="2"/>
  <c r="F92" i="2"/>
  <c r="E92" i="2"/>
  <c r="D92" i="2"/>
  <c r="C92" i="2"/>
  <c r="F91" i="2"/>
  <c r="E91" i="2"/>
  <c r="D91" i="2"/>
  <c r="C91" i="2"/>
  <c r="M90" i="2"/>
  <c r="M97" i="2" s="1"/>
  <c r="M89" i="2"/>
  <c r="G89" i="2"/>
  <c r="J89" i="2" s="1"/>
  <c r="E89" i="2"/>
  <c r="D89" i="2"/>
  <c r="C89" i="2"/>
  <c r="B88" i="2"/>
  <c r="B87" i="2"/>
  <c r="E87" i="2" s="1"/>
  <c r="E86" i="2"/>
  <c r="D86" i="2"/>
  <c r="C86" i="2"/>
  <c r="G85" i="2"/>
  <c r="J85" i="2" s="1"/>
  <c r="E85" i="2"/>
  <c r="D85" i="2"/>
  <c r="C85" i="2"/>
  <c r="N84" i="2"/>
  <c r="M84" i="2"/>
  <c r="M88" i="2" s="1"/>
  <c r="B83" i="2"/>
  <c r="G83" i="2" s="1"/>
  <c r="J83" i="2" s="1"/>
  <c r="B82" i="2"/>
  <c r="M81" i="2"/>
  <c r="M83" i="2" s="1"/>
  <c r="G80" i="2"/>
  <c r="F80" i="2"/>
  <c r="E80" i="2"/>
  <c r="D80" i="2"/>
  <c r="C80" i="2"/>
  <c r="B79" i="2"/>
  <c r="C79" i="2" s="1"/>
  <c r="B78" i="2"/>
  <c r="E78" i="2" s="1"/>
  <c r="E77" i="2"/>
  <c r="D77" i="2"/>
  <c r="C77" i="2"/>
  <c r="G76" i="2"/>
  <c r="J76" i="2" s="1"/>
  <c r="E76" i="2"/>
  <c r="D76" i="2"/>
  <c r="C76" i="2"/>
  <c r="N75" i="2"/>
  <c r="M75" i="2"/>
  <c r="G74" i="2"/>
  <c r="J74" i="2" s="1"/>
  <c r="E74" i="2"/>
  <c r="D74" i="2"/>
  <c r="C74" i="2"/>
  <c r="B73" i="2"/>
  <c r="D73" i="2" s="1"/>
  <c r="B72" i="2"/>
  <c r="D72" i="2" s="1"/>
  <c r="G71" i="2"/>
  <c r="J71" i="2" s="1"/>
  <c r="E71" i="2"/>
  <c r="D71" i="2"/>
  <c r="C71" i="2"/>
  <c r="E70" i="2"/>
  <c r="D70" i="2"/>
  <c r="C70" i="2"/>
  <c r="G69" i="2"/>
  <c r="J69" i="2" s="1"/>
  <c r="E69" i="2"/>
  <c r="D69" i="2"/>
  <c r="C69" i="2"/>
  <c r="N68" i="2"/>
  <c r="N70" i="2" s="1"/>
  <c r="M68" i="2"/>
  <c r="G67" i="2"/>
  <c r="J67" i="2" s="1"/>
  <c r="E67" i="2"/>
  <c r="D67" i="2"/>
  <c r="C67" i="2"/>
  <c r="B66" i="2"/>
  <c r="D66" i="2" s="1"/>
  <c r="B65" i="2"/>
  <c r="G64" i="2"/>
  <c r="J64" i="2" s="1"/>
  <c r="E64" i="2"/>
  <c r="D64" i="2"/>
  <c r="C64" i="2"/>
  <c r="E63" i="2"/>
  <c r="D63" i="2"/>
  <c r="C63" i="2"/>
  <c r="G62" i="2"/>
  <c r="J62" i="2" s="1"/>
  <c r="E62" i="2"/>
  <c r="D62" i="2"/>
  <c r="C62" i="2"/>
  <c r="N61" i="2"/>
  <c r="N63" i="2" s="1"/>
  <c r="M61" i="2"/>
  <c r="B60" i="2"/>
  <c r="G60" i="2" s="1"/>
  <c r="J60" i="2" s="1"/>
  <c r="B59" i="2"/>
  <c r="D59" i="2" s="1"/>
  <c r="N58" i="2"/>
  <c r="N60" i="2" s="1"/>
  <c r="M58" i="2"/>
  <c r="M59" i="2" s="1"/>
  <c r="G57" i="2"/>
  <c r="J57" i="2" s="1"/>
  <c r="E57" i="2"/>
  <c r="D57" i="2"/>
  <c r="C57" i="2"/>
  <c r="G56" i="2"/>
  <c r="J56" i="2" s="1"/>
  <c r="E56" i="2"/>
  <c r="D56" i="2"/>
  <c r="C56" i="2"/>
  <c r="G55" i="2"/>
  <c r="J55" i="2" s="1"/>
  <c r="E55" i="2"/>
  <c r="D55" i="2"/>
  <c r="C55" i="2"/>
  <c r="G54" i="2"/>
  <c r="J54" i="2" s="1"/>
  <c r="E54" i="2"/>
  <c r="D54" i="2"/>
  <c r="C54" i="2"/>
  <c r="N53" i="2"/>
  <c r="N57" i="2" s="1"/>
  <c r="M53" i="2"/>
  <c r="M55" i="2" s="1"/>
  <c r="M52" i="2"/>
  <c r="G52" i="2"/>
  <c r="J52" i="2" s="1"/>
  <c r="E52" i="2"/>
  <c r="D52" i="2"/>
  <c r="C52" i="2"/>
  <c r="G51" i="2"/>
  <c r="J51" i="2" s="1"/>
  <c r="E51" i="2"/>
  <c r="D51" i="2"/>
  <c r="C51" i="2"/>
  <c r="G50" i="2"/>
  <c r="J50" i="2" s="1"/>
  <c r="E50" i="2"/>
  <c r="D50" i="2"/>
  <c r="C50" i="2"/>
  <c r="G49" i="2"/>
  <c r="J49" i="2" s="1"/>
  <c r="E49" i="2"/>
  <c r="D49" i="2"/>
  <c r="C49" i="2"/>
  <c r="N48" i="2"/>
  <c r="M48" i="2"/>
  <c r="M50" i="2" s="1"/>
  <c r="M47" i="2"/>
  <c r="G47" i="2"/>
  <c r="J47" i="2" s="1"/>
  <c r="E47" i="2"/>
  <c r="D47" i="2"/>
  <c r="C47" i="2"/>
  <c r="G46" i="2"/>
  <c r="J46" i="2" s="1"/>
  <c r="E46" i="2"/>
  <c r="D46" i="2"/>
  <c r="C46" i="2"/>
  <c r="G45" i="2"/>
  <c r="J45" i="2" s="1"/>
  <c r="E45" i="2"/>
  <c r="D45" i="2"/>
  <c r="C45" i="2"/>
  <c r="G44" i="2"/>
  <c r="J44" i="2" s="1"/>
  <c r="E44" i="2"/>
  <c r="D44" i="2"/>
  <c r="C44" i="2"/>
  <c r="N43" i="2"/>
  <c r="N45" i="2" s="1"/>
  <c r="M43" i="2"/>
  <c r="M46" i="2" s="1"/>
  <c r="M42" i="2"/>
  <c r="G42" i="2"/>
  <c r="J42" i="2" s="1"/>
  <c r="E42" i="2"/>
  <c r="D42" i="2"/>
  <c r="C42" i="2"/>
  <c r="G41" i="2"/>
  <c r="J41" i="2" s="1"/>
  <c r="E41" i="2"/>
  <c r="D41" i="2"/>
  <c r="C41" i="2"/>
  <c r="G40" i="2"/>
  <c r="J40" i="2" s="1"/>
  <c r="E40" i="2"/>
  <c r="D40" i="2"/>
  <c r="C40" i="2"/>
  <c r="G39" i="2"/>
  <c r="J39" i="2" s="1"/>
  <c r="E39" i="2"/>
  <c r="D39" i="2"/>
  <c r="C39" i="2"/>
  <c r="N38" i="2"/>
  <c r="N42" i="2" s="1"/>
  <c r="M38" i="2"/>
  <c r="M40" i="2" s="1"/>
  <c r="G37" i="2"/>
  <c r="F37" i="2"/>
  <c r="M37" i="2" s="1"/>
  <c r="E37" i="2"/>
  <c r="D37" i="2"/>
  <c r="C37" i="2"/>
  <c r="G36" i="2"/>
  <c r="J36" i="2" s="1"/>
  <c r="E36" i="2"/>
  <c r="D36" i="2"/>
  <c r="C36" i="2"/>
  <c r="G35" i="2"/>
  <c r="J35" i="2" s="1"/>
  <c r="E35" i="2"/>
  <c r="D35" i="2"/>
  <c r="C35" i="2"/>
  <c r="G34" i="2"/>
  <c r="J34" i="2" s="1"/>
  <c r="E34" i="2"/>
  <c r="D34" i="2"/>
  <c r="C34" i="2"/>
  <c r="N33" i="2"/>
  <c r="N35" i="2" s="1"/>
  <c r="M33" i="2"/>
  <c r="M35" i="2" s="1"/>
  <c r="G32" i="2"/>
  <c r="F32" i="2"/>
  <c r="M32" i="2" s="1"/>
  <c r="E32" i="2"/>
  <c r="D32" i="2"/>
  <c r="C32" i="2"/>
  <c r="G31" i="2"/>
  <c r="J31" i="2" s="1"/>
  <c r="E31" i="2"/>
  <c r="D31" i="2"/>
  <c r="C31" i="2"/>
  <c r="G30" i="2"/>
  <c r="J30" i="2" s="1"/>
  <c r="E30" i="2"/>
  <c r="D30" i="2"/>
  <c r="C30" i="2"/>
  <c r="G29" i="2"/>
  <c r="J29" i="2" s="1"/>
  <c r="E29" i="2"/>
  <c r="D29" i="2"/>
  <c r="C29" i="2"/>
  <c r="N28" i="2"/>
  <c r="N29" i="2" s="1"/>
  <c r="M28" i="2"/>
  <c r="M30" i="2" s="1"/>
  <c r="M27" i="2"/>
  <c r="G27" i="2"/>
  <c r="J27" i="2" s="1"/>
  <c r="E27" i="2"/>
  <c r="D27" i="2"/>
  <c r="C27" i="2"/>
  <c r="G26" i="2"/>
  <c r="J26" i="2" s="1"/>
  <c r="E26" i="2"/>
  <c r="D26" i="2"/>
  <c r="C26" i="2"/>
  <c r="G25" i="2"/>
  <c r="J25" i="2" s="1"/>
  <c r="E25" i="2"/>
  <c r="D25" i="2"/>
  <c r="C25" i="2"/>
  <c r="G24" i="2"/>
  <c r="J24" i="2" s="1"/>
  <c r="E24" i="2"/>
  <c r="D24" i="2"/>
  <c r="C24" i="2"/>
  <c r="N23" i="2"/>
  <c r="N27" i="2" s="1"/>
  <c r="M23" i="2"/>
  <c r="M25" i="2" s="1"/>
  <c r="M22" i="2"/>
  <c r="G22" i="2"/>
  <c r="J22" i="2" s="1"/>
  <c r="E22" i="2"/>
  <c r="D22" i="2"/>
  <c r="C22" i="2"/>
  <c r="G21" i="2"/>
  <c r="J21" i="2" s="1"/>
  <c r="E21" i="2"/>
  <c r="D21" i="2"/>
  <c r="C21" i="2"/>
  <c r="M20" i="2"/>
  <c r="G20" i="2"/>
  <c r="J20" i="2" s="1"/>
  <c r="E20" i="2"/>
  <c r="D20" i="2"/>
  <c r="C20" i="2"/>
  <c r="G19" i="2"/>
  <c r="J19" i="2" s="1"/>
  <c r="E19" i="2"/>
  <c r="D19" i="2"/>
  <c r="C19" i="2"/>
  <c r="N18" i="2"/>
  <c r="N20" i="2" s="1"/>
  <c r="M18" i="2"/>
  <c r="G17" i="2"/>
  <c r="J17" i="2" s="1"/>
  <c r="E17" i="2"/>
  <c r="D17" i="2"/>
  <c r="C17" i="2"/>
  <c r="G16" i="2"/>
  <c r="J16" i="2" s="1"/>
  <c r="E16" i="2"/>
  <c r="D16" i="2"/>
  <c r="C16" i="2"/>
  <c r="G15" i="2"/>
  <c r="J15" i="2" s="1"/>
  <c r="E15" i="2"/>
  <c r="D15" i="2"/>
  <c r="C15" i="2"/>
  <c r="G14" i="2"/>
  <c r="J14" i="2" s="1"/>
  <c r="E14" i="2"/>
  <c r="D14" i="2"/>
  <c r="C14" i="2"/>
  <c r="N13" i="2"/>
  <c r="N17" i="2" s="1"/>
  <c r="M13" i="2"/>
  <c r="M17" i="2" s="1"/>
  <c r="G12" i="2"/>
  <c r="J12" i="2" s="1"/>
  <c r="E12" i="2"/>
  <c r="D12" i="2"/>
  <c r="C12" i="2"/>
  <c r="G11" i="2"/>
  <c r="J11" i="2" s="1"/>
  <c r="E11" i="2"/>
  <c r="D11" i="2"/>
  <c r="C11" i="2"/>
  <c r="G10" i="2"/>
  <c r="J10" i="2" s="1"/>
  <c r="E10" i="2"/>
  <c r="D10" i="2"/>
  <c r="C10" i="2"/>
  <c r="G9" i="2"/>
  <c r="J9" i="2" s="1"/>
  <c r="E9" i="2"/>
  <c r="D9" i="2"/>
  <c r="C9" i="2"/>
  <c r="N8" i="2"/>
  <c r="N12" i="2" s="1"/>
  <c r="M8" i="2"/>
  <c r="M10" i="2" s="1"/>
  <c r="H389" i="11"/>
  <c r="F389" i="11"/>
  <c r="E389" i="11"/>
  <c r="D389" i="11"/>
  <c r="H386" i="11"/>
  <c r="F386" i="11"/>
  <c r="E386" i="11"/>
  <c r="D386" i="11"/>
  <c r="H385" i="11"/>
  <c r="F385" i="11"/>
  <c r="E385" i="11"/>
  <c r="D385" i="11"/>
  <c r="H384" i="11"/>
  <c r="F384" i="11"/>
  <c r="E384" i="11"/>
  <c r="D384" i="11"/>
  <c r="H380" i="11"/>
  <c r="K380" i="11" s="1"/>
  <c r="F380" i="11"/>
  <c r="E380" i="11"/>
  <c r="D380" i="11"/>
  <c r="H379" i="11"/>
  <c r="K379" i="11" s="1"/>
  <c r="F379" i="11"/>
  <c r="E379" i="11"/>
  <c r="D379" i="11"/>
  <c r="H372" i="11"/>
  <c r="F372" i="11"/>
  <c r="E372" i="11"/>
  <c r="D372" i="11"/>
  <c r="M369" i="11"/>
  <c r="L369" i="11"/>
  <c r="K369" i="11"/>
  <c r="D369" i="11"/>
  <c r="D368" i="11"/>
  <c r="H365" i="11"/>
  <c r="F365" i="11"/>
  <c r="E365" i="11"/>
  <c r="D365" i="11"/>
  <c r="H364" i="11"/>
  <c r="F364" i="11"/>
  <c r="E364" i="11"/>
  <c r="D364" i="11"/>
  <c r="H363" i="11"/>
  <c r="F363" i="11"/>
  <c r="E363" i="11"/>
  <c r="D363" i="11"/>
  <c r="H359" i="11"/>
  <c r="K359" i="11" s="1"/>
  <c r="F359" i="11"/>
  <c r="E359" i="11"/>
  <c r="D359" i="11"/>
  <c r="H358" i="11"/>
  <c r="K358" i="11" s="1"/>
  <c r="F358" i="11"/>
  <c r="E358" i="11"/>
  <c r="D358" i="11"/>
  <c r="H351" i="11"/>
  <c r="K351" i="11" s="1"/>
  <c r="F351" i="11"/>
  <c r="E351" i="11"/>
  <c r="D351" i="11"/>
  <c r="M348" i="11"/>
  <c r="L348" i="11"/>
  <c r="K348" i="11"/>
  <c r="D348" i="11"/>
  <c r="D347" i="11"/>
  <c r="H344" i="11"/>
  <c r="F344" i="11"/>
  <c r="E344" i="11"/>
  <c r="D344" i="11"/>
  <c r="H343" i="11"/>
  <c r="F343" i="11"/>
  <c r="E343" i="11"/>
  <c r="D343" i="11"/>
  <c r="H342" i="11"/>
  <c r="F342" i="11"/>
  <c r="E342" i="11"/>
  <c r="D342" i="11"/>
  <c r="H338" i="11"/>
  <c r="K338" i="11" s="1"/>
  <c r="F338" i="11"/>
  <c r="E338" i="11"/>
  <c r="D338" i="11"/>
  <c r="H337" i="11"/>
  <c r="K337" i="11" s="1"/>
  <c r="F337" i="11"/>
  <c r="E337" i="11"/>
  <c r="D337" i="11"/>
  <c r="H330" i="11"/>
  <c r="K330" i="11" s="1"/>
  <c r="F330" i="11"/>
  <c r="E330" i="11"/>
  <c r="D330" i="11"/>
  <c r="M327" i="11"/>
  <c r="L327" i="11"/>
  <c r="K327" i="11"/>
  <c r="D327" i="11"/>
  <c r="D326" i="11"/>
  <c r="H323" i="11"/>
  <c r="F323" i="11"/>
  <c r="E323" i="11"/>
  <c r="D323" i="11"/>
  <c r="H322" i="11"/>
  <c r="F322" i="11"/>
  <c r="E322" i="11"/>
  <c r="D322" i="11"/>
  <c r="H321" i="11"/>
  <c r="F321" i="11"/>
  <c r="E321" i="11"/>
  <c r="D321" i="11"/>
  <c r="H317" i="11"/>
  <c r="K317" i="11" s="1"/>
  <c r="F317" i="11"/>
  <c r="E317" i="11"/>
  <c r="D317" i="11"/>
  <c r="H316" i="11"/>
  <c r="K316" i="11" s="1"/>
  <c r="F316" i="11"/>
  <c r="E316" i="11"/>
  <c r="D316" i="11"/>
  <c r="H309" i="11"/>
  <c r="K309" i="11" s="1"/>
  <c r="F309" i="11"/>
  <c r="E309" i="11"/>
  <c r="D309" i="11"/>
  <c r="M306" i="11"/>
  <c r="L306" i="11"/>
  <c r="K306" i="11"/>
  <c r="D306" i="11"/>
  <c r="D305" i="11"/>
  <c r="H304" i="11"/>
  <c r="F304" i="11"/>
  <c r="E304" i="11"/>
  <c r="D304" i="11"/>
  <c r="H303" i="11"/>
  <c r="G303" i="11"/>
  <c r="O303" i="11" s="1"/>
  <c r="F303" i="11"/>
  <c r="E303" i="11"/>
  <c r="D303" i="11"/>
  <c r="H302" i="11"/>
  <c r="G302" i="11"/>
  <c r="O302" i="11" s="1"/>
  <c r="F302" i="11"/>
  <c r="E302" i="11"/>
  <c r="D302" i="11"/>
  <c r="H301" i="11"/>
  <c r="K301" i="11" s="1"/>
  <c r="F301" i="11"/>
  <c r="E301" i="11"/>
  <c r="D301" i="11"/>
  <c r="H300" i="11"/>
  <c r="F300" i="11"/>
  <c r="E300" i="11"/>
  <c r="D300" i="11"/>
  <c r="H299" i="11"/>
  <c r="F299" i="11"/>
  <c r="E299" i="11"/>
  <c r="D299" i="11"/>
  <c r="H298" i="11"/>
  <c r="F298" i="11"/>
  <c r="E298" i="11"/>
  <c r="D298" i="11"/>
  <c r="H297" i="11"/>
  <c r="F297" i="11"/>
  <c r="E297" i="11"/>
  <c r="D297" i="11"/>
  <c r="M296" i="11"/>
  <c r="L296" i="11"/>
  <c r="K296" i="11"/>
  <c r="D296" i="11"/>
  <c r="D295" i="11"/>
  <c r="H294" i="11"/>
  <c r="F294" i="11"/>
  <c r="E294" i="11"/>
  <c r="D294" i="11"/>
  <c r="H293" i="11"/>
  <c r="G293" i="11"/>
  <c r="O293" i="11" s="1"/>
  <c r="F293" i="11"/>
  <c r="E293" i="11"/>
  <c r="D293" i="11"/>
  <c r="H292" i="11"/>
  <c r="G292" i="11"/>
  <c r="F292" i="11"/>
  <c r="E292" i="11"/>
  <c r="D292" i="11"/>
  <c r="H291" i="11"/>
  <c r="K291" i="11" s="1"/>
  <c r="F291" i="11"/>
  <c r="E291" i="11"/>
  <c r="D291" i="11"/>
  <c r="H290" i="11"/>
  <c r="F290" i="11"/>
  <c r="E290" i="11"/>
  <c r="D290" i="11"/>
  <c r="H289" i="11"/>
  <c r="F289" i="11"/>
  <c r="E289" i="11"/>
  <c r="D289" i="11"/>
  <c r="H288" i="11"/>
  <c r="F288" i="11"/>
  <c r="E288" i="11"/>
  <c r="D288" i="11"/>
  <c r="H287" i="11"/>
  <c r="F287" i="11"/>
  <c r="E287" i="11"/>
  <c r="D287" i="11"/>
  <c r="H286" i="11"/>
  <c r="F286" i="11"/>
  <c r="E286" i="11"/>
  <c r="D286" i="11"/>
  <c r="H285" i="11"/>
  <c r="F285" i="11"/>
  <c r="E285" i="11"/>
  <c r="D285" i="11"/>
  <c r="M284" i="11"/>
  <c r="L284" i="11"/>
  <c r="K284" i="11"/>
  <c r="D284" i="11"/>
  <c r="D283" i="11"/>
  <c r="H282" i="11"/>
  <c r="F282" i="11"/>
  <c r="E282" i="11"/>
  <c r="D282" i="11"/>
  <c r="H281" i="11"/>
  <c r="F281" i="11"/>
  <c r="E281" i="11"/>
  <c r="D281" i="11"/>
  <c r="H280" i="11"/>
  <c r="F280" i="11"/>
  <c r="E280" i="11"/>
  <c r="D280" i="11"/>
  <c r="H279" i="11"/>
  <c r="F279" i="11"/>
  <c r="E279" i="11"/>
  <c r="D279" i="11"/>
  <c r="H278" i="11"/>
  <c r="F278" i="11"/>
  <c r="E278" i="11"/>
  <c r="D278" i="11"/>
  <c r="M277" i="11"/>
  <c r="L277" i="11"/>
  <c r="K277" i="11"/>
  <c r="D277" i="11"/>
  <c r="D276" i="11"/>
  <c r="H275" i="11"/>
  <c r="F275" i="11"/>
  <c r="E275" i="11"/>
  <c r="D275" i="11"/>
  <c r="H274" i="11"/>
  <c r="F274" i="11"/>
  <c r="E274" i="11"/>
  <c r="D274" i="11"/>
  <c r="H273" i="11"/>
  <c r="F273" i="11"/>
  <c r="E273" i="11"/>
  <c r="D273" i="11"/>
  <c r="H272" i="11"/>
  <c r="F272" i="11"/>
  <c r="E272" i="11"/>
  <c r="D272" i="11"/>
  <c r="M269" i="11"/>
  <c r="L269" i="11"/>
  <c r="K269" i="11"/>
  <c r="D269" i="11"/>
  <c r="D268" i="11"/>
  <c r="H267" i="11"/>
  <c r="F267" i="11"/>
  <c r="E267" i="11"/>
  <c r="D267" i="11"/>
  <c r="H266" i="11"/>
  <c r="F266" i="11"/>
  <c r="E266" i="11"/>
  <c r="D266" i="11"/>
  <c r="H265" i="11"/>
  <c r="F265" i="11"/>
  <c r="E265" i="11"/>
  <c r="D265" i="11"/>
  <c r="H264" i="11"/>
  <c r="F264" i="11"/>
  <c r="E264" i="11"/>
  <c r="D264" i="11"/>
  <c r="M263" i="11"/>
  <c r="L263" i="11"/>
  <c r="K263" i="11"/>
  <c r="D263" i="11"/>
  <c r="D262" i="11"/>
  <c r="H261" i="11"/>
  <c r="F261" i="11"/>
  <c r="E261" i="11"/>
  <c r="D261" i="11"/>
  <c r="H260" i="11"/>
  <c r="F260" i="11"/>
  <c r="E260" i="11"/>
  <c r="D260" i="11"/>
  <c r="H259" i="11"/>
  <c r="F259" i="11"/>
  <c r="E259" i="11"/>
  <c r="D259" i="11"/>
  <c r="H258" i="11"/>
  <c r="F258" i="11"/>
  <c r="E258" i="11"/>
  <c r="D258" i="11"/>
  <c r="H257" i="11"/>
  <c r="F257" i="11"/>
  <c r="E257" i="11"/>
  <c r="D257" i="11"/>
  <c r="H256" i="11"/>
  <c r="K256" i="11" s="1"/>
  <c r="F256" i="11"/>
  <c r="E256" i="11"/>
  <c r="D256" i="11"/>
  <c r="H255" i="11"/>
  <c r="K255" i="11" s="1"/>
  <c r="F255" i="11"/>
  <c r="E255" i="11"/>
  <c r="D255" i="11"/>
  <c r="H254" i="11"/>
  <c r="F254" i="11"/>
  <c r="E254" i="11"/>
  <c r="D254" i="11"/>
  <c r="H253" i="11"/>
  <c r="K253" i="11" s="1"/>
  <c r="F253" i="11"/>
  <c r="E253" i="11"/>
  <c r="D253" i="11"/>
  <c r="H252" i="11"/>
  <c r="F252" i="11"/>
  <c r="E252" i="11"/>
  <c r="D252" i="11"/>
  <c r="H251" i="11"/>
  <c r="F251" i="11"/>
  <c r="E251" i="11"/>
  <c r="D251" i="11"/>
  <c r="H250" i="11"/>
  <c r="K250" i="11" s="1"/>
  <c r="F250" i="11"/>
  <c r="E250" i="11"/>
  <c r="D250" i="11"/>
  <c r="H249" i="11"/>
  <c r="F249" i="11"/>
  <c r="E249" i="11"/>
  <c r="D249" i="11"/>
  <c r="H248" i="11"/>
  <c r="F248" i="11"/>
  <c r="E248" i="11"/>
  <c r="D248" i="11"/>
  <c r="M247" i="11"/>
  <c r="L247" i="11"/>
  <c r="K247" i="11"/>
  <c r="D247" i="11"/>
  <c r="G246" i="11"/>
  <c r="G260" i="11" s="1"/>
  <c r="O260" i="11" s="1"/>
  <c r="D246" i="11"/>
  <c r="H245" i="11"/>
  <c r="F245" i="11"/>
  <c r="E245" i="11"/>
  <c r="D245" i="11"/>
  <c r="F244" i="11"/>
  <c r="E244" i="11"/>
  <c r="D244" i="11"/>
  <c r="F243" i="11"/>
  <c r="E243" i="11"/>
  <c r="D243" i="11"/>
  <c r="F242" i="11"/>
  <c r="E242" i="11"/>
  <c r="D242" i="11"/>
  <c r="F241" i="11"/>
  <c r="E241" i="11"/>
  <c r="D241" i="11"/>
  <c r="M240" i="11"/>
  <c r="L240" i="11"/>
  <c r="K240" i="11"/>
  <c r="D240" i="11"/>
  <c r="G239" i="11"/>
  <c r="G242" i="11" s="1"/>
  <c r="O242" i="11" s="1"/>
  <c r="D239" i="11"/>
  <c r="H238" i="11"/>
  <c r="F238" i="11"/>
  <c r="E238" i="11"/>
  <c r="D238" i="11"/>
  <c r="F237" i="11"/>
  <c r="E237" i="11"/>
  <c r="D237" i="11"/>
  <c r="F236" i="11"/>
  <c r="E236" i="11"/>
  <c r="D236" i="11"/>
  <c r="F235" i="11"/>
  <c r="E235" i="11"/>
  <c r="D235" i="11"/>
  <c r="F234" i="11"/>
  <c r="E234" i="11"/>
  <c r="D234" i="11"/>
  <c r="M233" i="11"/>
  <c r="L233" i="11"/>
  <c r="K233" i="11"/>
  <c r="D233" i="11"/>
  <c r="G232" i="11"/>
  <c r="D232" i="11"/>
  <c r="H231" i="11"/>
  <c r="F231" i="11"/>
  <c r="E231" i="11"/>
  <c r="D231" i="11"/>
  <c r="F230" i="11"/>
  <c r="E230" i="11"/>
  <c r="D230" i="11"/>
  <c r="F229" i="11"/>
  <c r="E229" i="11"/>
  <c r="D229" i="11"/>
  <c r="F228" i="11"/>
  <c r="E228" i="11"/>
  <c r="D228" i="11"/>
  <c r="F227" i="11"/>
  <c r="E227" i="11"/>
  <c r="D227" i="11"/>
  <c r="M226" i="11"/>
  <c r="L226" i="11"/>
  <c r="K226" i="11"/>
  <c r="D226" i="11"/>
  <c r="G225" i="11"/>
  <c r="G230" i="11" s="1"/>
  <c r="O230" i="11" s="1"/>
  <c r="D225" i="11"/>
  <c r="H224" i="11"/>
  <c r="F224" i="11"/>
  <c r="E224" i="11"/>
  <c r="D224" i="11"/>
  <c r="H223" i="11"/>
  <c r="F223" i="11"/>
  <c r="E223" i="11"/>
  <c r="D223" i="11"/>
  <c r="H222" i="11"/>
  <c r="F222" i="11"/>
  <c r="E222" i="11"/>
  <c r="D222" i="11"/>
  <c r="F221" i="11"/>
  <c r="E221" i="11"/>
  <c r="D221" i="11"/>
  <c r="F220" i="11"/>
  <c r="E220" i="11"/>
  <c r="D220" i="11"/>
  <c r="M219" i="11"/>
  <c r="L219" i="11"/>
  <c r="K219" i="11"/>
  <c r="D219" i="11"/>
  <c r="G218" i="11"/>
  <c r="L218" i="11" s="1"/>
  <c r="D218" i="11"/>
  <c r="H217" i="11"/>
  <c r="G217" i="11"/>
  <c r="F217" i="11"/>
  <c r="E217" i="11"/>
  <c r="D217" i="11"/>
  <c r="G216" i="11"/>
  <c r="O216" i="11" s="1"/>
  <c r="F216" i="11"/>
  <c r="E216" i="11"/>
  <c r="D216" i="11"/>
  <c r="G215" i="11"/>
  <c r="F215" i="11"/>
  <c r="E215" i="11"/>
  <c r="D215" i="11"/>
  <c r="G214" i="11"/>
  <c r="F214" i="11"/>
  <c r="E214" i="11"/>
  <c r="D214" i="11"/>
  <c r="H213" i="11"/>
  <c r="G213" i="11"/>
  <c r="F213" i="11"/>
  <c r="E213" i="11"/>
  <c r="D213" i="11"/>
  <c r="H212" i="11"/>
  <c r="G212" i="11"/>
  <c r="O212" i="11" s="1"/>
  <c r="F212" i="11"/>
  <c r="E212" i="11"/>
  <c r="D212" i="11"/>
  <c r="H211" i="11"/>
  <c r="G211" i="11"/>
  <c r="F211" i="11"/>
  <c r="E211" i="11"/>
  <c r="D211" i="11"/>
  <c r="G210" i="11"/>
  <c r="F210" i="11"/>
  <c r="E210" i="11"/>
  <c r="D210" i="11"/>
  <c r="M209" i="11"/>
  <c r="L209" i="11"/>
  <c r="K209" i="11"/>
  <c r="D209" i="11"/>
  <c r="M208" i="11"/>
  <c r="L208" i="11"/>
  <c r="K208" i="11"/>
  <c r="D208" i="11"/>
  <c r="C208" i="11"/>
  <c r="H207" i="11"/>
  <c r="G207" i="11"/>
  <c r="O207" i="11" s="1"/>
  <c r="F207" i="11"/>
  <c r="E207" i="11"/>
  <c r="D207" i="11"/>
  <c r="G206" i="11"/>
  <c r="F206" i="11"/>
  <c r="E206" i="11"/>
  <c r="D206" i="11"/>
  <c r="G205" i="11"/>
  <c r="F205" i="11"/>
  <c r="E205" i="11"/>
  <c r="D205" i="11"/>
  <c r="G204" i="11"/>
  <c r="F204" i="11"/>
  <c r="E204" i="11"/>
  <c r="D204" i="11"/>
  <c r="H203" i="11"/>
  <c r="G203" i="11"/>
  <c r="O203" i="11" s="1"/>
  <c r="F203" i="11"/>
  <c r="E203" i="11"/>
  <c r="D203" i="11"/>
  <c r="H202" i="11"/>
  <c r="G202" i="11"/>
  <c r="F202" i="11"/>
  <c r="E202" i="11"/>
  <c r="D202" i="11"/>
  <c r="H201" i="11"/>
  <c r="G201" i="11"/>
  <c r="F201" i="11"/>
  <c r="E201" i="11"/>
  <c r="D201" i="11"/>
  <c r="G200" i="11"/>
  <c r="F200" i="11"/>
  <c r="E200" i="11"/>
  <c r="D200" i="11"/>
  <c r="M199" i="11"/>
  <c r="L199" i="11"/>
  <c r="K199" i="11"/>
  <c r="D199" i="11"/>
  <c r="M198" i="11"/>
  <c r="L198" i="11"/>
  <c r="K198" i="11"/>
  <c r="D198" i="11"/>
  <c r="C198" i="11"/>
  <c r="H197" i="11"/>
  <c r="G197" i="11"/>
  <c r="F197" i="11"/>
  <c r="E197" i="11"/>
  <c r="D197" i="11"/>
  <c r="H196" i="11"/>
  <c r="G196" i="11"/>
  <c r="F196" i="11"/>
  <c r="E196" i="11"/>
  <c r="D196" i="11"/>
  <c r="H195" i="11"/>
  <c r="G195" i="11"/>
  <c r="O195" i="11" s="1"/>
  <c r="F195" i="11"/>
  <c r="E195" i="11"/>
  <c r="D195" i="11"/>
  <c r="H194" i="11"/>
  <c r="G194" i="11"/>
  <c r="O194" i="11" s="1"/>
  <c r="F194" i="11"/>
  <c r="E194" i="11"/>
  <c r="D194" i="11"/>
  <c r="H193" i="11"/>
  <c r="G193" i="11"/>
  <c r="F193" i="11"/>
  <c r="E193" i="11"/>
  <c r="D193" i="11"/>
  <c r="H192" i="11"/>
  <c r="G192" i="11"/>
  <c r="F192" i="11"/>
  <c r="E192" i="11"/>
  <c r="D192" i="11"/>
  <c r="H191" i="11"/>
  <c r="G191" i="11"/>
  <c r="O191" i="11" s="1"/>
  <c r="F191" i="11"/>
  <c r="E191" i="11"/>
  <c r="D191" i="11"/>
  <c r="H190" i="11"/>
  <c r="G190" i="11"/>
  <c r="O190" i="11" s="1"/>
  <c r="F190" i="11"/>
  <c r="E190" i="11"/>
  <c r="D190" i="11"/>
  <c r="H189" i="11"/>
  <c r="G189" i="11"/>
  <c r="F189" i="11"/>
  <c r="E189" i="11"/>
  <c r="D189" i="11"/>
  <c r="H188" i="11"/>
  <c r="G188" i="11"/>
  <c r="F188" i="11"/>
  <c r="E188" i="11"/>
  <c r="D188" i="11"/>
  <c r="H187" i="11"/>
  <c r="G187" i="11"/>
  <c r="O187" i="11" s="1"/>
  <c r="F187" i="11"/>
  <c r="E187" i="11"/>
  <c r="D187" i="11"/>
  <c r="H186" i="11"/>
  <c r="G186" i="11"/>
  <c r="O186" i="11" s="1"/>
  <c r="F186" i="11"/>
  <c r="E186" i="11"/>
  <c r="D186" i="11"/>
  <c r="H185" i="11"/>
  <c r="G185" i="11"/>
  <c r="F185" i="11"/>
  <c r="E185" i="11"/>
  <c r="D185" i="11"/>
  <c r="H184" i="11"/>
  <c r="G184" i="11"/>
  <c r="F184" i="11"/>
  <c r="E184" i="11"/>
  <c r="D184" i="11"/>
  <c r="H183" i="11"/>
  <c r="G183" i="11"/>
  <c r="O183" i="11" s="1"/>
  <c r="F183" i="11"/>
  <c r="E183" i="11"/>
  <c r="D183" i="11"/>
  <c r="H182" i="11"/>
  <c r="G182" i="11"/>
  <c r="O182" i="11" s="1"/>
  <c r="F182" i="11"/>
  <c r="E182" i="11"/>
  <c r="D182" i="11"/>
  <c r="H181" i="11"/>
  <c r="G181" i="11"/>
  <c r="F181" i="11"/>
  <c r="E181" i="11"/>
  <c r="D181" i="11"/>
  <c r="H180" i="11"/>
  <c r="G180" i="11"/>
  <c r="F180" i="11"/>
  <c r="E180" i="11"/>
  <c r="D180" i="11"/>
  <c r="H179" i="11"/>
  <c r="G179" i="11"/>
  <c r="O179" i="11" s="1"/>
  <c r="F179" i="11"/>
  <c r="E179" i="11"/>
  <c r="D179" i="11"/>
  <c r="H178" i="11"/>
  <c r="G178" i="11"/>
  <c r="O178" i="11" s="1"/>
  <c r="F178" i="11"/>
  <c r="E178" i="11"/>
  <c r="D178" i="11"/>
  <c r="H177" i="11"/>
  <c r="G177" i="11"/>
  <c r="F177" i="11"/>
  <c r="E177" i="11"/>
  <c r="D177" i="11"/>
  <c r="H176" i="11"/>
  <c r="G176" i="11"/>
  <c r="F176" i="11"/>
  <c r="E176" i="11"/>
  <c r="D176" i="11"/>
  <c r="H175" i="11"/>
  <c r="G175" i="11"/>
  <c r="O175" i="11" s="1"/>
  <c r="F175" i="11"/>
  <c r="E175" i="11"/>
  <c r="D175" i="11"/>
  <c r="H174" i="11"/>
  <c r="G174" i="11"/>
  <c r="O174" i="11" s="1"/>
  <c r="F174" i="11"/>
  <c r="E174" i="11"/>
  <c r="D174" i="11"/>
  <c r="H173" i="11"/>
  <c r="G173" i="11"/>
  <c r="F173" i="11"/>
  <c r="E173" i="11"/>
  <c r="D173" i="11"/>
  <c r="H172" i="11"/>
  <c r="G172" i="11"/>
  <c r="F172" i="11"/>
  <c r="E172" i="11"/>
  <c r="D172" i="11"/>
  <c r="M171" i="11"/>
  <c r="L171" i="11"/>
  <c r="K171" i="11"/>
  <c r="D171" i="11"/>
  <c r="M170" i="11"/>
  <c r="L170" i="11"/>
  <c r="K170" i="11"/>
  <c r="D170" i="11"/>
  <c r="C170" i="11"/>
  <c r="H169" i="11"/>
  <c r="G169" i="11"/>
  <c r="O169" i="11" s="1"/>
  <c r="F169" i="11"/>
  <c r="E169" i="11"/>
  <c r="D169" i="11"/>
  <c r="J168" i="11"/>
  <c r="M168" i="11" s="1"/>
  <c r="I168" i="11"/>
  <c r="L168" i="11" s="1"/>
  <c r="H168" i="11"/>
  <c r="K168" i="11" s="1"/>
  <c r="F168" i="11"/>
  <c r="E168" i="11"/>
  <c r="D168" i="11"/>
  <c r="J167" i="11"/>
  <c r="M167" i="11" s="1"/>
  <c r="I167" i="11"/>
  <c r="L167" i="11" s="1"/>
  <c r="H167" i="11"/>
  <c r="K167" i="11" s="1"/>
  <c r="F167" i="11"/>
  <c r="E167" i="11"/>
  <c r="D167" i="11"/>
  <c r="J166" i="11"/>
  <c r="M166" i="11" s="1"/>
  <c r="I166" i="11"/>
  <c r="L166" i="11" s="1"/>
  <c r="H166" i="11"/>
  <c r="K166" i="11" s="1"/>
  <c r="F166" i="11"/>
  <c r="E166" i="11"/>
  <c r="D166" i="11"/>
  <c r="J165" i="11"/>
  <c r="M165" i="11" s="1"/>
  <c r="I165" i="11"/>
  <c r="L165" i="11" s="1"/>
  <c r="H165" i="11"/>
  <c r="K165" i="11" s="1"/>
  <c r="F165" i="11"/>
  <c r="E165" i="11"/>
  <c r="D165" i="11"/>
  <c r="J164" i="11"/>
  <c r="I164" i="11"/>
  <c r="H164" i="11"/>
  <c r="F164" i="11"/>
  <c r="E164" i="11"/>
  <c r="D164" i="11"/>
  <c r="J163" i="11"/>
  <c r="I163" i="11"/>
  <c r="H163" i="11"/>
  <c r="F163" i="11"/>
  <c r="E163" i="11"/>
  <c r="D163" i="11"/>
  <c r="J162" i="11"/>
  <c r="I162" i="11"/>
  <c r="H162" i="11"/>
  <c r="F162" i="11"/>
  <c r="E162" i="11"/>
  <c r="D162" i="11"/>
  <c r="H161" i="11"/>
  <c r="K161" i="11" s="1"/>
  <c r="F161" i="11"/>
  <c r="E161" i="11"/>
  <c r="D161" i="11"/>
  <c r="H160" i="11"/>
  <c r="F160" i="11"/>
  <c r="E160" i="11"/>
  <c r="D160" i="11"/>
  <c r="H159" i="11"/>
  <c r="F159" i="11"/>
  <c r="E159" i="11"/>
  <c r="D159" i="11"/>
  <c r="H158" i="11"/>
  <c r="F158" i="11"/>
  <c r="E158" i="11"/>
  <c r="D158" i="11"/>
  <c r="H157" i="11"/>
  <c r="F157" i="11"/>
  <c r="E157" i="11"/>
  <c r="D157" i="11"/>
  <c r="H156" i="11"/>
  <c r="K156" i="11" s="1"/>
  <c r="F156" i="11"/>
  <c r="E156" i="11"/>
  <c r="D156" i="11"/>
  <c r="H155" i="11"/>
  <c r="K155" i="11" s="1"/>
  <c r="F155" i="11"/>
  <c r="E155" i="11"/>
  <c r="D155" i="11"/>
  <c r="H154" i="11"/>
  <c r="F154" i="11"/>
  <c r="E154" i="11"/>
  <c r="D154" i="11"/>
  <c r="H153" i="11"/>
  <c r="F153" i="11"/>
  <c r="E153" i="11"/>
  <c r="D153" i="11"/>
  <c r="H152" i="11"/>
  <c r="F152" i="11"/>
  <c r="E152" i="11"/>
  <c r="D152" i="11"/>
  <c r="H151" i="11"/>
  <c r="F151" i="11"/>
  <c r="E151" i="11"/>
  <c r="D151" i="11"/>
  <c r="H150" i="11"/>
  <c r="F150" i="11"/>
  <c r="E150" i="11"/>
  <c r="D150" i="11"/>
  <c r="G149" i="11"/>
  <c r="M149" i="11" s="1"/>
  <c r="D149" i="11"/>
  <c r="H148" i="11"/>
  <c r="F148" i="11"/>
  <c r="E148" i="11"/>
  <c r="D148" i="11"/>
  <c r="H147" i="11"/>
  <c r="F147" i="11"/>
  <c r="E147" i="11"/>
  <c r="D147" i="11"/>
  <c r="H146" i="11"/>
  <c r="F146" i="11"/>
  <c r="E146" i="11"/>
  <c r="D146" i="11"/>
  <c r="H145" i="11"/>
  <c r="F145" i="11"/>
  <c r="E145" i="11"/>
  <c r="D145" i="11"/>
  <c r="H144" i="11"/>
  <c r="F144" i="11"/>
  <c r="E144" i="11"/>
  <c r="D144" i="11"/>
  <c r="H143" i="11"/>
  <c r="F143" i="11"/>
  <c r="E143" i="11"/>
  <c r="D143" i="11"/>
  <c r="H142" i="11"/>
  <c r="F142" i="11"/>
  <c r="E142" i="11"/>
  <c r="D142" i="11"/>
  <c r="H141" i="11"/>
  <c r="F141" i="11"/>
  <c r="E141" i="11"/>
  <c r="D141" i="11"/>
  <c r="H140" i="11"/>
  <c r="F140" i="11"/>
  <c r="E140" i="11"/>
  <c r="D140" i="11"/>
  <c r="H139" i="11"/>
  <c r="F139" i="11"/>
  <c r="E139" i="11"/>
  <c r="D139" i="11"/>
  <c r="H138" i="11"/>
  <c r="F138" i="11"/>
  <c r="E138" i="11"/>
  <c r="D138" i="11"/>
  <c r="H137" i="11"/>
  <c r="F137" i="11"/>
  <c r="E137" i="11"/>
  <c r="D137" i="11"/>
  <c r="G136" i="11"/>
  <c r="D136" i="11"/>
  <c r="H135" i="11"/>
  <c r="F135" i="11"/>
  <c r="E135" i="11"/>
  <c r="D135" i="11"/>
  <c r="H134" i="11"/>
  <c r="F134" i="11"/>
  <c r="E134" i="11"/>
  <c r="D134" i="11"/>
  <c r="H133" i="11"/>
  <c r="F133" i="11"/>
  <c r="E133" i="11"/>
  <c r="D133" i="11"/>
  <c r="H132" i="11"/>
  <c r="F132" i="11"/>
  <c r="E132" i="11"/>
  <c r="D132" i="11"/>
  <c r="H131" i="11"/>
  <c r="F131" i="11"/>
  <c r="E131" i="11"/>
  <c r="D131" i="11"/>
  <c r="H130" i="11"/>
  <c r="F130" i="11"/>
  <c r="E130" i="11"/>
  <c r="D130" i="11"/>
  <c r="G129" i="11"/>
  <c r="K129" i="11" s="1"/>
  <c r="D129" i="11"/>
  <c r="H128" i="11"/>
  <c r="F128" i="11"/>
  <c r="E128" i="11"/>
  <c r="D128" i="11"/>
  <c r="H127" i="11"/>
  <c r="F127" i="11"/>
  <c r="E127" i="11"/>
  <c r="D127" i="11"/>
  <c r="H126" i="11"/>
  <c r="F126" i="11"/>
  <c r="E126" i="11"/>
  <c r="D126" i="11"/>
  <c r="H125" i="11"/>
  <c r="F125" i="11"/>
  <c r="E125" i="11"/>
  <c r="D125" i="11"/>
  <c r="H124" i="11"/>
  <c r="F124" i="11"/>
  <c r="E124" i="11"/>
  <c r="D124" i="11"/>
  <c r="H123" i="11"/>
  <c r="F123" i="11"/>
  <c r="E123" i="11"/>
  <c r="D123" i="11"/>
  <c r="G122" i="11"/>
  <c r="D122" i="11"/>
  <c r="H121" i="11"/>
  <c r="F121" i="11"/>
  <c r="E121" i="11"/>
  <c r="D121" i="11"/>
  <c r="H120" i="11"/>
  <c r="F120" i="11"/>
  <c r="E120" i="11"/>
  <c r="D120" i="11"/>
  <c r="H119" i="11"/>
  <c r="F119" i="11"/>
  <c r="E119" i="11"/>
  <c r="D119" i="11"/>
  <c r="H118" i="11"/>
  <c r="F118" i="11"/>
  <c r="E118" i="11"/>
  <c r="D118" i="11"/>
  <c r="G117" i="11"/>
  <c r="M117" i="11" s="1"/>
  <c r="D117" i="11"/>
  <c r="H116" i="11"/>
  <c r="F116" i="11"/>
  <c r="E116" i="11"/>
  <c r="D116" i="11"/>
  <c r="H115" i="11"/>
  <c r="F115" i="11"/>
  <c r="E115" i="11"/>
  <c r="D115" i="11"/>
  <c r="H114" i="11"/>
  <c r="F114" i="11"/>
  <c r="E114" i="11"/>
  <c r="D114" i="11"/>
  <c r="H113" i="11"/>
  <c r="F113" i="11"/>
  <c r="E113" i="11"/>
  <c r="D113" i="11"/>
  <c r="H112" i="11"/>
  <c r="F112" i="11"/>
  <c r="E112" i="11"/>
  <c r="D112" i="11"/>
  <c r="H111" i="11"/>
  <c r="F111" i="11"/>
  <c r="E111" i="11"/>
  <c r="D111" i="11"/>
  <c r="H110" i="11"/>
  <c r="F110" i="11"/>
  <c r="E110" i="11"/>
  <c r="D110" i="11"/>
  <c r="H109" i="11"/>
  <c r="F109" i="11"/>
  <c r="E109" i="11"/>
  <c r="D109" i="11"/>
  <c r="H108" i="11"/>
  <c r="F108" i="11"/>
  <c r="E108" i="11"/>
  <c r="D108" i="11"/>
  <c r="G107" i="11"/>
  <c r="D107" i="11"/>
  <c r="H106" i="11"/>
  <c r="F106" i="11"/>
  <c r="E106" i="11"/>
  <c r="D106" i="11"/>
  <c r="H105" i="11"/>
  <c r="F105" i="11"/>
  <c r="E105" i="11"/>
  <c r="D105" i="11"/>
  <c r="H104" i="11"/>
  <c r="F104" i="11"/>
  <c r="E104" i="11"/>
  <c r="D104" i="11"/>
  <c r="H103" i="11"/>
  <c r="F103" i="11"/>
  <c r="E103" i="11"/>
  <c r="D103" i="11"/>
  <c r="H102" i="11"/>
  <c r="F102" i="11"/>
  <c r="E102" i="11"/>
  <c r="D102" i="11"/>
  <c r="H101" i="11"/>
  <c r="F101" i="11"/>
  <c r="E101" i="11"/>
  <c r="D101" i="11"/>
  <c r="H100" i="11"/>
  <c r="F100" i="11"/>
  <c r="E100" i="11"/>
  <c r="D100" i="11"/>
  <c r="H99" i="11"/>
  <c r="F99" i="11"/>
  <c r="E99" i="11"/>
  <c r="D99" i="11"/>
  <c r="H98" i="11"/>
  <c r="F98" i="11"/>
  <c r="E98" i="11"/>
  <c r="D98" i="11"/>
  <c r="G97" i="11"/>
  <c r="G99" i="11" s="1"/>
  <c r="D97" i="11"/>
  <c r="M96" i="11"/>
  <c r="L96" i="11"/>
  <c r="K96" i="11"/>
  <c r="D96" i="11"/>
  <c r="C96" i="11"/>
  <c r="H95" i="11"/>
  <c r="F95" i="11"/>
  <c r="E95" i="11"/>
  <c r="D95" i="11"/>
  <c r="G94" i="11"/>
  <c r="O94" i="11" s="1"/>
  <c r="F94" i="11"/>
  <c r="E94" i="11"/>
  <c r="D94" i="11"/>
  <c r="G93" i="11"/>
  <c r="F93" i="11"/>
  <c r="E93" i="11"/>
  <c r="D93" i="11"/>
  <c r="G92" i="11"/>
  <c r="O92" i="11" s="1"/>
  <c r="F92" i="11"/>
  <c r="E92" i="11"/>
  <c r="D92" i="11"/>
  <c r="G91" i="11"/>
  <c r="F91" i="11"/>
  <c r="E91" i="11"/>
  <c r="D91" i="11"/>
  <c r="G90" i="11"/>
  <c r="F90" i="11"/>
  <c r="E90" i="11"/>
  <c r="D90" i="11"/>
  <c r="G89" i="11"/>
  <c r="F89" i="11"/>
  <c r="E89" i="11"/>
  <c r="D89" i="11"/>
  <c r="G88" i="11"/>
  <c r="O88" i="11" s="1"/>
  <c r="F88" i="11"/>
  <c r="E88" i="11"/>
  <c r="D88" i="11"/>
  <c r="G87" i="11"/>
  <c r="F87" i="11"/>
  <c r="E87" i="11"/>
  <c r="D87" i="11"/>
  <c r="G86" i="11"/>
  <c r="F86" i="11"/>
  <c r="E86" i="11"/>
  <c r="D86" i="11"/>
  <c r="G85" i="11"/>
  <c r="F85" i="11"/>
  <c r="E85" i="11"/>
  <c r="D85" i="11"/>
  <c r="G84" i="11"/>
  <c r="O84" i="11" s="1"/>
  <c r="F84" i="11"/>
  <c r="E84" i="11"/>
  <c r="D84" i="11"/>
  <c r="G83" i="11"/>
  <c r="F83" i="11"/>
  <c r="E83" i="11"/>
  <c r="D83" i="11"/>
  <c r="H82" i="11"/>
  <c r="G82" i="11"/>
  <c r="F82" i="11"/>
  <c r="E82" i="11"/>
  <c r="D82" i="11"/>
  <c r="H81" i="11"/>
  <c r="G81" i="11"/>
  <c r="F81" i="11"/>
  <c r="E81" i="11"/>
  <c r="D81" i="11"/>
  <c r="G80" i="11"/>
  <c r="O80" i="11" s="1"/>
  <c r="F80" i="11"/>
  <c r="E80" i="11"/>
  <c r="D80" i="11"/>
  <c r="G79" i="11"/>
  <c r="F79" i="11"/>
  <c r="E79" i="11"/>
  <c r="D79" i="11"/>
  <c r="G78" i="11"/>
  <c r="O78" i="11" s="1"/>
  <c r="F78" i="11"/>
  <c r="E78" i="11"/>
  <c r="D78" i="11"/>
  <c r="G77" i="11"/>
  <c r="F77" i="11"/>
  <c r="E77" i="11"/>
  <c r="D77" i="11"/>
  <c r="G76" i="11"/>
  <c r="O76" i="11" s="1"/>
  <c r="F76" i="11"/>
  <c r="E76" i="11"/>
  <c r="D76" i="11"/>
  <c r="G75" i="11"/>
  <c r="F75" i="11"/>
  <c r="E75" i="11"/>
  <c r="D75" i="11"/>
  <c r="G74" i="11"/>
  <c r="O74" i="11" s="1"/>
  <c r="F74" i="11"/>
  <c r="E74" i="11"/>
  <c r="D74" i="11"/>
  <c r="G73" i="11"/>
  <c r="F73" i="11"/>
  <c r="E73" i="11"/>
  <c r="D73" i="11"/>
  <c r="M72" i="11"/>
  <c r="L72" i="11"/>
  <c r="K72" i="11"/>
  <c r="D72" i="11"/>
  <c r="M71" i="11"/>
  <c r="L71" i="11"/>
  <c r="K71" i="11"/>
  <c r="D71" i="11"/>
  <c r="C71" i="11"/>
  <c r="H70" i="11"/>
  <c r="F70" i="11"/>
  <c r="E70" i="11"/>
  <c r="D70" i="11"/>
  <c r="F69" i="11"/>
  <c r="E69" i="11"/>
  <c r="D69" i="11"/>
  <c r="F68" i="11"/>
  <c r="E68" i="11"/>
  <c r="D68" i="11"/>
  <c r="F67" i="11"/>
  <c r="E67" i="11"/>
  <c r="D67" i="11"/>
  <c r="F66" i="11"/>
  <c r="E66" i="11"/>
  <c r="D66" i="11"/>
  <c r="F65" i="11"/>
  <c r="E65" i="11"/>
  <c r="D65" i="11"/>
  <c r="B64" i="11"/>
  <c r="M63" i="11"/>
  <c r="L63" i="11"/>
  <c r="K63" i="11"/>
  <c r="D63" i="11"/>
  <c r="G62" i="11"/>
  <c r="G66" i="11" s="1"/>
  <c r="O66" i="11" s="1"/>
  <c r="D62" i="11"/>
  <c r="H61" i="11"/>
  <c r="F61" i="11"/>
  <c r="E61" i="11"/>
  <c r="D61" i="11"/>
  <c r="H60" i="11"/>
  <c r="F60" i="11"/>
  <c r="E60" i="11"/>
  <c r="D60" i="11"/>
  <c r="H59" i="11"/>
  <c r="F59" i="11"/>
  <c r="E59" i="11"/>
  <c r="D59" i="11"/>
  <c r="H58" i="11"/>
  <c r="K58" i="11" s="1"/>
  <c r="F58" i="11"/>
  <c r="E58" i="11"/>
  <c r="D58" i="11"/>
  <c r="F57" i="11"/>
  <c r="E57" i="11"/>
  <c r="D57" i="11"/>
  <c r="F56" i="11"/>
  <c r="E56" i="11"/>
  <c r="D56" i="11"/>
  <c r="H55" i="11"/>
  <c r="F55" i="11"/>
  <c r="E55" i="11"/>
  <c r="D55" i="11"/>
  <c r="H54" i="11"/>
  <c r="K54" i="11" s="1"/>
  <c r="F54" i="11"/>
  <c r="E54" i="11"/>
  <c r="D54" i="11"/>
  <c r="H53" i="11"/>
  <c r="F53" i="11"/>
  <c r="E53" i="11"/>
  <c r="D53" i="11"/>
  <c r="M52" i="11"/>
  <c r="L52" i="11"/>
  <c r="K52" i="11"/>
  <c r="D52" i="11"/>
  <c r="D51" i="11"/>
  <c r="H50" i="11"/>
  <c r="F50" i="11"/>
  <c r="E50" i="11"/>
  <c r="D50" i="11"/>
  <c r="F49" i="11"/>
  <c r="E49" i="11"/>
  <c r="D49" i="11"/>
  <c r="H48" i="11"/>
  <c r="F48" i="11"/>
  <c r="E48" i="11"/>
  <c r="D48" i="11"/>
  <c r="H47" i="11"/>
  <c r="F47" i="11"/>
  <c r="E47" i="11"/>
  <c r="D47" i="11"/>
  <c r="H46" i="11"/>
  <c r="F46" i="11"/>
  <c r="E46" i="11"/>
  <c r="D46" i="11"/>
  <c r="M45" i="11"/>
  <c r="L45" i="11"/>
  <c r="K45" i="11"/>
  <c r="D45" i="11"/>
  <c r="D44" i="11"/>
  <c r="H43" i="11"/>
  <c r="G43" i="11"/>
  <c r="F43" i="11"/>
  <c r="E43" i="11"/>
  <c r="D43" i="11"/>
  <c r="G42" i="11"/>
  <c r="O42" i="11" s="1"/>
  <c r="F42" i="11"/>
  <c r="E42" i="11"/>
  <c r="D42" i="11"/>
  <c r="H41" i="11"/>
  <c r="G41" i="11"/>
  <c r="O41" i="11" s="1"/>
  <c r="F41" i="11"/>
  <c r="E41" i="11"/>
  <c r="D41" i="11"/>
  <c r="H40" i="11"/>
  <c r="G40" i="11"/>
  <c r="O40" i="11" s="1"/>
  <c r="F40" i="11"/>
  <c r="E40" i="11"/>
  <c r="D40" i="11"/>
  <c r="M39" i="11"/>
  <c r="L39" i="11"/>
  <c r="K39" i="11"/>
  <c r="D39" i="11"/>
  <c r="M38" i="11"/>
  <c r="L38" i="11"/>
  <c r="K38" i="11"/>
  <c r="D38" i="11"/>
  <c r="C38" i="11"/>
  <c r="H37" i="11"/>
  <c r="F37" i="11"/>
  <c r="E37" i="11"/>
  <c r="D37" i="11"/>
  <c r="H36" i="11"/>
  <c r="F36" i="11"/>
  <c r="E36" i="11"/>
  <c r="D36" i="11"/>
  <c r="F35" i="11"/>
  <c r="E35" i="11"/>
  <c r="D35" i="11"/>
  <c r="H34" i="11"/>
  <c r="F34" i="11"/>
  <c r="E34" i="11"/>
  <c r="D34" i="11"/>
  <c r="M33" i="11"/>
  <c r="L33" i="11"/>
  <c r="K33" i="11"/>
  <c r="D33" i="11"/>
  <c r="G32" i="11"/>
  <c r="C32" i="11" s="1"/>
  <c r="D32" i="11"/>
  <c r="H31" i="11"/>
  <c r="K31" i="11" s="1"/>
  <c r="F31" i="11"/>
  <c r="E31" i="11"/>
  <c r="D31" i="11"/>
  <c r="H30" i="11"/>
  <c r="K30" i="11" s="1"/>
  <c r="F30" i="11"/>
  <c r="E30" i="11"/>
  <c r="D30" i="11"/>
  <c r="F29" i="11"/>
  <c r="E29" i="11"/>
  <c r="D29" i="11"/>
  <c r="M28" i="11"/>
  <c r="L28" i="11"/>
  <c r="K28" i="11"/>
  <c r="D28" i="11"/>
  <c r="D27" i="11"/>
  <c r="F26" i="11"/>
  <c r="E26" i="11"/>
  <c r="D26" i="11"/>
  <c r="F25" i="11"/>
  <c r="E25" i="11"/>
  <c r="D25" i="11"/>
  <c r="M23" i="11"/>
  <c r="L23" i="11"/>
  <c r="K23" i="11"/>
  <c r="D23" i="11"/>
  <c r="D22" i="11"/>
  <c r="H21" i="11"/>
  <c r="F21" i="11"/>
  <c r="E21" i="11"/>
  <c r="D21" i="11"/>
  <c r="H20" i="11"/>
  <c r="F20" i="11"/>
  <c r="E20" i="11"/>
  <c r="D20" i="11"/>
  <c r="H19" i="11"/>
  <c r="G19" i="11"/>
  <c r="F19" i="11"/>
  <c r="E19" i="11"/>
  <c r="D19" i="11"/>
  <c r="M18" i="11"/>
  <c r="L18" i="11"/>
  <c r="K18" i="11"/>
  <c r="D18" i="11"/>
  <c r="M17" i="11"/>
  <c r="L17" i="11"/>
  <c r="K17" i="11"/>
  <c r="D17" i="11"/>
  <c r="C17" i="11"/>
  <c r="H14" i="11"/>
  <c r="K14" i="11" s="1"/>
  <c r="E14" i="11"/>
  <c r="D14" i="11"/>
  <c r="G12" i="11"/>
  <c r="O12" i="11" s="1"/>
  <c r="G10" i="11"/>
  <c r="G389" i="11" s="1"/>
  <c r="O389" i="11" s="1"/>
  <c r="H9" i="11"/>
  <c r="F9" i="11"/>
  <c r="E9" i="11"/>
  <c r="D9" i="11"/>
  <c r="H7" i="11"/>
  <c r="F7" i="11"/>
  <c r="E7" i="11"/>
  <c r="D7" i="11"/>
  <c r="G6" i="11"/>
  <c r="G59" i="11" s="1"/>
  <c r="O59" i="11" s="1"/>
  <c r="B6" i="11"/>
  <c r="H6" i="11" s="1"/>
  <c r="B4" i="11"/>
  <c r="G51" i="11" s="1"/>
  <c r="O51" i="11" s="1"/>
  <c r="A2" i="11"/>
  <c r="B10" i="11" s="1"/>
  <c r="C218" i="11" l="1"/>
  <c r="C78" i="2"/>
  <c r="M672" i="2"/>
  <c r="L129" i="11"/>
  <c r="C87" i="2"/>
  <c r="J574" i="2"/>
  <c r="M574" i="2"/>
  <c r="L97" i="11"/>
  <c r="C269" i="2"/>
  <c r="L62" i="11"/>
  <c r="C700" i="2"/>
  <c r="D6" i="11"/>
  <c r="C62" i="11"/>
  <c r="G66" i="2"/>
  <c r="J66" i="2" s="1"/>
  <c r="D168" i="2"/>
  <c r="D167" i="2"/>
  <c r="D275" i="2"/>
  <c r="C708" i="2"/>
  <c r="C31" i="7"/>
  <c r="C18" i="7"/>
  <c r="C16" i="7"/>
  <c r="C30" i="7"/>
  <c r="C17" i="7"/>
  <c r="C15" i="7"/>
  <c r="C14" i="7"/>
  <c r="K32" i="11"/>
  <c r="G34" i="11"/>
  <c r="M32" i="11"/>
  <c r="G100" i="11"/>
  <c r="O100" i="11" s="1"/>
  <c r="K97" i="11"/>
  <c r="G125" i="11"/>
  <c r="M122" i="11"/>
  <c r="G221" i="11"/>
  <c r="O221" i="11" s="1"/>
  <c r="K218" i="11"/>
  <c r="G59" i="2"/>
  <c r="J59" i="2" s="1"/>
  <c r="K136" i="11"/>
  <c r="G140" i="11"/>
  <c r="O140" i="11" s="1"/>
  <c r="L136" i="11"/>
  <c r="G72" i="2"/>
  <c r="J72" i="2" s="1"/>
  <c r="E72" i="2"/>
  <c r="C72" i="2"/>
  <c r="G73" i="2"/>
  <c r="J73" i="2" s="1"/>
  <c r="E73" i="2"/>
  <c r="C73" i="2"/>
  <c r="E79" i="2"/>
  <c r="C88" i="2"/>
  <c r="E88" i="2"/>
  <c r="D131" i="2"/>
  <c r="D163" i="2"/>
  <c r="K175" i="11"/>
  <c r="K179" i="11"/>
  <c r="K183" i="11"/>
  <c r="K191" i="11"/>
  <c r="K195" i="11"/>
  <c r="C130" i="2"/>
  <c r="E130" i="2"/>
  <c r="C131" i="2"/>
  <c r="E131" i="2"/>
  <c r="C162" i="2"/>
  <c r="E162" i="2"/>
  <c r="C163" i="2"/>
  <c r="E163" i="2"/>
  <c r="J169" i="2"/>
  <c r="D198" i="2"/>
  <c r="C218" i="2"/>
  <c r="E218" i="2"/>
  <c r="C219" i="2"/>
  <c r="E219" i="2"/>
  <c r="J264" i="2"/>
  <c r="D269" i="2"/>
  <c r="C270" i="2"/>
  <c r="D276" i="2"/>
  <c r="J303" i="2"/>
  <c r="J302" i="2" s="1"/>
  <c r="J318" i="2"/>
  <c r="J569" i="2"/>
  <c r="D693" i="2"/>
  <c r="D694" i="2"/>
  <c r="C701" i="2"/>
  <c r="C709" i="2"/>
  <c r="I4" i="8"/>
  <c r="I14" i="8" s="1"/>
  <c r="I15" i="8" s="1"/>
  <c r="I16" i="8" s="1"/>
  <c r="I17" i="8" s="1"/>
  <c r="I18" i="8" s="1"/>
  <c r="I19" i="8" s="1"/>
  <c r="B7" i="26"/>
  <c r="D130" i="2"/>
  <c r="D162" i="2"/>
  <c r="D218" i="2"/>
  <c r="D219" i="2"/>
  <c r="D270" i="2"/>
  <c r="B6" i="26"/>
  <c r="AM138" i="5"/>
  <c r="G11" i="19" s="1"/>
  <c r="R11" i="19" s="1"/>
  <c r="AN138" i="5"/>
  <c r="G25" i="19" s="1"/>
  <c r="AD138" i="5"/>
  <c r="F997" i="2" s="1"/>
  <c r="N997" i="2" s="1"/>
  <c r="AJ138" i="5"/>
  <c r="G58" i="19"/>
  <c r="R58" i="19" s="1"/>
  <c r="G29" i="19"/>
  <c r="R29" i="19" s="1"/>
  <c r="M218" i="11"/>
  <c r="G220" i="11"/>
  <c r="O220" i="11" s="1"/>
  <c r="C225" i="11"/>
  <c r="M225" i="11"/>
  <c r="C239" i="11"/>
  <c r="L239" i="11"/>
  <c r="G229" i="11"/>
  <c r="O229" i="11" s="1"/>
  <c r="G245" i="11"/>
  <c r="K245" i="11" s="1"/>
  <c r="L225" i="11"/>
  <c r="K239" i="11"/>
  <c r="M239" i="11"/>
  <c r="G241" i="11"/>
  <c r="O241" i="11" s="1"/>
  <c r="K6" i="11"/>
  <c r="L246" i="11"/>
  <c r="B11" i="11"/>
  <c r="B12" i="11" s="1"/>
  <c r="M246" i="11"/>
  <c r="M268" i="2"/>
  <c r="N632" i="2"/>
  <c r="N639" i="2" s="1"/>
  <c r="N161" i="2"/>
  <c r="N163" i="2" s="1"/>
  <c r="N711" i="2"/>
  <c r="N717" i="2" s="1"/>
  <c r="N351" i="2"/>
  <c r="N356" i="2" s="1"/>
  <c r="G238" i="11"/>
  <c r="O238" i="11" s="1"/>
  <c r="O232" i="11"/>
  <c r="K302" i="11"/>
  <c r="J379" i="2"/>
  <c r="J515" i="2"/>
  <c r="J591" i="2"/>
  <c r="O10" i="11"/>
  <c r="L32" i="11"/>
  <c r="K40" i="11"/>
  <c r="G119" i="11"/>
  <c r="K119" i="11" s="1"/>
  <c r="L122" i="11"/>
  <c r="K169" i="11"/>
  <c r="K174" i="11"/>
  <c r="K178" i="11"/>
  <c r="K186" i="11"/>
  <c r="K190" i="11"/>
  <c r="K194" i="11"/>
  <c r="K203" i="11"/>
  <c r="K207" i="11"/>
  <c r="K212" i="11"/>
  <c r="G223" i="11"/>
  <c r="O223" i="11" s="1"/>
  <c r="G244" i="11"/>
  <c r="O244" i="11" s="1"/>
  <c r="J118" i="2"/>
  <c r="J121" i="2"/>
  <c r="J256" i="2"/>
  <c r="J336" i="2"/>
  <c r="J335" i="2" s="1"/>
  <c r="J485" i="2"/>
  <c r="J583" i="2"/>
  <c r="J672" i="2"/>
  <c r="J668" i="2" s="1"/>
  <c r="O246" i="11"/>
  <c r="O218" i="11"/>
  <c r="O6" i="11"/>
  <c r="J514" i="2"/>
  <c r="J636" i="2"/>
  <c r="J632" i="2" s="1"/>
  <c r="G23" i="7" s="1"/>
  <c r="J23" i="7" s="1"/>
  <c r="J831" i="2"/>
  <c r="O239" i="11"/>
  <c r="O62" i="11"/>
  <c r="M640" i="2"/>
  <c r="M633" i="2"/>
  <c r="M638" i="2"/>
  <c r="M686" i="2"/>
  <c r="J119" i="2"/>
  <c r="M150" i="2"/>
  <c r="J786" i="2"/>
  <c r="J657" i="2"/>
  <c r="J650" i="2" s="1"/>
  <c r="J120" i="2"/>
  <c r="J586" i="2"/>
  <c r="M635" i="2"/>
  <c r="J790" i="2"/>
  <c r="J848" i="2"/>
  <c r="N191" i="2"/>
  <c r="N246" i="2" s="1"/>
  <c r="N90" i="2"/>
  <c r="N105" i="2" s="1"/>
  <c r="N587" i="2"/>
  <c r="N594" i="2" s="1"/>
  <c r="N697" i="2"/>
  <c r="N701" i="2" s="1"/>
  <c r="N579" i="2"/>
  <c r="N581" i="2" s="1"/>
  <c r="N81" i="2"/>
  <c r="N83" i="2" s="1"/>
  <c r="N174" i="2"/>
  <c r="N183" i="2" s="1"/>
  <c r="N690" i="2"/>
  <c r="N691" i="2" s="1"/>
  <c r="N844" i="2"/>
  <c r="N326" i="2"/>
  <c r="N331" i="2" s="1"/>
  <c r="N107" i="2"/>
  <c r="N123" i="2" s="1"/>
  <c r="N704" i="2"/>
  <c r="N707" i="2" s="1"/>
  <c r="N623" i="2"/>
  <c r="N626" i="2" s="1"/>
  <c r="M140" i="2"/>
  <c r="M44" i="2"/>
  <c r="M138" i="2"/>
  <c r="M636" i="2"/>
  <c r="M24" i="2"/>
  <c r="M26" i="2"/>
  <c r="M129" i="2"/>
  <c r="M136" i="2"/>
  <c r="M787" i="2"/>
  <c r="M85" i="2"/>
  <c r="M607" i="2"/>
  <c r="M338" i="2"/>
  <c r="M438" i="2"/>
  <c r="K40" i="19"/>
  <c r="M340" i="2"/>
  <c r="M177" i="2"/>
  <c r="M828" i="2"/>
  <c r="N21" i="2"/>
  <c r="M45" i="2"/>
  <c r="M131" i="2"/>
  <c r="M152" i="2"/>
  <c r="M180" i="2"/>
  <c r="M271" i="2"/>
  <c r="M330" i="2"/>
  <c r="M439" i="2"/>
  <c r="M474" i="2"/>
  <c r="M804" i="2"/>
  <c r="M813" i="2"/>
  <c r="M837" i="2"/>
  <c r="M842" i="2"/>
  <c r="M835" i="2"/>
  <c r="M181" i="2"/>
  <c r="M827" i="2"/>
  <c r="M848" i="2"/>
  <c r="M54" i="2"/>
  <c r="M175" i="2"/>
  <c r="M213" i="2"/>
  <c r="M470" i="2"/>
  <c r="M476" i="2"/>
  <c r="N653" i="2"/>
  <c r="M715" i="2"/>
  <c r="M728" i="2"/>
  <c r="M756" i="2"/>
  <c r="M56" i="2"/>
  <c r="M128" i="2"/>
  <c r="M148" i="2"/>
  <c r="M166" i="2"/>
  <c r="M176" i="2"/>
  <c r="M202" i="2"/>
  <c r="M270" i="2"/>
  <c r="M533" i="2"/>
  <c r="M684" i="2"/>
  <c r="M762" i="2"/>
  <c r="M788" i="2"/>
  <c r="M838" i="2"/>
  <c r="M843" i="2"/>
  <c r="K39" i="19"/>
  <c r="J8" i="2"/>
  <c r="J690" i="2"/>
  <c r="G24" i="7" s="1"/>
  <c r="J24" i="7" s="1"/>
  <c r="J726" i="2"/>
  <c r="J812" i="2"/>
  <c r="J851" i="2"/>
  <c r="J1021" i="2"/>
  <c r="K50" i="19"/>
  <c r="N30" i="2"/>
  <c r="N31" i="2"/>
  <c r="O125" i="11"/>
  <c r="K19" i="11"/>
  <c r="K41" i="11"/>
  <c r="O85" i="11"/>
  <c r="O86" i="11"/>
  <c r="O93" i="11"/>
  <c r="G105" i="11"/>
  <c r="O105" i="11" s="1"/>
  <c r="O97" i="11"/>
  <c r="G101" i="11"/>
  <c r="K122" i="11"/>
  <c r="G124" i="11"/>
  <c r="G134" i="11"/>
  <c r="O134" i="11" s="1"/>
  <c r="O129" i="11"/>
  <c r="G147" i="11"/>
  <c r="O147" i="11" s="1"/>
  <c r="O136" i="11"/>
  <c r="G163" i="11"/>
  <c r="O163" i="11" s="1"/>
  <c r="O149" i="11"/>
  <c r="O177" i="11"/>
  <c r="K180" i="11"/>
  <c r="O180" i="11"/>
  <c r="O193" i="11"/>
  <c r="K196" i="11"/>
  <c r="O196" i="11"/>
  <c r="O215" i="11"/>
  <c r="K217" i="11"/>
  <c r="O217" i="11"/>
  <c r="N19" i="2"/>
  <c r="N483" i="2"/>
  <c r="N655" i="2"/>
  <c r="N797" i="2"/>
  <c r="K34" i="11"/>
  <c r="O34" i="11"/>
  <c r="K81" i="11"/>
  <c r="O81" i="11"/>
  <c r="K43" i="11"/>
  <c r="O43" i="11"/>
  <c r="O77" i="11"/>
  <c r="O83" i="11"/>
  <c r="O91" i="11"/>
  <c r="K99" i="11"/>
  <c r="O99" i="11"/>
  <c r="O173" i="11"/>
  <c r="K176" i="11"/>
  <c r="O176" i="11"/>
  <c r="O189" i="11"/>
  <c r="K192" i="11"/>
  <c r="O192" i="11"/>
  <c r="O206" i="11"/>
  <c r="O211" i="11"/>
  <c r="K213" i="11"/>
  <c r="O213" i="11"/>
  <c r="O214" i="11"/>
  <c r="K260" i="11"/>
  <c r="N481" i="2"/>
  <c r="J869" i="2"/>
  <c r="O75" i="11"/>
  <c r="O82" i="11"/>
  <c r="O89" i="11"/>
  <c r="O90" i="11"/>
  <c r="K172" i="11"/>
  <c r="O172" i="11"/>
  <c r="O185" i="11"/>
  <c r="K188" i="11"/>
  <c r="O188" i="11"/>
  <c r="O202" i="11"/>
  <c r="O204" i="11"/>
  <c r="O205" i="11"/>
  <c r="O210" i="11"/>
  <c r="N249" i="2"/>
  <c r="N367" i="2"/>
  <c r="N479" i="2"/>
  <c r="G20" i="11"/>
  <c r="O20" i="11" s="1"/>
  <c r="O19" i="11"/>
  <c r="G36" i="11"/>
  <c r="O36" i="11" s="1"/>
  <c r="O32" i="11"/>
  <c r="G95" i="11"/>
  <c r="O95" i="11" s="1"/>
  <c r="O73" i="11"/>
  <c r="O79" i="11"/>
  <c r="K82" i="11"/>
  <c r="O87" i="11"/>
  <c r="M97" i="11"/>
  <c r="G116" i="11"/>
  <c r="O116" i="11" s="1"/>
  <c r="O107" i="11"/>
  <c r="G120" i="11"/>
  <c r="O120" i="11" s="1"/>
  <c r="O117" i="11"/>
  <c r="G135" i="11"/>
  <c r="O135" i="11" s="1"/>
  <c r="O122" i="11"/>
  <c r="G126" i="11"/>
  <c r="M129" i="11"/>
  <c r="G132" i="11"/>
  <c r="O132" i="11" s="1"/>
  <c r="G133" i="11"/>
  <c r="O133" i="11" s="1"/>
  <c r="M136" i="11"/>
  <c r="G139" i="11"/>
  <c r="G144" i="11"/>
  <c r="O144" i="11" s="1"/>
  <c r="G151" i="11"/>
  <c r="O181" i="11"/>
  <c r="K182" i="11"/>
  <c r="K184" i="11"/>
  <c r="O184" i="11"/>
  <c r="K187" i="11"/>
  <c r="O197" i="11"/>
  <c r="O200" i="11"/>
  <c r="K201" i="11"/>
  <c r="O201" i="11"/>
  <c r="O292" i="11"/>
  <c r="K293" i="11"/>
  <c r="N241" i="2"/>
  <c r="N256" i="2"/>
  <c r="N419" i="2"/>
  <c r="N441" i="2"/>
  <c r="N600" i="2"/>
  <c r="J1003" i="2"/>
  <c r="J1023" i="2"/>
  <c r="K75" i="19"/>
  <c r="C134" i="19"/>
  <c r="J1006" i="2"/>
  <c r="J1030" i="2"/>
  <c r="J1111" i="2"/>
  <c r="K28" i="19"/>
  <c r="C30" i="19"/>
  <c r="C40" i="19"/>
  <c r="K83" i="19"/>
  <c r="C96" i="19"/>
  <c r="C121" i="19"/>
  <c r="M16" i="2"/>
  <c r="M67" i="2"/>
  <c r="M62" i="2"/>
  <c r="M64" i="2"/>
  <c r="M63" i="2"/>
  <c r="J13" i="2"/>
  <c r="M14" i="2"/>
  <c r="M15" i="2"/>
  <c r="J23" i="2"/>
  <c r="J38" i="2"/>
  <c r="J43" i="2"/>
  <c r="M79" i="2"/>
  <c r="M76" i="2"/>
  <c r="N50" i="2"/>
  <c r="N51" i="2"/>
  <c r="M65" i="2"/>
  <c r="M66" i="2"/>
  <c r="M91" i="2"/>
  <c r="M92" i="2"/>
  <c r="M93" i="2"/>
  <c r="M126" i="2"/>
  <c r="N142" i="2"/>
  <c r="M134" i="2"/>
  <c r="N144" i="2"/>
  <c r="M145" i="2"/>
  <c r="N167" i="2"/>
  <c r="M168" i="2"/>
  <c r="M248" i="2"/>
  <c r="M292" i="2"/>
  <c r="J53" i="2"/>
  <c r="M96" i="2"/>
  <c r="J212" i="2"/>
  <c r="M257" i="2"/>
  <c r="M274" i="2"/>
  <c r="N287" i="2"/>
  <c r="N288" i="2"/>
  <c r="M298" i="2"/>
  <c r="M297" i="2"/>
  <c r="M296" i="2"/>
  <c r="M300" i="2"/>
  <c r="M301" i="2"/>
  <c r="M240" i="2"/>
  <c r="M259" i="2"/>
  <c r="M260" i="2"/>
  <c r="M275" i="2"/>
  <c r="M80" i="2"/>
  <c r="J124" i="2"/>
  <c r="M146" i="2"/>
  <c r="M154" i="2"/>
  <c r="M160" i="2"/>
  <c r="N166" i="2"/>
  <c r="M167" i="2"/>
  <c r="M171" i="2"/>
  <c r="M173" i="2"/>
  <c r="J189" i="2"/>
  <c r="M193" i="2"/>
  <c r="M198" i="2"/>
  <c r="M211" i="2"/>
  <c r="M246" i="2"/>
  <c r="M244" i="2"/>
  <c r="M276" i="2"/>
  <c r="N340" i="2"/>
  <c r="M395" i="2"/>
  <c r="M466" i="2"/>
  <c r="J467" i="2"/>
  <c r="N504" i="2"/>
  <c r="M509" i="2"/>
  <c r="M511" i="2"/>
  <c r="M555" i="2"/>
  <c r="M562" i="2"/>
  <c r="M576" i="2"/>
  <c r="M602" i="2"/>
  <c r="M599" i="2"/>
  <c r="M402" i="2"/>
  <c r="M467" i="2"/>
  <c r="M586" i="2"/>
  <c r="M582" i="2"/>
  <c r="M593" i="2"/>
  <c r="M590" i="2"/>
  <c r="M618" i="2"/>
  <c r="M616" i="2"/>
  <c r="J236" i="2"/>
  <c r="J221" i="2" s="1"/>
  <c r="M269" i="2"/>
  <c r="N276" i="2"/>
  <c r="N277" i="2"/>
  <c r="M346" i="2"/>
  <c r="J395" i="2"/>
  <c r="M429" i="2"/>
  <c r="M442" i="2"/>
  <c r="M443" i="2"/>
  <c r="M499" i="2"/>
  <c r="M591" i="2"/>
  <c r="M620" i="2"/>
  <c r="M315" i="2"/>
  <c r="M364" i="2"/>
  <c r="M381" i="2"/>
  <c r="J451" i="2"/>
  <c r="M461" i="2"/>
  <c r="M462" i="2"/>
  <c r="M463" i="2"/>
  <c r="M465" i="2"/>
  <c r="J494" i="2"/>
  <c r="N500" i="2"/>
  <c r="N502" i="2"/>
  <c r="M503" i="2"/>
  <c r="M523" i="2"/>
  <c r="M529" i="2"/>
  <c r="M530" i="2"/>
  <c r="M531" i="2"/>
  <c r="M539" i="2"/>
  <c r="M545" i="2"/>
  <c r="M549" i="2"/>
  <c r="M566" i="2"/>
  <c r="J683" i="2"/>
  <c r="M742" i="2"/>
  <c r="M784" i="2"/>
  <c r="M785" i="2"/>
  <c r="J658" i="2"/>
  <c r="M659" i="2"/>
  <c r="M661" i="2"/>
  <c r="M663" i="2"/>
  <c r="M667" i="2"/>
  <c r="M698" i="2"/>
  <c r="J737" i="2"/>
  <c r="M738" i="2"/>
  <c r="M744" i="2"/>
  <c r="M753" i="2"/>
  <c r="M750" i="2"/>
  <c r="M767" i="2"/>
  <c r="M768" i="2"/>
  <c r="J783" i="2"/>
  <c r="M797" i="2"/>
  <c r="M796" i="2"/>
  <c r="J613" i="2"/>
  <c r="N664" i="2"/>
  <c r="M692" i="2"/>
  <c r="M693" i="2"/>
  <c r="M694" i="2"/>
  <c r="M730" i="2"/>
  <c r="J743" i="2"/>
  <c r="M760" i="2"/>
  <c r="M851" i="2"/>
  <c r="N651" i="2"/>
  <c r="M652" i="2"/>
  <c r="N657" i="2"/>
  <c r="M669" i="2"/>
  <c r="M671" i="2"/>
  <c r="M674" i="2"/>
  <c r="M712" i="2"/>
  <c r="M716" i="2"/>
  <c r="M722" i="2"/>
  <c r="M734" i="2"/>
  <c r="M736" i="2"/>
  <c r="J754" i="2"/>
  <c r="N787" i="2"/>
  <c r="N788" i="2"/>
  <c r="J795" i="2"/>
  <c r="J1008" i="2"/>
  <c r="J1016" i="2"/>
  <c r="J1032" i="2"/>
  <c r="J1088" i="2"/>
  <c r="J1097" i="2"/>
  <c r="K12" i="19"/>
  <c r="K13" i="19"/>
  <c r="K14" i="19"/>
  <c r="K16" i="19"/>
  <c r="K17" i="19"/>
  <c r="C60" i="19"/>
  <c r="M773" i="2"/>
  <c r="M774" i="2"/>
  <c r="M829" i="2"/>
  <c r="M833" i="2"/>
  <c r="M834" i="2"/>
  <c r="M839" i="2"/>
  <c r="M841" i="2"/>
  <c r="J854" i="2"/>
  <c r="J857" i="2"/>
  <c r="J979" i="2"/>
  <c r="J987" i="2"/>
  <c r="J995" i="2"/>
  <c r="J1063" i="2"/>
  <c r="J1067" i="2"/>
  <c r="J1071" i="2"/>
  <c r="J1075" i="2"/>
  <c r="K8" i="19"/>
  <c r="K26" i="19"/>
  <c r="K79" i="19"/>
  <c r="R110" i="19"/>
  <c r="C123" i="19"/>
  <c r="J1103" i="2"/>
  <c r="J1107" i="2"/>
  <c r="C26" i="19"/>
  <c r="C57" i="19"/>
  <c r="K119" i="19"/>
  <c r="K135" i="19"/>
  <c r="N72" i="2"/>
  <c r="N73" i="2"/>
  <c r="N130" i="2"/>
  <c r="N131" i="2"/>
  <c r="N137" i="2"/>
  <c r="N231" i="2"/>
  <c r="N234" i="2"/>
  <c r="N262" i="2"/>
  <c r="N274" i="2"/>
  <c r="N486" i="2"/>
  <c r="N534" i="2"/>
  <c r="N617" i="2"/>
  <c r="N621" i="2"/>
  <c r="N759" i="2"/>
  <c r="N757" i="2"/>
  <c r="N799" i="2"/>
  <c r="N430" i="2"/>
  <c r="N431" i="2"/>
  <c r="N433" i="2"/>
  <c r="N434" i="2"/>
  <c r="N728" i="2"/>
  <c r="N727" i="2"/>
  <c r="N293" i="2"/>
  <c r="N397" i="2"/>
  <c r="N765" i="2"/>
  <c r="N763" i="2"/>
  <c r="J868" i="2"/>
  <c r="M889" i="2"/>
  <c r="M947" i="2"/>
  <c r="M969" i="2"/>
  <c r="M983" i="2"/>
  <c r="J985" i="2"/>
  <c r="M991" i="2"/>
  <c r="J993" i="2"/>
  <c r="M999" i="2"/>
  <c r="J1001" i="2"/>
  <c r="J1007" i="2"/>
  <c r="J1012" i="2"/>
  <c r="M1016" i="2"/>
  <c r="J1022" i="2"/>
  <c r="J1031" i="2"/>
  <c r="N1055" i="2"/>
  <c r="N1067" i="2"/>
  <c r="J1079" i="2"/>
  <c r="N1085" i="2"/>
  <c r="J1087" i="2"/>
  <c r="J1095" i="2"/>
  <c r="M1097" i="2"/>
  <c r="J1099" i="2"/>
  <c r="J1100" i="2"/>
  <c r="J1101" i="2"/>
  <c r="M1107" i="2"/>
  <c r="J1109" i="2"/>
  <c r="C28" i="19"/>
  <c r="K38" i="19"/>
  <c r="K41" i="19"/>
  <c r="K48" i="19"/>
  <c r="R97" i="19"/>
  <c r="F888" i="2"/>
  <c r="M888" i="2" s="1"/>
  <c r="M951" i="2"/>
  <c r="M973" i="2"/>
  <c r="M974" i="2"/>
  <c r="M981" i="2"/>
  <c r="J983" i="2"/>
  <c r="M989" i="2"/>
  <c r="J991" i="2"/>
  <c r="J999" i="2"/>
  <c r="M1024" i="2"/>
  <c r="N1059" i="2"/>
  <c r="N1065" i="2"/>
  <c r="N1071" i="2"/>
  <c r="N1083" i="2"/>
  <c r="M1105" i="2"/>
  <c r="R78" i="19"/>
  <c r="R82" i="19"/>
  <c r="K85" i="19"/>
  <c r="K89" i="19"/>
  <c r="K95" i="19"/>
  <c r="K97" i="19"/>
  <c r="K110" i="19"/>
  <c r="K128" i="19"/>
  <c r="J872" i="2"/>
  <c r="M955" i="2"/>
  <c r="M965" i="2"/>
  <c r="M966" i="2"/>
  <c r="M979" i="2"/>
  <c r="J981" i="2"/>
  <c r="M987" i="2"/>
  <c r="J989" i="2"/>
  <c r="M995" i="2"/>
  <c r="M1003" i="2"/>
  <c r="J1005" i="2"/>
  <c r="M1008" i="2"/>
  <c r="J1024" i="2"/>
  <c r="J1029" i="2"/>
  <c r="M1032" i="2"/>
  <c r="J1059" i="2"/>
  <c r="N1063" i="2"/>
  <c r="N1075" i="2"/>
  <c r="N1081" i="2"/>
  <c r="J1083" i="2"/>
  <c r="N1088" i="2"/>
  <c r="M1103" i="2"/>
  <c r="J1105" i="2"/>
  <c r="M1111" i="2"/>
  <c r="C38" i="19"/>
  <c r="K57" i="19"/>
  <c r="K59" i="19"/>
  <c r="K77" i="19"/>
  <c r="K81" i="19"/>
  <c r="C89" i="19"/>
  <c r="C113" i="19"/>
  <c r="C119" i="19"/>
  <c r="M959" i="2"/>
  <c r="M977" i="2"/>
  <c r="M985" i="2"/>
  <c r="M993" i="2"/>
  <c r="M1001" i="2"/>
  <c r="M1012" i="2"/>
  <c r="N1079" i="2"/>
  <c r="M1095" i="2"/>
  <c r="M1099" i="2"/>
  <c r="M1100" i="2"/>
  <c r="M1101" i="2"/>
  <c r="M1109" i="2"/>
  <c r="R76" i="19"/>
  <c r="R80" i="19"/>
  <c r="C85" i="19"/>
  <c r="K121" i="19"/>
  <c r="C128" i="19"/>
  <c r="K139" i="19"/>
  <c r="K146" i="19"/>
  <c r="N11" i="2"/>
  <c r="N41" i="2"/>
  <c r="N168" i="2"/>
  <c r="N169" i="2"/>
  <c r="N172" i="2"/>
  <c r="N223" i="2"/>
  <c r="N260" i="2"/>
  <c r="N261" i="2"/>
  <c r="N263" i="2"/>
  <c r="N264" i="2"/>
  <c r="N279" i="2"/>
  <c r="N280" i="2"/>
  <c r="N308" i="2"/>
  <c r="N324" i="2"/>
  <c r="N443" i="2"/>
  <c r="N452" i="2"/>
  <c r="N492" i="2"/>
  <c r="N524" i="2"/>
  <c r="N546" i="2"/>
  <c r="N550" i="2"/>
  <c r="N570" i="2"/>
  <c r="N604" i="2"/>
  <c r="N608" i="2"/>
  <c r="N643" i="2"/>
  <c r="N645" i="2"/>
  <c r="N647" i="2"/>
  <c r="N670" i="2"/>
  <c r="N672" i="2"/>
  <c r="N723" i="2"/>
  <c r="N769" i="2"/>
  <c r="N789" i="2"/>
  <c r="M945" i="2"/>
  <c r="M949" i="2"/>
  <c r="M953" i="2"/>
  <c r="M957" i="2"/>
  <c r="M962" i="2"/>
  <c r="M970" i="2"/>
  <c r="N998" i="2"/>
  <c r="M998" i="2"/>
  <c r="M1017" i="2"/>
  <c r="M1018" i="2"/>
  <c r="M1019" i="2"/>
  <c r="N1020" i="2"/>
  <c r="M1020" i="2"/>
  <c r="N34" i="2"/>
  <c r="N36" i="2"/>
  <c r="N49" i="2"/>
  <c r="N69" i="2"/>
  <c r="N71" i="2"/>
  <c r="N141" i="2"/>
  <c r="N153" i="2"/>
  <c r="N156" i="2"/>
  <c r="N157" i="2"/>
  <c r="N158" i="2"/>
  <c r="N159" i="2"/>
  <c r="N220" i="2"/>
  <c r="N226" i="2"/>
  <c r="N227" i="2"/>
  <c r="N230" i="2"/>
  <c r="N245" i="2"/>
  <c r="N275" i="2"/>
  <c r="N283" i="2"/>
  <c r="N284" i="2"/>
  <c r="N297" i="2"/>
  <c r="N301" i="2"/>
  <c r="N319" i="2"/>
  <c r="N320" i="2"/>
  <c r="N325" i="2"/>
  <c r="N336" i="2"/>
  <c r="N349" i="2"/>
  <c r="N429" i="2"/>
  <c r="N485" i="2"/>
  <c r="N495" i="2"/>
  <c r="N498" i="2"/>
  <c r="N530" i="2"/>
  <c r="N598" i="2"/>
  <c r="N613" i="2"/>
  <c r="N660" i="2"/>
  <c r="N731" i="2"/>
  <c r="N739" i="2"/>
  <c r="N745" i="2"/>
  <c r="N791" i="2"/>
  <c r="N805" i="2"/>
  <c r="N812" i="2"/>
  <c r="F941" i="2"/>
  <c r="N941" i="2" s="1"/>
  <c r="M946" i="2"/>
  <c r="M950" i="2"/>
  <c r="M954" i="2"/>
  <c r="M958" i="2"/>
  <c r="M963" i="2"/>
  <c r="N964" i="2"/>
  <c r="M964" i="2"/>
  <c r="M971" i="2"/>
  <c r="N972" i="2"/>
  <c r="M972" i="2"/>
  <c r="N994" i="2"/>
  <c r="M994" i="2"/>
  <c r="M1056" i="2"/>
  <c r="N1057" i="2"/>
  <c r="M1057" i="2"/>
  <c r="N449" i="2"/>
  <c r="N451" i="2"/>
  <c r="N514" i="2"/>
  <c r="N515" i="2"/>
  <c r="N574" i="2"/>
  <c r="N990" i="2"/>
  <c r="M990" i="2"/>
  <c r="M1033" i="2"/>
  <c r="M1034" i="2"/>
  <c r="M1052" i="2"/>
  <c r="M1053" i="2"/>
  <c r="N1053" i="2"/>
  <c r="M1072" i="2"/>
  <c r="N1073" i="2"/>
  <c r="M1073" i="2"/>
  <c r="N304" i="2"/>
  <c r="N311" i="2"/>
  <c r="N9" i="2"/>
  <c r="N10" i="2"/>
  <c r="N39" i="2"/>
  <c r="N40" i="2"/>
  <c r="N149" i="2"/>
  <c r="N214" i="2"/>
  <c r="N222" i="2"/>
  <c r="N235" i="2"/>
  <c r="N236" i="2"/>
  <c r="N271" i="2"/>
  <c r="N303" i="2"/>
  <c r="N379" i="2"/>
  <c r="N386" i="2"/>
  <c r="N395" i="2"/>
  <c r="N435" i="2"/>
  <c r="N446" i="2"/>
  <c r="N488" i="2"/>
  <c r="N490" i="2"/>
  <c r="N494" i="2"/>
  <c r="N518" i="2"/>
  <c r="N569" i="2"/>
  <c r="N577" i="2"/>
  <c r="N606" i="2"/>
  <c r="N677" i="2"/>
  <c r="N679" i="2"/>
  <c r="N681" i="2"/>
  <c r="N751" i="2"/>
  <c r="N808" i="2"/>
  <c r="F935" i="2"/>
  <c r="M935" i="2" s="1"/>
  <c r="M944" i="2"/>
  <c r="M948" i="2"/>
  <c r="M952" i="2"/>
  <c r="M956" i="2"/>
  <c r="M960" i="2"/>
  <c r="N961" i="2"/>
  <c r="M961" i="2"/>
  <c r="M967" i="2"/>
  <c r="N968" i="2"/>
  <c r="M968" i="2"/>
  <c r="M975" i="2"/>
  <c r="N976" i="2"/>
  <c r="M976" i="2"/>
  <c r="N978" i="2"/>
  <c r="M978" i="2"/>
  <c r="N980" i="2"/>
  <c r="M980" i="2"/>
  <c r="N982" i="2"/>
  <c r="M982" i="2"/>
  <c r="N984" i="2"/>
  <c r="M984" i="2"/>
  <c r="N986" i="2"/>
  <c r="M986" i="2"/>
  <c r="N1002" i="2"/>
  <c r="M1002" i="2"/>
  <c r="M1009" i="2"/>
  <c r="M1010" i="2"/>
  <c r="N1011" i="2"/>
  <c r="M1011" i="2"/>
  <c r="M1068" i="2"/>
  <c r="M1069" i="2"/>
  <c r="N1069" i="2"/>
  <c r="M1084" i="2"/>
  <c r="J1089" i="2"/>
  <c r="J1090" i="2"/>
  <c r="J1091" i="2"/>
  <c r="J1092" i="2"/>
  <c r="J1093" i="2"/>
  <c r="J1094" i="2"/>
  <c r="N1098" i="2"/>
  <c r="M1098" i="2"/>
  <c r="R49" i="19"/>
  <c r="C49" i="19"/>
  <c r="K49" i="19"/>
  <c r="R127" i="19"/>
  <c r="J982" i="2"/>
  <c r="J986" i="2"/>
  <c r="J990" i="2"/>
  <c r="J994" i="2"/>
  <c r="J998" i="2"/>
  <c r="J1002" i="2"/>
  <c r="J1009" i="2"/>
  <c r="J1010" i="2"/>
  <c r="J1011" i="2"/>
  <c r="J1017" i="2"/>
  <c r="J1018" i="2"/>
  <c r="J1019" i="2"/>
  <c r="J1020" i="2"/>
  <c r="M1021" i="2"/>
  <c r="M1022" i="2"/>
  <c r="M1023" i="2"/>
  <c r="J1073" i="2"/>
  <c r="N1102" i="2"/>
  <c r="M1102" i="2"/>
  <c r="N1104" i="2"/>
  <c r="M1104" i="2"/>
  <c r="N1106" i="2"/>
  <c r="M1106" i="2"/>
  <c r="N1108" i="2"/>
  <c r="M1108" i="2"/>
  <c r="N1110" i="2"/>
  <c r="M1110" i="2"/>
  <c r="K9" i="19"/>
  <c r="C15" i="19"/>
  <c r="K15" i="19"/>
  <c r="R37" i="19"/>
  <c r="C37" i="19"/>
  <c r="C44" i="19"/>
  <c r="K44" i="19"/>
  <c r="M1013" i="2"/>
  <c r="M1014" i="2"/>
  <c r="M1025" i="2"/>
  <c r="M1026" i="2"/>
  <c r="M1027" i="2"/>
  <c r="M1060" i="2"/>
  <c r="M1064" i="2"/>
  <c r="M1076" i="2"/>
  <c r="M1080" i="2"/>
  <c r="C42" i="19"/>
  <c r="K42" i="19"/>
  <c r="R125" i="19"/>
  <c r="K125" i="19"/>
  <c r="R131" i="19"/>
  <c r="K131" i="19"/>
  <c r="J980" i="2"/>
  <c r="J984" i="2"/>
  <c r="J988" i="2"/>
  <c r="M988" i="2"/>
  <c r="J992" i="2"/>
  <c r="M992" i="2"/>
  <c r="J996" i="2"/>
  <c r="M996" i="2"/>
  <c r="J1000" i="2"/>
  <c r="M1000" i="2"/>
  <c r="J1004" i="2"/>
  <c r="M1004" i="2"/>
  <c r="M1005" i="2"/>
  <c r="M1006" i="2"/>
  <c r="M1007" i="2"/>
  <c r="J1013" i="2"/>
  <c r="J1014" i="2"/>
  <c r="J1015" i="2"/>
  <c r="M1015" i="2"/>
  <c r="J1025" i="2"/>
  <c r="J1026" i="2"/>
  <c r="J1027" i="2"/>
  <c r="J1028" i="2"/>
  <c r="M1028" i="2"/>
  <c r="M1029" i="2"/>
  <c r="M1030" i="2"/>
  <c r="M1031" i="2"/>
  <c r="N1061" i="2"/>
  <c r="J1065" i="2"/>
  <c r="N1077" i="2"/>
  <c r="J1081" i="2"/>
  <c r="K27" i="19"/>
  <c r="C27" i="19"/>
  <c r="R47" i="19"/>
  <c r="C47" i="19"/>
  <c r="K47" i="19"/>
  <c r="C84" i="19"/>
  <c r="K84" i="19"/>
  <c r="C108" i="19"/>
  <c r="R108" i="19"/>
  <c r="K108" i="19"/>
  <c r="C109" i="19"/>
  <c r="K109" i="19"/>
  <c r="G177" i="19"/>
  <c r="K177" i="19" s="1"/>
  <c r="C118" i="19"/>
  <c r="R144" i="19"/>
  <c r="K144" i="19"/>
  <c r="J1033" i="2"/>
  <c r="J1034" i="2"/>
  <c r="J1035" i="2"/>
  <c r="J1061" i="2"/>
  <c r="J1069" i="2"/>
  <c r="J1077" i="2"/>
  <c r="J1085" i="2"/>
  <c r="J1098" i="2"/>
  <c r="J1102" i="2"/>
  <c r="J1106" i="2"/>
  <c r="J1110" i="2"/>
  <c r="R12" i="19"/>
  <c r="R16" i="19"/>
  <c r="K18" i="19"/>
  <c r="C19" i="19"/>
  <c r="K20" i="19"/>
  <c r="C21" i="19"/>
  <c r="K22" i="19"/>
  <c r="C23" i="19"/>
  <c r="K24" i="19"/>
  <c r="C31" i="19"/>
  <c r="C35" i="19"/>
  <c r="C43" i="19"/>
  <c r="C48" i="19"/>
  <c r="C50" i="19"/>
  <c r="K76" i="19"/>
  <c r="K78" i="19"/>
  <c r="K80" i="19"/>
  <c r="K82" i="19"/>
  <c r="R96" i="19"/>
  <c r="R123" i="19"/>
  <c r="C138" i="19"/>
  <c r="R13" i="19"/>
  <c r="R17" i="19"/>
  <c r="C20" i="19"/>
  <c r="C22" i="19"/>
  <c r="C24" i="19"/>
  <c r="C32" i="19"/>
  <c r="C39" i="19"/>
  <c r="C41" i="19"/>
  <c r="R43" i="19"/>
  <c r="R75" i="19"/>
  <c r="R77" i="19"/>
  <c r="R79" i="19"/>
  <c r="R81" i="19"/>
  <c r="R83" i="19"/>
  <c r="C97" i="19"/>
  <c r="C107" i="19"/>
  <c r="C114" i="19"/>
  <c r="C120" i="19"/>
  <c r="C124" i="19"/>
  <c r="C130" i="19"/>
  <c r="K132" i="19"/>
  <c r="R138" i="19"/>
  <c r="K140" i="19"/>
  <c r="C148" i="19"/>
  <c r="J1104" i="2"/>
  <c r="J1108" i="2"/>
  <c r="R8" i="19"/>
  <c r="R14" i="19"/>
  <c r="R95" i="19"/>
  <c r="R120" i="19"/>
  <c r="R124" i="19"/>
  <c r="K116" i="11"/>
  <c r="G21" i="11"/>
  <c r="O21" i="11" s="1"/>
  <c r="K120" i="11"/>
  <c r="G56" i="11"/>
  <c r="O56" i="11" s="1"/>
  <c r="G53" i="11"/>
  <c r="K51" i="11"/>
  <c r="G57" i="11"/>
  <c r="O57" i="11" s="1"/>
  <c r="M51" i="11"/>
  <c r="G55" i="11"/>
  <c r="L51" i="11"/>
  <c r="K59" i="11"/>
  <c r="B3" i="11"/>
  <c r="B2" i="11"/>
  <c r="F10" i="11"/>
  <c r="G35" i="11"/>
  <c r="K62" i="11"/>
  <c r="F64" i="11"/>
  <c r="G65" i="11"/>
  <c r="O65" i="11" s="1"/>
  <c r="G69" i="11"/>
  <c r="G104" i="11"/>
  <c r="K107" i="11"/>
  <c r="G111" i="11"/>
  <c r="G115" i="11"/>
  <c r="O115" i="11" s="1"/>
  <c r="G118" i="11"/>
  <c r="O118" i="11" s="1"/>
  <c r="K125" i="11"/>
  <c r="L163" i="11"/>
  <c r="G261" i="11"/>
  <c r="O261" i="11" s="1"/>
  <c r="G11" i="11"/>
  <c r="O11" i="11" s="1"/>
  <c r="B13" i="11"/>
  <c r="B24" i="11"/>
  <c r="G27" i="11"/>
  <c r="O27" i="11" s="1"/>
  <c r="G64" i="11"/>
  <c r="G68" i="11"/>
  <c r="O68" i="11" s="1"/>
  <c r="G103" i="11"/>
  <c r="O103" i="11" s="1"/>
  <c r="L107" i="11"/>
  <c r="G110" i="11"/>
  <c r="G114" i="11"/>
  <c r="K117" i="11"/>
  <c r="G121" i="11"/>
  <c r="O121" i="11" s="1"/>
  <c r="G128" i="11"/>
  <c r="O128" i="11" s="1"/>
  <c r="G131" i="11"/>
  <c r="O131" i="11" s="1"/>
  <c r="M163" i="11"/>
  <c r="D10" i="11"/>
  <c r="H10" i="11"/>
  <c r="K10" i="11" s="1"/>
  <c r="G37" i="11"/>
  <c r="O37" i="11" s="1"/>
  <c r="M62" i="11"/>
  <c r="D64" i="11"/>
  <c r="G67" i="11"/>
  <c r="O67" i="11" s="1"/>
  <c r="G98" i="11"/>
  <c r="G102" i="11"/>
  <c r="O102" i="11" s="1"/>
  <c r="G106" i="11"/>
  <c r="M107" i="11"/>
  <c r="G109" i="11"/>
  <c r="O109" i="11" s="1"/>
  <c r="G113" i="11"/>
  <c r="L117" i="11"/>
  <c r="G123" i="11"/>
  <c r="G127" i="11"/>
  <c r="O127" i="11" s="1"/>
  <c r="G130" i="11"/>
  <c r="K238" i="11"/>
  <c r="G368" i="11"/>
  <c r="O368" i="11" s="1"/>
  <c r="G347" i="11"/>
  <c r="O347" i="11" s="1"/>
  <c r="G326" i="11"/>
  <c r="O326" i="11" s="1"/>
  <c r="G295" i="11"/>
  <c r="O295" i="11" s="1"/>
  <c r="G276" i="11"/>
  <c r="O276" i="11" s="1"/>
  <c r="G262" i="11"/>
  <c r="O262" i="11" s="1"/>
  <c r="G305" i="11"/>
  <c r="O305" i="11" s="1"/>
  <c r="G283" i="11"/>
  <c r="O283" i="11" s="1"/>
  <c r="E6" i="11"/>
  <c r="B370" i="11"/>
  <c r="G308" i="11"/>
  <c r="O308" i="11" s="1"/>
  <c r="G307" i="11"/>
  <c r="O307" i="11" s="1"/>
  <c r="B307" i="11"/>
  <c r="B349" i="11"/>
  <c r="B328" i="11"/>
  <c r="F6" i="11"/>
  <c r="G7" i="11"/>
  <c r="O7" i="11" s="1"/>
  <c r="B8" i="11"/>
  <c r="E10" i="11"/>
  <c r="E11" i="11"/>
  <c r="G22" i="11"/>
  <c r="O22" i="11" s="1"/>
  <c r="G44" i="11"/>
  <c r="O44" i="11" s="1"/>
  <c r="E64" i="11"/>
  <c r="G108" i="11"/>
  <c r="O108" i="11" s="1"/>
  <c r="G112" i="11"/>
  <c r="O112" i="11" s="1"/>
  <c r="K147" i="11"/>
  <c r="K140" i="11"/>
  <c r="K163" i="11"/>
  <c r="G138" i="11"/>
  <c r="G142" i="11"/>
  <c r="O142" i="11" s="1"/>
  <c r="G146" i="11"/>
  <c r="K149" i="11"/>
  <c r="G153" i="11"/>
  <c r="G159" i="11"/>
  <c r="O159" i="11" s="1"/>
  <c r="G162" i="11"/>
  <c r="O162" i="11" s="1"/>
  <c r="C232" i="11"/>
  <c r="L232" i="11"/>
  <c r="G237" i="11"/>
  <c r="G243" i="11"/>
  <c r="O243" i="11" s="1"/>
  <c r="G249" i="11"/>
  <c r="O249" i="11" s="1"/>
  <c r="G252" i="11"/>
  <c r="O252" i="11" s="1"/>
  <c r="G257" i="11"/>
  <c r="O257" i="11" s="1"/>
  <c r="K303" i="11"/>
  <c r="N15" i="2"/>
  <c r="N37" i="2"/>
  <c r="M49" i="2"/>
  <c r="M51" i="2"/>
  <c r="J48" i="2"/>
  <c r="N55" i="2"/>
  <c r="D60" i="2"/>
  <c r="M60" i="2"/>
  <c r="N62" i="2"/>
  <c r="N66" i="2"/>
  <c r="N65" i="2"/>
  <c r="N64" i="2"/>
  <c r="D65" i="2"/>
  <c r="N76" i="2"/>
  <c r="N79" i="2"/>
  <c r="N78" i="2"/>
  <c r="N77" i="2"/>
  <c r="G137" i="11"/>
  <c r="O137" i="11" s="1"/>
  <c r="G141" i="11"/>
  <c r="O141" i="11" s="1"/>
  <c r="G145" i="11"/>
  <c r="L149" i="11"/>
  <c r="G152" i="11"/>
  <c r="O152" i="11" s="1"/>
  <c r="G158" i="11"/>
  <c r="K225" i="11"/>
  <c r="G227" i="11"/>
  <c r="O227" i="11" s="1"/>
  <c r="M232" i="11"/>
  <c r="G236" i="11"/>
  <c r="O236" i="11" s="1"/>
  <c r="K246" i="11"/>
  <c r="G248" i="11"/>
  <c r="O248" i="11" s="1"/>
  <c r="G251" i="11"/>
  <c r="O251" i="11" s="1"/>
  <c r="G254" i="11"/>
  <c r="O254" i="11" s="1"/>
  <c r="N32" i="2"/>
  <c r="E59" i="2"/>
  <c r="C59" i="2"/>
  <c r="G65" i="2"/>
  <c r="J65" i="2" s="1"/>
  <c r="C66" i="2"/>
  <c r="E66" i="2"/>
  <c r="M69" i="2"/>
  <c r="M73" i="2"/>
  <c r="M72" i="2"/>
  <c r="M71" i="2"/>
  <c r="M74" i="2"/>
  <c r="C83" i="2"/>
  <c r="E83" i="2"/>
  <c r="D83" i="2"/>
  <c r="G148" i="11"/>
  <c r="O148" i="11" s="1"/>
  <c r="K151" i="11"/>
  <c r="G157" i="11"/>
  <c r="O157" i="11" s="1"/>
  <c r="G164" i="11"/>
  <c r="O164" i="11" s="1"/>
  <c r="K173" i="11"/>
  <c r="K177" i="11"/>
  <c r="K181" i="11"/>
  <c r="K185" i="11"/>
  <c r="K189" i="11"/>
  <c r="K193" i="11"/>
  <c r="K197" i="11"/>
  <c r="K202" i="11"/>
  <c r="K211" i="11"/>
  <c r="G224" i="11"/>
  <c r="O224" i="11" s="1"/>
  <c r="G235" i="11"/>
  <c r="O235" i="11" s="1"/>
  <c r="K292" i="11"/>
  <c r="K389" i="11"/>
  <c r="M11" i="2"/>
  <c r="M9" i="2"/>
  <c r="M12" i="2"/>
  <c r="N14" i="2"/>
  <c r="N16" i="2"/>
  <c r="N26" i="2"/>
  <c r="N24" i="2"/>
  <c r="J37" i="2"/>
  <c r="J33" i="2" s="1"/>
  <c r="M41" i="2"/>
  <c r="M39" i="2"/>
  <c r="N44" i="2"/>
  <c r="N46" i="2"/>
  <c r="N47" i="2"/>
  <c r="C82" i="2"/>
  <c r="E82" i="2"/>
  <c r="D82" i="2"/>
  <c r="N89" i="2"/>
  <c r="N85" i="2"/>
  <c r="N88" i="2"/>
  <c r="N87" i="2"/>
  <c r="N86" i="2"/>
  <c r="G143" i="11"/>
  <c r="O143" i="11" s="1"/>
  <c r="G150" i="11"/>
  <c r="G154" i="11"/>
  <c r="O154" i="11" s="1"/>
  <c r="G160" i="11"/>
  <c r="O160" i="11" s="1"/>
  <c r="K232" i="11"/>
  <c r="G234" i="11"/>
  <c r="M19" i="2"/>
  <c r="M21" i="2"/>
  <c r="J18" i="2"/>
  <c r="N25" i="2"/>
  <c r="M31" i="2"/>
  <c r="M29" i="2"/>
  <c r="J32" i="2"/>
  <c r="J28" i="2" s="1"/>
  <c r="M34" i="2"/>
  <c r="M36" i="2"/>
  <c r="N56" i="2"/>
  <c r="N54" i="2"/>
  <c r="J58" i="2"/>
  <c r="E60" i="2"/>
  <c r="C60" i="2"/>
  <c r="C65" i="2"/>
  <c r="E65" i="2"/>
  <c r="N67" i="2"/>
  <c r="M70" i="2"/>
  <c r="G82" i="2"/>
  <c r="J82" i="2" s="1"/>
  <c r="J81" i="2" s="1"/>
  <c r="J6" i="7" s="1"/>
  <c r="J80" i="2"/>
  <c r="N80" i="2"/>
  <c r="M82" i="2"/>
  <c r="J91" i="2"/>
  <c r="J92" i="2"/>
  <c r="J93" i="2"/>
  <c r="F98" i="2"/>
  <c r="F99" i="2"/>
  <c r="F100" i="2"/>
  <c r="J101" i="2"/>
  <c r="M109" i="2"/>
  <c r="M113" i="2"/>
  <c r="M117" i="2"/>
  <c r="M119" i="2"/>
  <c r="M120" i="2"/>
  <c r="M121" i="2"/>
  <c r="J142" i="2"/>
  <c r="N143" i="2"/>
  <c r="J144" i="2"/>
  <c r="N145" i="2"/>
  <c r="N348" i="2"/>
  <c r="J348" i="2"/>
  <c r="M348" i="2"/>
  <c r="N22" i="2"/>
  <c r="N52" i="2"/>
  <c r="M57" i="2"/>
  <c r="N74" i="2"/>
  <c r="G78" i="2"/>
  <c r="J78" i="2" s="1"/>
  <c r="G79" i="2"/>
  <c r="J79" i="2" s="1"/>
  <c r="G87" i="2"/>
  <c r="J87" i="2" s="1"/>
  <c r="G88" i="2"/>
  <c r="J88" i="2" s="1"/>
  <c r="M106" i="2"/>
  <c r="M108" i="2"/>
  <c r="M116" i="2"/>
  <c r="N366" i="2"/>
  <c r="J366" i="2"/>
  <c r="M366" i="2"/>
  <c r="M115" i="2"/>
  <c r="M123" i="2"/>
  <c r="N126" i="2"/>
  <c r="J143" i="2"/>
  <c r="J145" i="2"/>
  <c r="M323" i="2"/>
  <c r="N323" i="2"/>
  <c r="J323" i="2"/>
  <c r="J357" i="2"/>
  <c r="M357" i="2"/>
  <c r="N375" i="2"/>
  <c r="J375" i="2"/>
  <c r="M375" i="2"/>
  <c r="N59" i="2"/>
  <c r="M77" i="2"/>
  <c r="D78" i="2"/>
  <c r="M78" i="2"/>
  <c r="D79" i="2"/>
  <c r="M86" i="2"/>
  <c r="D87" i="2"/>
  <c r="M87" i="2"/>
  <c r="D88" i="2"/>
  <c r="M110" i="2"/>
  <c r="N132" i="2"/>
  <c r="N128" i="2"/>
  <c r="N146" i="2"/>
  <c r="N138" i="2"/>
  <c r="N134" i="2"/>
  <c r="N140" i="2"/>
  <c r="N136" i="2"/>
  <c r="N139" i="2"/>
  <c r="J161" i="2"/>
  <c r="J9" i="7" s="1"/>
  <c r="J170" i="2"/>
  <c r="D180" i="2"/>
  <c r="C180" i="2"/>
  <c r="E180" i="2"/>
  <c r="J278" i="2"/>
  <c r="J290" i="2"/>
  <c r="J332" i="2"/>
  <c r="M332" i="2"/>
  <c r="M135" i="2"/>
  <c r="M149" i="2"/>
  <c r="N150" i="2"/>
  <c r="N154" i="2"/>
  <c r="C167" i="2"/>
  <c r="C168" i="2"/>
  <c r="N173" i="2"/>
  <c r="M194" i="2"/>
  <c r="C198" i="2"/>
  <c r="M199" i="2"/>
  <c r="M216" i="2"/>
  <c r="N217" i="2"/>
  <c r="N218" i="2"/>
  <c r="N219" i="2"/>
  <c r="M224" i="2"/>
  <c r="N225" i="2"/>
  <c r="N229" i="2"/>
  <c r="N233" i="2"/>
  <c r="M237" i="2"/>
  <c r="M239" i="2"/>
  <c r="N240" i="2"/>
  <c r="M243" i="2"/>
  <c r="N244" i="2"/>
  <c r="M247" i="2"/>
  <c r="N252" i="2"/>
  <c r="M256" i="2"/>
  <c r="N257" i="2"/>
  <c r="C262" i="2"/>
  <c r="C263" i="2"/>
  <c r="M267" i="2"/>
  <c r="N268" i="2"/>
  <c r="E269" i="2"/>
  <c r="N269" i="2"/>
  <c r="E270" i="2"/>
  <c r="N270" i="2"/>
  <c r="J271" i="2"/>
  <c r="G275" i="2"/>
  <c r="J275" i="2" s="1"/>
  <c r="G276" i="2"/>
  <c r="J276" i="2" s="1"/>
  <c r="M281" i="2"/>
  <c r="N282" i="2"/>
  <c r="M285" i="2"/>
  <c r="N286" i="2"/>
  <c r="M289" i="2"/>
  <c r="M291" i="2"/>
  <c r="N292" i="2"/>
  <c r="M295" i="2"/>
  <c r="N296" i="2"/>
  <c r="M299" i="2"/>
  <c r="N300" i="2"/>
  <c r="M306" i="2"/>
  <c r="N307" i="2"/>
  <c r="M313" i="2"/>
  <c r="N315" i="2"/>
  <c r="N318" i="2"/>
  <c r="M321" i="2"/>
  <c r="N322" i="2"/>
  <c r="M329" i="2"/>
  <c r="N338" i="2"/>
  <c r="F339" i="2"/>
  <c r="M345" i="2"/>
  <c r="N346" i="2"/>
  <c r="M354" i="2"/>
  <c r="M363" i="2"/>
  <c r="N364" i="2"/>
  <c r="M372" i="2"/>
  <c r="N373" i="2"/>
  <c r="M380" i="2"/>
  <c r="N381" i="2"/>
  <c r="F382" i="2"/>
  <c r="J382" i="2" s="1"/>
  <c r="M388" i="2"/>
  <c r="N389" i="2"/>
  <c r="M392" i="2"/>
  <c r="N393" i="2"/>
  <c r="F394" i="2"/>
  <c r="M401" i="2"/>
  <c r="N402" i="2"/>
  <c r="M405" i="2"/>
  <c r="N406" i="2"/>
  <c r="M411" i="2"/>
  <c r="N412" i="2"/>
  <c r="M415" i="2"/>
  <c r="N416" i="2"/>
  <c r="M421" i="2"/>
  <c r="N422" i="2"/>
  <c r="M425" i="2"/>
  <c r="N426" i="2"/>
  <c r="M434" i="2"/>
  <c r="M451" i="2"/>
  <c r="N459" i="2"/>
  <c r="N455" i="2"/>
  <c r="M456" i="2"/>
  <c r="N463" i="2"/>
  <c r="N467" i="2"/>
  <c r="N477" i="2"/>
  <c r="M480" i="2"/>
  <c r="N511" i="2"/>
  <c r="N509" i="2"/>
  <c r="N510" i="2"/>
  <c r="M507" i="2"/>
  <c r="J507" i="2"/>
  <c r="N512" i="2"/>
  <c r="M223" i="2"/>
  <c r="N224" i="2"/>
  <c r="M227" i="2"/>
  <c r="N228" i="2"/>
  <c r="N232" i="2"/>
  <c r="M236" i="2"/>
  <c r="N239" i="2"/>
  <c r="M242" i="2"/>
  <c r="N243" i="2"/>
  <c r="N251" i="2"/>
  <c r="N255" i="2"/>
  <c r="M261" i="2"/>
  <c r="D262" i="2"/>
  <c r="M262" i="2"/>
  <c r="D263" i="2"/>
  <c r="M264" i="2"/>
  <c r="N267" i="2"/>
  <c r="C275" i="2"/>
  <c r="C276" i="2"/>
  <c r="M280" i="2"/>
  <c r="N281" i="2"/>
  <c r="M284" i="2"/>
  <c r="N285" i="2"/>
  <c r="M288" i="2"/>
  <c r="N291" i="2"/>
  <c r="N295" i="2"/>
  <c r="N299" i="2"/>
  <c r="M305" i="2"/>
  <c r="N306" i="2"/>
  <c r="M312" i="2"/>
  <c r="N313" i="2"/>
  <c r="F314" i="2"/>
  <c r="M320" i="2"/>
  <c r="M328" i="2"/>
  <c r="M333" i="2"/>
  <c r="M336" i="2"/>
  <c r="N337" i="2"/>
  <c r="M344" i="2"/>
  <c r="N345" i="2"/>
  <c r="M362" i="2"/>
  <c r="N363" i="2"/>
  <c r="M368" i="2"/>
  <c r="M371" i="2"/>
  <c r="N372" i="2"/>
  <c r="M376" i="2"/>
  <c r="N377" i="2"/>
  <c r="M379" i="2"/>
  <c r="N380" i="2"/>
  <c r="M384" i="2"/>
  <c r="M387" i="2"/>
  <c r="N388" i="2"/>
  <c r="M391" i="2"/>
  <c r="N392" i="2"/>
  <c r="M400" i="2"/>
  <c r="N401" i="2"/>
  <c r="M404" i="2"/>
  <c r="N405" i="2"/>
  <c r="M408" i="2"/>
  <c r="M410" i="2"/>
  <c r="N411" i="2"/>
  <c r="M414" i="2"/>
  <c r="N415" i="2"/>
  <c r="M420" i="2"/>
  <c r="N421" i="2"/>
  <c r="M424" i="2"/>
  <c r="N425" i="2"/>
  <c r="M427" i="2"/>
  <c r="M435" i="2"/>
  <c r="M431" i="2"/>
  <c r="M430" i="2"/>
  <c r="M432" i="2"/>
  <c r="N442" i="2"/>
  <c r="N438" i="2"/>
  <c r="N444" i="2"/>
  <c r="N447" i="2"/>
  <c r="M450" i="2"/>
  <c r="N456" i="2"/>
  <c r="N458" i="2"/>
  <c r="N466" i="2"/>
  <c r="N507" i="2"/>
  <c r="M508" i="2"/>
  <c r="J508" i="2"/>
  <c r="M137" i="2"/>
  <c r="N148" i="2"/>
  <c r="M151" i="2"/>
  <c r="N152" i="2"/>
  <c r="M156" i="2"/>
  <c r="M157" i="2"/>
  <c r="M158" i="2"/>
  <c r="M159" i="2"/>
  <c r="N160" i="2"/>
  <c r="M162" i="2"/>
  <c r="E167" i="2"/>
  <c r="E168" i="2"/>
  <c r="M192" i="2"/>
  <c r="E198" i="2"/>
  <c r="M201" i="2"/>
  <c r="M210" i="2"/>
  <c r="M222" i="2"/>
  <c r="M226" i="2"/>
  <c r="N242" i="2"/>
  <c r="N250" i="2"/>
  <c r="N254" i="2"/>
  <c r="E262" i="2"/>
  <c r="E263" i="2"/>
  <c r="M277" i="2"/>
  <c r="M279" i="2"/>
  <c r="M283" i="2"/>
  <c r="M287" i="2"/>
  <c r="N294" i="2"/>
  <c r="N298" i="2"/>
  <c r="M304" i="2"/>
  <c r="N305" i="2"/>
  <c r="M311" i="2"/>
  <c r="N312" i="2"/>
  <c r="M319" i="2"/>
  <c r="M324" i="2"/>
  <c r="J325" i="2"/>
  <c r="M327" i="2"/>
  <c r="M343" i="2"/>
  <c r="N344" i="2"/>
  <c r="M349" i="2"/>
  <c r="N350" i="2"/>
  <c r="M352" i="2"/>
  <c r="M358" i="2"/>
  <c r="M361" i="2"/>
  <c r="N362" i="2"/>
  <c r="M367" i="2"/>
  <c r="N368" i="2"/>
  <c r="M370" i="2"/>
  <c r="N371" i="2"/>
  <c r="M374" i="2"/>
  <c r="N376" i="2"/>
  <c r="N384" i="2"/>
  <c r="M386" i="2"/>
  <c r="N387" i="2"/>
  <c r="M390" i="2"/>
  <c r="N391" i="2"/>
  <c r="M396" i="2"/>
  <c r="M397" i="2"/>
  <c r="N398" i="2"/>
  <c r="N400" i="2"/>
  <c r="M403" i="2"/>
  <c r="N404" i="2"/>
  <c r="M407" i="2"/>
  <c r="N408" i="2"/>
  <c r="N410" i="2"/>
  <c r="M413" i="2"/>
  <c r="N414" i="2"/>
  <c r="M417" i="2"/>
  <c r="M419" i="2"/>
  <c r="N420" i="2"/>
  <c r="M423" i="2"/>
  <c r="N424" i="2"/>
  <c r="N427" i="2"/>
  <c r="M433" i="2"/>
  <c r="N440" i="2"/>
  <c r="M446" i="2"/>
  <c r="M448" i="2"/>
  <c r="N450" i="2"/>
  <c r="N454" i="2"/>
  <c r="N462" i="2"/>
  <c r="N464" i="2"/>
  <c r="N474" i="2"/>
  <c r="N470" i="2"/>
  <c r="N476" i="2"/>
  <c r="N472" i="2"/>
  <c r="N475" i="2"/>
  <c r="M483" i="2"/>
  <c r="M479" i="2"/>
  <c r="M481" i="2"/>
  <c r="M484" i="2"/>
  <c r="N508" i="2"/>
  <c r="N151" i="2"/>
  <c r="J156" i="2"/>
  <c r="J157" i="2"/>
  <c r="J158" i="2"/>
  <c r="J159" i="2"/>
  <c r="J210" i="2"/>
  <c r="M217" i="2"/>
  <c r="M218" i="2"/>
  <c r="J277" i="2"/>
  <c r="M282" i="2"/>
  <c r="M303" i="2"/>
  <c r="J311" i="2"/>
  <c r="M318" i="2"/>
  <c r="J327" i="2"/>
  <c r="J343" i="2"/>
  <c r="N343" i="2"/>
  <c r="J349" i="2"/>
  <c r="J352" i="2"/>
  <c r="J358" i="2"/>
  <c r="J361" i="2"/>
  <c r="N361" i="2"/>
  <c r="J367" i="2"/>
  <c r="J370" i="2"/>
  <c r="N370" i="2"/>
  <c r="J386" i="2"/>
  <c r="M389" i="2"/>
  <c r="N390" i="2"/>
  <c r="M393" i="2"/>
  <c r="J397" i="2"/>
  <c r="N403" i="2"/>
  <c r="M412" i="2"/>
  <c r="N413" i="2"/>
  <c r="M422" i="2"/>
  <c r="M449" i="2"/>
  <c r="M458" i="2"/>
  <c r="M454" i="2"/>
  <c r="M455" i="2"/>
  <c r="N457" i="2"/>
  <c r="N465" i="2"/>
  <c r="N461" i="2"/>
  <c r="N471" i="2"/>
  <c r="M485" i="2"/>
  <c r="M490" i="2"/>
  <c r="M492" i="2"/>
  <c r="M488" i="2"/>
  <c r="M494" i="2"/>
  <c r="M493" i="2"/>
  <c r="M489" i="2"/>
  <c r="M501" i="2"/>
  <c r="M517" i="2"/>
  <c r="N540" i="2"/>
  <c r="N556" i="2"/>
  <c r="N558" i="2"/>
  <c r="N557" i="2"/>
  <c r="N565" i="2"/>
  <c r="N561" i="2"/>
  <c r="N566" i="2"/>
  <c r="N562" i="2"/>
  <c r="N564" i="2"/>
  <c r="N560" i="2"/>
  <c r="N563" i="2"/>
  <c r="J596" i="2"/>
  <c r="M596" i="2"/>
  <c r="N432" i="2"/>
  <c r="M471" i="2"/>
  <c r="N482" i="2"/>
  <c r="N489" i="2"/>
  <c r="N493" i="2"/>
  <c r="M500" i="2"/>
  <c r="N501" i="2"/>
  <c r="M504" i="2"/>
  <c r="N505" i="2"/>
  <c r="M516" i="2"/>
  <c r="N517" i="2"/>
  <c r="M522" i="2"/>
  <c r="N523" i="2"/>
  <c r="M526" i="2"/>
  <c r="N527" i="2"/>
  <c r="N529" i="2"/>
  <c r="M532" i="2"/>
  <c r="N533" i="2"/>
  <c r="M538" i="2"/>
  <c r="N539" i="2"/>
  <c r="M544" i="2"/>
  <c r="N545" i="2"/>
  <c r="M548" i="2"/>
  <c r="N549" i="2"/>
  <c r="M554" i="2"/>
  <c r="N555" i="2"/>
  <c r="N567" i="2"/>
  <c r="J676" i="2"/>
  <c r="M514" i="2"/>
  <c r="M515" i="2"/>
  <c r="N516" i="2"/>
  <c r="M519" i="2"/>
  <c r="N520" i="2"/>
  <c r="N522" i="2"/>
  <c r="M525" i="2"/>
  <c r="N526" i="2"/>
  <c r="N532" i="2"/>
  <c r="M537" i="2"/>
  <c r="N538" i="2"/>
  <c r="M541" i="2"/>
  <c r="N542" i="2"/>
  <c r="N544" i="2"/>
  <c r="M547" i="2"/>
  <c r="N548" i="2"/>
  <c r="M553" i="2"/>
  <c r="N554" i="2"/>
  <c r="M556" i="2"/>
  <c r="M571" i="2"/>
  <c r="M569" i="2"/>
  <c r="M570" i="2"/>
  <c r="J642" i="2"/>
  <c r="N480" i="2"/>
  <c r="M498" i="2"/>
  <c r="N499" i="2"/>
  <c r="N531" i="2"/>
  <c r="N537" i="2"/>
  <c r="N547" i="2"/>
  <c r="N553" i="2"/>
  <c r="J721" i="2"/>
  <c r="J748" i="2"/>
  <c r="J798" i="2"/>
  <c r="J802" i="2"/>
  <c r="M563" i="2"/>
  <c r="N571" i="2"/>
  <c r="M577" i="2"/>
  <c r="N578" i="2"/>
  <c r="M584" i="2"/>
  <c r="M592" i="2"/>
  <c r="M600" i="2"/>
  <c r="M601" i="2"/>
  <c r="N602" i="2"/>
  <c r="M608" i="2"/>
  <c r="M609" i="2"/>
  <c r="N610" i="2"/>
  <c r="M617" i="2"/>
  <c r="N618" i="2"/>
  <c r="M621" i="2"/>
  <c r="M622" i="2"/>
  <c r="M624" i="2"/>
  <c r="M629" i="2"/>
  <c r="M630" i="2"/>
  <c r="M637" i="2"/>
  <c r="M641" i="2"/>
  <c r="M643" i="2"/>
  <c r="N644" i="2"/>
  <c r="M647" i="2"/>
  <c r="N648" i="2"/>
  <c r="M653" i="2"/>
  <c r="N654" i="2"/>
  <c r="M660" i="2"/>
  <c r="N661" i="2"/>
  <c r="M664" i="2"/>
  <c r="N665" i="2"/>
  <c r="M670" i="2"/>
  <c r="N671" i="2"/>
  <c r="M675" i="2"/>
  <c r="M677" i="2"/>
  <c r="N678" i="2"/>
  <c r="M681" i="2"/>
  <c r="N682" i="2"/>
  <c r="N684" i="2"/>
  <c r="M687" i="2"/>
  <c r="N688" i="2"/>
  <c r="C693" i="2"/>
  <c r="C694" i="2"/>
  <c r="G700" i="2"/>
  <c r="J700" i="2" s="1"/>
  <c r="G701" i="2"/>
  <c r="J701" i="2" s="1"/>
  <c r="M705" i="2"/>
  <c r="G708" i="2"/>
  <c r="J708" i="2" s="1"/>
  <c r="G709" i="2"/>
  <c r="J709" i="2" s="1"/>
  <c r="E715" i="2"/>
  <c r="E716" i="2"/>
  <c r="M723" i="2"/>
  <c r="N724" i="2"/>
  <c r="M731" i="2"/>
  <c r="N732" i="2"/>
  <c r="N734" i="2"/>
  <c r="M739" i="2"/>
  <c r="N740" i="2"/>
  <c r="M745" i="2"/>
  <c r="N746" i="2"/>
  <c r="M751" i="2"/>
  <c r="N752" i="2"/>
  <c r="M757" i="2"/>
  <c r="N758" i="2"/>
  <c r="M763" i="2"/>
  <c r="N764" i="2"/>
  <c r="M769" i="2"/>
  <c r="N770" i="2"/>
  <c r="N772" i="2"/>
  <c r="M775" i="2"/>
  <c r="N776" i="2"/>
  <c r="N778" i="2"/>
  <c r="M781" i="2"/>
  <c r="N782" i="2"/>
  <c r="N784" i="2"/>
  <c r="N792" i="2"/>
  <c r="M799" i="2"/>
  <c r="N800" i="2"/>
  <c r="M805" i="2"/>
  <c r="M808" i="2"/>
  <c r="M810" i="2"/>
  <c r="M812" i="2"/>
  <c r="N813" i="2"/>
  <c r="N815" i="2"/>
  <c r="M818" i="2"/>
  <c r="M820" i="2"/>
  <c r="N822" i="2"/>
  <c r="N824" i="2"/>
  <c r="N850" i="2"/>
  <c r="F921" i="2"/>
  <c r="F864" i="2"/>
  <c r="J864" i="2" s="1"/>
  <c r="M868" i="2"/>
  <c r="N868" i="2"/>
  <c r="M872" i="2"/>
  <c r="N872" i="2"/>
  <c r="J875" i="2"/>
  <c r="M876" i="2"/>
  <c r="N876" i="2"/>
  <c r="M878" i="2"/>
  <c r="N878" i="2"/>
  <c r="M880" i="2"/>
  <c r="N880" i="2"/>
  <c r="M882" i="2"/>
  <c r="N882" i="2"/>
  <c r="J882" i="2"/>
  <c r="N936" i="2"/>
  <c r="M936" i="2"/>
  <c r="J601" i="2"/>
  <c r="N601" i="2"/>
  <c r="J609" i="2"/>
  <c r="N609" i="2"/>
  <c r="M612" i="2"/>
  <c r="M613" i="2"/>
  <c r="J622" i="2"/>
  <c r="J615" i="2" s="1"/>
  <c r="N622" i="2"/>
  <c r="M628" i="2"/>
  <c r="J630" i="2"/>
  <c r="M646" i="2"/>
  <c r="M656" i="2"/>
  <c r="M657" i="2"/>
  <c r="N675" i="2"/>
  <c r="M680" i="2"/>
  <c r="N687" i="2"/>
  <c r="G715" i="2"/>
  <c r="J715" i="2" s="1"/>
  <c r="G716" i="2"/>
  <c r="J716" i="2" s="1"/>
  <c r="M720" i="2"/>
  <c r="N775" i="2"/>
  <c r="M780" i="2"/>
  <c r="N781" i="2"/>
  <c r="M794" i="2"/>
  <c r="M811" i="2"/>
  <c r="J813" i="2"/>
  <c r="M814" i="2"/>
  <c r="M816" i="2"/>
  <c r="N818" i="2"/>
  <c r="N853" i="2"/>
  <c r="N841" i="2"/>
  <c r="N837" i="2"/>
  <c r="N833" i="2"/>
  <c r="N827" i="2"/>
  <c r="N859" i="2"/>
  <c r="N847" i="2"/>
  <c r="N842" i="2"/>
  <c r="N838" i="2"/>
  <c r="N834" i="2"/>
  <c r="N828" i="2"/>
  <c r="N861" i="2"/>
  <c r="N829" i="2"/>
  <c r="N831" i="2"/>
  <c r="M832" i="2"/>
  <c r="J832" i="2"/>
  <c r="N836" i="2"/>
  <c r="N839" i="2"/>
  <c r="F855" i="2"/>
  <c r="J855" i="2" s="1"/>
  <c r="N846" i="2"/>
  <c r="M846" i="2"/>
  <c r="N854" i="2"/>
  <c r="F920" i="2"/>
  <c r="F863" i="2"/>
  <c r="J863" i="2" s="1"/>
  <c r="F924" i="2"/>
  <c r="F867" i="2"/>
  <c r="J867" i="2" s="1"/>
  <c r="F929" i="2"/>
  <c r="F871" i="2"/>
  <c r="J871" i="2" s="1"/>
  <c r="M875" i="2"/>
  <c r="N875" i="2"/>
  <c r="J877" i="2"/>
  <c r="J879" i="2"/>
  <c r="J881" i="2"/>
  <c r="N937" i="2"/>
  <c r="M937" i="2"/>
  <c r="J936" i="2"/>
  <c r="M561" i="2"/>
  <c r="M565" i="2"/>
  <c r="M575" i="2"/>
  <c r="N576" i="2"/>
  <c r="M581" i="2"/>
  <c r="M589" i="2"/>
  <c r="M594" i="2"/>
  <c r="M595" i="2"/>
  <c r="M598" i="2"/>
  <c r="N599" i="2"/>
  <c r="M603" i="2"/>
  <c r="M604" i="2"/>
  <c r="M606" i="2"/>
  <c r="N607" i="2"/>
  <c r="M611" i="2"/>
  <c r="N612" i="2"/>
  <c r="F614" i="2"/>
  <c r="N616" i="2"/>
  <c r="M619" i="2"/>
  <c r="N620" i="2"/>
  <c r="M626" i="2"/>
  <c r="M627" i="2"/>
  <c r="M634" i="2"/>
  <c r="M645" i="2"/>
  <c r="N646" i="2"/>
  <c r="M649" i="2"/>
  <c r="M651" i="2"/>
  <c r="N652" i="2"/>
  <c r="M655" i="2"/>
  <c r="N659" i="2"/>
  <c r="M662" i="2"/>
  <c r="N663" i="2"/>
  <c r="M666" i="2"/>
  <c r="N667" i="2"/>
  <c r="N669" i="2"/>
  <c r="M673" i="2"/>
  <c r="N674" i="2"/>
  <c r="M679" i="2"/>
  <c r="M685" i="2"/>
  <c r="N686" i="2"/>
  <c r="M689" i="2"/>
  <c r="E693" i="2"/>
  <c r="E694" i="2"/>
  <c r="M699" i="2"/>
  <c r="D700" i="2"/>
  <c r="M700" i="2"/>
  <c r="D701" i="2"/>
  <c r="D708" i="2"/>
  <c r="M708" i="2"/>
  <c r="D709" i="2"/>
  <c r="M709" i="2"/>
  <c r="C715" i="2"/>
  <c r="C716" i="2"/>
  <c r="N720" i="2"/>
  <c r="N722" i="2"/>
  <c r="M725" i="2"/>
  <c r="N736" i="2"/>
  <c r="N738" i="2"/>
  <c r="M741" i="2"/>
  <c r="N742" i="2"/>
  <c r="N744" i="2"/>
  <c r="M749" i="2"/>
  <c r="N750" i="2"/>
  <c r="M755" i="2"/>
  <c r="N756" i="2"/>
  <c r="N760" i="2"/>
  <c r="N762" i="2"/>
  <c r="M765" i="2"/>
  <c r="N768" i="2"/>
  <c r="N774" i="2"/>
  <c r="M779" i="2"/>
  <c r="N780" i="2"/>
  <c r="M793" i="2"/>
  <c r="N794" i="2"/>
  <c r="M801" i="2"/>
  <c r="N804" i="2"/>
  <c r="M823" i="2"/>
  <c r="M819" i="2"/>
  <c r="M815" i="2"/>
  <c r="M809" i="2"/>
  <c r="N811" i="2"/>
  <c r="N814" i="2"/>
  <c r="M817" i="2"/>
  <c r="N821" i="2"/>
  <c r="M824" i="2"/>
  <c r="J824" i="2"/>
  <c r="J846" i="2"/>
  <c r="N848" i="2"/>
  <c r="N851" i="2"/>
  <c r="N860" i="2"/>
  <c r="F923" i="2"/>
  <c r="F866" i="2"/>
  <c r="J866" i="2" s="1"/>
  <c r="F928" i="2"/>
  <c r="F870" i="2"/>
  <c r="J870" i="2" s="1"/>
  <c r="F931" i="2"/>
  <c r="F874" i="2"/>
  <c r="M877" i="2"/>
  <c r="N877" i="2"/>
  <c r="M879" i="2"/>
  <c r="N879" i="2"/>
  <c r="M881" i="2"/>
  <c r="N881" i="2"/>
  <c r="M560" i="2"/>
  <c r="M580" i="2"/>
  <c r="M585" i="2"/>
  <c r="M588" i="2"/>
  <c r="J595" i="2"/>
  <c r="J604" i="2"/>
  <c r="J627" i="2"/>
  <c r="M644" i="2"/>
  <c r="N662" i="2"/>
  <c r="M678" i="2"/>
  <c r="N685" i="2"/>
  <c r="D715" i="2"/>
  <c r="D716" i="2"/>
  <c r="N749" i="2"/>
  <c r="N755" i="2"/>
  <c r="M770" i="2"/>
  <c r="M772" i="2"/>
  <c r="N773" i="2"/>
  <c r="M778" i="2"/>
  <c r="N803" i="2"/>
  <c r="N825" i="2"/>
  <c r="N820" i="2"/>
  <c r="N816" i="2"/>
  <c r="N810" i="2"/>
  <c r="N809" i="2"/>
  <c r="N817" i="2"/>
  <c r="N819" i="2"/>
  <c r="M822" i="2"/>
  <c r="N830" i="2"/>
  <c r="M831" i="2"/>
  <c r="N832" i="2"/>
  <c r="N835" i="2"/>
  <c r="N840" i="2"/>
  <c r="N858" i="2"/>
  <c r="M858" i="2"/>
  <c r="J858" i="2"/>
  <c r="F922" i="2"/>
  <c r="F865" i="2"/>
  <c r="M869" i="2"/>
  <c r="N869" i="2"/>
  <c r="F930" i="2"/>
  <c r="F873" i="2"/>
  <c r="J873" i="2" s="1"/>
  <c r="J876" i="2"/>
  <c r="J878" i="2"/>
  <c r="J880" i="2"/>
  <c r="J937" i="2"/>
  <c r="J883" i="2"/>
  <c r="N883" i="2"/>
  <c r="J884" i="2"/>
  <c r="N884" i="2"/>
  <c r="J885" i="2"/>
  <c r="N885" i="2"/>
  <c r="J886" i="2"/>
  <c r="N886" i="2"/>
  <c r="J887" i="2"/>
  <c r="N887" i="2"/>
  <c r="J890" i="2"/>
  <c r="N890" i="2"/>
  <c r="J891" i="2"/>
  <c r="N891" i="2"/>
  <c r="J892" i="2"/>
  <c r="N892" i="2"/>
  <c r="J893" i="2"/>
  <c r="N893" i="2"/>
  <c r="J894" i="2"/>
  <c r="N894" i="2"/>
  <c r="J895" i="2"/>
  <c r="N895" i="2"/>
  <c r="J896" i="2"/>
  <c r="N896" i="2"/>
  <c r="J897" i="2"/>
  <c r="N897" i="2"/>
  <c r="J898" i="2"/>
  <c r="N898" i="2"/>
  <c r="J899" i="2"/>
  <c r="N899" i="2"/>
  <c r="J900" i="2"/>
  <c r="N900" i="2"/>
  <c r="J901" i="2"/>
  <c r="N901" i="2"/>
  <c r="J902" i="2"/>
  <c r="N902" i="2"/>
  <c r="J903" i="2"/>
  <c r="N903" i="2"/>
  <c r="J904" i="2"/>
  <c r="N904" i="2"/>
  <c r="J905" i="2"/>
  <c r="N905" i="2"/>
  <c r="J906" i="2"/>
  <c r="N906" i="2"/>
  <c r="J907" i="2"/>
  <c r="N907" i="2"/>
  <c r="J908" i="2"/>
  <c r="N908" i="2"/>
  <c r="J909" i="2"/>
  <c r="N909" i="2"/>
  <c r="J910" i="2"/>
  <c r="N910" i="2"/>
  <c r="J911" i="2"/>
  <c r="N911" i="2"/>
  <c r="J912" i="2"/>
  <c r="N912" i="2"/>
  <c r="J913" i="2"/>
  <c r="N913" i="2"/>
  <c r="J914" i="2"/>
  <c r="N914" i="2"/>
  <c r="J915" i="2"/>
  <c r="N915" i="2"/>
  <c r="J916" i="2"/>
  <c r="N916" i="2"/>
  <c r="J917" i="2"/>
  <c r="N917" i="2"/>
  <c r="J918" i="2"/>
  <c r="N918" i="2"/>
  <c r="J919" i="2"/>
  <c r="N919" i="2"/>
  <c r="N1058" i="2"/>
  <c r="M1058" i="2"/>
  <c r="J1058" i="2"/>
  <c r="N1074" i="2"/>
  <c r="M1074" i="2"/>
  <c r="J1074" i="2"/>
  <c r="N1054" i="2"/>
  <c r="M1054" i="2"/>
  <c r="N1070" i="2"/>
  <c r="M1070" i="2"/>
  <c r="J1070" i="2"/>
  <c r="N1086" i="2"/>
  <c r="M1086" i="2"/>
  <c r="J1086" i="2"/>
  <c r="J843" i="2"/>
  <c r="N843" i="2"/>
  <c r="M854" i="2"/>
  <c r="M857"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N1066" i="2"/>
  <c r="M1066" i="2"/>
  <c r="J1066" i="2"/>
  <c r="N1082" i="2"/>
  <c r="M1082" i="2"/>
  <c r="J1082" i="2"/>
  <c r="M830" i="2"/>
  <c r="M836" i="2"/>
  <c r="N857" i="2"/>
  <c r="N1062" i="2"/>
  <c r="M1062" i="2"/>
  <c r="J1062" i="2"/>
  <c r="N1078" i="2"/>
  <c r="M1078" i="2"/>
  <c r="J1078" i="2"/>
  <c r="R51" i="19"/>
  <c r="K51" i="19"/>
  <c r="K87" i="19"/>
  <c r="R87" i="19"/>
  <c r="R100" i="19"/>
  <c r="K100" i="19"/>
  <c r="M1035" i="2"/>
  <c r="M1036" i="2"/>
  <c r="M1037" i="2"/>
  <c r="M1038" i="2"/>
  <c r="M1039" i="2"/>
  <c r="M1040" i="2"/>
  <c r="M1041" i="2"/>
  <c r="M1042" i="2"/>
  <c r="M1043" i="2"/>
  <c r="M1044" i="2"/>
  <c r="M1045" i="2"/>
  <c r="M1046" i="2"/>
  <c r="M1047" i="2"/>
  <c r="M1048" i="2"/>
  <c r="M1049" i="2"/>
  <c r="M1050" i="2"/>
  <c r="M1051" i="2"/>
  <c r="N1052" i="2"/>
  <c r="N1056" i="2"/>
  <c r="N1060" i="2"/>
  <c r="N1064" i="2"/>
  <c r="N1068" i="2"/>
  <c r="N1072" i="2"/>
  <c r="N1076" i="2"/>
  <c r="N1080" i="2"/>
  <c r="N1084" i="2"/>
  <c r="M1088" i="2"/>
  <c r="R10" i="19"/>
  <c r="K10" i="19"/>
  <c r="R33" i="19"/>
  <c r="K33" i="19"/>
  <c r="C33" i="19"/>
  <c r="K88" i="19"/>
  <c r="R88" i="19"/>
  <c r="R106" i="19"/>
  <c r="J1060" i="2"/>
  <c r="J1064" i="2"/>
  <c r="J1068" i="2"/>
  <c r="J1072" i="2"/>
  <c r="J1076" i="2"/>
  <c r="J1080" i="2"/>
  <c r="J1084" i="2"/>
  <c r="C6" i="19"/>
  <c r="R6" i="19"/>
  <c r="K6" i="19"/>
  <c r="R34" i="19"/>
  <c r="K34" i="19"/>
  <c r="G165" i="19"/>
  <c r="R74" i="19"/>
  <c r="K74" i="19"/>
  <c r="R94" i="19"/>
  <c r="K94" i="19"/>
  <c r="M1087" i="2"/>
  <c r="M1089" i="2"/>
  <c r="R46" i="19"/>
  <c r="K46" i="19"/>
  <c r="K86" i="19"/>
  <c r="R86" i="19"/>
  <c r="M1090" i="2"/>
  <c r="M1091" i="2"/>
  <c r="M1092" i="2"/>
  <c r="M1093" i="2"/>
  <c r="M1094" i="2"/>
  <c r="J1112" i="2"/>
  <c r="N1112" i="2"/>
  <c r="J1113" i="2"/>
  <c r="N1113" i="2"/>
  <c r="J1114" i="2"/>
  <c r="N1114" i="2"/>
  <c r="J1115" i="2"/>
  <c r="N1115" i="2"/>
  <c r="J1116" i="2"/>
  <c r="N1116" i="2"/>
  <c r="J1117" i="2"/>
  <c r="N1117" i="2"/>
  <c r="J1118" i="2"/>
  <c r="N1118" i="2"/>
  <c r="J1119" i="2"/>
  <c r="N1119" i="2"/>
  <c r="C32" i="7"/>
  <c r="C28" i="7"/>
  <c r="C24" i="7"/>
  <c r="C20" i="7"/>
  <c r="C10" i="7"/>
  <c r="C6" i="7"/>
  <c r="C25" i="7"/>
  <c r="C21" i="7"/>
  <c r="C11" i="7"/>
  <c r="C7" i="7"/>
  <c r="C26" i="7"/>
  <c r="C22" i="7"/>
  <c r="C12" i="7"/>
  <c r="C8" i="7"/>
  <c r="C27" i="7"/>
  <c r="C9" i="7"/>
  <c r="C23" i="7"/>
  <c r="C13" i="7"/>
  <c r="R155" i="19"/>
  <c r="K155" i="19"/>
  <c r="C155" i="19"/>
  <c r="C156" i="19"/>
  <c r="R156" i="19"/>
  <c r="K156" i="19"/>
  <c r="C157" i="19"/>
  <c r="R157" i="19"/>
  <c r="K157" i="19"/>
  <c r="C158" i="19"/>
  <c r="R158" i="19"/>
  <c r="K158" i="19"/>
  <c r="C159" i="19"/>
  <c r="R159" i="19"/>
  <c r="K159" i="19"/>
  <c r="C160" i="19"/>
  <c r="R160" i="19"/>
  <c r="K160" i="19"/>
  <c r="C161" i="19"/>
  <c r="R161" i="19"/>
  <c r="K161" i="19"/>
  <c r="C162" i="19"/>
  <c r="R162" i="19"/>
  <c r="K162" i="19"/>
  <c r="R103" i="19"/>
  <c r="K103" i="19"/>
  <c r="N1090" i="2"/>
  <c r="N1091" i="2"/>
  <c r="N1092" i="2"/>
  <c r="N1093" i="2"/>
  <c r="N1094" i="2"/>
  <c r="R98" i="19"/>
  <c r="R19" i="19"/>
  <c r="R21" i="19"/>
  <c r="R23" i="19"/>
  <c r="R27" i="19"/>
  <c r="C45" i="19"/>
  <c r="K52" i="19"/>
  <c r="K53" i="19"/>
  <c r="K54" i="19"/>
  <c r="K55" i="19"/>
  <c r="C59" i="19"/>
  <c r="K60" i="19"/>
  <c r="K61" i="19"/>
  <c r="K62" i="19"/>
  <c r="K63" i="19"/>
  <c r="K64" i="19"/>
  <c r="K65" i="19"/>
  <c r="K66" i="19"/>
  <c r="K67" i="19"/>
  <c r="K68" i="19"/>
  <c r="K69" i="19"/>
  <c r="K70" i="19"/>
  <c r="K71" i="19"/>
  <c r="C75" i="19"/>
  <c r="C76" i="19"/>
  <c r="C77" i="19"/>
  <c r="C78" i="19"/>
  <c r="C79" i="19"/>
  <c r="C80" i="19"/>
  <c r="C81" i="19"/>
  <c r="C82" i="19"/>
  <c r="C83" i="19"/>
  <c r="M89" i="19"/>
  <c r="K90" i="19"/>
  <c r="K91" i="19"/>
  <c r="K92" i="19"/>
  <c r="K93" i="19"/>
  <c r="R104" i="19"/>
  <c r="K104" i="19"/>
  <c r="R111" i="19"/>
  <c r="C111" i="19"/>
  <c r="K111" i="19"/>
  <c r="K137" i="19"/>
  <c r="R137" i="19"/>
  <c r="C137" i="19"/>
  <c r="C143" i="19"/>
  <c r="K143" i="19"/>
  <c r="R143" i="19"/>
  <c r="C18" i="19"/>
  <c r="K30" i="19"/>
  <c r="K31" i="19"/>
  <c r="K32" i="19"/>
  <c r="K35" i="19"/>
  <c r="K36" i="19"/>
  <c r="K37" i="19"/>
  <c r="M51" i="19"/>
  <c r="R52" i="19"/>
  <c r="R53" i="19"/>
  <c r="R54" i="19"/>
  <c r="R55" i="19"/>
  <c r="K56" i="19"/>
  <c r="M60" i="19"/>
  <c r="R61" i="19"/>
  <c r="R62" i="19"/>
  <c r="R63" i="19"/>
  <c r="R64" i="19"/>
  <c r="R65" i="19"/>
  <c r="R66" i="19"/>
  <c r="R67" i="19"/>
  <c r="R68" i="19"/>
  <c r="R69" i="19"/>
  <c r="R70" i="19"/>
  <c r="R71" i="19"/>
  <c r="R166" i="19"/>
  <c r="C166" i="19"/>
  <c r="K166" i="19"/>
  <c r="R167" i="19"/>
  <c r="C167" i="19"/>
  <c r="K167" i="19"/>
  <c r="K168" i="19"/>
  <c r="R168" i="19"/>
  <c r="C168" i="19"/>
  <c r="R169" i="19"/>
  <c r="C169" i="19"/>
  <c r="K169" i="19"/>
  <c r="R170" i="19"/>
  <c r="C170" i="19"/>
  <c r="K170" i="19"/>
  <c r="R171" i="19"/>
  <c r="C171" i="19"/>
  <c r="K171" i="19"/>
  <c r="K172" i="19"/>
  <c r="R172" i="19"/>
  <c r="C172" i="19"/>
  <c r="R173" i="19"/>
  <c r="C173" i="19"/>
  <c r="K173" i="19"/>
  <c r="R174" i="19"/>
  <c r="C174" i="19"/>
  <c r="K174" i="19"/>
  <c r="C90" i="19"/>
  <c r="M90" i="19"/>
  <c r="R91" i="19"/>
  <c r="R92" i="19"/>
  <c r="R93" i="19"/>
  <c r="R101" i="19"/>
  <c r="K101" i="19"/>
  <c r="R105" i="19"/>
  <c r="K105" i="19"/>
  <c r="K133" i="19"/>
  <c r="R133" i="19"/>
  <c r="C133" i="19"/>
  <c r="K45" i="19"/>
  <c r="C63" i="19"/>
  <c r="C66" i="19"/>
  <c r="C67" i="19"/>
  <c r="C68" i="19"/>
  <c r="C69" i="19"/>
  <c r="C70" i="19"/>
  <c r="M128" i="19"/>
  <c r="M98" i="19"/>
  <c r="C99" i="19"/>
  <c r="R99" i="19"/>
  <c r="R102" i="19"/>
  <c r="K102" i="19"/>
  <c r="C103" i="19"/>
  <c r="K112" i="19"/>
  <c r="R112" i="19"/>
  <c r="G181" i="19"/>
  <c r="K181" i="19" s="1"/>
  <c r="K122" i="19"/>
  <c r="R122" i="19"/>
  <c r="C122" i="19"/>
  <c r="K126" i="19"/>
  <c r="R126" i="19"/>
  <c r="C126" i="19"/>
  <c r="K129" i="19"/>
  <c r="R129" i="19"/>
  <c r="C129" i="19"/>
  <c r="C141" i="19"/>
  <c r="K141" i="19"/>
  <c r="R141" i="19"/>
  <c r="M147" i="19"/>
  <c r="K120" i="19"/>
  <c r="C180" i="19"/>
  <c r="K180" i="19"/>
  <c r="R121" i="19"/>
  <c r="K123" i="19"/>
  <c r="C125" i="19"/>
  <c r="K127" i="19"/>
  <c r="K130" i="19"/>
  <c r="C132" i="19"/>
  <c r="R132" i="19"/>
  <c r="K134" i="19"/>
  <c r="C136" i="19"/>
  <c r="R136" i="19"/>
  <c r="C140" i="19"/>
  <c r="R140" i="19"/>
  <c r="R142" i="19"/>
  <c r="R145" i="19"/>
  <c r="M174" i="19"/>
  <c r="G183" i="19"/>
  <c r="K107" i="19"/>
  <c r="K113" i="19"/>
  <c r="K114" i="19"/>
  <c r="K118" i="19"/>
  <c r="C178" i="19"/>
  <c r="K178" i="19"/>
  <c r="R119" i="19"/>
  <c r="M166" i="19"/>
  <c r="M170" i="19"/>
  <c r="R118" i="19"/>
  <c r="C179" i="19"/>
  <c r="K179" i="19"/>
  <c r="K182" i="19"/>
  <c r="C131" i="19"/>
  <c r="C135" i="19"/>
  <c r="C139" i="19"/>
  <c r="C142" i="19"/>
  <c r="K147" i="19"/>
  <c r="R147" i="19"/>
  <c r="K148" i="19"/>
  <c r="M165" i="19"/>
  <c r="M169" i="19"/>
  <c r="M173" i="19"/>
  <c r="G11" i="9"/>
  <c r="H11" i="9" s="1"/>
  <c r="M847" i="23"/>
  <c r="M850" i="23"/>
  <c r="M852" i="23"/>
  <c r="M853" i="23"/>
  <c r="M860" i="23"/>
  <c r="M861" i="23"/>
  <c r="E846" i="23"/>
  <c r="E847" i="23"/>
  <c r="E848" i="23"/>
  <c r="E849" i="23"/>
  <c r="E850" i="23"/>
  <c r="E851" i="23"/>
  <c r="E852" i="23"/>
  <c r="E853" i="23"/>
  <c r="E854" i="23"/>
  <c r="E855" i="23"/>
  <c r="E856" i="23"/>
  <c r="E857" i="23"/>
  <c r="E858" i="23"/>
  <c r="E859" i="23"/>
  <c r="E860" i="23"/>
  <c r="E861" i="23"/>
  <c r="E845" i="23"/>
  <c r="F857" i="23"/>
  <c r="F858" i="23" s="1"/>
  <c r="F854" i="23"/>
  <c r="M854" i="23" s="1"/>
  <c r="F851" i="23"/>
  <c r="F848" i="23"/>
  <c r="G861" i="23"/>
  <c r="D861" i="23"/>
  <c r="C861" i="23"/>
  <c r="G860" i="23"/>
  <c r="J860" i="23" s="1"/>
  <c r="D860" i="23"/>
  <c r="C860" i="23"/>
  <c r="G859" i="23"/>
  <c r="J859" i="23" s="1"/>
  <c r="D859" i="23"/>
  <c r="C859" i="23"/>
  <c r="G858" i="23"/>
  <c r="D858" i="23"/>
  <c r="C858" i="23"/>
  <c r="G857" i="23"/>
  <c r="J857" i="23" s="1"/>
  <c r="D857" i="23"/>
  <c r="C857" i="23"/>
  <c r="G856" i="23"/>
  <c r="D856" i="23"/>
  <c r="C856" i="23"/>
  <c r="G855" i="23"/>
  <c r="D855" i="23"/>
  <c r="C855" i="23"/>
  <c r="G854" i="23"/>
  <c r="J854" i="23" s="1"/>
  <c r="D854" i="23"/>
  <c r="C854" i="23"/>
  <c r="G853" i="23"/>
  <c r="J853" i="23" s="1"/>
  <c r="D853" i="23"/>
  <c r="C853" i="23"/>
  <c r="G852" i="23"/>
  <c r="J852" i="23" s="1"/>
  <c r="D852" i="23"/>
  <c r="C852" i="23"/>
  <c r="G851" i="23"/>
  <c r="J851" i="23" s="1"/>
  <c r="D851" i="23"/>
  <c r="C851" i="23"/>
  <c r="G850" i="23"/>
  <c r="D850" i="23"/>
  <c r="C850" i="23"/>
  <c r="G849" i="23"/>
  <c r="D849" i="23"/>
  <c r="C849" i="23"/>
  <c r="G848" i="23"/>
  <c r="J848" i="23" s="1"/>
  <c r="D848" i="23"/>
  <c r="C848" i="23"/>
  <c r="G847" i="23"/>
  <c r="J847" i="23" s="1"/>
  <c r="D847" i="23"/>
  <c r="C847" i="23"/>
  <c r="G846" i="23"/>
  <c r="D846" i="23"/>
  <c r="C846" i="23"/>
  <c r="G845" i="23"/>
  <c r="D845" i="23"/>
  <c r="C845" i="23"/>
  <c r="N844" i="23"/>
  <c r="M844" i="23"/>
  <c r="M859" i="23" s="1"/>
  <c r="O245" i="11" l="1"/>
  <c r="G222" i="11"/>
  <c r="O222" i="11" s="1"/>
  <c r="K100" i="11"/>
  <c r="K133" i="11"/>
  <c r="K134" i="11"/>
  <c r="O119" i="11"/>
  <c r="H11" i="11"/>
  <c r="K11" i="11" s="1"/>
  <c r="F11" i="11"/>
  <c r="K58" i="19"/>
  <c r="D11" i="11"/>
  <c r="K105" i="11"/>
  <c r="K20" i="11"/>
  <c r="R7" i="19"/>
  <c r="C10" i="19"/>
  <c r="C7" i="19"/>
  <c r="C9" i="19"/>
  <c r="K7" i="19"/>
  <c r="C36" i="19"/>
  <c r="J587" i="2"/>
  <c r="G21" i="7" s="1"/>
  <c r="J21" i="7" s="1"/>
  <c r="K29" i="19"/>
  <c r="C29" i="19"/>
  <c r="C11" i="19"/>
  <c r="K223" i="11"/>
  <c r="J997" i="2"/>
  <c r="C106" i="19"/>
  <c r="C51" i="19"/>
  <c r="K11" i="19"/>
  <c r="M997" i="2"/>
  <c r="C94" i="19"/>
  <c r="C58" i="19"/>
  <c r="C86" i="19"/>
  <c r="C34" i="19"/>
  <c r="C56" i="19"/>
  <c r="C100" i="19"/>
  <c r="C64" i="19"/>
  <c r="C98" i="19"/>
  <c r="C65" i="19"/>
  <c r="C87" i="19"/>
  <c r="C74" i="19"/>
  <c r="C88" i="19"/>
  <c r="C62" i="19"/>
  <c r="C25" i="19"/>
  <c r="R25" i="19"/>
  <c r="C46" i="19"/>
  <c r="K25" i="19"/>
  <c r="N640" i="2"/>
  <c r="N637" i="2"/>
  <c r="N634" i="2"/>
  <c r="N635" i="2"/>
  <c r="N638" i="2"/>
  <c r="N641" i="2"/>
  <c r="N633" i="2"/>
  <c r="N92" i="2"/>
  <c r="N353" i="2"/>
  <c r="N636" i="2"/>
  <c r="N714" i="2"/>
  <c r="N162" i="2"/>
  <c r="N716" i="2"/>
  <c r="N715" i="2"/>
  <c r="N712" i="2"/>
  <c r="N713" i="2"/>
  <c r="N357" i="2"/>
  <c r="N355" i="2"/>
  <c r="N358" i="2"/>
  <c r="N352" i="2"/>
  <c r="N359" i="2"/>
  <c r="N354" i="2"/>
  <c r="J369" i="2"/>
  <c r="J579" i="2"/>
  <c r="G20" i="7" s="1"/>
  <c r="J20" i="7" s="1"/>
  <c r="J326" i="2"/>
  <c r="G12" i="7" s="1"/>
  <c r="J12" i="7" s="1"/>
  <c r="N247" i="2"/>
  <c r="N193" i="2"/>
  <c r="J378" i="2"/>
  <c r="K144" i="11"/>
  <c r="K95" i="11"/>
  <c r="K36" i="11"/>
  <c r="K135" i="11"/>
  <c r="N208" i="2"/>
  <c r="N199" i="2"/>
  <c r="N211" i="2"/>
  <c r="N209" i="2"/>
  <c r="N197" i="2"/>
  <c r="N200" i="2"/>
  <c r="N192" i="2"/>
  <c r="N207" i="2"/>
  <c r="N248" i="2"/>
  <c r="N204" i="2"/>
  <c r="N195" i="2"/>
  <c r="N198" i="2"/>
  <c r="N94" i="2"/>
  <c r="N106" i="2"/>
  <c r="N96" i="2"/>
  <c r="N97" i="2"/>
  <c r="N202" i="2"/>
  <c r="N206" i="2"/>
  <c r="N210" i="2"/>
  <c r="N194" i="2"/>
  <c r="N101" i="2"/>
  <c r="N95" i="2"/>
  <c r="N93" i="2"/>
  <c r="N91" i="2"/>
  <c r="N201" i="2"/>
  <c r="N205" i="2"/>
  <c r="N196" i="2"/>
  <c r="N203" i="2"/>
  <c r="N588" i="2"/>
  <c r="N592" i="2"/>
  <c r="N589" i="2"/>
  <c r="N590" i="2"/>
  <c r="N593" i="2"/>
  <c r="N596" i="2"/>
  <c r="N591" i="2"/>
  <c r="N703" i="2"/>
  <c r="N702" i="2"/>
  <c r="N700" i="2"/>
  <c r="N699" i="2"/>
  <c r="N698" i="2"/>
  <c r="N595" i="2"/>
  <c r="N328" i="2"/>
  <c r="N329" i="2"/>
  <c r="N583" i="2"/>
  <c r="N586" i="2"/>
  <c r="N334" i="2"/>
  <c r="N330" i="2"/>
  <c r="N110" i="2"/>
  <c r="N327" i="2"/>
  <c r="N333" i="2"/>
  <c r="N332" i="2"/>
  <c r="N82" i="2"/>
  <c r="N177" i="2"/>
  <c r="N108" i="2"/>
  <c r="N122" i="2"/>
  <c r="C177" i="19"/>
  <c r="N113" i="2"/>
  <c r="N185" i="2"/>
  <c r="N180" i="2"/>
  <c r="N182" i="2"/>
  <c r="N117" i="2"/>
  <c r="N121" i="2"/>
  <c r="N179" i="2"/>
  <c r="N181" i="2"/>
  <c r="N115" i="2"/>
  <c r="N178" i="2"/>
  <c r="N116" i="2"/>
  <c r="N585" i="2"/>
  <c r="N584" i="2"/>
  <c r="N582" i="2"/>
  <c r="N580" i="2"/>
  <c r="N695" i="2"/>
  <c r="N696" i="2"/>
  <c r="N692" i="2"/>
  <c r="N694" i="2"/>
  <c r="N184" i="2"/>
  <c r="N186" i="2"/>
  <c r="N190" i="2"/>
  <c r="N111" i="2"/>
  <c r="N189" i="2"/>
  <c r="N114" i="2"/>
  <c r="N112" i="2"/>
  <c r="N120" i="2"/>
  <c r="N175" i="2"/>
  <c r="N188" i="2"/>
  <c r="N176" i="2"/>
  <c r="N187" i="2"/>
  <c r="N118" i="2"/>
  <c r="N109" i="2"/>
  <c r="N693" i="2"/>
  <c r="N706" i="2"/>
  <c r="N119" i="2"/>
  <c r="N705" i="2"/>
  <c r="N708" i="2"/>
  <c r="N624" i="2"/>
  <c r="N627" i="2"/>
  <c r="N710" i="2"/>
  <c r="N709" i="2"/>
  <c r="N625" i="2"/>
  <c r="N630" i="2"/>
  <c r="N631" i="2"/>
  <c r="N628" i="2"/>
  <c r="N629" i="2"/>
  <c r="J888" i="2"/>
  <c r="J935" i="2"/>
  <c r="N889" i="2"/>
  <c r="M941" i="2"/>
  <c r="J889" i="2"/>
  <c r="J941" i="2"/>
  <c r="N935" i="2"/>
  <c r="N888" i="2"/>
  <c r="J360" i="2"/>
  <c r="J711" i="2"/>
  <c r="G27" i="7" s="1"/>
  <c r="J27" i="7" s="1"/>
  <c r="J704" i="2"/>
  <c r="G26" i="7" s="1"/>
  <c r="J26" i="7" s="1"/>
  <c r="J697" i="2"/>
  <c r="G25" i="7" s="1"/>
  <c r="J25" i="7" s="1"/>
  <c r="J147" i="2"/>
  <c r="J317" i="2"/>
  <c r="O234" i="11"/>
  <c r="O150" i="11"/>
  <c r="K130" i="11"/>
  <c r="O130" i="11"/>
  <c r="K113" i="11"/>
  <c r="O113" i="11"/>
  <c r="K104" i="11"/>
  <c r="O104" i="11"/>
  <c r="K126" i="11"/>
  <c r="O126" i="11"/>
  <c r="K132" i="11"/>
  <c r="O237" i="11"/>
  <c r="O146" i="11"/>
  <c r="K98" i="11"/>
  <c r="O98" i="11"/>
  <c r="O69" i="11"/>
  <c r="O151" i="11"/>
  <c r="K101" i="11"/>
  <c r="O101" i="11"/>
  <c r="K145" i="11"/>
  <c r="O145" i="11"/>
  <c r="K123" i="11"/>
  <c r="O123" i="11"/>
  <c r="O114" i="11"/>
  <c r="O64" i="11"/>
  <c r="O111" i="11"/>
  <c r="O35" i="11"/>
  <c r="O55" i="11"/>
  <c r="O53" i="11"/>
  <c r="K158" i="11"/>
  <c r="O158" i="11"/>
  <c r="K153" i="11"/>
  <c r="O153" i="11"/>
  <c r="K138" i="11"/>
  <c r="O138" i="11"/>
  <c r="K106" i="11"/>
  <c r="O106" i="11"/>
  <c r="O110" i="11"/>
  <c r="K139" i="11"/>
  <c r="O139" i="11"/>
  <c r="K124" i="11"/>
  <c r="O124" i="11"/>
  <c r="J133" i="2"/>
  <c r="J807" i="2"/>
  <c r="J826" i="2"/>
  <c r="J623" i="2"/>
  <c r="G22" i="7" s="1"/>
  <c r="J22" i="7" s="1"/>
  <c r="J597" i="2"/>
  <c r="J1096" i="2"/>
  <c r="C183" i="19"/>
  <c r="K183" i="19"/>
  <c r="R165" i="19"/>
  <c r="C165" i="19"/>
  <c r="K165" i="19"/>
  <c r="M922" i="2"/>
  <c r="N922" i="2"/>
  <c r="J922" i="2"/>
  <c r="N929" i="2"/>
  <c r="J929" i="2"/>
  <c r="M929" i="2"/>
  <c r="M921" i="2"/>
  <c r="N921" i="2"/>
  <c r="J921" i="2"/>
  <c r="M99" i="2"/>
  <c r="F103" i="2"/>
  <c r="N99" i="2"/>
  <c r="J99" i="2"/>
  <c r="L164" i="11"/>
  <c r="K164" i="11"/>
  <c r="G259" i="11"/>
  <c r="O259" i="11" s="1"/>
  <c r="G231" i="11"/>
  <c r="O231" i="11" s="1"/>
  <c r="G258" i="11"/>
  <c r="O258" i="11" s="1"/>
  <c r="K249" i="11"/>
  <c r="K222" i="11"/>
  <c r="K248" i="11"/>
  <c r="K146" i="11"/>
  <c r="K108" i="11"/>
  <c r="F307" i="11"/>
  <c r="B325" i="11"/>
  <c r="B314" i="11"/>
  <c r="B312" i="11"/>
  <c r="B310" i="11"/>
  <c r="E307" i="11"/>
  <c r="H307" i="11"/>
  <c r="K307" i="11" s="1"/>
  <c r="D307" i="11"/>
  <c r="G264" i="11"/>
  <c r="O264" i="11" s="1"/>
  <c r="K262" i="11"/>
  <c r="G265" i="11"/>
  <c r="O265" i="11" s="1"/>
  <c r="G266" i="11"/>
  <c r="O266" i="11" s="1"/>
  <c r="M262" i="11"/>
  <c r="G267" i="11"/>
  <c r="O267" i="11" s="1"/>
  <c r="L262" i="11"/>
  <c r="G363" i="11"/>
  <c r="O363" i="11" s="1"/>
  <c r="G357" i="11"/>
  <c r="O357" i="11" s="1"/>
  <c r="G356" i="11"/>
  <c r="O356" i="11" s="1"/>
  <c r="G353" i="11"/>
  <c r="O353" i="11" s="1"/>
  <c r="G352" i="11"/>
  <c r="O352" i="11" s="1"/>
  <c r="G365" i="11"/>
  <c r="O365" i="11" s="1"/>
  <c r="G364" i="11"/>
  <c r="O364" i="11" s="1"/>
  <c r="G360" i="11"/>
  <c r="O360" i="11" s="1"/>
  <c r="L347" i="11"/>
  <c r="G350" i="11"/>
  <c r="O350" i="11" s="1"/>
  <c r="K347" i="11"/>
  <c r="G362" i="11"/>
  <c r="O362" i="11" s="1"/>
  <c r="G349" i="11"/>
  <c r="O349" i="11" s="1"/>
  <c r="G361" i="11"/>
  <c r="O361" i="11" s="1"/>
  <c r="M347" i="11"/>
  <c r="K131" i="11"/>
  <c r="L27" i="11"/>
  <c r="G29" i="11"/>
  <c r="O29" i="11" s="1"/>
  <c r="K27" i="11"/>
  <c r="M27" i="11"/>
  <c r="E13" i="11"/>
  <c r="H13" i="11"/>
  <c r="D13" i="11"/>
  <c r="G13" i="11"/>
  <c r="O13" i="11" s="1"/>
  <c r="F13" i="11"/>
  <c r="K115" i="11"/>
  <c r="K55" i="11"/>
  <c r="K21" i="11"/>
  <c r="M873" i="2"/>
  <c r="N873" i="2"/>
  <c r="M866" i="2"/>
  <c r="N866" i="2"/>
  <c r="N614" i="2"/>
  <c r="M614" i="2"/>
  <c r="J614" i="2"/>
  <c r="J605" i="2" s="1"/>
  <c r="J342" i="2"/>
  <c r="M394" i="2"/>
  <c r="N394" i="2"/>
  <c r="M339" i="2"/>
  <c r="N339" i="2"/>
  <c r="M98" i="2"/>
  <c r="F102" i="2"/>
  <c r="N98" i="2"/>
  <c r="J98" i="2"/>
  <c r="K160" i="11"/>
  <c r="K143" i="11"/>
  <c r="K157" i="11"/>
  <c r="M164" i="11"/>
  <c r="G47" i="11"/>
  <c r="O47" i="11" s="1"/>
  <c r="G48" i="11"/>
  <c r="O48" i="11" s="1"/>
  <c r="M44" i="11"/>
  <c r="G49" i="11"/>
  <c r="O49" i="11" s="1"/>
  <c r="L44" i="11"/>
  <c r="G50" i="11"/>
  <c r="O50" i="11" s="1"/>
  <c r="G46" i="11"/>
  <c r="O46" i="11" s="1"/>
  <c r="K44" i="11"/>
  <c r="G325" i="11"/>
  <c r="O325" i="11" s="1"/>
  <c r="G278" i="11"/>
  <c r="O278" i="11" s="1"/>
  <c r="K276" i="11"/>
  <c r="M276" i="11"/>
  <c r="L276" i="11"/>
  <c r="G383" i="11"/>
  <c r="O383" i="11" s="1"/>
  <c r="G382" i="11"/>
  <c r="O382" i="11" s="1"/>
  <c r="G381" i="11"/>
  <c r="O381" i="11" s="1"/>
  <c r="G385" i="11"/>
  <c r="O385" i="11" s="1"/>
  <c r="G371" i="11"/>
  <c r="O371" i="11" s="1"/>
  <c r="G370" i="11"/>
  <c r="O370" i="11" s="1"/>
  <c r="L368" i="11"/>
  <c r="M368" i="11"/>
  <c r="G378" i="11"/>
  <c r="O378" i="11" s="1"/>
  <c r="G374" i="11"/>
  <c r="O374" i="11" s="1"/>
  <c r="K368" i="11"/>
  <c r="G386" i="11"/>
  <c r="O386" i="11" s="1"/>
  <c r="G384" i="11"/>
  <c r="O384" i="11" s="1"/>
  <c r="G377" i="11"/>
  <c r="O377" i="11" s="1"/>
  <c r="G375" i="11"/>
  <c r="O375" i="11" s="1"/>
  <c r="G372" i="11"/>
  <c r="O372" i="11" s="1"/>
  <c r="K137" i="11"/>
  <c r="K152" i="11"/>
  <c r="K128" i="11"/>
  <c r="K103" i="11"/>
  <c r="E24" i="11"/>
  <c r="H24" i="11"/>
  <c r="D24" i="11"/>
  <c r="F24" i="11"/>
  <c r="E12" i="11"/>
  <c r="H12" i="11"/>
  <c r="K12" i="11" s="1"/>
  <c r="D12" i="11"/>
  <c r="F12" i="11"/>
  <c r="K261" i="11"/>
  <c r="K37" i="11"/>
  <c r="F856" i="2"/>
  <c r="N845" i="2"/>
  <c r="M845" i="2"/>
  <c r="N849" i="2"/>
  <c r="M849" i="2"/>
  <c r="N930" i="2"/>
  <c r="J930" i="2"/>
  <c r="M930" i="2"/>
  <c r="J849" i="2"/>
  <c r="M874" i="2"/>
  <c r="N874" i="2"/>
  <c r="M870" i="2"/>
  <c r="N870" i="2"/>
  <c r="M923" i="2"/>
  <c r="N923" i="2"/>
  <c r="J923" i="2"/>
  <c r="J874" i="2"/>
  <c r="M867" i="2"/>
  <c r="N867" i="2"/>
  <c r="M863" i="2"/>
  <c r="N863" i="2"/>
  <c r="N855" i="2"/>
  <c r="M855" i="2"/>
  <c r="J351" i="2"/>
  <c r="G13" i="7" s="1"/>
  <c r="J13" i="7" s="1"/>
  <c r="N314" i="2"/>
  <c r="M314" i="2"/>
  <c r="M382" i="2"/>
  <c r="N382" i="2"/>
  <c r="J394" i="2"/>
  <c r="J385" i="2" s="1"/>
  <c r="J314" i="2"/>
  <c r="J310" i="2" s="1"/>
  <c r="K154" i="11"/>
  <c r="K257" i="11"/>
  <c r="G26" i="11"/>
  <c r="O26" i="11" s="1"/>
  <c r="M22" i="11"/>
  <c r="G24" i="11"/>
  <c r="O24" i="11" s="1"/>
  <c r="L22" i="11"/>
  <c r="C22" i="11"/>
  <c r="C27" i="11" s="1"/>
  <c r="G25" i="11"/>
  <c r="O25" i="11" s="1"/>
  <c r="K22" i="11"/>
  <c r="H8" i="11"/>
  <c r="E8" i="11"/>
  <c r="D8" i="11"/>
  <c r="B335" i="11"/>
  <c r="B333" i="11"/>
  <c r="B331" i="11"/>
  <c r="E328" i="11"/>
  <c r="B346" i="11"/>
  <c r="F328" i="11"/>
  <c r="D328" i="11"/>
  <c r="H328" i="11"/>
  <c r="L283" i="11"/>
  <c r="G285" i="11"/>
  <c r="O285" i="11" s="1"/>
  <c r="K283" i="11"/>
  <c r="G286" i="11"/>
  <c r="O286" i="11" s="1"/>
  <c r="M283" i="11"/>
  <c r="G297" i="11"/>
  <c r="O297" i="11" s="1"/>
  <c r="K295" i="11"/>
  <c r="G298" i="11"/>
  <c r="O298" i="11" s="1"/>
  <c r="M295" i="11"/>
  <c r="L295" i="11"/>
  <c r="K142" i="11"/>
  <c r="K114" i="11"/>
  <c r="G70" i="11"/>
  <c r="O70" i="11" s="1"/>
  <c r="K159" i="11"/>
  <c r="K118" i="11"/>
  <c r="K111" i="11"/>
  <c r="M865" i="2"/>
  <c r="N865" i="2"/>
  <c r="N931" i="2"/>
  <c r="J931" i="2"/>
  <c r="M931" i="2"/>
  <c r="N928" i="2"/>
  <c r="J928" i="2"/>
  <c r="M928" i="2"/>
  <c r="J865" i="2"/>
  <c r="J845" i="2"/>
  <c r="M871" i="2"/>
  <c r="N871" i="2"/>
  <c r="M924" i="2"/>
  <c r="N924" i="2"/>
  <c r="J924" i="2"/>
  <c r="M920" i="2"/>
  <c r="N920" i="2"/>
  <c r="J920" i="2"/>
  <c r="M864" i="2"/>
  <c r="N864" i="2"/>
  <c r="J339" i="2"/>
  <c r="M100" i="2"/>
  <c r="F104" i="2"/>
  <c r="N100" i="2"/>
  <c r="J100" i="2"/>
  <c r="K150" i="11"/>
  <c r="K224" i="11"/>
  <c r="K148" i="11"/>
  <c r="K252" i="11"/>
  <c r="M162" i="11"/>
  <c r="K254" i="11"/>
  <c r="K141" i="11"/>
  <c r="K112" i="11"/>
  <c r="G8" i="11"/>
  <c r="O8" i="11" s="1"/>
  <c r="G61" i="11"/>
  <c r="O61" i="11" s="1"/>
  <c r="G9" i="11"/>
  <c r="O9" i="11" s="1"/>
  <c r="B356" i="11"/>
  <c r="B354" i="11"/>
  <c r="B352" i="11"/>
  <c r="E349" i="11"/>
  <c r="B367" i="11"/>
  <c r="D349" i="11"/>
  <c r="H349" i="11"/>
  <c r="F349" i="11"/>
  <c r="B373" i="11"/>
  <c r="E370" i="11"/>
  <c r="H370" i="11"/>
  <c r="B377" i="11"/>
  <c r="B375" i="11"/>
  <c r="F370" i="11"/>
  <c r="B388" i="11"/>
  <c r="D370" i="11"/>
  <c r="G321" i="11"/>
  <c r="O321" i="11" s="1"/>
  <c r="G315" i="11"/>
  <c r="O315" i="11" s="1"/>
  <c r="G322" i="11"/>
  <c r="O322" i="11" s="1"/>
  <c r="G318" i="11"/>
  <c r="O318" i="11" s="1"/>
  <c r="L305" i="11"/>
  <c r="K305" i="11"/>
  <c r="G323" i="11"/>
  <c r="O323" i="11" s="1"/>
  <c r="G320" i="11"/>
  <c r="O320" i="11" s="1"/>
  <c r="G314" i="11"/>
  <c r="O314" i="11" s="1"/>
  <c r="G311" i="11"/>
  <c r="O311" i="11" s="1"/>
  <c r="G310" i="11"/>
  <c r="O310" i="11" s="1"/>
  <c r="G319" i="11"/>
  <c r="O319" i="11" s="1"/>
  <c r="M305" i="11"/>
  <c r="G342" i="11"/>
  <c r="O342" i="11" s="1"/>
  <c r="G336" i="11"/>
  <c r="O336" i="11" s="1"/>
  <c r="G335" i="11"/>
  <c r="O335" i="11" s="1"/>
  <c r="G332" i="11"/>
  <c r="O332" i="11" s="1"/>
  <c r="G331" i="11"/>
  <c r="O331" i="11" s="1"/>
  <c r="G344" i="11"/>
  <c r="O344" i="11" s="1"/>
  <c r="G341" i="11"/>
  <c r="O341" i="11" s="1"/>
  <c r="G328" i="11"/>
  <c r="O328" i="11" s="1"/>
  <c r="G340" i="11"/>
  <c r="O340" i="11" s="1"/>
  <c r="M326" i="11"/>
  <c r="G343" i="11"/>
  <c r="O343" i="11" s="1"/>
  <c r="G339" i="11"/>
  <c r="O339" i="11" s="1"/>
  <c r="L326" i="11"/>
  <c r="G329" i="11"/>
  <c r="O329" i="11" s="1"/>
  <c r="K326" i="11"/>
  <c r="L162" i="11"/>
  <c r="K251" i="11"/>
  <c r="K162" i="11"/>
  <c r="K121" i="11"/>
  <c r="K110" i="11"/>
  <c r="K53" i="11"/>
  <c r="K7" i="11"/>
  <c r="K109" i="11"/>
  <c r="K127" i="11"/>
  <c r="K102" i="11"/>
  <c r="M848" i="23"/>
  <c r="M851" i="23"/>
  <c r="M857" i="23"/>
  <c r="J858" i="23"/>
  <c r="M858" i="23"/>
  <c r="J861" i="23"/>
  <c r="J850" i="23"/>
  <c r="G98" i="4"/>
  <c r="H98" i="4"/>
  <c r="I98" i="4"/>
  <c r="J98" i="4"/>
  <c r="F98" i="4"/>
  <c r="E98" i="4"/>
  <c r="D403" i="4"/>
  <c r="D402" i="4"/>
  <c r="E403" i="4"/>
  <c r="B308" i="11"/>
  <c r="B329" i="11"/>
  <c r="B350" i="11"/>
  <c r="B371" i="11"/>
  <c r="D19" i="9" l="1"/>
  <c r="F19" i="9" s="1"/>
  <c r="D19" i="37"/>
  <c r="F19" i="37" s="1"/>
  <c r="G19" i="37" s="1"/>
  <c r="H19" i="37" s="1"/>
  <c r="C44" i="11"/>
  <c r="K370" i="11"/>
  <c r="K349" i="11"/>
  <c r="G32" i="7"/>
  <c r="J32" i="7" s="1"/>
  <c r="J862" i="2"/>
  <c r="G30" i="7" s="1"/>
  <c r="J30" i="7" s="1"/>
  <c r="E371" i="11"/>
  <c r="D371" i="11"/>
  <c r="H371" i="11"/>
  <c r="K371" i="11" s="1"/>
  <c r="B376" i="11"/>
  <c r="B374" i="11"/>
  <c r="F371" i="11"/>
  <c r="B355" i="11"/>
  <c r="B353" i="11"/>
  <c r="E350" i="11"/>
  <c r="H350" i="11"/>
  <c r="K350" i="11" s="1"/>
  <c r="F350" i="11"/>
  <c r="D350" i="11"/>
  <c r="B334" i="11"/>
  <c r="B332" i="11"/>
  <c r="E329" i="11"/>
  <c r="F329" i="11"/>
  <c r="D329" i="11"/>
  <c r="H329" i="11"/>
  <c r="K329" i="11" s="1"/>
  <c r="F308" i="11"/>
  <c r="B313" i="11"/>
  <c r="B311" i="11"/>
  <c r="E308" i="11"/>
  <c r="H308" i="11"/>
  <c r="K308" i="11" s="1"/>
  <c r="D308" i="11"/>
  <c r="K344" i="11"/>
  <c r="F388" i="11"/>
  <c r="H388" i="11"/>
  <c r="D388" i="11"/>
  <c r="E388" i="11"/>
  <c r="K321" i="11"/>
  <c r="F352" i="11"/>
  <c r="E352" i="11"/>
  <c r="D352" i="11"/>
  <c r="H352" i="11"/>
  <c r="K352" i="11" s="1"/>
  <c r="G60" i="11"/>
  <c r="O60" i="11" s="1"/>
  <c r="K9" i="11"/>
  <c r="M104" i="2"/>
  <c r="N104" i="2"/>
  <c r="J104" i="2"/>
  <c r="G288" i="11"/>
  <c r="O288" i="11" s="1"/>
  <c r="G287" i="11"/>
  <c r="O287" i="11" s="1"/>
  <c r="K286" i="11"/>
  <c r="K8" i="11"/>
  <c r="K24" i="11"/>
  <c r="K385" i="11"/>
  <c r="K48" i="11"/>
  <c r="G354" i="11"/>
  <c r="O354" i="11" s="1"/>
  <c r="K363" i="11"/>
  <c r="E312" i="11"/>
  <c r="H312" i="11"/>
  <c r="D312" i="11"/>
  <c r="F312" i="11"/>
  <c r="M103" i="2"/>
  <c r="N103" i="2"/>
  <c r="J103" i="2"/>
  <c r="G346" i="11"/>
  <c r="O346" i="11" s="1"/>
  <c r="G333" i="11"/>
  <c r="O333" i="11" s="1"/>
  <c r="K342" i="11"/>
  <c r="G312" i="11"/>
  <c r="O312" i="11" s="1"/>
  <c r="K323" i="11"/>
  <c r="H375" i="11"/>
  <c r="K375" i="11" s="1"/>
  <c r="D375" i="11"/>
  <c r="F375" i="11"/>
  <c r="E375" i="11"/>
  <c r="E367" i="11"/>
  <c r="D367" i="11"/>
  <c r="H367" i="11"/>
  <c r="F367" i="11"/>
  <c r="D354" i="11"/>
  <c r="H354" i="11"/>
  <c r="F354" i="11"/>
  <c r="E354" i="11"/>
  <c r="K61" i="11"/>
  <c r="G304" i="11"/>
  <c r="O304" i="11" s="1"/>
  <c r="K297" i="11"/>
  <c r="K328" i="11"/>
  <c r="D331" i="11"/>
  <c r="H331" i="11"/>
  <c r="K331" i="11" s="1"/>
  <c r="F331" i="11"/>
  <c r="E331" i="11"/>
  <c r="G387" i="11"/>
  <c r="O387" i="11" s="1"/>
  <c r="G376" i="11"/>
  <c r="O376" i="11" s="1"/>
  <c r="K13" i="11"/>
  <c r="K364" i="11"/>
  <c r="G355" i="11"/>
  <c r="O355" i="11" s="1"/>
  <c r="K266" i="11"/>
  <c r="K264" i="11"/>
  <c r="E314" i="11"/>
  <c r="B320" i="11"/>
  <c r="H314" i="11"/>
  <c r="K314" i="11" s="1"/>
  <c r="D314" i="11"/>
  <c r="B315" i="11"/>
  <c r="B324" i="11"/>
  <c r="B318" i="11"/>
  <c r="F314" i="11"/>
  <c r="K258" i="11"/>
  <c r="K231" i="11"/>
  <c r="G334" i="11"/>
  <c r="O334" i="11" s="1"/>
  <c r="G313" i="11"/>
  <c r="O313" i="11" s="1"/>
  <c r="K322" i="11"/>
  <c r="B383" i="11"/>
  <c r="B381" i="11"/>
  <c r="H377" i="11"/>
  <c r="K377" i="11" s="1"/>
  <c r="D377" i="11"/>
  <c r="F377" i="11"/>
  <c r="B387" i="11"/>
  <c r="E377" i="11"/>
  <c r="B378" i="11"/>
  <c r="B357" i="11"/>
  <c r="B366" i="11"/>
  <c r="F356" i="11"/>
  <c r="B362" i="11"/>
  <c r="E356" i="11"/>
  <c r="D356" i="11"/>
  <c r="B360" i="11"/>
  <c r="H356" i="11"/>
  <c r="K356" i="11" s="1"/>
  <c r="K285" i="11"/>
  <c r="G294" i="11"/>
  <c r="O294" i="11" s="1"/>
  <c r="E346" i="11"/>
  <c r="H346" i="11"/>
  <c r="K346" i="11" s="1"/>
  <c r="F346" i="11"/>
  <c r="D346" i="11"/>
  <c r="F333" i="11"/>
  <c r="E333" i="11"/>
  <c r="D333" i="11"/>
  <c r="H333" i="11"/>
  <c r="N856" i="2"/>
  <c r="M856" i="2"/>
  <c r="J856" i="2"/>
  <c r="J844" i="2" s="1"/>
  <c r="G28" i="7" s="1"/>
  <c r="J28" i="7" s="1"/>
  <c r="K384" i="11"/>
  <c r="G388" i="11"/>
  <c r="O388" i="11" s="1"/>
  <c r="G282" i="11"/>
  <c r="O282" i="11" s="1"/>
  <c r="K278" i="11"/>
  <c r="G279" i="11"/>
  <c r="O279" i="11" s="1"/>
  <c r="G281" i="11"/>
  <c r="O281" i="11" s="1"/>
  <c r="K46" i="11"/>
  <c r="K47" i="11"/>
  <c r="K365" i="11"/>
  <c r="G366" i="11"/>
  <c r="O366" i="11" s="1"/>
  <c r="E325" i="11"/>
  <c r="F325" i="11"/>
  <c r="D325" i="11"/>
  <c r="H325" i="11"/>
  <c r="K325" i="11" s="1"/>
  <c r="K259" i="11"/>
  <c r="K343" i="11"/>
  <c r="G345" i="11"/>
  <c r="O345" i="11" s="1"/>
  <c r="G324" i="11"/>
  <c r="O324" i="11" s="1"/>
  <c r="H373" i="11"/>
  <c r="K373" i="11" s="1"/>
  <c r="E373" i="11"/>
  <c r="F373" i="11"/>
  <c r="D373" i="11"/>
  <c r="K70" i="11"/>
  <c r="K298" i="11"/>
  <c r="G299" i="11"/>
  <c r="O299" i="11" s="1"/>
  <c r="G300" i="11"/>
  <c r="O300" i="11" s="1"/>
  <c r="B336" i="11"/>
  <c r="D335" i="11"/>
  <c r="B345" i="11"/>
  <c r="B339" i="11"/>
  <c r="H335" i="11"/>
  <c r="K335" i="11" s="1"/>
  <c r="F335" i="11"/>
  <c r="B341" i="11"/>
  <c r="E335" i="11"/>
  <c r="C51" i="11"/>
  <c r="K372" i="11"/>
  <c r="K386" i="11"/>
  <c r="K50" i="11"/>
  <c r="M102" i="2"/>
  <c r="N102" i="2"/>
  <c r="J102" i="2"/>
  <c r="G268" i="11"/>
  <c r="O268" i="11" s="1"/>
  <c r="G367" i="11"/>
  <c r="O367" i="11" s="1"/>
  <c r="K267" i="11"/>
  <c r="K265" i="11"/>
  <c r="E310" i="11"/>
  <c r="H310" i="11"/>
  <c r="K310" i="11" s="1"/>
  <c r="D310" i="11"/>
  <c r="F310" i="11"/>
  <c r="E402" i="4"/>
  <c r="E401" i="4"/>
  <c r="E398" i="4"/>
  <c r="E385" i="4"/>
  <c r="E384" i="4"/>
  <c r="E383" i="4"/>
  <c r="J90" i="2" l="1"/>
  <c r="G7" i="7" s="1"/>
  <c r="J7" i="7" s="1"/>
  <c r="K333" i="11"/>
  <c r="K15" i="11"/>
  <c r="K354" i="11"/>
  <c r="G272" i="11"/>
  <c r="O272" i="11" s="1"/>
  <c r="K268" i="11"/>
  <c r="G273" i="11"/>
  <c r="O273" i="11" s="1"/>
  <c r="G274" i="11"/>
  <c r="O274" i="11" s="1"/>
  <c r="M268" i="11"/>
  <c r="G271" i="11"/>
  <c r="O271" i="11" s="1"/>
  <c r="G270" i="11"/>
  <c r="O270" i="11" s="1"/>
  <c r="B270" i="11"/>
  <c r="L268" i="11"/>
  <c r="E357" i="11"/>
  <c r="D357" i="11"/>
  <c r="B361" i="11"/>
  <c r="H357" i="11"/>
  <c r="K357" i="11" s="1"/>
  <c r="F357" i="11"/>
  <c r="F387" i="11"/>
  <c r="H387" i="11"/>
  <c r="K387" i="11" s="1"/>
  <c r="D387" i="11"/>
  <c r="E387" i="11"/>
  <c r="K300" i="11"/>
  <c r="K281" i="11"/>
  <c r="K282" i="11"/>
  <c r="F362" i="11"/>
  <c r="D362" i="11"/>
  <c r="H362" i="11"/>
  <c r="K362" i="11" s="1"/>
  <c r="E362" i="11"/>
  <c r="B382" i="11"/>
  <c r="H378" i="11"/>
  <c r="K378" i="11" s="1"/>
  <c r="D378" i="11"/>
  <c r="F378" i="11"/>
  <c r="E378" i="11"/>
  <c r="E381" i="11"/>
  <c r="D381" i="11"/>
  <c r="H381" i="11"/>
  <c r="K381" i="11" s="1"/>
  <c r="F381" i="11"/>
  <c r="E324" i="11"/>
  <c r="F324" i="11"/>
  <c r="D324" i="11"/>
  <c r="H324" i="11"/>
  <c r="K324" i="11" s="1"/>
  <c r="F320" i="11"/>
  <c r="D320" i="11"/>
  <c r="H320" i="11"/>
  <c r="K320" i="11" s="1"/>
  <c r="E320" i="11"/>
  <c r="E311" i="11"/>
  <c r="H311" i="11"/>
  <c r="K311" i="11" s="1"/>
  <c r="D311" i="11"/>
  <c r="F311" i="11"/>
  <c r="E383" i="11"/>
  <c r="D383" i="11"/>
  <c r="H383" i="11"/>
  <c r="K383" i="11" s="1"/>
  <c r="F383" i="11"/>
  <c r="E315" i="11"/>
  <c r="D315" i="11"/>
  <c r="B319" i="11"/>
  <c r="H315" i="11"/>
  <c r="K315" i="11" s="1"/>
  <c r="F315" i="11"/>
  <c r="K304" i="11"/>
  <c r="K367" i="11"/>
  <c r="K312" i="11"/>
  <c r="K288" i="11"/>
  <c r="G290" i="11"/>
  <c r="O290" i="11" s="1"/>
  <c r="K388" i="11"/>
  <c r="E313" i="11"/>
  <c r="H313" i="11"/>
  <c r="K313" i="11" s="1"/>
  <c r="D313" i="11"/>
  <c r="F313" i="11"/>
  <c r="H374" i="11"/>
  <c r="K374" i="11" s="1"/>
  <c r="D374" i="11"/>
  <c r="F374" i="11"/>
  <c r="E374" i="11"/>
  <c r="F339" i="11"/>
  <c r="D339" i="11"/>
  <c r="H339" i="11"/>
  <c r="K339" i="11" s="1"/>
  <c r="E339" i="11"/>
  <c r="B340" i="11"/>
  <c r="H336" i="11"/>
  <c r="K336" i="11" s="1"/>
  <c r="F336" i="11"/>
  <c r="E336" i="11"/>
  <c r="D336" i="11"/>
  <c r="C246" i="11"/>
  <c r="C262" i="11" s="1"/>
  <c r="F341" i="11"/>
  <c r="E341" i="11"/>
  <c r="D341" i="11"/>
  <c r="H341" i="11"/>
  <c r="K341" i="11" s="1"/>
  <c r="E345" i="11"/>
  <c r="D345" i="11"/>
  <c r="H345" i="11"/>
  <c r="K345" i="11" s="1"/>
  <c r="F345" i="11"/>
  <c r="K299" i="11"/>
  <c r="K279" i="11"/>
  <c r="G280" i="11"/>
  <c r="O280" i="11" s="1"/>
  <c r="K294" i="11"/>
  <c r="E366" i="11"/>
  <c r="H366" i="11"/>
  <c r="K366" i="11" s="1"/>
  <c r="F366" i="11"/>
  <c r="D366" i="11"/>
  <c r="G289" i="11"/>
  <c r="O289" i="11" s="1"/>
  <c r="K287" i="11"/>
  <c r="H332" i="11"/>
  <c r="K332" i="11" s="1"/>
  <c r="F332" i="11"/>
  <c r="E332" i="11"/>
  <c r="D332" i="11"/>
  <c r="E353" i="11"/>
  <c r="D353" i="11"/>
  <c r="H353" i="11"/>
  <c r="K353" i="11" s="1"/>
  <c r="F353" i="11"/>
  <c r="H376" i="11"/>
  <c r="K376" i="11" s="1"/>
  <c r="D376" i="11"/>
  <c r="F376" i="11"/>
  <c r="E376" i="11"/>
  <c r="F360" i="11"/>
  <c r="E360" i="11"/>
  <c r="D360" i="11"/>
  <c r="H360" i="11"/>
  <c r="K360" i="11" s="1"/>
  <c r="F318" i="11"/>
  <c r="E318" i="11"/>
  <c r="D318" i="11"/>
  <c r="H318" i="11"/>
  <c r="K318" i="11" s="1"/>
  <c r="G19" i="9"/>
  <c r="H19" i="9" s="1"/>
  <c r="K60" i="11"/>
  <c r="E334" i="11"/>
  <c r="D334" i="11"/>
  <c r="H334" i="11"/>
  <c r="K334" i="11" s="1"/>
  <c r="F334" i="11"/>
  <c r="H355" i="11"/>
  <c r="K355" i="11" s="1"/>
  <c r="F355" i="11"/>
  <c r="E355" i="11"/>
  <c r="D355" i="11"/>
  <c r="C36" i="36"/>
  <c r="C34" i="36"/>
  <c r="N6" i="36"/>
  <c r="O6" i="36"/>
  <c r="N7" i="36"/>
  <c r="O7" i="36"/>
  <c r="N8" i="36"/>
  <c r="O8" i="36"/>
  <c r="N9" i="36"/>
  <c r="O9" i="36"/>
  <c r="N10" i="36"/>
  <c r="O10" i="36"/>
  <c r="N11" i="36"/>
  <c r="O11" i="36"/>
  <c r="N12" i="36"/>
  <c r="O12" i="36"/>
  <c r="N13" i="36"/>
  <c r="O13" i="36"/>
  <c r="N14" i="36"/>
  <c r="O14" i="36"/>
  <c r="N15" i="36"/>
  <c r="O15" i="36"/>
  <c r="N16" i="36"/>
  <c r="O16" i="36"/>
  <c r="N17" i="36"/>
  <c r="O17" i="36"/>
  <c r="N18" i="36"/>
  <c r="O18" i="36"/>
  <c r="N19" i="36"/>
  <c r="O19" i="36"/>
  <c r="N20" i="36"/>
  <c r="O20" i="36"/>
  <c r="N21" i="36"/>
  <c r="O21" i="36"/>
  <c r="N22" i="36"/>
  <c r="O22" i="36"/>
  <c r="N23" i="36"/>
  <c r="O23" i="36"/>
  <c r="O5" i="36"/>
  <c r="N5" i="36"/>
  <c r="A1365" i="20"/>
  <c r="H1365" i="20" s="1"/>
  <c r="A486" i="20"/>
  <c r="A487" i="20"/>
  <c r="A488" i="20"/>
  <c r="H488" i="20" s="1"/>
  <c r="A489" i="20"/>
  <c r="H489" i="20" s="1"/>
  <c r="A490" i="20"/>
  <c r="A491" i="20"/>
  <c r="A492" i="20"/>
  <c r="H492" i="20" s="1"/>
  <c r="A493" i="20"/>
  <c r="H493" i="20" s="1"/>
  <c r="A494" i="20"/>
  <c r="A495" i="20"/>
  <c r="A496" i="20"/>
  <c r="H496" i="20" s="1"/>
  <c r="A497" i="20"/>
  <c r="H497" i="20" s="1"/>
  <c r="A498" i="20"/>
  <c r="A499" i="20"/>
  <c r="A500" i="20"/>
  <c r="H500" i="20" s="1"/>
  <c r="A501" i="20"/>
  <c r="H501" i="20" s="1"/>
  <c r="A502" i="20"/>
  <c r="A503" i="20"/>
  <c r="A504" i="20"/>
  <c r="H504" i="20" s="1"/>
  <c r="A505" i="20"/>
  <c r="A506" i="20"/>
  <c r="H506" i="20" s="1"/>
  <c r="A507" i="20"/>
  <c r="H507" i="20" s="1"/>
  <c r="A508" i="20"/>
  <c r="H508" i="20" s="1"/>
  <c r="A509" i="20"/>
  <c r="H509" i="20" s="1"/>
  <c r="A510" i="20"/>
  <c r="A511" i="20"/>
  <c r="A512" i="20"/>
  <c r="H512" i="20" s="1"/>
  <c r="A513" i="20"/>
  <c r="A514" i="20"/>
  <c r="H514" i="20" s="1"/>
  <c r="A515" i="20"/>
  <c r="A516" i="20"/>
  <c r="H516" i="20" s="1"/>
  <c r="A517" i="20"/>
  <c r="H517" i="20" s="1"/>
  <c r="A518" i="20"/>
  <c r="H518" i="20" s="1"/>
  <c r="A519" i="20"/>
  <c r="A520" i="20"/>
  <c r="H520" i="20" s="1"/>
  <c r="A521" i="20"/>
  <c r="H521" i="20" s="1"/>
  <c r="A522" i="20"/>
  <c r="H522" i="20" s="1"/>
  <c r="A523" i="20"/>
  <c r="A524" i="20"/>
  <c r="H524" i="20" s="1"/>
  <c r="A525" i="20"/>
  <c r="H525" i="20" s="1"/>
  <c r="A526" i="20"/>
  <c r="H526" i="20" s="1"/>
  <c r="A527" i="20"/>
  <c r="A528" i="20"/>
  <c r="H528" i="20" s="1"/>
  <c r="A529" i="20"/>
  <c r="A530" i="20"/>
  <c r="A531" i="20"/>
  <c r="A532" i="20"/>
  <c r="H532" i="20" s="1"/>
  <c r="A533" i="20"/>
  <c r="H533" i="20" s="1"/>
  <c r="A534" i="20"/>
  <c r="A535" i="20"/>
  <c r="A536" i="20"/>
  <c r="H536" i="20" s="1"/>
  <c r="A537" i="20"/>
  <c r="A538" i="20"/>
  <c r="H538" i="20" s="1"/>
  <c r="A539" i="20"/>
  <c r="H539" i="20" s="1"/>
  <c r="A540" i="20"/>
  <c r="H540" i="20" s="1"/>
  <c r="A541" i="20"/>
  <c r="H541" i="20" s="1"/>
  <c r="A542" i="20"/>
  <c r="A543" i="20"/>
  <c r="A544" i="20"/>
  <c r="H544" i="20" s="1"/>
  <c r="A545" i="20"/>
  <c r="A546" i="20"/>
  <c r="H546" i="20" s="1"/>
  <c r="A547" i="20"/>
  <c r="H547" i="20" s="1"/>
  <c r="A548" i="20"/>
  <c r="H548" i="20" s="1"/>
  <c r="A549" i="20"/>
  <c r="H549" i="20" s="1"/>
  <c r="A550" i="20"/>
  <c r="A551" i="20"/>
  <c r="A552" i="20"/>
  <c r="H552" i="20" s="1"/>
  <c r="A553" i="20"/>
  <c r="H553" i="20" s="1"/>
  <c r="A554" i="20"/>
  <c r="A555" i="20"/>
  <c r="H555" i="20" s="1"/>
  <c r="A556" i="20"/>
  <c r="H556" i="20" s="1"/>
  <c r="A557" i="20"/>
  <c r="H557" i="20" s="1"/>
  <c r="A558" i="20"/>
  <c r="A559" i="20"/>
  <c r="H559" i="20" s="1"/>
  <c r="A560" i="20"/>
  <c r="H560" i="20" s="1"/>
  <c r="A561" i="20"/>
  <c r="H561" i="20" s="1"/>
  <c r="A562" i="20"/>
  <c r="A563" i="20"/>
  <c r="H563" i="20" s="1"/>
  <c r="A564" i="20"/>
  <c r="H564" i="20" s="1"/>
  <c r="A565" i="20"/>
  <c r="H565" i="20" s="1"/>
  <c r="A566" i="20"/>
  <c r="A567" i="20"/>
  <c r="H567" i="20" s="1"/>
  <c r="A568" i="20"/>
  <c r="H568" i="20" s="1"/>
  <c r="A569" i="20"/>
  <c r="H569" i="20" s="1"/>
  <c r="A570" i="20"/>
  <c r="H570" i="20" s="1"/>
  <c r="A571" i="20"/>
  <c r="H571" i="20" s="1"/>
  <c r="A572" i="20"/>
  <c r="H572" i="20" s="1"/>
  <c r="A573" i="20"/>
  <c r="H573" i="20" s="1"/>
  <c r="A574" i="20"/>
  <c r="A575" i="20"/>
  <c r="H575" i="20" s="1"/>
  <c r="A576" i="20"/>
  <c r="H576" i="20" s="1"/>
  <c r="A577" i="20"/>
  <c r="H577" i="20" s="1"/>
  <c r="A578" i="20"/>
  <c r="H578" i="20" s="1"/>
  <c r="A579" i="20"/>
  <c r="H579" i="20" s="1"/>
  <c r="A580" i="20"/>
  <c r="H580" i="20" s="1"/>
  <c r="A581" i="20"/>
  <c r="H581" i="20" s="1"/>
  <c r="A582" i="20"/>
  <c r="H582" i="20" s="1"/>
  <c r="A583" i="20"/>
  <c r="H583" i="20" s="1"/>
  <c r="A584" i="20"/>
  <c r="H584" i="20" s="1"/>
  <c r="A585" i="20"/>
  <c r="H585" i="20" s="1"/>
  <c r="A586" i="20"/>
  <c r="H586" i="20" s="1"/>
  <c r="A587" i="20"/>
  <c r="H587" i="20" s="1"/>
  <c r="A588" i="20"/>
  <c r="H588" i="20" s="1"/>
  <c r="A589" i="20"/>
  <c r="H589" i="20" s="1"/>
  <c r="A590" i="20"/>
  <c r="H590" i="20" s="1"/>
  <c r="A591" i="20"/>
  <c r="H591" i="20" s="1"/>
  <c r="A592" i="20"/>
  <c r="H592" i="20" s="1"/>
  <c r="A593" i="20"/>
  <c r="A594" i="20"/>
  <c r="A595" i="20"/>
  <c r="A596" i="20"/>
  <c r="H596" i="20" s="1"/>
  <c r="A597" i="20"/>
  <c r="H597" i="20" s="1"/>
  <c r="A598" i="20"/>
  <c r="A599" i="20"/>
  <c r="A600" i="20"/>
  <c r="H600" i="20" s="1"/>
  <c r="A601" i="20"/>
  <c r="H601" i="20" s="1"/>
  <c r="A602" i="20"/>
  <c r="H602" i="20" s="1"/>
  <c r="A603" i="20"/>
  <c r="H603" i="20" s="1"/>
  <c r="A604" i="20"/>
  <c r="H604" i="20" s="1"/>
  <c r="A605" i="20"/>
  <c r="A606" i="20"/>
  <c r="A607" i="20"/>
  <c r="A608" i="20"/>
  <c r="A609" i="20"/>
  <c r="A610" i="20"/>
  <c r="H610" i="20" s="1"/>
  <c r="A611" i="20"/>
  <c r="H611" i="20" s="1"/>
  <c r="A612" i="20"/>
  <c r="H612" i="20" s="1"/>
  <c r="A613" i="20"/>
  <c r="A614" i="20"/>
  <c r="H614" i="20" s="1"/>
  <c r="A615" i="20"/>
  <c r="A616" i="20"/>
  <c r="H616" i="20" s="1"/>
  <c r="A617" i="20"/>
  <c r="H617" i="20" s="1"/>
  <c r="A618" i="20"/>
  <c r="A619" i="20"/>
  <c r="H619" i="20" s="1"/>
  <c r="A620" i="20"/>
  <c r="A621" i="20"/>
  <c r="H621" i="20" s="1"/>
  <c r="A622" i="20"/>
  <c r="H622" i="20" s="1"/>
  <c r="A623" i="20"/>
  <c r="H623" i="20" s="1"/>
  <c r="A624" i="20"/>
  <c r="H624" i="20" s="1"/>
  <c r="A625" i="20"/>
  <c r="H625" i="20" s="1"/>
  <c r="A626" i="20"/>
  <c r="H626" i="20" s="1"/>
  <c r="A627" i="20"/>
  <c r="H627" i="20" s="1"/>
  <c r="A628" i="20"/>
  <c r="H628" i="20" s="1"/>
  <c r="A629" i="20"/>
  <c r="H629" i="20" s="1"/>
  <c r="A630" i="20"/>
  <c r="H630" i="20" s="1"/>
  <c r="A631" i="20"/>
  <c r="H631" i="20" s="1"/>
  <c r="A632" i="20"/>
  <c r="H632" i="20" s="1"/>
  <c r="A633" i="20"/>
  <c r="H633" i="20" s="1"/>
  <c r="A634" i="20"/>
  <c r="A635" i="20"/>
  <c r="H635" i="20" s="1"/>
  <c r="A636" i="20"/>
  <c r="H636" i="20" s="1"/>
  <c r="A637" i="20"/>
  <c r="H637" i="20" s="1"/>
  <c r="A638" i="20"/>
  <c r="H638" i="20" s="1"/>
  <c r="A639" i="20"/>
  <c r="H639" i="20" s="1"/>
  <c r="A640" i="20"/>
  <c r="H640" i="20" s="1"/>
  <c r="A641" i="20"/>
  <c r="H641" i="20" s="1"/>
  <c r="A642" i="20"/>
  <c r="A643" i="20"/>
  <c r="H643" i="20" s="1"/>
  <c r="A644" i="20"/>
  <c r="H644" i="20" s="1"/>
  <c r="A645" i="20"/>
  <c r="H645" i="20" s="1"/>
  <c r="A646" i="20"/>
  <c r="A647" i="20"/>
  <c r="H647" i="20" s="1"/>
  <c r="A648" i="20"/>
  <c r="A649" i="20"/>
  <c r="H649" i="20" s="1"/>
  <c r="A650" i="20"/>
  <c r="H650" i="20" s="1"/>
  <c r="A651" i="20"/>
  <c r="H651" i="20" s="1"/>
  <c r="A652" i="20"/>
  <c r="H652" i="20" s="1"/>
  <c r="A653" i="20"/>
  <c r="H653" i="20" s="1"/>
  <c r="A654" i="20"/>
  <c r="A655" i="20"/>
  <c r="H655" i="20" s="1"/>
  <c r="A656" i="20"/>
  <c r="H656" i="20" s="1"/>
  <c r="A657" i="20"/>
  <c r="H657" i="20" s="1"/>
  <c r="A658" i="20"/>
  <c r="H658" i="20" s="1"/>
  <c r="A659" i="20"/>
  <c r="H659" i="20" s="1"/>
  <c r="A660" i="20"/>
  <c r="H660" i="20" s="1"/>
  <c r="A661" i="20"/>
  <c r="H661" i="20" s="1"/>
  <c r="A662" i="20"/>
  <c r="A663" i="20"/>
  <c r="H663" i="20" s="1"/>
  <c r="A664" i="20"/>
  <c r="H664" i="20" s="1"/>
  <c r="A665" i="20"/>
  <c r="H665" i="20" s="1"/>
  <c r="A666" i="20"/>
  <c r="A667" i="20"/>
  <c r="H667" i="20" s="1"/>
  <c r="A668" i="20"/>
  <c r="H668" i="20" s="1"/>
  <c r="A669" i="20"/>
  <c r="H669" i="20" s="1"/>
  <c r="A670" i="20"/>
  <c r="A671" i="20"/>
  <c r="H671" i="20" s="1"/>
  <c r="A672" i="20"/>
  <c r="H672" i="20" s="1"/>
  <c r="A673" i="20"/>
  <c r="H673" i="20" s="1"/>
  <c r="A674" i="20"/>
  <c r="A675" i="20"/>
  <c r="H675" i="20" s="1"/>
  <c r="A676" i="20"/>
  <c r="H676" i="20" s="1"/>
  <c r="A677" i="20"/>
  <c r="H677" i="20" s="1"/>
  <c r="A678" i="20"/>
  <c r="A679" i="20"/>
  <c r="H679" i="20" s="1"/>
  <c r="A680" i="20"/>
  <c r="H680" i="20" s="1"/>
  <c r="A681" i="20"/>
  <c r="H681" i="20" s="1"/>
  <c r="A682" i="20"/>
  <c r="H682" i="20" s="1"/>
  <c r="A683" i="20"/>
  <c r="H683" i="20" s="1"/>
  <c r="A684" i="20"/>
  <c r="A685" i="20"/>
  <c r="H685" i="20" s="1"/>
  <c r="A686" i="20"/>
  <c r="H686" i="20" s="1"/>
  <c r="A687" i="20"/>
  <c r="H687" i="20" s="1"/>
  <c r="A688" i="20"/>
  <c r="H688" i="20" s="1"/>
  <c r="A689" i="20"/>
  <c r="H689" i="20" s="1"/>
  <c r="A690" i="20"/>
  <c r="A691" i="20"/>
  <c r="H691" i="20" s="1"/>
  <c r="A692" i="20"/>
  <c r="H692" i="20" s="1"/>
  <c r="A693" i="20"/>
  <c r="H693" i="20" s="1"/>
  <c r="A694" i="20"/>
  <c r="A695" i="20"/>
  <c r="H695" i="20" s="1"/>
  <c r="A696" i="20"/>
  <c r="H696" i="20" s="1"/>
  <c r="A697" i="20"/>
  <c r="H697" i="20" s="1"/>
  <c r="A698" i="20"/>
  <c r="H698" i="20" s="1"/>
  <c r="A699" i="20"/>
  <c r="H699" i="20" s="1"/>
  <c r="A700" i="20"/>
  <c r="H700" i="20" s="1"/>
  <c r="A701" i="20"/>
  <c r="H701" i="20" s="1"/>
  <c r="A702" i="20"/>
  <c r="A703" i="20"/>
  <c r="H703" i="20" s="1"/>
  <c r="A704" i="20"/>
  <c r="H704" i="20" s="1"/>
  <c r="A705" i="20"/>
  <c r="H705" i="20" s="1"/>
  <c r="A706" i="20"/>
  <c r="H706" i="20" s="1"/>
  <c r="A707" i="20"/>
  <c r="H707" i="20" s="1"/>
  <c r="A708" i="20"/>
  <c r="H708" i="20" s="1"/>
  <c r="A709" i="20"/>
  <c r="H709" i="20" s="1"/>
  <c r="A710" i="20"/>
  <c r="A711" i="20"/>
  <c r="H711" i="20" s="1"/>
  <c r="A712" i="20"/>
  <c r="H712" i="20" s="1"/>
  <c r="A713" i="20"/>
  <c r="H713" i="20" s="1"/>
  <c r="A714" i="20"/>
  <c r="H714" i="20" s="1"/>
  <c r="A715" i="20"/>
  <c r="A716" i="20"/>
  <c r="H716" i="20" s="1"/>
  <c r="A717" i="20"/>
  <c r="H717" i="20" s="1"/>
  <c r="A718" i="20"/>
  <c r="A719" i="20"/>
  <c r="H719" i="20" s="1"/>
  <c r="A720" i="20"/>
  <c r="H720" i="20" s="1"/>
  <c r="A721" i="20"/>
  <c r="H721" i="20" s="1"/>
  <c r="A722" i="20"/>
  <c r="H722" i="20" s="1"/>
  <c r="A723" i="20"/>
  <c r="H723" i="20" s="1"/>
  <c r="A724" i="20"/>
  <c r="H724" i="20" s="1"/>
  <c r="A725" i="20"/>
  <c r="H725" i="20" s="1"/>
  <c r="A726" i="20"/>
  <c r="H726" i="20" s="1"/>
  <c r="A727" i="20"/>
  <c r="H727" i="20" s="1"/>
  <c r="A728" i="20"/>
  <c r="H728" i="20" s="1"/>
  <c r="A729" i="20"/>
  <c r="H729" i="20" s="1"/>
  <c r="A730" i="20"/>
  <c r="H730" i="20" s="1"/>
  <c r="A731" i="20"/>
  <c r="H731" i="20" s="1"/>
  <c r="A732" i="20"/>
  <c r="H732" i="20" s="1"/>
  <c r="A733" i="20"/>
  <c r="H733" i="20" s="1"/>
  <c r="A734" i="20"/>
  <c r="H734" i="20" s="1"/>
  <c r="A735" i="20"/>
  <c r="H735" i="20" s="1"/>
  <c r="A736" i="20"/>
  <c r="H736" i="20" s="1"/>
  <c r="A737" i="20"/>
  <c r="H737" i="20" s="1"/>
  <c r="A738" i="20"/>
  <c r="A739" i="20"/>
  <c r="H739" i="20" s="1"/>
  <c r="A740" i="20"/>
  <c r="H740" i="20" s="1"/>
  <c r="A741" i="20"/>
  <c r="H741" i="20" s="1"/>
  <c r="A742" i="20"/>
  <c r="A743" i="20"/>
  <c r="H743" i="20" s="1"/>
  <c r="A744" i="20"/>
  <c r="H744" i="20" s="1"/>
  <c r="A745" i="20"/>
  <c r="H745" i="20" s="1"/>
  <c r="A746" i="20"/>
  <c r="H746" i="20" s="1"/>
  <c r="A747" i="20"/>
  <c r="A748" i="20"/>
  <c r="H748" i="20" s="1"/>
  <c r="A749" i="20"/>
  <c r="H749" i="20" s="1"/>
  <c r="A750" i="20"/>
  <c r="A751" i="20"/>
  <c r="H751" i="20" s="1"/>
  <c r="A752" i="20"/>
  <c r="H752" i="20" s="1"/>
  <c r="A753" i="20"/>
  <c r="H753" i="20" s="1"/>
  <c r="A754" i="20"/>
  <c r="H754" i="20" s="1"/>
  <c r="A755" i="20"/>
  <c r="H755" i="20" s="1"/>
  <c r="A756" i="20"/>
  <c r="H756" i="20" s="1"/>
  <c r="A757" i="20"/>
  <c r="H757" i="20" s="1"/>
  <c r="A758" i="20"/>
  <c r="H758" i="20" s="1"/>
  <c r="A759" i="20"/>
  <c r="H759" i="20" s="1"/>
  <c r="A760" i="20"/>
  <c r="H760" i="20" s="1"/>
  <c r="A761" i="20"/>
  <c r="H761" i="20" s="1"/>
  <c r="A762" i="20"/>
  <c r="H762" i="20" s="1"/>
  <c r="A763" i="20"/>
  <c r="H763" i="20" s="1"/>
  <c r="A764" i="20"/>
  <c r="H764" i="20" s="1"/>
  <c r="A765" i="20"/>
  <c r="H765" i="20" s="1"/>
  <c r="A766" i="20"/>
  <c r="H766" i="20" s="1"/>
  <c r="A767" i="20"/>
  <c r="H767" i="20" s="1"/>
  <c r="A768" i="20"/>
  <c r="H768" i="20" s="1"/>
  <c r="A769" i="20"/>
  <c r="H769" i="20" s="1"/>
  <c r="A770" i="20"/>
  <c r="A771" i="20"/>
  <c r="H771" i="20" s="1"/>
  <c r="A772" i="20"/>
  <c r="H772" i="20" s="1"/>
  <c r="A773" i="20"/>
  <c r="H773" i="20" s="1"/>
  <c r="A774" i="20"/>
  <c r="A775" i="20"/>
  <c r="H775" i="20" s="1"/>
  <c r="A776" i="20"/>
  <c r="H776" i="20" s="1"/>
  <c r="A777" i="20"/>
  <c r="H777" i="20" s="1"/>
  <c r="A778" i="20"/>
  <c r="A779" i="20"/>
  <c r="H779" i="20" s="1"/>
  <c r="A780" i="20"/>
  <c r="A781" i="20"/>
  <c r="H781" i="20" s="1"/>
  <c r="A782" i="20"/>
  <c r="H782" i="20" s="1"/>
  <c r="A783" i="20"/>
  <c r="H783" i="20" s="1"/>
  <c r="A784" i="20"/>
  <c r="H784" i="20" s="1"/>
  <c r="A785" i="20"/>
  <c r="H785" i="20" s="1"/>
  <c r="A786" i="20"/>
  <c r="H786" i="20" s="1"/>
  <c r="A787" i="20"/>
  <c r="H787" i="20" s="1"/>
  <c r="A788" i="20"/>
  <c r="H788" i="20" s="1"/>
  <c r="A789" i="20"/>
  <c r="H789" i="20" s="1"/>
  <c r="A790" i="20"/>
  <c r="H790" i="20" s="1"/>
  <c r="A791" i="20"/>
  <c r="H791" i="20" s="1"/>
  <c r="A792" i="20"/>
  <c r="H792" i="20" s="1"/>
  <c r="A793" i="20"/>
  <c r="H793" i="20" s="1"/>
  <c r="A794" i="20"/>
  <c r="H794" i="20" s="1"/>
  <c r="A795" i="20"/>
  <c r="H795" i="20" s="1"/>
  <c r="A796" i="20"/>
  <c r="H796" i="20" s="1"/>
  <c r="A797" i="20"/>
  <c r="H797" i="20" s="1"/>
  <c r="A798" i="20"/>
  <c r="H798" i="20" s="1"/>
  <c r="A799" i="20"/>
  <c r="H799" i="20" s="1"/>
  <c r="A800" i="20"/>
  <c r="H800" i="20" s="1"/>
  <c r="A801" i="20"/>
  <c r="H801" i="20" s="1"/>
  <c r="A802" i="20"/>
  <c r="H802" i="20" s="1"/>
  <c r="A803" i="20"/>
  <c r="H803" i="20" s="1"/>
  <c r="A804" i="20"/>
  <c r="H804" i="20" s="1"/>
  <c r="A805" i="20"/>
  <c r="H805" i="20" s="1"/>
  <c r="A806" i="20"/>
  <c r="H806" i="20" s="1"/>
  <c r="A807" i="20"/>
  <c r="H807" i="20" s="1"/>
  <c r="A808" i="20"/>
  <c r="H808" i="20" s="1"/>
  <c r="A809" i="20"/>
  <c r="H809" i="20" s="1"/>
  <c r="A810" i="20"/>
  <c r="H810" i="20" s="1"/>
  <c r="A811" i="20"/>
  <c r="H811" i="20" s="1"/>
  <c r="A812" i="20"/>
  <c r="A813" i="20"/>
  <c r="H813" i="20" s="1"/>
  <c r="A814" i="20"/>
  <c r="H814" i="20" s="1"/>
  <c r="A815" i="20"/>
  <c r="H815" i="20" s="1"/>
  <c r="A816" i="20"/>
  <c r="H816" i="20" s="1"/>
  <c r="A817" i="20"/>
  <c r="H817" i="20" s="1"/>
  <c r="A818" i="20"/>
  <c r="H818" i="20" s="1"/>
  <c r="A819" i="20"/>
  <c r="H819" i="20" s="1"/>
  <c r="A820" i="20"/>
  <c r="H820" i="20" s="1"/>
  <c r="A821" i="20"/>
  <c r="H821" i="20" s="1"/>
  <c r="A822" i="20"/>
  <c r="H822" i="20" s="1"/>
  <c r="A823" i="20"/>
  <c r="H823" i="20" s="1"/>
  <c r="A824" i="20"/>
  <c r="H824" i="20" s="1"/>
  <c r="A825" i="20"/>
  <c r="A826" i="20"/>
  <c r="H826" i="20" s="1"/>
  <c r="A827" i="20"/>
  <c r="H827" i="20" s="1"/>
  <c r="A828" i="20"/>
  <c r="H828" i="20" s="1"/>
  <c r="A829" i="20"/>
  <c r="H829" i="20" s="1"/>
  <c r="A830" i="20"/>
  <c r="A831" i="20"/>
  <c r="H831" i="20" s="1"/>
  <c r="A832" i="20"/>
  <c r="H832" i="20" s="1"/>
  <c r="A833" i="20"/>
  <c r="H833" i="20" s="1"/>
  <c r="A834" i="20"/>
  <c r="H834" i="20" s="1"/>
  <c r="A835" i="20"/>
  <c r="H835" i="20" s="1"/>
  <c r="A836" i="20"/>
  <c r="H836" i="20" s="1"/>
  <c r="A837" i="20"/>
  <c r="H837" i="20" s="1"/>
  <c r="A838" i="20"/>
  <c r="H838" i="20" s="1"/>
  <c r="A839" i="20"/>
  <c r="H839" i="20" s="1"/>
  <c r="A840" i="20"/>
  <c r="H840" i="20" s="1"/>
  <c r="A841" i="20"/>
  <c r="H841" i="20" s="1"/>
  <c r="A842" i="20"/>
  <c r="H842" i="20" s="1"/>
  <c r="A843" i="20"/>
  <c r="H843" i="20" s="1"/>
  <c r="A844" i="20"/>
  <c r="H844" i="20" s="1"/>
  <c r="A845" i="20"/>
  <c r="H845" i="20" s="1"/>
  <c r="A846" i="20"/>
  <c r="H846" i="20" s="1"/>
  <c r="A847" i="20"/>
  <c r="H847" i="20" s="1"/>
  <c r="A848" i="20"/>
  <c r="H848" i="20" s="1"/>
  <c r="A849" i="20"/>
  <c r="H849" i="20" s="1"/>
  <c r="A850" i="20"/>
  <c r="H850" i="20" s="1"/>
  <c r="A851" i="20"/>
  <c r="H851" i="20" s="1"/>
  <c r="A852" i="20"/>
  <c r="H852" i="20" s="1"/>
  <c r="A853" i="20"/>
  <c r="H853" i="20" s="1"/>
  <c r="A854" i="20"/>
  <c r="H854" i="20" s="1"/>
  <c r="A855" i="20"/>
  <c r="H855" i="20" s="1"/>
  <c r="A856" i="20"/>
  <c r="H856" i="20" s="1"/>
  <c r="A857" i="20"/>
  <c r="H857" i="20" s="1"/>
  <c r="A858" i="20"/>
  <c r="H858" i="20" s="1"/>
  <c r="A859" i="20"/>
  <c r="H859" i="20" s="1"/>
  <c r="A860" i="20"/>
  <c r="H860" i="20" s="1"/>
  <c r="A861" i="20"/>
  <c r="H861" i="20" s="1"/>
  <c r="A862" i="20"/>
  <c r="A863" i="20"/>
  <c r="H863" i="20" s="1"/>
  <c r="A864" i="20"/>
  <c r="H864" i="20" s="1"/>
  <c r="A865" i="20"/>
  <c r="H865" i="20" s="1"/>
  <c r="A866" i="20"/>
  <c r="H866" i="20" s="1"/>
  <c r="A867" i="20"/>
  <c r="H867" i="20" s="1"/>
  <c r="A868" i="20"/>
  <c r="H868" i="20" s="1"/>
  <c r="A869" i="20"/>
  <c r="H869" i="20" s="1"/>
  <c r="A870" i="20"/>
  <c r="H870" i="20" s="1"/>
  <c r="A871" i="20"/>
  <c r="H871" i="20" s="1"/>
  <c r="A872" i="20"/>
  <c r="H872" i="20" s="1"/>
  <c r="A873" i="20"/>
  <c r="H873" i="20" s="1"/>
  <c r="A874" i="20"/>
  <c r="H874" i="20" s="1"/>
  <c r="A875" i="20"/>
  <c r="H875" i="20" s="1"/>
  <c r="A876" i="20"/>
  <c r="H876" i="20" s="1"/>
  <c r="A877" i="20"/>
  <c r="H877" i="20" s="1"/>
  <c r="A878" i="20"/>
  <c r="A879" i="20"/>
  <c r="H879" i="20" s="1"/>
  <c r="A880" i="20"/>
  <c r="H880" i="20" s="1"/>
  <c r="A881" i="20"/>
  <c r="H881" i="20" s="1"/>
  <c r="A882" i="20"/>
  <c r="H882" i="20" s="1"/>
  <c r="A883" i="20"/>
  <c r="H883" i="20" s="1"/>
  <c r="A884" i="20"/>
  <c r="H884" i="20" s="1"/>
  <c r="A885" i="20"/>
  <c r="H885" i="20" s="1"/>
  <c r="A886" i="20"/>
  <c r="H886" i="20" s="1"/>
  <c r="A887" i="20"/>
  <c r="H887" i="20" s="1"/>
  <c r="A888" i="20"/>
  <c r="H888" i="20" s="1"/>
  <c r="A889" i="20"/>
  <c r="H889" i="20" s="1"/>
  <c r="A890" i="20"/>
  <c r="H890" i="20" s="1"/>
  <c r="A891" i="20"/>
  <c r="H891" i="20" s="1"/>
  <c r="A892" i="20"/>
  <c r="H892" i="20" s="1"/>
  <c r="A893" i="20"/>
  <c r="H893" i="20" s="1"/>
  <c r="A894" i="20"/>
  <c r="H894" i="20" s="1"/>
  <c r="A895" i="20"/>
  <c r="H895" i="20" s="1"/>
  <c r="A896" i="20"/>
  <c r="H896" i="20" s="1"/>
  <c r="A897" i="20"/>
  <c r="H897" i="20" s="1"/>
  <c r="A898" i="20"/>
  <c r="H898" i="20" s="1"/>
  <c r="A899" i="20"/>
  <c r="H899" i="20" s="1"/>
  <c r="A900" i="20"/>
  <c r="H900" i="20" s="1"/>
  <c r="A901" i="20"/>
  <c r="H901" i="20" s="1"/>
  <c r="A902" i="20"/>
  <c r="H902" i="20" s="1"/>
  <c r="A903" i="20"/>
  <c r="H903" i="20" s="1"/>
  <c r="A904" i="20"/>
  <c r="H904" i="20" s="1"/>
  <c r="A905" i="20"/>
  <c r="H905" i="20" s="1"/>
  <c r="A906" i="20"/>
  <c r="H906" i="20" s="1"/>
  <c r="A907" i="20"/>
  <c r="H907" i="20" s="1"/>
  <c r="A908" i="20"/>
  <c r="H908" i="20" s="1"/>
  <c r="A909" i="20"/>
  <c r="H909" i="20" s="1"/>
  <c r="A910" i="20"/>
  <c r="A911" i="20"/>
  <c r="H911" i="20" s="1"/>
  <c r="A912" i="20"/>
  <c r="H912" i="20" s="1"/>
  <c r="A913" i="20"/>
  <c r="H913" i="20" s="1"/>
  <c r="A914" i="20"/>
  <c r="H914" i="20" s="1"/>
  <c r="A915" i="20"/>
  <c r="H915" i="20" s="1"/>
  <c r="A916" i="20"/>
  <c r="H916" i="20" s="1"/>
  <c r="A917" i="20"/>
  <c r="H917" i="20" s="1"/>
  <c r="A918" i="20"/>
  <c r="H918" i="20" s="1"/>
  <c r="A919" i="20"/>
  <c r="H919" i="20" s="1"/>
  <c r="A920" i="20"/>
  <c r="H920" i="20" s="1"/>
  <c r="A921" i="20"/>
  <c r="H921" i="20" s="1"/>
  <c r="A922" i="20"/>
  <c r="H922" i="20" s="1"/>
  <c r="A923" i="20"/>
  <c r="H923" i="20" s="1"/>
  <c r="A924" i="20"/>
  <c r="H924" i="20" s="1"/>
  <c r="A925" i="20"/>
  <c r="H925" i="20" s="1"/>
  <c r="A926" i="20"/>
  <c r="H926" i="20" s="1"/>
  <c r="A927" i="20"/>
  <c r="H927" i="20" s="1"/>
  <c r="A928" i="20"/>
  <c r="H928" i="20" s="1"/>
  <c r="A929" i="20"/>
  <c r="H929" i="20" s="1"/>
  <c r="A930" i="20"/>
  <c r="A931" i="20"/>
  <c r="H931" i="20" s="1"/>
  <c r="A932" i="20"/>
  <c r="H932" i="20" s="1"/>
  <c r="A933" i="20"/>
  <c r="H933" i="20" s="1"/>
  <c r="A934" i="20"/>
  <c r="A935" i="20"/>
  <c r="H935" i="20" s="1"/>
  <c r="A936" i="20"/>
  <c r="H936" i="20" s="1"/>
  <c r="A937" i="20"/>
  <c r="H937" i="20" s="1"/>
  <c r="A938" i="20"/>
  <c r="H938" i="20" s="1"/>
  <c r="A939" i="20"/>
  <c r="H939" i="20" s="1"/>
  <c r="A940" i="20"/>
  <c r="H940" i="20" s="1"/>
  <c r="A941" i="20"/>
  <c r="H941" i="20" s="1"/>
  <c r="A942" i="20"/>
  <c r="A943" i="20"/>
  <c r="H943" i="20" s="1"/>
  <c r="A944" i="20"/>
  <c r="H944" i="20" s="1"/>
  <c r="A945" i="20"/>
  <c r="H945" i="20" s="1"/>
  <c r="A946" i="20"/>
  <c r="A947" i="20"/>
  <c r="H947" i="20" s="1"/>
  <c r="A948" i="20"/>
  <c r="H948" i="20" s="1"/>
  <c r="A949" i="20"/>
  <c r="H949" i="20" s="1"/>
  <c r="A950" i="20"/>
  <c r="A951" i="20"/>
  <c r="H951" i="20" s="1"/>
  <c r="A952" i="20"/>
  <c r="H952" i="20" s="1"/>
  <c r="A953" i="20"/>
  <c r="H953" i="20" s="1"/>
  <c r="A954" i="20"/>
  <c r="H954" i="20" s="1"/>
  <c r="A955" i="20"/>
  <c r="H955" i="20" s="1"/>
  <c r="A956" i="20"/>
  <c r="H956" i="20" s="1"/>
  <c r="A957" i="20"/>
  <c r="H957" i="20" s="1"/>
  <c r="A958" i="20"/>
  <c r="H958" i="20" s="1"/>
  <c r="A959" i="20"/>
  <c r="H959" i="20" s="1"/>
  <c r="A960" i="20"/>
  <c r="H960" i="20" s="1"/>
  <c r="A961" i="20"/>
  <c r="H961" i="20" s="1"/>
  <c r="A962" i="20"/>
  <c r="H962" i="20" s="1"/>
  <c r="A963" i="20"/>
  <c r="H963" i="20" s="1"/>
  <c r="A964" i="20"/>
  <c r="H964" i="20" s="1"/>
  <c r="A965" i="20"/>
  <c r="H965" i="20" s="1"/>
  <c r="A966" i="20"/>
  <c r="H966" i="20" s="1"/>
  <c r="A967" i="20"/>
  <c r="H967" i="20" s="1"/>
  <c r="A968" i="20"/>
  <c r="H968" i="20" s="1"/>
  <c r="A969" i="20"/>
  <c r="H969" i="20" s="1"/>
  <c r="A970" i="20"/>
  <c r="H970" i="20" s="1"/>
  <c r="A971" i="20"/>
  <c r="H971" i="20" s="1"/>
  <c r="A972" i="20"/>
  <c r="H972" i="20" s="1"/>
  <c r="A973" i="20"/>
  <c r="H973" i="20" s="1"/>
  <c r="A974" i="20"/>
  <c r="A975" i="20"/>
  <c r="H975" i="20" s="1"/>
  <c r="A976" i="20"/>
  <c r="H976" i="20" s="1"/>
  <c r="A977" i="20"/>
  <c r="H977" i="20" s="1"/>
  <c r="A978" i="20"/>
  <c r="H978" i="20" s="1"/>
  <c r="A979" i="20"/>
  <c r="H979" i="20" s="1"/>
  <c r="A980" i="20"/>
  <c r="H980" i="20" s="1"/>
  <c r="A981" i="20"/>
  <c r="H981" i="20" s="1"/>
  <c r="A982" i="20"/>
  <c r="H982" i="20" s="1"/>
  <c r="A983" i="20"/>
  <c r="H983" i="20" s="1"/>
  <c r="A984" i="20"/>
  <c r="H984" i="20" s="1"/>
  <c r="A985" i="20"/>
  <c r="H985" i="20" s="1"/>
  <c r="A986" i="20"/>
  <c r="A987" i="20"/>
  <c r="H987" i="20" s="1"/>
  <c r="A988" i="20"/>
  <c r="H988" i="20" s="1"/>
  <c r="A989" i="20"/>
  <c r="H989" i="20" s="1"/>
  <c r="A990" i="20"/>
  <c r="H990" i="20" s="1"/>
  <c r="A991" i="20"/>
  <c r="H991" i="20" s="1"/>
  <c r="A992" i="20"/>
  <c r="H992" i="20" s="1"/>
  <c r="A993" i="20"/>
  <c r="H993" i="20" s="1"/>
  <c r="A994" i="20"/>
  <c r="H994" i="20" s="1"/>
  <c r="A995" i="20"/>
  <c r="H995" i="20" s="1"/>
  <c r="A996" i="20"/>
  <c r="H996" i="20" s="1"/>
  <c r="A997" i="20"/>
  <c r="H997" i="20" s="1"/>
  <c r="A998" i="20"/>
  <c r="H998" i="20" s="1"/>
  <c r="A999" i="20"/>
  <c r="H999" i="20" s="1"/>
  <c r="A1000" i="20"/>
  <c r="H1000" i="20" s="1"/>
  <c r="A1001" i="20"/>
  <c r="H1001" i="20" s="1"/>
  <c r="A1002" i="20"/>
  <c r="H1002" i="20" s="1"/>
  <c r="A1003" i="20"/>
  <c r="H1003" i="20" s="1"/>
  <c r="A1004" i="20"/>
  <c r="H1004" i="20" s="1"/>
  <c r="A1005" i="20"/>
  <c r="H1005" i="20" s="1"/>
  <c r="A1006" i="20"/>
  <c r="H1006" i="20" s="1"/>
  <c r="A1007" i="20"/>
  <c r="H1007" i="20" s="1"/>
  <c r="A1008" i="20"/>
  <c r="H1008" i="20" s="1"/>
  <c r="A1009" i="20"/>
  <c r="H1009" i="20" s="1"/>
  <c r="A1010" i="20"/>
  <c r="H1010" i="20" s="1"/>
  <c r="A1011" i="20"/>
  <c r="H1011" i="20" s="1"/>
  <c r="A1012" i="20"/>
  <c r="H1012" i="20" s="1"/>
  <c r="A1013" i="20"/>
  <c r="H1013" i="20" s="1"/>
  <c r="A1014" i="20"/>
  <c r="H1014" i="20" s="1"/>
  <c r="A1015" i="20"/>
  <c r="H1015" i="20" s="1"/>
  <c r="A1016" i="20"/>
  <c r="H1016" i="20" s="1"/>
  <c r="A1017" i="20"/>
  <c r="H1017" i="20" s="1"/>
  <c r="A1018" i="20"/>
  <c r="A1019" i="20"/>
  <c r="H1019" i="20" s="1"/>
  <c r="A1020" i="20"/>
  <c r="H1020" i="20" s="1"/>
  <c r="A1021" i="20"/>
  <c r="H1021" i="20" s="1"/>
  <c r="A1022" i="20"/>
  <c r="H1022" i="20" s="1"/>
  <c r="A1023" i="20"/>
  <c r="H1023" i="20" s="1"/>
  <c r="A1024" i="20"/>
  <c r="H1024" i="20" s="1"/>
  <c r="A1025" i="20"/>
  <c r="H1025" i="20" s="1"/>
  <c r="A1026" i="20"/>
  <c r="H1026" i="20" s="1"/>
  <c r="A1027" i="20"/>
  <c r="H1027" i="20" s="1"/>
  <c r="A1028" i="20"/>
  <c r="H1028" i="20" s="1"/>
  <c r="A1029" i="20"/>
  <c r="H1029" i="20" s="1"/>
  <c r="A1030" i="20"/>
  <c r="H1030" i="20" s="1"/>
  <c r="A1031" i="20"/>
  <c r="H1031" i="20" s="1"/>
  <c r="A1032" i="20"/>
  <c r="H1032" i="20" s="1"/>
  <c r="A1033" i="20"/>
  <c r="H1033" i="20" s="1"/>
  <c r="A1034" i="20"/>
  <c r="H1034" i="20" s="1"/>
  <c r="A1035" i="20"/>
  <c r="H1035" i="20" s="1"/>
  <c r="A1036" i="20"/>
  <c r="H1036" i="20" s="1"/>
  <c r="A1037" i="20"/>
  <c r="H1037" i="20" s="1"/>
  <c r="A1038" i="20"/>
  <c r="A1039" i="20"/>
  <c r="H1039" i="20" s="1"/>
  <c r="A1040" i="20"/>
  <c r="H1040" i="20" s="1"/>
  <c r="A1041" i="20"/>
  <c r="A1042" i="20"/>
  <c r="H1042" i="20" s="1"/>
  <c r="A1043" i="20"/>
  <c r="H1043" i="20" s="1"/>
  <c r="A1044" i="20"/>
  <c r="H1044" i="20" s="1"/>
  <c r="A1045" i="20"/>
  <c r="H1045" i="20" s="1"/>
  <c r="A1046" i="20"/>
  <c r="H1046" i="20" s="1"/>
  <c r="A1047" i="20"/>
  <c r="H1047" i="20" s="1"/>
  <c r="A1048" i="20"/>
  <c r="H1048" i="20" s="1"/>
  <c r="A1049" i="20"/>
  <c r="H1049" i="20" s="1"/>
  <c r="A1050" i="20"/>
  <c r="A1051" i="20"/>
  <c r="H1051" i="20" s="1"/>
  <c r="A1052" i="20"/>
  <c r="H1052" i="20" s="1"/>
  <c r="A1053" i="20"/>
  <c r="H1053" i="20" s="1"/>
  <c r="A1054" i="20"/>
  <c r="H1054" i="20" s="1"/>
  <c r="A1055" i="20"/>
  <c r="H1055" i="20" s="1"/>
  <c r="A1056" i="20"/>
  <c r="H1056" i="20" s="1"/>
  <c r="A1057" i="20"/>
  <c r="H1057" i="20" s="1"/>
  <c r="A1058" i="20"/>
  <c r="H1058" i="20" s="1"/>
  <c r="A1059" i="20"/>
  <c r="H1059" i="20" s="1"/>
  <c r="A1060" i="20"/>
  <c r="H1060" i="20" s="1"/>
  <c r="A1061" i="20"/>
  <c r="H1061" i="20" s="1"/>
  <c r="A1062" i="20"/>
  <c r="H1062" i="20" s="1"/>
  <c r="A1063" i="20"/>
  <c r="H1063" i="20" s="1"/>
  <c r="A1064" i="20"/>
  <c r="H1064" i="20" s="1"/>
  <c r="A1065" i="20"/>
  <c r="H1065" i="20" s="1"/>
  <c r="A1066" i="20"/>
  <c r="H1066" i="20" s="1"/>
  <c r="A1067" i="20"/>
  <c r="H1067" i="20" s="1"/>
  <c r="A1068" i="20"/>
  <c r="H1068" i="20" s="1"/>
  <c r="A1069" i="20"/>
  <c r="H1069" i="20" s="1"/>
  <c r="A1070" i="20"/>
  <c r="H1070" i="20" s="1"/>
  <c r="A1071" i="20"/>
  <c r="H1071" i="20" s="1"/>
  <c r="A1072" i="20"/>
  <c r="H1072" i="20" s="1"/>
  <c r="A1073" i="20"/>
  <c r="H1073" i="20" s="1"/>
  <c r="A1074" i="20"/>
  <c r="H1074" i="20" s="1"/>
  <c r="A1075" i="20"/>
  <c r="H1075" i="20" s="1"/>
  <c r="A1076" i="20"/>
  <c r="H1076" i="20" s="1"/>
  <c r="A1077" i="20"/>
  <c r="H1077" i="20" s="1"/>
  <c r="A1078" i="20"/>
  <c r="H1078" i="20" s="1"/>
  <c r="A1079" i="20"/>
  <c r="H1079" i="20" s="1"/>
  <c r="A1080" i="20"/>
  <c r="H1080" i="20" s="1"/>
  <c r="A1081" i="20"/>
  <c r="H1081" i="20" s="1"/>
  <c r="A1082" i="20"/>
  <c r="A1083" i="20"/>
  <c r="H1083" i="20" s="1"/>
  <c r="A1084" i="20"/>
  <c r="H1084" i="20" s="1"/>
  <c r="A1085" i="20"/>
  <c r="H1085" i="20" s="1"/>
  <c r="A1086" i="20"/>
  <c r="H1086" i="20" s="1"/>
  <c r="A1087" i="20"/>
  <c r="H1087" i="20" s="1"/>
  <c r="A1088" i="20"/>
  <c r="H1088" i="20" s="1"/>
  <c r="A1089" i="20"/>
  <c r="H1089" i="20" s="1"/>
  <c r="A1090" i="20"/>
  <c r="H1090" i="20" s="1"/>
  <c r="A1091" i="20"/>
  <c r="H1091" i="20" s="1"/>
  <c r="A1092" i="20"/>
  <c r="H1092" i="20" s="1"/>
  <c r="A1093" i="20"/>
  <c r="H1093" i="20" s="1"/>
  <c r="A1094" i="20"/>
  <c r="H1094" i="20" s="1"/>
  <c r="A1095" i="20"/>
  <c r="H1095" i="20" s="1"/>
  <c r="A1096" i="20"/>
  <c r="H1096" i="20" s="1"/>
  <c r="A1097" i="20"/>
  <c r="H1097" i="20" s="1"/>
  <c r="A1098" i="20"/>
  <c r="H1098" i="20" s="1"/>
  <c r="A1099" i="20"/>
  <c r="H1099" i="20" s="1"/>
  <c r="A1100" i="20"/>
  <c r="H1100" i="20" s="1"/>
  <c r="A1101" i="20"/>
  <c r="H1101" i="20" s="1"/>
  <c r="A1102" i="20"/>
  <c r="H1102" i="20" s="1"/>
  <c r="A1103" i="20"/>
  <c r="A1104" i="20"/>
  <c r="H1104" i="20" s="1"/>
  <c r="A1105" i="20"/>
  <c r="H1105" i="20" s="1"/>
  <c r="A1106" i="20"/>
  <c r="A1107" i="20"/>
  <c r="H1107" i="20" s="1"/>
  <c r="A1108" i="20"/>
  <c r="A1109" i="20"/>
  <c r="H1109" i="20" s="1"/>
  <c r="A1110" i="20"/>
  <c r="H1110" i="20" s="1"/>
  <c r="A1111" i="20"/>
  <c r="H1111" i="20" s="1"/>
  <c r="A1112" i="20"/>
  <c r="H1112" i="20" s="1"/>
  <c r="A1113" i="20"/>
  <c r="H1113" i="20" s="1"/>
  <c r="A1114" i="20"/>
  <c r="H1114" i="20" s="1"/>
  <c r="A1115" i="20"/>
  <c r="H1115" i="20" s="1"/>
  <c r="A1116" i="20"/>
  <c r="H1116" i="20" s="1"/>
  <c r="A1117" i="20"/>
  <c r="H1117" i="20" s="1"/>
  <c r="A1118" i="20"/>
  <c r="H1118" i="20" s="1"/>
  <c r="A1119" i="20"/>
  <c r="H1119" i="20" s="1"/>
  <c r="A1120" i="20"/>
  <c r="H1120" i="20" s="1"/>
  <c r="A1121" i="20"/>
  <c r="H1121" i="20" s="1"/>
  <c r="A1122" i="20"/>
  <c r="H1122" i="20" s="1"/>
  <c r="A1123" i="20"/>
  <c r="H1123" i="20" s="1"/>
  <c r="A1124" i="20"/>
  <c r="H1124" i="20" s="1"/>
  <c r="A1125" i="20"/>
  <c r="H1125" i="20" s="1"/>
  <c r="A1126" i="20"/>
  <c r="H1126" i="20" s="1"/>
  <c r="A1127" i="20"/>
  <c r="H1127" i="20" s="1"/>
  <c r="A1128" i="20"/>
  <c r="H1128" i="20" s="1"/>
  <c r="A1129" i="20"/>
  <c r="H1129" i="20" s="1"/>
  <c r="A1130" i="20"/>
  <c r="H1130" i="20" s="1"/>
  <c r="A1131" i="20"/>
  <c r="H1131" i="20" s="1"/>
  <c r="A1132" i="20"/>
  <c r="H1132" i="20" s="1"/>
  <c r="A1133" i="20"/>
  <c r="H1133" i="20" s="1"/>
  <c r="A1134" i="20"/>
  <c r="H1134" i="20" s="1"/>
  <c r="A1135" i="20"/>
  <c r="H1135" i="20" s="1"/>
  <c r="A1136" i="20"/>
  <c r="H1136" i="20" s="1"/>
  <c r="A1137" i="20"/>
  <c r="H1137" i="20" s="1"/>
  <c r="A1138" i="20"/>
  <c r="H1138" i="20" s="1"/>
  <c r="A1139" i="20"/>
  <c r="H1139" i="20" s="1"/>
  <c r="A1140" i="20"/>
  <c r="H1140" i="20" s="1"/>
  <c r="A1141" i="20"/>
  <c r="H1141" i="20" s="1"/>
  <c r="A1142" i="20"/>
  <c r="A1143" i="20"/>
  <c r="H1143" i="20" s="1"/>
  <c r="A1144" i="20"/>
  <c r="H1144" i="20" s="1"/>
  <c r="A1145" i="20"/>
  <c r="H1145" i="20" s="1"/>
  <c r="A1146" i="20"/>
  <c r="A1147" i="20"/>
  <c r="H1147" i="20" s="1"/>
  <c r="A1148" i="20"/>
  <c r="H1148" i="20" s="1"/>
  <c r="A1149" i="20"/>
  <c r="H1149" i="20" s="1"/>
  <c r="A1150" i="20"/>
  <c r="H1150" i="20" s="1"/>
  <c r="A1151" i="20"/>
  <c r="H1151" i="20" s="1"/>
  <c r="A1152" i="20"/>
  <c r="H1152" i="20" s="1"/>
  <c r="A1153" i="20"/>
  <c r="H1153" i="20" s="1"/>
  <c r="A1154" i="20"/>
  <c r="H1154" i="20" s="1"/>
  <c r="A1155" i="20"/>
  <c r="H1155" i="20" s="1"/>
  <c r="A1156" i="20"/>
  <c r="H1156" i="20" s="1"/>
  <c r="A1157" i="20"/>
  <c r="H1157" i="20" s="1"/>
  <c r="A1158" i="20"/>
  <c r="H1158" i="20" s="1"/>
  <c r="A1159" i="20"/>
  <c r="H1159" i="20" s="1"/>
  <c r="A1160" i="20"/>
  <c r="H1160" i="20" s="1"/>
  <c r="A1161" i="20"/>
  <c r="H1161" i="20" s="1"/>
  <c r="A1162" i="20"/>
  <c r="H1162" i="20" s="1"/>
  <c r="A1163" i="20"/>
  <c r="H1163" i="20" s="1"/>
  <c r="A1164" i="20"/>
  <c r="H1164" i="20" s="1"/>
  <c r="A1165" i="20"/>
  <c r="H1165" i="20" s="1"/>
  <c r="A1166" i="20"/>
  <c r="H1166" i="20" s="1"/>
  <c r="A1167" i="20"/>
  <c r="H1167" i="20" s="1"/>
  <c r="A1168" i="20"/>
  <c r="H1168" i="20" s="1"/>
  <c r="A1169" i="20"/>
  <c r="H1169" i="20" s="1"/>
  <c r="A1170" i="20"/>
  <c r="H1170" i="20" s="1"/>
  <c r="A1171" i="20"/>
  <c r="H1171" i="20" s="1"/>
  <c r="A1172" i="20"/>
  <c r="H1172" i="20" s="1"/>
  <c r="A1173" i="20"/>
  <c r="H1173" i="20" s="1"/>
  <c r="A1174" i="20"/>
  <c r="A1175" i="20"/>
  <c r="H1175" i="20" s="1"/>
  <c r="A1176" i="20"/>
  <c r="H1176" i="20" s="1"/>
  <c r="A1177" i="20"/>
  <c r="H1177" i="20" s="1"/>
  <c r="A1178" i="20"/>
  <c r="H1178" i="20" s="1"/>
  <c r="A1179" i="20"/>
  <c r="H1179" i="20" s="1"/>
  <c r="A1180" i="20"/>
  <c r="H1180" i="20" s="1"/>
  <c r="A1181" i="20"/>
  <c r="H1181" i="20" s="1"/>
  <c r="A1182" i="20"/>
  <c r="H1182" i="20" s="1"/>
  <c r="A1183" i="20"/>
  <c r="H1183" i="20" s="1"/>
  <c r="A1184" i="20"/>
  <c r="H1184" i="20" s="1"/>
  <c r="A1185" i="20"/>
  <c r="H1185" i="20" s="1"/>
  <c r="A1186" i="20"/>
  <c r="H1186" i="20" s="1"/>
  <c r="A1187" i="20"/>
  <c r="H1187" i="20" s="1"/>
  <c r="A1188" i="20"/>
  <c r="H1188" i="20" s="1"/>
  <c r="A1189" i="20"/>
  <c r="H1189" i="20" s="1"/>
  <c r="A1190" i="20"/>
  <c r="H1190" i="20" s="1"/>
  <c r="A1191" i="20"/>
  <c r="H1191" i="20" s="1"/>
  <c r="A1192" i="20"/>
  <c r="H1192" i="20" s="1"/>
  <c r="A1193" i="20"/>
  <c r="H1193" i="20" s="1"/>
  <c r="A1194" i="20"/>
  <c r="H1194" i="20" s="1"/>
  <c r="A1195" i="20"/>
  <c r="H1195" i="20" s="1"/>
  <c r="A1196" i="20"/>
  <c r="H1196" i="20" s="1"/>
  <c r="A1197" i="20"/>
  <c r="H1197" i="20" s="1"/>
  <c r="A1198" i="20"/>
  <c r="H1198" i="20" s="1"/>
  <c r="A1199" i="20"/>
  <c r="H1199" i="20" s="1"/>
  <c r="A1200" i="20"/>
  <c r="H1200" i="20" s="1"/>
  <c r="A1201" i="20"/>
  <c r="H1201" i="20" s="1"/>
  <c r="A1202" i="20"/>
  <c r="A1203" i="20"/>
  <c r="H1203" i="20" s="1"/>
  <c r="A1204" i="20"/>
  <c r="H1204" i="20" s="1"/>
  <c r="A1205" i="20"/>
  <c r="H1205" i="20" s="1"/>
  <c r="A1206" i="20"/>
  <c r="H1206" i="20" s="1"/>
  <c r="A1207" i="20"/>
  <c r="H1207" i="20" s="1"/>
  <c r="A1208" i="20"/>
  <c r="H1208" i="20" s="1"/>
  <c r="A1209" i="20"/>
  <c r="H1209" i="20" s="1"/>
  <c r="A1210" i="20"/>
  <c r="H1210" i="20" s="1"/>
  <c r="A1211" i="20"/>
  <c r="H1211" i="20" s="1"/>
  <c r="A1212" i="20"/>
  <c r="H1212" i="20" s="1"/>
  <c r="A1213" i="20"/>
  <c r="H1213" i="20" s="1"/>
  <c r="A1214" i="20"/>
  <c r="H1214" i="20" s="1"/>
  <c r="A1215" i="20"/>
  <c r="H1215" i="20" s="1"/>
  <c r="A1216" i="20"/>
  <c r="H1216" i="20" s="1"/>
  <c r="A1217" i="20"/>
  <c r="H1217" i="20" s="1"/>
  <c r="A1218" i="20"/>
  <c r="A1219" i="20"/>
  <c r="H1219" i="20" s="1"/>
  <c r="A1220" i="20"/>
  <c r="H1220" i="20" s="1"/>
  <c r="A1221" i="20"/>
  <c r="H1221" i="20" s="1"/>
  <c r="A1222" i="20"/>
  <c r="A1223" i="20"/>
  <c r="H1223" i="20" s="1"/>
  <c r="A1224" i="20"/>
  <c r="H1224" i="20" s="1"/>
  <c r="A1225" i="20"/>
  <c r="H1225" i="20" s="1"/>
  <c r="A1226" i="20"/>
  <c r="A1227" i="20"/>
  <c r="H1227" i="20" s="1"/>
  <c r="A1228" i="20"/>
  <c r="H1228" i="20" s="1"/>
  <c r="A1229" i="20"/>
  <c r="H1229" i="20" s="1"/>
  <c r="A1230" i="20"/>
  <c r="A1231" i="20"/>
  <c r="H1231" i="20" s="1"/>
  <c r="A1232" i="20"/>
  <c r="H1232" i="20" s="1"/>
  <c r="A1233" i="20"/>
  <c r="H1233" i="20" s="1"/>
  <c r="A1234" i="20"/>
  <c r="H1234" i="20" s="1"/>
  <c r="A1235" i="20"/>
  <c r="H1235" i="20" s="1"/>
  <c r="A1236" i="20"/>
  <c r="H1236" i="20" s="1"/>
  <c r="A1237" i="20"/>
  <c r="H1237" i="20" s="1"/>
  <c r="A1238" i="20"/>
  <c r="H1238" i="20" s="1"/>
  <c r="A1239" i="20"/>
  <c r="H1239" i="20" s="1"/>
  <c r="A1240" i="20"/>
  <c r="H1240" i="20" s="1"/>
  <c r="A1241" i="20"/>
  <c r="H1241" i="20" s="1"/>
  <c r="A1242" i="20"/>
  <c r="H1242" i="20" s="1"/>
  <c r="A1243" i="20"/>
  <c r="H1243" i="20" s="1"/>
  <c r="A1244" i="20"/>
  <c r="H1244" i="20" s="1"/>
  <c r="A1245" i="20"/>
  <c r="H1245" i="20" s="1"/>
  <c r="A1246" i="20"/>
  <c r="H1246" i="20" s="1"/>
  <c r="A1247" i="20"/>
  <c r="H1247" i="20" s="1"/>
  <c r="A1248" i="20"/>
  <c r="H1248" i="20" s="1"/>
  <c r="A1249" i="20"/>
  <c r="H1249" i="20" s="1"/>
  <c r="A1250" i="20"/>
  <c r="H1250" i="20" s="1"/>
  <c r="A1251" i="20"/>
  <c r="H1251" i="20" s="1"/>
  <c r="A1252" i="20"/>
  <c r="H1252" i="20" s="1"/>
  <c r="A1253" i="20"/>
  <c r="H1253" i="20" s="1"/>
  <c r="A1254" i="20"/>
  <c r="A1255" i="20"/>
  <c r="H1255" i="20" s="1"/>
  <c r="A1256" i="20"/>
  <c r="H1256" i="20" s="1"/>
  <c r="A1257" i="20"/>
  <c r="H1257" i="20" s="1"/>
  <c r="A1258" i="20"/>
  <c r="H1258" i="20" s="1"/>
  <c r="A1259" i="20"/>
  <c r="H1259" i="20" s="1"/>
  <c r="A1260" i="20"/>
  <c r="H1260" i="20" s="1"/>
  <c r="A1261" i="20"/>
  <c r="H1261" i="20" s="1"/>
  <c r="A1262" i="20"/>
  <c r="H1262" i="20" s="1"/>
  <c r="A1263" i="20"/>
  <c r="H1263" i="20" s="1"/>
  <c r="A1264" i="20"/>
  <c r="H1264" i="20" s="1"/>
  <c r="A1265" i="20"/>
  <c r="H1265" i="20" s="1"/>
  <c r="A1266" i="20"/>
  <c r="A1267" i="20"/>
  <c r="H1267" i="20" s="1"/>
  <c r="A1268" i="20"/>
  <c r="H1268" i="20" s="1"/>
  <c r="A1269" i="20"/>
  <c r="H1269" i="20" s="1"/>
  <c r="A1270" i="20"/>
  <c r="H1270" i="20" s="1"/>
  <c r="A1271" i="20"/>
  <c r="H1271" i="20" s="1"/>
  <c r="A1272" i="20"/>
  <c r="H1272" i="20" s="1"/>
  <c r="A1273" i="20"/>
  <c r="H1273" i="20" s="1"/>
  <c r="A1274" i="20"/>
  <c r="H1274" i="20" s="1"/>
  <c r="A1275" i="20"/>
  <c r="H1275" i="20" s="1"/>
  <c r="A1276" i="20"/>
  <c r="H1276" i="20" s="1"/>
  <c r="A1277" i="20"/>
  <c r="H1277" i="20" s="1"/>
  <c r="A1278" i="20"/>
  <c r="H1278" i="20" s="1"/>
  <c r="A1279" i="20"/>
  <c r="H1279" i="20" s="1"/>
  <c r="A1280" i="20"/>
  <c r="H1280" i="20" s="1"/>
  <c r="A1281" i="20"/>
  <c r="H1281" i="20" s="1"/>
  <c r="A1282" i="20"/>
  <c r="H1282" i="20" s="1"/>
  <c r="A1283" i="20"/>
  <c r="H1283" i="20" s="1"/>
  <c r="A1284" i="20"/>
  <c r="H1284" i="20" s="1"/>
  <c r="A1285" i="20"/>
  <c r="H1285" i="20" s="1"/>
  <c r="A1286" i="20"/>
  <c r="A1287" i="20"/>
  <c r="H1287" i="20" s="1"/>
  <c r="A1288" i="20"/>
  <c r="H1288" i="20" s="1"/>
  <c r="A1289" i="20"/>
  <c r="H1289" i="20" s="1"/>
  <c r="A1290" i="20"/>
  <c r="H1290" i="20" s="1"/>
  <c r="A1291" i="20"/>
  <c r="H1291" i="20" s="1"/>
  <c r="A1292" i="20"/>
  <c r="H1292" i="20" s="1"/>
  <c r="A1293" i="20"/>
  <c r="H1293" i="20" s="1"/>
  <c r="A1294" i="20"/>
  <c r="H1294" i="20" s="1"/>
  <c r="A1295" i="20"/>
  <c r="H1295" i="20" s="1"/>
  <c r="A1296" i="20"/>
  <c r="H1296" i="20" s="1"/>
  <c r="A1297" i="20"/>
  <c r="H1297" i="20" s="1"/>
  <c r="A1298" i="20"/>
  <c r="H1298" i="20" s="1"/>
  <c r="A1299" i="20"/>
  <c r="H1299" i="20" s="1"/>
  <c r="A1300" i="20"/>
  <c r="H1300" i="20" s="1"/>
  <c r="A1301" i="20"/>
  <c r="H1301" i="20" s="1"/>
  <c r="A1302" i="20"/>
  <c r="H1302" i="20" s="1"/>
  <c r="A1303" i="20"/>
  <c r="H1303" i="20" s="1"/>
  <c r="A1304" i="20"/>
  <c r="H1304" i="20" s="1"/>
  <c r="A1305" i="20"/>
  <c r="H1305" i="20" s="1"/>
  <c r="A1306" i="20"/>
  <c r="H1306" i="20" s="1"/>
  <c r="A1307" i="20"/>
  <c r="H1307" i="20" s="1"/>
  <c r="A1308" i="20"/>
  <c r="H1308" i="20" s="1"/>
  <c r="A1309" i="20"/>
  <c r="H1309" i="20" s="1"/>
  <c r="A1310" i="20"/>
  <c r="H1310" i="20" s="1"/>
  <c r="A1311" i="20"/>
  <c r="H1311" i="20" s="1"/>
  <c r="A1312" i="20"/>
  <c r="H1312" i="20" s="1"/>
  <c r="A1313" i="20"/>
  <c r="H1313" i="20" s="1"/>
  <c r="A1314" i="20"/>
  <c r="H1314" i="20" s="1"/>
  <c r="A1315" i="20"/>
  <c r="H1315" i="20" s="1"/>
  <c r="A1316" i="20"/>
  <c r="H1316" i="20" s="1"/>
  <c r="A1317" i="20"/>
  <c r="H1317" i="20" s="1"/>
  <c r="A1318" i="20"/>
  <c r="H1318" i="20" s="1"/>
  <c r="A1319" i="20"/>
  <c r="H1319" i="20" s="1"/>
  <c r="A1320" i="20"/>
  <c r="H1320" i="20" s="1"/>
  <c r="A1321" i="20"/>
  <c r="H1321" i="20" s="1"/>
  <c r="A1322" i="20"/>
  <c r="H1322" i="20" s="1"/>
  <c r="A1323" i="20"/>
  <c r="H1323" i="20" s="1"/>
  <c r="A1324" i="20"/>
  <c r="H1324" i="20" s="1"/>
  <c r="A1325" i="20"/>
  <c r="H1325" i="20" s="1"/>
  <c r="A1326" i="20"/>
  <c r="H1326" i="20" s="1"/>
  <c r="A1327" i="20"/>
  <c r="H1327" i="20" s="1"/>
  <c r="A1328" i="20"/>
  <c r="H1328" i="20" s="1"/>
  <c r="A1329" i="20"/>
  <c r="H1329" i="20" s="1"/>
  <c r="A1330" i="20"/>
  <c r="H1330" i="20" s="1"/>
  <c r="A1331" i="20"/>
  <c r="H1331" i="20" s="1"/>
  <c r="A1332" i="20"/>
  <c r="H1332" i="20" s="1"/>
  <c r="A1333" i="20"/>
  <c r="H1333" i="20" s="1"/>
  <c r="A1334" i="20"/>
  <c r="H1334" i="20" s="1"/>
  <c r="A1335" i="20"/>
  <c r="H1335" i="20" s="1"/>
  <c r="A1336" i="20"/>
  <c r="H1336" i="20" s="1"/>
  <c r="A1337" i="20"/>
  <c r="H1337" i="20" s="1"/>
  <c r="A1338" i="20"/>
  <c r="H1338" i="20" s="1"/>
  <c r="A1339" i="20"/>
  <c r="H1339" i="20" s="1"/>
  <c r="A1340" i="20"/>
  <c r="H1340" i="20" s="1"/>
  <c r="A1341" i="20"/>
  <c r="H1341" i="20" s="1"/>
  <c r="A1342" i="20"/>
  <c r="A1343" i="20"/>
  <c r="H1343" i="20" s="1"/>
  <c r="A1344" i="20"/>
  <c r="H1344" i="20" s="1"/>
  <c r="A1345" i="20"/>
  <c r="H1345" i="20" s="1"/>
  <c r="A1346" i="20"/>
  <c r="H1346" i="20" s="1"/>
  <c r="A1347" i="20"/>
  <c r="H1347" i="20" s="1"/>
  <c r="A1348" i="20"/>
  <c r="H1348" i="20" s="1"/>
  <c r="A1349" i="20"/>
  <c r="H1349" i="20" s="1"/>
  <c r="A1350" i="20"/>
  <c r="H1350" i="20" s="1"/>
  <c r="A1351" i="20"/>
  <c r="H1351" i="20" s="1"/>
  <c r="A1352" i="20"/>
  <c r="H1352" i="20" s="1"/>
  <c r="A1353" i="20"/>
  <c r="H1353" i="20" s="1"/>
  <c r="A1354" i="20"/>
  <c r="H1354" i="20" s="1"/>
  <c r="A1355" i="20"/>
  <c r="H1355" i="20" s="1"/>
  <c r="A1356" i="20"/>
  <c r="H1356" i="20" s="1"/>
  <c r="A1357" i="20"/>
  <c r="H1357" i="20" s="1"/>
  <c r="A1358" i="20"/>
  <c r="H1358" i="20" s="1"/>
  <c r="A1359" i="20"/>
  <c r="H1359" i="20" s="1"/>
  <c r="A1360" i="20"/>
  <c r="H1360" i="20" s="1"/>
  <c r="A1361" i="20"/>
  <c r="H1361" i="20" s="1"/>
  <c r="A1362" i="20"/>
  <c r="A1363" i="20"/>
  <c r="H1363" i="20" s="1"/>
  <c r="A1364" i="20"/>
  <c r="H1364" i="20" s="1"/>
  <c r="A1366" i="20"/>
  <c r="H1366" i="20" s="1"/>
  <c r="A1367" i="20"/>
  <c r="H1367" i="20" s="1"/>
  <c r="A1368" i="20"/>
  <c r="H1368" i="20" s="1"/>
  <c r="A1369" i="20"/>
  <c r="H1369" i="20" s="1"/>
  <c r="A1370" i="20"/>
  <c r="H1370" i="20" s="1"/>
  <c r="A1371" i="20"/>
  <c r="H1371" i="20" s="1"/>
  <c r="A1372" i="20"/>
  <c r="H1372" i="20" s="1"/>
  <c r="A1373" i="20"/>
  <c r="H1373" i="20" s="1"/>
  <c r="A1374" i="20"/>
  <c r="H1374" i="20" s="1"/>
  <c r="A1375" i="20"/>
  <c r="H1375" i="20" s="1"/>
  <c r="A1376" i="20"/>
  <c r="H1376" i="20" s="1"/>
  <c r="A1377" i="20"/>
  <c r="H1377" i="20" s="1"/>
  <c r="A1378" i="20"/>
  <c r="H1378" i="20" s="1"/>
  <c r="A1379" i="20"/>
  <c r="H1379" i="20" s="1"/>
  <c r="A1380" i="20"/>
  <c r="H1380" i="20" s="1"/>
  <c r="A1381" i="20"/>
  <c r="H1381" i="20" s="1"/>
  <c r="A1382" i="20"/>
  <c r="H1382" i="20" s="1"/>
  <c r="A1383" i="20"/>
  <c r="H1383" i="20" s="1"/>
  <c r="A1384" i="20"/>
  <c r="H1384" i="20" s="1"/>
  <c r="A1385" i="20"/>
  <c r="H1385" i="20" s="1"/>
  <c r="A1386" i="20"/>
  <c r="H1386" i="20" s="1"/>
  <c r="A1387" i="20"/>
  <c r="H1387" i="20" s="1"/>
  <c r="A1388" i="20"/>
  <c r="H1388" i="20" s="1"/>
  <c r="A1389" i="20"/>
  <c r="H1389" i="20" s="1"/>
  <c r="A1390" i="20"/>
  <c r="H1390" i="20" s="1"/>
  <c r="A1391" i="20"/>
  <c r="H1391" i="20" s="1"/>
  <c r="A1392" i="20"/>
  <c r="H1392" i="20" s="1"/>
  <c r="A1393" i="20"/>
  <c r="H1393" i="20" s="1"/>
  <c r="A1394" i="20"/>
  <c r="H1394" i="20" s="1"/>
  <c r="A1395" i="20"/>
  <c r="H1395" i="20" s="1"/>
  <c r="A1396" i="20"/>
  <c r="H1396" i="20" s="1"/>
  <c r="A1397" i="20"/>
  <c r="H1397" i="20" s="1"/>
  <c r="A1398" i="20"/>
  <c r="H1398" i="20" s="1"/>
  <c r="A1399" i="20"/>
  <c r="H1399" i="20" s="1"/>
  <c r="A1400" i="20"/>
  <c r="H1400" i="20" s="1"/>
  <c r="A1401" i="20"/>
  <c r="H1401" i="20" s="1"/>
  <c r="A1402" i="20"/>
  <c r="H1402" i="20" s="1"/>
  <c r="A1403" i="20"/>
  <c r="H1403" i="20" s="1"/>
  <c r="A1404" i="20"/>
  <c r="H1404" i="20" s="1"/>
  <c r="A1405" i="20"/>
  <c r="H1405" i="20" s="1"/>
  <c r="A1406" i="20"/>
  <c r="H1406" i="20" s="1"/>
  <c r="A1407" i="20"/>
  <c r="H1407" i="20" s="1"/>
  <c r="A1408" i="20"/>
  <c r="H1408" i="20" s="1"/>
  <c r="A1409" i="20"/>
  <c r="H1409" i="20" s="1"/>
  <c r="A1410" i="20"/>
  <c r="H1410" i="20" s="1"/>
  <c r="A1411" i="20"/>
  <c r="H1411" i="20" s="1"/>
  <c r="A1412" i="20"/>
  <c r="H1412" i="20" s="1"/>
  <c r="A1413" i="20"/>
  <c r="H1413" i="20" s="1"/>
  <c r="A1414" i="20"/>
  <c r="H1414" i="20" s="1"/>
  <c r="A1415" i="20"/>
  <c r="H1415" i="20" s="1"/>
  <c r="A1416" i="20"/>
  <c r="H1416" i="20" s="1"/>
  <c r="A1417" i="20"/>
  <c r="H1417" i="20" s="1"/>
  <c r="A1418" i="20"/>
  <c r="H1418" i="20" s="1"/>
  <c r="A1419" i="20"/>
  <c r="A1420" i="20"/>
  <c r="H1420" i="20" s="1"/>
  <c r="A1421" i="20"/>
  <c r="H1421" i="20" s="1"/>
  <c r="A1422" i="20"/>
  <c r="H1422" i="20" s="1"/>
  <c r="A1423" i="20"/>
  <c r="H1423" i="20" s="1"/>
  <c r="A1424" i="20"/>
  <c r="H1424" i="20" s="1"/>
  <c r="A1425" i="20"/>
  <c r="H1425" i="20" s="1"/>
  <c r="A1426" i="20"/>
  <c r="H1426" i="20" s="1"/>
  <c r="A1427" i="20"/>
  <c r="H1427" i="20" s="1"/>
  <c r="A1428" i="20"/>
  <c r="H1428" i="20" s="1"/>
  <c r="A1429" i="20"/>
  <c r="H1429" i="20" s="1"/>
  <c r="A484" i="20"/>
  <c r="H484" i="20" s="1"/>
  <c r="A485" i="20"/>
  <c r="H485" i="20" s="1"/>
  <c r="A135" i="20"/>
  <c r="H135" i="20" s="1"/>
  <c r="A136" i="20"/>
  <c r="H136" i="20" s="1"/>
  <c r="A137" i="20"/>
  <c r="H137" i="20" s="1"/>
  <c r="A138" i="20"/>
  <c r="H138" i="20" s="1"/>
  <c r="A139" i="20"/>
  <c r="H139" i="20" s="1"/>
  <c r="A140" i="20"/>
  <c r="H140" i="20" s="1"/>
  <c r="A141" i="20"/>
  <c r="H141" i="20" s="1"/>
  <c r="A142" i="20"/>
  <c r="H142" i="20" s="1"/>
  <c r="A143" i="20"/>
  <c r="H143" i="20" s="1"/>
  <c r="A144" i="20"/>
  <c r="H144" i="20" s="1"/>
  <c r="A145" i="20"/>
  <c r="H145" i="20" s="1"/>
  <c r="A146" i="20"/>
  <c r="H146" i="20" s="1"/>
  <c r="A147" i="20"/>
  <c r="H147" i="20" s="1"/>
  <c r="A148" i="20"/>
  <c r="H148" i="20" s="1"/>
  <c r="A149" i="20"/>
  <c r="H149" i="20" s="1"/>
  <c r="A150" i="20"/>
  <c r="A151" i="20"/>
  <c r="H151" i="20" s="1"/>
  <c r="A152" i="20"/>
  <c r="H152" i="20" s="1"/>
  <c r="A153" i="20"/>
  <c r="H153" i="20" s="1"/>
  <c r="A154" i="20"/>
  <c r="H154" i="20" s="1"/>
  <c r="A155" i="20"/>
  <c r="H155" i="20" s="1"/>
  <c r="A156" i="20"/>
  <c r="H156" i="20" s="1"/>
  <c r="A157" i="20"/>
  <c r="H157" i="20" s="1"/>
  <c r="A158" i="20"/>
  <c r="H158" i="20" s="1"/>
  <c r="A159" i="20"/>
  <c r="H159" i="20" s="1"/>
  <c r="A160" i="20"/>
  <c r="H160" i="20" s="1"/>
  <c r="A161" i="20"/>
  <c r="H161" i="20" s="1"/>
  <c r="A162" i="20"/>
  <c r="H162" i="20" s="1"/>
  <c r="A163" i="20"/>
  <c r="H163" i="20" s="1"/>
  <c r="A164" i="20"/>
  <c r="H164" i="20" s="1"/>
  <c r="A165" i="20"/>
  <c r="H165" i="20" s="1"/>
  <c r="A166" i="20"/>
  <c r="H166" i="20" s="1"/>
  <c r="A167" i="20"/>
  <c r="H167" i="20" s="1"/>
  <c r="A168" i="20"/>
  <c r="H168" i="20" s="1"/>
  <c r="A169" i="20"/>
  <c r="H169" i="20" s="1"/>
  <c r="A170" i="20"/>
  <c r="H170" i="20" s="1"/>
  <c r="A171" i="20"/>
  <c r="H171" i="20" s="1"/>
  <c r="A172" i="20"/>
  <c r="H172" i="20" s="1"/>
  <c r="A173" i="20"/>
  <c r="H173" i="20" s="1"/>
  <c r="A174" i="20"/>
  <c r="H174" i="20" s="1"/>
  <c r="A175" i="20"/>
  <c r="H175" i="20" s="1"/>
  <c r="A176" i="20"/>
  <c r="H176" i="20" s="1"/>
  <c r="A177" i="20"/>
  <c r="H177" i="20" s="1"/>
  <c r="A178" i="20"/>
  <c r="H178" i="20" s="1"/>
  <c r="A179" i="20"/>
  <c r="H179" i="20" s="1"/>
  <c r="A180" i="20"/>
  <c r="H180" i="20" s="1"/>
  <c r="A181" i="20"/>
  <c r="H181" i="20" s="1"/>
  <c r="A182" i="20"/>
  <c r="H182" i="20" s="1"/>
  <c r="A183" i="20"/>
  <c r="H183" i="20" s="1"/>
  <c r="A184" i="20"/>
  <c r="H184" i="20" s="1"/>
  <c r="A185" i="20"/>
  <c r="H185" i="20" s="1"/>
  <c r="A186" i="20"/>
  <c r="H186" i="20" s="1"/>
  <c r="A187" i="20"/>
  <c r="H187" i="20" s="1"/>
  <c r="A188" i="20"/>
  <c r="H188" i="20" s="1"/>
  <c r="A189" i="20"/>
  <c r="H189" i="20" s="1"/>
  <c r="A190" i="20"/>
  <c r="H190" i="20" s="1"/>
  <c r="A191" i="20"/>
  <c r="H191" i="20" s="1"/>
  <c r="A192" i="20"/>
  <c r="H192" i="20" s="1"/>
  <c r="A193" i="20"/>
  <c r="H193" i="20" s="1"/>
  <c r="A194" i="20"/>
  <c r="H194" i="20" s="1"/>
  <c r="A195" i="20"/>
  <c r="H195" i="20" s="1"/>
  <c r="A196" i="20"/>
  <c r="H196" i="20" s="1"/>
  <c r="A197" i="20"/>
  <c r="H197" i="20" s="1"/>
  <c r="A198" i="20"/>
  <c r="H198" i="20" s="1"/>
  <c r="A199" i="20"/>
  <c r="H199" i="20" s="1"/>
  <c r="A200" i="20"/>
  <c r="H200" i="20" s="1"/>
  <c r="A201" i="20"/>
  <c r="H201" i="20" s="1"/>
  <c r="A202" i="20"/>
  <c r="H202" i="20" s="1"/>
  <c r="A203" i="20"/>
  <c r="H203" i="20" s="1"/>
  <c r="A204" i="20"/>
  <c r="H204" i="20" s="1"/>
  <c r="A205" i="20"/>
  <c r="H205" i="20" s="1"/>
  <c r="A206" i="20"/>
  <c r="H206" i="20" s="1"/>
  <c r="A207" i="20"/>
  <c r="H207" i="20" s="1"/>
  <c r="A208" i="20"/>
  <c r="H208" i="20" s="1"/>
  <c r="A209" i="20"/>
  <c r="H209" i="20" s="1"/>
  <c r="A210" i="20"/>
  <c r="A211" i="20"/>
  <c r="H211" i="20" s="1"/>
  <c r="A212" i="20"/>
  <c r="H212" i="20" s="1"/>
  <c r="A213" i="20"/>
  <c r="H213" i="20" s="1"/>
  <c r="A214" i="20"/>
  <c r="H214" i="20" s="1"/>
  <c r="A215" i="20"/>
  <c r="H215" i="20" s="1"/>
  <c r="A216" i="20"/>
  <c r="H216" i="20" s="1"/>
  <c r="A217" i="20"/>
  <c r="H217" i="20" s="1"/>
  <c r="A218" i="20"/>
  <c r="H218" i="20" s="1"/>
  <c r="A219" i="20"/>
  <c r="H219" i="20" s="1"/>
  <c r="A220" i="20"/>
  <c r="H220" i="20" s="1"/>
  <c r="A221" i="20"/>
  <c r="H221" i="20" s="1"/>
  <c r="A222" i="20"/>
  <c r="H222" i="20" s="1"/>
  <c r="A223" i="20"/>
  <c r="H223" i="20" s="1"/>
  <c r="A224" i="20"/>
  <c r="H224" i="20" s="1"/>
  <c r="A225" i="20"/>
  <c r="H225" i="20" s="1"/>
  <c r="A226" i="20"/>
  <c r="H226" i="20" s="1"/>
  <c r="A227" i="20"/>
  <c r="H227" i="20" s="1"/>
  <c r="A228" i="20"/>
  <c r="H228" i="20" s="1"/>
  <c r="A229" i="20"/>
  <c r="H229" i="20" s="1"/>
  <c r="A230" i="20"/>
  <c r="H230" i="20" s="1"/>
  <c r="A231" i="20"/>
  <c r="H231" i="20" s="1"/>
  <c r="A232" i="20"/>
  <c r="H232" i="20" s="1"/>
  <c r="A233" i="20"/>
  <c r="H233" i="20" s="1"/>
  <c r="A234" i="20"/>
  <c r="H234" i="20" s="1"/>
  <c r="A235" i="20"/>
  <c r="H235" i="20" s="1"/>
  <c r="A236" i="20"/>
  <c r="H236" i="20" s="1"/>
  <c r="A237" i="20"/>
  <c r="H237" i="20" s="1"/>
  <c r="A238" i="20"/>
  <c r="H238" i="20" s="1"/>
  <c r="A239" i="20"/>
  <c r="H239" i="20" s="1"/>
  <c r="A240" i="20"/>
  <c r="H240" i="20" s="1"/>
  <c r="A241" i="20"/>
  <c r="H241" i="20" s="1"/>
  <c r="A242" i="20"/>
  <c r="H242" i="20" s="1"/>
  <c r="A243" i="20"/>
  <c r="H243" i="20" s="1"/>
  <c r="A244" i="20"/>
  <c r="H244" i="20" s="1"/>
  <c r="A245" i="20"/>
  <c r="H245" i="20" s="1"/>
  <c r="A246" i="20"/>
  <c r="H246" i="20" s="1"/>
  <c r="A247" i="20"/>
  <c r="H247" i="20" s="1"/>
  <c r="A248" i="20"/>
  <c r="H248" i="20" s="1"/>
  <c r="A249" i="20"/>
  <c r="H249" i="20" s="1"/>
  <c r="A250" i="20"/>
  <c r="H250" i="20" s="1"/>
  <c r="A251" i="20"/>
  <c r="H251" i="20" s="1"/>
  <c r="A252" i="20"/>
  <c r="H252" i="20" s="1"/>
  <c r="A253" i="20"/>
  <c r="H253" i="20" s="1"/>
  <c r="A254" i="20"/>
  <c r="H254" i="20" s="1"/>
  <c r="A255" i="20"/>
  <c r="H255" i="20" s="1"/>
  <c r="A256" i="20"/>
  <c r="H256" i="20" s="1"/>
  <c r="A257" i="20"/>
  <c r="H257" i="20" s="1"/>
  <c r="A258" i="20"/>
  <c r="H258" i="20" s="1"/>
  <c r="A259" i="20"/>
  <c r="H259" i="20" s="1"/>
  <c r="A260" i="20"/>
  <c r="H260" i="20" s="1"/>
  <c r="A261" i="20"/>
  <c r="H261" i="20" s="1"/>
  <c r="A262" i="20"/>
  <c r="H262" i="20" s="1"/>
  <c r="A263" i="20"/>
  <c r="H263" i="20" s="1"/>
  <c r="A264" i="20"/>
  <c r="H264" i="20" s="1"/>
  <c r="A265" i="20"/>
  <c r="H265" i="20" s="1"/>
  <c r="A266" i="20"/>
  <c r="H266" i="20" s="1"/>
  <c r="A267" i="20"/>
  <c r="H267" i="20" s="1"/>
  <c r="A268" i="20"/>
  <c r="H268" i="20" s="1"/>
  <c r="A269" i="20"/>
  <c r="H269" i="20" s="1"/>
  <c r="A270" i="20"/>
  <c r="H270" i="20" s="1"/>
  <c r="A271" i="20"/>
  <c r="H271" i="20" s="1"/>
  <c r="A272" i="20"/>
  <c r="H272" i="20" s="1"/>
  <c r="A273" i="20"/>
  <c r="H273" i="20" s="1"/>
  <c r="A274" i="20"/>
  <c r="H274" i="20" s="1"/>
  <c r="A275" i="20"/>
  <c r="H275" i="20" s="1"/>
  <c r="A276" i="20"/>
  <c r="H276" i="20" s="1"/>
  <c r="A277" i="20"/>
  <c r="H277" i="20" s="1"/>
  <c r="A278" i="20"/>
  <c r="H278" i="20" s="1"/>
  <c r="A279" i="20"/>
  <c r="H279" i="20" s="1"/>
  <c r="A280" i="20"/>
  <c r="H280" i="20" s="1"/>
  <c r="A281" i="20"/>
  <c r="H281" i="20" s="1"/>
  <c r="A282" i="20"/>
  <c r="H282" i="20" s="1"/>
  <c r="A283" i="20"/>
  <c r="H283" i="20" s="1"/>
  <c r="A284" i="20"/>
  <c r="H284" i="20" s="1"/>
  <c r="A285" i="20"/>
  <c r="H285" i="20" s="1"/>
  <c r="A286" i="20"/>
  <c r="H286" i="20" s="1"/>
  <c r="A287" i="20"/>
  <c r="H287" i="20" s="1"/>
  <c r="A288" i="20"/>
  <c r="H288" i="20" s="1"/>
  <c r="A289" i="20"/>
  <c r="H289" i="20" s="1"/>
  <c r="A290" i="20"/>
  <c r="H290" i="20" s="1"/>
  <c r="A291" i="20"/>
  <c r="H291" i="20" s="1"/>
  <c r="A292" i="20"/>
  <c r="H292" i="20" s="1"/>
  <c r="A293" i="20"/>
  <c r="H293" i="20" s="1"/>
  <c r="A294" i="20"/>
  <c r="H294" i="20" s="1"/>
  <c r="A295" i="20"/>
  <c r="H295" i="20" s="1"/>
  <c r="A296" i="20"/>
  <c r="H296" i="20" s="1"/>
  <c r="A297" i="20"/>
  <c r="H297" i="20" s="1"/>
  <c r="A298" i="20"/>
  <c r="H298" i="20" s="1"/>
  <c r="A299" i="20"/>
  <c r="H299" i="20" s="1"/>
  <c r="A300" i="20"/>
  <c r="H300" i="20" s="1"/>
  <c r="A301" i="20"/>
  <c r="H301" i="20" s="1"/>
  <c r="A302" i="20"/>
  <c r="H302" i="20" s="1"/>
  <c r="A303" i="20"/>
  <c r="H303" i="20" s="1"/>
  <c r="A304" i="20"/>
  <c r="H304" i="20" s="1"/>
  <c r="A305" i="20"/>
  <c r="H305" i="20" s="1"/>
  <c r="A306" i="20"/>
  <c r="H306" i="20" s="1"/>
  <c r="A307" i="20"/>
  <c r="H307" i="20" s="1"/>
  <c r="A308" i="20"/>
  <c r="H308" i="20" s="1"/>
  <c r="A309" i="20"/>
  <c r="H309" i="20" s="1"/>
  <c r="A310" i="20"/>
  <c r="H310" i="20" s="1"/>
  <c r="A311" i="20"/>
  <c r="H311" i="20" s="1"/>
  <c r="A312" i="20"/>
  <c r="H312" i="20" s="1"/>
  <c r="A313" i="20"/>
  <c r="H313" i="20" s="1"/>
  <c r="A314" i="20"/>
  <c r="H314" i="20" s="1"/>
  <c r="A315" i="20"/>
  <c r="H315" i="20" s="1"/>
  <c r="A316" i="20"/>
  <c r="H316" i="20" s="1"/>
  <c r="A317" i="20"/>
  <c r="H317" i="20" s="1"/>
  <c r="A318" i="20"/>
  <c r="H318" i="20" s="1"/>
  <c r="A319" i="20"/>
  <c r="H319" i="20" s="1"/>
  <c r="A320" i="20"/>
  <c r="H320" i="20" s="1"/>
  <c r="A321" i="20"/>
  <c r="H321" i="20" s="1"/>
  <c r="A322" i="20"/>
  <c r="H322" i="20" s="1"/>
  <c r="A323" i="20"/>
  <c r="H323" i="20" s="1"/>
  <c r="A324" i="20"/>
  <c r="H324" i="20" s="1"/>
  <c r="A325" i="20"/>
  <c r="H325" i="20" s="1"/>
  <c r="A326" i="20"/>
  <c r="H326" i="20" s="1"/>
  <c r="A327" i="20"/>
  <c r="H327" i="20" s="1"/>
  <c r="A328" i="20"/>
  <c r="H328" i="20" s="1"/>
  <c r="A329" i="20"/>
  <c r="H329" i="20" s="1"/>
  <c r="A330" i="20"/>
  <c r="H330" i="20" s="1"/>
  <c r="A331" i="20"/>
  <c r="H331" i="20" s="1"/>
  <c r="A332" i="20"/>
  <c r="H332" i="20" s="1"/>
  <c r="A333" i="20"/>
  <c r="H333" i="20" s="1"/>
  <c r="A334" i="20"/>
  <c r="H334" i="20" s="1"/>
  <c r="A335" i="20"/>
  <c r="H335" i="20" s="1"/>
  <c r="A336" i="20"/>
  <c r="H336" i="20" s="1"/>
  <c r="A337" i="20"/>
  <c r="H337" i="20" s="1"/>
  <c r="A338" i="20"/>
  <c r="H338" i="20" s="1"/>
  <c r="A339" i="20"/>
  <c r="H339" i="20" s="1"/>
  <c r="A340" i="20"/>
  <c r="H340" i="20" s="1"/>
  <c r="A341" i="20"/>
  <c r="H341" i="20" s="1"/>
  <c r="A342" i="20"/>
  <c r="H342" i="20" s="1"/>
  <c r="A343" i="20"/>
  <c r="H343" i="20" s="1"/>
  <c r="A344" i="20"/>
  <c r="H344" i="20" s="1"/>
  <c r="A345" i="20"/>
  <c r="H345" i="20" s="1"/>
  <c r="A346" i="20"/>
  <c r="H346" i="20" s="1"/>
  <c r="A347" i="20"/>
  <c r="H347" i="20" s="1"/>
  <c r="A348" i="20"/>
  <c r="H348" i="20" s="1"/>
  <c r="A349" i="20"/>
  <c r="H349" i="20" s="1"/>
  <c r="A350" i="20"/>
  <c r="H350" i="20" s="1"/>
  <c r="A351" i="20"/>
  <c r="H351" i="20" s="1"/>
  <c r="A352" i="20"/>
  <c r="H352" i="20" s="1"/>
  <c r="A353" i="20"/>
  <c r="H353" i="20" s="1"/>
  <c r="A354" i="20"/>
  <c r="H354" i="20" s="1"/>
  <c r="A355" i="20"/>
  <c r="H355" i="20" s="1"/>
  <c r="A356" i="20"/>
  <c r="H356" i="20" s="1"/>
  <c r="A357" i="20"/>
  <c r="H357" i="20" s="1"/>
  <c r="A358" i="20"/>
  <c r="H358" i="20" s="1"/>
  <c r="A359" i="20"/>
  <c r="H359" i="20" s="1"/>
  <c r="A360" i="20"/>
  <c r="H360" i="20" s="1"/>
  <c r="A361" i="20"/>
  <c r="H361" i="20" s="1"/>
  <c r="A362" i="20"/>
  <c r="H362" i="20" s="1"/>
  <c r="A363" i="20"/>
  <c r="H363" i="20" s="1"/>
  <c r="A364" i="20"/>
  <c r="H364" i="20" s="1"/>
  <c r="A365" i="20"/>
  <c r="H365" i="20" s="1"/>
  <c r="A366" i="20"/>
  <c r="H366" i="20" s="1"/>
  <c r="A367" i="20"/>
  <c r="H367" i="20" s="1"/>
  <c r="A368" i="20"/>
  <c r="H368" i="20" s="1"/>
  <c r="A369" i="20"/>
  <c r="H369" i="20" s="1"/>
  <c r="A370" i="20"/>
  <c r="H370" i="20" s="1"/>
  <c r="A371" i="20"/>
  <c r="H371" i="20" s="1"/>
  <c r="A372" i="20"/>
  <c r="H372" i="20" s="1"/>
  <c r="A373" i="20"/>
  <c r="H373" i="20" s="1"/>
  <c r="A374" i="20"/>
  <c r="H374" i="20" s="1"/>
  <c r="A375" i="20"/>
  <c r="H375" i="20" s="1"/>
  <c r="A376" i="20"/>
  <c r="H376" i="20" s="1"/>
  <c r="A377" i="20"/>
  <c r="H377" i="20" s="1"/>
  <c r="A378" i="20"/>
  <c r="H378" i="20" s="1"/>
  <c r="A379" i="20"/>
  <c r="H379" i="20" s="1"/>
  <c r="A380" i="20"/>
  <c r="H380" i="20" s="1"/>
  <c r="A381" i="20"/>
  <c r="H381" i="20" s="1"/>
  <c r="A382" i="20"/>
  <c r="H382" i="20" s="1"/>
  <c r="A383" i="20"/>
  <c r="H383" i="20" s="1"/>
  <c r="A384" i="20"/>
  <c r="H384" i="20" s="1"/>
  <c r="A385" i="20"/>
  <c r="H385" i="20" s="1"/>
  <c r="A386" i="20"/>
  <c r="H386" i="20" s="1"/>
  <c r="A387" i="20"/>
  <c r="H387" i="20" s="1"/>
  <c r="A388" i="20"/>
  <c r="H388" i="20" s="1"/>
  <c r="A389" i="20"/>
  <c r="H389" i="20" s="1"/>
  <c r="A390" i="20"/>
  <c r="H390" i="20" s="1"/>
  <c r="A391" i="20"/>
  <c r="H391" i="20" s="1"/>
  <c r="A392" i="20"/>
  <c r="H392" i="20" s="1"/>
  <c r="A393" i="20"/>
  <c r="H393" i="20" s="1"/>
  <c r="A394" i="20"/>
  <c r="H394" i="20" s="1"/>
  <c r="A395" i="20"/>
  <c r="H395" i="20" s="1"/>
  <c r="A396" i="20"/>
  <c r="H396" i="20" s="1"/>
  <c r="A397" i="20"/>
  <c r="H397" i="20" s="1"/>
  <c r="A398" i="20"/>
  <c r="H398" i="20" s="1"/>
  <c r="A399" i="20"/>
  <c r="H399" i="20" s="1"/>
  <c r="A400" i="20"/>
  <c r="H400" i="20" s="1"/>
  <c r="A401" i="20"/>
  <c r="H401" i="20" s="1"/>
  <c r="A402" i="20"/>
  <c r="H402" i="20" s="1"/>
  <c r="A403" i="20"/>
  <c r="H403" i="20" s="1"/>
  <c r="A404" i="20"/>
  <c r="H404" i="20" s="1"/>
  <c r="A405" i="20"/>
  <c r="H405" i="20" s="1"/>
  <c r="A406" i="20"/>
  <c r="H406" i="20" s="1"/>
  <c r="A407" i="20"/>
  <c r="H407" i="20" s="1"/>
  <c r="A408" i="20"/>
  <c r="H408" i="20" s="1"/>
  <c r="A409" i="20"/>
  <c r="H409" i="20" s="1"/>
  <c r="A410" i="20"/>
  <c r="H410" i="20" s="1"/>
  <c r="A411" i="20"/>
  <c r="H411" i="20" s="1"/>
  <c r="A412" i="20"/>
  <c r="H412" i="20" s="1"/>
  <c r="A413" i="20"/>
  <c r="H413" i="20" s="1"/>
  <c r="A414" i="20"/>
  <c r="H414" i="20" s="1"/>
  <c r="A415" i="20"/>
  <c r="H415" i="20" s="1"/>
  <c r="A416" i="20"/>
  <c r="H416" i="20" s="1"/>
  <c r="A417" i="20"/>
  <c r="H417" i="20" s="1"/>
  <c r="A418" i="20"/>
  <c r="H418" i="20" s="1"/>
  <c r="A419" i="20"/>
  <c r="H419" i="20" s="1"/>
  <c r="A420" i="20"/>
  <c r="H420" i="20" s="1"/>
  <c r="A421" i="20"/>
  <c r="H421" i="20" s="1"/>
  <c r="A422" i="20"/>
  <c r="H422" i="20" s="1"/>
  <c r="A423" i="20"/>
  <c r="H423" i="20" s="1"/>
  <c r="A424" i="20"/>
  <c r="H424" i="20" s="1"/>
  <c r="A425" i="20"/>
  <c r="H425" i="20" s="1"/>
  <c r="A426" i="20"/>
  <c r="H426" i="20" s="1"/>
  <c r="A427" i="20"/>
  <c r="H427" i="20" s="1"/>
  <c r="A428" i="20"/>
  <c r="H428" i="20" s="1"/>
  <c r="A429" i="20"/>
  <c r="H429" i="20" s="1"/>
  <c r="A430" i="20"/>
  <c r="H430" i="20" s="1"/>
  <c r="A431" i="20"/>
  <c r="H431" i="20" s="1"/>
  <c r="A432" i="20"/>
  <c r="H432" i="20" s="1"/>
  <c r="A433" i="20"/>
  <c r="H433" i="20" s="1"/>
  <c r="A434" i="20"/>
  <c r="H434" i="20" s="1"/>
  <c r="A435" i="20"/>
  <c r="H435" i="20" s="1"/>
  <c r="A436" i="20"/>
  <c r="H436" i="20" s="1"/>
  <c r="A437" i="20"/>
  <c r="H437" i="20" s="1"/>
  <c r="A438" i="20"/>
  <c r="H438" i="20" s="1"/>
  <c r="A439" i="20"/>
  <c r="H439" i="20" s="1"/>
  <c r="A440" i="20"/>
  <c r="H440" i="20" s="1"/>
  <c r="A441" i="20"/>
  <c r="H441" i="20" s="1"/>
  <c r="A442" i="20"/>
  <c r="H442" i="20" s="1"/>
  <c r="A443" i="20"/>
  <c r="H443" i="20" s="1"/>
  <c r="A444" i="20"/>
  <c r="H444" i="20" s="1"/>
  <c r="A445" i="20"/>
  <c r="H445" i="20" s="1"/>
  <c r="A446" i="20"/>
  <c r="H446" i="20" s="1"/>
  <c r="A447" i="20"/>
  <c r="H447" i="20" s="1"/>
  <c r="A448" i="20"/>
  <c r="H448" i="20" s="1"/>
  <c r="A449" i="20"/>
  <c r="H449" i="20" s="1"/>
  <c r="A450" i="20"/>
  <c r="H450" i="20" s="1"/>
  <c r="A451" i="20"/>
  <c r="H451" i="20" s="1"/>
  <c r="A452" i="20"/>
  <c r="H452" i="20" s="1"/>
  <c r="A453" i="20"/>
  <c r="H453" i="20" s="1"/>
  <c r="A454" i="20"/>
  <c r="H454" i="20" s="1"/>
  <c r="A455" i="20"/>
  <c r="H455" i="20" s="1"/>
  <c r="A456" i="20"/>
  <c r="H456" i="20" s="1"/>
  <c r="A457" i="20"/>
  <c r="H457" i="20" s="1"/>
  <c r="A458" i="20"/>
  <c r="H458" i="20" s="1"/>
  <c r="A459" i="20"/>
  <c r="H459" i="20" s="1"/>
  <c r="A460" i="20"/>
  <c r="H460" i="20" s="1"/>
  <c r="A461" i="20"/>
  <c r="H461" i="20" s="1"/>
  <c r="A462" i="20"/>
  <c r="H462" i="20" s="1"/>
  <c r="A463" i="20"/>
  <c r="H463" i="20" s="1"/>
  <c r="A464" i="20"/>
  <c r="H464" i="20" s="1"/>
  <c r="A465" i="20"/>
  <c r="H465" i="20" s="1"/>
  <c r="A466" i="20"/>
  <c r="H466" i="20" s="1"/>
  <c r="A467" i="20"/>
  <c r="H467" i="20" s="1"/>
  <c r="A468" i="20"/>
  <c r="H468" i="20" s="1"/>
  <c r="A469" i="20"/>
  <c r="H469" i="20" s="1"/>
  <c r="A470" i="20"/>
  <c r="H470" i="20" s="1"/>
  <c r="A471" i="20"/>
  <c r="H471" i="20" s="1"/>
  <c r="A472" i="20"/>
  <c r="H472" i="20" s="1"/>
  <c r="A473" i="20"/>
  <c r="H473" i="20" s="1"/>
  <c r="A474" i="20"/>
  <c r="H474" i="20" s="1"/>
  <c r="A475" i="20"/>
  <c r="H475" i="20" s="1"/>
  <c r="A476" i="20"/>
  <c r="H476" i="20" s="1"/>
  <c r="A477" i="20"/>
  <c r="H477" i="20" s="1"/>
  <c r="A478" i="20"/>
  <c r="H478" i="20" s="1"/>
  <c r="A479" i="20"/>
  <c r="H479" i="20" s="1"/>
  <c r="A480" i="20"/>
  <c r="H480" i="20" s="1"/>
  <c r="A481" i="20"/>
  <c r="H481" i="20" s="1"/>
  <c r="A482" i="20"/>
  <c r="H482" i="20" s="1"/>
  <c r="A483" i="20"/>
  <c r="H483" i="20" s="1"/>
  <c r="H150" i="20"/>
  <c r="H210" i="20"/>
  <c r="H486" i="20"/>
  <c r="H487" i="20"/>
  <c r="H490" i="20"/>
  <c r="H491" i="20"/>
  <c r="H494" i="20"/>
  <c r="H495" i="20"/>
  <c r="H498" i="20"/>
  <c r="H499" i="20"/>
  <c r="H502" i="20"/>
  <c r="H503" i="20"/>
  <c r="H505" i="20"/>
  <c r="H510" i="20"/>
  <c r="H511" i="20"/>
  <c r="H513" i="20"/>
  <c r="H515" i="20"/>
  <c r="H519" i="20"/>
  <c r="H523" i="20"/>
  <c r="H527" i="20"/>
  <c r="H529" i="20"/>
  <c r="H530" i="20"/>
  <c r="H531" i="20"/>
  <c r="H534" i="20"/>
  <c r="H535" i="20"/>
  <c r="H537" i="20"/>
  <c r="H542" i="20"/>
  <c r="H543" i="20"/>
  <c r="H545" i="20"/>
  <c r="H550" i="20"/>
  <c r="H551" i="20"/>
  <c r="H554" i="20"/>
  <c r="H558" i="20"/>
  <c r="H562" i="20"/>
  <c r="H566" i="20"/>
  <c r="H574" i="20"/>
  <c r="H593" i="20"/>
  <c r="H594" i="20"/>
  <c r="H595" i="20"/>
  <c r="H598" i="20"/>
  <c r="H599" i="20"/>
  <c r="H606" i="20"/>
  <c r="H615" i="20"/>
  <c r="H618" i="20"/>
  <c r="H620" i="20"/>
  <c r="H634" i="20"/>
  <c r="H642" i="20"/>
  <c r="H646" i="20"/>
  <c r="H648" i="20"/>
  <c r="H654" i="20"/>
  <c r="H662" i="20"/>
  <c r="H666" i="20"/>
  <c r="H670" i="20"/>
  <c r="H674" i="20"/>
  <c r="H678" i="20"/>
  <c r="H684" i="20"/>
  <c r="H690" i="20"/>
  <c r="H694" i="20"/>
  <c r="H702" i="20"/>
  <c r="H710" i="20"/>
  <c r="H715" i="20"/>
  <c r="H718" i="20"/>
  <c r="H738" i="20"/>
  <c r="H742" i="20"/>
  <c r="H747" i="20"/>
  <c r="H750" i="20"/>
  <c r="H770" i="20"/>
  <c r="H774" i="20"/>
  <c r="H778" i="20"/>
  <c r="H780" i="20"/>
  <c r="H812" i="20"/>
  <c r="H825" i="20"/>
  <c r="H830" i="20"/>
  <c r="H862" i="20"/>
  <c r="H878" i="20"/>
  <c r="H910" i="20"/>
  <c r="H930" i="20"/>
  <c r="H934" i="20"/>
  <c r="H942" i="20"/>
  <c r="H946" i="20"/>
  <c r="H950" i="20"/>
  <c r="H974" i="20"/>
  <c r="H986" i="20"/>
  <c r="H1018" i="20"/>
  <c r="H1038" i="20"/>
  <c r="H1041" i="20"/>
  <c r="H1050" i="20"/>
  <c r="H1082" i="20"/>
  <c r="H1103" i="20"/>
  <c r="H1106" i="20"/>
  <c r="H1108" i="20"/>
  <c r="H1142" i="20"/>
  <c r="H1146" i="20"/>
  <c r="H1174" i="20"/>
  <c r="H1202" i="20"/>
  <c r="H1218" i="20"/>
  <c r="H1222" i="20"/>
  <c r="H1226" i="20"/>
  <c r="H1230" i="20"/>
  <c r="H1254" i="20"/>
  <c r="H1266" i="20"/>
  <c r="H1286" i="20"/>
  <c r="H1342" i="20"/>
  <c r="H1362" i="20"/>
  <c r="H1419" i="20"/>
  <c r="H121" i="20"/>
  <c r="H122" i="20"/>
  <c r="H123" i="20"/>
  <c r="H124" i="20"/>
  <c r="H125" i="20"/>
  <c r="H126" i="20"/>
  <c r="H127" i="20"/>
  <c r="H128" i="20"/>
  <c r="H129" i="20"/>
  <c r="H130" i="20"/>
  <c r="H131" i="20"/>
  <c r="H132" i="20"/>
  <c r="H12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7" i="20"/>
  <c r="H8" i="20"/>
  <c r="H9" i="20"/>
  <c r="H10" i="20"/>
  <c r="H11" i="20"/>
  <c r="H12" i="20"/>
  <c r="H13" i="20"/>
  <c r="H14" i="20"/>
  <c r="H15" i="20"/>
  <c r="H16" i="20"/>
  <c r="H17" i="20"/>
  <c r="H18" i="20"/>
  <c r="H19" i="20"/>
  <c r="H20" i="20"/>
  <c r="H21" i="20"/>
  <c r="H22" i="20"/>
  <c r="H23" i="20"/>
  <c r="H24" i="20"/>
  <c r="H25" i="20"/>
  <c r="H26" i="20"/>
  <c r="H27" i="20"/>
  <c r="H28" i="20"/>
  <c r="H29" i="20"/>
  <c r="H30" i="20"/>
  <c r="H6" i="20"/>
  <c r="D23" i="9" l="1"/>
  <c r="F23" i="9" s="1"/>
  <c r="D23" i="37"/>
  <c r="F23" i="37" s="1"/>
  <c r="G23" i="37" s="1"/>
  <c r="H23" i="37" s="1"/>
  <c r="F361" i="11"/>
  <c r="E361" i="11"/>
  <c r="D361" i="11"/>
  <c r="H361" i="11"/>
  <c r="K361" i="11" s="1"/>
  <c r="G275" i="11"/>
  <c r="O275" i="11" s="1"/>
  <c r="C268" i="11"/>
  <c r="K273" i="11"/>
  <c r="K280" i="11"/>
  <c r="F340" i="11"/>
  <c r="H340" i="11"/>
  <c r="K340" i="11" s="1"/>
  <c r="E340" i="11"/>
  <c r="D340" i="11"/>
  <c r="E382" i="11"/>
  <c r="H382" i="11"/>
  <c r="K382" i="11" s="1"/>
  <c r="F382" i="11"/>
  <c r="D382" i="11"/>
  <c r="K289" i="11"/>
  <c r="K290" i="11"/>
  <c r="F319" i="11"/>
  <c r="E319" i="11"/>
  <c r="D319" i="11"/>
  <c r="H319" i="11"/>
  <c r="K319" i="11" s="1"/>
  <c r="F270" i="11"/>
  <c r="E270" i="11"/>
  <c r="H270" i="11"/>
  <c r="K270" i="11" s="1"/>
  <c r="D270" i="11"/>
  <c r="K274" i="11"/>
  <c r="K272" i="11"/>
  <c r="G23" i="9"/>
  <c r="H23" i="9" s="1"/>
  <c r="N24" i="36"/>
  <c r="O24" i="36"/>
  <c r="K6" i="36"/>
  <c r="L6" i="36"/>
  <c r="M6" i="36"/>
  <c r="K7" i="36"/>
  <c r="L7" i="36"/>
  <c r="M7" i="36"/>
  <c r="K8" i="36"/>
  <c r="L8" i="36"/>
  <c r="M8" i="36"/>
  <c r="K9" i="36"/>
  <c r="L9" i="36"/>
  <c r="M9" i="36"/>
  <c r="K10" i="36"/>
  <c r="L10" i="36"/>
  <c r="M10" i="36"/>
  <c r="K11" i="36"/>
  <c r="L11" i="36"/>
  <c r="M11" i="36"/>
  <c r="K12" i="36"/>
  <c r="L12" i="36"/>
  <c r="M12" i="36"/>
  <c r="K13" i="36"/>
  <c r="L13" i="36"/>
  <c r="M13" i="36"/>
  <c r="K14" i="36"/>
  <c r="L14" i="36"/>
  <c r="M14" i="36"/>
  <c r="K15" i="36"/>
  <c r="L15" i="36"/>
  <c r="M15" i="36"/>
  <c r="K16" i="36"/>
  <c r="L16" i="36"/>
  <c r="M16" i="36"/>
  <c r="K17" i="36"/>
  <c r="L17" i="36"/>
  <c r="M17" i="36"/>
  <c r="K18" i="36"/>
  <c r="L18" i="36"/>
  <c r="M18" i="36"/>
  <c r="K19" i="36"/>
  <c r="L19" i="36"/>
  <c r="M19" i="36"/>
  <c r="K20" i="36"/>
  <c r="L20" i="36"/>
  <c r="M20" i="36"/>
  <c r="K21" i="36"/>
  <c r="L21" i="36"/>
  <c r="M21" i="36"/>
  <c r="K22" i="36"/>
  <c r="L22" i="36"/>
  <c r="M22" i="36"/>
  <c r="K23" i="36"/>
  <c r="L23" i="36"/>
  <c r="M23" i="36"/>
  <c r="L5" i="36"/>
  <c r="M5" i="36"/>
  <c r="K5" i="36"/>
  <c r="B271" i="11"/>
  <c r="F271" i="11" l="1"/>
  <c r="E271" i="11"/>
  <c r="H271" i="11"/>
  <c r="K271" i="11" s="1"/>
  <c r="D271" i="11"/>
  <c r="K275" i="11"/>
  <c r="C276" i="11"/>
  <c r="P5" i="36"/>
  <c r="P15" i="36"/>
  <c r="P23" i="36"/>
  <c r="P7" i="36"/>
  <c r="P12" i="36"/>
  <c r="P22" i="36"/>
  <c r="P6" i="36"/>
  <c r="P19" i="36"/>
  <c r="P14" i="36"/>
  <c r="P11" i="36"/>
  <c r="P16" i="36"/>
  <c r="P8" i="36"/>
  <c r="P13" i="36"/>
  <c r="P20" i="36"/>
  <c r="P17" i="36"/>
  <c r="P9" i="36"/>
  <c r="P21" i="36"/>
  <c r="P18" i="36"/>
  <c r="P10" i="36"/>
  <c r="N31" i="36"/>
  <c r="C31" i="36"/>
  <c r="N29" i="36"/>
  <c r="C29" i="36"/>
  <c r="L24" i="36"/>
  <c r="M24" i="36"/>
  <c r="K24" i="36"/>
  <c r="C100" i="4"/>
  <c r="E100" i="4"/>
  <c r="I100" i="4"/>
  <c r="C104" i="4"/>
  <c r="E104" i="4"/>
  <c r="I104" i="4"/>
  <c r="C295" i="11" l="1"/>
  <c r="C326" i="11" s="1"/>
  <c r="C283" i="11"/>
  <c r="C305" i="11" s="1"/>
  <c r="P24" i="36"/>
  <c r="K98" i="4"/>
  <c r="C99" i="4"/>
  <c r="C368" i="11" l="1"/>
  <c r="C347" i="11"/>
  <c r="G55" i="34" l="1"/>
  <c r="V30" i="35" l="1"/>
  <c r="E30" i="35"/>
  <c r="F30" i="35"/>
  <c r="G30" i="35"/>
  <c r="H30" i="35"/>
  <c r="G6" i="34" s="1"/>
  <c r="G8" i="34" s="1"/>
  <c r="I30" i="35"/>
  <c r="J30" i="35"/>
  <c r="G15" i="34" s="1"/>
  <c r="K30" i="35"/>
  <c r="L30" i="35"/>
  <c r="M30" i="35"/>
  <c r="N30" i="35"/>
  <c r="O30" i="35"/>
  <c r="P30" i="35"/>
  <c r="Q30" i="35"/>
  <c r="G74" i="34" s="1"/>
  <c r="G75" i="34" s="1"/>
  <c r="R30" i="35"/>
  <c r="S30" i="35"/>
  <c r="T30" i="35"/>
  <c r="U30" i="35"/>
  <c r="W30" i="35"/>
  <c r="X30" i="35"/>
  <c r="Y30" i="35"/>
  <c r="D30" i="35"/>
  <c r="G14" i="34"/>
  <c r="G13" i="34"/>
  <c r="G12" i="34"/>
  <c r="G11" i="34"/>
  <c r="G10" i="34"/>
  <c r="H8" i="34"/>
  <c r="H7" i="34"/>
  <c r="H20" i="34"/>
  <c r="H19" i="34"/>
  <c r="H18" i="34"/>
  <c r="H17" i="34"/>
  <c r="H16" i="34"/>
  <c r="F249" i="1"/>
  <c r="H1078" i="2" s="1"/>
  <c r="K1078" i="2" s="1"/>
  <c r="F248" i="1"/>
  <c r="H1077" i="2" s="1"/>
  <c r="K1077" i="2" s="1"/>
  <c r="F356" i="1"/>
  <c r="H1075" i="2" s="1"/>
  <c r="K1075" i="2" s="1"/>
  <c r="G19" i="34" l="1"/>
  <c r="G17" i="34"/>
  <c r="G20" i="34"/>
  <c r="K20" i="34" s="1"/>
  <c r="G18" i="34"/>
  <c r="K18" i="34" s="1"/>
  <c r="N24" i="31"/>
  <c r="C34" i="26" s="1"/>
  <c r="K17" i="34"/>
  <c r="G16" i="34"/>
  <c r="K16" i="34" s="1"/>
  <c r="G7" i="34"/>
  <c r="K7" i="34" s="1"/>
  <c r="K19" i="34"/>
  <c r="K8" i="34"/>
  <c r="E400" i="4" l="1"/>
  <c r="N18" i="31"/>
  <c r="C28" i="26" s="1"/>
  <c r="E394" i="4" l="1"/>
  <c r="N19" i="31"/>
  <c r="C29" i="26" s="1"/>
  <c r="E395" i="4" l="1"/>
  <c r="G145" i="29"/>
  <c r="G135" i="29"/>
  <c r="G136" i="29"/>
  <c r="G137" i="29"/>
  <c r="G138" i="29"/>
  <c r="G139" i="29"/>
  <c r="G140" i="29"/>
  <c r="G134" i="29"/>
  <c r="G61" i="29"/>
  <c r="G20" i="29"/>
  <c r="G21" i="29"/>
  <c r="G22" i="29"/>
  <c r="G23" i="29"/>
  <c r="G24" i="29"/>
  <c r="G25" i="29"/>
  <c r="G26" i="29"/>
  <c r="G27" i="29"/>
  <c r="G28" i="29"/>
  <c r="G29" i="29"/>
  <c r="G30" i="29"/>
  <c r="G31" i="29"/>
  <c r="G32" i="29"/>
  <c r="G19" i="29"/>
  <c r="G18" i="29"/>
  <c r="G17" i="29"/>
  <c r="G16" i="29"/>
  <c r="G15" i="29"/>
  <c r="G14" i="29"/>
  <c r="G13" i="29"/>
  <c r="G12" i="29"/>
  <c r="G11" i="29"/>
  <c r="C1016" i="23"/>
  <c r="D1016" i="23"/>
  <c r="E1016" i="23"/>
  <c r="F1016" i="23"/>
  <c r="G1016" i="23"/>
  <c r="C1017" i="23"/>
  <c r="D1017" i="23"/>
  <c r="E1017" i="23"/>
  <c r="F1017" i="23"/>
  <c r="G1017" i="23"/>
  <c r="C1010" i="23"/>
  <c r="D1010" i="23"/>
  <c r="E1010" i="23"/>
  <c r="F1010" i="23"/>
  <c r="G1010" i="23"/>
  <c r="C1011" i="23"/>
  <c r="D1011" i="23"/>
  <c r="E1011" i="23"/>
  <c r="F1011" i="23"/>
  <c r="G1011" i="23"/>
  <c r="C1012" i="23"/>
  <c r="D1012" i="23"/>
  <c r="E1012" i="23"/>
  <c r="F1012" i="23"/>
  <c r="G1012" i="23"/>
  <c r="C1013" i="23"/>
  <c r="D1013" i="23"/>
  <c r="E1013" i="23"/>
  <c r="F1013" i="23"/>
  <c r="G1013" i="23"/>
  <c r="C1014" i="23"/>
  <c r="D1014" i="23"/>
  <c r="E1014" i="23"/>
  <c r="F1014" i="23"/>
  <c r="G1014" i="23"/>
  <c r="C1015" i="23"/>
  <c r="D1015" i="23"/>
  <c r="E1015" i="23"/>
  <c r="F1015" i="23"/>
  <c r="G1015" i="23"/>
  <c r="J1014" i="23" l="1"/>
  <c r="J1013" i="23"/>
  <c r="J1016" i="23"/>
  <c r="J1017" i="23"/>
  <c r="J1011" i="23"/>
  <c r="J1015" i="23"/>
  <c r="J1010" i="23"/>
  <c r="J1012" i="23"/>
  <c r="J1281" i="1" l="1"/>
  <c r="J1280" i="1"/>
  <c r="G43" i="34"/>
  <c r="G31" i="34"/>
  <c r="G30" i="34"/>
  <c r="G32" i="34"/>
  <c r="H10" i="34"/>
  <c r="H11" i="34"/>
  <c r="H12" i="34"/>
  <c r="J22" i="4"/>
  <c r="J21" i="4"/>
  <c r="K20" i="4"/>
  <c r="J19" i="4"/>
  <c r="J18" i="4"/>
  <c r="K17" i="4"/>
  <c r="K13" i="4"/>
  <c r="H14" i="34"/>
  <c r="H13" i="34"/>
  <c r="H78" i="34"/>
  <c r="K78" i="34" s="1"/>
  <c r="F78" i="34"/>
  <c r="E78" i="34"/>
  <c r="D78" i="34"/>
  <c r="H77" i="34"/>
  <c r="K77" i="34" s="1"/>
  <c r="F77" i="34"/>
  <c r="E77" i="34"/>
  <c r="D77" i="34"/>
  <c r="H76" i="34"/>
  <c r="K76" i="34" s="1"/>
  <c r="F76" i="34"/>
  <c r="E76" i="34"/>
  <c r="D76" i="34"/>
  <c r="H75" i="34"/>
  <c r="K75" i="34" s="1"/>
  <c r="F75" i="34"/>
  <c r="E75" i="34"/>
  <c r="D75" i="34"/>
  <c r="H74" i="34"/>
  <c r="K74" i="34" s="1"/>
  <c r="F74" i="34"/>
  <c r="E74" i="34"/>
  <c r="D74" i="34"/>
  <c r="H72" i="34"/>
  <c r="K72" i="34" s="1"/>
  <c r="F72" i="34"/>
  <c r="E72" i="34"/>
  <c r="D72" i="34"/>
  <c r="H71" i="34"/>
  <c r="K71" i="34" s="1"/>
  <c r="F71" i="34"/>
  <c r="E71" i="34"/>
  <c r="D71" i="34"/>
  <c r="H70" i="34"/>
  <c r="K70" i="34" s="1"/>
  <c r="F70" i="34"/>
  <c r="E70" i="34"/>
  <c r="D70" i="34"/>
  <c r="H69" i="34"/>
  <c r="K69" i="34" s="1"/>
  <c r="F69" i="34"/>
  <c r="E69" i="34"/>
  <c r="D69" i="34"/>
  <c r="H68" i="34"/>
  <c r="K68" i="34" s="1"/>
  <c r="F68" i="34"/>
  <c r="E68" i="34"/>
  <c r="D68" i="34"/>
  <c r="H66" i="34"/>
  <c r="K66" i="34" s="1"/>
  <c r="F66" i="34"/>
  <c r="E66" i="34"/>
  <c r="D66" i="34"/>
  <c r="H65" i="34"/>
  <c r="K65" i="34" s="1"/>
  <c r="F65" i="34"/>
  <c r="E65" i="34"/>
  <c r="D65" i="34"/>
  <c r="H64" i="34"/>
  <c r="K64" i="34" s="1"/>
  <c r="F64" i="34"/>
  <c r="E64" i="34"/>
  <c r="D64" i="34"/>
  <c r="H63" i="34"/>
  <c r="K63" i="34" s="1"/>
  <c r="F63" i="34"/>
  <c r="E63" i="34"/>
  <c r="D63" i="34"/>
  <c r="H62" i="34"/>
  <c r="K62" i="34" s="1"/>
  <c r="F62" i="34"/>
  <c r="E62" i="34"/>
  <c r="D62" i="34"/>
  <c r="D44" i="34"/>
  <c r="E44" i="34"/>
  <c r="F44" i="34"/>
  <c r="H44" i="34"/>
  <c r="K44" i="34" s="1"/>
  <c r="D45" i="34"/>
  <c r="E45" i="34"/>
  <c r="F45" i="34"/>
  <c r="H45" i="34"/>
  <c r="K45" i="34" s="1"/>
  <c r="D47" i="34"/>
  <c r="E47" i="34"/>
  <c r="F47" i="34"/>
  <c r="H47" i="34"/>
  <c r="K47" i="34" s="1"/>
  <c r="D48" i="34"/>
  <c r="E48" i="34"/>
  <c r="F48" i="34"/>
  <c r="H48" i="34"/>
  <c r="K48" i="34" s="1"/>
  <c r="D49" i="34"/>
  <c r="E49" i="34"/>
  <c r="F49" i="34"/>
  <c r="H49" i="34"/>
  <c r="K49" i="34" s="1"/>
  <c r="D50" i="34"/>
  <c r="E50" i="34"/>
  <c r="F50" i="34"/>
  <c r="H50" i="34"/>
  <c r="D51" i="34"/>
  <c r="E51" i="34"/>
  <c r="F51" i="34"/>
  <c r="H51" i="34"/>
  <c r="K51" i="34" s="1"/>
  <c r="D53" i="34"/>
  <c r="E53" i="34"/>
  <c r="F53" i="34"/>
  <c r="H53" i="34"/>
  <c r="D54" i="34"/>
  <c r="E54" i="34"/>
  <c r="F54" i="34"/>
  <c r="H54" i="34"/>
  <c r="D55" i="34"/>
  <c r="E55" i="34"/>
  <c r="F55" i="34"/>
  <c r="H55" i="34"/>
  <c r="K55" i="34" s="1"/>
  <c r="D56" i="34"/>
  <c r="E56" i="34"/>
  <c r="F56" i="34"/>
  <c r="H56" i="34"/>
  <c r="K56" i="34" s="1"/>
  <c r="D57" i="34"/>
  <c r="E57" i="34"/>
  <c r="F57" i="34"/>
  <c r="H57" i="34"/>
  <c r="K57" i="34" s="1"/>
  <c r="D59" i="34"/>
  <c r="E59" i="34"/>
  <c r="F59" i="34"/>
  <c r="H59" i="34"/>
  <c r="K59" i="34" s="1"/>
  <c r="D60" i="34"/>
  <c r="E60" i="34"/>
  <c r="F60" i="34"/>
  <c r="H60" i="34"/>
  <c r="K60" i="34" s="1"/>
  <c r="H29" i="34"/>
  <c r="K29" i="34" s="1"/>
  <c r="F29" i="34"/>
  <c r="E29" i="34"/>
  <c r="D29" i="34"/>
  <c r="H28" i="34"/>
  <c r="K28" i="34" s="1"/>
  <c r="F28" i="34"/>
  <c r="E28" i="34"/>
  <c r="D28" i="34"/>
  <c r="D23" i="34"/>
  <c r="E23" i="34"/>
  <c r="F23" i="34"/>
  <c r="H23" i="34"/>
  <c r="K23" i="34" s="1"/>
  <c r="D24" i="34"/>
  <c r="E24" i="34"/>
  <c r="F24" i="34"/>
  <c r="H24" i="34"/>
  <c r="K24" i="34" s="1"/>
  <c r="D25" i="34"/>
  <c r="E25" i="34"/>
  <c r="F25" i="34"/>
  <c r="H25" i="34"/>
  <c r="K25" i="34" s="1"/>
  <c r="D26" i="34"/>
  <c r="E26" i="34"/>
  <c r="F26" i="34"/>
  <c r="H26" i="34"/>
  <c r="K26" i="34" s="1"/>
  <c r="D27" i="34"/>
  <c r="E27" i="34"/>
  <c r="F27" i="34"/>
  <c r="H27" i="34"/>
  <c r="K27" i="34" s="1"/>
  <c r="D30" i="34"/>
  <c r="E30" i="34"/>
  <c r="F30" i="34"/>
  <c r="H30" i="34"/>
  <c r="K30" i="34" s="1"/>
  <c r="D31" i="34"/>
  <c r="E31" i="34"/>
  <c r="F31" i="34"/>
  <c r="H31" i="34"/>
  <c r="D32" i="34"/>
  <c r="E32" i="34"/>
  <c r="F32" i="34"/>
  <c r="H32" i="34"/>
  <c r="K32" i="34" s="1"/>
  <c r="D33" i="34"/>
  <c r="E33" i="34"/>
  <c r="F33" i="34"/>
  <c r="H33" i="34"/>
  <c r="K33" i="34" s="1"/>
  <c r="D34" i="34"/>
  <c r="E34" i="34"/>
  <c r="F34" i="34"/>
  <c r="H34" i="34"/>
  <c r="K34" i="34" s="1"/>
  <c r="D36" i="34"/>
  <c r="E36" i="34"/>
  <c r="F36" i="34"/>
  <c r="H36" i="34"/>
  <c r="K36" i="34" s="1"/>
  <c r="D37" i="34"/>
  <c r="E37" i="34"/>
  <c r="F37" i="34"/>
  <c r="H37" i="34"/>
  <c r="K37" i="34" s="1"/>
  <c r="D38" i="34"/>
  <c r="E38" i="34"/>
  <c r="F38" i="34"/>
  <c r="H38" i="34"/>
  <c r="K38" i="34" s="1"/>
  <c r="D39" i="34"/>
  <c r="E39" i="34"/>
  <c r="F39" i="34"/>
  <c r="H39" i="34"/>
  <c r="K39" i="34" s="1"/>
  <c r="D40" i="34"/>
  <c r="E40" i="34"/>
  <c r="F40" i="34"/>
  <c r="H40" i="34"/>
  <c r="K40" i="34" s="1"/>
  <c r="D41" i="34"/>
  <c r="E41" i="34"/>
  <c r="F41" i="34"/>
  <c r="H41" i="34"/>
  <c r="K41" i="34" s="1"/>
  <c r="D42" i="34"/>
  <c r="E42" i="34"/>
  <c r="F42" i="34"/>
  <c r="H42" i="34"/>
  <c r="K42" i="34" s="1"/>
  <c r="D43" i="34"/>
  <c r="E43" i="34"/>
  <c r="F43" i="34"/>
  <c r="H43" i="34"/>
  <c r="K43" i="34" s="1"/>
  <c r="V1281" i="1"/>
  <c r="U1281" i="1"/>
  <c r="F1256" i="1"/>
  <c r="I49" i="34" s="1"/>
  <c r="L49" i="34" s="1"/>
  <c r="F1255" i="1"/>
  <c r="I48" i="34" s="1"/>
  <c r="L48" i="34" s="1"/>
  <c r="A3" i="1"/>
  <c r="K12" i="4" l="1"/>
  <c r="K31" i="34"/>
  <c r="K53" i="34"/>
  <c r="K50" i="34"/>
  <c r="K54" i="34"/>
  <c r="K12" i="34"/>
  <c r="K11" i="34"/>
  <c r="K10" i="34"/>
  <c r="K14" i="34"/>
  <c r="K13" i="34"/>
  <c r="K23" i="4" l="1"/>
  <c r="K24" i="4" s="1"/>
  <c r="F1253" i="1"/>
  <c r="I27" i="34" s="1"/>
  <c r="L27" i="34" s="1"/>
  <c r="F1252" i="1"/>
  <c r="I26" i="34" s="1"/>
  <c r="L26" i="34" s="1"/>
  <c r="F1251" i="1"/>
  <c r="I25" i="34" s="1"/>
  <c r="L25" i="34" s="1"/>
  <c r="F1250" i="1"/>
  <c r="I24" i="34" s="1"/>
  <c r="L24" i="34" s="1"/>
  <c r="H22" i="34"/>
  <c r="F22" i="34"/>
  <c r="E22" i="34"/>
  <c r="D22" i="34"/>
  <c r="K25" i="4" l="1"/>
  <c r="K26" i="4" s="1"/>
  <c r="K27" i="4" s="1"/>
  <c r="K28" i="4" s="1"/>
  <c r="K22" i="34"/>
  <c r="K79" i="34" l="1"/>
  <c r="G106" i="29" l="1"/>
  <c r="R106" i="29" s="1"/>
  <c r="G107" i="29"/>
  <c r="L106" i="29"/>
  <c r="I106" i="29"/>
  <c r="M106" i="29" s="1"/>
  <c r="E1186" i="1" l="1"/>
  <c r="H78" i="11" s="1"/>
  <c r="K78" i="11" s="1"/>
  <c r="E1187" i="1"/>
  <c r="H79" i="11" s="1"/>
  <c r="K79" i="11" s="1"/>
  <c r="F1083" i="1" l="1"/>
  <c r="I60" i="29"/>
  <c r="I59" i="29"/>
  <c r="G59" i="29"/>
  <c r="I58" i="29"/>
  <c r="G54" i="29"/>
  <c r="R54" i="29" s="1"/>
  <c r="M53" i="29"/>
  <c r="G52" i="29"/>
  <c r="K52" i="29" s="1"/>
  <c r="I51" i="29"/>
  <c r="N111" i="29"/>
  <c r="N112" i="29"/>
  <c r="N110" i="29"/>
  <c r="I111" i="29"/>
  <c r="I112" i="29"/>
  <c r="I110" i="29"/>
  <c r="G53" i="29" l="1"/>
  <c r="K53" i="29" s="1"/>
  <c r="K54" i="29"/>
  <c r="C54" i="29"/>
  <c r="M54" i="29"/>
  <c r="R52" i="29"/>
  <c r="M52" i="29"/>
  <c r="G58" i="29"/>
  <c r="G60" i="29" l="1"/>
  <c r="R53" i="29"/>
  <c r="G51" i="29"/>
  <c r="I179" i="29"/>
  <c r="I177" i="29"/>
  <c r="I178" i="29"/>
  <c r="I180" i="29"/>
  <c r="I121" i="29"/>
  <c r="M122" i="29" s="1"/>
  <c r="I119" i="29"/>
  <c r="M119" i="29" s="1"/>
  <c r="I118" i="29"/>
  <c r="M118" i="29" s="1"/>
  <c r="M138" i="29"/>
  <c r="N138" i="29"/>
  <c r="M139" i="29"/>
  <c r="N139" i="29"/>
  <c r="M140" i="29"/>
  <c r="N140" i="29"/>
  <c r="N141" i="29"/>
  <c r="N142" i="29"/>
  <c r="N143" i="29"/>
  <c r="N144" i="29"/>
  <c r="N145" i="29"/>
  <c r="N146" i="29"/>
  <c r="N147" i="29"/>
  <c r="N148" i="29"/>
  <c r="N119" i="29"/>
  <c r="M120" i="29"/>
  <c r="N120" i="29"/>
  <c r="N121" i="29"/>
  <c r="N122" i="29"/>
  <c r="M123" i="29"/>
  <c r="N123" i="29"/>
  <c r="M124" i="29"/>
  <c r="N124" i="29"/>
  <c r="M125" i="29"/>
  <c r="N125" i="29"/>
  <c r="M126" i="29"/>
  <c r="N126" i="29"/>
  <c r="M127" i="29"/>
  <c r="N127" i="29"/>
  <c r="N128" i="29"/>
  <c r="M129" i="29"/>
  <c r="N129" i="29"/>
  <c r="M130" i="29"/>
  <c r="N130" i="29"/>
  <c r="M131" i="29"/>
  <c r="N131" i="29"/>
  <c r="M132" i="29"/>
  <c r="N132" i="29"/>
  <c r="M133" i="29"/>
  <c r="N133" i="29"/>
  <c r="M134" i="29"/>
  <c r="N134" i="29"/>
  <c r="M135" i="29"/>
  <c r="N135" i="29"/>
  <c r="M136" i="29"/>
  <c r="N136" i="29"/>
  <c r="M137" i="29"/>
  <c r="N137" i="29"/>
  <c r="M121" i="29" l="1"/>
  <c r="D886" i="20"/>
  <c r="D896" i="20"/>
  <c r="D900" i="20"/>
  <c r="D902" i="20"/>
  <c r="C904" i="20"/>
  <c r="D908" i="20"/>
  <c r="C916" i="20"/>
  <c r="D926" i="20"/>
  <c r="D928" i="20"/>
  <c r="C932" i="20"/>
  <c r="C936" i="20"/>
  <c r="C942" i="20"/>
  <c r="D948" i="20"/>
  <c r="D956" i="20"/>
  <c r="D960" i="20"/>
  <c r="C968" i="20"/>
  <c r="D972" i="20"/>
  <c r="D974" i="20"/>
  <c r="C980" i="20"/>
  <c r="D982" i="20"/>
  <c r="D990" i="20"/>
  <c r="C994" i="20"/>
  <c r="D998" i="20"/>
  <c r="C1000" i="20"/>
  <c r="D1010" i="20"/>
  <c r="D1012" i="20"/>
  <c r="C1016" i="20"/>
  <c r="C1020" i="20"/>
  <c r="D1026" i="20"/>
  <c r="D1028" i="20"/>
  <c r="D1030" i="20"/>
  <c r="C1032" i="20"/>
  <c r="D1036" i="20"/>
  <c r="C1048" i="20"/>
  <c r="D1050" i="20"/>
  <c r="D1052" i="20"/>
  <c r="C1060" i="20"/>
  <c r="D1062" i="20"/>
  <c r="C1064" i="20"/>
  <c r="C1070" i="20"/>
  <c r="D1075" i="20"/>
  <c r="D1076" i="20"/>
  <c r="D1090" i="20"/>
  <c r="D1091" i="20"/>
  <c r="D1092" i="20"/>
  <c r="C1096" i="20"/>
  <c r="D1098" i="20"/>
  <c r="C1102" i="20"/>
  <c r="C1110" i="20"/>
  <c r="C1112" i="20"/>
  <c r="D1116" i="20"/>
  <c r="D1122" i="20"/>
  <c r="D1123" i="20"/>
  <c r="D1124" i="20"/>
  <c r="D1126" i="20"/>
  <c r="C1130" i="20"/>
  <c r="D1131" i="20"/>
  <c r="D1136" i="20"/>
  <c r="D1138" i="20"/>
  <c r="D1140" i="20"/>
  <c r="C1150" i="20"/>
  <c r="D1155" i="20"/>
  <c r="D1156" i="20"/>
  <c r="D1160" i="20"/>
  <c r="D1162" i="20"/>
  <c r="D1165" i="20"/>
  <c r="D1170" i="20"/>
  <c r="D1172" i="20"/>
  <c r="D1176" i="20"/>
  <c r="D1179" i="20"/>
  <c r="D1180" i="20"/>
  <c r="D1181" i="20"/>
  <c r="D1188" i="20"/>
  <c r="C1190" i="20"/>
  <c r="D1192" i="20"/>
  <c r="C1197" i="20"/>
  <c r="C1200" i="20"/>
  <c r="C1205" i="20"/>
  <c r="C1206" i="20"/>
  <c r="E1214" i="20"/>
  <c r="E1218" i="20"/>
  <c r="E1222" i="20"/>
  <c r="E1226" i="20"/>
  <c r="E1230" i="20"/>
  <c r="E1234" i="20"/>
  <c r="E1238" i="20"/>
  <c r="E1242" i="20"/>
  <c r="E1246" i="20"/>
  <c r="E1256" i="20"/>
  <c r="E1260" i="20"/>
  <c r="E1268" i="20"/>
  <c r="C1270" i="20"/>
  <c r="C1272" i="20"/>
  <c r="C1274" i="20"/>
  <c r="C1276" i="20"/>
  <c r="D1278" i="20"/>
  <c r="E1280" i="20"/>
  <c r="E1282" i="20"/>
  <c r="E1285" i="20"/>
  <c r="D1288" i="20"/>
  <c r="E1290" i="20"/>
  <c r="E1292" i="20"/>
  <c r="E1296" i="20"/>
  <c r="E1300" i="20"/>
  <c r="D1320" i="20"/>
  <c r="D1324" i="20"/>
  <c r="E1328" i="20"/>
  <c r="D1332" i="20"/>
  <c r="C1336" i="20"/>
  <c r="E1341" i="20"/>
  <c r="D1342" i="20"/>
  <c r="E1354" i="20"/>
  <c r="D1363" i="20"/>
  <c r="E1364" i="20"/>
  <c r="D1371" i="20"/>
  <c r="E1384" i="20"/>
  <c r="D1390" i="20"/>
  <c r="D1396" i="20"/>
  <c r="D1416" i="20"/>
  <c r="D1420" i="20"/>
  <c r="D1422" i="20"/>
  <c r="A134" i="20"/>
  <c r="D1429" i="20"/>
  <c r="D1427" i="20"/>
  <c r="D1425" i="20"/>
  <c r="D1412" i="20"/>
  <c r="D1379" i="20"/>
  <c r="D1375" i="20"/>
  <c r="D1367" i="20"/>
  <c r="D1337" i="20"/>
  <c r="E1289" i="20"/>
  <c r="E1281" i="20"/>
  <c r="D1271" i="20"/>
  <c r="E1271" i="20"/>
  <c r="E1263" i="20"/>
  <c r="D1257" i="20"/>
  <c r="E1257" i="20"/>
  <c r="E1255" i="20"/>
  <c r="C1251" i="20"/>
  <c r="C1209" i="20"/>
  <c r="C1201" i="20"/>
  <c r="C1195" i="20"/>
  <c r="C1193" i="20"/>
  <c r="C1191" i="20"/>
  <c r="D1187" i="20"/>
  <c r="D1185" i="20"/>
  <c r="C1185" i="20"/>
  <c r="D1183" i="20"/>
  <c r="C1183" i="20"/>
  <c r="C1179" i="20"/>
  <c r="D1177" i="20"/>
  <c r="C1177" i="20"/>
  <c r="D1175" i="20"/>
  <c r="C1175" i="20"/>
  <c r="D1171" i="20"/>
  <c r="C1171" i="20"/>
  <c r="D1169" i="20"/>
  <c r="C1169" i="20"/>
  <c r="D1167" i="20"/>
  <c r="C1167" i="20"/>
  <c r="D1163" i="20"/>
  <c r="C1163" i="20"/>
  <c r="D1161" i="20"/>
  <c r="C1161" i="20"/>
  <c r="D1159" i="20"/>
  <c r="C1159" i="20"/>
  <c r="C1155" i="20"/>
  <c r="D1154" i="20"/>
  <c r="D1153" i="20"/>
  <c r="C1153" i="20"/>
  <c r="D1151" i="20"/>
  <c r="C1151" i="20"/>
  <c r="D1147" i="20"/>
  <c r="C1147" i="20"/>
  <c r="D1146" i="20"/>
  <c r="D1145" i="20"/>
  <c r="C1145" i="20"/>
  <c r="D1143" i="20"/>
  <c r="C1143" i="20"/>
  <c r="D1139" i="20"/>
  <c r="C1139" i="20"/>
  <c r="D1137" i="20"/>
  <c r="C1137" i="20"/>
  <c r="D1135" i="20"/>
  <c r="C1135" i="20"/>
  <c r="C1131" i="20"/>
  <c r="D1130" i="20"/>
  <c r="D1129" i="20"/>
  <c r="C1129" i="20"/>
  <c r="D1127" i="20"/>
  <c r="C1127" i="20"/>
  <c r="C1123" i="20"/>
  <c r="D1121" i="20"/>
  <c r="C1121" i="20"/>
  <c r="D1119" i="20"/>
  <c r="C1119" i="20"/>
  <c r="D1115" i="20"/>
  <c r="C1115" i="20"/>
  <c r="D1114" i="20"/>
  <c r="D1113" i="20"/>
  <c r="C1113" i="20"/>
  <c r="D1111" i="20"/>
  <c r="C1111" i="20"/>
  <c r="D1110" i="20"/>
  <c r="D1107" i="20"/>
  <c r="D1106" i="20"/>
  <c r="D1105" i="20"/>
  <c r="C1105" i="20"/>
  <c r="D1103" i="20"/>
  <c r="C1103" i="20"/>
  <c r="D1099" i="20"/>
  <c r="C1099" i="20"/>
  <c r="C1098" i="20"/>
  <c r="D1097" i="20"/>
  <c r="C1097" i="20"/>
  <c r="D1096" i="20"/>
  <c r="D1095" i="20"/>
  <c r="C1095" i="20"/>
  <c r="C1094" i="20"/>
  <c r="C1091" i="20"/>
  <c r="C1090" i="20"/>
  <c r="D1089" i="20"/>
  <c r="C1089" i="20"/>
  <c r="D1087" i="20"/>
  <c r="C1087" i="20"/>
  <c r="D1083" i="20"/>
  <c r="C1083" i="20"/>
  <c r="D1082" i="20"/>
  <c r="C1082" i="20"/>
  <c r="D1081" i="20"/>
  <c r="C1081" i="20"/>
  <c r="D1079" i="20"/>
  <c r="C1079" i="20"/>
  <c r="C1075" i="20"/>
  <c r="D1074" i="20"/>
  <c r="C1074" i="20"/>
  <c r="D1073" i="20"/>
  <c r="C1073" i="20"/>
  <c r="D1071" i="20"/>
  <c r="C1071" i="20"/>
  <c r="D1070" i="20"/>
  <c r="D1067" i="20"/>
  <c r="D1066" i="20"/>
  <c r="D1065" i="20"/>
  <c r="C1065" i="20"/>
  <c r="D1064" i="20"/>
  <c r="D1063" i="20"/>
  <c r="C1063" i="20"/>
  <c r="D1059" i="20"/>
  <c r="C1059" i="20"/>
  <c r="D1058" i="20"/>
  <c r="C1058" i="20"/>
  <c r="D1057" i="20"/>
  <c r="C1057" i="20"/>
  <c r="D1055" i="20"/>
  <c r="C1055" i="20"/>
  <c r="C1054" i="20"/>
  <c r="D1051" i="20"/>
  <c r="C1051" i="20"/>
  <c r="C1050" i="20"/>
  <c r="D1049" i="20"/>
  <c r="C1049" i="20"/>
  <c r="D1047" i="20"/>
  <c r="C1047" i="20"/>
  <c r="C1045" i="20"/>
  <c r="D1043" i="20"/>
  <c r="C1043" i="20"/>
  <c r="D1042" i="20"/>
  <c r="C1042" i="20"/>
  <c r="D1041" i="20"/>
  <c r="C1041" i="20"/>
  <c r="D1039" i="20"/>
  <c r="C1039" i="20"/>
  <c r="D1035" i="20"/>
  <c r="C1035" i="20"/>
  <c r="D1034" i="20"/>
  <c r="C1034" i="20"/>
  <c r="D1033" i="20"/>
  <c r="C1033" i="20"/>
  <c r="D1032" i="20"/>
  <c r="D1031" i="20"/>
  <c r="C1031" i="20"/>
  <c r="D1027" i="20"/>
  <c r="C1027" i="20"/>
  <c r="C1026" i="20"/>
  <c r="D1025" i="20"/>
  <c r="C1025" i="20"/>
  <c r="D1023" i="20"/>
  <c r="C1023" i="20"/>
  <c r="D1019" i="20"/>
  <c r="C1019" i="20"/>
  <c r="D1018" i="20"/>
  <c r="C1018" i="20"/>
  <c r="D1017" i="20"/>
  <c r="C1017" i="20"/>
  <c r="D1015" i="20"/>
  <c r="C1015" i="20"/>
  <c r="C1014" i="20"/>
  <c r="D1011" i="20"/>
  <c r="C1011" i="20"/>
  <c r="C1010" i="20"/>
  <c r="D1009" i="20"/>
  <c r="C1009" i="20"/>
  <c r="D1007" i="20"/>
  <c r="C1007" i="20"/>
  <c r="C1005" i="20"/>
  <c r="D1004" i="20"/>
  <c r="D1003" i="20"/>
  <c r="C1003" i="20"/>
  <c r="D1002" i="20"/>
  <c r="C1002" i="20"/>
  <c r="D1001" i="20"/>
  <c r="C1001" i="20"/>
  <c r="D1000" i="20"/>
  <c r="D999" i="20"/>
  <c r="C999" i="20"/>
  <c r="D996" i="20"/>
  <c r="D995" i="20"/>
  <c r="C995" i="20"/>
  <c r="D994" i="20"/>
  <c r="D993" i="20"/>
  <c r="C993" i="20"/>
  <c r="D991" i="20"/>
  <c r="C991" i="20"/>
  <c r="D988" i="20"/>
  <c r="C988" i="20"/>
  <c r="D987" i="20"/>
  <c r="C987" i="20"/>
  <c r="D986" i="20"/>
  <c r="C986" i="20"/>
  <c r="D985" i="20"/>
  <c r="C985" i="20"/>
  <c r="D983" i="20"/>
  <c r="C983" i="20"/>
  <c r="D980" i="20"/>
  <c r="D979" i="20"/>
  <c r="C979" i="20"/>
  <c r="D978" i="20"/>
  <c r="C978" i="20"/>
  <c r="D977" i="20"/>
  <c r="C977" i="20"/>
  <c r="D975" i="20"/>
  <c r="C975" i="20"/>
  <c r="C974" i="20"/>
  <c r="C972" i="20"/>
  <c r="D971" i="20"/>
  <c r="C971" i="20"/>
  <c r="D970" i="20"/>
  <c r="C970" i="20"/>
  <c r="D969" i="20"/>
  <c r="C969" i="20"/>
  <c r="D968" i="20"/>
  <c r="D967" i="20"/>
  <c r="C967" i="20"/>
  <c r="D964" i="20"/>
  <c r="C964" i="20"/>
  <c r="D963" i="20"/>
  <c r="C963" i="20"/>
  <c r="D962" i="20"/>
  <c r="C962" i="20"/>
  <c r="D961" i="20"/>
  <c r="C961" i="20"/>
  <c r="D959" i="20"/>
  <c r="C959" i="20"/>
  <c r="C958" i="20"/>
  <c r="C957" i="20"/>
  <c r="D955" i="20"/>
  <c r="C955" i="20"/>
  <c r="D954" i="20"/>
  <c r="C954" i="20"/>
  <c r="D953" i="20"/>
  <c r="C953" i="20"/>
  <c r="C952" i="20"/>
  <c r="D951" i="20"/>
  <c r="C951" i="20"/>
  <c r="C949" i="20"/>
  <c r="D947" i="20"/>
  <c r="C947" i="20"/>
  <c r="D946" i="20"/>
  <c r="C946" i="20"/>
  <c r="D945" i="20"/>
  <c r="C945" i="20"/>
  <c r="D943" i="20"/>
  <c r="C943" i="20"/>
  <c r="C941" i="20"/>
  <c r="D940" i="20"/>
  <c r="D939" i="20"/>
  <c r="C939" i="20"/>
  <c r="D938" i="20"/>
  <c r="C938" i="20"/>
  <c r="D937" i="20"/>
  <c r="C937" i="20"/>
  <c r="D936" i="20"/>
  <c r="D935" i="20"/>
  <c r="C935" i="20"/>
  <c r="C933" i="20"/>
  <c r="D932" i="20"/>
  <c r="D931" i="20"/>
  <c r="C931" i="20"/>
  <c r="D930" i="20"/>
  <c r="C930" i="20"/>
  <c r="D929" i="20"/>
  <c r="C929" i="20"/>
  <c r="D927" i="20"/>
  <c r="C927" i="20"/>
  <c r="C925" i="20"/>
  <c r="D924" i="20"/>
  <c r="D923" i="20"/>
  <c r="C923" i="20"/>
  <c r="D922" i="20"/>
  <c r="C922" i="20"/>
  <c r="D921" i="20"/>
  <c r="C921" i="20"/>
  <c r="C920" i="20"/>
  <c r="D919" i="20"/>
  <c r="C919" i="20"/>
  <c r="C917" i="20"/>
  <c r="D916" i="20"/>
  <c r="D915" i="20"/>
  <c r="C915" i="20"/>
  <c r="D914" i="20"/>
  <c r="C914" i="20"/>
  <c r="D913" i="20"/>
  <c r="C913" i="20"/>
  <c r="D911" i="20"/>
  <c r="C911" i="20"/>
  <c r="C909" i="20"/>
  <c r="C908" i="20"/>
  <c r="D907" i="20"/>
  <c r="C907" i="20"/>
  <c r="D906" i="20"/>
  <c r="C906" i="20"/>
  <c r="D905" i="20"/>
  <c r="C905" i="20"/>
  <c r="D904" i="20"/>
  <c r="D903" i="20"/>
  <c r="C903" i="20"/>
  <c r="C901" i="20"/>
  <c r="D899" i="20"/>
  <c r="C899" i="20"/>
  <c r="D898" i="20"/>
  <c r="C898" i="20"/>
  <c r="D897" i="20"/>
  <c r="C897" i="20"/>
  <c r="D895" i="20"/>
  <c r="C895" i="20"/>
  <c r="C893" i="20"/>
  <c r="D891" i="20"/>
  <c r="C891" i="20"/>
  <c r="D890" i="20"/>
  <c r="C890" i="20"/>
  <c r="D889" i="20"/>
  <c r="C889" i="20"/>
  <c r="C888" i="20"/>
  <c r="D887" i="20"/>
  <c r="C887" i="20"/>
  <c r="C885" i="20"/>
  <c r="D883" i="20"/>
  <c r="C883" i="20"/>
  <c r="D882" i="20"/>
  <c r="C882" i="20"/>
  <c r="D881" i="20"/>
  <c r="C881" i="20"/>
  <c r="D879" i="20"/>
  <c r="C879" i="20"/>
  <c r="E30" i="12" l="1"/>
  <c r="I30" i="12" s="1"/>
  <c r="E24" i="12"/>
  <c r="I24" i="12" s="1"/>
  <c r="E6" i="12"/>
  <c r="I6" i="12" s="1"/>
  <c r="E29" i="12"/>
  <c r="I29" i="12" s="1"/>
  <c r="E23" i="12"/>
  <c r="I23" i="12" s="1"/>
  <c r="E26" i="12"/>
  <c r="I26" i="12" s="1"/>
  <c r="I10" i="12"/>
  <c r="E25" i="12"/>
  <c r="I25" i="12" s="1"/>
  <c r="I8" i="12"/>
  <c r="H134" i="20"/>
  <c r="C1157" i="20"/>
  <c r="C1021" i="20"/>
  <c r="C965" i="20"/>
  <c r="C973" i="20"/>
  <c r="C981" i="20"/>
  <c r="C989" i="20"/>
  <c r="C1013" i="20"/>
  <c r="C1037" i="20"/>
  <c r="C997" i="20"/>
  <c r="C1029" i="20"/>
  <c r="C1044" i="20"/>
  <c r="C1028" i="20"/>
  <c r="C1036" i="20"/>
  <c r="C884" i="20"/>
  <c r="D884" i="20"/>
  <c r="D1164" i="20"/>
  <c r="C892" i="20"/>
  <c r="C1012" i="20"/>
  <c r="D1020" i="20"/>
  <c r="D1060" i="20"/>
  <c r="D892" i="20"/>
  <c r="C948" i="20"/>
  <c r="C1052" i="20"/>
  <c r="C900" i="20"/>
  <c r="C956" i="20"/>
  <c r="C1004" i="20"/>
  <c r="D1068" i="20"/>
  <c r="D1084" i="20"/>
  <c r="C1053" i="20"/>
  <c r="C1061" i="20"/>
  <c r="D1150" i="20"/>
  <c r="C1069" i="20"/>
  <c r="C1109" i="20"/>
  <c r="C1077" i="20"/>
  <c r="C1117" i="20"/>
  <c r="E1371" i="20"/>
  <c r="D1044" i="20"/>
  <c r="C1067" i="20"/>
  <c r="D1100" i="20"/>
  <c r="C1107" i="20"/>
  <c r="C1187" i="20"/>
  <c r="C1093" i="20"/>
  <c r="C1101" i="20"/>
  <c r="C1141" i="20"/>
  <c r="C1125" i="20"/>
  <c r="C1085" i="20"/>
  <c r="C1124" i="20"/>
  <c r="D1148" i="20"/>
  <c r="C1092" i="20"/>
  <c r="C1100" i="20"/>
  <c r="C1133" i="20"/>
  <c r="C1149" i="20"/>
  <c r="C1084" i="20"/>
  <c r="C1076" i="20"/>
  <c r="D1108" i="20"/>
  <c r="C1140" i="20"/>
  <c r="C1194" i="20"/>
  <c r="C1198" i="20"/>
  <c r="D1202" i="20"/>
  <c r="D1354" i="20"/>
  <c r="C1114" i="20"/>
  <c r="C1116" i="20"/>
  <c r="C1120" i="20"/>
  <c r="C1122" i="20"/>
  <c r="D1132" i="20"/>
  <c r="C1138" i="20"/>
  <c r="C1154" i="20"/>
  <c r="C1156" i="20"/>
  <c r="D1178" i="20"/>
  <c r="D1186" i="20"/>
  <c r="D1204" i="20"/>
  <c r="D1312" i="20"/>
  <c r="D1346" i="20"/>
  <c r="D1380" i="20"/>
  <c r="C998" i="20"/>
  <c r="D1014" i="20"/>
  <c r="D1054" i="20"/>
  <c r="D1094" i="20"/>
  <c r="C1134" i="20"/>
  <c r="D1414" i="20"/>
  <c r="C926" i="20"/>
  <c r="C1038" i="20"/>
  <c r="D1134" i="20"/>
  <c r="D1174" i="20"/>
  <c r="D1350" i="20"/>
  <c r="E1382" i="20"/>
  <c r="I1382" i="20" s="1"/>
  <c r="C894" i="20"/>
  <c r="D942" i="20"/>
  <c r="C1078" i="20"/>
  <c r="C1118" i="20"/>
  <c r="C1158" i="20"/>
  <c r="D1182" i="20"/>
  <c r="C878" i="20"/>
  <c r="D894" i="20"/>
  <c r="D910" i="20"/>
  <c r="C982" i="20"/>
  <c r="C1022" i="20"/>
  <c r="D1038" i="20"/>
  <c r="C1062" i="20"/>
  <c r="C1068" i="20"/>
  <c r="D1078" i="20"/>
  <c r="C1108" i="20"/>
  <c r="D1118" i="20"/>
  <c r="C1148" i="20"/>
  <c r="D1158" i="20"/>
  <c r="D1166" i="20"/>
  <c r="D1382" i="20"/>
  <c r="D1398" i="20"/>
  <c r="C910" i="20"/>
  <c r="D878" i="20"/>
  <c r="C950" i="20"/>
  <c r="C966" i="20"/>
  <c r="D1022" i="20"/>
  <c r="D958" i="20"/>
  <c r="C1142" i="20"/>
  <c r="D1316" i="20"/>
  <c r="D1340" i="20"/>
  <c r="C918" i="20"/>
  <c r="C924" i="20"/>
  <c r="C934" i="20"/>
  <c r="C940" i="20"/>
  <c r="D950" i="20"/>
  <c r="D966" i="20"/>
  <c r="C996" i="20"/>
  <c r="C1006" i="20"/>
  <c r="C1046" i="20"/>
  <c r="C1066" i="20"/>
  <c r="C1086" i="20"/>
  <c r="D1102" i="20"/>
  <c r="C1106" i="20"/>
  <c r="C1132" i="20"/>
  <c r="D1142" i="20"/>
  <c r="C1146" i="20"/>
  <c r="E1308" i="20"/>
  <c r="I1308" i="20" s="1"/>
  <c r="D1388" i="20"/>
  <c r="D1400" i="20"/>
  <c r="C990" i="20"/>
  <c r="D1006" i="20"/>
  <c r="C1030" i="20"/>
  <c r="D1046" i="20"/>
  <c r="C1126" i="20"/>
  <c r="D1308" i="20"/>
  <c r="D1404" i="20"/>
  <c r="C886" i="20"/>
  <c r="C902" i="20"/>
  <c r="D918" i="20"/>
  <c r="D934" i="20"/>
  <c r="D1086" i="20"/>
  <c r="D1196" i="20"/>
  <c r="E1332" i="20"/>
  <c r="E1342" i="20"/>
  <c r="D1298" i="20"/>
  <c r="D1406" i="20"/>
  <c r="C896" i="20"/>
  <c r="C928" i="20"/>
  <c r="C960" i="20"/>
  <c r="C992" i="20"/>
  <c r="C1024" i="20"/>
  <c r="C1056" i="20"/>
  <c r="C1088" i="20"/>
  <c r="D1304" i="20"/>
  <c r="D992" i="20"/>
  <c r="D1024" i="20"/>
  <c r="D1056" i="20"/>
  <c r="D1088" i="20"/>
  <c r="C1152" i="20"/>
  <c r="C1080" i="20"/>
  <c r="D1112" i="20"/>
  <c r="D920" i="20"/>
  <c r="D952" i="20"/>
  <c r="D984" i="20"/>
  <c r="D1016" i="20"/>
  <c r="D1048" i="20"/>
  <c r="D1080" i="20"/>
  <c r="C1128" i="20"/>
  <c r="D1280" i="20"/>
  <c r="C1008" i="20"/>
  <c r="C1040" i="20"/>
  <c r="C1072" i="20"/>
  <c r="C1104" i="20"/>
  <c r="D1128" i="20"/>
  <c r="C984" i="20"/>
  <c r="D888" i="20"/>
  <c r="C912" i="20"/>
  <c r="C976" i="20"/>
  <c r="D944" i="20"/>
  <c r="D976" i="20"/>
  <c r="D1008" i="20"/>
  <c r="D1040" i="20"/>
  <c r="D1072" i="20"/>
  <c r="D1104" i="20"/>
  <c r="D1144" i="20"/>
  <c r="C1160" i="20"/>
  <c r="C880" i="20"/>
  <c r="C944" i="20"/>
  <c r="D880" i="20"/>
  <c r="D912" i="20"/>
  <c r="E1288" i="20"/>
  <c r="I1384" i="20"/>
  <c r="E1304" i="20"/>
  <c r="I1304" i="20" s="1"/>
  <c r="D1328" i="20"/>
  <c r="D1384" i="20"/>
  <c r="D1120" i="20"/>
  <c r="D1152" i="20"/>
  <c r="D1168" i="20"/>
  <c r="C1208" i="20"/>
  <c r="D1408" i="20"/>
  <c r="F160" i="4"/>
  <c r="C1144" i="20"/>
  <c r="F156" i="4"/>
  <c r="C1136" i="20"/>
  <c r="D1184" i="20"/>
  <c r="D1360" i="20"/>
  <c r="D1392" i="20"/>
  <c r="D885" i="20"/>
  <c r="D893" i="20"/>
  <c r="D901" i="20"/>
  <c r="D909" i="20"/>
  <c r="D917" i="20"/>
  <c r="D925" i="20"/>
  <c r="D933" i="20"/>
  <c r="D941" i="20"/>
  <c r="D949" i="20"/>
  <c r="D957" i="20"/>
  <c r="D965" i="20"/>
  <c r="D973" i="20"/>
  <c r="D981" i="20"/>
  <c r="D989" i="20"/>
  <c r="D997" i="20"/>
  <c r="D1005" i="20"/>
  <c r="D1013" i="20"/>
  <c r="D1021" i="20"/>
  <c r="D1029" i="20"/>
  <c r="D1037" i="20"/>
  <c r="D1045" i="20"/>
  <c r="D1053" i="20"/>
  <c r="D1061" i="20"/>
  <c r="D1069" i="20"/>
  <c r="D1077" i="20"/>
  <c r="D1085" i="20"/>
  <c r="D1093" i="20"/>
  <c r="D1101" i="20"/>
  <c r="D1109" i="20"/>
  <c r="D1117" i="20"/>
  <c r="D1125" i="20"/>
  <c r="D1133" i="20"/>
  <c r="D1141" i="20"/>
  <c r="D1149" i="20"/>
  <c r="D1157" i="20"/>
  <c r="I1354" i="20"/>
  <c r="D1386" i="20"/>
  <c r="D1394" i="20"/>
  <c r="D1402" i="20"/>
  <c r="D1410" i="20"/>
  <c r="D1418" i="20"/>
  <c r="D1423" i="20"/>
  <c r="F155" i="4"/>
  <c r="C1173" i="20"/>
  <c r="C1189" i="20"/>
  <c r="F154" i="4"/>
  <c r="D1173" i="20"/>
  <c r="F153" i="4"/>
  <c r="D1362" i="20"/>
  <c r="F159" i="4"/>
  <c r="C1165" i="20"/>
  <c r="C1181" i="20"/>
  <c r="F136" i="4"/>
  <c r="C1162" i="20"/>
  <c r="C1164" i="20"/>
  <c r="C1166" i="20"/>
  <c r="C1168" i="20"/>
  <c r="C1170" i="20"/>
  <c r="C1172" i="20"/>
  <c r="C1174" i="20"/>
  <c r="C1176" i="20"/>
  <c r="C1178" i="20"/>
  <c r="C1180" i="20"/>
  <c r="C1182" i="20"/>
  <c r="C1184" i="20"/>
  <c r="C1186" i="20"/>
  <c r="C1188" i="20"/>
  <c r="D1190" i="20"/>
  <c r="C1192" i="20"/>
  <c r="D1194" i="20"/>
  <c r="C1196" i="20"/>
  <c r="D1198" i="20"/>
  <c r="D1200" i="20"/>
  <c r="C1202" i="20"/>
  <c r="C1204" i="20"/>
  <c r="D1206" i="20"/>
  <c r="D1208" i="20"/>
  <c r="I1214" i="20"/>
  <c r="I1218" i="20"/>
  <c r="I1222" i="20"/>
  <c r="I1226" i="20"/>
  <c r="I1234" i="20"/>
  <c r="I1238" i="20"/>
  <c r="I1242" i="20"/>
  <c r="I1246" i="20"/>
  <c r="I1255" i="20"/>
  <c r="I1263" i="20"/>
  <c r="I1290" i="20"/>
  <c r="E1306" i="20"/>
  <c r="D1306" i="20"/>
  <c r="E1314" i="20"/>
  <c r="D1314" i="20"/>
  <c r="D1322" i="20"/>
  <c r="E1330" i="20"/>
  <c r="D1330" i="20"/>
  <c r="D1338" i="20"/>
  <c r="E1344" i="20"/>
  <c r="D1344" i="20"/>
  <c r="D1352" i="20"/>
  <c r="D1358" i="20"/>
  <c r="D1369" i="20"/>
  <c r="E1377" i="20"/>
  <c r="D1377" i="20"/>
  <c r="D1381" i="20"/>
  <c r="D1383" i="20"/>
  <c r="E1383" i="20"/>
  <c r="D1385" i="20"/>
  <c r="D1387" i="20"/>
  <c r="D1389" i="20"/>
  <c r="D1391" i="20"/>
  <c r="D1393" i="20"/>
  <c r="D1395" i="20"/>
  <c r="D1397" i="20"/>
  <c r="D1399" i="20"/>
  <c r="D1401" i="20"/>
  <c r="D1403" i="20"/>
  <c r="D1405" i="20"/>
  <c r="D1407" i="20"/>
  <c r="D1409" i="20"/>
  <c r="D1411" i="20"/>
  <c r="D1413" i="20"/>
  <c r="D1415" i="20"/>
  <c r="D1417" i="20"/>
  <c r="D1210" i="20"/>
  <c r="D1214" i="20"/>
  <c r="D1218" i="20"/>
  <c r="D1222" i="20"/>
  <c r="D1226" i="20"/>
  <c r="D1230" i="20"/>
  <c r="D1234" i="20"/>
  <c r="D1238" i="20"/>
  <c r="D1242" i="20"/>
  <c r="D1246" i="20"/>
  <c r="D1252" i="20"/>
  <c r="D1255" i="20"/>
  <c r="I1257" i="20"/>
  <c r="D1263" i="20"/>
  <c r="D1267" i="20"/>
  <c r="I1280" i="20"/>
  <c r="D1282" i="20"/>
  <c r="D1290" i="20"/>
  <c r="D1296" i="20"/>
  <c r="I1296" i="20"/>
  <c r="D1300" i="20"/>
  <c r="I1300" i="20"/>
  <c r="E1302" i="20"/>
  <c r="D1302" i="20"/>
  <c r="E1310" i="20"/>
  <c r="D1310" i="20"/>
  <c r="D1318" i="20"/>
  <c r="E1326" i="20"/>
  <c r="D1326" i="20"/>
  <c r="E1334" i="20"/>
  <c r="D1334" i="20"/>
  <c r="D1348" i="20"/>
  <c r="D1356" i="20"/>
  <c r="E1365" i="20"/>
  <c r="D1365" i="20"/>
  <c r="E1373" i="20"/>
  <c r="D1373" i="20"/>
  <c r="C1381" i="20"/>
  <c r="C1383" i="20"/>
  <c r="C1385" i="20"/>
  <c r="C1387" i="20"/>
  <c r="C1389" i="20"/>
  <c r="C1391" i="20"/>
  <c r="C1393" i="20"/>
  <c r="C1395" i="20"/>
  <c r="C1397" i="20"/>
  <c r="C1399" i="20"/>
  <c r="C1401" i="20"/>
  <c r="C1403" i="20"/>
  <c r="C1405" i="20"/>
  <c r="C1407" i="20"/>
  <c r="C1409" i="20"/>
  <c r="C1411" i="20"/>
  <c r="C1413" i="20"/>
  <c r="C1415" i="20"/>
  <c r="C1417" i="20"/>
  <c r="C1419" i="20"/>
  <c r="C1421" i="20"/>
  <c r="D1424" i="20"/>
  <c r="D1426" i="20"/>
  <c r="D1428" i="20"/>
  <c r="C1380" i="20"/>
  <c r="C1382" i="20"/>
  <c r="C1384" i="20"/>
  <c r="C1386" i="20"/>
  <c r="C1388" i="20"/>
  <c r="C1390" i="20"/>
  <c r="C1392" i="20"/>
  <c r="C1394" i="20"/>
  <c r="C1396" i="20"/>
  <c r="C1398" i="20"/>
  <c r="C1400" i="20"/>
  <c r="C1402" i="20"/>
  <c r="C1404" i="20"/>
  <c r="C1406" i="20"/>
  <c r="C1408" i="20"/>
  <c r="C1410" i="20"/>
  <c r="C1412" i="20"/>
  <c r="C1414" i="20"/>
  <c r="C1416" i="20"/>
  <c r="C1418" i="20"/>
  <c r="D1419" i="20"/>
  <c r="C1420" i="20"/>
  <c r="D1421" i="20"/>
  <c r="C1422" i="20"/>
  <c r="C1424" i="20"/>
  <c r="C1426" i="20"/>
  <c r="C1428" i="20"/>
  <c r="C1423" i="20"/>
  <c r="C1425" i="20"/>
  <c r="C1427" i="20"/>
  <c r="C1429" i="20"/>
  <c r="E1216" i="20"/>
  <c r="D1216" i="20"/>
  <c r="E1224" i="20"/>
  <c r="D1224" i="20"/>
  <c r="D1232" i="20"/>
  <c r="E1240" i="20"/>
  <c r="D1240" i="20"/>
  <c r="E1248" i="20"/>
  <c r="D1248" i="20"/>
  <c r="E1261" i="20"/>
  <c r="D1261" i="20"/>
  <c r="E1269" i="20"/>
  <c r="D1269" i="20"/>
  <c r="E1275" i="20"/>
  <c r="D1275" i="20"/>
  <c r="E1284" i="20"/>
  <c r="D1284" i="20"/>
  <c r="I1328" i="20"/>
  <c r="C1199" i="20"/>
  <c r="C1203" i="20"/>
  <c r="C1207" i="20"/>
  <c r="E1212" i="20"/>
  <c r="D1212" i="20"/>
  <c r="E1220" i="20"/>
  <c r="D1220" i="20"/>
  <c r="D1228" i="20"/>
  <c r="E1236" i="20"/>
  <c r="D1236" i="20"/>
  <c r="D1244" i="20"/>
  <c r="E1253" i="20"/>
  <c r="D1253" i="20"/>
  <c r="E1259" i="20"/>
  <c r="D1259" i="20"/>
  <c r="D1265" i="20"/>
  <c r="E1273" i="20"/>
  <c r="D1273" i="20"/>
  <c r="E1277" i="20"/>
  <c r="D1277" i="20"/>
  <c r="E1286" i="20"/>
  <c r="D1286" i="20"/>
  <c r="C1295" i="20"/>
  <c r="C1297" i="20"/>
  <c r="E1297" i="20"/>
  <c r="C1299" i="20"/>
  <c r="E1299" i="20"/>
  <c r="C1301" i="20"/>
  <c r="E1301" i="20"/>
  <c r="C1303" i="20"/>
  <c r="E1303" i="20"/>
  <c r="C1305" i="20"/>
  <c r="E1305" i="20"/>
  <c r="C1307" i="20"/>
  <c r="E1307" i="20"/>
  <c r="C1309" i="20"/>
  <c r="E1309" i="20"/>
  <c r="C1311" i="20"/>
  <c r="E1311" i="20"/>
  <c r="C1313" i="20"/>
  <c r="E1313" i="20"/>
  <c r="C1315" i="20"/>
  <c r="E1315" i="20"/>
  <c r="C1317" i="20"/>
  <c r="C1319" i="20"/>
  <c r="C1321" i="20"/>
  <c r="C1323" i="20"/>
  <c r="E1323" i="20"/>
  <c r="C1325" i="20"/>
  <c r="C1327" i="20"/>
  <c r="E1327" i="20"/>
  <c r="C1329" i="20"/>
  <c r="E1329" i="20"/>
  <c r="C1331" i="20"/>
  <c r="E1331" i="20"/>
  <c r="C1333" i="20"/>
  <c r="E1333" i="20"/>
  <c r="C1335" i="20"/>
  <c r="E1335" i="20"/>
  <c r="D1339" i="20"/>
  <c r="C1339" i="20"/>
  <c r="D1343" i="20"/>
  <c r="C1343" i="20"/>
  <c r="D1347" i="20"/>
  <c r="C1347" i="20"/>
  <c r="D1351" i="20"/>
  <c r="C1351" i="20"/>
  <c r="D1355" i="20"/>
  <c r="C1355" i="20"/>
  <c r="D1359" i="20"/>
  <c r="C1359" i="20"/>
  <c r="D1292" i="20"/>
  <c r="I1292" i="20"/>
  <c r="D1294" i="20"/>
  <c r="D1295" i="20"/>
  <c r="C1296" i="20"/>
  <c r="D1297" i="20"/>
  <c r="C1298" i="20"/>
  <c r="D1299" i="20"/>
  <c r="C1300" i="20"/>
  <c r="D1301" i="20"/>
  <c r="C1302" i="20"/>
  <c r="D1303" i="20"/>
  <c r="C1304" i="20"/>
  <c r="D1305" i="20"/>
  <c r="C1306" i="20"/>
  <c r="D1307" i="20"/>
  <c r="C1308" i="20"/>
  <c r="D1309" i="20"/>
  <c r="C1310" i="20"/>
  <c r="D1311" i="20"/>
  <c r="C1312" i="20"/>
  <c r="D1313" i="20"/>
  <c r="C1314" i="20"/>
  <c r="D1315" i="20"/>
  <c r="C1316" i="20"/>
  <c r="D1317" i="20"/>
  <c r="C1318" i="20"/>
  <c r="D1319" i="20"/>
  <c r="C1320" i="20"/>
  <c r="D1321" i="20"/>
  <c r="C1322" i="20"/>
  <c r="D1323" i="20"/>
  <c r="C1324" i="20"/>
  <c r="D1325" i="20"/>
  <c r="C1326" i="20"/>
  <c r="D1327" i="20"/>
  <c r="C1328" i="20"/>
  <c r="D1329" i="20"/>
  <c r="C1330" i="20"/>
  <c r="D1331" i="20"/>
  <c r="C1332" i="20"/>
  <c r="D1333" i="20"/>
  <c r="C1334" i="20"/>
  <c r="D1335" i="20"/>
  <c r="D1336" i="20"/>
  <c r="I1341" i="20"/>
  <c r="D1341" i="20"/>
  <c r="C1341" i="20"/>
  <c r="E1343" i="20"/>
  <c r="D1345" i="20"/>
  <c r="C1345" i="20"/>
  <c r="D1349" i="20"/>
  <c r="C1349" i="20"/>
  <c r="E1351" i="20"/>
  <c r="D1353" i="20"/>
  <c r="C1353" i="20"/>
  <c r="D1357" i="20"/>
  <c r="C1357" i="20"/>
  <c r="D1361" i="20"/>
  <c r="C1361" i="20"/>
  <c r="C1337" i="20"/>
  <c r="I1364" i="20"/>
  <c r="D1364" i="20"/>
  <c r="C1364" i="20"/>
  <c r="D1368" i="20"/>
  <c r="C1368" i="20"/>
  <c r="D1372" i="20"/>
  <c r="C1372" i="20"/>
  <c r="D1376" i="20"/>
  <c r="C1376" i="20"/>
  <c r="E1363" i="20"/>
  <c r="C1363" i="20"/>
  <c r="D1366" i="20"/>
  <c r="C1366" i="20"/>
  <c r="D1370" i="20"/>
  <c r="C1370" i="20"/>
  <c r="E1372" i="20"/>
  <c r="D1374" i="20"/>
  <c r="C1374" i="20"/>
  <c r="D1378" i="20"/>
  <c r="C1338" i="20"/>
  <c r="C1340" i="20"/>
  <c r="C1342" i="20"/>
  <c r="C1344" i="20"/>
  <c r="C1346" i="20"/>
  <c r="C1348" i="20"/>
  <c r="C1350" i="20"/>
  <c r="C1352" i="20"/>
  <c r="C1354" i="20"/>
  <c r="C1356" i="20"/>
  <c r="C1358" i="20"/>
  <c r="C1360" i="20"/>
  <c r="C1362" i="20"/>
  <c r="C1378" i="20"/>
  <c r="C1365" i="20"/>
  <c r="C1367" i="20"/>
  <c r="C1369" i="20"/>
  <c r="C1371" i="20"/>
  <c r="C1373" i="20"/>
  <c r="C1375" i="20"/>
  <c r="C1377" i="20"/>
  <c r="C1379" i="20"/>
  <c r="I1230" i="20"/>
  <c r="C1211" i="20"/>
  <c r="E1211" i="20"/>
  <c r="C1213" i="20"/>
  <c r="E1213" i="20"/>
  <c r="C1215" i="20"/>
  <c r="E1215" i="20"/>
  <c r="C1217" i="20"/>
  <c r="E1217" i="20"/>
  <c r="C1219" i="20"/>
  <c r="E1219" i="20"/>
  <c r="C1221" i="20"/>
  <c r="E1221" i="20"/>
  <c r="C1223" i="20"/>
  <c r="E1223" i="20"/>
  <c r="C1225" i="20"/>
  <c r="E1225" i="20"/>
  <c r="C1227" i="20"/>
  <c r="C1229" i="20"/>
  <c r="C1231" i="20"/>
  <c r="C1233" i="20"/>
  <c r="E1233" i="20"/>
  <c r="C1235" i="20"/>
  <c r="E1235" i="20"/>
  <c r="C1237" i="20"/>
  <c r="E1237" i="20"/>
  <c r="C1239" i="20"/>
  <c r="E1239" i="20"/>
  <c r="C1241" i="20"/>
  <c r="C1243" i="20"/>
  <c r="E1243" i="20"/>
  <c r="C1245" i="20"/>
  <c r="C1247" i="20"/>
  <c r="E1247" i="20"/>
  <c r="C1249" i="20"/>
  <c r="E1249" i="20"/>
  <c r="D1254" i="20"/>
  <c r="C1254" i="20"/>
  <c r="D1258" i="20"/>
  <c r="C1258" i="20"/>
  <c r="D1262" i="20"/>
  <c r="C1262" i="20"/>
  <c r="D1266" i="20"/>
  <c r="C1266" i="20"/>
  <c r="C1210" i="20"/>
  <c r="D1211" i="20"/>
  <c r="C1212" i="20"/>
  <c r="D1213" i="20"/>
  <c r="C1214" i="20"/>
  <c r="D1215" i="20"/>
  <c r="C1216" i="20"/>
  <c r="D1217" i="20"/>
  <c r="C1218" i="20"/>
  <c r="D1219" i="20"/>
  <c r="C1220" i="20"/>
  <c r="D1221" i="20"/>
  <c r="C1222" i="20"/>
  <c r="D1223" i="20"/>
  <c r="C1224" i="20"/>
  <c r="D1225" i="20"/>
  <c r="C1226" i="20"/>
  <c r="D1227" i="20"/>
  <c r="C1228" i="20"/>
  <c r="D1229" i="20"/>
  <c r="C1230" i="20"/>
  <c r="D1231" i="20"/>
  <c r="C1232" i="20"/>
  <c r="D1233" i="20"/>
  <c r="C1234" i="20"/>
  <c r="D1235" i="20"/>
  <c r="C1236" i="20"/>
  <c r="D1237" i="20"/>
  <c r="C1238" i="20"/>
  <c r="D1239" i="20"/>
  <c r="C1240" i="20"/>
  <c r="D1241" i="20"/>
  <c r="C1242" i="20"/>
  <c r="D1243" i="20"/>
  <c r="C1244" i="20"/>
  <c r="D1245" i="20"/>
  <c r="C1246" i="20"/>
  <c r="D1247" i="20"/>
  <c r="C1248" i="20"/>
  <c r="D1249" i="20"/>
  <c r="E1250" i="20"/>
  <c r="C1250" i="20"/>
  <c r="D1250" i="20"/>
  <c r="D1251" i="20"/>
  <c r="E1251" i="20"/>
  <c r="I1256" i="20"/>
  <c r="D1256" i="20"/>
  <c r="C1256" i="20"/>
  <c r="I1260" i="20"/>
  <c r="D1260" i="20"/>
  <c r="C1260" i="20"/>
  <c r="E1262" i="20"/>
  <c r="D1264" i="20"/>
  <c r="C1264" i="20"/>
  <c r="I1268" i="20"/>
  <c r="D1268" i="20"/>
  <c r="C1268" i="20"/>
  <c r="C1252" i="20"/>
  <c r="E1252" i="20"/>
  <c r="D1279" i="20"/>
  <c r="C1279" i="20"/>
  <c r="I1282" i="20"/>
  <c r="D1283" i="20"/>
  <c r="C1283" i="20"/>
  <c r="D1287" i="20"/>
  <c r="C1287" i="20"/>
  <c r="D1291" i="20"/>
  <c r="C1291" i="20"/>
  <c r="D1270" i="20"/>
  <c r="E1270" i="20"/>
  <c r="I1271" i="20"/>
  <c r="D1272" i="20"/>
  <c r="E1272" i="20"/>
  <c r="D1274" i="20"/>
  <c r="E1274" i="20"/>
  <c r="D1276" i="20"/>
  <c r="E1276" i="20"/>
  <c r="E1278" i="20"/>
  <c r="C1278" i="20"/>
  <c r="E1279" i="20"/>
  <c r="I1281" i="20"/>
  <c r="D1281" i="20"/>
  <c r="C1281" i="20"/>
  <c r="E1283" i="20"/>
  <c r="I1285" i="20"/>
  <c r="D1285" i="20"/>
  <c r="C1285" i="20"/>
  <c r="E1287" i="20"/>
  <c r="I1289" i="20"/>
  <c r="D1289" i="20"/>
  <c r="C1289" i="20"/>
  <c r="E1291" i="20"/>
  <c r="D1293" i="20"/>
  <c r="C1293" i="20"/>
  <c r="C1253" i="20"/>
  <c r="C1255" i="20"/>
  <c r="C1257" i="20"/>
  <c r="C1259" i="20"/>
  <c r="C1261" i="20"/>
  <c r="C1263" i="20"/>
  <c r="C1265" i="20"/>
  <c r="C1267" i="20"/>
  <c r="C1269" i="20"/>
  <c r="C1271" i="20"/>
  <c r="C1273" i="20"/>
  <c r="C1275" i="20"/>
  <c r="C1277" i="20"/>
  <c r="C1280" i="20"/>
  <c r="C1282" i="20"/>
  <c r="C1284" i="20"/>
  <c r="C1286" i="20"/>
  <c r="C1288" i="20"/>
  <c r="C1290" i="20"/>
  <c r="C1292" i="20"/>
  <c r="C1294" i="20"/>
  <c r="D1189" i="20"/>
  <c r="D1191" i="20"/>
  <c r="D1193" i="20"/>
  <c r="D1195" i="20"/>
  <c r="D1197" i="20"/>
  <c r="D1199" i="20"/>
  <c r="D1201" i="20"/>
  <c r="D1203" i="20"/>
  <c r="D1205" i="20"/>
  <c r="D1207" i="20"/>
  <c r="D1209" i="20"/>
  <c r="E1231" i="20"/>
  <c r="E1336" i="20"/>
  <c r="E1258" i="20"/>
  <c r="E1312" i="20"/>
  <c r="E1348" i="20"/>
  <c r="E1241" i="20"/>
  <c r="E1229" i="20"/>
  <c r="E1369" i="20"/>
  <c r="E1375" i="20"/>
  <c r="E1376" i="20"/>
  <c r="E1374" i="20"/>
  <c r="E1347" i="20"/>
  <c r="E1346" i="20"/>
  <c r="E1353" i="20"/>
  <c r="E1355" i="20"/>
  <c r="E1352" i="20"/>
  <c r="E1350" i="20"/>
  <c r="E1349" i="20"/>
  <c r="E1345" i="20"/>
  <c r="I1342" i="20" l="1"/>
  <c r="I1371" i="20"/>
  <c r="I1332" i="20"/>
  <c r="I1288" i="20"/>
  <c r="I1326" i="20"/>
  <c r="I1302" i="20"/>
  <c r="I1269" i="20"/>
  <c r="I1365" i="20"/>
  <c r="I1377" i="20"/>
  <c r="I1240" i="20"/>
  <c r="I1216" i="20"/>
  <c r="I1284" i="20"/>
  <c r="I1277" i="20"/>
  <c r="I1259" i="20"/>
  <c r="I1236" i="20"/>
  <c r="I1275" i="20"/>
  <c r="I1373" i="20"/>
  <c r="I1273" i="20"/>
  <c r="I1248" i="20"/>
  <c r="I1224" i="20"/>
  <c r="I1330" i="20"/>
  <c r="I1306" i="20"/>
  <c r="I1334" i="20"/>
  <c r="I1310" i="20"/>
  <c r="I1344" i="20"/>
  <c r="I1261" i="20"/>
  <c r="I1314" i="20"/>
  <c r="I1212" i="20"/>
  <c r="I1220" i="20"/>
  <c r="I1286" i="20"/>
  <c r="I1253" i="20"/>
  <c r="I1383" i="20"/>
  <c r="I1350" i="20"/>
  <c r="I1355" i="20"/>
  <c r="I1346" i="20"/>
  <c r="I1376" i="20"/>
  <c r="I1348" i="20"/>
  <c r="I1352" i="20"/>
  <c r="I1347" i="20"/>
  <c r="I1374" i="20"/>
  <c r="I1375" i="20"/>
  <c r="I1369" i="20"/>
  <c r="I1312" i="20"/>
  <c r="I1336" i="20"/>
  <c r="I1349" i="20"/>
  <c r="I1345" i="20"/>
  <c r="I1353" i="20"/>
  <c r="I1343" i="20"/>
  <c r="I1335" i="20"/>
  <c r="I1333" i="20"/>
  <c r="I1331" i="20"/>
  <c r="I1329" i="20"/>
  <c r="I1327" i="20"/>
  <c r="I1323" i="20"/>
  <c r="I1315" i="20"/>
  <c r="I1313" i="20"/>
  <c r="I1311" i="20"/>
  <c r="I1309" i="20"/>
  <c r="I1307" i="20"/>
  <c r="I1305" i="20"/>
  <c r="I1303" i="20"/>
  <c r="I1301" i="20"/>
  <c r="I1299" i="20"/>
  <c r="I1297" i="20"/>
  <c r="I1372" i="20"/>
  <c r="I1363" i="20"/>
  <c r="I1351" i="20"/>
  <c r="I1229" i="20"/>
  <c r="I1258" i="20"/>
  <c r="I1241" i="20"/>
  <c r="I1231" i="20"/>
  <c r="I1287" i="20"/>
  <c r="I1279" i="20"/>
  <c r="I1278" i="20"/>
  <c r="I1251" i="20"/>
  <c r="I1249" i="20"/>
  <c r="I1247" i="20"/>
  <c r="I1243" i="20"/>
  <c r="I1239" i="20"/>
  <c r="I1237" i="20"/>
  <c r="I1235" i="20"/>
  <c r="I1233" i="20"/>
  <c r="I1225" i="20"/>
  <c r="I1223" i="20"/>
  <c r="I1221" i="20"/>
  <c r="I1219" i="20"/>
  <c r="I1217" i="20"/>
  <c r="I1215" i="20"/>
  <c r="I1213" i="20"/>
  <c r="I1211" i="20"/>
  <c r="I1291" i="20"/>
  <c r="I1283" i="20"/>
  <c r="I1276" i="20"/>
  <c r="I1274" i="20"/>
  <c r="I1272" i="20"/>
  <c r="I1270" i="20"/>
  <c r="I1252" i="20"/>
  <c r="I1262" i="20"/>
  <c r="I1250" i="20"/>
  <c r="E1379" i="20"/>
  <c r="E1370" i="20"/>
  <c r="E1397" i="20"/>
  <c r="E1395" i="20"/>
  <c r="E1227" i="20"/>
  <c r="E1338" i="20"/>
  <c r="E1232" i="20"/>
  <c r="E1340" i="20"/>
  <c r="E1337" i="20"/>
  <c r="E1322" i="20"/>
  <c r="E1317" i="20"/>
  <c r="E1210" i="20"/>
  <c r="C277" i="4"/>
  <c r="I277" i="4" s="1"/>
  <c r="C276" i="4"/>
  <c r="I276" i="4" s="1"/>
  <c r="E1392" i="20" l="1"/>
  <c r="I1392" i="20" s="1"/>
  <c r="E1420" i="20"/>
  <c r="E1419" i="20"/>
  <c r="E1421" i="20"/>
  <c r="E1422" i="20"/>
  <c r="E1418" i="20"/>
  <c r="E1402" i="20"/>
  <c r="E1394" i="20"/>
  <c r="E1361" i="20"/>
  <c r="E1357" i="20"/>
  <c r="E1293" i="20"/>
  <c r="E1423" i="20"/>
  <c r="E1416" i="20"/>
  <c r="E1414" i="20"/>
  <c r="E1412" i="20"/>
  <c r="E1410" i="20"/>
  <c r="E1408" i="20"/>
  <c r="E1406" i="20"/>
  <c r="E1398" i="20"/>
  <c r="E1390" i="20"/>
  <c r="E1388" i="20"/>
  <c r="E1386" i="20"/>
  <c r="E1367" i="20"/>
  <c r="E1362" i="20"/>
  <c r="E1360" i="20"/>
  <c r="E1298" i="20"/>
  <c r="E1294" i="20"/>
  <c r="E1358" i="20"/>
  <c r="E1385" i="20"/>
  <c r="E1387" i="20"/>
  <c r="E1389" i="20"/>
  <c r="E1391" i="20"/>
  <c r="E1393" i="20"/>
  <c r="E1409" i="20"/>
  <c r="E1411" i="20"/>
  <c r="E1413" i="20"/>
  <c r="E1415" i="20"/>
  <c r="E1417" i="20"/>
  <c r="E1359" i="20"/>
  <c r="E1378" i="20"/>
  <c r="E1401" i="20"/>
  <c r="E1356" i="20"/>
  <c r="E1295" i="20"/>
  <c r="E1403" i="20"/>
  <c r="E1405" i="20"/>
  <c r="E1404" i="20"/>
  <c r="E1366" i="20"/>
  <c r="I1366" i="20" s="1"/>
  <c r="E1368" i="20"/>
  <c r="I1368" i="20" s="1"/>
  <c r="E1399" i="20"/>
  <c r="E1396" i="20"/>
  <c r="E1407" i="20"/>
  <c r="E1316" i="20"/>
  <c r="I1316" i="20" s="1"/>
  <c r="E1424" i="20"/>
  <c r="E1429" i="20"/>
  <c r="E1427" i="20"/>
  <c r="E1425" i="20"/>
  <c r="E1426" i="20"/>
  <c r="E1428" i="20"/>
  <c r="E1325" i="20"/>
  <c r="I1325" i="20" s="1"/>
  <c r="E1264" i="20"/>
  <c r="E886" i="20"/>
  <c r="I886" i="20" s="1"/>
  <c r="E1380" i="20"/>
  <c r="E887" i="20"/>
  <c r="I887" i="20" s="1"/>
  <c r="E1381" i="20"/>
  <c r="I1395" i="20"/>
  <c r="I1397" i="20"/>
  <c r="E1318" i="20"/>
  <c r="I1318" i="20" s="1"/>
  <c r="E1244" i="20"/>
  <c r="I1244" i="20" s="1"/>
  <c r="I1340" i="20"/>
  <c r="I1322" i="20"/>
  <c r="E1320" i="20"/>
  <c r="I1338" i="20"/>
  <c r="E1339" i="20"/>
  <c r="I1370" i="20"/>
  <c r="I1317" i="20"/>
  <c r="E1319" i="20"/>
  <c r="I1337" i="20"/>
  <c r="E1324" i="20"/>
  <c r="E1321" i="20"/>
  <c r="I1379" i="20"/>
  <c r="E1265" i="20"/>
  <c r="E1254" i="20"/>
  <c r="E1245" i="20"/>
  <c r="E1267" i="20"/>
  <c r="I1210" i="20"/>
  <c r="I1232" i="20"/>
  <c r="I1227" i="20"/>
  <c r="E1266" i="20"/>
  <c r="E1228" i="20"/>
  <c r="E1209" i="20"/>
  <c r="E1208" i="20"/>
  <c r="E1207" i="20"/>
  <c r="E1206" i="20"/>
  <c r="E1205" i="20"/>
  <c r="E1204" i="20"/>
  <c r="E1203" i="20"/>
  <c r="E1202" i="20"/>
  <c r="E1201" i="20"/>
  <c r="E1200" i="20"/>
  <c r="E1199" i="20"/>
  <c r="E1198" i="20"/>
  <c r="E1197" i="20"/>
  <c r="E1196" i="20"/>
  <c r="E1195" i="20"/>
  <c r="E1194" i="20"/>
  <c r="E1193" i="20"/>
  <c r="E1192" i="20"/>
  <c r="E1191" i="20"/>
  <c r="E1190" i="20"/>
  <c r="E1189" i="20"/>
  <c r="E1188" i="20"/>
  <c r="E1187" i="20"/>
  <c r="E1186" i="20"/>
  <c r="E1185" i="20"/>
  <c r="E1184" i="20"/>
  <c r="E1183" i="20"/>
  <c r="E1182" i="20"/>
  <c r="E1181" i="20"/>
  <c r="E1180" i="20"/>
  <c r="E1179" i="20"/>
  <c r="E1178" i="20"/>
  <c r="E1177" i="20"/>
  <c r="E1176" i="20"/>
  <c r="E1175" i="20"/>
  <c r="E1174" i="20"/>
  <c r="E1173" i="20"/>
  <c r="E1172" i="20"/>
  <c r="E1171" i="20"/>
  <c r="E1170" i="20"/>
  <c r="E1169" i="20"/>
  <c r="E1168" i="20"/>
  <c r="E1167" i="20"/>
  <c r="E1166" i="20"/>
  <c r="E1165" i="20"/>
  <c r="E1164" i="20"/>
  <c r="E1163" i="20"/>
  <c r="E1162" i="20"/>
  <c r="E1161" i="20"/>
  <c r="E1160" i="20"/>
  <c r="E1159" i="20"/>
  <c r="E1158" i="20"/>
  <c r="E1157" i="20"/>
  <c r="E1156" i="20"/>
  <c r="E1155" i="20"/>
  <c r="E1154" i="20"/>
  <c r="E1153" i="20"/>
  <c r="E1152" i="20"/>
  <c r="E1151" i="20"/>
  <c r="E1150" i="20"/>
  <c r="E1149" i="20"/>
  <c r="E1148" i="20"/>
  <c r="E1147" i="20"/>
  <c r="E1146" i="20"/>
  <c r="E1145" i="20"/>
  <c r="E1144" i="20"/>
  <c r="E1143" i="20"/>
  <c r="E1142" i="20"/>
  <c r="E1141" i="20"/>
  <c r="E1140" i="20"/>
  <c r="E1139" i="20"/>
  <c r="E1138" i="20"/>
  <c r="E1137" i="20"/>
  <c r="E1136" i="20"/>
  <c r="E1135" i="20"/>
  <c r="E1134" i="20"/>
  <c r="E1133" i="20"/>
  <c r="E1132" i="20"/>
  <c r="E1131" i="20"/>
  <c r="E1130" i="20"/>
  <c r="E1129" i="20"/>
  <c r="E1128" i="20"/>
  <c r="E1127" i="20"/>
  <c r="E1126" i="20"/>
  <c r="E1125" i="20"/>
  <c r="E1124" i="20"/>
  <c r="E1123" i="20"/>
  <c r="E1122" i="20"/>
  <c r="E1121" i="20"/>
  <c r="E1120" i="20"/>
  <c r="E1119" i="20"/>
  <c r="E1118" i="20"/>
  <c r="E1117" i="20"/>
  <c r="E1116" i="20"/>
  <c r="E1115" i="20"/>
  <c r="E1114" i="20"/>
  <c r="E1113" i="20"/>
  <c r="E1112" i="20"/>
  <c r="E1111" i="20"/>
  <c r="E1110" i="20"/>
  <c r="E1109" i="20"/>
  <c r="E1108" i="20"/>
  <c r="E1107" i="20"/>
  <c r="E1106" i="20"/>
  <c r="E1105" i="20"/>
  <c r="E1104" i="20"/>
  <c r="E1103" i="20"/>
  <c r="E1102" i="20"/>
  <c r="E1101" i="20"/>
  <c r="E1100" i="20"/>
  <c r="E1099" i="20"/>
  <c r="E1098" i="20"/>
  <c r="E1097" i="20"/>
  <c r="E1096" i="20"/>
  <c r="E1095" i="20"/>
  <c r="E1094" i="20"/>
  <c r="E1093" i="20"/>
  <c r="E1092" i="20"/>
  <c r="E1091" i="20"/>
  <c r="E1090" i="20"/>
  <c r="E1089" i="20"/>
  <c r="E1088" i="20"/>
  <c r="E1087" i="20"/>
  <c r="E1086" i="20"/>
  <c r="E1085" i="20"/>
  <c r="E1084" i="20"/>
  <c r="E1083" i="20"/>
  <c r="E1082" i="20"/>
  <c r="E1081" i="20"/>
  <c r="E1080" i="20"/>
  <c r="E1079" i="20"/>
  <c r="E1078" i="20"/>
  <c r="E1077" i="20"/>
  <c r="E1076" i="20"/>
  <c r="E1075" i="20"/>
  <c r="E1070" i="20"/>
  <c r="E1069" i="20"/>
  <c r="E1068" i="20"/>
  <c r="E1067" i="20"/>
  <c r="E1066" i="20"/>
  <c r="E1065" i="20"/>
  <c r="E1064" i="20"/>
  <c r="E1063" i="20"/>
  <c r="E1062" i="20"/>
  <c r="E1061" i="20"/>
  <c r="E1060" i="20"/>
  <c r="E1059" i="20"/>
  <c r="E1058" i="20"/>
  <c r="E1057" i="20"/>
  <c r="E1056" i="20"/>
  <c r="E1055" i="20"/>
  <c r="E1054" i="20"/>
  <c r="E1053" i="20"/>
  <c r="E1052" i="20"/>
  <c r="E1051" i="20"/>
  <c r="E1050" i="20"/>
  <c r="E1049" i="20"/>
  <c r="E1048" i="20"/>
  <c r="E1047" i="20"/>
  <c r="E1046" i="20"/>
  <c r="E1045" i="20"/>
  <c r="E1044" i="20"/>
  <c r="E1074" i="20"/>
  <c r="E1073" i="20"/>
  <c r="E1072" i="20"/>
  <c r="E1071" i="20"/>
  <c r="E1043" i="20"/>
  <c r="E1042" i="20"/>
  <c r="E1041" i="20"/>
  <c r="E1040" i="20"/>
  <c r="E1039" i="20"/>
  <c r="E1038" i="20"/>
  <c r="E1037" i="20"/>
  <c r="E1036" i="20"/>
  <c r="E1035" i="20"/>
  <c r="E1034" i="20"/>
  <c r="E1033" i="20"/>
  <c r="E1032" i="20"/>
  <c r="E1031" i="20"/>
  <c r="E1030" i="20"/>
  <c r="E1029" i="20"/>
  <c r="E1028" i="20"/>
  <c r="E1027" i="20"/>
  <c r="E1026" i="20"/>
  <c r="E1025" i="20"/>
  <c r="E1024" i="20"/>
  <c r="E1023" i="20"/>
  <c r="E1022" i="20"/>
  <c r="E1021" i="20"/>
  <c r="E1020" i="20"/>
  <c r="E1019" i="20"/>
  <c r="E1018" i="20"/>
  <c r="E1017" i="20"/>
  <c r="E1016" i="20"/>
  <c r="E1015" i="20"/>
  <c r="E1014" i="20"/>
  <c r="E1013" i="20"/>
  <c r="E1012" i="20"/>
  <c r="E1011" i="20"/>
  <c r="E1010" i="20"/>
  <c r="E1009" i="20"/>
  <c r="E1008" i="20"/>
  <c r="E1007" i="20"/>
  <c r="E1006" i="20"/>
  <c r="E1005" i="20"/>
  <c r="E1004" i="20"/>
  <c r="E1003" i="20"/>
  <c r="E1002" i="20"/>
  <c r="E1001" i="20"/>
  <c r="E1000" i="20"/>
  <c r="E999" i="20"/>
  <c r="E998" i="20"/>
  <c r="E997" i="20"/>
  <c r="E996" i="20"/>
  <c r="E995" i="20"/>
  <c r="E994" i="20"/>
  <c r="E993" i="20"/>
  <c r="E992" i="20"/>
  <c r="E991" i="20"/>
  <c r="E990" i="20"/>
  <c r="E989" i="20"/>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82" i="20"/>
  <c r="E878" i="20"/>
  <c r="I878" i="20" s="1"/>
  <c r="E890" i="20"/>
  <c r="E888" i="20"/>
  <c r="E880" i="20"/>
  <c r="E889" i="20"/>
  <c r="E884" i="20"/>
  <c r="E879" i="20"/>
  <c r="E885" i="20"/>
  <c r="I885" i="20" s="1"/>
  <c r="E883" i="20"/>
  <c r="E881" i="20"/>
  <c r="E1400" i="20"/>
  <c r="D216" i="20"/>
  <c r="C216" i="20"/>
  <c r="D215" i="20"/>
  <c r="C215" i="20"/>
  <c r="D214" i="20"/>
  <c r="C214" i="20"/>
  <c r="D152" i="20"/>
  <c r="C152" i="20"/>
  <c r="D151" i="20"/>
  <c r="C151" i="20"/>
  <c r="D150" i="20"/>
  <c r="C150" i="20"/>
  <c r="I1424" i="20" l="1"/>
  <c r="I1264" i="20"/>
  <c r="I1422" i="20"/>
  <c r="I1419" i="20"/>
  <c r="I1418" i="20"/>
  <c r="I1421" i="20"/>
  <c r="I1420" i="20"/>
  <c r="I1396" i="20"/>
  <c r="I1404" i="20"/>
  <c r="I1403" i="20"/>
  <c r="I1356" i="20"/>
  <c r="I1378" i="20"/>
  <c r="I1417" i="20"/>
  <c r="I1413" i="20"/>
  <c r="I1409" i="20"/>
  <c r="I1391" i="20"/>
  <c r="I1387" i="20"/>
  <c r="I1358" i="20"/>
  <c r="I1298" i="20"/>
  <c r="I1362" i="20"/>
  <c r="I1386" i="20"/>
  <c r="I1390" i="20"/>
  <c r="I1406" i="20"/>
  <c r="I1410" i="20"/>
  <c r="I1414" i="20"/>
  <c r="I1423" i="20"/>
  <c r="I1357" i="20"/>
  <c r="I1394" i="20"/>
  <c r="I1407" i="20"/>
  <c r="I1399" i="20"/>
  <c r="I1405" i="20"/>
  <c r="I1295" i="20"/>
  <c r="I1401" i="20"/>
  <c r="I1359" i="20"/>
  <c r="I1415" i="20"/>
  <c r="I1411" i="20"/>
  <c r="I1393" i="20"/>
  <c r="I1389" i="20"/>
  <c r="I1385" i="20"/>
  <c r="I1294" i="20"/>
  <c r="I1360" i="20"/>
  <c r="I1367" i="20"/>
  <c r="I1388" i="20"/>
  <c r="I1398" i="20"/>
  <c r="I1408" i="20"/>
  <c r="I1412" i="20"/>
  <c r="I1416" i="20"/>
  <c r="I1293" i="20"/>
  <c r="I1361" i="20"/>
  <c r="I1402" i="20"/>
  <c r="I1428" i="20"/>
  <c r="I1425" i="20"/>
  <c r="I1429" i="20"/>
  <c r="I1426" i="20"/>
  <c r="I1427" i="20"/>
  <c r="I1381" i="20"/>
  <c r="I1380" i="20"/>
  <c r="I1400" i="20"/>
  <c r="I1324" i="20"/>
  <c r="I1339" i="20"/>
  <c r="I1321" i="20"/>
  <c r="I1319" i="20"/>
  <c r="I1320" i="20"/>
  <c r="I1266" i="20"/>
  <c r="I1267" i="20"/>
  <c r="I1254" i="20"/>
  <c r="I1228" i="20"/>
  <c r="I1245" i="20"/>
  <c r="I1265" i="20"/>
  <c r="I1128" i="20"/>
  <c r="I1130" i="20"/>
  <c r="I1132" i="20"/>
  <c r="I1134" i="20"/>
  <c r="I1136" i="20"/>
  <c r="I1138" i="20"/>
  <c r="I1140" i="20"/>
  <c r="I1142" i="20"/>
  <c r="I1144" i="20"/>
  <c r="I1146" i="20"/>
  <c r="I1148" i="20"/>
  <c r="I1150" i="20"/>
  <c r="I1152" i="20"/>
  <c r="I1154" i="20"/>
  <c r="I1156" i="20"/>
  <c r="I1158" i="20"/>
  <c r="I1160" i="20"/>
  <c r="I1162" i="20"/>
  <c r="I1164" i="20"/>
  <c r="I1166" i="20"/>
  <c r="I1168" i="20"/>
  <c r="I1170" i="20"/>
  <c r="I1172" i="20"/>
  <c r="I1174" i="20"/>
  <c r="I1176" i="20"/>
  <c r="I1178" i="20"/>
  <c r="I1180" i="20"/>
  <c r="I1182" i="20"/>
  <c r="I1184" i="20"/>
  <c r="I1186" i="20"/>
  <c r="I1188" i="20"/>
  <c r="I1190" i="20"/>
  <c r="I1192" i="20"/>
  <c r="I1194" i="20"/>
  <c r="I1196" i="20"/>
  <c r="I1198" i="20"/>
  <c r="I1200" i="20"/>
  <c r="I1202" i="20"/>
  <c r="I1204" i="20"/>
  <c r="I1206" i="20"/>
  <c r="I1208" i="20"/>
  <c r="I1127" i="20"/>
  <c r="I1129" i="20"/>
  <c r="I1131" i="20"/>
  <c r="I1133" i="20"/>
  <c r="I1135" i="20"/>
  <c r="I1137" i="20"/>
  <c r="I1139" i="20"/>
  <c r="I1141" i="20"/>
  <c r="I1143" i="20"/>
  <c r="I1145" i="20"/>
  <c r="I1147" i="20"/>
  <c r="I1149" i="20"/>
  <c r="I1151" i="20"/>
  <c r="I1153" i="20"/>
  <c r="I1155" i="20"/>
  <c r="I1157" i="20"/>
  <c r="I1159" i="20"/>
  <c r="I1161" i="20"/>
  <c r="I1163" i="20"/>
  <c r="I1165" i="20"/>
  <c r="I1167" i="20"/>
  <c r="I1169" i="20"/>
  <c r="I1171" i="20"/>
  <c r="I1173" i="20"/>
  <c r="I1175" i="20"/>
  <c r="I1177" i="20"/>
  <c r="I1179" i="20"/>
  <c r="I1181" i="20"/>
  <c r="I1183" i="20"/>
  <c r="I1185" i="20"/>
  <c r="I1187" i="20"/>
  <c r="I1189" i="20"/>
  <c r="I1191" i="20"/>
  <c r="I1193" i="20"/>
  <c r="I1195" i="20"/>
  <c r="I1197" i="20"/>
  <c r="I1199" i="20"/>
  <c r="I1201" i="20"/>
  <c r="I1203" i="20"/>
  <c r="I1205" i="20"/>
  <c r="I1207" i="20"/>
  <c r="I1209" i="20"/>
  <c r="I1072" i="20"/>
  <c r="I1074" i="20"/>
  <c r="I1045" i="20"/>
  <c r="I1047" i="20"/>
  <c r="I1049" i="20"/>
  <c r="I1051" i="20"/>
  <c r="I1053" i="20"/>
  <c r="I1055" i="20"/>
  <c r="I1057" i="20"/>
  <c r="I1059" i="20"/>
  <c r="I1061" i="20"/>
  <c r="I1063" i="20"/>
  <c r="I1065" i="20"/>
  <c r="I1067" i="20"/>
  <c r="I1069" i="20"/>
  <c r="I1075" i="20"/>
  <c r="I1077" i="20"/>
  <c r="I1079" i="20"/>
  <c r="I1081" i="20"/>
  <c r="I1083" i="20"/>
  <c r="I1085" i="20"/>
  <c r="I1087" i="20"/>
  <c r="I1089" i="20"/>
  <c r="I1091" i="20"/>
  <c r="I1093" i="20"/>
  <c r="I1095" i="20"/>
  <c r="I1097" i="20"/>
  <c r="I1099" i="20"/>
  <c r="I1101" i="20"/>
  <c r="I1103" i="20"/>
  <c r="I1105" i="20"/>
  <c r="I1107" i="20"/>
  <c r="I1109" i="20"/>
  <c r="I1111" i="20"/>
  <c r="I1113" i="20"/>
  <c r="I1115" i="20"/>
  <c r="I1117" i="20"/>
  <c r="I1119" i="20"/>
  <c r="I1121" i="20"/>
  <c r="I1123" i="20"/>
  <c r="I1125" i="20"/>
  <c r="I1071" i="20"/>
  <c r="I1073" i="20"/>
  <c r="I1044" i="20"/>
  <c r="I1046" i="20"/>
  <c r="I1048" i="20"/>
  <c r="I1050" i="20"/>
  <c r="I1052" i="20"/>
  <c r="I1054" i="20"/>
  <c r="I1056" i="20"/>
  <c r="I1058" i="20"/>
  <c r="I1060" i="20"/>
  <c r="I1062" i="20"/>
  <c r="I1064" i="20"/>
  <c r="I1066" i="20"/>
  <c r="I1068" i="20"/>
  <c r="I1070" i="20"/>
  <c r="I1076" i="20"/>
  <c r="I1078" i="20"/>
  <c r="I1080" i="20"/>
  <c r="I1082" i="20"/>
  <c r="I1084" i="20"/>
  <c r="I1086" i="20"/>
  <c r="I1088" i="20"/>
  <c r="I1090" i="20"/>
  <c r="I1092" i="20"/>
  <c r="I1094" i="20"/>
  <c r="I1096" i="20"/>
  <c r="I1098" i="20"/>
  <c r="I1100" i="20"/>
  <c r="I1102" i="20"/>
  <c r="I1104" i="20"/>
  <c r="I1106" i="20"/>
  <c r="I1108" i="20"/>
  <c r="I1110" i="20"/>
  <c r="I1112" i="20"/>
  <c r="I1114" i="20"/>
  <c r="I1116" i="20"/>
  <c r="I1118" i="20"/>
  <c r="I1120" i="20"/>
  <c r="I1122" i="20"/>
  <c r="I1124" i="20"/>
  <c r="I1126" i="20"/>
  <c r="I962" i="20"/>
  <c r="I964" i="20"/>
  <c r="I966" i="20"/>
  <c r="I968" i="20"/>
  <c r="I970" i="20"/>
  <c r="I972" i="20"/>
  <c r="I974" i="20"/>
  <c r="I976" i="20"/>
  <c r="I978" i="20"/>
  <c r="I980" i="20"/>
  <c r="I982" i="20"/>
  <c r="I984" i="20"/>
  <c r="I986" i="20"/>
  <c r="I988" i="20"/>
  <c r="I990" i="20"/>
  <c r="I992" i="20"/>
  <c r="I994" i="20"/>
  <c r="I996" i="20"/>
  <c r="I998" i="20"/>
  <c r="I1000" i="20"/>
  <c r="I1002" i="20"/>
  <c r="I1004" i="20"/>
  <c r="I1006" i="20"/>
  <c r="I1008" i="20"/>
  <c r="I1010" i="20"/>
  <c r="I1012" i="20"/>
  <c r="I1014" i="20"/>
  <c r="I1016" i="20"/>
  <c r="I1018" i="20"/>
  <c r="I1020" i="20"/>
  <c r="I1022" i="20"/>
  <c r="I1024" i="20"/>
  <c r="I1026" i="20"/>
  <c r="I1028" i="20"/>
  <c r="I1030" i="20"/>
  <c r="I1032" i="20"/>
  <c r="I1034" i="20"/>
  <c r="I1036" i="20"/>
  <c r="I1038" i="20"/>
  <c r="I1040" i="20"/>
  <c r="I1042" i="20"/>
  <c r="I961" i="20"/>
  <c r="I963" i="20"/>
  <c r="I965" i="20"/>
  <c r="I967" i="20"/>
  <c r="I969" i="20"/>
  <c r="I971" i="20"/>
  <c r="I973" i="20"/>
  <c r="I975" i="20"/>
  <c r="I977" i="20"/>
  <c r="I979" i="20"/>
  <c r="I981" i="20"/>
  <c r="I983" i="20"/>
  <c r="I985" i="20"/>
  <c r="I987" i="20"/>
  <c r="I989" i="20"/>
  <c r="I991" i="20"/>
  <c r="I993" i="20"/>
  <c r="I995" i="20"/>
  <c r="I997" i="20"/>
  <c r="I999" i="20"/>
  <c r="I1001" i="20"/>
  <c r="I1003" i="20"/>
  <c r="I1005" i="20"/>
  <c r="I1007" i="20"/>
  <c r="I1009" i="20"/>
  <c r="I1011" i="20"/>
  <c r="I1013" i="20"/>
  <c r="I1015" i="20"/>
  <c r="I1017" i="20"/>
  <c r="I1019" i="20"/>
  <c r="I1021" i="20"/>
  <c r="I1023" i="20"/>
  <c r="I1025" i="20"/>
  <c r="I1027" i="20"/>
  <c r="I1029" i="20"/>
  <c r="I1031" i="20"/>
  <c r="I1033" i="20"/>
  <c r="I1035" i="20"/>
  <c r="I1037" i="20"/>
  <c r="I1039" i="20"/>
  <c r="I1041" i="20"/>
  <c r="I1043" i="20"/>
  <c r="I931" i="20"/>
  <c r="I933" i="20"/>
  <c r="I935" i="20"/>
  <c r="I937" i="20"/>
  <c r="I939" i="20"/>
  <c r="I941" i="20"/>
  <c r="I943" i="20"/>
  <c r="I945" i="20"/>
  <c r="I947" i="20"/>
  <c r="I949" i="20"/>
  <c r="I951" i="20"/>
  <c r="I953" i="20"/>
  <c r="I955" i="20"/>
  <c r="I957" i="20"/>
  <c r="I959" i="20"/>
  <c r="I930" i="20"/>
  <c r="I932" i="20"/>
  <c r="I934" i="20"/>
  <c r="I936" i="20"/>
  <c r="I938" i="20"/>
  <c r="I940" i="20"/>
  <c r="I942" i="20"/>
  <c r="I944" i="20"/>
  <c r="I946" i="20"/>
  <c r="I948" i="20"/>
  <c r="I950" i="20"/>
  <c r="I952" i="20"/>
  <c r="I954" i="20"/>
  <c r="I956" i="20"/>
  <c r="I958" i="20"/>
  <c r="I960" i="20"/>
  <c r="I918" i="20"/>
  <c r="I920" i="20"/>
  <c r="I922" i="20"/>
  <c r="I924" i="20"/>
  <c r="I926" i="20"/>
  <c r="I928" i="20"/>
  <c r="I917" i="20"/>
  <c r="I919" i="20"/>
  <c r="I921" i="20"/>
  <c r="I923" i="20"/>
  <c r="I925" i="20"/>
  <c r="I927" i="20"/>
  <c r="I929" i="20"/>
  <c r="I905" i="20"/>
  <c r="I907" i="20"/>
  <c r="I909" i="20"/>
  <c r="I911" i="20"/>
  <c r="I913" i="20"/>
  <c r="I915" i="20"/>
  <c r="I904" i="20"/>
  <c r="I906" i="20"/>
  <c r="I908" i="20"/>
  <c r="I910" i="20"/>
  <c r="I912" i="20"/>
  <c r="I914" i="20"/>
  <c r="I916" i="20"/>
  <c r="I882" i="20"/>
  <c r="I892" i="20"/>
  <c r="I894" i="20"/>
  <c r="I896" i="20"/>
  <c r="I898" i="20"/>
  <c r="I900" i="20"/>
  <c r="I902" i="20"/>
  <c r="I891" i="20"/>
  <c r="I893" i="20"/>
  <c r="I895" i="20"/>
  <c r="I897" i="20"/>
  <c r="I899" i="20"/>
  <c r="I901" i="20"/>
  <c r="I903" i="20"/>
  <c r="I881" i="20"/>
  <c r="I884" i="20"/>
  <c r="I880" i="20"/>
  <c r="I890" i="20"/>
  <c r="I883" i="20"/>
  <c r="I879" i="20"/>
  <c r="I889" i="20"/>
  <c r="I888" i="20"/>
  <c r="H217" i="22"/>
  <c r="F217" i="22"/>
  <c r="E217" i="22"/>
  <c r="D217" i="22"/>
  <c r="F216" i="22"/>
  <c r="E216" i="22"/>
  <c r="D216" i="22"/>
  <c r="F215" i="22"/>
  <c r="E215" i="22"/>
  <c r="D215" i="22"/>
  <c r="G214" i="22"/>
  <c r="O214" i="22" s="1"/>
  <c r="F214" i="22"/>
  <c r="E214" i="22"/>
  <c r="D214" i="22"/>
  <c r="H213" i="22"/>
  <c r="F213" i="22"/>
  <c r="E213" i="22"/>
  <c r="D213" i="22"/>
  <c r="H212" i="22"/>
  <c r="F212" i="22"/>
  <c r="E212" i="22"/>
  <c r="D212" i="22"/>
  <c r="H211" i="22"/>
  <c r="F211" i="22"/>
  <c r="E211" i="22"/>
  <c r="D211" i="22"/>
  <c r="G210" i="22"/>
  <c r="O210" i="22" s="1"/>
  <c r="F210" i="22"/>
  <c r="E210" i="22"/>
  <c r="D210" i="22"/>
  <c r="O209" i="22"/>
  <c r="M209" i="22"/>
  <c r="L209" i="22"/>
  <c r="K209" i="22"/>
  <c r="D209" i="22"/>
  <c r="M208" i="22"/>
  <c r="L208" i="22"/>
  <c r="K208" i="22"/>
  <c r="G215" i="22"/>
  <c r="D208" i="22"/>
  <c r="C208" i="22"/>
  <c r="H207" i="22"/>
  <c r="F207" i="22"/>
  <c r="E207" i="22"/>
  <c r="D207" i="22"/>
  <c r="F206" i="22"/>
  <c r="E206" i="22"/>
  <c r="D206" i="22"/>
  <c r="F205" i="22"/>
  <c r="E205" i="22"/>
  <c r="D205" i="22"/>
  <c r="G204" i="22"/>
  <c r="O204" i="22" s="1"/>
  <c r="F204" i="22"/>
  <c r="E204" i="22"/>
  <c r="D204" i="22"/>
  <c r="H203" i="22"/>
  <c r="F203" i="22"/>
  <c r="E203" i="22"/>
  <c r="D203" i="22"/>
  <c r="H202" i="22"/>
  <c r="F202" i="22"/>
  <c r="E202" i="22"/>
  <c r="D202" i="22"/>
  <c r="H201" i="22"/>
  <c r="F201" i="22"/>
  <c r="E201" i="22"/>
  <c r="D201" i="22"/>
  <c r="G200" i="22"/>
  <c r="O200" i="22" s="1"/>
  <c r="F200" i="22"/>
  <c r="E200" i="22"/>
  <c r="D200" i="22"/>
  <c r="O199" i="22"/>
  <c r="M199" i="22"/>
  <c r="L199" i="22"/>
  <c r="K199" i="22"/>
  <c r="D199" i="22"/>
  <c r="M198" i="22"/>
  <c r="L198" i="22"/>
  <c r="K198" i="22"/>
  <c r="G205" i="22"/>
  <c r="D198" i="22"/>
  <c r="C198" i="22"/>
  <c r="G197" i="22"/>
  <c r="G196" i="22"/>
  <c r="G195" i="22"/>
  <c r="G194" i="22"/>
  <c r="G193" i="22"/>
  <c r="G192" i="22"/>
  <c r="G191" i="22"/>
  <c r="G190" i="22"/>
  <c r="G189" i="22"/>
  <c r="G188" i="22"/>
  <c r="G187" i="22"/>
  <c r="G186" i="22"/>
  <c r="G185" i="22"/>
  <c r="G184" i="22"/>
  <c r="G183" i="22"/>
  <c r="G182" i="22"/>
  <c r="G181" i="22"/>
  <c r="G180" i="22"/>
  <c r="G179" i="22"/>
  <c r="G178" i="22"/>
  <c r="G177" i="22"/>
  <c r="G176" i="22"/>
  <c r="G175" i="22"/>
  <c r="G174" i="22"/>
  <c r="G173" i="22"/>
  <c r="G172" i="22"/>
  <c r="G149" i="22"/>
  <c r="G160" i="22" s="1"/>
  <c r="G136" i="22"/>
  <c r="G142" i="22" s="1"/>
  <c r="G129" i="22"/>
  <c r="G134" i="22" s="1"/>
  <c r="G122" i="22"/>
  <c r="G126" i="22" s="1"/>
  <c r="G117" i="22"/>
  <c r="G119" i="22" s="1"/>
  <c r="F1416" i="20" l="1"/>
  <c r="F1400" i="20"/>
  <c r="F1384" i="20"/>
  <c r="F1373" i="20"/>
  <c r="F1326" i="20"/>
  <c r="F1284" i="20"/>
  <c r="F1265" i="20"/>
  <c r="F1236" i="20"/>
  <c r="F1170" i="20"/>
  <c r="F1186" i="20"/>
  <c r="F1201" i="20"/>
  <c r="F1425" i="20"/>
  <c r="F1418" i="20"/>
  <c r="F1410" i="20"/>
  <c r="F1402" i="20"/>
  <c r="F1394" i="20"/>
  <c r="F1386" i="20"/>
  <c r="F1356" i="20"/>
  <c r="F1346" i="20"/>
  <c r="F1318" i="20"/>
  <c r="F1269" i="20"/>
  <c r="F1244" i="20"/>
  <c r="F1212" i="20"/>
  <c r="F1164" i="20"/>
  <c r="F1180" i="20"/>
  <c r="F1196" i="20"/>
  <c r="F1206" i="20"/>
  <c r="F1194" i="20"/>
  <c r="F1183" i="20"/>
  <c r="F1175" i="20"/>
  <c r="F1167" i="20"/>
  <c r="F1160" i="20"/>
  <c r="F1158" i="20"/>
  <c r="F1156" i="20"/>
  <c r="F1152" i="20"/>
  <c r="F1148" i="20"/>
  <c r="F1144" i="20"/>
  <c r="F1140" i="20"/>
  <c r="F1136" i="20"/>
  <c r="F1132" i="20"/>
  <c r="F1128" i="20"/>
  <c r="F1124" i="20"/>
  <c r="F1121" i="20"/>
  <c r="F1117" i="20"/>
  <c r="F1113" i="20"/>
  <c r="F1109" i="20"/>
  <c r="F1105" i="20"/>
  <c r="F1101" i="20"/>
  <c r="F1097" i="20"/>
  <c r="F1093" i="20"/>
  <c r="F1089" i="20"/>
  <c r="F1085" i="20"/>
  <c r="F1081" i="20"/>
  <c r="F1077" i="20"/>
  <c r="F1073" i="20"/>
  <c r="F1069" i="20"/>
  <c r="F1066" i="20"/>
  <c r="F1062" i="20"/>
  <c r="F1058" i="20"/>
  <c r="F1054" i="20"/>
  <c r="F1050" i="20"/>
  <c r="F1046" i="20"/>
  <c r="F1042" i="20"/>
  <c r="F1038" i="20"/>
  <c r="F1034" i="20"/>
  <c r="F1030" i="20"/>
  <c r="F1026" i="20"/>
  <c r="F1022" i="20"/>
  <c r="F1019" i="20"/>
  <c r="F1015" i="20"/>
  <c r="F1011" i="20"/>
  <c r="F1007" i="20"/>
  <c r="F1003" i="20"/>
  <c r="F999" i="20"/>
  <c r="F995" i="20"/>
  <c r="F991" i="20"/>
  <c r="F987" i="20"/>
  <c r="F983" i="20"/>
  <c r="F979" i="20"/>
  <c r="F975" i="20"/>
  <c r="F971" i="20"/>
  <c r="F967" i="20"/>
  <c r="F963" i="20"/>
  <c r="F959" i="20"/>
  <c r="F956" i="20"/>
  <c r="F952" i="20"/>
  <c r="F948" i="20"/>
  <c r="F944" i="20"/>
  <c r="F940" i="20"/>
  <c r="F936" i="20"/>
  <c r="F932" i="20"/>
  <c r="F928" i="20"/>
  <c r="F924" i="20"/>
  <c r="F920" i="20"/>
  <c r="F916" i="20"/>
  <c r="F912" i="20"/>
  <c r="F908" i="20"/>
  <c r="F904" i="20"/>
  <c r="F900" i="20"/>
  <c r="F896" i="20"/>
  <c r="F892" i="20"/>
  <c r="F888" i="20"/>
  <c r="F884" i="20"/>
  <c r="F880" i="20"/>
  <c r="F1302" i="20"/>
  <c r="F1168" i="20"/>
  <c r="F1184" i="20"/>
  <c r="F1202" i="20"/>
  <c r="F1198" i="20"/>
  <c r="F1185" i="20"/>
  <c r="F1177" i="20"/>
  <c r="F1169" i="20"/>
  <c r="F1161" i="20"/>
  <c r="F1153" i="20"/>
  <c r="F1149" i="20"/>
  <c r="F1145" i="20"/>
  <c r="F1141" i="20"/>
  <c r="F1137" i="20"/>
  <c r="F1133" i="20"/>
  <c r="F1129" i="20"/>
  <c r="F1125" i="20"/>
  <c r="F1120" i="20"/>
  <c r="F1116" i="20"/>
  <c r="F1112" i="20"/>
  <c r="F1108" i="20"/>
  <c r="F1104" i="20"/>
  <c r="F1100" i="20"/>
  <c r="F1096" i="20"/>
  <c r="F1092" i="20"/>
  <c r="F1088" i="20"/>
  <c r="F1084" i="20"/>
  <c r="F1080" i="20"/>
  <c r="F1076" i="20"/>
  <c r="F1072" i="20"/>
  <c r="F1067" i="20"/>
  <c r="F1063" i="20"/>
  <c r="F1059" i="20"/>
  <c r="F1055" i="20"/>
  <c r="F1051" i="20"/>
  <c r="F1047" i="20"/>
  <c r="F1043" i="20"/>
  <c r="F1039" i="20"/>
  <c r="F1035" i="20"/>
  <c r="F1031" i="20"/>
  <c r="F1027" i="20"/>
  <c r="F1023" i="20"/>
  <c r="F1018" i="20"/>
  <c r="F1014" i="20"/>
  <c r="F1010" i="20"/>
  <c r="F1006" i="20"/>
  <c r="F1002" i="20"/>
  <c r="F998" i="20"/>
  <c r="F994" i="20"/>
  <c r="F990" i="20"/>
  <c r="F986" i="20"/>
  <c r="F982" i="20"/>
  <c r="F978" i="20"/>
  <c r="F974" i="20"/>
  <c r="F970" i="20"/>
  <c r="F966" i="20"/>
  <c r="F962" i="20"/>
  <c r="F957" i="20"/>
  <c r="F953" i="20"/>
  <c r="F949" i="20"/>
  <c r="F945" i="20"/>
  <c r="F941" i="20"/>
  <c r="F937" i="20"/>
  <c r="F933" i="20"/>
  <c r="F929" i="20"/>
  <c r="F925" i="20"/>
  <c r="F921" i="20"/>
  <c r="F917" i="20"/>
  <c r="F913" i="20"/>
  <c r="F909" i="20"/>
  <c r="F905" i="20"/>
  <c r="F901" i="20"/>
  <c r="F897" i="20"/>
  <c r="F893" i="20"/>
  <c r="F889" i="20"/>
  <c r="F885" i="20"/>
  <c r="F881" i="20"/>
  <c r="F1427" i="20"/>
  <c r="F1412" i="20"/>
  <c r="F1396" i="20"/>
  <c r="F1382" i="20"/>
  <c r="F1365" i="20"/>
  <c r="F1324" i="20"/>
  <c r="F1277" i="20"/>
  <c r="F1261" i="20"/>
  <c r="F1220" i="20"/>
  <c r="F1174" i="20"/>
  <c r="F1189" i="20"/>
  <c r="F1205" i="20"/>
  <c r="F1423" i="20"/>
  <c r="F1408" i="20"/>
  <c r="F1392" i="20"/>
  <c r="F1380" i="20"/>
  <c r="F1348" i="20"/>
  <c r="F1312" i="20"/>
  <c r="F1275" i="20"/>
  <c r="F1162" i="20"/>
  <c r="F1178" i="20"/>
  <c r="F1193" i="20"/>
  <c r="F1429" i="20"/>
  <c r="F1420" i="20"/>
  <c r="F1414" i="20"/>
  <c r="F1406" i="20"/>
  <c r="F1398" i="20"/>
  <c r="F1390" i="20"/>
  <c r="F1375" i="20"/>
  <c r="F1350" i="20"/>
  <c r="F1320" i="20"/>
  <c r="F1316" i="20"/>
  <c r="F1267" i="20"/>
  <c r="F1228" i="20"/>
  <c r="F1210" i="20"/>
  <c r="F1172" i="20"/>
  <c r="F1188" i="20"/>
  <c r="F1204" i="20"/>
  <c r="F1200" i="20"/>
  <c r="F1187" i="20"/>
  <c r="F1179" i="20"/>
  <c r="F1171" i="20"/>
  <c r="F1163" i="20"/>
  <c r="F1159" i="20"/>
  <c r="F1157" i="20"/>
  <c r="F1154" i="20"/>
  <c r="F1150" i="20"/>
  <c r="F1146" i="20"/>
  <c r="F1142" i="20"/>
  <c r="F1138" i="20"/>
  <c r="F1134" i="20"/>
  <c r="F1130" i="20"/>
  <c r="F1126" i="20"/>
  <c r="F1122" i="20"/>
  <c r="F1119" i="20"/>
  <c r="F1115" i="20"/>
  <c r="F1111" i="20"/>
  <c r="F1107" i="20"/>
  <c r="F1103" i="20"/>
  <c r="F1099" i="20"/>
  <c r="F1095" i="20"/>
  <c r="F1091" i="20"/>
  <c r="F1087" i="20"/>
  <c r="F1083" i="20"/>
  <c r="F1079" i="20"/>
  <c r="F1075" i="20"/>
  <c r="F1071" i="20"/>
  <c r="F1068" i="20"/>
  <c r="F1064" i="20"/>
  <c r="F1060" i="20"/>
  <c r="F1056" i="20"/>
  <c r="F1052" i="20"/>
  <c r="F1048" i="20"/>
  <c r="F1044" i="20"/>
  <c r="F1040" i="20"/>
  <c r="F1036" i="20"/>
  <c r="F1032" i="20"/>
  <c r="F1028" i="20"/>
  <c r="F1024" i="20"/>
  <c r="F1020" i="20"/>
  <c r="F1017" i="20"/>
  <c r="F1013" i="20"/>
  <c r="F1009" i="20"/>
  <c r="F1005" i="20"/>
  <c r="F1001" i="20"/>
  <c r="F997" i="20"/>
  <c r="F993" i="20"/>
  <c r="F989" i="20"/>
  <c r="F985" i="20"/>
  <c r="F981" i="20"/>
  <c r="F977" i="20"/>
  <c r="F973" i="20"/>
  <c r="F969" i="20"/>
  <c r="F965" i="20"/>
  <c r="F961" i="20"/>
  <c r="F958" i="20"/>
  <c r="F954" i="20"/>
  <c r="F950" i="20"/>
  <c r="F946" i="20"/>
  <c r="F942" i="20"/>
  <c r="F938" i="20"/>
  <c r="F934" i="20"/>
  <c r="F930" i="20"/>
  <c r="F926" i="20"/>
  <c r="F922" i="20"/>
  <c r="F918" i="20"/>
  <c r="F914" i="20"/>
  <c r="F910" i="20"/>
  <c r="F906" i="20"/>
  <c r="F902" i="20"/>
  <c r="F898" i="20"/>
  <c r="F894" i="20"/>
  <c r="F890" i="20"/>
  <c r="F886" i="20"/>
  <c r="F882" i="20"/>
  <c r="F878" i="20"/>
  <c r="F1334" i="20"/>
  <c r="F1253" i="20"/>
  <c r="F1176" i="20"/>
  <c r="F1192" i="20"/>
  <c r="F1208" i="20"/>
  <c r="F1190" i="20"/>
  <c r="F1181" i="20"/>
  <c r="F1173" i="20"/>
  <c r="F1165" i="20"/>
  <c r="F1155" i="20"/>
  <c r="F1151" i="20"/>
  <c r="F1147" i="20"/>
  <c r="F1143" i="20"/>
  <c r="F1139" i="20"/>
  <c r="F1135" i="20"/>
  <c r="F1131" i="20"/>
  <c r="F1127" i="20"/>
  <c r="F1123" i="20"/>
  <c r="F1118" i="20"/>
  <c r="F1114" i="20"/>
  <c r="F1110" i="20"/>
  <c r="F1106" i="20"/>
  <c r="F1102" i="20"/>
  <c r="F1098" i="20"/>
  <c r="F1094" i="20"/>
  <c r="F1090" i="20"/>
  <c r="F1086" i="20"/>
  <c r="F1082" i="20"/>
  <c r="F1078" i="20"/>
  <c r="F1074" i="20"/>
  <c r="F1070" i="20"/>
  <c r="F1065" i="20"/>
  <c r="F1061" i="20"/>
  <c r="F1057" i="20"/>
  <c r="F1053" i="20"/>
  <c r="F1049" i="20"/>
  <c r="F1045" i="20"/>
  <c r="F1041" i="20"/>
  <c r="F1037" i="20"/>
  <c r="F1033" i="20"/>
  <c r="F1029" i="20"/>
  <c r="F1025" i="20"/>
  <c r="F1021" i="20"/>
  <c r="F1016" i="20"/>
  <c r="F1012" i="20"/>
  <c r="F1008" i="20"/>
  <c r="F1004" i="20"/>
  <c r="F1000" i="20"/>
  <c r="F996" i="20"/>
  <c r="F992" i="20"/>
  <c r="F988" i="20"/>
  <c r="F984" i="20"/>
  <c r="F980" i="20"/>
  <c r="F976" i="20"/>
  <c r="F972" i="20"/>
  <c r="F968" i="20"/>
  <c r="F964" i="20"/>
  <c r="F960" i="20"/>
  <c r="F955" i="20"/>
  <c r="F951" i="20"/>
  <c r="F947" i="20"/>
  <c r="F943" i="20"/>
  <c r="F939" i="20"/>
  <c r="F935" i="20"/>
  <c r="F931" i="20"/>
  <c r="F927" i="20"/>
  <c r="F923" i="20"/>
  <c r="F919" i="20"/>
  <c r="F915" i="20"/>
  <c r="F911" i="20"/>
  <c r="F907" i="20"/>
  <c r="F903" i="20"/>
  <c r="F899" i="20"/>
  <c r="F895" i="20"/>
  <c r="F891" i="20"/>
  <c r="F887" i="20"/>
  <c r="F883" i="20"/>
  <c r="F879" i="20"/>
  <c r="F1422" i="20"/>
  <c r="F1404" i="20"/>
  <c r="F1388" i="20"/>
  <c r="F1379" i="20"/>
  <c r="F1340" i="20"/>
  <c r="F1310" i="20"/>
  <c r="F1273" i="20"/>
  <c r="F1250" i="20"/>
  <c r="F1166" i="20"/>
  <c r="F1182" i="20"/>
  <c r="F1197" i="20"/>
  <c r="F1259" i="20"/>
  <c r="F1296" i="20"/>
  <c r="F1387" i="20"/>
  <c r="F1395" i="20"/>
  <c r="F1403" i="20"/>
  <c r="F1411" i="20"/>
  <c r="F1322" i="20"/>
  <c r="F1338" i="20"/>
  <c r="F1424" i="20"/>
  <c r="F1328" i="20"/>
  <c r="F1354" i="20"/>
  <c r="F1371" i="20"/>
  <c r="F1232" i="20"/>
  <c r="F1292" i="20"/>
  <c r="F1343" i="20"/>
  <c r="F1351" i="20"/>
  <c r="F1359" i="20"/>
  <c r="F1226" i="20"/>
  <c r="F1242" i="20"/>
  <c r="F1257" i="20"/>
  <c r="F1282" i="20"/>
  <c r="F1295" i="20"/>
  <c r="F1303" i="20"/>
  <c r="F1311" i="20"/>
  <c r="F1319" i="20"/>
  <c r="F1327" i="20"/>
  <c r="F1335" i="20"/>
  <c r="F1341" i="20"/>
  <c r="F1353" i="20"/>
  <c r="F1368" i="20"/>
  <c r="F1374" i="20"/>
  <c r="F1258" i="20"/>
  <c r="F1199" i="20"/>
  <c r="F1213" i="20"/>
  <c r="F1221" i="20"/>
  <c r="F1229" i="20"/>
  <c r="F1237" i="20"/>
  <c r="F1245" i="20"/>
  <c r="F1251" i="20"/>
  <c r="F1283" i="20"/>
  <c r="F1270" i="20"/>
  <c r="F1285" i="20"/>
  <c r="F1383" i="20"/>
  <c r="F1389" i="20"/>
  <c r="F1397" i="20"/>
  <c r="F1405" i="20"/>
  <c r="F1413" i="20"/>
  <c r="F1298" i="20"/>
  <c r="F1314" i="20"/>
  <c r="F1358" i="20"/>
  <c r="F1377" i="20"/>
  <c r="F1332" i="20"/>
  <c r="F1360" i="20"/>
  <c r="F1421" i="20"/>
  <c r="F1224" i="20"/>
  <c r="F1286" i="20"/>
  <c r="F1214" i="20"/>
  <c r="F1230" i="20"/>
  <c r="F1246" i="20"/>
  <c r="F1263" i="20"/>
  <c r="F1288" i="20"/>
  <c r="F1301" i="20"/>
  <c r="F1309" i="20"/>
  <c r="F1317" i="20"/>
  <c r="F1325" i="20"/>
  <c r="F1333" i="20"/>
  <c r="F1357" i="20"/>
  <c r="F1372" i="20"/>
  <c r="F1366" i="20"/>
  <c r="F1254" i="20"/>
  <c r="F1266" i="20"/>
  <c r="F1203" i="20"/>
  <c r="F1215" i="20"/>
  <c r="F1223" i="20"/>
  <c r="F1231" i="20"/>
  <c r="F1239" i="20"/>
  <c r="F1247" i="20"/>
  <c r="F1260" i="20"/>
  <c r="F1279" i="20"/>
  <c r="F1272" i="20"/>
  <c r="F1276" i="20"/>
  <c r="F1289" i="20"/>
  <c r="F1381" i="20"/>
  <c r="F1391" i="20"/>
  <c r="F1399" i="20"/>
  <c r="F1407" i="20"/>
  <c r="F1415" i="20"/>
  <c r="F1330" i="20"/>
  <c r="F1352" i="20"/>
  <c r="F1428" i="20"/>
  <c r="F1304" i="20"/>
  <c r="F1337" i="20"/>
  <c r="F1362" i="20"/>
  <c r="F1419" i="20"/>
  <c r="F1240" i="20"/>
  <c r="F1339" i="20"/>
  <c r="F1347" i="20"/>
  <c r="F1355" i="20"/>
  <c r="F1218" i="20"/>
  <c r="F1234" i="20"/>
  <c r="F1252" i="20"/>
  <c r="F1271" i="20"/>
  <c r="F1290" i="20"/>
  <c r="F1299" i="20"/>
  <c r="F1307" i="20"/>
  <c r="F1315" i="20"/>
  <c r="F1323" i="20"/>
  <c r="F1331" i="20"/>
  <c r="F1336" i="20"/>
  <c r="F1349" i="20"/>
  <c r="F1361" i="20"/>
  <c r="F1376" i="20"/>
  <c r="F1378" i="20"/>
  <c r="F1191" i="20"/>
  <c r="F1207" i="20"/>
  <c r="F1217" i="20"/>
  <c r="F1225" i="20"/>
  <c r="F1233" i="20"/>
  <c r="F1241" i="20"/>
  <c r="F1249" i="20"/>
  <c r="F1264" i="20"/>
  <c r="F1291" i="20"/>
  <c r="F1278" i="20"/>
  <c r="F1300" i="20"/>
  <c r="F1385" i="20"/>
  <c r="F1393" i="20"/>
  <c r="F1401" i="20"/>
  <c r="F1409" i="20"/>
  <c r="F1417" i="20"/>
  <c r="F1306" i="20"/>
  <c r="F1344" i="20"/>
  <c r="F1369" i="20"/>
  <c r="F1426" i="20"/>
  <c r="F1308" i="20"/>
  <c r="F1342" i="20"/>
  <c r="F1367" i="20"/>
  <c r="F1216" i="20"/>
  <c r="F1248" i="20"/>
  <c r="F1294" i="20"/>
  <c r="F1222" i="20"/>
  <c r="F1238" i="20"/>
  <c r="F1255" i="20"/>
  <c r="F1280" i="20"/>
  <c r="F1297" i="20"/>
  <c r="F1305" i="20"/>
  <c r="F1313" i="20"/>
  <c r="F1321" i="20"/>
  <c r="F1329" i="20"/>
  <c r="F1345" i="20"/>
  <c r="F1364" i="20"/>
  <c r="F1363" i="20"/>
  <c r="F1370" i="20"/>
  <c r="F1262" i="20"/>
  <c r="F1195" i="20"/>
  <c r="F1211" i="20"/>
  <c r="F1219" i="20"/>
  <c r="F1227" i="20"/>
  <c r="F1235" i="20"/>
  <c r="F1243" i="20"/>
  <c r="F1256" i="20"/>
  <c r="F1268" i="20"/>
  <c r="F1287" i="20"/>
  <c r="F1274" i="20"/>
  <c r="F1281" i="20"/>
  <c r="F1293" i="20"/>
  <c r="F1209" i="20"/>
  <c r="G135" i="22"/>
  <c r="G143" i="22"/>
  <c r="G121" i="22"/>
  <c r="G120" i="22"/>
  <c r="G163" i="22"/>
  <c r="G127" i="22"/>
  <c r="G152" i="22"/>
  <c r="G128" i="22"/>
  <c r="G153" i="22"/>
  <c r="G151" i="22"/>
  <c r="G154" i="22"/>
  <c r="G164" i="22"/>
  <c r="G158" i="22"/>
  <c r="G162" i="22"/>
  <c r="G130" i="22"/>
  <c r="G123" i="22"/>
  <c r="G131" i="22"/>
  <c r="G139" i="22"/>
  <c r="G147" i="22"/>
  <c r="G157" i="22"/>
  <c r="G137" i="22"/>
  <c r="G145" i="22"/>
  <c r="G144" i="22"/>
  <c r="G125" i="22"/>
  <c r="G133" i="22"/>
  <c r="G141" i="22"/>
  <c r="G159" i="22"/>
  <c r="G138" i="22"/>
  <c r="G146" i="22"/>
  <c r="G124" i="22"/>
  <c r="G132" i="22"/>
  <c r="G140" i="22"/>
  <c r="G148" i="22"/>
  <c r="G150" i="22"/>
  <c r="O205" i="22"/>
  <c r="O215" i="22"/>
  <c r="G203" i="22"/>
  <c r="G207" i="22"/>
  <c r="K207" i="22" s="1"/>
  <c r="G213" i="22"/>
  <c r="G217" i="22"/>
  <c r="K217" i="22" s="1"/>
  <c r="G202" i="22"/>
  <c r="G206" i="22"/>
  <c r="G212" i="22"/>
  <c r="K212" i="22" s="1"/>
  <c r="G216" i="22"/>
  <c r="O198" i="22"/>
  <c r="G201" i="22"/>
  <c r="O208" i="22"/>
  <c r="G211" i="22"/>
  <c r="J1293" i="20" l="1"/>
  <c r="G1293" i="20"/>
  <c r="K1293" i="20" s="1"/>
  <c r="J1274" i="20"/>
  <c r="G1274" i="20"/>
  <c r="K1274" i="20" s="1"/>
  <c r="J1268" i="20"/>
  <c r="G1268" i="20"/>
  <c r="K1268" i="20" s="1"/>
  <c r="J1243" i="20"/>
  <c r="G1243" i="20"/>
  <c r="K1243" i="20" s="1"/>
  <c r="J1227" i="20"/>
  <c r="G1227" i="20"/>
  <c r="K1227" i="20" s="1"/>
  <c r="J1211" i="20"/>
  <c r="G1211" i="20"/>
  <c r="K1211" i="20" s="1"/>
  <c r="J1262" i="20"/>
  <c r="G1262" i="20"/>
  <c r="K1262" i="20" s="1"/>
  <c r="J1363" i="20"/>
  <c r="G1363" i="20"/>
  <c r="K1363" i="20" s="1"/>
  <c r="J1345" i="20"/>
  <c r="G1345" i="20"/>
  <c r="K1345" i="20" s="1"/>
  <c r="J1321" i="20"/>
  <c r="G1321" i="20"/>
  <c r="K1321" i="20" s="1"/>
  <c r="J1305" i="20"/>
  <c r="G1305" i="20"/>
  <c r="K1305" i="20" s="1"/>
  <c r="G1280" i="20"/>
  <c r="K1280" i="20" s="1"/>
  <c r="J1280" i="20"/>
  <c r="J1238" i="20"/>
  <c r="G1238" i="20"/>
  <c r="K1238" i="20" s="1"/>
  <c r="J1294" i="20"/>
  <c r="G1294" i="20"/>
  <c r="K1294" i="20" s="1"/>
  <c r="J1216" i="20"/>
  <c r="G1216" i="20"/>
  <c r="K1216" i="20" s="1"/>
  <c r="J1342" i="20"/>
  <c r="G1342" i="20"/>
  <c r="K1342" i="20" s="1"/>
  <c r="J1369" i="20"/>
  <c r="G1369" i="20"/>
  <c r="K1369" i="20" s="1"/>
  <c r="J1306" i="20"/>
  <c r="G1306" i="20"/>
  <c r="K1306" i="20" s="1"/>
  <c r="J1409" i="20"/>
  <c r="G1409" i="20"/>
  <c r="K1409" i="20" s="1"/>
  <c r="J1393" i="20"/>
  <c r="G1393" i="20"/>
  <c r="K1393" i="20" s="1"/>
  <c r="G1300" i="20"/>
  <c r="K1300" i="20" s="1"/>
  <c r="J1300" i="20"/>
  <c r="J1291" i="20"/>
  <c r="G1291" i="20"/>
  <c r="K1291" i="20" s="1"/>
  <c r="J1249" i="20"/>
  <c r="G1249" i="20"/>
  <c r="K1249" i="20" s="1"/>
  <c r="J1233" i="20"/>
  <c r="G1233" i="20"/>
  <c r="K1233" i="20" s="1"/>
  <c r="J1217" i="20"/>
  <c r="G1217" i="20"/>
  <c r="K1217" i="20" s="1"/>
  <c r="J1191" i="20"/>
  <c r="G1191" i="20"/>
  <c r="K1191" i="20" s="1"/>
  <c r="G1376" i="20"/>
  <c r="K1376" i="20" s="1"/>
  <c r="J1376" i="20"/>
  <c r="G1349" i="20"/>
  <c r="K1349" i="20" s="1"/>
  <c r="J1349" i="20"/>
  <c r="J1331" i="20"/>
  <c r="G1331" i="20"/>
  <c r="K1331" i="20" s="1"/>
  <c r="J1315" i="20"/>
  <c r="G1315" i="20"/>
  <c r="K1315" i="20" s="1"/>
  <c r="J1299" i="20"/>
  <c r="G1299" i="20"/>
  <c r="K1299" i="20" s="1"/>
  <c r="J1271" i="20"/>
  <c r="G1271" i="20"/>
  <c r="K1271" i="20" s="1"/>
  <c r="J1234" i="20"/>
  <c r="G1234" i="20"/>
  <c r="K1234" i="20" s="1"/>
  <c r="G1355" i="20"/>
  <c r="K1355" i="20" s="1"/>
  <c r="J1355" i="20"/>
  <c r="J1339" i="20"/>
  <c r="G1339" i="20"/>
  <c r="K1339" i="20" s="1"/>
  <c r="J1419" i="20"/>
  <c r="G1419" i="20"/>
  <c r="K1419" i="20" s="1"/>
  <c r="J1337" i="20"/>
  <c r="G1337" i="20"/>
  <c r="K1337" i="20" s="1"/>
  <c r="J1352" i="20"/>
  <c r="G1352" i="20"/>
  <c r="K1352" i="20" s="1"/>
  <c r="J1415" i="20"/>
  <c r="G1415" i="20"/>
  <c r="K1415" i="20" s="1"/>
  <c r="J1399" i="20"/>
  <c r="G1399" i="20"/>
  <c r="K1399" i="20" s="1"/>
  <c r="J1381" i="20"/>
  <c r="G1381" i="20"/>
  <c r="K1381" i="20" s="1"/>
  <c r="G1276" i="20"/>
  <c r="K1276" i="20" s="1"/>
  <c r="J1276" i="20"/>
  <c r="J1279" i="20"/>
  <c r="G1279" i="20"/>
  <c r="K1279" i="20" s="1"/>
  <c r="J1247" i="20"/>
  <c r="G1247" i="20"/>
  <c r="K1247" i="20" s="1"/>
  <c r="J1231" i="20"/>
  <c r="G1231" i="20"/>
  <c r="K1231" i="20" s="1"/>
  <c r="J1215" i="20"/>
  <c r="G1215" i="20"/>
  <c r="K1215" i="20" s="1"/>
  <c r="J1266" i="20"/>
  <c r="G1266" i="20"/>
  <c r="K1266" i="20" s="1"/>
  <c r="J1366" i="20"/>
  <c r="G1366" i="20"/>
  <c r="K1366" i="20" s="1"/>
  <c r="J1357" i="20"/>
  <c r="G1357" i="20"/>
  <c r="K1357" i="20" s="1"/>
  <c r="J1325" i="20"/>
  <c r="G1325" i="20"/>
  <c r="K1325" i="20" s="1"/>
  <c r="J1309" i="20"/>
  <c r="G1309" i="20"/>
  <c r="K1309" i="20" s="1"/>
  <c r="G1288" i="20"/>
  <c r="K1288" i="20" s="1"/>
  <c r="J1288" i="20"/>
  <c r="J1246" i="20"/>
  <c r="G1246" i="20"/>
  <c r="K1246" i="20" s="1"/>
  <c r="J1214" i="20"/>
  <c r="G1214" i="20"/>
  <c r="K1214" i="20" s="1"/>
  <c r="J1224" i="20"/>
  <c r="G1224" i="20"/>
  <c r="K1224" i="20" s="1"/>
  <c r="J1360" i="20"/>
  <c r="G1360" i="20"/>
  <c r="K1360" i="20" s="1"/>
  <c r="J1377" i="20"/>
  <c r="G1377" i="20"/>
  <c r="K1377" i="20" s="1"/>
  <c r="J1314" i="20"/>
  <c r="G1314" i="20"/>
  <c r="K1314" i="20" s="1"/>
  <c r="J1413" i="20"/>
  <c r="G1413" i="20"/>
  <c r="K1413" i="20" s="1"/>
  <c r="J1397" i="20"/>
  <c r="G1397" i="20"/>
  <c r="K1397" i="20" s="1"/>
  <c r="G1383" i="20"/>
  <c r="K1383" i="20" s="1"/>
  <c r="J1383" i="20"/>
  <c r="J1270" i="20"/>
  <c r="G1270" i="20"/>
  <c r="K1270" i="20" s="1"/>
  <c r="G1251" i="20"/>
  <c r="K1251" i="20" s="1"/>
  <c r="J1251" i="20"/>
  <c r="J1237" i="20"/>
  <c r="G1237" i="20"/>
  <c r="K1237" i="20" s="1"/>
  <c r="J1221" i="20"/>
  <c r="G1221" i="20"/>
  <c r="K1221" i="20" s="1"/>
  <c r="J1199" i="20"/>
  <c r="G1199" i="20"/>
  <c r="K1199" i="20" s="1"/>
  <c r="J1374" i="20"/>
  <c r="G1374" i="20"/>
  <c r="K1374" i="20" s="1"/>
  <c r="J1353" i="20"/>
  <c r="G1353" i="20"/>
  <c r="K1353" i="20" s="1"/>
  <c r="J1335" i="20"/>
  <c r="G1335" i="20"/>
  <c r="K1335" i="20" s="1"/>
  <c r="J1319" i="20"/>
  <c r="G1319" i="20"/>
  <c r="K1319" i="20" s="1"/>
  <c r="J1303" i="20"/>
  <c r="G1303" i="20"/>
  <c r="K1303" i="20" s="1"/>
  <c r="J1282" i="20"/>
  <c r="G1282" i="20"/>
  <c r="K1282" i="20" s="1"/>
  <c r="J1242" i="20"/>
  <c r="G1242" i="20"/>
  <c r="K1242" i="20" s="1"/>
  <c r="J1359" i="20"/>
  <c r="G1359" i="20"/>
  <c r="K1359" i="20" s="1"/>
  <c r="G1343" i="20"/>
  <c r="K1343" i="20" s="1"/>
  <c r="J1343" i="20"/>
  <c r="J1232" i="20"/>
  <c r="G1232" i="20"/>
  <c r="K1232" i="20" s="1"/>
  <c r="J1354" i="20"/>
  <c r="G1354" i="20"/>
  <c r="K1354" i="20" s="1"/>
  <c r="J1424" i="20"/>
  <c r="G1424" i="20"/>
  <c r="K1424" i="20" s="1"/>
  <c r="J1322" i="20"/>
  <c r="G1322" i="20"/>
  <c r="K1322" i="20" s="1"/>
  <c r="J1403" i="20"/>
  <c r="G1403" i="20"/>
  <c r="K1403" i="20" s="1"/>
  <c r="J1387" i="20"/>
  <c r="G1387" i="20"/>
  <c r="K1387" i="20" s="1"/>
  <c r="G1259" i="20"/>
  <c r="K1259" i="20" s="1"/>
  <c r="J1259" i="20"/>
  <c r="J1182" i="20"/>
  <c r="G1182" i="20"/>
  <c r="K1182" i="20" s="1"/>
  <c r="J1250" i="20"/>
  <c r="G1250" i="20"/>
  <c r="K1250" i="20" s="1"/>
  <c r="G1310" i="20"/>
  <c r="K1310" i="20" s="1"/>
  <c r="J1310" i="20"/>
  <c r="J1379" i="20"/>
  <c r="G1379" i="20"/>
  <c r="K1379" i="20" s="1"/>
  <c r="J1404" i="20"/>
  <c r="G1404" i="20"/>
  <c r="K1404" i="20" s="1"/>
  <c r="J879" i="20"/>
  <c r="G879" i="20"/>
  <c r="K879" i="20" s="1"/>
  <c r="J887" i="20"/>
  <c r="G887" i="20"/>
  <c r="K887" i="20" s="1"/>
  <c r="J895" i="20"/>
  <c r="G895" i="20"/>
  <c r="K895" i="20" s="1"/>
  <c r="J903" i="20"/>
  <c r="G903" i="20"/>
  <c r="K903" i="20" s="1"/>
  <c r="J911" i="20"/>
  <c r="G911" i="20"/>
  <c r="K911" i="20" s="1"/>
  <c r="J919" i="20"/>
  <c r="G919" i="20"/>
  <c r="K919" i="20" s="1"/>
  <c r="J927" i="20"/>
  <c r="G927" i="20"/>
  <c r="K927" i="20" s="1"/>
  <c r="J935" i="20"/>
  <c r="G935" i="20"/>
  <c r="K935" i="20" s="1"/>
  <c r="J943" i="20"/>
  <c r="G943" i="20"/>
  <c r="K943" i="20" s="1"/>
  <c r="J951" i="20"/>
  <c r="G951" i="20"/>
  <c r="K951" i="20" s="1"/>
  <c r="J960" i="20"/>
  <c r="G960" i="20"/>
  <c r="K960" i="20" s="1"/>
  <c r="J968" i="20"/>
  <c r="G968" i="20"/>
  <c r="K968" i="20" s="1"/>
  <c r="J976" i="20"/>
  <c r="G976" i="20"/>
  <c r="K976" i="20" s="1"/>
  <c r="J984" i="20"/>
  <c r="G984" i="20"/>
  <c r="K984" i="20" s="1"/>
  <c r="J992" i="20"/>
  <c r="G992" i="20"/>
  <c r="K992" i="20" s="1"/>
  <c r="J1000" i="20"/>
  <c r="G1000" i="20"/>
  <c r="K1000" i="20" s="1"/>
  <c r="J1008" i="20"/>
  <c r="G1008" i="20"/>
  <c r="K1008" i="20" s="1"/>
  <c r="J1016" i="20"/>
  <c r="G1016" i="20"/>
  <c r="K1016" i="20" s="1"/>
  <c r="J1025" i="20"/>
  <c r="G1025" i="20"/>
  <c r="K1025" i="20" s="1"/>
  <c r="J1033" i="20"/>
  <c r="G1033" i="20"/>
  <c r="K1033" i="20" s="1"/>
  <c r="J1041" i="20"/>
  <c r="G1041" i="20"/>
  <c r="K1041" i="20" s="1"/>
  <c r="J1049" i="20"/>
  <c r="G1049" i="20"/>
  <c r="K1049" i="20" s="1"/>
  <c r="J1057" i="20"/>
  <c r="G1057" i="20"/>
  <c r="K1057" i="20" s="1"/>
  <c r="J1065" i="20"/>
  <c r="G1065" i="20"/>
  <c r="K1065" i="20" s="1"/>
  <c r="J1074" i="20"/>
  <c r="G1074" i="20"/>
  <c r="K1074" i="20" s="1"/>
  <c r="J1082" i="20"/>
  <c r="G1082" i="20"/>
  <c r="K1082" i="20" s="1"/>
  <c r="J1090" i="20"/>
  <c r="G1090" i="20"/>
  <c r="K1090" i="20" s="1"/>
  <c r="J1098" i="20"/>
  <c r="G1098" i="20"/>
  <c r="K1098" i="20" s="1"/>
  <c r="J1106" i="20"/>
  <c r="G1106" i="20"/>
  <c r="K1106" i="20" s="1"/>
  <c r="J1114" i="20"/>
  <c r="G1114" i="20"/>
  <c r="K1114" i="20" s="1"/>
  <c r="J1123" i="20"/>
  <c r="G1123" i="20"/>
  <c r="K1123" i="20" s="1"/>
  <c r="J1131" i="20"/>
  <c r="G1131" i="20"/>
  <c r="K1131" i="20" s="1"/>
  <c r="J1139" i="20"/>
  <c r="G1139" i="20"/>
  <c r="K1139" i="20" s="1"/>
  <c r="J1147" i="20"/>
  <c r="G1147" i="20"/>
  <c r="K1147" i="20" s="1"/>
  <c r="J1155" i="20"/>
  <c r="G1155" i="20"/>
  <c r="K1155" i="20" s="1"/>
  <c r="J1173" i="20"/>
  <c r="G1173" i="20"/>
  <c r="K1173" i="20" s="1"/>
  <c r="J1190" i="20"/>
  <c r="G1190" i="20"/>
  <c r="K1190" i="20" s="1"/>
  <c r="J1192" i="20"/>
  <c r="G1192" i="20"/>
  <c r="K1192" i="20" s="1"/>
  <c r="G1253" i="20"/>
  <c r="K1253" i="20" s="1"/>
  <c r="J1253" i="20"/>
  <c r="J878" i="20"/>
  <c r="G878" i="20"/>
  <c r="K878" i="20" s="1"/>
  <c r="J886" i="20"/>
  <c r="G886" i="20"/>
  <c r="K886" i="20" s="1"/>
  <c r="J894" i="20"/>
  <c r="G894" i="20"/>
  <c r="K894" i="20" s="1"/>
  <c r="J902" i="20"/>
  <c r="G902" i="20"/>
  <c r="K902" i="20" s="1"/>
  <c r="J910" i="20"/>
  <c r="G910" i="20"/>
  <c r="K910" i="20" s="1"/>
  <c r="J918" i="20"/>
  <c r="G918" i="20"/>
  <c r="K918" i="20" s="1"/>
  <c r="J926" i="20"/>
  <c r="G926" i="20"/>
  <c r="K926" i="20" s="1"/>
  <c r="J934" i="20"/>
  <c r="G934" i="20"/>
  <c r="K934" i="20" s="1"/>
  <c r="J942" i="20"/>
  <c r="G942" i="20"/>
  <c r="K942" i="20" s="1"/>
  <c r="J950" i="20"/>
  <c r="G950" i="20"/>
  <c r="K950" i="20" s="1"/>
  <c r="J958" i="20"/>
  <c r="G958" i="20"/>
  <c r="K958" i="20" s="1"/>
  <c r="J965" i="20"/>
  <c r="G965" i="20"/>
  <c r="K965" i="20" s="1"/>
  <c r="J973" i="20"/>
  <c r="G973" i="20"/>
  <c r="K973" i="20" s="1"/>
  <c r="J981" i="20"/>
  <c r="G981" i="20"/>
  <c r="K981" i="20" s="1"/>
  <c r="J989" i="20"/>
  <c r="G989" i="20"/>
  <c r="K989" i="20" s="1"/>
  <c r="J997" i="20"/>
  <c r="G997" i="20"/>
  <c r="K997" i="20" s="1"/>
  <c r="J1005" i="20"/>
  <c r="G1005" i="20"/>
  <c r="K1005" i="20" s="1"/>
  <c r="J1013" i="20"/>
  <c r="G1013" i="20"/>
  <c r="K1013" i="20" s="1"/>
  <c r="J1020" i="20"/>
  <c r="G1020" i="20"/>
  <c r="K1020" i="20" s="1"/>
  <c r="J1028" i="20"/>
  <c r="G1028" i="20"/>
  <c r="K1028" i="20" s="1"/>
  <c r="J1036" i="20"/>
  <c r="G1036" i="20"/>
  <c r="K1036" i="20" s="1"/>
  <c r="J1044" i="20"/>
  <c r="G1044" i="20"/>
  <c r="K1044" i="20" s="1"/>
  <c r="J1052" i="20"/>
  <c r="G1052" i="20"/>
  <c r="K1052" i="20" s="1"/>
  <c r="J1060" i="20"/>
  <c r="G1060" i="20"/>
  <c r="K1060" i="20" s="1"/>
  <c r="J1068" i="20"/>
  <c r="G1068" i="20"/>
  <c r="K1068" i="20" s="1"/>
  <c r="J1075" i="20"/>
  <c r="G1075" i="20"/>
  <c r="K1075" i="20" s="1"/>
  <c r="J1083" i="20"/>
  <c r="G1083" i="20"/>
  <c r="K1083" i="20" s="1"/>
  <c r="J1091" i="20"/>
  <c r="G1091" i="20"/>
  <c r="K1091" i="20" s="1"/>
  <c r="J1099" i="20"/>
  <c r="G1099" i="20"/>
  <c r="K1099" i="20" s="1"/>
  <c r="J1107" i="20"/>
  <c r="G1107" i="20"/>
  <c r="K1107" i="20" s="1"/>
  <c r="J1115" i="20"/>
  <c r="G1115" i="20"/>
  <c r="K1115" i="20" s="1"/>
  <c r="J1122" i="20"/>
  <c r="G1122" i="20"/>
  <c r="K1122" i="20" s="1"/>
  <c r="J1130" i="20"/>
  <c r="G1130" i="20"/>
  <c r="K1130" i="20" s="1"/>
  <c r="J1138" i="20"/>
  <c r="G1138" i="20"/>
  <c r="K1138" i="20" s="1"/>
  <c r="J1146" i="20"/>
  <c r="G1146" i="20"/>
  <c r="K1146" i="20" s="1"/>
  <c r="J1154" i="20"/>
  <c r="G1154" i="20"/>
  <c r="K1154" i="20" s="1"/>
  <c r="J1159" i="20"/>
  <c r="G1159" i="20"/>
  <c r="K1159" i="20" s="1"/>
  <c r="J1171" i="20"/>
  <c r="G1171" i="20"/>
  <c r="K1171" i="20" s="1"/>
  <c r="J1187" i="20"/>
  <c r="G1187" i="20"/>
  <c r="K1187" i="20" s="1"/>
  <c r="J1204" i="20"/>
  <c r="G1204" i="20"/>
  <c r="K1204" i="20" s="1"/>
  <c r="J1172" i="20"/>
  <c r="G1172" i="20"/>
  <c r="K1172" i="20" s="1"/>
  <c r="J1228" i="20"/>
  <c r="G1228" i="20"/>
  <c r="K1228" i="20" s="1"/>
  <c r="J1316" i="20"/>
  <c r="G1316" i="20"/>
  <c r="K1316" i="20" s="1"/>
  <c r="J1350" i="20"/>
  <c r="G1350" i="20"/>
  <c r="K1350" i="20" s="1"/>
  <c r="J1390" i="20"/>
  <c r="G1390" i="20"/>
  <c r="K1390" i="20" s="1"/>
  <c r="J1406" i="20"/>
  <c r="G1406" i="20"/>
  <c r="K1406" i="20" s="1"/>
  <c r="J1420" i="20"/>
  <c r="G1420" i="20"/>
  <c r="K1420" i="20" s="1"/>
  <c r="J1193" i="20"/>
  <c r="G1193" i="20"/>
  <c r="K1193" i="20" s="1"/>
  <c r="J1162" i="20"/>
  <c r="G1162" i="20"/>
  <c r="K1162" i="20" s="1"/>
  <c r="J1312" i="20"/>
  <c r="G1312" i="20"/>
  <c r="K1312" i="20" s="1"/>
  <c r="J1380" i="20"/>
  <c r="G1380" i="20"/>
  <c r="K1380" i="20" s="1"/>
  <c r="J1408" i="20"/>
  <c r="G1408" i="20"/>
  <c r="K1408" i="20" s="1"/>
  <c r="J1205" i="20"/>
  <c r="G1205" i="20"/>
  <c r="K1205" i="20" s="1"/>
  <c r="J1174" i="20"/>
  <c r="G1174" i="20"/>
  <c r="K1174" i="20" s="1"/>
  <c r="G1261" i="20"/>
  <c r="K1261" i="20" s="1"/>
  <c r="J1261" i="20"/>
  <c r="J1324" i="20"/>
  <c r="G1324" i="20"/>
  <c r="K1324" i="20" s="1"/>
  <c r="J1382" i="20"/>
  <c r="G1382" i="20"/>
  <c r="K1382" i="20" s="1"/>
  <c r="J1412" i="20"/>
  <c r="G1412" i="20"/>
  <c r="K1412" i="20" s="1"/>
  <c r="J881" i="20"/>
  <c r="G881" i="20"/>
  <c r="K881" i="20" s="1"/>
  <c r="J889" i="20"/>
  <c r="G889" i="20"/>
  <c r="K889" i="20" s="1"/>
  <c r="J897" i="20"/>
  <c r="G897" i="20"/>
  <c r="K897" i="20" s="1"/>
  <c r="J905" i="20"/>
  <c r="G905" i="20"/>
  <c r="K905" i="20" s="1"/>
  <c r="J913" i="20"/>
  <c r="G913" i="20"/>
  <c r="K913" i="20" s="1"/>
  <c r="J921" i="20"/>
  <c r="G921" i="20"/>
  <c r="K921" i="20" s="1"/>
  <c r="J929" i="20"/>
  <c r="G929" i="20"/>
  <c r="K929" i="20" s="1"/>
  <c r="J937" i="20"/>
  <c r="G937" i="20"/>
  <c r="K937" i="20" s="1"/>
  <c r="J945" i="20"/>
  <c r="G945" i="20"/>
  <c r="K945" i="20" s="1"/>
  <c r="J953" i="20"/>
  <c r="G953" i="20"/>
  <c r="K953" i="20" s="1"/>
  <c r="J962" i="20"/>
  <c r="G962" i="20"/>
  <c r="K962" i="20" s="1"/>
  <c r="J970" i="20"/>
  <c r="G970" i="20"/>
  <c r="K970" i="20" s="1"/>
  <c r="J978" i="20"/>
  <c r="G978" i="20"/>
  <c r="K978" i="20" s="1"/>
  <c r="J986" i="20"/>
  <c r="G986" i="20"/>
  <c r="K986" i="20" s="1"/>
  <c r="J994" i="20"/>
  <c r="G994" i="20"/>
  <c r="K994" i="20" s="1"/>
  <c r="J1002" i="20"/>
  <c r="G1002" i="20"/>
  <c r="K1002" i="20" s="1"/>
  <c r="J1010" i="20"/>
  <c r="G1010" i="20"/>
  <c r="K1010" i="20" s="1"/>
  <c r="J1018" i="20"/>
  <c r="G1018" i="20"/>
  <c r="K1018" i="20" s="1"/>
  <c r="J1027" i="20"/>
  <c r="G1027" i="20"/>
  <c r="K1027" i="20" s="1"/>
  <c r="J1035" i="20"/>
  <c r="G1035" i="20"/>
  <c r="K1035" i="20" s="1"/>
  <c r="J1043" i="20"/>
  <c r="G1043" i="20"/>
  <c r="K1043" i="20" s="1"/>
  <c r="J1051" i="20"/>
  <c r="G1051" i="20"/>
  <c r="K1051" i="20" s="1"/>
  <c r="J1059" i="20"/>
  <c r="G1059" i="20"/>
  <c r="K1059" i="20" s="1"/>
  <c r="J1067" i="20"/>
  <c r="G1067" i="20"/>
  <c r="K1067" i="20" s="1"/>
  <c r="J1076" i="20"/>
  <c r="G1076" i="20"/>
  <c r="K1076" i="20" s="1"/>
  <c r="J1084" i="20"/>
  <c r="G1084" i="20"/>
  <c r="K1084" i="20" s="1"/>
  <c r="J1092" i="20"/>
  <c r="G1092" i="20"/>
  <c r="K1092" i="20" s="1"/>
  <c r="J1100" i="20"/>
  <c r="G1100" i="20"/>
  <c r="K1100" i="20" s="1"/>
  <c r="J1108" i="20"/>
  <c r="G1108" i="20"/>
  <c r="K1108" i="20" s="1"/>
  <c r="J1116" i="20"/>
  <c r="G1116" i="20"/>
  <c r="K1116" i="20" s="1"/>
  <c r="J1125" i="20"/>
  <c r="G1125" i="20"/>
  <c r="K1125" i="20" s="1"/>
  <c r="J1133" i="20"/>
  <c r="G1133" i="20"/>
  <c r="K1133" i="20" s="1"/>
  <c r="J1141" i="20"/>
  <c r="G1141" i="20"/>
  <c r="K1141" i="20" s="1"/>
  <c r="J1149" i="20"/>
  <c r="G1149" i="20"/>
  <c r="K1149" i="20" s="1"/>
  <c r="J1161" i="20"/>
  <c r="G1161" i="20"/>
  <c r="K1161" i="20" s="1"/>
  <c r="J1177" i="20"/>
  <c r="G1177" i="20"/>
  <c r="K1177" i="20" s="1"/>
  <c r="J1198" i="20"/>
  <c r="G1198" i="20"/>
  <c r="K1198" i="20" s="1"/>
  <c r="J1184" i="20"/>
  <c r="G1184" i="20"/>
  <c r="K1184" i="20" s="1"/>
  <c r="G1302" i="20"/>
  <c r="K1302" i="20" s="1"/>
  <c r="J1302" i="20"/>
  <c r="J884" i="20"/>
  <c r="G884" i="20"/>
  <c r="K884" i="20" s="1"/>
  <c r="J892" i="20"/>
  <c r="G892" i="20"/>
  <c r="K892" i="20" s="1"/>
  <c r="J900" i="20"/>
  <c r="G900" i="20"/>
  <c r="K900" i="20" s="1"/>
  <c r="J908" i="20"/>
  <c r="G908" i="20"/>
  <c r="K908" i="20" s="1"/>
  <c r="J916" i="20"/>
  <c r="G916" i="20"/>
  <c r="K916" i="20" s="1"/>
  <c r="J924" i="20"/>
  <c r="G924" i="20"/>
  <c r="K924" i="20" s="1"/>
  <c r="J932" i="20"/>
  <c r="G932" i="20"/>
  <c r="K932" i="20" s="1"/>
  <c r="J940" i="20"/>
  <c r="G940" i="20"/>
  <c r="K940" i="20" s="1"/>
  <c r="J948" i="20"/>
  <c r="G948" i="20"/>
  <c r="K948" i="20" s="1"/>
  <c r="J956" i="20"/>
  <c r="G956" i="20"/>
  <c r="K956" i="20" s="1"/>
  <c r="J963" i="20"/>
  <c r="G963" i="20"/>
  <c r="K963" i="20" s="1"/>
  <c r="J971" i="20"/>
  <c r="G971" i="20"/>
  <c r="K971" i="20" s="1"/>
  <c r="J979" i="20"/>
  <c r="G979" i="20"/>
  <c r="K979" i="20" s="1"/>
  <c r="J987" i="20"/>
  <c r="G987" i="20"/>
  <c r="K987" i="20" s="1"/>
  <c r="J995" i="20"/>
  <c r="G995" i="20"/>
  <c r="K995" i="20" s="1"/>
  <c r="J1003" i="20"/>
  <c r="G1003" i="20"/>
  <c r="K1003" i="20" s="1"/>
  <c r="J1011" i="20"/>
  <c r="G1011" i="20"/>
  <c r="K1011" i="20" s="1"/>
  <c r="J1019" i="20"/>
  <c r="G1019" i="20"/>
  <c r="K1019" i="20" s="1"/>
  <c r="J1026" i="20"/>
  <c r="G1026" i="20"/>
  <c r="K1026" i="20" s="1"/>
  <c r="J1034" i="20"/>
  <c r="G1034" i="20"/>
  <c r="K1034" i="20" s="1"/>
  <c r="J1042" i="20"/>
  <c r="G1042" i="20"/>
  <c r="K1042" i="20" s="1"/>
  <c r="J1050" i="20"/>
  <c r="G1050" i="20"/>
  <c r="K1050" i="20" s="1"/>
  <c r="J1058" i="20"/>
  <c r="G1058" i="20"/>
  <c r="K1058" i="20" s="1"/>
  <c r="J1066" i="20"/>
  <c r="G1066" i="20"/>
  <c r="K1066" i="20" s="1"/>
  <c r="J1073" i="20"/>
  <c r="G1073" i="20"/>
  <c r="K1073" i="20" s="1"/>
  <c r="J1081" i="20"/>
  <c r="G1081" i="20"/>
  <c r="K1081" i="20" s="1"/>
  <c r="J1089" i="20"/>
  <c r="G1089" i="20"/>
  <c r="K1089" i="20" s="1"/>
  <c r="J1097" i="20"/>
  <c r="G1097" i="20"/>
  <c r="K1097" i="20" s="1"/>
  <c r="J1105" i="20"/>
  <c r="G1105" i="20"/>
  <c r="K1105" i="20" s="1"/>
  <c r="J1113" i="20"/>
  <c r="G1113" i="20"/>
  <c r="K1113" i="20" s="1"/>
  <c r="J1121" i="20"/>
  <c r="G1121" i="20"/>
  <c r="K1121" i="20" s="1"/>
  <c r="J1128" i="20"/>
  <c r="G1128" i="20"/>
  <c r="K1128" i="20" s="1"/>
  <c r="J1136" i="20"/>
  <c r="G1136" i="20"/>
  <c r="K1136" i="20" s="1"/>
  <c r="J1144" i="20"/>
  <c r="G1144" i="20"/>
  <c r="K1144" i="20" s="1"/>
  <c r="J1152" i="20"/>
  <c r="G1152" i="20"/>
  <c r="K1152" i="20" s="1"/>
  <c r="J1158" i="20"/>
  <c r="G1158" i="20"/>
  <c r="K1158" i="20" s="1"/>
  <c r="J1167" i="20"/>
  <c r="G1167" i="20"/>
  <c r="K1167" i="20" s="1"/>
  <c r="J1183" i="20"/>
  <c r="G1183" i="20"/>
  <c r="K1183" i="20" s="1"/>
  <c r="J1206" i="20"/>
  <c r="G1206" i="20"/>
  <c r="K1206" i="20" s="1"/>
  <c r="J1180" i="20"/>
  <c r="G1180" i="20"/>
  <c r="K1180" i="20" s="1"/>
  <c r="G1212" i="20"/>
  <c r="K1212" i="20" s="1"/>
  <c r="J1212" i="20"/>
  <c r="J1269" i="20"/>
  <c r="G1269" i="20"/>
  <c r="K1269" i="20" s="1"/>
  <c r="J1346" i="20"/>
  <c r="G1346" i="20"/>
  <c r="K1346" i="20" s="1"/>
  <c r="J1386" i="20"/>
  <c r="G1386" i="20"/>
  <c r="K1386" i="20" s="1"/>
  <c r="J1402" i="20"/>
  <c r="G1402" i="20"/>
  <c r="K1402" i="20" s="1"/>
  <c r="J1418" i="20"/>
  <c r="G1418" i="20"/>
  <c r="K1418" i="20" s="1"/>
  <c r="J1201" i="20"/>
  <c r="G1201" i="20"/>
  <c r="K1201" i="20" s="1"/>
  <c r="J1170" i="20"/>
  <c r="G1170" i="20"/>
  <c r="K1170" i="20" s="1"/>
  <c r="J1265" i="20"/>
  <c r="G1265" i="20"/>
  <c r="K1265" i="20" s="1"/>
  <c r="G1326" i="20"/>
  <c r="K1326" i="20" s="1"/>
  <c r="J1326" i="20"/>
  <c r="J1384" i="20"/>
  <c r="G1384" i="20"/>
  <c r="K1384" i="20" s="1"/>
  <c r="J1416" i="20"/>
  <c r="G1416" i="20"/>
  <c r="K1416" i="20" s="1"/>
  <c r="J1209" i="20"/>
  <c r="G1209" i="20"/>
  <c r="K1209" i="20" s="1"/>
  <c r="J1281" i="20"/>
  <c r="G1281" i="20"/>
  <c r="K1281" i="20" s="1"/>
  <c r="J1287" i="20"/>
  <c r="G1287" i="20"/>
  <c r="K1287" i="20" s="1"/>
  <c r="J1256" i="20"/>
  <c r="G1256" i="20"/>
  <c r="K1256" i="20" s="1"/>
  <c r="J1235" i="20"/>
  <c r="G1235" i="20"/>
  <c r="K1235" i="20" s="1"/>
  <c r="J1219" i="20"/>
  <c r="G1219" i="20"/>
  <c r="K1219" i="20" s="1"/>
  <c r="J1195" i="20"/>
  <c r="G1195" i="20"/>
  <c r="K1195" i="20" s="1"/>
  <c r="J1370" i="20"/>
  <c r="G1370" i="20"/>
  <c r="K1370" i="20" s="1"/>
  <c r="G1364" i="20"/>
  <c r="K1364" i="20" s="1"/>
  <c r="J1364" i="20"/>
  <c r="J1329" i="20"/>
  <c r="G1329" i="20"/>
  <c r="K1329" i="20" s="1"/>
  <c r="J1313" i="20"/>
  <c r="G1313" i="20"/>
  <c r="K1313" i="20" s="1"/>
  <c r="J1297" i="20"/>
  <c r="G1297" i="20"/>
  <c r="K1297" i="20" s="1"/>
  <c r="G1255" i="20"/>
  <c r="K1255" i="20" s="1"/>
  <c r="J1255" i="20"/>
  <c r="J1222" i="20"/>
  <c r="G1222" i="20"/>
  <c r="K1222" i="20" s="1"/>
  <c r="J1248" i="20"/>
  <c r="G1248" i="20"/>
  <c r="K1248" i="20" s="1"/>
  <c r="J1367" i="20"/>
  <c r="G1367" i="20"/>
  <c r="K1367" i="20" s="1"/>
  <c r="J1308" i="20"/>
  <c r="G1308" i="20"/>
  <c r="K1308" i="20" s="1"/>
  <c r="J1426" i="20"/>
  <c r="G1426" i="20"/>
  <c r="K1426" i="20" s="1"/>
  <c r="J1344" i="20"/>
  <c r="G1344" i="20"/>
  <c r="K1344" i="20" s="1"/>
  <c r="J1417" i="20"/>
  <c r="G1417" i="20"/>
  <c r="K1417" i="20" s="1"/>
  <c r="J1401" i="20"/>
  <c r="G1401" i="20"/>
  <c r="K1401" i="20" s="1"/>
  <c r="J1385" i="20"/>
  <c r="G1385" i="20"/>
  <c r="K1385" i="20" s="1"/>
  <c r="J1278" i="20"/>
  <c r="G1278" i="20"/>
  <c r="K1278" i="20" s="1"/>
  <c r="J1264" i="20"/>
  <c r="G1264" i="20"/>
  <c r="K1264" i="20" s="1"/>
  <c r="J1241" i="20"/>
  <c r="G1241" i="20"/>
  <c r="K1241" i="20" s="1"/>
  <c r="J1225" i="20"/>
  <c r="G1225" i="20"/>
  <c r="K1225" i="20" s="1"/>
  <c r="J1207" i="20"/>
  <c r="G1207" i="20"/>
  <c r="K1207" i="20" s="1"/>
  <c r="J1378" i="20"/>
  <c r="G1378" i="20"/>
  <c r="K1378" i="20" s="1"/>
  <c r="J1361" i="20"/>
  <c r="G1361" i="20"/>
  <c r="K1361" i="20" s="1"/>
  <c r="J1336" i="20"/>
  <c r="G1336" i="20"/>
  <c r="K1336" i="20" s="1"/>
  <c r="J1323" i="20"/>
  <c r="G1323" i="20"/>
  <c r="K1323" i="20" s="1"/>
  <c r="J1307" i="20"/>
  <c r="G1307" i="20"/>
  <c r="K1307" i="20" s="1"/>
  <c r="J1290" i="20"/>
  <c r="G1290" i="20"/>
  <c r="K1290" i="20" s="1"/>
  <c r="J1252" i="20"/>
  <c r="G1252" i="20"/>
  <c r="K1252" i="20" s="1"/>
  <c r="J1218" i="20"/>
  <c r="G1218" i="20"/>
  <c r="K1218" i="20" s="1"/>
  <c r="J1347" i="20"/>
  <c r="G1347" i="20"/>
  <c r="K1347" i="20" s="1"/>
  <c r="G1240" i="20"/>
  <c r="K1240" i="20" s="1"/>
  <c r="J1240" i="20"/>
  <c r="J1362" i="20"/>
  <c r="G1362" i="20"/>
  <c r="K1362" i="20" s="1"/>
  <c r="J1304" i="20"/>
  <c r="G1304" i="20"/>
  <c r="K1304" i="20" s="1"/>
  <c r="J1428" i="20"/>
  <c r="G1428" i="20"/>
  <c r="K1428" i="20" s="1"/>
  <c r="J1330" i="20"/>
  <c r="G1330" i="20"/>
  <c r="K1330" i="20" s="1"/>
  <c r="J1407" i="20"/>
  <c r="G1407" i="20"/>
  <c r="K1407" i="20" s="1"/>
  <c r="J1391" i="20"/>
  <c r="G1391" i="20"/>
  <c r="K1391" i="20" s="1"/>
  <c r="G1289" i="20"/>
  <c r="K1289" i="20" s="1"/>
  <c r="J1289" i="20"/>
  <c r="G1272" i="20"/>
  <c r="K1272" i="20" s="1"/>
  <c r="J1272" i="20"/>
  <c r="J1260" i="20"/>
  <c r="G1260" i="20"/>
  <c r="K1260" i="20" s="1"/>
  <c r="J1239" i="20"/>
  <c r="G1239" i="20"/>
  <c r="K1239" i="20" s="1"/>
  <c r="J1223" i="20"/>
  <c r="G1223" i="20"/>
  <c r="K1223" i="20" s="1"/>
  <c r="J1203" i="20"/>
  <c r="G1203" i="20"/>
  <c r="K1203" i="20" s="1"/>
  <c r="J1254" i="20"/>
  <c r="G1254" i="20"/>
  <c r="K1254" i="20" s="1"/>
  <c r="J1372" i="20"/>
  <c r="G1372" i="20"/>
  <c r="K1372" i="20" s="1"/>
  <c r="J1333" i="20"/>
  <c r="G1333" i="20"/>
  <c r="K1333" i="20" s="1"/>
  <c r="J1317" i="20"/>
  <c r="G1317" i="20"/>
  <c r="K1317" i="20" s="1"/>
  <c r="J1301" i="20"/>
  <c r="G1301" i="20"/>
  <c r="K1301" i="20" s="1"/>
  <c r="J1263" i="20"/>
  <c r="G1263" i="20"/>
  <c r="K1263" i="20" s="1"/>
  <c r="J1230" i="20"/>
  <c r="G1230" i="20"/>
  <c r="K1230" i="20" s="1"/>
  <c r="J1286" i="20"/>
  <c r="G1286" i="20"/>
  <c r="K1286" i="20" s="1"/>
  <c r="J1421" i="20"/>
  <c r="G1421" i="20"/>
  <c r="K1421" i="20" s="1"/>
  <c r="J1332" i="20"/>
  <c r="G1332" i="20"/>
  <c r="K1332" i="20" s="1"/>
  <c r="J1358" i="20"/>
  <c r="G1358" i="20"/>
  <c r="K1358" i="20" s="1"/>
  <c r="J1298" i="20"/>
  <c r="G1298" i="20"/>
  <c r="K1298" i="20" s="1"/>
  <c r="J1405" i="20"/>
  <c r="G1405" i="20"/>
  <c r="K1405" i="20" s="1"/>
  <c r="J1389" i="20"/>
  <c r="G1389" i="20"/>
  <c r="K1389" i="20" s="1"/>
  <c r="J1285" i="20"/>
  <c r="G1285" i="20"/>
  <c r="K1285" i="20" s="1"/>
  <c r="J1283" i="20"/>
  <c r="G1283" i="20"/>
  <c r="K1283" i="20" s="1"/>
  <c r="J1245" i="20"/>
  <c r="G1245" i="20"/>
  <c r="K1245" i="20" s="1"/>
  <c r="J1229" i="20"/>
  <c r="G1229" i="20"/>
  <c r="K1229" i="20" s="1"/>
  <c r="J1213" i="20"/>
  <c r="G1213" i="20"/>
  <c r="K1213" i="20" s="1"/>
  <c r="J1258" i="20"/>
  <c r="G1258" i="20"/>
  <c r="K1258" i="20" s="1"/>
  <c r="J1368" i="20"/>
  <c r="G1368" i="20"/>
  <c r="K1368" i="20" s="1"/>
  <c r="J1341" i="20"/>
  <c r="G1341" i="20"/>
  <c r="K1341" i="20" s="1"/>
  <c r="J1327" i="20"/>
  <c r="G1327" i="20"/>
  <c r="K1327" i="20" s="1"/>
  <c r="J1311" i="20"/>
  <c r="G1311" i="20"/>
  <c r="K1311" i="20" s="1"/>
  <c r="J1295" i="20"/>
  <c r="G1295" i="20"/>
  <c r="K1295" i="20" s="1"/>
  <c r="J1257" i="20"/>
  <c r="G1257" i="20"/>
  <c r="K1257" i="20" s="1"/>
  <c r="J1226" i="20"/>
  <c r="G1226" i="20"/>
  <c r="K1226" i="20" s="1"/>
  <c r="J1351" i="20"/>
  <c r="G1351" i="20"/>
  <c r="K1351" i="20" s="1"/>
  <c r="G1292" i="20"/>
  <c r="K1292" i="20" s="1"/>
  <c r="J1292" i="20"/>
  <c r="G1371" i="20"/>
  <c r="K1371" i="20" s="1"/>
  <c r="J1371" i="20"/>
  <c r="J1328" i="20"/>
  <c r="G1328" i="20"/>
  <c r="K1328" i="20" s="1"/>
  <c r="J1338" i="20"/>
  <c r="G1338" i="20"/>
  <c r="K1338" i="20" s="1"/>
  <c r="J1411" i="20"/>
  <c r="G1411" i="20"/>
  <c r="K1411" i="20" s="1"/>
  <c r="J1395" i="20"/>
  <c r="G1395" i="20"/>
  <c r="K1395" i="20" s="1"/>
  <c r="G1296" i="20"/>
  <c r="K1296" i="20" s="1"/>
  <c r="J1296" i="20"/>
  <c r="J1197" i="20"/>
  <c r="G1197" i="20"/>
  <c r="K1197" i="20" s="1"/>
  <c r="J1166" i="20"/>
  <c r="G1166" i="20"/>
  <c r="K1166" i="20" s="1"/>
  <c r="G1273" i="20"/>
  <c r="K1273" i="20" s="1"/>
  <c r="J1273" i="20"/>
  <c r="J1340" i="20"/>
  <c r="G1340" i="20"/>
  <c r="K1340" i="20" s="1"/>
  <c r="J1388" i="20"/>
  <c r="G1388" i="20"/>
  <c r="K1388" i="20" s="1"/>
  <c r="J1422" i="20"/>
  <c r="G1422" i="20"/>
  <c r="K1422" i="20" s="1"/>
  <c r="J883" i="20"/>
  <c r="G883" i="20"/>
  <c r="K883" i="20" s="1"/>
  <c r="J891" i="20"/>
  <c r="G891" i="20"/>
  <c r="K891" i="20" s="1"/>
  <c r="J899" i="20"/>
  <c r="G899" i="20"/>
  <c r="K899" i="20" s="1"/>
  <c r="J907" i="20"/>
  <c r="G907" i="20"/>
  <c r="K907" i="20" s="1"/>
  <c r="J915" i="20"/>
  <c r="G915" i="20"/>
  <c r="K915" i="20" s="1"/>
  <c r="J923" i="20"/>
  <c r="G923" i="20"/>
  <c r="K923" i="20" s="1"/>
  <c r="J931" i="20"/>
  <c r="G931" i="20"/>
  <c r="K931" i="20" s="1"/>
  <c r="J939" i="20"/>
  <c r="G939" i="20"/>
  <c r="K939" i="20" s="1"/>
  <c r="J947" i="20"/>
  <c r="G947" i="20"/>
  <c r="K947" i="20" s="1"/>
  <c r="J955" i="20"/>
  <c r="G955" i="20"/>
  <c r="K955" i="20" s="1"/>
  <c r="J964" i="20"/>
  <c r="G964" i="20"/>
  <c r="K964" i="20" s="1"/>
  <c r="J972" i="20"/>
  <c r="G972" i="20"/>
  <c r="K972" i="20" s="1"/>
  <c r="J980" i="20"/>
  <c r="G980" i="20"/>
  <c r="K980" i="20" s="1"/>
  <c r="J988" i="20"/>
  <c r="G988" i="20"/>
  <c r="K988" i="20" s="1"/>
  <c r="J996" i="20"/>
  <c r="G996" i="20"/>
  <c r="K996" i="20" s="1"/>
  <c r="J1004" i="20"/>
  <c r="G1004" i="20"/>
  <c r="K1004" i="20" s="1"/>
  <c r="J1012" i="20"/>
  <c r="G1012" i="20"/>
  <c r="K1012" i="20" s="1"/>
  <c r="J1021" i="20"/>
  <c r="G1021" i="20"/>
  <c r="K1021" i="20" s="1"/>
  <c r="J1029" i="20"/>
  <c r="G1029" i="20"/>
  <c r="K1029" i="20" s="1"/>
  <c r="J1037" i="20"/>
  <c r="G1037" i="20"/>
  <c r="K1037" i="20" s="1"/>
  <c r="J1045" i="20"/>
  <c r="G1045" i="20"/>
  <c r="K1045" i="20" s="1"/>
  <c r="J1053" i="20"/>
  <c r="G1053" i="20"/>
  <c r="K1053" i="20" s="1"/>
  <c r="J1061" i="20"/>
  <c r="G1061" i="20"/>
  <c r="K1061" i="20" s="1"/>
  <c r="J1070" i="20"/>
  <c r="G1070" i="20"/>
  <c r="K1070" i="20" s="1"/>
  <c r="J1078" i="20"/>
  <c r="G1078" i="20"/>
  <c r="K1078" i="20" s="1"/>
  <c r="J1086" i="20"/>
  <c r="G1086" i="20"/>
  <c r="K1086" i="20" s="1"/>
  <c r="J1094" i="20"/>
  <c r="G1094" i="20"/>
  <c r="K1094" i="20" s="1"/>
  <c r="J1102" i="20"/>
  <c r="G1102" i="20"/>
  <c r="K1102" i="20" s="1"/>
  <c r="J1110" i="20"/>
  <c r="G1110" i="20"/>
  <c r="K1110" i="20" s="1"/>
  <c r="J1118" i="20"/>
  <c r="G1118" i="20"/>
  <c r="K1118" i="20" s="1"/>
  <c r="J1127" i="20"/>
  <c r="G1127" i="20"/>
  <c r="K1127" i="20" s="1"/>
  <c r="J1135" i="20"/>
  <c r="G1135" i="20"/>
  <c r="K1135" i="20" s="1"/>
  <c r="J1143" i="20"/>
  <c r="G1143" i="20"/>
  <c r="K1143" i="20" s="1"/>
  <c r="J1151" i="20"/>
  <c r="G1151" i="20"/>
  <c r="K1151" i="20" s="1"/>
  <c r="J1165" i="20"/>
  <c r="G1165" i="20"/>
  <c r="K1165" i="20" s="1"/>
  <c r="J1181" i="20"/>
  <c r="G1181" i="20"/>
  <c r="K1181" i="20" s="1"/>
  <c r="J1208" i="20"/>
  <c r="G1208" i="20"/>
  <c r="K1208" i="20" s="1"/>
  <c r="J1176" i="20"/>
  <c r="G1176" i="20"/>
  <c r="K1176" i="20" s="1"/>
  <c r="G1334" i="20"/>
  <c r="K1334" i="20" s="1"/>
  <c r="J1334" i="20"/>
  <c r="J882" i="20"/>
  <c r="G882" i="20"/>
  <c r="K882" i="20" s="1"/>
  <c r="J890" i="20"/>
  <c r="G890" i="20"/>
  <c r="K890" i="20" s="1"/>
  <c r="J898" i="20"/>
  <c r="G898" i="20"/>
  <c r="K898" i="20" s="1"/>
  <c r="J906" i="20"/>
  <c r="G906" i="20"/>
  <c r="K906" i="20" s="1"/>
  <c r="J914" i="20"/>
  <c r="G914" i="20"/>
  <c r="K914" i="20" s="1"/>
  <c r="J922" i="20"/>
  <c r="G922" i="20"/>
  <c r="K922" i="20" s="1"/>
  <c r="J930" i="20"/>
  <c r="G930" i="20"/>
  <c r="K930" i="20" s="1"/>
  <c r="J938" i="20"/>
  <c r="G938" i="20"/>
  <c r="K938" i="20" s="1"/>
  <c r="J946" i="20"/>
  <c r="G946" i="20"/>
  <c r="K946" i="20" s="1"/>
  <c r="J954" i="20"/>
  <c r="G954" i="20"/>
  <c r="K954" i="20" s="1"/>
  <c r="J961" i="20"/>
  <c r="G961" i="20"/>
  <c r="K961" i="20" s="1"/>
  <c r="J969" i="20"/>
  <c r="G969" i="20"/>
  <c r="K969" i="20" s="1"/>
  <c r="J977" i="20"/>
  <c r="G977" i="20"/>
  <c r="K977" i="20" s="1"/>
  <c r="J985" i="20"/>
  <c r="G985" i="20"/>
  <c r="K985" i="20" s="1"/>
  <c r="J993" i="20"/>
  <c r="G993" i="20"/>
  <c r="K993" i="20" s="1"/>
  <c r="J1001" i="20"/>
  <c r="G1001" i="20"/>
  <c r="K1001" i="20" s="1"/>
  <c r="J1009" i="20"/>
  <c r="G1009" i="20"/>
  <c r="K1009" i="20" s="1"/>
  <c r="J1017" i="20"/>
  <c r="G1017" i="20"/>
  <c r="K1017" i="20" s="1"/>
  <c r="J1024" i="20"/>
  <c r="G1024" i="20"/>
  <c r="K1024" i="20" s="1"/>
  <c r="J1032" i="20"/>
  <c r="G1032" i="20"/>
  <c r="K1032" i="20" s="1"/>
  <c r="J1040" i="20"/>
  <c r="G1040" i="20"/>
  <c r="K1040" i="20" s="1"/>
  <c r="J1048" i="20"/>
  <c r="G1048" i="20"/>
  <c r="K1048" i="20" s="1"/>
  <c r="J1056" i="20"/>
  <c r="G1056" i="20"/>
  <c r="K1056" i="20" s="1"/>
  <c r="J1064" i="20"/>
  <c r="G1064" i="20"/>
  <c r="K1064" i="20" s="1"/>
  <c r="J1071" i="20"/>
  <c r="G1071" i="20"/>
  <c r="K1071" i="20" s="1"/>
  <c r="J1079" i="20"/>
  <c r="G1079" i="20"/>
  <c r="K1079" i="20" s="1"/>
  <c r="J1087" i="20"/>
  <c r="G1087" i="20"/>
  <c r="K1087" i="20" s="1"/>
  <c r="J1095" i="20"/>
  <c r="G1095" i="20"/>
  <c r="K1095" i="20" s="1"/>
  <c r="J1103" i="20"/>
  <c r="G1103" i="20"/>
  <c r="K1103" i="20" s="1"/>
  <c r="J1111" i="20"/>
  <c r="G1111" i="20"/>
  <c r="K1111" i="20" s="1"/>
  <c r="J1119" i="20"/>
  <c r="G1119" i="20"/>
  <c r="K1119" i="20" s="1"/>
  <c r="J1126" i="20"/>
  <c r="G1126" i="20"/>
  <c r="K1126" i="20" s="1"/>
  <c r="J1134" i="20"/>
  <c r="G1134" i="20"/>
  <c r="K1134" i="20" s="1"/>
  <c r="J1142" i="20"/>
  <c r="G1142" i="20"/>
  <c r="K1142" i="20" s="1"/>
  <c r="J1150" i="20"/>
  <c r="G1150" i="20"/>
  <c r="K1150" i="20" s="1"/>
  <c r="J1157" i="20"/>
  <c r="G1157" i="20"/>
  <c r="K1157" i="20" s="1"/>
  <c r="J1163" i="20"/>
  <c r="G1163" i="20"/>
  <c r="K1163" i="20" s="1"/>
  <c r="J1179" i="20"/>
  <c r="G1179" i="20"/>
  <c r="K1179" i="20" s="1"/>
  <c r="J1200" i="20"/>
  <c r="G1200" i="20"/>
  <c r="K1200" i="20" s="1"/>
  <c r="J1188" i="20"/>
  <c r="G1188" i="20"/>
  <c r="K1188" i="20" s="1"/>
  <c r="J1210" i="20"/>
  <c r="G1210" i="20"/>
  <c r="K1210" i="20" s="1"/>
  <c r="J1267" i="20"/>
  <c r="G1267" i="20"/>
  <c r="K1267" i="20" s="1"/>
  <c r="J1320" i="20"/>
  <c r="G1320" i="20"/>
  <c r="K1320" i="20" s="1"/>
  <c r="J1375" i="20"/>
  <c r="G1375" i="20"/>
  <c r="K1375" i="20" s="1"/>
  <c r="J1398" i="20"/>
  <c r="G1398" i="20"/>
  <c r="K1398" i="20" s="1"/>
  <c r="J1414" i="20"/>
  <c r="G1414" i="20"/>
  <c r="K1414" i="20" s="1"/>
  <c r="J1429" i="20"/>
  <c r="G1429" i="20"/>
  <c r="K1429" i="20" s="1"/>
  <c r="J1178" i="20"/>
  <c r="G1178" i="20"/>
  <c r="K1178" i="20" s="1"/>
  <c r="J1275" i="20"/>
  <c r="G1275" i="20"/>
  <c r="K1275" i="20" s="1"/>
  <c r="J1348" i="20"/>
  <c r="G1348" i="20"/>
  <c r="K1348" i="20" s="1"/>
  <c r="J1392" i="20"/>
  <c r="G1392" i="20"/>
  <c r="K1392" i="20" s="1"/>
  <c r="J1423" i="20"/>
  <c r="G1423" i="20"/>
  <c r="K1423" i="20" s="1"/>
  <c r="J1189" i="20"/>
  <c r="G1189" i="20"/>
  <c r="K1189" i="20" s="1"/>
  <c r="J1220" i="20"/>
  <c r="G1220" i="20"/>
  <c r="K1220" i="20" s="1"/>
  <c r="G1277" i="20"/>
  <c r="K1277" i="20" s="1"/>
  <c r="J1277" i="20"/>
  <c r="G1365" i="20"/>
  <c r="K1365" i="20" s="1"/>
  <c r="J1365" i="20"/>
  <c r="J1396" i="20"/>
  <c r="G1396" i="20"/>
  <c r="K1396" i="20" s="1"/>
  <c r="J1427" i="20"/>
  <c r="G1427" i="20"/>
  <c r="K1427" i="20" s="1"/>
  <c r="J885" i="20"/>
  <c r="G885" i="20"/>
  <c r="K885" i="20" s="1"/>
  <c r="J893" i="20"/>
  <c r="G893" i="20"/>
  <c r="K893" i="20" s="1"/>
  <c r="J901" i="20"/>
  <c r="G901" i="20"/>
  <c r="K901" i="20" s="1"/>
  <c r="J909" i="20"/>
  <c r="G909" i="20"/>
  <c r="K909" i="20" s="1"/>
  <c r="J917" i="20"/>
  <c r="G917" i="20"/>
  <c r="K917" i="20" s="1"/>
  <c r="J925" i="20"/>
  <c r="G925" i="20"/>
  <c r="K925" i="20" s="1"/>
  <c r="J933" i="20"/>
  <c r="G933" i="20"/>
  <c r="K933" i="20" s="1"/>
  <c r="J941" i="20"/>
  <c r="G941" i="20"/>
  <c r="K941" i="20" s="1"/>
  <c r="J949" i="20"/>
  <c r="G949" i="20"/>
  <c r="K949" i="20" s="1"/>
  <c r="J957" i="20"/>
  <c r="G957" i="20"/>
  <c r="K957" i="20" s="1"/>
  <c r="J966" i="20"/>
  <c r="G966" i="20"/>
  <c r="K966" i="20" s="1"/>
  <c r="J974" i="20"/>
  <c r="G974" i="20"/>
  <c r="K974" i="20" s="1"/>
  <c r="J982" i="20"/>
  <c r="G982" i="20"/>
  <c r="K982" i="20" s="1"/>
  <c r="J990" i="20"/>
  <c r="G990" i="20"/>
  <c r="K990" i="20" s="1"/>
  <c r="J998" i="20"/>
  <c r="G998" i="20"/>
  <c r="K998" i="20" s="1"/>
  <c r="J1006" i="20"/>
  <c r="G1006" i="20"/>
  <c r="K1006" i="20" s="1"/>
  <c r="J1014" i="20"/>
  <c r="G1014" i="20"/>
  <c r="K1014" i="20" s="1"/>
  <c r="J1023" i="20"/>
  <c r="G1023" i="20"/>
  <c r="K1023" i="20" s="1"/>
  <c r="J1031" i="20"/>
  <c r="G1031" i="20"/>
  <c r="K1031" i="20" s="1"/>
  <c r="J1039" i="20"/>
  <c r="G1039" i="20"/>
  <c r="K1039" i="20" s="1"/>
  <c r="J1047" i="20"/>
  <c r="G1047" i="20"/>
  <c r="K1047" i="20" s="1"/>
  <c r="J1055" i="20"/>
  <c r="G1055" i="20"/>
  <c r="K1055" i="20" s="1"/>
  <c r="J1063" i="20"/>
  <c r="G1063" i="20"/>
  <c r="K1063" i="20" s="1"/>
  <c r="J1072" i="20"/>
  <c r="G1072" i="20"/>
  <c r="K1072" i="20" s="1"/>
  <c r="J1080" i="20"/>
  <c r="G1080" i="20"/>
  <c r="K1080" i="20" s="1"/>
  <c r="J1088" i="20"/>
  <c r="G1088" i="20"/>
  <c r="K1088" i="20" s="1"/>
  <c r="J1096" i="20"/>
  <c r="G1096" i="20"/>
  <c r="K1096" i="20" s="1"/>
  <c r="J1104" i="20"/>
  <c r="G1104" i="20"/>
  <c r="K1104" i="20" s="1"/>
  <c r="J1112" i="20"/>
  <c r="G1112" i="20"/>
  <c r="K1112" i="20" s="1"/>
  <c r="J1120" i="20"/>
  <c r="G1120" i="20"/>
  <c r="K1120" i="20" s="1"/>
  <c r="J1129" i="20"/>
  <c r="G1129" i="20"/>
  <c r="K1129" i="20" s="1"/>
  <c r="J1137" i="20"/>
  <c r="G1137" i="20"/>
  <c r="K1137" i="20" s="1"/>
  <c r="J1145" i="20"/>
  <c r="G1145" i="20"/>
  <c r="K1145" i="20" s="1"/>
  <c r="J1153" i="20"/>
  <c r="G1153" i="20"/>
  <c r="K1153" i="20" s="1"/>
  <c r="J1169" i="20"/>
  <c r="G1169" i="20"/>
  <c r="K1169" i="20" s="1"/>
  <c r="J1185" i="20"/>
  <c r="G1185" i="20"/>
  <c r="K1185" i="20" s="1"/>
  <c r="J1202" i="20"/>
  <c r="G1202" i="20"/>
  <c r="K1202" i="20" s="1"/>
  <c r="J1168" i="20"/>
  <c r="G1168" i="20"/>
  <c r="K1168" i="20" s="1"/>
  <c r="J880" i="20"/>
  <c r="G880" i="20"/>
  <c r="K880" i="20" s="1"/>
  <c r="J888" i="20"/>
  <c r="G888" i="20"/>
  <c r="K888" i="20" s="1"/>
  <c r="J896" i="20"/>
  <c r="G896" i="20"/>
  <c r="K896" i="20" s="1"/>
  <c r="J904" i="20"/>
  <c r="G904" i="20"/>
  <c r="K904" i="20" s="1"/>
  <c r="J912" i="20"/>
  <c r="G912" i="20"/>
  <c r="K912" i="20" s="1"/>
  <c r="J920" i="20"/>
  <c r="G920" i="20"/>
  <c r="K920" i="20" s="1"/>
  <c r="J928" i="20"/>
  <c r="G928" i="20"/>
  <c r="K928" i="20" s="1"/>
  <c r="J936" i="20"/>
  <c r="G936" i="20"/>
  <c r="K936" i="20" s="1"/>
  <c r="J944" i="20"/>
  <c r="G944" i="20"/>
  <c r="K944" i="20" s="1"/>
  <c r="J952" i="20"/>
  <c r="G952" i="20"/>
  <c r="K952" i="20" s="1"/>
  <c r="J959" i="20"/>
  <c r="G959" i="20"/>
  <c r="K959" i="20" s="1"/>
  <c r="J967" i="20"/>
  <c r="G967" i="20"/>
  <c r="K967" i="20" s="1"/>
  <c r="J975" i="20"/>
  <c r="G975" i="20"/>
  <c r="K975" i="20" s="1"/>
  <c r="J983" i="20"/>
  <c r="G983" i="20"/>
  <c r="K983" i="20" s="1"/>
  <c r="J991" i="20"/>
  <c r="G991" i="20"/>
  <c r="K991" i="20" s="1"/>
  <c r="J999" i="20"/>
  <c r="G999" i="20"/>
  <c r="K999" i="20" s="1"/>
  <c r="J1007" i="20"/>
  <c r="G1007" i="20"/>
  <c r="K1007" i="20" s="1"/>
  <c r="J1015" i="20"/>
  <c r="G1015" i="20"/>
  <c r="K1015" i="20" s="1"/>
  <c r="J1022" i="20"/>
  <c r="G1022" i="20"/>
  <c r="K1022" i="20" s="1"/>
  <c r="J1030" i="20"/>
  <c r="G1030" i="20"/>
  <c r="K1030" i="20" s="1"/>
  <c r="J1038" i="20"/>
  <c r="G1038" i="20"/>
  <c r="K1038" i="20" s="1"/>
  <c r="J1046" i="20"/>
  <c r="G1046" i="20"/>
  <c r="K1046" i="20" s="1"/>
  <c r="J1054" i="20"/>
  <c r="G1054" i="20"/>
  <c r="K1054" i="20" s="1"/>
  <c r="J1062" i="20"/>
  <c r="G1062" i="20"/>
  <c r="K1062" i="20" s="1"/>
  <c r="J1069" i="20"/>
  <c r="G1069" i="20"/>
  <c r="K1069" i="20" s="1"/>
  <c r="J1077" i="20"/>
  <c r="G1077" i="20"/>
  <c r="K1077" i="20" s="1"/>
  <c r="J1085" i="20"/>
  <c r="G1085" i="20"/>
  <c r="K1085" i="20" s="1"/>
  <c r="J1093" i="20"/>
  <c r="G1093" i="20"/>
  <c r="K1093" i="20" s="1"/>
  <c r="J1101" i="20"/>
  <c r="G1101" i="20"/>
  <c r="K1101" i="20" s="1"/>
  <c r="J1109" i="20"/>
  <c r="G1109" i="20"/>
  <c r="K1109" i="20" s="1"/>
  <c r="J1117" i="20"/>
  <c r="G1117" i="20"/>
  <c r="K1117" i="20" s="1"/>
  <c r="J1124" i="20"/>
  <c r="G1124" i="20"/>
  <c r="K1124" i="20" s="1"/>
  <c r="J1132" i="20"/>
  <c r="G1132" i="20"/>
  <c r="K1132" i="20" s="1"/>
  <c r="J1140" i="20"/>
  <c r="G1140" i="20"/>
  <c r="K1140" i="20" s="1"/>
  <c r="J1148" i="20"/>
  <c r="G1148" i="20"/>
  <c r="K1148" i="20" s="1"/>
  <c r="J1156" i="20"/>
  <c r="G1156" i="20"/>
  <c r="K1156" i="20" s="1"/>
  <c r="J1160" i="20"/>
  <c r="G1160" i="20"/>
  <c r="K1160" i="20" s="1"/>
  <c r="J1175" i="20"/>
  <c r="G1175" i="20"/>
  <c r="K1175" i="20" s="1"/>
  <c r="J1194" i="20"/>
  <c r="G1194" i="20"/>
  <c r="K1194" i="20" s="1"/>
  <c r="J1196" i="20"/>
  <c r="G1196" i="20"/>
  <c r="K1196" i="20" s="1"/>
  <c r="J1164" i="20"/>
  <c r="G1164" i="20"/>
  <c r="K1164" i="20" s="1"/>
  <c r="J1244" i="20"/>
  <c r="G1244" i="20"/>
  <c r="K1244" i="20" s="1"/>
  <c r="J1318" i="20"/>
  <c r="G1318" i="20"/>
  <c r="K1318" i="20" s="1"/>
  <c r="J1356" i="20"/>
  <c r="G1356" i="20"/>
  <c r="K1356" i="20" s="1"/>
  <c r="J1394" i="20"/>
  <c r="G1394" i="20"/>
  <c r="K1394" i="20" s="1"/>
  <c r="J1410" i="20"/>
  <c r="G1410" i="20"/>
  <c r="K1410" i="20" s="1"/>
  <c r="J1425" i="20"/>
  <c r="G1425" i="20"/>
  <c r="K1425" i="20" s="1"/>
  <c r="J1186" i="20"/>
  <c r="G1186" i="20"/>
  <c r="K1186" i="20" s="1"/>
  <c r="G1236" i="20"/>
  <c r="K1236" i="20" s="1"/>
  <c r="J1236" i="20"/>
  <c r="J1284" i="20"/>
  <c r="G1284" i="20"/>
  <c r="K1284" i="20" s="1"/>
  <c r="G1373" i="20"/>
  <c r="K1373" i="20" s="1"/>
  <c r="J1373" i="20"/>
  <c r="J1400" i="20"/>
  <c r="G1400" i="20"/>
  <c r="K1400" i="20" s="1"/>
  <c r="E216" i="20"/>
  <c r="I216" i="20" s="1"/>
  <c r="E152" i="20"/>
  <c r="I152" i="20" s="1"/>
  <c r="E215" i="20"/>
  <c r="I215" i="20" s="1"/>
  <c r="E214" i="20"/>
  <c r="I214" i="20" s="1"/>
  <c r="E151" i="20"/>
  <c r="I151" i="20" s="1"/>
  <c r="O201" i="22"/>
  <c r="K213" i="22"/>
  <c r="O213" i="22"/>
  <c r="O206" i="22"/>
  <c r="O207" i="22"/>
  <c r="O211" i="22"/>
  <c r="O216" i="22"/>
  <c r="O203" i="22"/>
  <c r="K203" i="22"/>
  <c r="O212" i="22"/>
  <c r="K202" i="22"/>
  <c r="O202" i="22"/>
  <c r="K201" i="22"/>
  <c r="K211" i="22"/>
  <c r="E150" i="20"/>
  <c r="O172" i="22"/>
  <c r="O197" i="22"/>
  <c r="O195" i="22"/>
  <c r="O193" i="22"/>
  <c r="O189" i="22"/>
  <c r="O186" i="22"/>
  <c r="O185" i="22"/>
  <c r="O181" i="22"/>
  <c r="O180" i="22"/>
  <c r="O179" i="22"/>
  <c r="E182" i="22"/>
  <c r="E181" i="22"/>
  <c r="E180" i="22"/>
  <c r="E179" i="22"/>
  <c r="O178" i="22"/>
  <c r="O177" i="22"/>
  <c r="O174" i="22"/>
  <c r="G169" i="22"/>
  <c r="E172" i="22"/>
  <c r="E174" i="22"/>
  <c r="E173" i="22"/>
  <c r="H197" i="22"/>
  <c r="F197" i="22"/>
  <c r="E197" i="22"/>
  <c r="D197" i="22"/>
  <c r="H196" i="22"/>
  <c r="F196" i="22"/>
  <c r="E196" i="22"/>
  <c r="D196" i="22"/>
  <c r="H195" i="22"/>
  <c r="F195" i="22"/>
  <c r="E195" i="22"/>
  <c r="D195" i="22"/>
  <c r="O173" i="22"/>
  <c r="H194" i="22"/>
  <c r="F194" i="22"/>
  <c r="E194" i="22"/>
  <c r="D194" i="22"/>
  <c r="H193" i="22"/>
  <c r="F193" i="22"/>
  <c r="E193" i="22"/>
  <c r="D193" i="22"/>
  <c r="O192" i="22"/>
  <c r="H192" i="22"/>
  <c r="K192" i="22" s="1"/>
  <c r="F192" i="22"/>
  <c r="E192" i="22"/>
  <c r="D192" i="22"/>
  <c r="H191" i="22"/>
  <c r="K191" i="22" s="1"/>
  <c r="O191" i="22"/>
  <c r="F191" i="22"/>
  <c r="E191" i="22"/>
  <c r="D191" i="22"/>
  <c r="H190" i="22"/>
  <c r="O190" i="22"/>
  <c r="F190" i="22"/>
  <c r="E190" i="22"/>
  <c r="D190" i="22"/>
  <c r="H189" i="22"/>
  <c r="F189" i="22"/>
  <c r="E189" i="22"/>
  <c r="D189" i="22"/>
  <c r="O188" i="22"/>
  <c r="H188" i="22"/>
  <c r="K188" i="22" s="1"/>
  <c r="F188" i="22"/>
  <c r="E188" i="22"/>
  <c r="D188" i="22"/>
  <c r="H187" i="22"/>
  <c r="K187" i="22" s="1"/>
  <c r="O187" i="22"/>
  <c r="F187" i="22"/>
  <c r="E187" i="22"/>
  <c r="D187" i="22"/>
  <c r="H186" i="22"/>
  <c r="F186" i="22"/>
  <c r="E186" i="22"/>
  <c r="D186" i="22"/>
  <c r="H185" i="22"/>
  <c r="F185" i="22"/>
  <c r="E185" i="22"/>
  <c r="D185" i="22"/>
  <c r="O184" i="22"/>
  <c r="H184" i="22"/>
  <c r="K184" i="22" s="1"/>
  <c r="F184" i="22"/>
  <c r="E184" i="22"/>
  <c r="D184" i="22"/>
  <c r="H183" i="22"/>
  <c r="K183" i="22" s="1"/>
  <c r="O183" i="22"/>
  <c r="F183" i="22"/>
  <c r="E183" i="22"/>
  <c r="D183" i="22"/>
  <c r="H182" i="22"/>
  <c r="O182" i="22"/>
  <c r="F182" i="22"/>
  <c r="D182" i="22"/>
  <c r="H181" i="22"/>
  <c r="F181" i="22"/>
  <c r="D181" i="22"/>
  <c r="H180" i="22"/>
  <c r="F180" i="22"/>
  <c r="D180" i="22"/>
  <c r="H179" i="22"/>
  <c r="K179" i="22" s="1"/>
  <c r="F179" i="22"/>
  <c r="D179" i="22"/>
  <c r="H178" i="22"/>
  <c r="F178" i="22"/>
  <c r="E178" i="22"/>
  <c r="D178" i="22"/>
  <c r="H177" i="22"/>
  <c r="F177" i="22"/>
  <c r="E177" i="22"/>
  <c r="D177" i="22"/>
  <c r="O176" i="22"/>
  <c r="H176" i="22"/>
  <c r="F176" i="22"/>
  <c r="E176" i="22"/>
  <c r="D176" i="22"/>
  <c r="H175" i="22"/>
  <c r="K175" i="22" s="1"/>
  <c r="O175" i="22"/>
  <c r="F175" i="22"/>
  <c r="E175" i="22"/>
  <c r="D175" i="22"/>
  <c r="H174" i="22"/>
  <c r="F174" i="22"/>
  <c r="D174" i="22"/>
  <c r="H173" i="22"/>
  <c r="F173" i="22"/>
  <c r="D173" i="22"/>
  <c r="H172" i="22"/>
  <c r="F172" i="22"/>
  <c r="D172" i="22"/>
  <c r="O171" i="22"/>
  <c r="M171" i="22"/>
  <c r="L171" i="22"/>
  <c r="K171" i="22"/>
  <c r="D171" i="22"/>
  <c r="O170" i="22"/>
  <c r="M170" i="22"/>
  <c r="L170" i="22"/>
  <c r="K170" i="22"/>
  <c r="D170" i="22"/>
  <c r="I150" i="20" l="1"/>
  <c r="K180" i="22"/>
  <c r="O196" i="22"/>
  <c r="K181" i="22"/>
  <c r="K185" i="22"/>
  <c r="K189" i="22"/>
  <c r="K193" i="22"/>
  <c r="K195" i="22"/>
  <c r="K197" i="22"/>
  <c r="K196" i="22"/>
  <c r="K176" i="22"/>
  <c r="K172" i="22"/>
  <c r="K177" i="22"/>
  <c r="K174" i="22"/>
  <c r="K178" i="22"/>
  <c r="K182" i="22"/>
  <c r="K186" i="22"/>
  <c r="K190" i="22"/>
  <c r="K173" i="22"/>
  <c r="O194" i="22" l="1"/>
  <c r="K194" i="22"/>
  <c r="E154" i="22" l="1"/>
  <c r="H160" i="22"/>
  <c r="F160" i="22"/>
  <c r="E160" i="22"/>
  <c r="D160" i="22"/>
  <c r="H159" i="22"/>
  <c r="F159" i="22"/>
  <c r="E159" i="22"/>
  <c r="D159" i="22"/>
  <c r="H158" i="22"/>
  <c r="F158" i="22"/>
  <c r="E158" i="22"/>
  <c r="D158" i="22"/>
  <c r="H157" i="22"/>
  <c r="F157" i="22"/>
  <c r="E157" i="22"/>
  <c r="D157" i="22"/>
  <c r="O156" i="22"/>
  <c r="H156" i="22"/>
  <c r="K156" i="22" s="1"/>
  <c r="F156" i="22"/>
  <c r="E156" i="22"/>
  <c r="D156" i="22"/>
  <c r="H155" i="22"/>
  <c r="K155" i="22" s="1"/>
  <c r="O155" i="22"/>
  <c r="F155" i="22"/>
  <c r="E155" i="22"/>
  <c r="D155" i="22"/>
  <c r="H154" i="22"/>
  <c r="F154" i="22"/>
  <c r="D154" i="22"/>
  <c r="H153" i="22"/>
  <c r="F153" i="22"/>
  <c r="E153" i="22"/>
  <c r="D153" i="22"/>
  <c r="H152" i="22"/>
  <c r="F152" i="22"/>
  <c r="E152" i="22"/>
  <c r="D152" i="22"/>
  <c r="H151" i="22"/>
  <c r="F151" i="22"/>
  <c r="E151" i="22"/>
  <c r="D151" i="22"/>
  <c r="H150" i="22"/>
  <c r="F150" i="22"/>
  <c r="E150" i="22"/>
  <c r="D150" i="22"/>
  <c r="O149" i="22"/>
  <c r="D149" i="22"/>
  <c r="H143" i="22"/>
  <c r="F143" i="22"/>
  <c r="E143" i="22"/>
  <c r="D143" i="22"/>
  <c r="H142" i="22"/>
  <c r="F142" i="22"/>
  <c r="E142" i="22"/>
  <c r="D142" i="22"/>
  <c r="H141" i="22"/>
  <c r="F141" i="22"/>
  <c r="E141" i="22"/>
  <c r="D141" i="22"/>
  <c r="F93" i="1"/>
  <c r="H147" i="22"/>
  <c r="F147" i="22"/>
  <c r="E147" i="22"/>
  <c r="D147" i="22"/>
  <c r="H146" i="22"/>
  <c r="F146" i="22"/>
  <c r="E146" i="22"/>
  <c r="D146" i="22"/>
  <c r="H145" i="22"/>
  <c r="F145" i="22"/>
  <c r="E145" i="22"/>
  <c r="D145" i="22"/>
  <c r="H144" i="22"/>
  <c r="F144" i="22"/>
  <c r="E144" i="22"/>
  <c r="D144" i="22"/>
  <c r="H140" i="22"/>
  <c r="F140" i="22"/>
  <c r="E140" i="22"/>
  <c r="D140" i="22"/>
  <c r="H139" i="22"/>
  <c r="F139" i="22"/>
  <c r="E139" i="22"/>
  <c r="D139" i="22"/>
  <c r="H138" i="22"/>
  <c r="F138" i="22"/>
  <c r="E138" i="22"/>
  <c r="D138" i="22"/>
  <c r="H137" i="22"/>
  <c r="F137" i="22"/>
  <c r="E137" i="22"/>
  <c r="D137" i="22"/>
  <c r="M136" i="22"/>
  <c r="K136" i="22"/>
  <c r="O136" i="22"/>
  <c r="D136" i="22"/>
  <c r="O132" i="22"/>
  <c r="H135" i="22"/>
  <c r="F135" i="22"/>
  <c r="E135" i="22"/>
  <c r="D135" i="22"/>
  <c r="H134" i="22"/>
  <c r="F134" i="22"/>
  <c r="E134" i="22"/>
  <c r="D134" i="22"/>
  <c r="H133" i="22"/>
  <c r="F133" i="22"/>
  <c r="E133" i="22"/>
  <c r="D133" i="22"/>
  <c r="H132" i="22"/>
  <c r="F132" i="22"/>
  <c r="E132" i="22"/>
  <c r="D132" i="22"/>
  <c r="H131" i="22"/>
  <c r="F131" i="22"/>
  <c r="E131" i="22"/>
  <c r="D131" i="22"/>
  <c r="H130" i="22"/>
  <c r="F130" i="22"/>
  <c r="E130" i="22"/>
  <c r="D130" i="22"/>
  <c r="L129" i="22"/>
  <c r="K129" i="22"/>
  <c r="D129" i="22"/>
  <c r="H124" i="22"/>
  <c r="F124" i="22"/>
  <c r="E124" i="22"/>
  <c r="D124" i="22"/>
  <c r="F523" i="1"/>
  <c r="H127" i="22"/>
  <c r="F127" i="22"/>
  <c r="E127" i="22"/>
  <c r="D127" i="22"/>
  <c r="H126" i="22"/>
  <c r="F126" i="22"/>
  <c r="E126" i="22"/>
  <c r="D126" i="22"/>
  <c r="H125" i="22"/>
  <c r="F125" i="22"/>
  <c r="E125" i="22"/>
  <c r="D125" i="22"/>
  <c r="H123" i="22"/>
  <c r="F123" i="22"/>
  <c r="E123" i="22"/>
  <c r="D123" i="22"/>
  <c r="D122" i="22"/>
  <c r="O121" i="22"/>
  <c r="O119" i="22"/>
  <c r="M117" i="22"/>
  <c r="G107" i="22"/>
  <c r="G97" i="22"/>
  <c r="G118" i="22"/>
  <c r="O118" i="22" s="1"/>
  <c r="F421" i="1"/>
  <c r="I118" i="11" s="1"/>
  <c r="L118" i="11" s="1"/>
  <c r="H148" i="22"/>
  <c r="F148" i="22"/>
  <c r="E148" i="22"/>
  <c r="D148" i="22"/>
  <c r="H128" i="22"/>
  <c r="F128" i="22"/>
  <c r="E128" i="22"/>
  <c r="D128" i="22"/>
  <c r="H121" i="22"/>
  <c r="F121" i="22"/>
  <c r="E121" i="22"/>
  <c r="D121" i="22"/>
  <c r="H120" i="22"/>
  <c r="F120" i="22"/>
  <c r="E120" i="22"/>
  <c r="D120" i="22"/>
  <c r="H119" i="22"/>
  <c r="F119" i="22"/>
  <c r="E119" i="22"/>
  <c r="D119" i="22"/>
  <c r="H118" i="22"/>
  <c r="F118" i="22"/>
  <c r="E118" i="22"/>
  <c r="D118" i="22"/>
  <c r="L117" i="22"/>
  <c r="K117" i="22"/>
  <c r="D117" i="22"/>
  <c r="H116" i="22"/>
  <c r="F116" i="22"/>
  <c r="E116" i="22"/>
  <c r="D116" i="22"/>
  <c r="H115" i="22"/>
  <c r="F115" i="22"/>
  <c r="E115" i="22"/>
  <c r="D115" i="22"/>
  <c r="H114" i="22"/>
  <c r="F114" i="22"/>
  <c r="E114" i="22"/>
  <c r="D114" i="22"/>
  <c r="H113" i="22"/>
  <c r="F113" i="22"/>
  <c r="E113" i="22"/>
  <c r="D113" i="22"/>
  <c r="H112" i="22"/>
  <c r="F112" i="22"/>
  <c r="E112" i="22"/>
  <c r="D112" i="22"/>
  <c r="H111" i="22"/>
  <c r="F111" i="22"/>
  <c r="E111" i="22"/>
  <c r="D111" i="22"/>
  <c r="H110" i="22"/>
  <c r="F110" i="22"/>
  <c r="E110" i="22"/>
  <c r="D110" i="22"/>
  <c r="H109" i="22"/>
  <c r="F109" i="22"/>
  <c r="E109" i="22"/>
  <c r="D109" i="22"/>
  <c r="H108" i="22"/>
  <c r="F108" i="22"/>
  <c r="E108" i="22"/>
  <c r="D108" i="22"/>
  <c r="D107" i="22"/>
  <c r="H104" i="22"/>
  <c r="F104" i="22"/>
  <c r="E104" i="22"/>
  <c r="D104" i="22"/>
  <c r="H103" i="22"/>
  <c r="F103" i="22"/>
  <c r="E103" i="22"/>
  <c r="D103" i="22"/>
  <c r="H100" i="22"/>
  <c r="F100" i="22"/>
  <c r="E100" i="22"/>
  <c r="D100" i="22"/>
  <c r="H99" i="22"/>
  <c r="F99" i="22"/>
  <c r="E99" i="22"/>
  <c r="D99" i="22"/>
  <c r="H98" i="22"/>
  <c r="F98" i="22"/>
  <c r="E98" i="22"/>
  <c r="D98" i="22"/>
  <c r="I127" i="11" l="1"/>
  <c r="L127" i="11" s="1"/>
  <c r="I134" i="11"/>
  <c r="L134" i="11" s="1"/>
  <c r="I142" i="11"/>
  <c r="L142" i="11" s="1"/>
  <c r="I155" i="11"/>
  <c r="L155" i="11" s="1"/>
  <c r="G99" i="22"/>
  <c r="O99" i="22" s="1"/>
  <c r="G105" i="22"/>
  <c r="O105" i="22" s="1"/>
  <c r="G103" i="22"/>
  <c r="O103" i="22" s="1"/>
  <c r="G106" i="22"/>
  <c r="O106" i="22" s="1"/>
  <c r="G101" i="22"/>
  <c r="G102" i="22"/>
  <c r="G104" i="22"/>
  <c r="O104" i="22" s="1"/>
  <c r="G100" i="22"/>
  <c r="O100" i="22" s="1"/>
  <c r="G109" i="22"/>
  <c r="K109" i="22" s="1"/>
  <c r="G115" i="22"/>
  <c r="O115" i="22" s="1"/>
  <c r="G116" i="22"/>
  <c r="K116" i="22" s="1"/>
  <c r="G110" i="22"/>
  <c r="O110" i="22" s="1"/>
  <c r="G113" i="22"/>
  <c r="O113" i="22" s="1"/>
  <c r="G114" i="22"/>
  <c r="O114" i="22" s="1"/>
  <c r="G112" i="22"/>
  <c r="O112" i="22" s="1"/>
  <c r="G111" i="22"/>
  <c r="O111" i="22" s="1"/>
  <c r="I118" i="22"/>
  <c r="L118" i="22" s="1"/>
  <c r="I142" i="22"/>
  <c r="L142" i="22" s="1"/>
  <c r="I134" i="22"/>
  <c r="L134" i="22" s="1"/>
  <c r="I155" i="22"/>
  <c r="L155" i="22" s="1"/>
  <c r="O153" i="22"/>
  <c r="K149" i="22"/>
  <c r="O133" i="22"/>
  <c r="M149" i="22"/>
  <c r="L107" i="22"/>
  <c r="O142" i="22"/>
  <c r="O157" i="22"/>
  <c r="M107" i="22"/>
  <c r="K147" i="22"/>
  <c r="O135" i="22"/>
  <c r="L136" i="22"/>
  <c r="O139" i="22"/>
  <c r="O144" i="22"/>
  <c r="O143" i="22"/>
  <c r="O150" i="22"/>
  <c r="O159" i="22"/>
  <c r="K158" i="22"/>
  <c r="K143" i="22"/>
  <c r="K159" i="22"/>
  <c r="O137" i="22"/>
  <c r="O141" i="22"/>
  <c r="O152" i="22"/>
  <c r="O160" i="22"/>
  <c r="O154" i="22"/>
  <c r="K154" i="22"/>
  <c r="K152" i="22"/>
  <c r="O158" i="22"/>
  <c r="K160" i="22"/>
  <c r="K153" i="22"/>
  <c r="L149" i="22"/>
  <c r="K157" i="22"/>
  <c r="K142" i="22"/>
  <c r="O117" i="22"/>
  <c r="K140" i="22"/>
  <c r="O147" i="22"/>
  <c r="O131" i="22"/>
  <c r="O145" i="22"/>
  <c r="O138" i="22"/>
  <c r="O146" i="22"/>
  <c r="O140" i="22"/>
  <c r="K144" i="22"/>
  <c r="K138" i="22"/>
  <c r="K135" i="22"/>
  <c r="K134" i="22"/>
  <c r="K133" i="22"/>
  <c r="K130" i="22"/>
  <c r="M129" i="22"/>
  <c r="O130" i="22"/>
  <c r="O134" i="22"/>
  <c r="O129" i="22"/>
  <c r="K132" i="22"/>
  <c r="M122" i="22"/>
  <c r="O126" i="22"/>
  <c r="L122" i="22"/>
  <c r="O124" i="22"/>
  <c r="G98" i="22"/>
  <c r="O98" i="22" s="1"/>
  <c r="O107" i="22"/>
  <c r="K107" i="22"/>
  <c r="G108" i="22"/>
  <c r="O108" i="22" s="1"/>
  <c r="O122" i="22"/>
  <c r="K122" i="22"/>
  <c r="K121" i="22"/>
  <c r="O120" i="22"/>
  <c r="K120" i="22"/>
  <c r="K118" i="22"/>
  <c r="K119" i="22"/>
  <c r="H169" i="22"/>
  <c r="O169" i="22"/>
  <c r="F169" i="22"/>
  <c r="E169" i="22"/>
  <c r="D169" i="22"/>
  <c r="J168" i="22"/>
  <c r="I168" i="22"/>
  <c r="H168" i="22"/>
  <c r="O168" i="22"/>
  <c r="F168" i="22"/>
  <c r="E168" i="22"/>
  <c r="D168" i="22"/>
  <c r="J167" i="22"/>
  <c r="I167" i="22"/>
  <c r="H167" i="22"/>
  <c r="O167" i="22"/>
  <c r="F167" i="22"/>
  <c r="E167" i="22"/>
  <c r="D167" i="22"/>
  <c r="J166" i="22"/>
  <c r="I166" i="22"/>
  <c r="H166" i="22"/>
  <c r="O166" i="22"/>
  <c r="F166" i="22"/>
  <c r="E166" i="22"/>
  <c r="D166" i="22"/>
  <c r="J165" i="22"/>
  <c r="I165" i="22"/>
  <c r="H165" i="22"/>
  <c r="O165" i="22"/>
  <c r="F165" i="22"/>
  <c r="E165" i="22"/>
  <c r="D165" i="22"/>
  <c r="J164" i="22"/>
  <c r="I164" i="22"/>
  <c r="H164" i="22"/>
  <c r="O164" i="22"/>
  <c r="F164" i="22"/>
  <c r="E164" i="22"/>
  <c r="D164" i="22"/>
  <c r="T1204" i="1"/>
  <c r="F1204" i="1"/>
  <c r="T1203" i="1"/>
  <c r="F1203" i="1"/>
  <c r="F1242" i="1"/>
  <c r="F26" i="1"/>
  <c r="E106" i="22"/>
  <c r="E105" i="22"/>
  <c r="E101" i="22"/>
  <c r="O162" i="22"/>
  <c r="G218" i="22"/>
  <c r="G221" i="22" s="1"/>
  <c r="G225" i="22"/>
  <c r="G227" i="22" s="1"/>
  <c r="G231" i="22" s="1"/>
  <c r="G232" i="22"/>
  <c r="G236" i="22" s="1"/>
  <c r="H163" i="22"/>
  <c r="F163" i="22"/>
  <c r="E163" i="22"/>
  <c r="D163" i="22"/>
  <c r="J162" i="22"/>
  <c r="I162" i="22"/>
  <c r="F162" i="22"/>
  <c r="E162" i="22"/>
  <c r="D162" i="22"/>
  <c r="F161" i="22"/>
  <c r="E161" i="22"/>
  <c r="D161" i="22"/>
  <c r="H102" i="22"/>
  <c r="F102" i="22"/>
  <c r="E102" i="22"/>
  <c r="D102" i="22"/>
  <c r="H106" i="22"/>
  <c r="F106" i="22"/>
  <c r="D106" i="22"/>
  <c r="H105" i="22"/>
  <c r="F105" i="22"/>
  <c r="D105" i="22"/>
  <c r="H101" i="22"/>
  <c r="F101" i="22"/>
  <c r="D101" i="22"/>
  <c r="O97" i="22"/>
  <c r="M97" i="22"/>
  <c r="L97" i="22"/>
  <c r="K97" i="22"/>
  <c r="D97" i="22"/>
  <c r="O96" i="22"/>
  <c r="M96" i="22"/>
  <c r="L96" i="22"/>
  <c r="K96" i="22"/>
  <c r="D96" i="22"/>
  <c r="K105" i="22" l="1"/>
  <c r="I112" i="11"/>
  <c r="L112" i="11" s="1"/>
  <c r="I102" i="11"/>
  <c r="L102" i="11" s="1"/>
  <c r="I131" i="11"/>
  <c r="L131" i="11" s="1"/>
  <c r="I124" i="11"/>
  <c r="L124" i="11" s="1"/>
  <c r="I132" i="11"/>
  <c r="L132" i="11" s="1"/>
  <c r="I125" i="11"/>
  <c r="L125" i="11" s="1"/>
  <c r="I130" i="11"/>
  <c r="L130" i="11" s="1"/>
  <c r="I123" i="11"/>
  <c r="L123" i="11" s="1"/>
  <c r="O109" i="22"/>
  <c r="K98" i="22"/>
  <c r="I102" i="22"/>
  <c r="L102" i="22" s="1"/>
  <c r="O116" i="22"/>
  <c r="K103" i="22"/>
  <c r="I132" i="22"/>
  <c r="L132" i="22" s="1"/>
  <c r="I125" i="22"/>
  <c r="L125" i="22" s="1"/>
  <c r="I131" i="22"/>
  <c r="L131" i="22" s="1"/>
  <c r="I124" i="22"/>
  <c r="L124" i="22" s="1"/>
  <c r="I112" i="22"/>
  <c r="L112" i="22" s="1"/>
  <c r="I130" i="22"/>
  <c r="L130" i="22" s="1"/>
  <c r="I123" i="22"/>
  <c r="L123" i="22" s="1"/>
  <c r="K141" i="22"/>
  <c r="K151" i="22"/>
  <c r="K126" i="22"/>
  <c r="K137" i="22"/>
  <c r="K150" i="22"/>
  <c r="O151" i="22"/>
  <c r="K108" i="22"/>
  <c r="K100" i="22"/>
  <c r="K113" i="22"/>
  <c r="K146" i="22"/>
  <c r="K114" i="22"/>
  <c r="K145" i="22"/>
  <c r="K139" i="22"/>
  <c r="K131" i="22"/>
  <c r="K124" i="22"/>
  <c r="O125" i="22"/>
  <c r="K125" i="22"/>
  <c r="K99" i="22"/>
  <c r="K104" i="22"/>
  <c r="K112" i="22"/>
  <c r="K110" i="22"/>
  <c r="K115" i="22"/>
  <c r="K111" i="22"/>
  <c r="O127" i="22"/>
  <c r="K127" i="22"/>
  <c r="O123" i="22"/>
  <c r="K123" i="22"/>
  <c r="K164" i="22"/>
  <c r="L164" i="22"/>
  <c r="M164" i="22"/>
  <c r="M165" i="22"/>
  <c r="L166" i="22"/>
  <c r="M167" i="22"/>
  <c r="L165" i="22"/>
  <c r="K168" i="22"/>
  <c r="L168" i="22"/>
  <c r="K167" i="22"/>
  <c r="K166" i="22"/>
  <c r="L167" i="22"/>
  <c r="M168" i="22"/>
  <c r="K169" i="22"/>
  <c r="M166" i="22"/>
  <c r="K165" i="22"/>
  <c r="K101" i="22"/>
  <c r="G223" i="22"/>
  <c r="G222" i="22" s="1"/>
  <c r="G238" i="22"/>
  <c r="G230" i="22"/>
  <c r="G237" i="22"/>
  <c r="G229" i="22"/>
  <c r="G235" i="22"/>
  <c r="G234" i="22"/>
  <c r="G220" i="22"/>
  <c r="G224" i="22" s="1"/>
  <c r="L162" i="22"/>
  <c r="M162" i="22"/>
  <c r="O102" i="22"/>
  <c r="K102" i="22"/>
  <c r="O161" i="22"/>
  <c r="K106" i="22"/>
  <c r="O101" i="22"/>
  <c r="O128" i="22" l="1"/>
  <c r="K128" i="22"/>
  <c r="O163" i="22"/>
  <c r="K163" i="22"/>
  <c r="K148" i="22" l="1"/>
  <c r="O148" i="22"/>
  <c r="H280" i="22" l="1"/>
  <c r="F280" i="22"/>
  <c r="E280" i="22"/>
  <c r="D280" i="22"/>
  <c r="E323" i="22"/>
  <c r="H95" i="22"/>
  <c r="F95" i="22"/>
  <c r="E95" i="22"/>
  <c r="D95" i="22"/>
  <c r="B64" i="22"/>
  <c r="A2" i="22"/>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25" i="31"/>
  <c r="B8" i="22" l="1"/>
  <c r="G307" i="22"/>
  <c r="G308" i="22"/>
  <c r="B307" i="22"/>
  <c r="B328" i="22"/>
  <c r="B349" i="22"/>
  <c r="B370" i="22"/>
  <c r="B10" i="22"/>
  <c r="B11" i="22"/>
  <c r="E372" i="22"/>
  <c r="D372" i="22"/>
  <c r="F372" i="22"/>
  <c r="H372" i="22"/>
  <c r="B329" i="22"/>
  <c r="B308" i="22"/>
  <c r="B388" i="22" l="1"/>
  <c r="B354" i="22"/>
  <c r="B352" i="22"/>
  <c r="B367" i="22"/>
  <c r="B333" i="22"/>
  <c r="B346" i="22"/>
  <c r="B310" i="22"/>
  <c r="B325" i="22"/>
  <c r="B331" i="22"/>
  <c r="B334" i="22"/>
  <c r="B332" i="22"/>
  <c r="B375" i="22"/>
  <c r="B373" i="22"/>
  <c r="B314" i="22"/>
  <c r="B312" i="22"/>
  <c r="B356" i="22"/>
  <c r="B377" i="22"/>
  <c r="B313" i="22"/>
  <c r="B311" i="22"/>
  <c r="B335" i="22"/>
  <c r="B350" i="22"/>
  <c r="B371" i="22"/>
  <c r="B374" i="22" l="1"/>
  <c r="B376" i="22"/>
  <c r="B353" i="22"/>
  <c r="B355" i="22"/>
  <c r="B366" i="22"/>
  <c r="B357" i="22"/>
  <c r="B361" i="22" s="1"/>
  <c r="B360" i="22"/>
  <c r="B362" i="22"/>
  <c r="B387" i="22"/>
  <c r="B378" i="22"/>
  <c r="B382" i="22" s="1"/>
  <c r="B381" i="22"/>
  <c r="B383" i="22"/>
  <c r="B324" i="22"/>
  <c r="B315" i="22"/>
  <c r="B319" i="22" s="1"/>
  <c r="B320" i="22"/>
  <c r="B318" i="22"/>
  <c r="B341" i="22"/>
  <c r="B339" i="22"/>
  <c r="B336" i="22"/>
  <c r="B340" i="22" s="1"/>
  <c r="B345" i="22"/>
  <c r="F345" i="1"/>
  <c r="J440" i="1"/>
  <c r="J438" i="1"/>
  <c r="J463" i="1"/>
  <c r="B6" i="22"/>
  <c r="N12" i="31" l="1"/>
  <c r="C22" i="26" s="1"/>
  <c r="M8" i="31"/>
  <c r="O8" i="31" s="1"/>
  <c r="M9" i="31"/>
  <c r="O9" i="31" s="1"/>
  <c r="M7" i="31"/>
  <c r="O7" i="31" s="1"/>
  <c r="F78" i="1"/>
  <c r="E78" i="1"/>
  <c r="G433" i="23"/>
  <c r="J433" i="23" s="1"/>
  <c r="E433" i="23"/>
  <c r="D433" i="23"/>
  <c r="C433" i="23"/>
  <c r="G432" i="23"/>
  <c r="J432" i="23" s="1"/>
  <c r="E432" i="23"/>
  <c r="D432" i="23"/>
  <c r="C432" i="23"/>
  <c r="G404" i="23"/>
  <c r="J404" i="23" s="1"/>
  <c r="E404" i="23"/>
  <c r="D404" i="23"/>
  <c r="C404" i="23"/>
  <c r="G414" i="23"/>
  <c r="J414" i="23" s="1"/>
  <c r="E414" i="23"/>
  <c r="D414" i="23"/>
  <c r="C414" i="23"/>
  <c r="G423" i="23"/>
  <c r="J423" i="23" s="1"/>
  <c r="E423" i="23"/>
  <c r="D423" i="23"/>
  <c r="C423" i="23"/>
  <c r="G422" i="23"/>
  <c r="J422" i="23" s="1"/>
  <c r="E422" i="23"/>
  <c r="D422" i="23"/>
  <c r="C422" i="23"/>
  <c r="F494" i="23"/>
  <c r="F485" i="23"/>
  <c r="F467" i="23"/>
  <c r="F451" i="23"/>
  <c r="G413" i="23"/>
  <c r="J413" i="23" s="1"/>
  <c r="E413" i="23"/>
  <c r="D413" i="23"/>
  <c r="C413" i="23"/>
  <c r="E406" i="23"/>
  <c r="D406" i="23"/>
  <c r="C406" i="23"/>
  <c r="G403" i="23"/>
  <c r="J403" i="23" s="1"/>
  <c r="E403" i="23"/>
  <c r="D403" i="23"/>
  <c r="C403" i="23"/>
  <c r="E1197" i="1"/>
  <c r="E1196" i="1"/>
  <c r="E1195" i="1"/>
  <c r="E1194" i="1"/>
  <c r="E1193" i="1"/>
  <c r="E1192" i="1"/>
  <c r="H227" i="11" s="1"/>
  <c r="K227" i="11" s="1"/>
  <c r="E1191" i="1"/>
  <c r="H220" i="11" s="1"/>
  <c r="K220" i="11" s="1"/>
  <c r="J1036" i="1"/>
  <c r="J1037" i="1"/>
  <c r="J1038" i="1"/>
  <c r="J1039" i="1"/>
  <c r="J1040" i="1"/>
  <c r="J1041" i="1"/>
  <c r="J1042" i="1"/>
  <c r="J1043" i="1"/>
  <c r="J1044" i="1"/>
  <c r="J1045" i="1"/>
  <c r="J1046" i="1"/>
  <c r="J1047" i="1"/>
  <c r="J1048" i="1"/>
  <c r="J1049" i="1"/>
  <c r="J1050" i="1"/>
  <c r="J1051" i="1"/>
  <c r="J1052" i="1"/>
  <c r="J1053" i="1"/>
  <c r="J1054" i="1"/>
  <c r="J1035" i="1"/>
  <c r="J1061" i="1"/>
  <c r="J1062" i="1"/>
  <c r="J1063" i="1"/>
  <c r="J1064" i="1"/>
  <c r="J1060" i="1"/>
  <c r="J1029" i="1"/>
  <c r="J1030" i="1"/>
  <c r="J1031" i="1"/>
  <c r="J1032" i="1"/>
  <c r="J1033" i="1"/>
  <c r="J1034" i="1"/>
  <c r="E85" i="1"/>
  <c r="E84" i="1"/>
  <c r="E83" i="1"/>
  <c r="E82" i="1"/>
  <c r="E81" i="1"/>
  <c r="G260" i="2" s="1"/>
  <c r="J260" i="2" s="1"/>
  <c r="J258" i="2" s="1"/>
  <c r="E80" i="1"/>
  <c r="E79" i="1"/>
  <c r="E77" i="1"/>
  <c r="E76" i="1"/>
  <c r="E75" i="1"/>
  <c r="G1057" i="2" s="1"/>
  <c r="J1057" i="2" s="1"/>
  <c r="E74" i="1"/>
  <c r="G248" i="2" s="1"/>
  <c r="J248" i="2" s="1"/>
  <c r="E73" i="1"/>
  <c r="E72" i="1"/>
  <c r="E71" i="1"/>
  <c r="E70" i="1"/>
  <c r="E69" i="1"/>
  <c r="E68" i="1"/>
  <c r="E67" i="1"/>
  <c r="E66" i="1"/>
  <c r="E65" i="1"/>
  <c r="E64" i="1"/>
  <c r="G1049" i="2" s="1"/>
  <c r="J1049" i="2" s="1"/>
  <c r="E63" i="1"/>
  <c r="E62" i="1"/>
  <c r="E61" i="1"/>
  <c r="H89" i="11" s="1"/>
  <c r="K89" i="11" s="1"/>
  <c r="E60" i="1"/>
  <c r="G1048" i="2" s="1"/>
  <c r="J1048" i="2" s="1"/>
  <c r="E59" i="1"/>
  <c r="E58" i="1"/>
  <c r="E57" i="1"/>
  <c r="E56" i="1"/>
  <c r="E55" i="1"/>
  <c r="E54" i="1"/>
  <c r="E53" i="1"/>
  <c r="E52" i="1"/>
  <c r="E51" i="1"/>
  <c r="E50" i="1"/>
  <c r="E49" i="1"/>
  <c r="E48" i="1"/>
  <c r="G1037" i="2" s="1"/>
  <c r="J1037" i="2" s="1"/>
  <c r="E47" i="1"/>
  <c r="E46" i="1"/>
  <c r="F207" i="1"/>
  <c r="A1" i="10" l="1"/>
  <c r="B17" i="26"/>
  <c r="B18" i="26"/>
  <c r="A1" i="9"/>
  <c r="B19" i="26"/>
  <c r="A1" i="8"/>
  <c r="G720" i="2"/>
  <c r="J720" i="2" s="1"/>
  <c r="J718" i="2" s="1"/>
  <c r="G509" i="2"/>
  <c r="J509" i="2" s="1"/>
  <c r="G465" i="2"/>
  <c r="J465" i="2" s="1"/>
  <c r="H205" i="11"/>
  <c r="K205" i="11" s="1"/>
  <c r="H42" i="11"/>
  <c r="K42" i="11" s="1"/>
  <c r="G575" i="2"/>
  <c r="J575" i="2" s="1"/>
  <c r="G570" i="2"/>
  <c r="J570" i="2" s="1"/>
  <c r="G501" i="2"/>
  <c r="J501" i="2" s="1"/>
  <c r="H236" i="11"/>
  <c r="K236" i="11" s="1"/>
  <c r="G1040" i="2"/>
  <c r="J1040" i="2" s="1"/>
  <c r="H243" i="11"/>
  <c r="K243" i="11" s="1"/>
  <c r="H221" i="11"/>
  <c r="K221" i="11" s="1"/>
  <c r="H85" i="11"/>
  <c r="K85" i="11" s="1"/>
  <c r="H49" i="11"/>
  <c r="K49" i="11" s="1"/>
  <c r="H215" i="11"/>
  <c r="K215" i="11" s="1"/>
  <c r="G563" i="2"/>
  <c r="J563" i="2" s="1"/>
  <c r="G736" i="2"/>
  <c r="J736" i="2" s="1"/>
  <c r="J733" i="2" s="1"/>
  <c r="G548" i="2"/>
  <c r="J548" i="2" s="1"/>
  <c r="G517" i="2"/>
  <c r="J517" i="2" s="1"/>
  <c r="G482" i="2"/>
  <c r="J482" i="2" s="1"/>
  <c r="G732" i="2"/>
  <c r="J732" i="2" s="1"/>
  <c r="J729" i="2" s="1"/>
  <c r="G1044" i="2"/>
  <c r="J1044" i="2" s="1"/>
  <c r="G490" i="2"/>
  <c r="J490" i="2" s="1"/>
  <c r="G553" i="2"/>
  <c r="J553" i="2" s="1"/>
  <c r="G461" i="2"/>
  <c r="J461" i="2" s="1"/>
  <c r="G560" i="2"/>
  <c r="J560" i="2" s="1"/>
  <c r="G454" i="2"/>
  <c r="J454" i="2" s="1"/>
  <c r="G416" i="2"/>
  <c r="J416" i="2" s="1"/>
  <c r="H229" i="11"/>
  <c r="K229" i="11" s="1"/>
  <c r="H69" i="11"/>
  <c r="K69" i="11" s="1"/>
  <c r="G1041" i="2"/>
  <c r="J1041" i="2" s="1"/>
  <c r="H86" i="11"/>
  <c r="K86" i="11" s="1"/>
  <c r="G435" i="2"/>
  <c r="J435" i="2" s="1"/>
  <c r="J428" i="2" s="1"/>
  <c r="G1045" i="2"/>
  <c r="J1045" i="2" s="1"/>
  <c r="G1050" i="2"/>
  <c r="J1050" i="2" s="1"/>
  <c r="G449" i="2"/>
  <c r="J449" i="2" s="1"/>
  <c r="G182" i="2"/>
  <c r="J182" i="2" s="1"/>
  <c r="G200" i="2"/>
  <c r="J200" i="2" s="1"/>
  <c r="G116" i="2"/>
  <c r="J116" i="2" s="1"/>
  <c r="H91" i="11"/>
  <c r="K91" i="11" s="1"/>
  <c r="G446" i="2"/>
  <c r="J446" i="2" s="1"/>
  <c r="G438" i="2"/>
  <c r="J438" i="2" s="1"/>
  <c r="G1046" i="2"/>
  <c r="J1046" i="2" s="1"/>
  <c r="H87" i="11"/>
  <c r="K87" i="11" s="1"/>
  <c r="G491" i="2"/>
  <c r="J491" i="2" s="1"/>
  <c r="G195" i="2"/>
  <c r="J195" i="2" s="1"/>
  <c r="G267" i="2"/>
  <c r="J267" i="2" s="1"/>
  <c r="J265" i="2" s="1"/>
  <c r="G470" i="2"/>
  <c r="J470" i="2" s="1"/>
  <c r="G498" i="2"/>
  <c r="J498" i="2" s="1"/>
  <c r="H241" i="11"/>
  <c r="K241" i="11" s="1"/>
  <c r="G488" i="2"/>
  <c r="J488" i="2" s="1"/>
  <c r="G479" i="2"/>
  <c r="J479" i="2" s="1"/>
  <c r="H210" i="11"/>
  <c r="K210" i="11" s="1"/>
  <c r="H234" i="11"/>
  <c r="K234" i="11" s="1"/>
  <c r="H200" i="11"/>
  <c r="K200" i="11" s="1"/>
  <c r="G529" i="2"/>
  <c r="J529" i="2" s="1"/>
  <c r="G522" i="2"/>
  <c r="J522" i="2" s="1"/>
  <c r="G77" i="2"/>
  <c r="J77" i="2" s="1"/>
  <c r="J75" i="2" s="1"/>
  <c r="G86" i="2"/>
  <c r="J86" i="2" s="1"/>
  <c r="J84" i="2" s="1"/>
  <c r="G63" i="2"/>
  <c r="J63" i="2" s="1"/>
  <c r="J61" i="2" s="1"/>
  <c r="G70" i="2"/>
  <c r="J70" i="2" s="1"/>
  <c r="J68" i="2" s="1"/>
  <c r="G532" i="2"/>
  <c r="J532" i="2" s="1"/>
  <c r="H67" i="11"/>
  <c r="K67" i="11" s="1"/>
  <c r="G426" i="2"/>
  <c r="J426" i="2" s="1"/>
  <c r="G407" i="2"/>
  <c r="J407" i="2" s="1"/>
  <c r="G117" i="2"/>
  <c r="J117" i="2" s="1"/>
  <c r="G1053" i="2"/>
  <c r="J1053" i="2" s="1"/>
  <c r="G247" i="2"/>
  <c r="J247" i="2" s="1"/>
  <c r="H92" i="11"/>
  <c r="K92" i="11" s="1"/>
  <c r="G1056" i="2"/>
  <c r="J1056" i="2" s="1"/>
  <c r="H93" i="11"/>
  <c r="K93" i="11" s="1"/>
  <c r="G202" i="2"/>
  <c r="J202" i="2" s="1"/>
  <c r="G184" i="2"/>
  <c r="J184" i="2" s="1"/>
  <c r="G1038" i="2"/>
  <c r="J1038" i="2" s="1"/>
  <c r="H84" i="11"/>
  <c r="K84" i="11" s="1"/>
  <c r="G1042" i="2"/>
  <c r="J1042" i="2" s="1"/>
  <c r="G531" i="2"/>
  <c r="J531" i="2" s="1"/>
  <c r="G427" i="2"/>
  <c r="J427" i="2" s="1"/>
  <c r="G406" i="2"/>
  <c r="J406" i="2" s="1"/>
  <c r="H68" i="11"/>
  <c r="K68" i="11" s="1"/>
  <c r="G466" i="2"/>
  <c r="J466" i="2" s="1"/>
  <c r="H228" i="11"/>
  <c r="K228" i="11" s="1"/>
  <c r="G562" i="2"/>
  <c r="J562" i="2" s="1"/>
  <c r="H242" i="11"/>
  <c r="K242" i="11" s="1"/>
  <c r="G576" i="2"/>
  <c r="J576" i="2" s="1"/>
  <c r="G502" i="2"/>
  <c r="J502" i="2" s="1"/>
  <c r="H235" i="11"/>
  <c r="K235" i="11" s="1"/>
  <c r="G1051" i="2"/>
  <c r="J1051" i="2" s="1"/>
  <c r="G547" i="2"/>
  <c r="J547" i="2" s="1"/>
  <c r="G518" i="2"/>
  <c r="J518" i="2" s="1"/>
  <c r="G483" i="2"/>
  <c r="J483" i="2" s="1"/>
  <c r="G1054" i="2"/>
  <c r="J1054" i="2" s="1"/>
  <c r="G246" i="2"/>
  <c r="J246" i="2" s="1"/>
  <c r="G115" i="2"/>
  <c r="J115" i="2" s="1"/>
  <c r="H90" i="11"/>
  <c r="K90" i="11" s="1"/>
  <c r="G556" i="2"/>
  <c r="J556" i="2" s="1"/>
  <c r="G533" i="2"/>
  <c r="J533" i="2" s="1"/>
  <c r="G525" i="2"/>
  <c r="J525" i="2" s="1"/>
  <c r="G510" i="2"/>
  <c r="J510" i="2" s="1"/>
  <c r="G463" i="2"/>
  <c r="J463" i="2" s="1"/>
  <c r="H83" i="11"/>
  <c r="K83" i="11" s="1"/>
  <c r="G565" i="2"/>
  <c r="J565" i="2" s="1"/>
  <c r="G1036" i="2"/>
  <c r="J1036" i="2" s="1"/>
  <c r="G475" i="2"/>
  <c r="J475" i="2" s="1"/>
  <c r="G442" i="2"/>
  <c r="J442" i="2" s="1"/>
  <c r="H230" i="11"/>
  <c r="K230" i="11" s="1"/>
  <c r="G493" i="2"/>
  <c r="J493" i="2" s="1"/>
  <c r="G484" i="2"/>
  <c r="J484" i="2" s="1"/>
  <c r="G457" i="2"/>
  <c r="J457" i="2" s="1"/>
  <c r="G450" i="2"/>
  <c r="J450" i="2" s="1"/>
  <c r="H26" i="11"/>
  <c r="K26" i="11" s="1"/>
  <c r="G540" i="2"/>
  <c r="J540" i="2" s="1"/>
  <c r="G503" i="2"/>
  <c r="J503" i="2" s="1"/>
  <c r="G773" i="2"/>
  <c r="J773" i="2" s="1"/>
  <c r="J771" i="2" s="1"/>
  <c r="G555" i="2"/>
  <c r="J555" i="2" s="1"/>
  <c r="G524" i="2"/>
  <c r="J524" i="2" s="1"/>
  <c r="G464" i="2"/>
  <c r="J464" i="2" s="1"/>
  <c r="G779" i="2"/>
  <c r="J779" i="2" s="1"/>
  <c r="J777" i="2" s="1"/>
  <c r="G539" i="2"/>
  <c r="J539" i="2" s="1"/>
  <c r="G474" i="2"/>
  <c r="J474" i="2" s="1"/>
  <c r="G441" i="2"/>
  <c r="J441" i="2" s="1"/>
  <c r="H216" i="11"/>
  <c r="K216" i="11" s="1"/>
  <c r="H29" i="11"/>
  <c r="K29" i="11" s="1"/>
  <c r="G763" i="2"/>
  <c r="J763" i="2" s="1"/>
  <c r="J761" i="2" s="1"/>
  <c r="H244" i="11"/>
  <c r="K244" i="11" s="1"/>
  <c r="G1039" i="2"/>
  <c r="J1039" i="2" s="1"/>
  <c r="G768" i="2"/>
  <c r="J768" i="2" s="1"/>
  <c r="J766" i="2" s="1"/>
  <c r="G549" i="2"/>
  <c r="J549" i="2" s="1"/>
  <c r="G516" i="2"/>
  <c r="J516" i="2" s="1"/>
  <c r="G481" i="2"/>
  <c r="J481" i="2" s="1"/>
  <c r="G456" i="2"/>
  <c r="J456" i="2" s="1"/>
  <c r="G448" i="2"/>
  <c r="J448" i="2" s="1"/>
  <c r="G425" i="2"/>
  <c r="J425" i="2" s="1"/>
  <c r="J418" i="2" s="1"/>
  <c r="G408" i="2"/>
  <c r="J408" i="2" s="1"/>
  <c r="H206" i="11"/>
  <c r="K206" i="11" s="1"/>
  <c r="H25" i="11"/>
  <c r="K25" i="11" s="1"/>
  <c r="G564" i="2"/>
  <c r="J564" i="2" s="1"/>
  <c r="G500" i="2"/>
  <c r="J500" i="2" s="1"/>
  <c r="G417" i="2"/>
  <c r="J417" i="2" s="1"/>
  <c r="H237" i="11"/>
  <c r="K237" i="11" s="1"/>
  <c r="H57" i="11"/>
  <c r="K57" i="11" s="1"/>
  <c r="G436" i="2"/>
  <c r="J436" i="2" s="1"/>
  <c r="G1043" i="2"/>
  <c r="J1043" i="2" s="1"/>
  <c r="H56" i="11"/>
  <c r="K56" i="11" s="1"/>
  <c r="H88" i="11"/>
  <c r="K88" i="11" s="1"/>
  <c r="G1047" i="2"/>
  <c r="J1047" i="2" s="1"/>
  <c r="H94" i="11"/>
  <c r="K94" i="11" s="1"/>
  <c r="H214" i="11"/>
  <c r="K214" i="11" s="1"/>
  <c r="G1052" i="2"/>
  <c r="J1052" i="2" s="1"/>
  <c r="H204" i="11"/>
  <c r="K204" i="11" s="1"/>
  <c r="G183" i="2"/>
  <c r="J183" i="2" s="1"/>
  <c r="G492" i="2"/>
  <c r="J492" i="2" s="1"/>
  <c r="G1055" i="2"/>
  <c r="J1055" i="2" s="1"/>
  <c r="G201" i="2"/>
  <c r="J201" i="2" s="1"/>
  <c r="H35" i="11"/>
  <c r="K35" i="11" s="1"/>
  <c r="G129" i="2"/>
  <c r="J129" i="2" s="1"/>
  <c r="J127" i="2" s="1"/>
  <c r="G166" i="2"/>
  <c r="J166" i="2" s="1"/>
  <c r="J164" i="2" s="1"/>
  <c r="G217" i="2"/>
  <c r="J217" i="2" s="1"/>
  <c r="J215" i="2" s="1"/>
  <c r="G274" i="2"/>
  <c r="J274" i="2" s="1"/>
  <c r="J272" i="2" s="1"/>
  <c r="G544" i="2"/>
  <c r="J544" i="2" s="1"/>
  <c r="G537" i="2"/>
  <c r="J537" i="2" s="1"/>
  <c r="H1066" i="2"/>
  <c r="K1066" i="2" s="1"/>
  <c r="I372" i="11"/>
  <c r="L372" i="11" s="1"/>
  <c r="I280" i="11"/>
  <c r="L280" i="11" s="1"/>
  <c r="I172" i="11"/>
  <c r="L172" i="11" s="1"/>
  <c r="I309" i="11"/>
  <c r="L309" i="11" s="1"/>
  <c r="H63" i="2"/>
  <c r="K63" i="2" s="1"/>
  <c r="H70" i="2"/>
  <c r="K70" i="2" s="1"/>
  <c r="H86" i="2"/>
  <c r="K86" i="2" s="1"/>
  <c r="H77" i="2"/>
  <c r="K77" i="2" s="1"/>
  <c r="D383" i="4"/>
  <c r="D384" i="4"/>
  <c r="D385" i="4"/>
  <c r="E388" i="4"/>
  <c r="H215" i="22"/>
  <c r="K215" i="22" s="1"/>
  <c r="H205" i="22"/>
  <c r="K205" i="22" s="1"/>
  <c r="H206" i="22"/>
  <c r="K206" i="22" s="1"/>
  <c r="H216" i="22"/>
  <c r="K216" i="22" s="1"/>
  <c r="H204" i="22"/>
  <c r="K204" i="22" s="1"/>
  <c r="H214" i="22"/>
  <c r="K214" i="22" s="1"/>
  <c r="H210" i="22"/>
  <c r="K210" i="22" s="1"/>
  <c r="H200" i="22"/>
  <c r="K200" i="22" s="1"/>
  <c r="C91" i="4"/>
  <c r="C31" i="4"/>
  <c r="F39" i="20"/>
  <c r="E36" i="12" s="1"/>
  <c r="F216" i="20"/>
  <c r="F215" i="20"/>
  <c r="F150" i="20"/>
  <c r="F6" i="20"/>
  <c r="F152" i="20"/>
  <c r="F151" i="20"/>
  <c r="F214" i="20"/>
  <c r="C9" i="4"/>
  <c r="I172" i="22"/>
  <c r="L172" i="22" s="1"/>
  <c r="I280" i="22"/>
  <c r="I372" i="22"/>
  <c r="G406" i="23"/>
  <c r="J406" i="23" s="1"/>
  <c r="H162" i="22"/>
  <c r="K162" i="22" s="1"/>
  <c r="H161" i="22"/>
  <c r="K161" i="22" s="1"/>
  <c r="D140" i="4"/>
  <c r="J107" i="2" l="1"/>
  <c r="J943" i="2"/>
  <c r="G31" i="7" s="1"/>
  <c r="J31" i="7" s="1"/>
  <c r="G8" i="7"/>
  <c r="J8" i="7" s="1"/>
  <c r="J513" i="2"/>
  <c r="J238" i="2"/>
  <c r="J528" i="2"/>
  <c r="J478" i="2"/>
  <c r="J469" i="2"/>
  <c r="J409" i="2"/>
  <c r="J552" i="2"/>
  <c r="J399" i="2"/>
  <c r="J487" i="2"/>
  <c r="J453" i="2"/>
  <c r="J191" i="2"/>
  <c r="G11" i="7" s="1"/>
  <c r="J11" i="7" s="1"/>
  <c r="J437" i="2"/>
  <c r="J559" i="2"/>
  <c r="J573" i="2"/>
  <c r="J568" i="2" s="1"/>
  <c r="J506" i="2"/>
  <c r="J521" i="2"/>
  <c r="J445" i="2"/>
  <c r="J174" i="2"/>
  <c r="G10" i="7" s="1"/>
  <c r="J10" i="7" s="1"/>
  <c r="J460" i="2"/>
  <c r="I36" i="12"/>
  <c r="F166" i="4"/>
  <c r="J214" i="20"/>
  <c r="G214" i="20"/>
  <c r="K214" i="20" s="1"/>
  <c r="J151" i="20"/>
  <c r="G151" i="20"/>
  <c r="K151" i="20" s="1"/>
  <c r="J215" i="20"/>
  <c r="G215" i="20"/>
  <c r="K215" i="20" s="1"/>
  <c r="J152" i="20"/>
  <c r="G152" i="20"/>
  <c r="K152" i="20" s="1"/>
  <c r="J216" i="20"/>
  <c r="G216" i="20"/>
  <c r="K216" i="20" s="1"/>
  <c r="J150" i="20"/>
  <c r="G150" i="20"/>
  <c r="K150" i="20" s="1"/>
  <c r="AK10" i="31"/>
  <c r="AK11" i="31"/>
  <c r="AK12" i="31"/>
  <c r="AK13" i="31"/>
  <c r="AK14" i="31"/>
  <c r="AK15" i="31"/>
  <c r="AK16" i="31"/>
  <c r="AK17" i="31"/>
  <c r="AK18" i="31"/>
  <c r="AK19" i="31"/>
  <c r="AK20" i="31"/>
  <c r="AK21" i="31"/>
  <c r="AK22" i="31"/>
  <c r="J33" i="7" l="1"/>
  <c r="E8" i="38" s="1"/>
  <c r="AJ4" i="31"/>
  <c r="AJ5" i="31"/>
  <c r="AJ6" i="31"/>
  <c r="AJ7" i="31"/>
  <c r="AJ8" i="31"/>
  <c r="AJ9" i="31"/>
  <c r="AJ10" i="31"/>
  <c r="AJ11" i="31"/>
  <c r="AJ12" i="31"/>
  <c r="AJ13" i="31"/>
  <c r="AJ14" i="31"/>
  <c r="AJ15" i="31"/>
  <c r="AJ16" i="31"/>
  <c r="AJ17" i="31"/>
  <c r="AJ18" i="31"/>
  <c r="AJ19" i="31"/>
  <c r="AJ20" i="31"/>
  <c r="AL22" i="31"/>
  <c r="B30" i="31" s="1"/>
  <c r="AJ3" i="31"/>
  <c r="AL21" i="31"/>
  <c r="B31" i="31" s="1"/>
  <c r="G4" i="31"/>
  <c r="AG3" i="31"/>
  <c r="AI20" i="31"/>
  <c r="AH20" i="31"/>
  <c r="AG20" i="31"/>
  <c r="AI19" i="31"/>
  <c r="AH19" i="31"/>
  <c r="AG19" i="31"/>
  <c r="AI18" i="31"/>
  <c r="AH18" i="31"/>
  <c r="AG18" i="31"/>
  <c r="AI17" i="31"/>
  <c r="AH17" i="31"/>
  <c r="AG17" i="31"/>
  <c r="AI16" i="31"/>
  <c r="AH16" i="31"/>
  <c r="AG16" i="31"/>
  <c r="AI15" i="31"/>
  <c r="AH15" i="31"/>
  <c r="AG15" i="31"/>
  <c r="AI14" i="31"/>
  <c r="AH14" i="31"/>
  <c r="AG14" i="31"/>
  <c r="AI13" i="31"/>
  <c r="AH13" i="31"/>
  <c r="AG13" i="31"/>
  <c r="AI12" i="31"/>
  <c r="AH12" i="31"/>
  <c r="AG12" i="31"/>
  <c r="AI11" i="31"/>
  <c r="AH11" i="31"/>
  <c r="AG11" i="31"/>
  <c r="AI10" i="31"/>
  <c r="AH10" i="31"/>
  <c r="AG10" i="31"/>
  <c r="AI9" i="31"/>
  <c r="AH9" i="31"/>
  <c r="AG9" i="31"/>
  <c r="AI8" i="31"/>
  <c r="AH8" i="31"/>
  <c r="AG8" i="31"/>
  <c r="AI7" i="31"/>
  <c r="AH7" i="31"/>
  <c r="AG7" i="31"/>
  <c r="AI6" i="31"/>
  <c r="AH6" i="31"/>
  <c r="AG6" i="31"/>
  <c r="AI5" i="31"/>
  <c r="AH5" i="31"/>
  <c r="AG5" i="31"/>
  <c r="AI4" i="31"/>
  <c r="AH4" i="31"/>
  <c r="AG4" i="31"/>
  <c r="AI3" i="31"/>
  <c r="AH3" i="31"/>
  <c r="G75" i="31" l="1"/>
  <c r="H75" i="31" s="1"/>
  <c r="G42" i="31"/>
  <c r="E6" i="8"/>
  <c r="E7" i="38"/>
  <c r="AL12" i="31"/>
  <c r="B36" i="31" s="1"/>
  <c r="R1309" i="1" s="1"/>
  <c r="AL15" i="31"/>
  <c r="B35" i="31" s="1"/>
  <c r="P1309" i="1" s="1"/>
  <c r="AL13" i="31"/>
  <c r="B33" i="31" s="1"/>
  <c r="N1309" i="1" s="1"/>
  <c r="G79" i="31"/>
  <c r="H79" i="31" s="1"/>
  <c r="G84" i="31"/>
  <c r="H84" i="31" s="1"/>
  <c r="G71" i="31"/>
  <c r="H71" i="31" s="1"/>
  <c r="G83" i="31"/>
  <c r="H83" i="31" s="1"/>
  <c r="G69" i="31"/>
  <c r="H69" i="31" s="1"/>
  <c r="AL20" i="31"/>
  <c r="B43" i="31" s="1"/>
  <c r="Q1309" i="1" s="1"/>
  <c r="AL11" i="31"/>
  <c r="B41" i="31" s="1"/>
  <c r="W1309" i="1" s="1"/>
  <c r="AL19" i="31"/>
  <c r="B38" i="31" s="1"/>
  <c r="T1309" i="1" s="1"/>
  <c r="AL16" i="31"/>
  <c r="B42" i="31" s="1"/>
  <c r="X1309" i="1" s="1"/>
  <c r="AL14" i="31"/>
  <c r="B34" i="31" s="1"/>
  <c r="O1309" i="1" s="1"/>
  <c r="G85" i="31"/>
  <c r="H85" i="31" s="1"/>
  <c r="G70" i="31"/>
  <c r="H70" i="31" s="1"/>
  <c r="G82" i="31"/>
  <c r="H82" i="31" s="1"/>
  <c r="G74" i="31"/>
  <c r="H74" i="31" s="1"/>
  <c r="G72" i="31"/>
  <c r="H72" i="31" s="1"/>
  <c r="G81" i="31"/>
  <c r="H81" i="31" s="1"/>
  <c r="G77" i="31"/>
  <c r="H77" i="31" s="1"/>
  <c r="G80" i="31"/>
  <c r="H80" i="31" s="1"/>
  <c r="G76" i="31"/>
  <c r="H76" i="31" s="1"/>
  <c r="AL17" i="31"/>
  <c r="B39" i="31" s="1"/>
  <c r="U1309" i="1" s="1"/>
  <c r="AL18" i="31"/>
  <c r="B32" i="31" s="1"/>
  <c r="M1309" i="1" s="1"/>
  <c r="AL10" i="31"/>
  <c r="B40" i="31" s="1"/>
  <c r="V1309" i="1" s="1"/>
  <c r="AK9" i="31" l="1"/>
  <c r="AL9" i="31" s="1"/>
  <c r="B37" i="31" s="1"/>
  <c r="AK5" i="31"/>
  <c r="AL5" i="31" s="1"/>
  <c r="B24" i="31" s="1"/>
  <c r="AK6" i="31"/>
  <c r="AL6" i="31" s="1"/>
  <c r="B28" i="31" s="1"/>
  <c r="AK7" i="31"/>
  <c r="AL7" i="31" s="1"/>
  <c r="B26" i="31" s="1"/>
  <c r="AK3" i="31"/>
  <c r="AL3" i="31" s="1"/>
  <c r="B29" i="31" s="1"/>
  <c r="AK8" i="31"/>
  <c r="AL8" i="31" s="1"/>
  <c r="B27" i="31" s="1"/>
  <c r="AK4" i="31"/>
  <c r="AL4" i="31" s="1"/>
  <c r="B25" i="31" s="1"/>
  <c r="G250" i="1" s="1"/>
  <c r="H9" i="30"/>
  <c r="H10" i="30" s="1"/>
  <c r="P177" i="19" l="1"/>
  <c r="P160" i="19"/>
  <c r="O159" i="19"/>
  <c r="P156" i="19"/>
  <c r="O155" i="19"/>
  <c r="P184" i="19"/>
  <c r="P161" i="19"/>
  <c r="O160" i="19"/>
  <c r="P157" i="19"/>
  <c r="O156" i="19"/>
  <c r="O184" i="19"/>
  <c r="O161" i="19"/>
  <c r="P158" i="19"/>
  <c r="O157" i="19"/>
  <c r="O158" i="19"/>
  <c r="P155" i="19"/>
  <c r="O162" i="19"/>
  <c r="P159" i="19"/>
  <c r="P162" i="19"/>
  <c r="P183" i="19"/>
  <c r="P181" i="19"/>
  <c r="P179" i="19"/>
  <c r="O172" i="19"/>
  <c r="O168" i="19"/>
  <c r="O183" i="19"/>
  <c r="O181" i="19"/>
  <c r="P182" i="19"/>
  <c r="P180" i="19"/>
  <c r="P178" i="19"/>
  <c r="O182" i="19"/>
  <c r="O167" i="19"/>
  <c r="O171" i="19"/>
  <c r="O169" i="19"/>
  <c r="P172" i="19"/>
  <c r="P167" i="19"/>
  <c r="O170" i="19"/>
  <c r="O166" i="19"/>
  <c r="O180" i="19"/>
  <c r="O165" i="19"/>
  <c r="O177" i="19"/>
  <c r="Q177" i="19" s="1"/>
  <c r="P171" i="19"/>
  <c r="O179" i="19"/>
  <c r="O178" i="19"/>
  <c r="O173" i="19"/>
  <c r="P168" i="19"/>
  <c r="O174" i="19"/>
  <c r="P166" i="19"/>
  <c r="P170" i="19"/>
  <c r="P173" i="19"/>
  <c r="P169" i="19"/>
  <c r="P174" i="19"/>
  <c r="P165" i="19"/>
  <c r="G249" i="1"/>
  <c r="I1078" i="2" s="1"/>
  <c r="L1078" i="2" s="1"/>
  <c r="G248" i="1"/>
  <c r="I1077" i="2" s="1"/>
  <c r="L1077" i="2" s="1"/>
  <c r="G356" i="1"/>
  <c r="I1075" i="2" s="1"/>
  <c r="L1075" i="2" s="1"/>
  <c r="G1281" i="1"/>
  <c r="J55" i="34" s="1"/>
  <c r="M55" i="34" s="1"/>
  <c r="G1288" i="1"/>
  <c r="J57" i="34" s="1"/>
  <c r="M57" i="34" s="1"/>
  <c r="G1287" i="1"/>
  <c r="J56" i="34" s="1"/>
  <c r="M56" i="34" s="1"/>
  <c r="G1274" i="1"/>
  <c r="J51" i="34" s="1"/>
  <c r="M51" i="34" s="1"/>
  <c r="G1279" i="1"/>
  <c r="J34" i="34" s="1"/>
  <c r="M34" i="34" s="1"/>
  <c r="G1277" i="1"/>
  <c r="J32" i="34" s="1"/>
  <c r="M32" i="34" s="1"/>
  <c r="G1276" i="1"/>
  <c r="J31" i="34" s="1"/>
  <c r="M31" i="34" s="1"/>
  <c r="G1256" i="1"/>
  <c r="J49" i="34" s="1"/>
  <c r="M49" i="34" s="1"/>
  <c r="N49" i="34" s="1"/>
  <c r="G1255" i="1"/>
  <c r="J48" i="34" s="1"/>
  <c r="M48" i="34" s="1"/>
  <c r="N48" i="34" s="1"/>
  <c r="G1297" i="1"/>
  <c r="G1289" i="1"/>
  <c r="G1291" i="1"/>
  <c r="G1293" i="1"/>
  <c r="G1295" i="1"/>
  <c r="G1280" i="1"/>
  <c r="J54" i="34" s="1"/>
  <c r="M54" i="34" s="1"/>
  <c r="G1283" i="1"/>
  <c r="I942" i="2" s="1"/>
  <c r="L942" i="2" s="1"/>
  <c r="G1285" i="1"/>
  <c r="G1268" i="1"/>
  <c r="G1270" i="1"/>
  <c r="J44" i="34" s="1"/>
  <c r="M44" i="34" s="1"/>
  <c r="G1272" i="1"/>
  <c r="I306" i="2" s="1"/>
  <c r="L306" i="2" s="1"/>
  <c r="G1275" i="1"/>
  <c r="J30" i="34" s="1"/>
  <c r="M30" i="34" s="1"/>
  <c r="G1257" i="1"/>
  <c r="J36" i="34" s="1"/>
  <c r="M36" i="34" s="1"/>
  <c r="G1259" i="1"/>
  <c r="J38" i="34" s="1"/>
  <c r="M38" i="34" s="1"/>
  <c r="G1261" i="1"/>
  <c r="J40" i="34" s="1"/>
  <c r="M40" i="34" s="1"/>
  <c r="G1263" i="1"/>
  <c r="J42" i="34" s="1"/>
  <c r="M42" i="34" s="1"/>
  <c r="G1265" i="1"/>
  <c r="G1267" i="1"/>
  <c r="J74" i="34" s="1"/>
  <c r="M74" i="34" s="1"/>
  <c r="G1248" i="1"/>
  <c r="I9" i="2" s="1"/>
  <c r="L9" i="2" s="1"/>
  <c r="G1250" i="1"/>
  <c r="J24" i="34" s="1"/>
  <c r="M24" i="34" s="1"/>
  <c r="N24" i="34" s="1"/>
  <c r="G1252" i="1"/>
  <c r="J26" i="34" s="1"/>
  <c r="M26" i="34" s="1"/>
  <c r="N26" i="34" s="1"/>
  <c r="G1254" i="1"/>
  <c r="J47" i="34" s="1"/>
  <c r="M47" i="34" s="1"/>
  <c r="G1298" i="1"/>
  <c r="I990" i="2" s="1"/>
  <c r="L990" i="2" s="1"/>
  <c r="G1290" i="1"/>
  <c r="G1292" i="1"/>
  <c r="G1294" i="1"/>
  <c r="G1296" i="1"/>
  <c r="G1282" i="1"/>
  <c r="I941" i="2" s="1"/>
  <c r="L941" i="2" s="1"/>
  <c r="G1284" i="1"/>
  <c r="G1286" i="1"/>
  <c r="J75" i="34" s="1"/>
  <c r="M75" i="34" s="1"/>
  <c r="G1269" i="1"/>
  <c r="J43" i="34" s="1"/>
  <c r="M43" i="34" s="1"/>
  <c r="G1271" i="1"/>
  <c r="J45" i="34" s="1"/>
  <c r="M45" i="34" s="1"/>
  <c r="G1273" i="1"/>
  <c r="J50" i="34" s="1"/>
  <c r="M50" i="34" s="1"/>
  <c r="G1278" i="1"/>
  <c r="J33" i="34" s="1"/>
  <c r="M33" i="34" s="1"/>
  <c r="G1258" i="1"/>
  <c r="J37" i="34" s="1"/>
  <c r="M37" i="34" s="1"/>
  <c r="G1260" i="1"/>
  <c r="J39" i="34" s="1"/>
  <c r="M39" i="34" s="1"/>
  <c r="G1262" i="1"/>
  <c r="J41" i="34" s="1"/>
  <c r="M41" i="34" s="1"/>
  <c r="G1264" i="1"/>
  <c r="G1266" i="1"/>
  <c r="G1247" i="1"/>
  <c r="G1249" i="1"/>
  <c r="J23" i="34" s="1"/>
  <c r="M23" i="34" s="1"/>
  <c r="G1251" i="1"/>
  <c r="J25" i="34" s="1"/>
  <c r="M25" i="34" s="1"/>
  <c r="N25" i="34" s="1"/>
  <c r="G1253" i="1"/>
  <c r="J27" i="34" s="1"/>
  <c r="M27" i="34" s="1"/>
  <c r="N27" i="34" s="1"/>
  <c r="G1246" i="1"/>
  <c r="S1309" i="1"/>
  <c r="G1083" i="1"/>
  <c r="G919" i="1"/>
  <c r="G703" i="1"/>
  <c r="G823" i="1"/>
  <c r="G704" i="1"/>
  <c r="G93" i="1"/>
  <c r="G705" i="1"/>
  <c r="G523" i="1"/>
  <c r="G421" i="1"/>
  <c r="J118" i="11" s="1"/>
  <c r="M118" i="11" s="1"/>
  <c r="G1203" i="1"/>
  <c r="G26" i="1"/>
  <c r="G1204" i="1"/>
  <c r="G1242" i="1"/>
  <c r="G345" i="1"/>
  <c r="G207" i="1"/>
  <c r="G78" i="1"/>
  <c r="Q179" i="19" l="1"/>
  <c r="R179" i="19" s="1"/>
  <c r="Q160" i="19"/>
  <c r="Q174" i="19"/>
  <c r="Q182" i="19"/>
  <c r="R182" i="19" s="1"/>
  <c r="Q157" i="19"/>
  <c r="Q161" i="19"/>
  <c r="Q178" i="19"/>
  <c r="R178" i="19" s="1"/>
  <c r="Q181" i="19"/>
  <c r="R181" i="19" s="1"/>
  <c r="Q171" i="19"/>
  <c r="Q168" i="19"/>
  <c r="Q158" i="19"/>
  <c r="I298" i="2"/>
  <c r="L298" i="2" s="1"/>
  <c r="I123" i="2"/>
  <c r="L123" i="2" s="1"/>
  <c r="I106" i="2"/>
  <c r="L106" i="2" s="1"/>
  <c r="J157" i="11"/>
  <c r="M157" i="11" s="1"/>
  <c r="J115" i="11"/>
  <c r="M115" i="11" s="1"/>
  <c r="J105" i="11"/>
  <c r="M105" i="11" s="1"/>
  <c r="J144" i="11"/>
  <c r="M144" i="11" s="1"/>
  <c r="R177" i="19"/>
  <c r="Q170" i="19"/>
  <c r="I1066" i="2"/>
  <c r="L1066" i="2" s="1"/>
  <c r="J280" i="11"/>
  <c r="M280" i="11" s="1"/>
  <c r="J172" i="11"/>
  <c r="M172" i="11" s="1"/>
  <c r="J309" i="11"/>
  <c r="M309" i="11" s="1"/>
  <c r="J372" i="11"/>
  <c r="M372" i="11" s="1"/>
  <c r="J155" i="11"/>
  <c r="M155" i="11" s="1"/>
  <c r="J142" i="11"/>
  <c r="M142" i="11" s="1"/>
  <c r="Q165" i="19"/>
  <c r="Q167" i="19"/>
  <c r="Q172" i="19"/>
  <c r="Q159" i="19"/>
  <c r="J102" i="11"/>
  <c r="M102" i="11" s="1"/>
  <c r="J112" i="11"/>
  <c r="M112" i="11" s="1"/>
  <c r="J145" i="11"/>
  <c r="M145" i="11" s="1"/>
  <c r="J158" i="11"/>
  <c r="M158" i="11" s="1"/>
  <c r="J106" i="11"/>
  <c r="M106" i="11" s="1"/>
  <c r="J116" i="11"/>
  <c r="M116" i="11" s="1"/>
  <c r="I297" i="2"/>
  <c r="L297" i="2" s="1"/>
  <c r="I289" i="2"/>
  <c r="L289" i="2" s="1"/>
  <c r="I237" i="2"/>
  <c r="L237" i="2" s="1"/>
  <c r="I211" i="2"/>
  <c r="L211" i="2" s="1"/>
  <c r="I257" i="2"/>
  <c r="L257" i="2" s="1"/>
  <c r="I190" i="2"/>
  <c r="L190" i="2" s="1"/>
  <c r="I146" i="2"/>
  <c r="L146" i="2" s="1"/>
  <c r="I160" i="2"/>
  <c r="L160" i="2" s="1"/>
  <c r="Q180" i="19"/>
  <c r="R180" i="19" s="1"/>
  <c r="Q156" i="19"/>
  <c r="Q184" i="19"/>
  <c r="R184" i="19" s="1"/>
  <c r="J130" i="11"/>
  <c r="M130" i="11" s="1"/>
  <c r="J123" i="11"/>
  <c r="M123" i="11" s="1"/>
  <c r="J125" i="11"/>
  <c r="M125" i="11" s="1"/>
  <c r="J132" i="11"/>
  <c r="M132" i="11" s="1"/>
  <c r="I70" i="2"/>
  <c r="L70" i="2" s="1"/>
  <c r="I86" i="2"/>
  <c r="L86" i="2" s="1"/>
  <c r="I77" i="2"/>
  <c r="L77" i="2" s="1"/>
  <c r="I63" i="2"/>
  <c r="L63" i="2" s="1"/>
  <c r="J131" i="11"/>
  <c r="M131" i="11" s="1"/>
  <c r="J124" i="11"/>
  <c r="M124" i="11" s="1"/>
  <c r="J134" i="11"/>
  <c r="M134" i="11" s="1"/>
  <c r="J127" i="11"/>
  <c r="M127" i="11" s="1"/>
  <c r="J135" i="11"/>
  <c r="M135" i="11" s="1"/>
  <c r="J128" i="11"/>
  <c r="M128" i="11" s="1"/>
  <c r="J148" i="11"/>
  <c r="M148" i="11" s="1"/>
  <c r="Q173" i="19"/>
  <c r="Q166" i="19"/>
  <c r="Q169" i="19"/>
  <c r="Q183" i="19"/>
  <c r="R183" i="19" s="1"/>
  <c r="Q162" i="19"/>
  <c r="Q155" i="19"/>
  <c r="G1363" i="1"/>
  <c r="H59" i="12" s="1"/>
  <c r="G1337" i="1"/>
  <c r="H34" i="12" s="1"/>
  <c r="G1328" i="1"/>
  <c r="H23" i="12" s="1"/>
  <c r="K23" i="12" s="1"/>
  <c r="G1370" i="1"/>
  <c r="G1353" i="1"/>
  <c r="H50" i="12" s="1"/>
  <c r="G1346" i="1"/>
  <c r="H43" i="12" s="1"/>
  <c r="G1314" i="1"/>
  <c r="H10" i="12" s="1"/>
  <c r="K10" i="12" s="1"/>
  <c r="G1365" i="1"/>
  <c r="H61" i="12" s="1"/>
  <c r="G1339" i="1"/>
  <c r="H36" i="12" s="1"/>
  <c r="K36" i="12" s="1"/>
  <c r="G1330" i="1"/>
  <c r="H25" i="12" s="1"/>
  <c r="K25" i="12" s="1"/>
  <c r="G1358" i="1"/>
  <c r="H54" i="12" s="1"/>
  <c r="G1355" i="1"/>
  <c r="H51" i="12" s="1"/>
  <c r="G1323" i="1"/>
  <c r="H19" i="12" s="1"/>
  <c r="G1316" i="1"/>
  <c r="H12" i="12" s="1"/>
  <c r="G1342" i="1"/>
  <c r="H39" i="12" s="1"/>
  <c r="G1361" i="1"/>
  <c r="H57" i="12" s="1"/>
  <c r="G1326" i="1"/>
  <c r="H21" i="12" s="1"/>
  <c r="G1368" i="1"/>
  <c r="H64" i="12" s="1"/>
  <c r="G1327" i="1"/>
  <c r="H22" i="12" s="1"/>
  <c r="G1359" i="1"/>
  <c r="H55" i="12" s="1"/>
  <c r="G1356" i="1"/>
  <c r="G1324" i="1"/>
  <c r="G1317" i="1"/>
  <c r="G1360" i="1"/>
  <c r="H56" i="12" s="1"/>
  <c r="G1325" i="1"/>
  <c r="G1367" i="1"/>
  <c r="H63" i="12" s="1"/>
  <c r="G1343" i="1"/>
  <c r="H40" i="12" s="1"/>
  <c r="G1362" i="1"/>
  <c r="H58" i="12" s="1"/>
  <c r="G1344" i="1"/>
  <c r="H41" i="12" s="1"/>
  <c r="G1369" i="1"/>
  <c r="G1352" i="1"/>
  <c r="H49" i="12" s="1"/>
  <c r="G1345" i="1"/>
  <c r="H42" i="12" s="1"/>
  <c r="G1321" i="1"/>
  <c r="H17" i="12" s="1"/>
  <c r="G1364" i="1"/>
  <c r="H60" i="12" s="1"/>
  <c r="G1338" i="1"/>
  <c r="H35" i="12" s="1"/>
  <c r="G1329" i="1"/>
  <c r="H24" i="12" s="1"/>
  <c r="K24" i="12" s="1"/>
  <c r="G1310" i="1"/>
  <c r="H6" i="12" s="1"/>
  <c r="K6" i="12" s="1"/>
  <c r="G1354" i="1"/>
  <c r="G1322" i="1"/>
  <c r="H18" i="12" s="1"/>
  <c r="G1315" i="1"/>
  <c r="H11" i="12" s="1"/>
  <c r="G1347" i="1"/>
  <c r="H44" i="12" s="1"/>
  <c r="G1340" i="1"/>
  <c r="H37" i="12" s="1"/>
  <c r="G1331" i="1"/>
  <c r="H26" i="12" s="1"/>
  <c r="K26" i="12" s="1"/>
  <c r="G1349" i="1"/>
  <c r="H46" i="12" s="1"/>
  <c r="G1333" i="1"/>
  <c r="H30" i="12" s="1"/>
  <c r="K30" i="12" s="1"/>
  <c r="G1335" i="1"/>
  <c r="H32" i="12" s="1"/>
  <c r="G1319" i="1"/>
  <c r="H15" i="12" s="1"/>
  <c r="G1336" i="1"/>
  <c r="H33" i="12" s="1"/>
  <c r="G1320" i="1"/>
  <c r="H16" i="12" s="1"/>
  <c r="G1348" i="1"/>
  <c r="H45" i="12" s="1"/>
  <c r="G1341" i="1"/>
  <c r="H38" i="12" s="1"/>
  <c r="G1332" i="1"/>
  <c r="H29" i="12" s="1"/>
  <c r="K29" i="12" s="1"/>
  <c r="G1366" i="1"/>
  <c r="H62" i="12" s="1"/>
  <c r="G1334" i="1"/>
  <c r="H31" i="12" s="1"/>
  <c r="G1318" i="1"/>
  <c r="G1350" i="1"/>
  <c r="H47" i="12" s="1"/>
  <c r="G1311" i="1"/>
  <c r="H7" i="12" s="1"/>
  <c r="G1351" i="1"/>
  <c r="H48" i="12" s="1"/>
  <c r="J22" i="34"/>
  <c r="M22" i="34" s="1"/>
  <c r="J172" i="22"/>
  <c r="M172" i="22" s="1"/>
  <c r="J280" i="22"/>
  <c r="J372" i="22"/>
  <c r="J112" i="22"/>
  <c r="M112" i="22" s="1"/>
  <c r="J157" i="22"/>
  <c r="M157" i="22" s="1"/>
  <c r="J144" i="22"/>
  <c r="M144" i="22" s="1"/>
  <c r="J115" i="22"/>
  <c r="M115" i="22" s="1"/>
  <c r="J158" i="22"/>
  <c r="M158" i="22" s="1"/>
  <c r="J123" i="22"/>
  <c r="M123" i="22" s="1"/>
  <c r="J130" i="22"/>
  <c r="M130" i="22" s="1"/>
  <c r="J142" i="22"/>
  <c r="M142" i="22" s="1"/>
  <c r="J155" i="22"/>
  <c r="M155" i="22" s="1"/>
  <c r="J125" i="22"/>
  <c r="M125" i="22" s="1"/>
  <c r="J132" i="22"/>
  <c r="M132" i="22" s="1"/>
  <c r="J131" i="22"/>
  <c r="M131" i="22" s="1"/>
  <c r="J124" i="22"/>
  <c r="M124" i="22" s="1"/>
  <c r="J134" i="22"/>
  <c r="M134" i="22" s="1"/>
  <c r="J135" i="22"/>
  <c r="M135" i="22" s="1"/>
  <c r="J128" i="22"/>
  <c r="M128" i="22" s="1"/>
  <c r="D374" i="4"/>
  <c r="C368" i="4"/>
  <c r="C367" i="4"/>
  <c r="Q163" i="19" l="1"/>
  <c r="Q175" i="19"/>
  <c r="H14" i="12"/>
  <c r="H52" i="12"/>
  <c r="H20" i="12"/>
  <c r="H13" i="12"/>
  <c r="Q185" i="19"/>
  <c r="R185" i="19" s="1"/>
  <c r="R176" i="19" s="1"/>
  <c r="G81" i="4"/>
  <c r="Q189" i="19" l="1"/>
  <c r="G14" i="38" s="1"/>
  <c r="R175" i="19"/>
  <c r="Q187" i="19"/>
  <c r="E14" i="38" s="1"/>
  <c r="R163" i="19"/>
  <c r="C93" i="4"/>
  <c r="D373" i="4"/>
  <c r="G57" i="1"/>
  <c r="F57" i="1"/>
  <c r="G416" i="23"/>
  <c r="J416" i="23" s="1"/>
  <c r="E416" i="23"/>
  <c r="D416" i="23"/>
  <c r="C416" i="23"/>
  <c r="H57" i="22"/>
  <c r="F57" i="22"/>
  <c r="E57" i="22"/>
  <c r="D57" i="22"/>
  <c r="H61" i="22"/>
  <c r="F61" i="22"/>
  <c r="E61" i="22"/>
  <c r="D61" i="22"/>
  <c r="H60" i="22"/>
  <c r="F60" i="22"/>
  <c r="E60" i="22"/>
  <c r="D60" i="22"/>
  <c r="H59" i="22"/>
  <c r="F59" i="22"/>
  <c r="E59" i="22"/>
  <c r="D59" i="22"/>
  <c r="H1045" i="2" l="1"/>
  <c r="K1045" i="2" s="1"/>
  <c r="H435" i="2"/>
  <c r="K435" i="2" s="1"/>
  <c r="I1045" i="2"/>
  <c r="L1045" i="2" s="1"/>
  <c r="I435" i="2"/>
  <c r="L435" i="2" s="1"/>
  <c r="E13" i="8"/>
  <c r="R187" i="19"/>
  <c r="G13" i="8"/>
  <c r="R189" i="19"/>
  <c r="R152" i="19" s="1"/>
  <c r="R153" i="19" s="1"/>
  <c r="R154" i="19" s="1"/>
  <c r="F672" i="23"/>
  <c r="F636" i="23"/>
  <c r="D636" i="23"/>
  <c r="D627" i="23"/>
  <c r="F627" i="23"/>
  <c r="F609" i="23"/>
  <c r="F601" i="23"/>
  <c r="F591" i="23"/>
  <c r="F583" i="23"/>
  <c r="G767" i="1" l="1"/>
  <c r="G766" i="1"/>
  <c r="G765" i="1"/>
  <c r="G764" i="1"/>
  <c r="G763" i="1"/>
  <c r="J519" i="1"/>
  <c r="J518" i="1"/>
  <c r="J517" i="1"/>
  <c r="J516" i="1"/>
  <c r="J515" i="1"/>
  <c r="F855" i="1"/>
  <c r="G855" i="1"/>
  <c r="F856" i="1"/>
  <c r="G856" i="1"/>
  <c r="F857" i="1"/>
  <c r="G857" i="1"/>
  <c r="F858" i="1"/>
  <c r="G858" i="1"/>
  <c r="F859" i="1"/>
  <c r="G859" i="1"/>
  <c r="F860" i="1"/>
  <c r="G860" i="1"/>
  <c r="G831" i="1"/>
  <c r="G832" i="1"/>
  <c r="G833" i="1"/>
  <c r="G834" i="1"/>
  <c r="G835" i="1"/>
  <c r="G836" i="1"/>
  <c r="G837" i="1"/>
  <c r="G838" i="1"/>
  <c r="G839" i="1"/>
  <c r="G840" i="1"/>
  <c r="G841" i="1"/>
  <c r="G842" i="1"/>
  <c r="G843" i="1"/>
  <c r="G844" i="1"/>
  <c r="G845" i="1"/>
  <c r="G846" i="1"/>
  <c r="G847" i="1"/>
  <c r="G848" i="1"/>
  <c r="G849" i="1"/>
  <c r="G850" i="1"/>
  <c r="G851" i="1"/>
  <c r="G852" i="1"/>
  <c r="G853" i="1"/>
  <c r="G854" i="1"/>
  <c r="G861" i="1"/>
  <c r="G862" i="1"/>
  <c r="G863" i="1"/>
  <c r="G864" i="1"/>
  <c r="G865" i="1"/>
  <c r="G866" i="1"/>
  <c r="G867" i="1"/>
  <c r="G868" i="1"/>
  <c r="G869" i="1"/>
  <c r="G870" i="1"/>
  <c r="G871" i="1"/>
  <c r="G872" i="1"/>
  <c r="G873" i="1"/>
  <c r="G874" i="1"/>
  <c r="G875" i="1"/>
  <c r="G876" i="1"/>
  <c r="G877" i="1"/>
  <c r="E941" i="1"/>
  <c r="E939" i="1"/>
  <c r="E938" i="1"/>
  <c r="E937" i="1"/>
  <c r="E936" i="1"/>
  <c r="E935" i="1"/>
  <c r="E934" i="1"/>
  <c r="E933" i="1"/>
  <c r="E932" i="1"/>
  <c r="E931" i="1"/>
  <c r="E930" i="1"/>
  <c r="E929" i="1"/>
  <c r="E928" i="1"/>
  <c r="E927" i="1"/>
  <c r="E926" i="1"/>
  <c r="G157" i="1" l="1"/>
  <c r="F157" i="1"/>
  <c r="M939" i="1" l="1"/>
  <c r="M938" i="1"/>
  <c r="M937" i="1"/>
  <c r="M936" i="1"/>
  <c r="M935" i="1"/>
  <c r="M934" i="1"/>
  <c r="M933" i="1"/>
  <c r="M932" i="1"/>
  <c r="M931" i="1"/>
  <c r="M930" i="1"/>
  <c r="M929" i="1"/>
  <c r="M928" i="1"/>
  <c r="M927" i="1"/>
  <c r="M926" i="1"/>
  <c r="J939" i="1"/>
  <c r="J938" i="1"/>
  <c r="J937" i="1"/>
  <c r="J936" i="1"/>
  <c r="J935" i="1"/>
  <c r="J934" i="1"/>
  <c r="J933" i="1"/>
  <c r="J932" i="1"/>
  <c r="J931" i="1"/>
  <c r="J930" i="1"/>
  <c r="J929" i="1"/>
  <c r="J928" i="1"/>
  <c r="J927" i="1"/>
  <c r="J926" i="1"/>
  <c r="M941" i="1"/>
  <c r="J941" i="1"/>
  <c r="G194" i="4" l="1"/>
  <c r="E194" i="4"/>
  <c r="D194" i="4"/>
  <c r="C194" i="4"/>
  <c r="G193" i="4"/>
  <c r="E193" i="4"/>
  <c r="D193" i="4"/>
  <c r="C193" i="4"/>
  <c r="G192" i="4"/>
  <c r="E192" i="4"/>
  <c r="D192" i="4"/>
  <c r="C192" i="4"/>
  <c r="G191" i="4"/>
  <c r="E191" i="4"/>
  <c r="D191" i="4"/>
  <c r="C191" i="4"/>
  <c r="G190" i="4"/>
  <c r="E190" i="4"/>
  <c r="D190" i="4"/>
  <c r="C190" i="4"/>
  <c r="G189" i="4"/>
  <c r="E189" i="4"/>
  <c r="D189" i="4"/>
  <c r="C189" i="4"/>
  <c r="G188" i="4"/>
  <c r="E188" i="4"/>
  <c r="D188" i="4"/>
  <c r="C188" i="4"/>
  <c r="G187" i="4"/>
  <c r="E187" i="4"/>
  <c r="D187" i="4"/>
  <c r="C187" i="4"/>
  <c r="G186" i="4"/>
  <c r="E186" i="4"/>
  <c r="D186" i="4"/>
  <c r="C186" i="4"/>
  <c r="G185" i="4"/>
  <c r="E185" i="4"/>
  <c r="D185" i="4"/>
  <c r="C185" i="4"/>
  <c r="G184" i="4"/>
  <c r="E184" i="4"/>
  <c r="D184" i="4"/>
  <c r="C184" i="4"/>
  <c r="G183" i="4"/>
  <c r="E183" i="4"/>
  <c r="D183" i="4"/>
  <c r="C183" i="4"/>
  <c r="G182" i="4"/>
  <c r="E182" i="4"/>
  <c r="D182" i="4"/>
  <c r="C182" i="4"/>
  <c r="I181" i="4"/>
  <c r="G181" i="4"/>
  <c r="E181" i="4"/>
  <c r="D181" i="4"/>
  <c r="C181" i="4"/>
  <c r="G180" i="4"/>
  <c r="E180" i="4"/>
  <c r="D180" i="4"/>
  <c r="C180" i="4"/>
  <c r="G179" i="4"/>
  <c r="E179" i="4"/>
  <c r="D179" i="4"/>
  <c r="C179" i="4"/>
  <c r="G178" i="4"/>
  <c r="E178" i="4"/>
  <c r="D178" i="4"/>
  <c r="C178" i="4"/>
  <c r="G177" i="4"/>
  <c r="E177" i="4"/>
  <c r="D177" i="4"/>
  <c r="C177" i="4"/>
  <c r="G176" i="4"/>
  <c r="E176" i="4"/>
  <c r="D176" i="4"/>
  <c r="C176" i="4"/>
  <c r="G175" i="4"/>
  <c r="E175" i="4"/>
  <c r="D175" i="4"/>
  <c r="C175" i="4"/>
  <c r="G174" i="4"/>
  <c r="E174" i="4"/>
  <c r="D174" i="4"/>
  <c r="C174" i="4"/>
  <c r="G173" i="4"/>
  <c r="E173" i="4"/>
  <c r="D173" i="4"/>
  <c r="C173" i="4"/>
  <c r="G172" i="4"/>
  <c r="E172" i="4"/>
  <c r="D172" i="4"/>
  <c r="C172" i="4"/>
  <c r="G171" i="4"/>
  <c r="E171" i="4"/>
  <c r="D171" i="4"/>
  <c r="C171" i="4"/>
  <c r="G170" i="4"/>
  <c r="E170" i="4"/>
  <c r="D170" i="4"/>
  <c r="C170" i="4"/>
  <c r="G169" i="4"/>
  <c r="E169" i="4"/>
  <c r="D169" i="4"/>
  <c r="C169" i="4"/>
  <c r="G168" i="4"/>
  <c r="E168" i="4"/>
  <c r="D168" i="4"/>
  <c r="C168" i="4"/>
  <c r="G167" i="4"/>
  <c r="E167" i="4"/>
  <c r="D167" i="4"/>
  <c r="C167" i="4"/>
  <c r="G166" i="4"/>
  <c r="J166" i="4" s="1"/>
  <c r="E166" i="4"/>
  <c r="D166" i="4"/>
  <c r="C166" i="4"/>
  <c r="G165" i="4"/>
  <c r="E165" i="4"/>
  <c r="D165" i="4"/>
  <c r="C165" i="4"/>
  <c r="G164" i="4"/>
  <c r="E164" i="4"/>
  <c r="D164" i="4"/>
  <c r="C164" i="4"/>
  <c r="G163" i="4"/>
  <c r="E163" i="4"/>
  <c r="D163" i="4"/>
  <c r="C163" i="4"/>
  <c r="G162" i="4"/>
  <c r="E162" i="4"/>
  <c r="D162" i="4"/>
  <c r="C162" i="4"/>
  <c r="G161" i="4"/>
  <c r="E161" i="4"/>
  <c r="D161" i="4"/>
  <c r="C161" i="4"/>
  <c r="G160" i="4"/>
  <c r="J160" i="4" s="1"/>
  <c r="E160" i="4"/>
  <c r="D160" i="4"/>
  <c r="C160" i="4"/>
  <c r="G159" i="4"/>
  <c r="J159" i="4" s="1"/>
  <c r="E159" i="4"/>
  <c r="D159" i="4"/>
  <c r="C159" i="4"/>
  <c r="G156" i="4"/>
  <c r="J156" i="4" s="1"/>
  <c r="E156" i="4"/>
  <c r="D156" i="4"/>
  <c r="C156" i="4"/>
  <c r="G155" i="4"/>
  <c r="J155" i="4" s="1"/>
  <c r="E155" i="4"/>
  <c r="D155" i="4"/>
  <c r="C155" i="4"/>
  <c r="G154" i="4"/>
  <c r="J154" i="4" s="1"/>
  <c r="E154" i="4"/>
  <c r="D154" i="4"/>
  <c r="C154" i="4"/>
  <c r="G153" i="4"/>
  <c r="J153" i="4" s="1"/>
  <c r="E153" i="4"/>
  <c r="D153" i="4"/>
  <c r="C153" i="4"/>
  <c r="G152" i="4"/>
  <c r="E152" i="4"/>
  <c r="D152" i="4"/>
  <c r="C152" i="4"/>
  <c r="I151" i="4"/>
  <c r="G151" i="4"/>
  <c r="E151" i="4"/>
  <c r="D151" i="4"/>
  <c r="C151" i="4"/>
  <c r="G150" i="4"/>
  <c r="E150" i="4"/>
  <c r="D150" i="4"/>
  <c r="C150" i="4"/>
  <c r="G149" i="4"/>
  <c r="E149" i="4"/>
  <c r="D149" i="4"/>
  <c r="C149" i="4"/>
  <c r="G148" i="4"/>
  <c r="E148" i="4"/>
  <c r="D148" i="4"/>
  <c r="C148" i="4"/>
  <c r="G147" i="4"/>
  <c r="E147" i="4"/>
  <c r="D147" i="4"/>
  <c r="C147" i="4"/>
  <c r="G146" i="4"/>
  <c r="E146" i="4"/>
  <c r="D146" i="4"/>
  <c r="C146" i="4"/>
  <c r="G145" i="4"/>
  <c r="E145" i="4"/>
  <c r="D145" i="4"/>
  <c r="C145" i="4"/>
  <c r="G144" i="4"/>
  <c r="E144" i="4"/>
  <c r="D144" i="4"/>
  <c r="C144" i="4"/>
  <c r="G143" i="4"/>
  <c r="E143" i="4"/>
  <c r="D143" i="4"/>
  <c r="C143" i="4"/>
  <c r="G142" i="4"/>
  <c r="E142" i="4"/>
  <c r="D142" i="4"/>
  <c r="C142" i="4"/>
  <c r="G141" i="4"/>
  <c r="E141" i="4"/>
  <c r="D141" i="4"/>
  <c r="C141" i="4"/>
  <c r="G140" i="4"/>
  <c r="E140" i="4"/>
  <c r="C140" i="4"/>
  <c r="G139" i="4"/>
  <c r="E139" i="4"/>
  <c r="D139" i="4"/>
  <c r="C139" i="4"/>
  <c r="G138" i="4"/>
  <c r="E138" i="4"/>
  <c r="D138" i="4"/>
  <c r="C138" i="4"/>
  <c r="G137" i="4"/>
  <c r="E137" i="4"/>
  <c r="D137" i="4"/>
  <c r="C137" i="4"/>
  <c r="G136" i="4"/>
  <c r="J136" i="4" s="1"/>
  <c r="E136" i="4"/>
  <c r="D136" i="4"/>
  <c r="C136" i="4"/>
  <c r="D375" i="4" l="1"/>
  <c r="D372" i="4"/>
  <c r="F276" i="4" l="1"/>
  <c r="F277" i="4" s="1"/>
  <c r="D316" i="4"/>
  <c r="C92" i="4"/>
  <c r="G85" i="4"/>
  <c r="E85" i="4"/>
  <c r="C33" i="4"/>
  <c r="C85" i="4"/>
  <c r="C32" i="4"/>
  <c r="M277" i="4" l="1"/>
  <c r="K277" i="4"/>
  <c r="L277" i="4"/>
  <c r="M276" i="4"/>
  <c r="K276" i="4"/>
  <c r="L276" i="4"/>
  <c r="J785" i="1"/>
  <c r="J655" i="1"/>
  <c r="L278" i="4" l="1"/>
  <c r="M278" i="4"/>
  <c r="K278" i="4"/>
  <c r="G392" i="1"/>
  <c r="F392" i="1"/>
  <c r="R1357" i="1" l="1"/>
  <c r="P1357" i="1"/>
  <c r="M1357" i="1"/>
  <c r="L1357" i="1"/>
  <c r="F1319" i="1"/>
  <c r="G15" i="12" s="1"/>
  <c r="F1317" i="1"/>
  <c r="R1313" i="1"/>
  <c r="P1313" i="1"/>
  <c r="M1313" i="1"/>
  <c r="L1313" i="1"/>
  <c r="R1312" i="1"/>
  <c r="P1312" i="1"/>
  <c r="M1312" i="1"/>
  <c r="L1312" i="1"/>
  <c r="G1312" i="1" l="1"/>
  <c r="H8" i="12" s="1"/>
  <c r="K8" i="12" s="1"/>
  <c r="G1357" i="1"/>
  <c r="H53" i="12" s="1"/>
  <c r="G1313" i="1"/>
  <c r="H9" i="12" s="1"/>
  <c r="I154" i="4"/>
  <c r="L154" i="4" s="1"/>
  <c r="I136" i="4"/>
  <c r="L136" i="4" s="1"/>
  <c r="I153" i="4"/>
  <c r="L153" i="4" s="1"/>
  <c r="I145" i="4"/>
  <c r="I169" i="4"/>
  <c r="I161" i="4"/>
  <c r="I190" i="4"/>
  <c r="I146" i="4"/>
  <c r="I142" i="4"/>
  <c r="I152" i="4"/>
  <c r="I144" i="4"/>
  <c r="I168" i="4"/>
  <c r="I160" i="4"/>
  <c r="L160" i="4" s="1"/>
  <c r="I189" i="4"/>
  <c r="I180" i="4"/>
  <c r="I162" i="4"/>
  <c r="I141" i="4"/>
  <c r="I143" i="4"/>
  <c r="I167" i="4"/>
  <c r="I159" i="4"/>
  <c r="L159" i="4" s="1"/>
  <c r="I188" i="4"/>
  <c r="I179" i="4"/>
  <c r="I191" i="4"/>
  <c r="I140" i="4"/>
  <c r="I150" i="4"/>
  <c r="I174" i="4"/>
  <c r="I166" i="4"/>
  <c r="L166" i="4" s="1"/>
  <c r="I187" i="4"/>
  <c r="I178" i="4"/>
  <c r="I182" i="4"/>
  <c r="I137" i="4"/>
  <c r="I149" i="4"/>
  <c r="I173" i="4"/>
  <c r="I165" i="4"/>
  <c r="I194" i="4"/>
  <c r="I186" i="4"/>
  <c r="I177" i="4"/>
  <c r="I170" i="4"/>
  <c r="I156" i="4"/>
  <c r="L156" i="4" s="1"/>
  <c r="I148" i="4"/>
  <c r="I172" i="4"/>
  <c r="I164" i="4"/>
  <c r="I193" i="4"/>
  <c r="I185" i="4"/>
  <c r="I176" i="4"/>
  <c r="I155" i="4"/>
  <c r="L155" i="4" s="1"/>
  <c r="I147" i="4"/>
  <c r="I171" i="4"/>
  <c r="I163" i="4"/>
  <c r="I192" i="4"/>
  <c r="I184" i="4"/>
  <c r="I175" i="4"/>
  <c r="H145" i="4"/>
  <c r="O724" i="1"/>
  <c r="G724" i="1" s="1"/>
  <c r="J724" i="1"/>
  <c r="I139" i="4" l="1"/>
  <c r="I183" i="4"/>
  <c r="I138" i="4"/>
  <c r="I166" i="29" l="1"/>
  <c r="O166" i="29" s="1"/>
  <c r="I75" i="29"/>
  <c r="G75" i="29"/>
  <c r="K75" i="29" s="1"/>
  <c r="N23" i="29"/>
  <c r="M23" i="29"/>
  <c r="J23" i="29"/>
  <c r="N21" i="29"/>
  <c r="M21" i="29"/>
  <c r="J21" i="29"/>
  <c r="N20" i="29"/>
  <c r="M20" i="29"/>
  <c r="J20" i="29"/>
  <c r="N19" i="29"/>
  <c r="M19" i="29"/>
  <c r="J19" i="29"/>
  <c r="G782" i="23"/>
  <c r="J782" i="23" s="1"/>
  <c r="E782" i="23"/>
  <c r="D782" i="23"/>
  <c r="C782" i="23"/>
  <c r="G781" i="23"/>
  <c r="J781" i="23" s="1"/>
  <c r="E781" i="23"/>
  <c r="D781" i="23"/>
  <c r="C781" i="23"/>
  <c r="G780" i="23"/>
  <c r="J780" i="23" s="1"/>
  <c r="E780" i="23"/>
  <c r="D780" i="23"/>
  <c r="C780" i="23"/>
  <c r="G779" i="23"/>
  <c r="J779" i="23" s="1"/>
  <c r="E779" i="23"/>
  <c r="D779" i="23"/>
  <c r="C779" i="23"/>
  <c r="G778" i="23"/>
  <c r="J778" i="23" s="1"/>
  <c r="E778" i="23"/>
  <c r="D778" i="23"/>
  <c r="C778" i="23"/>
  <c r="N777" i="23"/>
  <c r="M777" i="23"/>
  <c r="G1220" i="1"/>
  <c r="I996" i="2" s="1"/>
  <c r="L996" i="2" s="1"/>
  <c r="F1220" i="1"/>
  <c r="H996" i="2" s="1"/>
  <c r="K996" i="2" s="1"/>
  <c r="G1219" i="1"/>
  <c r="I997" i="2" s="1"/>
  <c r="L997" i="2" s="1"/>
  <c r="F1219" i="1"/>
  <c r="H997" i="2" s="1"/>
  <c r="K997" i="2" s="1"/>
  <c r="M166" i="29" l="1"/>
  <c r="P166" i="29" s="1"/>
  <c r="K21" i="29"/>
  <c r="K23" i="29"/>
  <c r="R75" i="29"/>
  <c r="G166" i="29"/>
  <c r="R20" i="29"/>
  <c r="K20" i="29"/>
  <c r="R19" i="29"/>
  <c r="J777" i="23"/>
  <c r="R21" i="29" l="1"/>
  <c r="R23" i="29"/>
  <c r="K166" i="29"/>
  <c r="Q166" i="29" s="1"/>
  <c r="R166" i="29"/>
  <c r="K19" i="29"/>
  <c r="N23" i="31" l="1"/>
  <c r="C33" i="26" s="1"/>
  <c r="E399" i="4" l="1"/>
  <c r="I280" i="4"/>
  <c r="J280" i="4"/>
  <c r="H280" i="4"/>
  <c r="G810" i="1" l="1"/>
  <c r="G809" i="1"/>
  <c r="G808" i="1"/>
  <c r="G968" i="1"/>
  <c r="J844" i="1"/>
  <c r="J842" i="1"/>
  <c r="J840" i="1"/>
  <c r="J838" i="1"/>
  <c r="J835" i="1"/>
  <c r="J831" i="1"/>
  <c r="J832" i="1"/>
  <c r="J833" i="1"/>
  <c r="G246" i="22"/>
  <c r="G251" i="22" s="1"/>
  <c r="G252" i="22" l="1"/>
  <c r="G254" i="22"/>
  <c r="G257" i="22"/>
  <c r="G248" i="22"/>
  <c r="G259" i="22" s="1"/>
  <c r="G249" i="22"/>
  <c r="G258" i="22" s="1"/>
  <c r="G260" i="22"/>
  <c r="G261" i="22" s="1"/>
  <c r="G436" i="23"/>
  <c r="J436" i="23" s="1"/>
  <c r="E436" i="23"/>
  <c r="D436" i="23"/>
  <c r="C436" i="23"/>
  <c r="G20" i="1"/>
  <c r="J53" i="11" s="1"/>
  <c r="M53" i="11" s="1"/>
  <c r="G19" i="1"/>
  <c r="E1199" i="1"/>
  <c r="G499" i="2" s="1"/>
  <c r="J499" i="2" s="1"/>
  <c r="J497" i="2" s="1"/>
  <c r="T1199" i="1"/>
  <c r="F1199" i="1"/>
  <c r="H499" i="2" s="1"/>
  <c r="K499" i="2" s="1"/>
  <c r="G1199" i="1"/>
  <c r="I499" i="2" s="1"/>
  <c r="L499" i="2" s="1"/>
  <c r="T1197" i="1"/>
  <c r="G1197" i="1"/>
  <c r="F1197" i="1"/>
  <c r="E1201" i="1"/>
  <c r="T1202" i="1"/>
  <c r="G1202" i="1"/>
  <c r="F1202" i="1"/>
  <c r="T1201" i="1"/>
  <c r="G1201" i="1"/>
  <c r="F1201" i="1"/>
  <c r="M62" i="29"/>
  <c r="G62" i="29"/>
  <c r="R62" i="29" s="1"/>
  <c r="M61" i="29"/>
  <c r="R61" i="29"/>
  <c r="M60" i="29"/>
  <c r="R60" i="29"/>
  <c r="M59" i="29"/>
  <c r="R59" i="29"/>
  <c r="M58" i="29"/>
  <c r="R58" i="29"/>
  <c r="M57" i="29"/>
  <c r="G57" i="29"/>
  <c r="R57" i="29" s="1"/>
  <c r="I56" i="29"/>
  <c r="G56" i="29"/>
  <c r="R56" i="29" s="1"/>
  <c r="M55" i="29"/>
  <c r="G55" i="29"/>
  <c r="M51" i="29"/>
  <c r="M50" i="29"/>
  <c r="G50" i="29"/>
  <c r="C50" i="29" s="1"/>
  <c r="M49" i="29"/>
  <c r="G49" i="29"/>
  <c r="M48" i="29"/>
  <c r="G48" i="29"/>
  <c r="C48" i="29" s="1"/>
  <c r="M47" i="29"/>
  <c r="G47" i="29"/>
  <c r="C47" i="29" s="1"/>
  <c r="I46" i="29"/>
  <c r="G46" i="29"/>
  <c r="R46" i="29" s="1"/>
  <c r="M45" i="29"/>
  <c r="G45" i="29"/>
  <c r="I44" i="29"/>
  <c r="M44" i="29" s="1"/>
  <c r="G44" i="29"/>
  <c r="E22" i="20"/>
  <c r="E36" i="20"/>
  <c r="E51" i="20"/>
  <c r="E66" i="20"/>
  <c r="E79" i="20"/>
  <c r="E95" i="20"/>
  <c r="E109" i="20"/>
  <c r="E116" i="20"/>
  <c r="E126" i="20"/>
  <c r="E140" i="20"/>
  <c r="E154" i="20"/>
  <c r="E163" i="20"/>
  <c r="E171" i="20"/>
  <c r="E191" i="20"/>
  <c r="E204" i="20"/>
  <c r="E227" i="20"/>
  <c r="E234" i="20"/>
  <c r="E249" i="20"/>
  <c r="E262" i="20"/>
  <c r="E268" i="20"/>
  <c r="E282" i="20"/>
  <c r="E289" i="20"/>
  <c r="E310" i="20"/>
  <c r="E328" i="20"/>
  <c r="E340" i="20"/>
  <c r="E346" i="20"/>
  <c r="E353" i="20"/>
  <c r="E373" i="20"/>
  <c r="E385" i="20"/>
  <c r="E391" i="20"/>
  <c r="E411" i="20"/>
  <c r="E421" i="20"/>
  <c r="E443" i="20"/>
  <c r="E455" i="20"/>
  <c r="E468" i="20"/>
  <c r="E480" i="20"/>
  <c r="E484" i="20"/>
  <c r="E501" i="20"/>
  <c r="E510" i="20"/>
  <c r="E515" i="20"/>
  <c r="E523" i="20"/>
  <c r="E531" i="20"/>
  <c r="E538" i="20"/>
  <c r="E546" i="20"/>
  <c r="E556" i="20"/>
  <c r="E560" i="20"/>
  <c r="E568" i="20"/>
  <c r="E577" i="20"/>
  <c r="E585" i="20"/>
  <c r="E596" i="20"/>
  <c r="E604" i="20"/>
  <c r="E608" i="20"/>
  <c r="E614" i="20"/>
  <c r="E620" i="20"/>
  <c r="E627" i="20"/>
  <c r="E634" i="20"/>
  <c r="E640" i="20"/>
  <c r="E644" i="20"/>
  <c r="E650" i="20"/>
  <c r="E656" i="20"/>
  <c r="E661" i="20"/>
  <c r="E668" i="20"/>
  <c r="E674" i="20"/>
  <c r="E678" i="20"/>
  <c r="E684" i="20"/>
  <c r="E690" i="20"/>
  <c r="E699" i="20"/>
  <c r="E706" i="20"/>
  <c r="E716" i="20"/>
  <c r="E720" i="20"/>
  <c r="E725" i="20"/>
  <c r="E731" i="20"/>
  <c r="E736" i="20"/>
  <c r="E744" i="20"/>
  <c r="E749" i="20"/>
  <c r="E759" i="20"/>
  <c r="E763" i="20"/>
  <c r="E771" i="20"/>
  <c r="E775" i="20"/>
  <c r="E781" i="20"/>
  <c r="E786" i="20"/>
  <c r="E795" i="20"/>
  <c r="E800" i="20"/>
  <c r="E804" i="20"/>
  <c r="E809" i="20"/>
  <c r="E813" i="20"/>
  <c r="E818" i="20"/>
  <c r="E822" i="20"/>
  <c r="E828" i="20"/>
  <c r="E837" i="20"/>
  <c r="E838" i="20"/>
  <c r="E842" i="20"/>
  <c r="E859" i="20"/>
  <c r="E861" i="20"/>
  <c r="E867" i="20"/>
  <c r="E877" i="20"/>
  <c r="C125" i="6"/>
  <c r="G545" i="2" l="1"/>
  <c r="J545" i="2" s="1"/>
  <c r="J543" i="2" s="1"/>
  <c r="G538" i="2"/>
  <c r="J538" i="2" s="1"/>
  <c r="J536" i="2" s="1"/>
  <c r="I429" i="2"/>
  <c r="L429" i="2" s="1"/>
  <c r="I410" i="2"/>
  <c r="L410" i="2" s="1"/>
  <c r="I419" i="2"/>
  <c r="L419" i="2" s="1"/>
  <c r="H554" i="2"/>
  <c r="K554" i="2" s="1"/>
  <c r="H455" i="2"/>
  <c r="K455" i="2" s="1"/>
  <c r="H561" i="2"/>
  <c r="K561" i="2" s="1"/>
  <c r="H462" i="2"/>
  <c r="K462" i="2" s="1"/>
  <c r="H529" i="2"/>
  <c r="K529" i="2" s="1"/>
  <c r="H522" i="2"/>
  <c r="K522" i="2" s="1"/>
  <c r="H545" i="2"/>
  <c r="K545" i="2" s="1"/>
  <c r="H538" i="2"/>
  <c r="K538" i="2" s="1"/>
  <c r="I561" i="2"/>
  <c r="L561" i="2" s="1"/>
  <c r="I554" i="2"/>
  <c r="L554" i="2" s="1"/>
  <c r="I462" i="2"/>
  <c r="L462" i="2" s="1"/>
  <c r="I455" i="2"/>
  <c r="L455" i="2" s="1"/>
  <c r="I529" i="2"/>
  <c r="L529" i="2" s="1"/>
  <c r="I522" i="2"/>
  <c r="L522" i="2" s="1"/>
  <c r="I545" i="2"/>
  <c r="L545" i="2" s="1"/>
  <c r="I538" i="2"/>
  <c r="L538" i="2" s="1"/>
  <c r="E189" i="20"/>
  <c r="E742" i="20"/>
  <c r="E244" i="20"/>
  <c r="E445" i="20"/>
  <c r="E833" i="20"/>
  <c r="E876" i="20"/>
  <c r="E856" i="20"/>
  <c r="E836" i="20"/>
  <c r="E827" i="20"/>
  <c r="E817" i="20"/>
  <c r="E808" i="20"/>
  <c r="E798" i="20"/>
  <c r="E785" i="20"/>
  <c r="E774" i="20"/>
  <c r="E762" i="20"/>
  <c r="E748" i="20"/>
  <c r="E735" i="20"/>
  <c r="E724" i="20"/>
  <c r="E713" i="20"/>
  <c r="E693" i="20"/>
  <c r="E683" i="20"/>
  <c r="E672" i="20"/>
  <c r="E660" i="20"/>
  <c r="E649" i="20"/>
  <c r="E638" i="20"/>
  <c r="E626" i="20"/>
  <c r="E613" i="20"/>
  <c r="E602" i="20"/>
  <c r="E584" i="20"/>
  <c r="E567" i="20"/>
  <c r="E553" i="20"/>
  <c r="E536" i="20"/>
  <c r="E521" i="20"/>
  <c r="E507" i="20"/>
  <c r="E483" i="20"/>
  <c r="E467" i="20"/>
  <c r="E433" i="20"/>
  <c r="E410" i="20"/>
  <c r="E380" i="20"/>
  <c r="E352" i="20"/>
  <c r="E335" i="20"/>
  <c r="E294" i="20"/>
  <c r="E281" i="20"/>
  <c r="E260" i="20"/>
  <c r="E233" i="20"/>
  <c r="E186" i="20"/>
  <c r="E168" i="20"/>
  <c r="E148" i="20"/>
  <c r="E123" i="20"/>
  <c r="E107" i="20"/>
  <c r="E93" i="20"/>
  <c r="E78" i="20"/>
  <c r="E63" i="20"/>
  <c r="E50" i="20"/>
  <c r="E34" i="20"/>
  <c r="E20" i="20"/>
  <c r="E875" i="20"/>
  <c r="E835" i="20"/>
  <c r="E816" i="20"/>
  <c r="E797" i="20"/>
  <c r="E773" i="20"/>
  <c r="E747" i="20"/>
  <c r="E722" i="20"/>
  <c r="E692" i="20"/>
  <c r="E670" i="20"/>
  <c r="E648" i="20"/>
  <c r="E625" i="20"/>
  <c r="E599" i="20"/>
  <c r="E565" i="20"/>
  <c r="E533" i="20"/>
  <c r="E503" i="20"/>
  <c r="E429" i="20"/>
  <c r="E403" i="20"/>
  <c r="E350" i="20"/>
  <c r="E292" i="20"/>
  <c r="E251" i="20"/>
  <c r="E167" i="20"/>
  <c r="E121" i="20"/>
  <c r="E91" i="20"/>
  <c r="E61" i="20"/>
  <c r="E33" i="20"/>
  <c r="E17" i="20"/>
  <c r="E849" i="20"/>
  <c r="E826" i="20"/>
  <c r="E806" i="20"/>
  <c r="E784" i="20"/>
  <c r="E761" i="20"/>
  <c r="E734" i="20"/>
  <c r="E709" i="20"/>
  <c r="E682" i="20"/>
  <c r="E659" i="20"/>
  <c r="E636" i="20"/>
  <c r="E612" i="20"/>
  <c r="E579" i="20"/>
  <c r="E549" i="20"/>
  <c r="E519" i="20"/>
  <c r="E482" i="20"/>
  <c r="E466" i="20"/>
  <c r="E377" i="20"/>
  <c r="E333" i="20"/>
  <c r="E280" i="20"/>
  <c r="E231" i="20"/>
  <c r="E142" i="20"/>
  <c r="E106" i="20"/>
  <c r="E77" i="20"/>
  <c r="E47" i="20"/>
  <c r="E871" i="20"/>
  <c r="E848" i="20"/>
  <c r="E834" i="20"/>
  <c r="E824" i="20"/>
  <c r="E814" i="20"/>
  <c r="E805" i="20"/>
  <c r="E796" i="20"/>
  <c r="E782" i="20"/>
  <c r="E772" i="20"/>
  <c r="E760" i="20"/>
  <c r="E746" i="20"/>
  <c r="E732" i="20"/>
  <c r="E721" i="20"/>
  <c r="E707" i="20"/>
  <c r="E680" i="20"/>
  <c r="E669" i="20"/>
  <c r="E657" i="20"/>
  <c r="E646" i="20"/>
  <c r="E635" i="20"/>
  <c r="E621" i="20"/>
  <c r="E610" i="20"/>
  <c r="E598" i="20"/>
  <c r="E578" i="20"/>
  <c r="E563" i="20"/>
  <c r="E547" i="20"/>
  <c r="E532" i="20"/>
  <c r="E517" i="20"/>
  <c r="E502" i="20"/>
  <c r="E481" i="20"/>
  <c r="E457" i="20"/>
  <c r="E423" i="20"/>
  <c r="E401" i="20"/>
  <c r="E374" i="20"/>
  <c r="E348" i="20"/>
  <c r="E331" i="20"/>
  <c r="E290" i="20"/>
  <c r="E270" i="20"/>
  <c r="E250" i="20"/>
  <c r="E229" i="20"/>
  <c r="E165" i="20"/>
  <c r="E141" i="20"/>
  <c r="E118" i="20"/>
  <c r="E105" i="20"/>
  <c r="E89" i="20"/>
  <c r="E75" i="20"/>
  <c r="E60" i="20"/>
  <c r="E45" i="20"/>
  <c r="E31" i="20"/>
  <c r="E14" i="20"/>
  <c r="E11" i="20"/>
  <c r="E21" i="20"/>
  <c r="E30" i="20"/>
  <c r="E39" i="20"/>
  <c r="E49" i="20"/>
  <c r="E58" i="20"/>
  <c r="E67" i="20"/>
  <c r="E7" i="12" s="1"/>
  <c r="E76" i="20"/>
  <c r="E85" i="20"/>
  <c r="E94" i="20"/>
  <c r="E103" i="20"/>
  <c r="E113" i="20"/>
  <c r="E122" i="20"/>
  <c r="E139" i="20"/>
  <c r="E155" i="20"/>
  <c r="E166" i="20"/>
  <c r="E177" i="20"/>
  <c r="E187" i="20"/>
  <c r="E207" i="20"/>
  <c r="E218" i="20"/>
  <c r="E232" i="20"/>
  <c r="E241" i="20"/>
  <c r="E263" i="20"/>
  <c r="E272" i="20"/>
  <c r="E287" i="20"/>
  <c r="E302" i="20"/>
  <c r="E330" i="20"/>
  <c r="E343" i="20"/>
  <c r="E351" i="20"/>
  <c r="E372" i="20"/>
  <c r="E386" i="20"/>
  <c r="E402" i="20"/>
  <c r="E416" i="20"/>
  <c r="E438" i="20"/>
  <c r="E458" i="20"/>
  <c r="E479" i="20"/>
  <c r="E494" i="20"/>
  <c r="E509" i="20"/>
  <c r="E518" i="20"/>
  <c r="E530" i="20"/>
  <c r="E543" i="20"/>
  <c r="E555" i="20"/>
  <c r="E564" i="20"/>
  <c r="E573" i="20"/>
  <c r="E588" i="20"/>
  <c r="E603" i="20"/>
  <c r="E611" i="20"/>
  <c r="E619" i="20"/>
  <c r="E630" i="20"/>
  <c r="E639" i="20"/>
  <c r="E647" i="20"/>
  <c r="E655" i="20"/>
  <c r="E665" i="20"/>
  <c r="E673" i="20"/>
  <c r="E681" i="20"/>
  <c r="E689" i="20"/>
  <c r="E703" i="20"/>
  <c r="E715" i="20"/>
  <c r="E723" i="20"/>
  <c r="E733" i="20"/>
  <c r="E745" i="20"/>
  <c r="E758" i="20"/>
  <c r="E767" i="20"/>
  <c r="E777" i="20"/>
  <c r="E787" i="20"/>
  <c r="E799" i="20"/>
  <c r="E807" i="20"/>
  <c r="E815" i="20"/>
  <c r="E823" i="20"/>
  <c r="E832" i="20"/>
  <c r="E840" i="20"/>
  <c r="E862" i="20"/>
  <c r="E6" i="20"/>
  <c r="E15" i="20"/>
  <c r="E26" i="20"/>
  <c r="E35" i="20"/>
  <c r="E44" i="20"/>
  <c r="E53" i="20"/>
  <c r="E62" i="20"/>
  <c r="E81" i="20"/>
  <c r="E90" i="20"/>
  <c r="E99" i="20"/>
  <c r="E108" i="20"/>
  <c r="E117" i="20"/>
  <c r="E128" i="20"/>
  <c r="E143" i="20"/>
  <c r="E162" i="20"/>
  <c r="E172" i="20"/>
  <c r="E198" i="20"/>
  <c r="E228" i="20"/>
  <c r="E237" i="20"/>
  <c r="E259" i="20"/>
  <c r="E267" i="20"/>
  <c r="E283" i="20"/>
  <c r="E291" i="20"/>
  <c r="E318" i="20"/>
  <c r="E338" i="20"/>
  <c r="E347" i="20"/>
  <c r="E355" i="20"/>
  <c r="E379" i="20"/>
  <c r="E390" i="20"/>
  <c r="E412" i="20"/>
  <c r="E424" i="20"/>
  <c r="E7" i="20"/>
  <c r="E19" i="20"/>
  <c r="E28" i="20"/>
  <c r="E37" i="20"/>
  <c r="E46" i="20"/>
  <c r="E65" i="20"/>
  <c r="E74" i="20"/>
  <c r="E83" i="20"/>
  <c r="E92" i="20"/>
  <c r="E101" i="20"/>
  <c r="E110" i="20"/>
  <c r="E119" i="20"/>
  <c r="E137" i="20"/>
  <c r="E149" i="20"/>
  <c r="E164" i="20"/>
  <c r="E174" i="20"/>
  <c r="E201" i="20"/>
  <c r="E213" i="20"/>
  <c r="E230" i="20"/>
  <c r="E239" i="20"/>
  <c r="E261" i="20"/>
  <c r="E269" i="20"/>
  <c r="E285" i="20"/>
  <c r="E293" i="20"/>
  <c r="E327" i="20"/>
  <c r="E341" i="20"/>
  <c r="E349" i="20"/>
  <c r="E370" i="20"/>
  <c r="E381" i="20"/>
  <c r="E397" i="20"/>
  <c r="E414" i="20"/>
  <c r="E432" i="20"/>
  <c r="E456" i="20"/>
  <c r="E475" i="20"/>
  <c r="E485" i="20"/>
  <c r="E505" i="20"/>
  <c r="E516" i="20"/>
  <c r="E528" i="20"/>
  <c r="E540" i="20"/>
  <c r="E552" i="20"/>
  <c r="E562" i="20"/>
  <c r="E571" i="20"/>
  <c r="E586" i="20"/>
  <c r="E601" i="20"/>
  <c r="E609" i="20"/>
  <c r="E617" i="20"/>
  <c r="E628" i="20"/>
  <c r="E637" i="20"/>
  <c r="E645" i="20"/>
  <c r="E653" i="20"/>
  <c r="E662" i="20"/>
  <c r="E671" i="20"/>
  <c r="E679" i="20"/>
  <c r="E687" i="20"/>
  <c r="E701" i="20"/>
  <c r="E710" i="20"/>
  <c r="E73" i="20"/>
  <c r="E13" i="20"/>
  <c r="E87" i="20"/>
  <c r="E43" i="20"/>
  <c r="E866" i="20"/>
  <c r="E841" i="20"/>
  <c r="E831" i="20"/>
  <c r="E821" i="20"/>
  <c r="E812" i="20"/>
  <c r="E803" i="20"/>
  <c r="E794" i="20"/>
  <c r="E780" i="20"/>
  <c r="E768" i="20"/>
  <c r="E755" i="20"/>
  <c r="E743" i="20"/>
  <c r="E730" i="20"/>
  <c r="E719" i="20"/>
  <c r="E705" i="20"/>
  <c r="E688" i="20"/>
  <c r="E677" i="20"/>
  <c r="E667" i="20"/>
  <c r="E654" i="20"/>
  <c r="E643" i="20"/>
  <c r="E633" i="20"/>
  <c r="E618" i="20"/>
  <c r="E607" i="20"/>
  <c r="E594" i="20"/>
  <c r="E572" i="20"/>
  <c r="E559" i="20"/>
  <c r="E545" i="20"/>
  <c r="E529" i="20"/>
  <c r="E514" i="20"/>
  <c r="E497" i="20"/>
  <c r="E477" i="20"/>
  <c r="E447" i="20"/>
  <c r="E420" i="20"/>
  <c r="E389" i="20"/>
  <c r="E371" i="20"/>
  <c r="E345" i="20"/>
  <c r="E325" i="20"/>
  <c r="E288" i="20"/>
  <c r="E266" i="20"/>
  <c r="E240" i="20"/>
  <c r="E225" i="20"/>
  <c r="E199" i="20"/>
  <c r="E178" i="20"/>
  <c r="E158" i="20"/>
  <c r="E138" i="20"/>
  <c r="E115" i="20"/>
  <c r="E100" i="20"/>
  <c r="E86" i="20"/>
  <c r="E70" i="20"/>
  <c r="E57" i="20"/>
  <c r="E42" i="20"/>
  <c r="E27" i="20"/>
  <c r="E12" i="20"/>
  <c r="E102" i="20"/>
  <c r="E59" i="20"/>
  <c r="E29" i="20"/>
  <c r="E865" i="20"/>
  <c r="E839" i="20"/>
  <c r="E830" i="20"/>
  <c r="E820" i="20"/>
  <c r="E811" i="20"/>
  <c r="E802" i="20"/>
  <c r="E793" i="20"/>
  <c r="E778" i="20"/>
  <c r="E765" i="20"/>
  <c r="E751" i="20"/>
  <c r="E739" i="20"/>
  <c r="E729" i="20"/>
  <c r="E718" i="20"/>
  <c r="E704" i="20"/>
  <c r="E686" i="20"/>
  <c r="E676" i="20"/>
  <c r="E666" i="20"/>
  <c r="E652" i="20"/>
  <c r="E642" i="20"/>
  <c r="E631" i="20"/>
  <c r="E616" i="20"/>
  <c r="E606" i="20"/>
  <c r="E590" i="20"/>
  <c r="E570" i="20"/>
  <c r="E558" i="20"/>
  <c r="E544" i="20"/>
  <c r="E527" i="20"/>
  <c r="E513" i="20"/>
  <c r="E495" i="20"/>
  <c r="E470" i="20"/>
  <c r="E446" i="20"/>
  <c r="E415" i="20"/>
  <c r="E388" i="20"/>
  <c r="E369" i="20"/>
  <c r="E344" i="20"/>
  <c r="E316" i="20"/>
  <c r="E286" i="20"/>
  <c r="E265" i="20"/>
  <c r="E238" i="20"/>
  <c r="E219" i="20"/>
  <c r="E176" i="20"/>
  <c r="E157" i="20"/>
  <c r="E133" i="20"/>
  <c r="E114" i="20"/>
  <c r="E98" i="20"/>
  <c r="E84" i="20"/>
  <c r="E69" i="20"/>
  <c r="E54" i="20"/>
  <c r="E41" i="20"/>
  <c r="E25" i="20"/>
  <c r="E9" i="20"/>
  <c r="E829" i="20"/>
  <c r="E819" i="20"/>
  <c r="E810" i="20"/>
  <c r="E801" i="20"/>
  <c r="E788" i="20"/>
  <c r="E776" i="20"/>
  <c r="E764" i="20"/>
  <c r="E750" i="20"/>
  <c r="E737" i="20"/>
  <c r="E727" i="20"/>
  <c r="E717" i="20"/>
  <c r="E702" i="20"/>
  <c r="E685" i="20"/>
  <c r="E675" i="20"/>
  <c r="E664" i="20"/>
  <c r="E651" i="20"/>
  <c r="E641" i="20"/>
  <c r="E629" i="20"/>
  <c r="E615" i="20"/>
  <c r="E605" i="20"/>
  <c r="E587" i="20"/>
  <c r="E569" i="20"/>
  <c r="E557" i="20"/>
  <c r="E541" i="20"/>
  <c r="E526" i="20"/>
  <c r="E512" i="20"/>
  <c r="E486" i="20"/>
  <c r="E469" i="20"/>
  <c r="E444" i="20"/>
  <c r="E413" i="20"/>
  <c r="E387" i="20"/>
  <c r="E354" i="20"/>
  <c r="E342" i="20"/>
  <c r="E315" i="20"/>
  <c r="E284" i="20"/>
  <c r="E264" i="20"/>
  <c r="E236" i="20"/>
  <c r="E217" i="20"/>
  <c r="E196" i="20"/>
  <c r="E156" i="20"/>
  <c r="E127" i="20"/>
  <c r="E111" i="20"/>
  <c r="E97" i="20"/>
  <c r="E82" i="20"/>
  <c r="E68" i="20"/>
  <c r="E52" i="20"/>
  <c r="E38" i="20"/>
  <c r="E23" i="20"/>
  <c r="E576" i="20"/>
  <c r="E8" i="20"/>
  <c r="E16" i="20"/>
  <c r="E24" i="20"/>
  <c r="E32" i="20"/>
  <c r="E40" i="20"/>
  <c r="E48" i="20"/>
  <c r="E56" i="20"/>
  <c r="E64" i="20"/>
  <c r="E72" i="20"/>
  <c r="E80" i="20"/>
  <c r="E88" i="20"/>
  <c r="E96" i="20"/>
  <c r="E104" i="20"/>
  <c r="E112" i="20"/>
  <c r="E120" i="20"/>
  <c r="E136" i="20"/>
  <c r="E144" i="20"/>
  <c r="E159" i="20"/>
  <c r="E169" i="20"/>
  <c r="E188" i="20"/>
  <c r="E206" i="20"/>
  <c r="E10" i="20"/>
  <c r="E18" i="20"/>
  <c r="E451" i="20"/>
  <c r="E491" i="20"/>
  <c r="E854" i="20"/>
  <c r="E393" i="20"/>
  <c r="E427" i="20"/>
  <c r="E738" i="20"/>
  <c r="E367" i="20"/>
  <c r="E300" i="20"/>
  <c r="E254" i="20"/>
  <c r="E245" i="20"/>
  <c r="E320" i="20"/>
  <c r="E304" i="20"/>
  <c r="E308" i="20"/>
  <c r="E358" i="20"/>
  <c r="E462" i="20"/>
  <c r="E441" i="20"/>
  <c r="E694" i="20"/>
  <c r="E442" i="20"/>
  <c r="E868" i="20"/>
  <c r="E622" i="20"/>
  <c r="E843" i="20"/>
  <c r="E439" i="20"/>
  <c r="E440" i="20"/>
  <c r="E851" i="20"/>
  <c r="E395" i="20"/>
  <c r="E426" i="20"/>
  <c r="E212" i="20"/>
  <c r="E145" i="20"/>
  <c r="E366" i="20"/>
  <c r="E257" i="20"/>
  <c r="E248" i="20"/>
  <c r="E314" i="20"/>
  <c r="E303" i="20"/>
  <c r="E307" i="20"/>
  <c r="E357" i="20"/>
  <c r="E464" i="20"/>
  <c r="E160" i="20"/>
  <c r="E488" i="20"/>
  <c r="E153" i="20"/>
  <c r="E858" i="20"/>
  <c r="E396" i="20"/>
  <c r="E405" i="20"/>
  <c r="E663" i="20"/>
  <c r="E329" i="20"/>
  <c r="E766" i="20"/>
  <c r="E392" i="20"/>
  <c r="E465" i="20"/>
  <c r="E436" i="20"/>
  <c r="E487" i="20"/>
  <c r="E368" i="20"/>
  <c r="E170" i="20"/>
  <c r="E860" i="20"/>
  <c r="E406" i="20"/>
  <c r="E499" i="20"/>
  <c r="E181" i="20"/>
  <c r="E332" i="20"/>
  <c r="E754" i="20"/>
  <c r="E243" i="20"/>
  <c r="E247" i="20"/>
  <c r="E313" i="20"/>
  <c r="E324" i="20"/>
  <c r="E306" i="20"/>
  <c r="E356" i="20"/>
  <c r="E360" i="20"/>
  <c r="E448" i="20"/>
  <c r="E435" i="20"/>
  <c r="E222" i="20"/>
  <c r="E554" i="20"/>
  <c r="E857" i="20"/>
  <c r="E407" i="20"/>
  <c r="E498" i="20"/>
  <c r="E551" i="20"/>
  <c r="E863" i="20"/>
  <c r="E825" i="20"/>
  <c r="E756" i="20"/>
  <c r="E449" i="20"/>
  <c r="E434" i="20"/>
  <c r="E697" i="20"/>
  <c r="E493" i="20"/>
  <c r="E855" i="20"/>
  <c r="E409" i="20"/>
  <c r="E658" i="20"/>
  <c r="E242" i="20"/>
  <c r="E246" i="20"/>
  <c r="E312" i="20"/>
  <c r="E323" i="20"/>
  <c r="E305" i="20"/>
  <c r="E309" i="20"/>
  <c r="E740" i="20"/>
  <c r="E450" i="20"/>
  <c r="E460" i="20"/>
  <c r="E696" i="20"/>
  <c r="E869" i="20"/>
  <c r="E691" i="20"/>
  <c r="E624" i="20"/>
  <c r="E595" i="20"/>
  <c r="E419" i="20"/>
  <c r="E336" i="20"/>
  <c r="E711" i="20"/>
  <c r="E873" i="20"/>
  <c r="E428" i="20"/>
  <c r="E695" i="20"/>
  <c r="E700" i="20"/>
  <c r="E221" i="20"/>
  <c r="E698" i="20"/>
  <c r="E220" i="20"/>
  <c r="E452" i="20"/>
  <c r="E124" i="20"/>
  <c r="E453" i="20"/>
  <c r="E566" i="20"/>
  <c r="E872" i="20"/>
  <c r="E454" i="20"/>
  <c r="E384" i="20"/>
  <c r="E359" i="20"/>
  <c r="E463" i="20"/>
  <c r="E461" i="20"/>
  <c r="E383" i="20"/>
  <c r="E431" i="20"/>
  <c r="E382" i="20"/>
  <c r="E492" i="20"/>
  <c r="E511" i="20"/>
  <c r="E394" i="20"/>
  <c r="E135" i="20"/>
  <c r="E600" i="20"/>
  <c r="E203" i="20"/>
  <c r="E752" i="20"/>
  <c r="E592" i="20"/>
  <c r="E845" i="20"/>
  <c r="E184" i="20"/>
  <c r="E757" i="20"/>
  <c r="E574" i="20"/>
  <c r="E185" i="20"/>
  <c r="E548" i="20"/>
  <c r="E535" i="20"/>
  <c r="E194" i="20"/>
  <c r="E472" i="20"/>
  <c r="E301" i="20"/>
  <c r="E741" i="20"/>
  <c r="E361" i="20"/>
  <c r="E362" i="20"/>
  <c r="E273" i="20"/>
  <c r="E274" i="20"/>
  <c r="E275" i="20"/>
  <c r="E276" i="20"/>
  <c r="E277" i="20"/>
  <c r="E278" i="20"/>
  <c r="E279" i="20"/>
  <c r="E850" i="20"/>
  <c r="E852" i="20"/>
  <c r="E561" i="20"/>
  <c r="E870" i="20"/>
  <c r="E404" i="20"/>
  <c r="E623" i="20"/>
  <c r="E853" i="20"/>
  <c r="E783" i="20"/>
  <c r="K44" i="29"/>
  <c r="C57" i="29"/>
  <c r="R44" i="29"/>
  <c r="K46" i="29"/>
  <c r="K45" i="29"/>
  <c r="R45" i="29"/>
  <c r="C61" i="29"/>
  <c r="K47" i="29"/>
  <c r="K48" i="29"/>
  <c r="K49" i="29"/>
  <c r="K50" i="29"/>
  <c r="K51" i="29"/>
  <c r="K55" i="29"/>
  <c r="M46" i="29"/>
  <c r="K56" i="29"/>
  <c r="K57" i="29"/>
  <c r="K58" i="29"/>
  <c r="K59" i="29"/>
  <c r="K60" i="29"/>
  <c r="K61" i="29"/>
  <c r="K62" i="29"/>
  <c r="M56" i="29"/>
  <c r="R47" i="29"/>
  <c r="R48" i="29"/>
  <c r="R49" i="29"/>
  <c r="R50" i="29"/>
  <c r="R51" i="29"/>
  <c r="R55" i="29"/>
  <c r="E125" i="20"/>
  <c r="E489" i="20"/>
  <c r="E417" i="20"/>
  <c r="E223" i="20"/>
  <c r="E258" i="20"/>
  <c r="E183" i="20"/>
  <c r="E874" i="20"/>
  <c r="E864" i="20"/>
  <c r="G32" i="22"/>
  <c r="I18" i="12" l="1"/>
  <c r="K18" i="12"/>
  <c r="K9" i="12"/>
  <c r="I9" i="12"/>
  <c r="K19" i="12"/>
  <c r="I19" i="12"/>
  <c r="K21" i="12"/>
  <c r="I21" i="12"/>
  <c r="I14" i="12"/>
  <c r="K14" i="12"/>
  <c r="K17" i="12"/>
  <c r="I17" i="12"/>
  <c r="K7" i="12"/>
  <c r="I7" i="12"/>
  <c r="I12" i="12"/>
  <c r="K12" i="12"/>
  <c r="K15" i="12"/>
  <c r="J15" i="12"/>
  <c r="I15" i="12"/>
  <c r="F147" i="4"/>
  <c r="J147" i="4" s="1"/>
  <c r="F145" i="4"/>
  <c r="K145" i="4" s="1"/>
  <c r="F148" i="4"/>
  <c r="L148" i="4" s="1"/>
  <c r="F149" i="4"/>
  <c r="J149" i="4" s="1"/>
  <c r="F151" i="4"/>
  <c r="J151" i="4" s="1"/>
  <c r="F144" i="4"/>
  <c r="L144" i="4" s="1"/>
  <c r="F142" i="4"/>
  <c r="L142" i="4" s="1"/>
  <c r="F139" i="4"/>
  <c r="J139" i="4" s="1"/>
  <c r="F137" i="4"/>
  <c r="J137" i="4" s="1"/>
  <c r="F138" i="4"/>
  <c r="L138" i="4" s="1"/>
  <c r="F140" i="4"/>
  <c r="L140" i="4" s="1"/>
  <c r="E490" i="20"/>
  <c r="E496" i="20"/>
  <c r="E298" i="20"/>
  <c r="E252" i="20"/>
  <c r="E408" i="20"/>
  <c r="E192" i="20"/>
  <c r="E197" i="20"/>
  <c r="E508" i="20"/>
  <c r="E575" i="20"/>
  <c r="E295" i="20"/>
  <c r="E256" i="20"/>
  <c r="E311" i="20"/>
  <c r="E321" i="20"/>
  <c r="E255" i="20"/>
  <c r="E253" i="20"/>
  <c r="E299" i="20"/>
  <c r="E319" i="20"/>
  <c r="E317" i="20"/>
  <c r="E297" i="20"/>
  <c r="E471" i="20"/>
  <c r="E478" i="20"/>
  <c r="E769" i="20"/>
  <c r="E322" i="20"/>
  <c r="E226" i="20"/>
  <c r="E195" i="20"/>
  <c r="E726" i="20"/>
  <c r="E770" i="20"/>
  <c r="E500" i="20"/>
  <c r="E173" i="20"/>
  <c r="E712" i="20"/>
  <c r="E376" i="20"/>
  <c r="E753" i="20"/>
  <c r="E326" i="20"/>
  <c r="E210" i="20"/>
  <c r="E539" i="20"/>
  <c r="E542" i="20"/>
  <c r="E473" i="20"/>
  <c r="E425" i="20"/>
  <c r="E182" i="20"/>
  <c r="E211" i="20"/>
  <c r="E534" i="20"/>
  <c r="E398" i="20"/>
  <c r="E399" i="20"/>
  <c r="E550" i="20"/>
  <c r="E792" i="20"/>
  <c r="E474" i="20"/>
  <c r="E208" i="20"/>
  <c r="E134" i="20"/>
  <c r="E589" i="20"/>
  <c r="E364" i="20"/>
  <c r="E175" i="20"/>
  <c r="E365" i="20"/>
  <c r="E209" i="20"/>
  <c r="E193" i="20"/>
  <c r="E375" i="20"/>
  <c r="E789" i="20"/>
  <c r="E422" i="20"/>
  <c r="E418" i="20"/>
  <c r="E597" i="20"/>
  <c r="E363" i="20"/>
  <c r="E179" i="20"/>
  <c r="E591" i="20"/>
  <c r="E790" i="20"/>
  <c r="E271" i="20"/>
  <c r="E524" i="20"/>
  <c r="E339" i="20"/>
  <c r="E525" i="20"/>
  <c r="E400" i="20"/>
  <c r="E791" i="20"/>
  <c r="E708" i="20"/>
  <c r="E846" i="20"/>
  <c r="E714" i="20"/>
  <c r="E337" i="20"/>
  <c r="E146" i="20"/>
  <c r="E522" i="20"/>
  <c r="E180" i="20"/>
  <c r="E131" i="20"/>
  <c r="E582" i="20"/>
  <c r="E476" i="20"/>
  <c r="E847" i="20"/>
  <c r="E537" i="20"/>
  <c r="E161" i="20"/>
  <c r="E224" i="20"/>
  <c r="E459" i="20"/>
  <c r="E378" i="20"/>
  <c r="E205" i="20"/>
  <c r="E504" i="20"/>
  <c r="E130" i="20"/>
  <c r="E581" i="20"/>
  <c r="E430" i="20"/>
  <c r="E506" i="20"/>
  <c r="E520" i="20"/>
  <c r="E200" i="20"/>
  <c r="E779" i="20"/>
  <c r="E632" i="20"/>
  <c r="E190" i="20"/>
  <c r="E147" i="20"/>
  <c r="E235" i="20"/>
  <c r="E593" i="20"/>
  <c r="E202" i="20"/>
  <c r="E437" i="20"/>
  <c r="E844" i="20"/>
  <c r="E583" i="20"/>
  <c r="E132" i="20"/>
  <c r="E129" i="20"/>
  <c r="E580" i="20"/>
  <c r="E334" i="20"/>
  <c r="E22" i="12" s="1"/>
  <c r="E728" i="20"/>
  <c r="E296" i="20"/>
  <c r="F6" i="4"/>
  <c r="BL40" i="4"/>
  <c r="BK40" i="4"/>
  <c r="BJ40" i="4"/>
  <c r="BI40" i="4"/>
  <c r="BH40" i="4"/>
  <c r="BG40" i="4"/>
  <c r="BF40" i="4"/>
  <c r="BE40" i="4"/>
  <c r="BD40" i="4"/>
  <c r="BB40" i="4"/>
  <c r="BA40" i="4"/>
  <c r="AZ40" i="4"/>
  <c r="AY40" i="4"/>
  <c r="AX40" i="4"/>
  <c r="AW40" i="4"/>
  <c r="AV40" i="4"/>
  <c r="AU40" i="4"/>
  <c r="AT40" i="4"/>
  <c r="AS40" i="4"/>
  <c r="AR40" i="4"/>
  <c r="AQ40" i="4"/>
  <c r="AP40" i="4"/>
  <c r="AO40" i="4"/>
  <c r="AN40" i="4"/>
  <c r="AM40" i="4"/>
  <c r="AL40" i="4"/>
  <c r="AK40" i="4"/>
  <c r="AJ40" i="4"/>
  <c r="AI40" i="4"/>
  <c r="AH40" i="4"/>
  <c r="E81" i="4"/>
  <c r="C81" i="4"/>
  <c r="L15" i="12" l="1"/>
  <c r="I22" i="12"/>
  <c r="K22" i="12"/>
  <c r="K11" i="12"/>
  <c r="I11" i="12"/>
  <c r="I16" i="12"/>
  <c r="K16" i="12"/>
  <c r="F152" i="4"/>
  <c r="J152" i="4" s="1"/>
  <c r="F146" i="4"/>
  <c r="J146" i="4" s="1"/>
  <c r="F143" i="4"/>
  <c r="L143" i="4" s="1"/>
  <c r="F150" i="4"/>
  <c r="J142" i="4"/>
  <c r="F141" i="4"/>
  <c r="J141" i="4" s="1"/>
  <c r="L139" i="4"/>
  <c r="J144" i="4"/>
  <c r="L149" i="4"/>
  <c r="L137" i="4"/>
  <c r="L147" i="4"/>
  <c r="J138" i="4"/>
  <c r="L151" i="4"/>
  <c r="J148" i="4"/>
  <c r="J140" i="4"/>
  <c r="J145" i="4"/>
  <c r="L145" i="4"/>
  <c r="F293" i="4"/>
  <c r="G292" i="4"/>
  <c r="F291" i="4"/>
  <c r="G290" i="4"/>
  <c r="G294" i="4" s="1"/>
  <c r="G288" i="4"/>
  <c r="H206" i="4"/>
  <c r="F206" i="4"/>
  <c r="I205" i="4"/>
  <c r="G205" i="4"/>
  <c r="H204" i="4"/>
  <c r="F204" i="4"/>
  <c r="I203" i="4"/>
  <c r="I208" i="4" s="1"/>
  <c r="G203" i="4"/>
  <c r="G208" i="4" s="1"/>
  <c r="I201" i="4"/>
  <c r="G201" i="4"/>
  <c r="M191" i="4"/>
  <c r="M162" i="4"/>
  <c r="H122" i="4"/>
  <c r="F122" i="4"/>
  <c r="I121" i="4"/>
  <c r="G121" i="4"/>
  <c r="H120" i="4"/>
  <c r="F120" i="4"/>
  <c r="I119" i="4"/>
  <c r="I124" i="4" s="1"/>
  <c r="G119" i="4"/>
  <c r="G117" i="4"/>
  <c r="AY101" i="4"/>
  <c r="AS101" i="4"/>
  <c r="AR101" i="4"/>
  <c r="AS100" i="4"/>
  <c r="AR100" i="4"/>
  <c r="AS99" i="4"/>
  <c r="AR99" i="4"/>
  <c r="AS98" i="4"/>
  <c r="AR98" i="4"/>
  <c r="AY97" i="4"/>
  <c r="AS97" i="4"/>
  <c r="AR97" i="4"/>
  <c r="AS96" i="4"/>
  <c r="AR96" i="4"/>
  <c r="AY95" i="4"/>
  <c r="AS95" i="4"/>
  <c r="AR95" i="4"/>
  <c r="AS94" i="4"/>
  <c r="AR94" i="4"/>
  <c r="AY93" i="4"/>
  <c r="AX93" i="4"/>
  <c r="AS93" i="4"/>
  <c r="AR93" i="4"/>
  <c r="AS91" i="4"/>
  <c r="AR91" i="4"/>
  <c r="AS90" i="4"/>
  <c r="AR90" i="4"/>
  <c r="AS89" i="4"/>
  <c r="AR89" i="4"/>
  <c r="AS88" i="4"/>
  <c r="AR88" i="4"/>
  <c r="AS87" i="4"/>
  <c r="AR87" i="4"/>
  <c r="AS86" i="4"/>
  <c r="AR86" i="4"/>
  <c r="AS85" i="4"/>
  <c r="AR85" i="4"/>
  <c r="AS84" i="4"/>
  <c r="AR84" i="4"/>
  <c r="AS83" i="4"/>
  <c r="AR83" i="4"/>
  <c r="AS81" i="4"/>
  <c r="AR81" i="4"/>
  <c r="AS80" i="4"/>
  <c r="AR80" i="4"/>
  <c r="AS79" i="4"/>
  <c r="AR79" i="4"/>
  <c r="E79" i="4"/>
  <c r="AS78" i="4"/>
  <c r="AR78" i="4"/>
  <c r="AS77" i="4"/>
  <c r="AR77" i="4"/>
  <c r="AS76" i="4"/>
  <c r="AR76" i="4"/>
  <c r="AS75" i="4"/>
  <c r="AR75" i="4"/>
  <c r="AS74" i="4"/>
  <c r="AR74" i="4"/>
  <c r="AS73" i="4"/>
  <c r="AR73" i="4"/>
  <c r="G72" i="4"/>
  <c r="H72" i="4" s="1"/>
  <c r="I72" i="4" s="1"/>
  <c r="J72" i="4" s="1"/>
  <c r="AS71" i="4"/>
  <c r="AR71" i="4"/>
  <c r="E71" i="4"/>
  <c r="AS70" i="4"/>
  <c r="AR70" i="4"/>
  <c r="E70" i="4"/>
  <c r="AS69" i="4"/>
  <c r="AR69" i="4"/>
  <c r="E69" i="4"/>
  <c r="AS68" i="4"/>
  <c r="AR68" i="4"/>
  <c r="E68" i="4"/>
  <c r="AS67" i="4"/>
  <c r="AR67" i="4"/>
  <c r="AS66" i="4"/>
  <c r="AR66" i="4"/>
  <c r="AS65" i="4"/>
  <c r="AR65" i="4"/>
  <c r="H65" i="4"/>
  <c r="I65" i="4" s="1"/>
  <c r="J65" i="4" s="1"/>
  <c r="AS64" i="4"/>
  <c r="AR64" i="4"/>
  <c r="H64" i="4"/>
  <c r="I64" i="4" s="1"/>
  <c r="J64" i="4" s="1"/>
  <c r="AS63" i="4"/>
  <c r="AR63" i="4"/>
  <c r="F63" i="4"/>
  <c r="F62" i="4"/>
  <c r="H62" i="4" s="1"/>
  <c r="I62" i="4" s="1"/>
  <c r="J62" i="4" s="1"/>
  <c r="AY61" i="4"/>
  <c r="F61" i="4"/>
  <c r="H61" i="4" s="1"/>
  <c r="H60" i="4"/>
  <c r="I60" i="4" s="1"/>
  <c r="J60" i="4" s="1"/>
  <c r="S58" i="4"/>
  <c r="AY57" i="4"/>
  <c r="S57" i="4"/>
  <c r="E57" i="4"/>
  <c r="S56" i="4"/>
  <c r="H56" i="4"/>
  <c r="I56" i="4" s="1"/>
  <c r="J56" i="4" s="1"/>
  <c r="AY55" i="4"/>
  <c r="S55" i="4"/>
  <c r="H55" i="4"/>
  <c r="I55" i="4" s="1"/>
  <c r="J55" i="4" s="1"/>
  <c r="H54" i="4"/>
  <c r="I54" i="4" s="1"/>
  <c r="J54" i="4" s="1"/>
  <c r="AY53" i="4"/>
  <c r="AX53" i="4"/>
  <c r="H53" i="4"/>
  <c r="I53" i="4" s="1"/>
  <c r="J53" i="4" s="1"/>
  <c r="F52" i="4"/>
  <c r="H51" i="4"/>
  <c r="I51" i="4" s="1"/>
  <c r="J51" i="4" s="1"/>
  <c r="H50" i="4"/>
  <c r="I50" i="4" s="1"/>
  <c r="J50" i="4" s="1"/>
  <c r="H49" i="4"/>
  <c r="F48" i="4"/>
  <c r="H46" i="4"/>
  <c r="I46" i="4" s="1"/>
  <c r="J46" i="4" s="1"/>
  <c r="H45" i="4"/>
  <c r="F44" i="4"/>
  <c r="H43" i="4"/>
  <c r="I43" i="4" s="1"/>
  <c r="J43" i="4" s="1"/>
  <c r="M42" i="4"/>
  <c r="H42" i="4"/>
  <c r="I42" i="4" s="1"/>
  <c r="BC41" i="4"/>
  <c r="BC40" i="4" s="1"/>
  <c r="AC40" i="4"/>
  <c r="AB40" i="4"/>
  <c r="AA40" i="4"/>
  <c r="Z40" i="4"/>
  <c r="Y40" i="4"/>
  <c r="X40" i="4"/>
  <c r="W40" i="4"/>
  <c r="V40" i="4"/>
  <c r="U40" i="4"/>
  <c r="T40" i="4"/>
  <c r="S40" i="4"/>
  <c r="R40" i="4"/>
  <c r="Q40" i="4"/>
  <c r="H40" i="4"/>
  <c r="I40" i="4" s="1"/>
  <c r="J40" i="4" s="1"/>
  <c r="AC39" i="4"/>
  <c r="AB39" i="4"/>
  <c r="AA39" i="4"/>
  <c r="Z39" i="4"/>
  <c r="Y39" i="4"/>
  <c r="X39" i="4"/>
  <c r="W39" i="4"/>
  <c r="V39" i="4"/>
  <c r="U39" i="4"/>
  <c r="T39" i="4"/>
  <c r="S39" i="4"/>
  <c r="R39" i="4"/>
  <c r="Q39" i="4"/>
  <c r="H39" i="4"/>
  <c r="I39" i="4" s="1"/>
  <c r="U38" i="4"/>
  <c r="T38" i="4"/>
  <c r="S38" i="4"/>
  <c r="R38" i="4"/>
  <c r="Q38" i="4"/>
  <c r="F38" i="4"/>
  <c r="F37" i="4" s="1"/>
  <c r="AC37" i="4"/>
  <c r="AB37" i="4"/>
  <c r="AA37" i="4"/>
  <c r="Z37" i="4"/>
  <c r="Y37" i="4"/>
  <c r="X37" i="4"/>
  <c r="W37" i="4"/>
  <c r="V37" i="4"/>
  <c r="U37" i="4"/>
  <c r="T37" i="4"/>
  <c r="S37" i="4"/>
  <c r="R37" i="4"/>
  <c r="Q37" i="4"/>
  <c r="U36" i="4"/>
  <c r="T36" i="4"/>
  <c r="S36" i="4"/>
  <c r="R36" i="4"/>
  <c r="Q36" i="4"/>
  <c r="AC35" i="4"/>
  <c r="AB35" i="4"/>
  <c r="AA35" i="4"/>
  <c r="Z35" i="4"/>
  <c r="Y35" i="4"/>
  <c r="X35" i="4"/>
  <c r="W35" i="4"/>
  <c r="V35" i="4"/>
  <c r="U35" i="4"/>
  <c r="T35" i="4"/>
  <c r="S35" i="4"/>
  <c r="R35" i="4"/>
  <c r="Q35" i="4"/>
  <c r="U34" i="4"/>
  <c r="T34" i="4"/>
  <c r="S34" i="4"/>
  <c r="R34" i="4"/>
  <c r="Q34" i="4"/>
  <c r="AC33" i="4"/>
  <c r="AB33" i="4"/>
  <c r="AA33" i="4"/>
  <c r="Z33" i="4"/>
  <c r="Y33" i="4"/>
  <c r="X33" i="4"/>
  <c r="W33" i="4"/>
  <c r="V33" i="4"/>
  <c r="U33" i="4"/>
  <c r="T33" i="4"/>
  <c r="S33" i="4"/>
  <c r="R33" i="4"/>
  <c r="Q33" i="4"/>
  <c r="U32" i="4"/>
  <c r="T32" i="4"/>
  <c r="S32" i="4"/>
  <c r="R32" i="4"/>
  <c r="Q32" i="4"/>
  <c r="AC31" i="4"/>
  <c r="AB31" i="4"/>
  <c r="AA31" i="4"/>
  <c r="Z31" i="4"/>
  <c r="Y31" i="4"/>
  <c r="X31" i="4"/>
  <c r="W31" i="4"/>
  <c r="V31" i="4"/>
  <c r="U31" i="4"/>
  <c r="T31" i="4"/>
  <c r="S31" i="4"/>
  <c r="R31" i="4"/>
  <c r="Q31" i="4"/>
  <c r="AC30" i="4"/>
  <c r="AB30" i="4"/>
  <c r="AA30" i="4"/>
  <c r="Z30" i="4"/>
  <c r="Y30" i="4"/>
  <c r="X30" i="4"/>
  <c r="W30" i="4"/>
  <c r="V30" i="4"/>
  <c r="AC29" i="4"/>
  <c r="AB29" i="4"/>
  <c r="AA29" i="4"/>
  <c r="Z29" i="4"/>
  <c r="Y29" i="4"/>
  <c r="X29" i="4"/>
  <c r="W29" i="4"/>
  <c r="V29" i="4"/>
  <c r="AC28" i="4"/>
  <c r="AB28" i="4"/>
  <c r="AA28" i="4"/>
  <c r="Z28" i="4"/>
  <c r="Y28" i="4"/>
  <c r="X28" i="4"/>
  <c r="W28" i="4"/>
  <c r="V28" i="4"/>
  <c r="AC27" i="4"/>
  <c r="AB27" i="4"/>
  <c r="AA27" i="4"/>
  <c r="Z27" i="4"/>
  <c r="Y27" i="4"/>
  <c r="X27" i="4"/>
  <c r="W27" i="4"/>
  <c r="V27" i="4"/>
  <c r="AC26" i="4"/>
  <c r="AB26" i="4"/>
  <c r="AA26" i="4"/>
  <c r="Z26" i="4"/>
  <c r="Y26" i="4"/>
  <c r="X26" i="4"/>
  <c r="W26" i="4"/>
  <c r="V26" i="4"/>
  <c r="AC25" i="4"/>
  <c r="AB25" i="4"/>
  <c r="AA25" i="4"/>
  <c r="Z25" i="4"/>
  <c r="Y25" i="4"/>
  <c r="X25" i="4"/>
  <c r="W25" i="4"/>
  <c r="V25" i="4"/>
  <c r="U25" i="4"/>
  <c r="T25" i="4"/>
  <c r="S25" i="4"/>
  <c r="R25" i="4"/>
  <c r="Q25" i="4"/>
  <c r="U24" i="4"/>
  <c r="T24" i="4"/>
  <c r="S24" i="4"/>
  <c r="R24" i="4"/>
  <c r="Q24" i="4"/>
  <c r="U23" i="4"/>
  <c r="T23" i="4"/>
  <c r="S23" i="4"/>
  <c r="R23" i="4"/>
  <c r="Q23" i="4"/>
  <c r="H22" i="4"/>
  <c r="F22" i="4"/>
  <c r="U21" i="4"/>
  <c r="T21" i="4"/>
  <c r="S21" i="4"/>
  <c r="R21" i="4"/>
  <c r="Q21" i="4"/>
  <c r="H21" i="4"/>
  <c r="F21" i="4"/>
  <c r="U20" i="4"/>
  <c r="T20" i="4"/>
  <c r="S20" i="4"/>
  <c r="R20" i="4"/>
  <c r="Q20" i="4"/>
  <c r="I20" i="4"/>
  <c r="G20" i="4"/>
  <c r="H19" i="4"/>
  <c r="F19" i="4"/>
  <c r="U18" i="4"/>
  <c r="T18" i="4"/>
  <c r="S18" i="4"/>
  <c r="R18" i="4"/>
  <c r="Q18" i="4"/>
  <c r="H18" i="4"/>
  <c r="F18" i="4"/>
  <c r="AC17" i="4"/>
  <c r="AB17" i="4"/>
  <c r="AA17" i="4"/>
  <c r="Z17" i="4"/>
  <c r="Y17" i="4"/>
  <c r="X17" i="4"/>
  <c r="W17" i="4"/>
  <c r="V17" i="4"/>
  <c r="U17" i="4"/>
  <c r="T17" i="4"/>
  <c r="S17" i="4"/>
  <c r="R17" i="4"/>
  <c r="I17" i="4"/>
  <c r="G17" i="4"/>
  <c r="G23" i="4" s="1"/>
  <c r="U15" i="4"/>
  <c r="T15" i="4"/>
  <c r="S15" i="4"/>
  <c r="R15" i="4"/>
  <c r="Q15" i="4"/>
  <c r="U13" i="4"/>
  <c r="T13" i="4"/>
  <c r="S13" i="4"/>
  <c r="R13" i="4"/>
  <c r="Q13" i="4"/>
  <c r="I13" i="4"/>
  <c r="G13" i="4"/>
  <c r="AC7" i="4"/>
  <c r="B123" i="6" s="1"/>
  <c r="AB7" i="4"/>
  <c r="B122" i="6" s="1"/>
  <c r="AA7" i="4"/>
  <c r="B121" i="6" s="1"/>
  <c r="Z7" i="4"/>
  <c r="B120" i="6" s="1"/>
  <c r="Y7" i="4"/>
  <c r="B119" i="6" s="1"/>
  <c r="X7" i="4"/>
  <c r="B118" i="6" s="1"/>
  <c r="W7" i="4"/>
  <c r="B117" i="6" s="1"/>
  <c r="V7" i="4"/>
  <c r="B116" i="6" s="1"/>
  <c r="U7" i="4"/>
  <c r="B115" i="6" s="1"/>
  <c r="T7" i="4"/>
  <c r="B114" i="6" s="1"/>
  <c r="S7" i="4"/>
  <c r="B113" i="6" s="1"/>
  <c r="R7" i="4"/>
  <c r="B112" i="6" s="1"/>
  <c r="Q7" i="4"/>
  <c r="B111" i="6" s="1"/>
  <c r="I6" i="4"/>
  <c r="H6" i="4"/>
  <c r="G6" i="4"/>
  <c r="C6" i="4"/>
  <c r="E6" i="4"/>
  <c r="D6" i="4"/>
  <c r="AB1" i="4"/>
  <c r="AC1" i="4" s="1"/>
  <c r="M1" i="4"/>
  <c r="N1" i="4" s="1"/>
  <c r="O1" i="4" s="1"/>
  <c r="P1" i="4" s="1"/>
  <c r="Q1" i="4" s="1"/>
  <c r="R1" i="4" s="1"/>
  <c r="S1" i="4" s="1"/>
  <c r="T1" i="4" s="1"/>
  <c r="U1" i="4" s="1"/>
  <c r="V1" i="4" s="1"/>
  <c r="W1" i="4" s="1"/>
  <c r="X1" i="4" s="1"/>
  <c r="Y1" i="4" s="1"/>
  <c r="B1" i="4"/>
  <c r="M43" i="4"/>
  <c r="H38" i="4" l="1"/>
  <c r="H37" i="4" s="1"/>
  <c r="I207" i="4"/>
  <c r="G123" i="4"/>
  <c r="G287" i="4"/>
  <c r="F70" i="4"/>
  <c r="F36" i="4"/>
  <c r="F69" i="4" s="1"/>
  <c r="H69" i="4" s="1"/>
  <c r="I69" i="4" s="1"/>
  <c r="J69" i="4" s="1"/>
  <c r="H41" i="4"/>
  <c r="G207" i="4"/>
  <c r="F77" i="4"/>
  <c r="G12" i="4"/>
  <c r="H44" i="4"/>
  <c r="H48" i="4"/>
  <c r="H52" i="4"/>
  <c r="K13" i="12"/>
  <c r="I13" i="12"/>
  <c r="I20" i="12"/>
  <c r="K20" i="12"/>
  <c r="G24" i="4"/>
  <c r="G25" i="4" s="1"/>
  <c r="G26" i="4" s="1"/>
  <c r="D328" i="4"/>
  <c r="D330" i="4"/>
  <c r="D326" i="4"/>
  <c r="D333" i="4"/>
  <c r="D336" i="4"/>
  <c r="D335" i="4"/>
  <c r="D332" i="4"/>
  <c r="I12" i="4"/>
  <c r="I23" i="4" s="1"/>
  <c r="I24" i="4" s="1"/>
  <c r="I25" i="4" s="1"/>
  <c r="I26" i="4" s="1"/>
  <c r="F78" i="4"/>
  <c r="I49" i="4"/>
  <c r="F47" i="4"/>
  <c r="D329" i="4"/>
  <c r="D331" i="4"/>
  <c r="D327" i="4"/>
  <c r="D334" i="4"/>
  <c r="D325" i="4"/>
  <c r="L141" i="4"/>
  <c r="L152" i="4"/>
  <c r="M149" i="4"/>
  <c r="L146" i="4"/>
  <c r="J143" i="4"/>
  <c r="J150" i="4"/>
  <c r="L150" i="4"/>
  <c r="I61" i="4"/>
  <c r="J61" i="4" s="1"/>
  <c r="F154" i="20"/>
  <c r="G154" i="20" s="1"/>
  <c r="F8" i="20"/>
  <c r="G8" i="20" s="1"/>
  <c r="F42" i="20"/>
  <c r="E33" i="12" s="1"/>
  <c r="F722" i="20"/>
  <c r="G722" i="20" s="1"/>
  <c r="F251" i="20"/>
  <c r="G251" i="20" s="1"/>
  <c r="F838" i="20"/>
  <c r="G838" i="20" s="1"/>
  <c r="F661" i="20"/>
  <c r="G661" i="20" s="1"/>
  <c r="F778" i="20"/>
  <c r="G778" i="20" s="1"/>
  <c r="F727" i="20"/>
  <c r="G727" i="20" s="1"/>
  <c r="F147" i="20"/>
  <c r="G147" i="20" s="1"/>
  <c r="F477" i="20"/>
  <c r="G477" i="20" s="1"/>
  <c r="F738" i="20"/>
  <c r="G738" i="20" s="1"/>
  <c r="F619" i="20"/>
  <c r="G619" i="20" s="1"/>
  <c r="F590" i="20"/>
  <c r="G590" i="20" s="1"/>
  <c r="F419" i="20"/>
  <c r="G419" i="20" s="1"/>
  <c r="F212" i="20"/>
  <c r="G212" i="20" s="1"/>
  <c r="F856" i="20"/>
  <c r="G856" i="20" s="1"/>
  <c r="F339" i="20"/>
  <c r="G339" i="20" s="1"/>
  <c r="F502" i="20"/>
  <c r="G502" i="20" s="1"/>
  <c r="F134" i="20"/>
  <c r="G134" i="20" s="1"/>
  <c r="F395" i="20"/>
  <c r="G395" i="20" s="1"/>
  <c r="F433" i="20"/>
  <c r="G433" i="20" s="1"/>
  <c r="F712" i="20"/>
  <c r="G712" i="20" s="1"/>
  <c r="F580" i="20"/>
  <c r="G580" i="20" s="1"/>
  <c r="F273" i="20"/>
  <c r="G273" i="20" s="1"/>
  <c r="F761" i="20"/>
  <c r="G761" i="20" s="1"/>
  <c r="F185" i="20"/>
  <c r="G185" i="20" s="1"/>
  <c r="F92" i="20"/>
  <c r="E63" i="12" s="1"/>
  <c r="F672" i="20"/>
  <c r="G672" i="20" s="1"/>
  <c r="F857" i="20"/>
  <c r="G857" i="20" s="1"/>
  <c r="F602" i="20"/>
  <c r="G602" i="20" s="1"/>
  <c r="F500" i="20"/>
  <c r="G500" i="20" s="1"/>
  <c r="F768" i="20"/>
  <c r="G768" i="20" s="1"/>
  <c r="F450" i="20"/>
  <c r="G450" i="20" s="1"/>
  <c r="F800" i="20"/>
  <c r="G800" i="20" s="1"/>
  <c r="F704" i="20"/>
  <c r="G704" i="20" s="1"/>
  <c r="F190" i="20"/>
  <c r="G190" i="20" s="1"/>
  <c r="F604" i="20"/>
  <c r="G604" i="20" s="1"/>
  <c r="F14" i="20"/>
  <c r="E41" i="12" s="1"/>
  <c r="F27" i="20"/>
  <c r="G27" i="20" s="1"/>
  <c r="F352" i="20"/>
  <c r="G352" i="20" s="1"/>
  <c r="F397" i="20"/>
  <c r="G397" i="20" s="1"/>
  <c r="F54" i="20"/>
  <c r="G54" i="20" s="1"/>
  <c r="F82" i="20"/>
  <c r="G82" i="20" s="1"/>
  <c r="F396" i="20"/>
  <c r="G396" i="20" s="1"/>
  <c r="F424" i="20"/>
  <c r="G424" i="20" s="1"/>
  <c r="F300" i="20"/>
  <c r="G300" i="20" s="1"/>
  <c r="F295" i="20"/>
  <c r="G295" i="20" s="1"/>
  <c r="F277" i="20"/>
  <c r="G277" i="20" s="1"/>
  <c r="F413" i="20"/>
  <c r="G413" i="20" s="1"/>
  <c r="F246" i="20"/>
  <c r="G246" i="20" s="1"/>
  <c r="F113" i="20"/>
  <c r="G113" i="20" s="1"/>
  <c r="F817" i="20"/>
  <c r="G817" i="20" s="1"/>
  <c r="F59" i="20"/>
  <c r="G59" i="20" s="1"/>
  <c r="F623" i="20"/>
  <c r="G623" i="20" s="1"/>
  <c r="F45" i="20"/>
  <c r="E31" i="12" s="1"/>
  <c r="F742" i="20"/>
  <c r="G742" i="20" s="1"/>
  <c r="F839" i="20"/>
  <c r="G839" i="20" s="1"/>
  <c r="F97" i="20"/>
  <c r="G97" i="20" s="1"/>
  <c r="F823" i="20"/>
  <c r="G823" i="20" s="1"/>
  <c r="F291" i="20"/>
  <c r="G291" i="20" s="1"/>
  <c r="F667" i="20"/>
  <c r="G667" i="20" s="1"/>
  <c r="F479" i="20"/>
  <c r="G479" i="20" s="1"/>
  <c r="F656" i="20"/>
  <c r="G656" i="20" s="1"/>
  <c r="F552" i="20"/>
  <c r="G552" i="20" s="1"/>
  <c r="F853" i="20"/>
  <c r="G853" i="20" s="1"/>
  <c r="F711" i="20"/>
  <c r="G711" i="20" s="1"/>
  <c r="F66" i="20"/>
  <c r="G66" i="20" s="1"/>
  <c r="F245" i="20"/>
  <c r="G245" i="20" s="1"/>
  <c r="F612" i="20"/>
  <c r="G612" i="20" s="1"/>
  <c r="F607" i="20"/>
  <c r="G607" i="20" s="1"/>
  <c r="F842" i="20"/>
  <c r="G842" i="20" s="1"/>
  <c r="F94" i="20"/>
  <c r="G94" i="20" s="1"/>
  <c r="F810" i="20"/>
  <c r="G810" i="20" s="1"/>
  <c r="F286" i="20"/>
  <c r="G286" i="20" s="1"/>
  <c r="F439" i="20"/>
  <c r="G439" i="20" s="1"/>
  <c r="F296" i="20"/>
  <c r="G296" i="20" s="1"/>
  <c r="F716" i="20"/>
  <c r="G716" i="20" s="1"/>
  <c r="F690" i="20"/>
  <c r="G690" i="20" s="1"/>
  <c r="F705" i="20"/>
  <c r="G705" i="20" s="1"/>
  <c r="F37" i="20"/>
  <c r="G37" i="20" s="1"/>
  <c r="F608" i="20"/>
  <c r="G608" i="20" s="1"/>
  <c r="F770" i="20"/>
  <c r="G770" i="20" s="1"/>
  <c r="F837" i="20"/>
  <c r="G837" i="20" s="1"/>
  <c r="F99" i="20"/>
  <c r="G99" i="20" s="1"/>
  <c r="F533" i="20"/>
  <c r="G533" i="20" s="1"/>
  <c r="F618" i="20"/>
  <c r="G618" i="20" s="1"/>
  <c r="F336" i="20"/>
  <c r="G336" i="20" s="1"/>
  <c r="F876" i="20"/>
  <c r="G876" i="20" s="1"/>
  <c r="F467" i="20"/>
  <c r="G467" i="20" s="1"/>
  <c r="F551" i="20"/>
  <c r="G551" i="20" s="1"/>
  <c r="F194" i="20"/>
  <c r="G194" i="20" s="1"/>
  <c r="F311" i="20"/>
  <c r="G311" i="20" s="1"/>
  <c r="F741" i="20"/>
  <c r="G741" i="20" s="1"/>
  <c r="F205" i="20"/>
  <c r="G205" i="20" s="1"/>
  <c r="F425" i="20"/>
  <c r="G425" i="20" s="1"/>
  <c r="F801" i="20"/>
  <c r="G801" i="20" s="1"/>
  <c r="F515" i="20"/>
  <c r="G515" i="20" s="1"/>
  <c r="F544" i="20"/>
  <c r="G544" i="20" s="1"/>
  <c r="F485" i="20"/>
  <c r="G485" i="20" s="1"/>
  <c r="F556" i="20"/>
  <c r="G556" i="20" s="1"/>
  <c r="F773" i="20"/>
  <c r="G773" i="20" s="1"/>
  <c r="F786" i="20"/>
  <c r="G786" i="20" s="1"/>
  <c r="F491" i="20"/>
  <c r="G491" i="20" s="1"/>
  <c r="F51" i="20"/>
  <c r="G51" i="20" s="1"/>
  <c r="F195" i="20"/>
  <c r="G195" i="20" s="1"/>
  <c r="F813" i="20"/>
  <c r="G813" i="20" s="1"/>
  <c r="F86" i="20"/>
  <c r="E59" i="12" s="1"/>
  <c r="F382" i="20"/>
  <c r="G382" i="20" s="1"/>
  <c r="F666" i="20"/>
  <c r="G666" i="20" s="1"/>
  <c r="F349" i="20"/>
  <c r="E51" i="12" s="1"/>
  <c r="F19" i="20"/>
  <c r="G19" i="20" s="1"/>
  <c r="F864" i="20"/>
  <c r="G864" i="20" s="1"/>
  <c r="F359" i="20"/>
  <c r="G359" i="20" s="1"/>
  <c r="F518" i="20"/>
  <c r="G518" i="20" s="1"/>
  <c r="F541" i="20"/>
  <c r="G541" i="20" s="1"/>
  <c r="F748" i="20"/>
  <c r="G748" i="20" s="1"/>
  <c r="F119" i="20"/>
  <c r="G119" i="20" s="1"/>
  <c r="F417" i="20"/>
  <c r="G417" i="20" s="1"/>
  <c r="F274" i="20"/>
  <c r="G274" i="20" s="1"/>
  <c r="F507" i="20"/>
  <c r="G507" i="20" s="1"/>
  <c r="F96" i="20"/>
  <c r="G96" i="20" s="1"/>
  <c r="F870" i="20"/>
  <c r="G870" i="20" s="1"/>
  <c r="F22" i="20"/>
  <c r="G22" i="20" s="1"/>
  <c r="F648" i="20"/>
  <c r="G648" i="20" s="1"/>
  <c r="F638" i="20"/>
  <c r="G638" i="20" s="1"/>
  <c r="F862" i="20"/>
  <c r="G862" i="20" s="1"/>
  <c r="F844" i="20"/>
  <c r="G844" i="20" s="1"/>
  <c r="F719" i="20"/>
  <c r="G719" i="20" s="1"/>
  <c r="F583" i="20"/>
  <c r="G583" i="20" s="1"/>
  <c r="F100" i="20"/>
  <c r="G100" i="20" s="1"/>
  <c r="F873" i="20"/>
  <c r="G873" i="20" s="1"/>
  <c r="F547" i="20"/>
  <c r="G547" i="20" s="1"/>
  <c r="F236" i="20"/>
  <c r="G236" i="20" s="1"/>
  <c r="F310" i="20"/>
  <c r="G310" i="20" s="1"/>
  <c r="F466" i="20"/>
  <c r="G466" i="20" s="1"/>
  <c r="F280" i="20"/>
  <c r="G280" i="20" s="1"/>
  <c r="F610" i="20"/>
  <c r="G610" i="20" s="1"/>
  <c r="F62" i="20"/>
  <c r="G62" i="20" s="1"/>
  <c r="F840" i="20"/>
  <c r="G840" i="20" s="1"/>
  <c r="F462" i="20"/>
  <c r="G462" i="20" s="1"/>
  <c r="F404" i="20"/>
  <c r="G404" i="20" s="1"/>
  <c r="F499" i="20"/>
  <c r="G499" i="20" s="1"/>
  <c r="F351" i="20"/>
  <c r="G351" i="20" s="1"/>
  <c r="F305" i="20"/>
  <c r="G305" i="20" s="1"/>
  <c r="F625" i="20"/>
  <c r="G625" i="20" s="1"/>
  <c r="F874" i="20"/>
  <c r="G874" i="20" s="1"/>
  <c r="F585" i="20"/>
  <c r="G585" i="20" s="1"/>
  <c r="F635" i="20"/>
  <c r="G635" i="20" s="1"/>
  <c r="F799" i="20"/>
  <c r="G799" i="20" s="1"/>
  <c r="F629" i="20"/>
  <c r="G629" i="20" s="1"/>
  <c r="F375" i="20"/>
  <c r="G375" i="20" s="1"/>
  <c r="F729" i="20"/>
  <c r="G729" i="20" s="1"/>
  <c r="F586" i="20"/>
  <c r="G586" i="20" s="1"/>
  <c r="F634" i="20"/>
  <c r="G634" i="20" s="1"/>
  <c r="F593" i="20"/>
  <c r="G593" i="20" s="1"/>
  <c r="F530" i="20"/>
  <c r="G530" i="20" s="1"/>
  <c r="F7" i="20"/>
  <c r="G7" i="20" s="1"/>
  <c r="F645" i="20"/>
  <c r="G645" i="20" s="1"/>
  <c r="F578" i="20"/>
  <c r="G578" i="20" s="1"/>
  <c r="F484" i="20"/>
  <c r="G484" i="20" s="1"/>
  <c r="F316" i="20"/>
  <c r="G316" i="20" s="1"/>
  <c r="F321" i="20"/>
  <c r="G321" i="20" s="1"/>
  <c r="F30" i="20"/>
  <c r="G30" i="20" s="1"/>
  <c r="F270" i="20"/>
  <c r="G270" i="20" s="1"/>
  <c r="F297" i="20"/>
  <c r="G297" i="20" s="1"/>
  <c r="F762" i="20"/>
  <c r="G762" i="20" s="1"/>
  <c r="F234" i="20"/>
  <c r="G234" i="20" s="1"/>
  <c r="F168" i="20"/>
  <c r="G168" i="20" s="1"/>
  <c r="F660" i="20"/>
  <c r="G660" i="20" s="1"/>
  <c r="F746" i="20"/>
  <c r="G746" i="20" s="1"/>
  <c r="F9" i="20"/>
  <c r="G9" i="20" s="1"/>
  <c r="F677" i="20"/>
  <c r="G677" i="20" s="1"/>
  <c r="F468" i="20"/>
  <c r="G468" i="20" s="1"/>
  <c r="F163" i="20"/>
  <c r="G163" i="20" s="1"/>
  <c r="F718" i="20"/>
  <c r="G718" i="20" s="1"/>
  <c r="F299" i="20"/>
  <c r="G299" i="20" s="1"/>
  <c r="F341" i="20"/>
  <c r="G341" i="20" s="1"/>
  <c r="F377" i="20"/>
  <c r="G377" i="20" s="1"/>
  <c r="F156" i="20"/>
  <c r="G156" i="20" s="1"/>
  <c r="F459" i="20"/>
  <c r="G459" i="20" s="1"/>
  <c r="F272" i="20"/>
  <c r="G272" i="20" s="1"/>
  <c r="F332" i="20"/>
  <c r="G332" i="20" s="1"/>
  <c r="F69" i="20"/>
  <c r="G69" i="20" s="1"/>
  <c r="F326" i="20"/>
  <c r="G326" i="20" s="1"/>
  <c r="F755" i="20"/>
  <c r="G755" i="20" s="1"/>
  <c r="F207" i="20"/>
  <c r="G207" i="20" s="1"/>
  <c r="F233" i="20"/>
  <c r="G233" i="20" s="1"/>
  <c r="F798" i="20"/>
  <c r="G798" i="20" s="1"/>
  <c r="F554" i="20"/>
  <c r="G554" i="20" s="1"/>
  <c r="F849" i="20"/>
  <c r="G849" i="20" s="1"/>
  <c r="G6" i="20"/>
  <c r="F669" i="20"/>
  <c r="G669" i="20" s="1"/>
  <c r="F437" i="20"/>
  <c r="G437" i="20" s="1"/>
  <c r="F465" i="20"/>
  <c r="G465" i="20" s="1"/>
  <c r="F371" i="20"/>
  <c r="G371" i="20" s="1"/>
  <c r="F756" i="20"/>
  <c r="G756" i="20" s="1"/>
  <c r="F304" i="20"/>
  <c r="G304" i="20" s="1"/>
  <c r="F330" i="20"/>
  <c r="G330" i="20" s="1"/>
  <c r="F815" i="20"/>
  <c r="G815" i="20" s="1"/>
  <c r="F564" i="20"/>
  <c r="G564" i="20" s="1"/>
  <c r="F196" i="20"/>
  <c r="G196" i="20" s="1"/>
  <c r="F758" i="20"/>
  <c r="G758" i="20" s="1"/>
  <c r="F804" i="20"/>
  <c r="G804" i="20" s="1"/>
  <c r="F224" i="20"/>
  <c r="G224" i="20" s="1"/>
  <c r="F378" i="20"/>
  <c r="G378" i="20" s="1"/>
  <c r="F50" i="20"/>
  <c r="G50" i="20" s="1"/>
  <c r="F591" i="20"/>
  <c r="G591" i="20" s="1"/>
  <c r="F157" i="20"/>
  <c r="G157" i="20" s="1"/>
  <c r="F191" i="20"/>
  <c r="G191" i="20" s="1"/>
  <c r="F861" i="20"/>
  <c r="G861" i="20" s="1"/>
  <c r="F644" i="20"/>
  <c r="G644" i="20" s="1"/>
  <c r="F795" i="20"/>
  <c r="G795" i="20" s="1"/>
  <c r="F47" i="20"/>
  <c r="G47" i="20" s="1"/>
  <c r="F115" i="20"/>
  <c r="G115" i="20" s="1"/>
  <c r="F601" i="20"/>
  <c r="G601" i="20" s="1"/>
  <c r="F539" i="20"/>
  <c r="G539" i="20" s="1"/>
  <c r="F432" i="20"/>
  <c r="G432" i="20" s="1"/>
  <c r="F458" i="20"/>
  <c r="G458" i="20" s="1"/>
  <c r="F10" i="20"/>
  <c r="G10" i="20" s="1"/>
  <c r="F691" i="20"/>
  <c r="G691" i="20" s="1"/>
  <c r="F522" i="20"/>
  <c r="G522" i="20" s="1"/>
  <c r="F354" i="20"/>
  <c r="G354" i="20" s="1"/>
  <c r="F125" i="20"/>
  <c r="G125" i="20" s="1"/>
  <c r="F475" i="20"/>
  <c r="G475" i="20" s="1"/>
  <c r="F685" i="20"/>
  <c r="G685" i="20" s="1"/>
  <c r="F140" i="20"/>
  <c r="G140" i="20" s="1"/>
  <c r="F289" i="20"/>
  <c r="G289" i="20" s="1"/>
  <c r="F854" i="20"/>
  <c r="G854" i="20" s="1"/>
  <c r="F319" i="20"/>
  <c r="G319" i="20" s="1"/>
  <c r="F183" i="20"/>
  <c r="G183" i="20" s="1"/>
  <c r="F562" i="20"/>
  <c r="G562" i="20" s="1"/>
  <c r="F531" i="20"/>
  <c r="G531" i="20" s="1"/>
  <c r="F209" i="20"/>
  <c r="G209" i="20" s="1"/>
  <c r="F184" i="20"/>
  <c r="G184" i="20" s="1"/>
  <c r="F774" i="20"/>
  <c r="G774" i="20" s="1"/>
  <c r="F447" i="20"/>
  <c r="G447" i="20" s="1"/>
  <c r="F525" i="20"/>
  <c r="G525" i="20" s="1"/>
  <c r="F11" i="20"/>
  <c r="G11" i="20" s="1"/>
  <c r="F561" i="20"/>
  <c r="G561" i="20" s="1"/>
  <c r="F872" i="20"/>
  <c r="G872" i="20" s="1"/>
  <c r="F229" i="20"/>
  <c r="G229" i="20" s="1"/>
  <c r="F550" i="20"/>
  <c r="G550" i="20" s="1"/>
  <c r="F55" i="20"/>
  <c r="E53" i="12" s="1"/>
  <c r="F169" i="20"/>
  <c r="G169" i="20" s="1"/>
  <c r="F698" i="20"/>
  <c r="G698" i="20" s="1"/>
  <c r="F633" i="20"/>
  <c r="G633" i="20" s="1"/>
  <c r="F220" i="20"/>
  <c r="G220" i="20" s="1"/>
  <c r="F680" i="20"/>
  <c r="G680" i="20" s="1"/>
  <c r="F821" i="20"/>
  <c r="G821" i="20" s="1"/>
  <c r="F431" i="20"/>
  <c r="G431" i="20" s="1"/>
  <c r="F684" i="20"/>
  <c r="G684" i="20" s="1"/>
  <c r="F243" i="20"/>
  <c r="G243" i="20" s="1"/>
  <c r="F714" i="20"/>
  <c r="G714" i="20" s="1"/>
  <c r="F654" i="20"/>
  <c r="G654" i="20" s="1"/>
  <c r="F399" i="20"/>
  <c r="G399" i="20" s="1"/>
  <c r="F56" i="20"/>
  <c r="G56" i="20" s="1"/>
  <c r="F568" i="20"/>
  <c r="G568" i="20" s="1"/>
  <c r="F614" i="20"/>
  <c r="G614" i="20" s="1"/>
  <c r="F509" i="20"/>
  <c r="G509" i="20" s="1"/>
  <c r="F189" i="20"/>
  <c r="G189" i="20" s="1"/>
  <c r="F673" i="20"/>
  <c r="G673" i="20" s="1"/>
  <c r="F107" i="20"/>
  <c r="G107" i="20" s="1"/>
  <c r="F376" i="20"/>
  <c r="G376" i="20" s="1"/>
  <c r="F410" i="20"/>
  <c r="G410" i="20" s="1"/>
  <c r="F506" i="20"/>
  <c r="G506" i="20" s="1"/>
  <c r="F315" i="20"/>
  <c r="G315" i="20" s="1"/>
  <c r="F605" i="20"/>
  <c r="G605" i="20" s="1"/>
  <c r="F373" i="20"/>
  <c r="G373" i="20" s="1"/>
  <c r="F401" i="20"/>
  <c r="G401" i="20" s="1"/>
  <c r="F201" i="20"/>
  <c r="G201" i="20" s="1"/>
  <c r="F693" i="20"/>
  <c r="G693" i="20" s="1"/>
  <c r="F240" i="20"/>
  <c r="G240" i="20" s="1"/>
  <c r="F266" i="20"/>
  <c r="G266" i="20" s="1"/>
  <c r="F751" i="20"/>
  <c r="G751" i="20" s="1"/>
  <c r="F443" i="20"/>
  <c r="G443" i="20" s="1"/>
  <c r="F520" i="20"/>
  <c r="G520" i="20" s="1"/>
  <c r="F832" i="20"/>
  <c r="G832" i="20" s="1"/>
  <c r="F606" i="20"/>
  <c r="G606" i="20" s="1"/>
  <c r="F472" i="20"/>
  <c r="G472" i="20" s="1"/>
  <c r="F38" i="20"/>
  <c r="E37" i="12" s="1"/>
  <c r="F68" i="20"/>
  <c r="G68" i="20" s="1"/>
  <c r="F765" i="20"/>
  <c r="G765" i="20" s="1"/>
  <c r="F637" i="20"/>
  <c r="G637" i="20" s="1"/>
  <c r="F428" i="20"/>
  <c r="G428" i="20" s="1"/>
  <c r="F48" i="20"/>
  <c r="G48" i="20" s="1"/>
  <c r="F753" i="20"/>
  <c r="G753" i="20" s="1"/>
  <c r="F226" i="20"/>
  <c r="G226" i="20" s="1"/>
  <c r="F116" i="20"/>
  <c r="G116" i="20" s="1"/>
  <c r="F141" i="20"/>
  <c r="G141" i="20" s="1"/>
  <c r="F557" i="20"/>
  <c r="G557" i="20" s="1"/>
  <c r="F476" i="20"/>
  <c r="G476" i="20" s="1"/>
  <c r="F171" i="20"/>
  <c r="G171" i="20" s="1"/>
  <c r="F726" i="20"/>
  <c r="G726" i="20" s="1"/>
  <c r="F757" i="20"/>
  <c r="G757" i="20" s="1"/>
  <c r="F104" i="20"/>
  <c r="G104" i="20" s="1"/>
  <c r="F267" i="20"/>
  <c r="G267" i="20" s="1"/>
  <c r="F643" i="20"/>
  <c r="G643" i="20" s="1"/>
  <c r="F732" i="20"/>
  <c r="G732" i="20" s="1"/>
  <c r="F231" i="20"/>
  <c r="G231" i="20" s="1"/>
  <c r="F210" i="20"/>
  <c r="G210" i="20" s="1"/>
  <c r="F77" i="20"/>
  <c r="G77" i="20" s="1"/>
  <c r="F347" i="20"/>
  <c r="E50" i="12" s="1"/>
  <c r="F763" i="20"/>
  <c r="G763" i="20" s="1"/>
  <c r="G39" i="20"/>
  <c r="F128" i="20"/>
  <c r="G128" i="20" s="1"/>
  <c r="F651" i="20"/>
  <c r="G651" i="20" s="1"/>
  <c r="F791" i="20"/>
  <c r="G791" i="20" s="1"/>
  <c r="F452" i="20"/>
  <c r="G452" i="20" s="1"/>
  <c r="F457" i="20"/>
  <c r="G457" i="20" s="1"/>
  <c r="F350" i="20"/>
  <c r="G350" i="20" s="1"/>
  <c r="F622" i="20"/>
  <c r="G622" i="20" s="1"/>
  <c r="F177" i="20"/>
  <c r="G177" i="20" s="1"/>
  <c r="F322" i="20"/>
  <c r="G322" i="20" s="1"/>
  <c r="F807" i="20"/>
  <c r="G807" i="20" s="1"/>
  <c r="F138" i="20"/>
  <c r="G138" i="20" s="1"/>
  <c r="F724" i="20"/>
  <c r="G724" i="20" s="1"/>
  <c r="F463" i="20"/>
  <c r="G463" i="20" s="1"/>
  <c r="F176" i="20"/>
  <c r="G176" i="20" s="1"/>
  <c r="F845" i="20"/>
  <c r="G845" i="20" s="1"/>
  <c r="F213" i="20"/>
  <c r="G213" i="20" s="1"/>
  <c r="F242" i="20"/>
  <c r="G242" i="20" s="1"/>
  <c r="F33" i="20"/>
  <c r="G33" i="20" s="1"/>
  <c r="F259" i="20"/>
  <c r="G259" i="20" s="1"/>
  <c r="F133" i="20"/>
  <c r="G133" i="20" s="1"/>
  <c r="F179" i="20"/>
  <c r="G179" i="20" s="1"/>
  <c r="F36" i="20"/>
  <c r="E38" i="12" s="1"/>
  <c r="F818" i="20"/>
  <c r="G818" i="20" s="1"/>
  <c r="F343" i="20"/>
  <c r="E46" i="12" s="1"/>
  <c r="F445" i="20"/>
  <c r="G445" i="20" s="1"/>
  <c r="F241" i="20"/>
  <c r="G241" i="20" s="1"/>
  <c r="F247" i="20"/>
  <c r="G247" i="20" s="1"/>
  <c r="F357" i="20"/>
  <c r="G357" i="20" s="1"/>
  <c r="F674" i="20"/>
  <c r="G674" i="20" s="1"/>
  <c r="F85" i="20"/>
  <c r="E58" i="12" s="1"/>
  <c r="F642" i="20"/>
  <c r="G642" i="20" s="1"/>
  <c r="F369" i="20"/>
  <c r="G369" i="20" s="1"/>
  <c r="F374" i="20"/>
  <c r="G374" i="20" s="1"/>
  <c r="F587" i="20"/>
  <c r="G587" i="20" s="1"/>
  <c r="F582" i="20"/>
  <c r="G582" i="20" s="1"/>
  <c r="F841" i="20"/>
  <c r="G841" i="20" s="1"/>
  <c r="F831" i="20"/>
  <c r="G831" i="20" s="1"/>
  <c r="F555" i="20"/>
  <c r="G555" i="20" s="1"/>
  <c r="F513" i="20"/>
  <c r="G513" i="20" s="1"/>
  <c r="F26" i="20"/>
  <c r="G26" i="20" s="1"/>
  <c r="F567" i="20"/>
  <c r="G567" i="20" s="1"/>
  <c r="F35" i="20"/>
  <c r="G35" i="20" s="1"/>
  <c r="F284" i="20"/>
  <c r="G284" i="20" s="1"/>
  <c r="F24" i="20"/>
  <c r="G24" i="20" s="1"/>
  <c r="F526" i="20"/>
  <c r="G526" i="20" s="1"/>
  <c r="F707" i="20"/>
  <c r="G707" i="20" s="1"/>
  <c r="F508" i="20"/>
  <c r="G508" i="20" s="1"/>
  <c r="F775" i="20"/>
  <c r="G775" i="20" s="1"/>
  <c r="F737" i="20"/>
  <c r="G737" i="20" s="1"/>
  <c r="F538" i="20"/>
  <c r="G538" i="20" s="1"/>
  <c r="F408" i="20"/>
  <c r="G408" i="20" s="1"/>
  <c r="F434" i="20"/>
  <c r="G434" i="20" s="1"/>
  <c r="F106" i="20"/>
  <c r="G106" i="20" s="1"/>
  <c r="F647" i="20"/>
  <c r="G647" i="20" s="1"/>
  <c r="F573" i="20"/>
  <c r="G573" i="20" s="1"/>
  <c r="F364" i="20"/>
  <c r="G364" i="20" s="1"/>
  <c r="F109" i="20"/>
  <c r="G109" i="20" s="1"/>
  <c r="F683" i="20"/>
  <c r="G683" i="20" s="1"/>
  <c r="F18" i="20"/>
  <c r="G18" i="20" s="1"/>
  <c r="F523" i="20"/>
  <c r="G523" i="20" s="1"/>
  <c r="F803" i="20"/>
  <c r="G803" i="20" s="1"/>
  <c r="F132" i="20"/>
  <c r="G132" i="20" s="1"/>
  <c r="F281" i="20"/>
  <c r="G281" i="20" s="1"/>
  <c r="F846" i="20"/>
  <c r="G846" i="20" s="1"/>
  <c r="F574" i="20"/>
  <c r="G574" i="20" s="1"/>
  <c r="F469" i="20"/>
  <c r="G469" i="20" s="1"/>
  <c r="F505" i="20"/>
  <c r="G505" i="20" s="1"/>
  <c r="F221" i="20"/>
  <c r="G221" i="20" s="1"/>
  <c r="F324" i="20"/>
  <c r="G324" i="20" s="1"/>
  <c r="F329" i="20"/>
  <c r="G329" i="20" s="1"/>
  <c r="F126" i="20"/>
  <c r="G126" i="20" s="1"/>
  <c r="F427" i="20"/>
  <c r="G427" i="20" s="1"/>
  <c r="F517" i="20"/>
  <c r="G517" i="20" s="1"/>
  <c r="F197" i="20"/>
  <c r="G197" i="20" s="1"/>
  <c r="F681" i="20"/>
  <c r="G681" i="20" s="1"/>
  <c r="F836" i="20"/>
  <c r="G836" i="20" s="1"/>
  <c r="F787" i="20"/>
  <c r="G787" i="20" s="1"/>
  <c r="F130" i="20"/>
  <c r="G130" i="20" s="1"/>
  <c r="F44" i="20"/>
  <c r="G44" i="20" s="1"/>
  <c r="F687" i="20"/>
  <c r="G687" i="20" s="1"/>
  <c r="F877" i="20"/>
  <c r="G877" i="20" s="1"/>
  <c r="F253" i="20"/>
  <c r="G253" i="20" s="1"/>
  <c r="F409" i="20"/>
  <c r="G409" i="20" s="1"/>
  <c r="F222" i="20"/>
  <c r="G222" i="20" s="1"/>
  <c r="F701" i="20"/>
  <c r="G701" i="20" s="1"/>
  <c r="F127" i="20"/>
  <c r="G127" i="20" s="1"/>
  <c r="F164" i="20"/>
  <c r="G164" i="20" s="1"/>
  <c r="F256" i="20"/>
  <c r="G256" i="20" s="1"/>
  <c r="F760" i="20"/>
  <c r="G760" i="20" s="1"/>
  <c r="F493" i="20"/>
  <c r="G493" i="20" s="1"/>
  <c r="F15" i="20"/>
  <c r="E39" i="12" s="1"/>
  <c r="F34" i="20"/>
  <c r="G34" i="20" s="1"/>
  <c r="F575" i="20"/>
  <c r="G575" i="20" s="1"/>
  <c r="F446" i="20"/>
  <c r="G446" i="20" s="1"/>
  <c r="F420" i="20"/>
  <c r="G420" i="20" s="1"/>
  <c r="F32" i="20"/>
  <c r="G32" i="20" s="1"/>
  <c r="F542" i="20"/>
  <c r="G542" i="20" s="1"/>
  <c r="F855" i="20"/>
  <c r="G855" i="20" s="1"/>
  <c r="F745" i="20"/>
  <c r="G745" i="20" s="1"/>
  <c r="F118" i="20"/>
  <c r="G118" i="20" s="1"/>
  <c r="F860" i="20"/>
  <c r="G860" i="20" s="1"/>
  <c r="F548" i="20"/>
  <c r="G548" i="20" s="1"/>
  <c r="F340" i="20"/>
  <c r="E44" i="12" s="1"/>
  <c r="F80" i="20"/>
  <c r="E56" i="12" s="1"/>
  <c r="F592" i="20"/>
  <c r="G592" i="20" s="1"/>
  <c r="F725" i="20"/>
  <c r="G725" i="20" s="1"/>
  <c r="F211" i="20"/>
  <c r="G211" i="20" s="1"/>
  <c r="F249" i="20"/>
  <c r="G249" i="20" s="1"/>
  <c r="F121" i="20"/>
  <c r="G121" i="20" s="1"/>
  <c r="F123" i="20"/>
  <c r="G123" i="20" s="1"/>
  <c r="F129" i="20"/>
  <c r="G129" i="20" s="1"/>
  <c r="F239" i="20"/>
  <c r="G239" i="20" s="1"/>
  <c r="F850" i="20"/>
  <c r="G850" i="20" s="1"/>
  <c r="F615" i="20"/>
  <c r="G615" i="20" s="1"/>
  <c r="F620" i="20"/>
  <c r="G620" i="20" s="1"/>
  <c r="F367" i="20"/>
  <c r="G367" i="20" s="1"/>
  <c r="F652" i="20"/>
  <c r="G652" i="20" s="1"/>
  <c r="F230" i="20"/>
  <c r="G230" i="20" s="1"/>
  <c r="F482" i="20"/>
  <c r="G482" i="20" s="1"/>
  <c r="F421" i="20"/>
  <c r="G421" i="20" s="1"/>
  <c r="F328" i="20"/>
  <c r="G328" i="20" s="1"/>
  <c r="F784" i="20"/>
  <c r="G784" i="20" s="1"/>
  <c r="F139" i="20"/>
  <c r="G139" i="20" s="1"/>
  <c r="F144" i="20"/>
  <c r="G144" i="20" s="1"/>
  <c r="F703" i="20"/>
  <c r="G703" i="20" s="1"/>
  <c r="F875" i="20"/>
  <c r="G875" i="20" s="1"/>
  <c r="F325" i="20"/>
  <c r="G325" i="20" s="1"/>
  <c r="F481" i="20"/>
  <c r="G481" i="20" s="1"/>
  <c r="F414" i="20"/>
  <c r="G414" i="20" s="1"/>
  <c r="F646" i="20"/>
  <c r="G646" i="20" s="1"/>
  <c r="F202" i="20"/>
  <c r="G202" i="20" s="1"/>
  <c r="F752" i="20"/>
  <c r="G752" i="20" s="1"/>
  <c r="F73" i="20"/>
  <c r="G73" i="20" s="1"/>
  <c r="F366" i="20"/>
  <c r="G366" i="20" s="1"/>
  <c r="F739" i="20"/>
  <c r="G739" i="20" s="1"/>
  <c r="F532" i="20"/>
  <c r="G532" i="20" s="1"/>
  <c r="F217" i="20"/>
  <c r="G217" i="20" s="1"/>
  <c r="F782" i="20"/>
  <c r="G782" i="20" s="1"/>
  <c r="F470" i="20"/>
  <c r="G470" i="20" s="1"/>
  <c r="F405" i="20"/>
  <c r="G405" i="20" s="1"/>
  <c r="F441" i="20"/>
  <c r="G441" i="20" s="1"/>
  <c r="F244" i="20"/>
  <c r="E52" i="12" s="1"/>
  <c r="F570" i="20"/>
  <c r="G570" i="20" s="1"/>
  <c r="F136" i="20"/>
  <c r="G136" i="20" s="1"/>
  <c r="F695" i="20"/>
  <c r="G695" i="20" s="1"/>
  <c r="F740" i="20"/>
  <c r="G740" i="20" s="1"/>
  <c r="F170" i="20"/>
  <c r="G170" i="20" s="1"/>
  <c r="F314" i="20"/>
  <c r="G314" i="20" s="1"/>
  <c r="F105" i="20"/>
  <c r="G105" i="20" s="1"/>
  <c r="F451" i="20"/>
  <c r="G451" i="20" s="1"/>
  <c r="F504" i="20"/>
  <c r="G504" i="20" s="1"/>
  <c r="F131" i="20"/>
  <c r="G131" i="20" s="1"/>
  <c r="F323" i="20"/>
  <c r="G323" i="20" s="1"/>
  <c r="F365" i="20"/>
  <c r="G365" i="20" s="1"/>
  <c r="F362" i="20"/>
  <c r="G362" i="20" s="1"/>
  <c r="F25" i="20"/>
  <c r="G25" i="20" s="1"/>
  <c r="F238" i="20"/>
  <c r="G238" i="20" s="1"/>
  <c r="F87" i="20"/>
  <c r="E60" i="12" s="1"/>
  <c r="F292" i="20"/>
  <c r="G292" i="20" s="1"/>
  <c r="F29" i="20"/>
  <c r="G29" i="20" s="1"/>
  <c r="F219" i="20"/>
  <c r="G219" i="20" s="1"/>
  <c r="F641" i="20"/>
  <c r="G641" i="20" s="1"/>
  <c r="F717" i="20"/>
  <c r="G717" i="20" s="1"/>
  <c r="F257" i="20"/>
  <c r="G257" i="20" s="1"/>
  <c r="F822" i="20"/>
  <c r="G822" i="20" s="1"/>
  <c r="F868" i="20"/>
  <c r="G868" i="20" s="1"/>
  <c r="F288" i="20"/>
  <c r="G288" i="20" s="1"/>
  <c r="F442" i="20"/>
  <c r="G442" i="20" s="1"/>
  <c r="F12" i="20"/>
  <c r="E43" i="12" s="1"/>
  <c r="F655" i="20"/>
  <c r="G655" i="20" s="1"/>
  <c r="F318" i="20"/>
  <c r="G318" i="20" s="1"/>
  <c r="F252" i="20"/>
  <c r="G252" i="20" s="1"/>
  <c r="F616" i="20"/>
  <c r="G616" i="20" s="1"/>
  <c r="F706" i="20"/>
  <c r="G706" i="20" s="1"/>
  <c r="F528" i="20"/>
  <c r="G528" i="20" s="1"/>
  <c r="F122" i="20"/>
  <c r="G122" i="20" s="1"/>
  <c r="F155" i="20"/>
  <c r="G155" i="20" s="1"/>
  <c r="F710" i="20"/>
  <c r="G710" i="20" s="1"/>
  <c r="F278" i="20"/>
  <c r="G278" i="20" s="1"/>
  <c r="F461" i="20"/>
  <c r="G461" i="20" s="1"/>
  <c r="F489" i="20"/>
  <c r="G489" i="20" s="1"/>
  <c r="F435" i="20"/>
  <c r="G435" i="20" s="1"/>
  <c r="F808" i="20"/>
  <c r="G808" i="20" s="1"/>
  <c r="F308" i="20"/>
  <c r="G308" i="20" s="1"/>
  <c r="F53" i="20"/>
  <c r="G53" i="20" s="1"/>
  <c r="F283" i="20"/>
  <c r="G283" i="20" s="1"/>
  <c r="F406" i="20"/>
  <c r="G406" i="20" s="1"/>
  <c r="F381" i="20"/>
  <c r="G381" i="20" s="1"/>
  <c r="F537" i="20"/>
  <c r="G537" i="20" s="1"/>
  <c r="F543" i="20"/>
  <c r="G543" i="20" s="1"/>
  <c r="F828" i="20"/>
  <c r="G828" i="20" s="1"/>
  <c r="F248" i="20"/>
  <c r="G248" i="20" s="1"/>
  <c r="F282" i="20"/>
  <c r="G282" i="20" s="1"/>
  <c r="F589" i="20"/>
  <c r="G589" i="20" s="1"/>
  <c r="F149" i="20"/>
  <c r="G149" i="20" s="1"/>
  <c r="F657" i="20"/>
  <c r="G657" i="20" s="1"/>
  <c r="F812" i="20"/>
  <c r="G812" i="20" s="1"/>
  <c r="F360" i="20"/>
  <c r="F79" i="20"/>
  <c r="G79" i="20" s="1"/>
  <c r="F58" i="20"/>
  <c r="G58" i="20" s="1"/>
  <c r="F599" i="20"/>
  <c r="G599" i="20" s="1"/>
  <c r="F560" i="20"/>
  <c r="G560" i="20" s="1"/>
  <c r="F699" i="20"/>
  <c r="G699" i="20" s="1"/>
  <c r="F120" i="20"/>
  <c r="G120" i="20" s="1"/>
  <c r="F632" i="20"/>
  <c r="G632" i="20" s="1"/>
  <c r="F678" i="20"/>
  <c r="G678" i="20" s="1"/>
  <c r="F70" i="20"/>
  <c r="G70" i="20" s="1"/>
  <c r="F250" i="20"/>
  <c r="G250" i="20" s="1"/>
  <c r="F41" i="20"/>
  <c r="E34" i="12" s="1"/>
  <c r="F279" i="20"/>
  <c r="G279" i="20" s="1"/>
  <c r="F440" i="20"/>
  <c r="G440" i="20" s="1"/>
  <c r="F474" i="20"/>
  <c r="G474" i="20" s="1"/>
  <c r="F780" i="20"/>
  <c r="G780" i="20" s="1"/>
  <c r="F486" i="20"/>
  <c r="G486" i="20" s="1"/>
  <c r="F172" i="20"/>
  <c r="G172" i="20" s="1"/>
  <c r="F52" i="20"/>
  <c r="G52" i="20" s="1"/>
  <c r="F702" i="20"/>
  <c r="G702" i="20" s="1"/>
  <c r="F423" i="20"/>
  <c r="G423" i="20" s="1"/>
  <c r="F412" i="20"/>
  <c r="G412" i="20" s="1"/>
  <c r="F71" i="20"/>
  <c r="E54" i="12" s="1"/>
  <c r="F664" i="20"/>
  <c r="G664" i="20" s="1"/>
  <c r="F835" i="20"/>
  <c r="G835" i="20" s="1"/>
  <c r="F57" i="20"/>
  <c r="G57" i="20" s="1"/>
  <c r="F67" i="20"/>
  <c r="G67" i="20" s="1"/>
  <c r="F400" i="20"/>
  <c r="G400" i="20" s="1"/>
  <c r="F460" i="20"/>
  <c r="G460" i="20" s="1"/>
  <c r="F72" i="20"/>
  <c r="G72" i="20" s="1"/>
  <c r="F584" i="20"/>
  <c r="G584" i="20" s="1"/>
  <c r="F559" i="20"/>
  <c r="G559" i="20" s="1"/>
  <c r="F333" i="20"/>
  <c r="G333" i="20" s="1"/>
  <c r="F361" i="20"/>
  <c r="G361" i="20" s="1"/>
  <c r="F63" i="20"/>
  <c r="G63" i="20" s="1"/>
  <c r="F682" i="20"/>
  <c r="G682" i="20" s="1"/>
  <c r="F290" i="20"/>
  <c r="G290" i="20" s="1"/>
  <c r="F61" i="20"/>
  <c r="G61" i="20" s="1"/>
  <c r="F303" i="20"/>
  <c r="G303" i="20" s="1"/>
  <c r="F621" i="20"/>
  <c r="G621" i="20" s="1"/>
  <c r="F540" i="20"/>
  <c r="G540" i="20" s="1"/>
  <c r="F225" i="20"/>
  <c r="G225" i="20" s="1"/>
  <c r="F790" i="20"/>
  <c r="G790" i="20" s="1"/>
  <c r="F160" i="20"/>
  <c r="G160" i="20" s="1"/>
  <c r="F31" i="20"/>
  <c r="G31" i="20" s="1"/>
  <c r="F438" i="20"/>
  <c r="G438" i="20" s="1"/>
  <c r="F777" i="20"/>
  <c r="G777" i="20" s="1"/>
  <c r="F859" i="20"/>
  <c r="G859" i="20" s="1"/>
  <c r="F162" i="20"/>
  <c r="G162" i="20" s="1"/>
  <c r="F181" i="20"/>
  <c r="G181" i="20" s="1"/>
  <c r="F665" i="20"/>
  <c r="G665" i="20" s="1"/>
  <c r="F46" i="20"/>
  <c r="G46" i="20" s="1"/>
  <c r="F496" i="20"/>
  <c r="G496" i="20" s="1"/>
  <c r="F102" i="20"/>
  <c r="G102" i="20" s="1"/>
  <c r="F74" i="20"/>
  <c r="G74" i="20" s="1"/>
  <c r="F754" i="20"/>
  <c r="G754" i="20" s="1"/>
  <c r="F788" i="20"/>
  <c r="G788" i="20" s="1"/>
  <c r="F385" i="20"/>
  <c r="G385" i="20" s="1"/>
  <c r="F17" i="20"/>
  <c r="G17" i="20" s="1"/>
  <c r="F416" i="20"/>
  <c r="G416" i="20" s="1"/>
  <c r="F166" i="20"/>
  <c r="G166" i="20" s="1"/>
  <c r="F21" i="20"/>
  <c r="G21" i="20" s="1"/>
  <c r="F200" i="20"/>
  <c r="G200" i="20" s="1"/>
  <c r="F581" i="20"/>
  <c r="G581" i="20" s="1"/>
  <c r="F380" i="20"/>
  <c r="G380" i="20" s="1"/>
  <c r="F455" i="20"/>
  <c r="G455" i="20" s="1"/>
  <c r="F834" i="20"/>
  <c r="G834" i="20" s="1"/>
  <c r="F694" i="20"/>
  <c r="G694" i="20" s="1"/>
  <c r="F588" i="20"/>
  <c r="G588" i="20" s="1"/>
  <c r="F715" i="20"/>
  <c r="G715" i="20" s="1"/>
  <c r="F398" i="20"/>
  <c r="G398" i="20" s="1"/>
  <c r="F449" i="20"/>
  <c r="G449" i="20" s="1"/>
  <c r="F444" i="20"/>
  <c r="G444" i="20" s="1"/>
  <c r="F549" i="20"/>
  <c r="G549" i="20" s="1"/>
  <c r="F720" i="20"/>
  <c r="G720" i="20" s="1"/>
  <c r="F497" i="20"/>
  <c r="G497" i="20" s="1"/>
  <c r="F640" i="20"/>
  <c r="G640" i="20" s="1"/>
  <c r="F287" i="20"/>
  <c r="G287" i="20" s="1"/>
  <c r="F498" i="20"/>
  <c r="G498" i="20" s="1"/>
  <c r="F595" i="20"/>
  <c r="G595" i="20" s="1"/>
  <c r="F847" i="20"/>
  <c r="G847" i="20" s="1"/>
  <c r="F268" i="20"/>
  <c r="G268" i="20" s="1"/>
  <c r="F124" i="20"/>
  <c r="G124" i="20" s="1"/>
  <c r="F165" i="20"/>
  <c r="G165" i="20" s="1"/>
  <c r="F692" i="20"/>
  <c r="G692" i="20" s="1"/>
  <c r="F148" i="20"/>
  <c r="G148" i="20" s="1"/>
  <c r="F178" i="20"/>
  <c r="G178" i="20" s="1"/>
  <c r="F734" i="20"/>
  <c r="G734" i="20" s="1"/>
  <c r="F415" i="20"/>
  <c r="G415" i="20" s="1"/>
  <c r="F713" i="20"/>
  <c r="G713" i="20" s="1"/>
  <c r="F75" i="20"/>
  <c r="G75" i="20" s="1"/>
  <c r="F90" i="20"/>
  <c r="E62" i="12" s="1"/>
  <c r="F631" i="20"/>
  <c r="G631" i="20" s="1"/>
  <c r="F254" i="20"/>
  <c r="G254" i="20" s="1"/>
  <c r="F348" i="20"/>
  <c r="G348" i="20" s="1"/>
  <c r="F88" i="20"/>
  <c r="E61" i="12" s="1"/>
  <c r="F600" i="20"/>
  <c r="G600" i="20" s="1"/>
  <c r="F771" i="20"/>
  <c r="G771" i="20" s="1"/>
  <c r="F83" i="20"/>
  <c r="E57" i="12" s="1"/>
  <c r="F863" i="20"/>
  <c r="G863" i="20" s="1"/>
  <c r="F809" i="20"/>
  <c r="G809" i="20" s="1"/>
  <c r="F260" i="20"/>
  <c r="G260" i="20" s="1"/>
  <c r="F265" i="20"/>
  <c r="G265" i="20" s="1"/>
  <c r="F830" i="20"/>
  <c r="G830" i="20" s="1"/>
  <c r="F255" i="20"/>
  <c r="G255" i="20" s="1"/>
  <c r="F453" i="20"/>
  <c r="G453" i="20" s="1"/>
  <c r="F137" i="20"/>
  <c r="G137" i="20" s="1"/>
  <c r="F617" i="20"/>
  <c r="G617" i="20" s="1"/>
  <c r="F772" i="20"/>
  <c r="G772" i="20" s="1"/>
  <c r="F519" i="20"/>
  <c r="G519" i="20" s="1"/>
  <c r="F78" i="20"/>
  <c r="G78" i="20" s="1"/>
  <c r="F731" i="20"/>
  <c r="G731" i="20" s="1"/>
  <c r="F501" i="20"/>
  <c r="G501" i="20" s="1"/>
  <c r="F529" i="20"/>
  <c r="G529" i="20" s="1"/>
  <c r="F527" i="20"/>
  <c r="G527" i="20" s="1"/>
  <c r="F820" i="20"/>
  <c r="G820" i="20" s="1"/>
  <c r="F368" i="20"/>
  <c r="G368" i="20" s="1"/>
  <c r="F394" i="20"/>
  <c r="G394" i="20" s="1"/>
  <c r="F65" i="20"/>
  <c r="G65" i="20" s="1"/>
  <c r="F628" i="20"/>
  <c r="G628" i="20" s="1"/>
  <c r="F851" i="20"/>
  <c r="G851" i="20" s="1"/>
  <c r="F388" i="20"/>
  <c r="G388" i="20" s="1"/>
  <c r="F393" i="20"/>
  <c r="G393" i="20" s="1"/>
  <c r="F182" i="20"/>
  <c r="G182" i="20" s="1"/>
  <c r="F558" i="20"/>
  <c r="G558" i="20" s="1"/>
  <c r="F91" i="20"/>
  <c r="G91" i="20" s="1"/>
  <c r="F258" i="20"/>
  <c r="G258" i="20" s="1"/>
  <c r="F743" i="20"/>
  <c r="G743" i="20" s="1"/>
  <c r="F709" i="20"/>
  <c r="G709" i="20" s="1"/>
  <c r="F363" i="20"/>
  <c r="G363" i="20" s="1"/>
  <c r="F294" i="20"/>
  <c r="G294" i="20" s="1"/>
  <c r="F320" i="20"/>
  <c r="G320" i="20" s="1"/>
  <c r="F796" i="20"/>
  <c r="G796" i="20" s="1"/>
  <c r="F403" i="20"/>
  <c r="G403" i="20" s="1"/>
  <c r="F276" i="20"/>
  <c r="G276" i="20" s="1"/>
  <c r="F16" i="20"/>
  <c r="E40" i="12" s="1"/>
  <c r="F510" i="20"/>
  <c r="G510" i="20" s="1"/>
  <c r="F827" i="20"/>
  <c r="G827" i="20" s="1"/>
  <c r="F159" i="20"/>
  <c r="G159" i="20" s="1"/>
  <c r="F188" i="20"/>
  <c r="G188" i="20" s="1"/>
  <c r="F785" i="20"/>
  <c r="G785" i="20" s="1"/>
  <c r="F871" i="20"/>
  <c r="G871" i="20" s="1"/>
  <c r="F418" i="20"/>
  <c r="G418" i="20" s="1"/>
  <c r="F64" i="20"/>
  <c r="G64" i="20" s="1"/>
  <c r="F576" i="20"/>
  <c r="G576" i="20" s="1"/>
  <c r="F747" i="20"/>
  <c r="G747" i="20" s="1"/>
  <c r="F199" i="20"/>
  <c r="G199" i="20" s="1"/>
  <c r="F353" i="20"/>
  <c r="G353" i="20" s="1"/>
  <c r="F334" i="20"/>
  <c r="G334" i="20" s="1"/>
  <c r="F490" i="20"/>
  <c r="G490" i="20" s="1"/>
  <c r="F174" i="20"/>
  <c r="G174" i="20" s="1"/>
  <c r="F626" i="20"/>
  <c r="G626" i="20" s="1"/>
  <c r="F28" i="20"/>
  <c r="G28" i="20" s="1"/>
  <c r="F312" i="20"/>
  <c r="G312" i="20" s="1"/>
  <c r="F571" i="20"/>
  <c r="G571" i="20" s="1"/>
  <c r="F577" i="20"/>
  <c r="G577" i="20" s="1"/>
  <c r="F866" i="20"/>
  <c r="G866" i="20" s="1"/>
  <c r="F81" i="20"/>
  <c r="E55" i="12" s="1"/>
  <c r="F649" i="20"/>
  <c r="G649" i="20" s="1"/>
  <c r="F262" i="20"/>
  <c r="G262" i="20" s="1"/>
  <c r="F668" i="20"/>
  <c r="G668" i="20" s="1"/>
  <c r="F342" i="20"/>
  <c r="E45" i="12" s="1"/>
  <c r="F811" i="20"/>
  <c r="G811" i="20" s="1"/>
  <c r="F285" i="20"/>
  <c r="G285" i="20" s="1"/>
  <c r="F358" i="20"/>
  <c r="G358" i="20" s="1"/>
  <c r="F392" i="20"/>
  <c r="G392" i="20" s="1"/>
  <c r="F535" i="20"/>
  <c r="G535" i="20" s="1"/>
  <c r="F309" i="20"/>
  <c r="G309" i="20" s="1"/>
  <c r="F337" i="20"/>
  <c r="G337" i="20" s="1"/>
  <c r="F186" i="20"/>
  <c r="G186" i="20" s="1"/>
  <c r="F630" i="20"/>
  <c r="G630" i="20" s="1"/>
  <c r="F180" i="20"/>
  <c r="G180" i="20" s="1"/>
  <c r="F204" i="20"/>
  <c r="G204" i="20" s="1"/>
  <c r="F689" i="20"/>
  <c r="G689" i="20" s="1"/>
  <c r="F271" i="20"/>
  <c r="G271" i="20" s="1"/>
  <c r="F264" i="20"/>
  <c r="G264" i="20" s="1"/>
  <c r="F198" i="20"/>
  <c r="G198" i="20" s="1"/>
  <c r="F203" i="20"/>
  <c r="G203" i="20" s="1"/>
  <c r="F766" i="20"/>
  <c r="G766" i="20" s="1"/>
  <c r="F43" i="20"/>
  <c r="E32" i="12" s="1"/>
  <c r="F389" i="20"/>
  <c r="G389" i="20" s="1"/>
  <c r="F545" i="20"/>
  <c r="G545" i="20" s="1"/>
  <c r="F553" i="20"/>
  <c r="G553" i="20" s="1"/>
  <c r="F708" i="20"/>
  <c r="G708" i="20" s="1"/>
  <c r="F456" i="20"/>
  <c r="G456" i="20" s="1"/>
  <c r="F816" i="20"/>
  <c r="G816" i="20" s="1"/>
  <c r="F372" i="20"/>
  <c r="G372" i="20" s="1"/>
  <c r="F301" i="20"/>
  <c r="G301" i="20" s="1"/>
  <c r="F298" i="20"/>
  <c r="G298" i="20" s="1"/>
  <c r="F783" i="20"/>
  <c r="G783" i="20" s="1"/>
  <c r="F869" i="20"/>
  <c r="G869" i="20" s="1"/>
  <c r="F488" i="20"/>
  <c r="G488" i="20" s="1"/>
  <c r="F228" i="20"/>
  <c r="G228" i="20" s="1"/>
  <c r="F84" i="20"/>
  <c r="G84" i="20" s="1"/>
  <c r="F829" i="20"/>
  <c r="G829" i="20" s="1"/>
  <c r="F327" i="20"/>
  <c r="G327" i="20" s="1"/>
  <c r="F826" i="20"/>
  <c r="G826" i="20" s="1"/>
  <c r="F670" i="20"/>
  <c r="G670" i="20" s="1"/>
  <c r="F536" i="20"/>
  <c r="G536" i="20" s="1"/>
  <c r="F158" i="20"/>
  <c r="G158" i="20" s="1"/>
  <c r="F13" i="20"/>
  <c r="E42" i="12" s="1"/>
  <c r="F700" i="20"/>
  <c r="G700" i="20" s="1"/>
  <c r="F492" i="20"/>
  <c r="G492" i="20" s="1"/>
  <c r="F112" i="20"/>
  <c r="G112" i="20" s="1"/>
  <c r="F483" i="20"/>
  <c r="G483" i="20" s="1"/>
  <c r="F696" i="20"/>
  <c r="G696" i="20" s="1"/>
  <c r="F429" i="20"/>
  <c r="G429" i="20" s="1"/>
  <c r="F426" i="20"/>
  <c r="G426" i="20" s="1"/>
  <c r="F89" i="20"/>
  <c r="G89" i="20" s="1"/>
  <c r="F407" i="20"/>
  <c r="G407" i="20" s="1"/>
  <c r="F275" i="20"/>
  <c r="G275" i="20" s="1"/>
  <c r="F356" i="20"/>
  <c r="G356" i="20" s="1"/>
  <c r="F93" i="20"/>
  <c r="E64" i="12" s="1"/>
  <c r="F390" i="20"/>
  <c r="G390" i="20" s="1"/>
  <c r="F767" i="20"/>
  <c r="G767" i="20" s="1"/>
  <c r="F675" i="20"/>
  <c r="G675" i="20" s="1"/>
  <c r="F108" i="20"/>
  <c r="G108" i="20" s="1"/>
  <c r="F110" i="20"/>
  <c r="G110" i="20" s="1"/>
  <c r="F235" i="20"/>
  <c r="G235" i="20" s="1"/>
  <c r="F317" i="20"/>
  <c r="G317" i="20" s="1"/>
  <c r="F473" i="20"/>
  <c r="G473" i="20" s="1"/>
  <c r="F391" i="20"/>
  <c r="G391" i="20" s="1"/>
  <c r="F764" i="20"/>
  <c r="G764" i="20" s="1"/>
  <c r="F187" i="20"/>
  <c r="G187" i="20" s="1"/>
  <c r="F218" i="20"/>
  <c r="G218" i="20" s="1"/>
  <c r="F512" i="20"/>
  <c r="G512" i="20" s="1"/>
  <c r="F824" i="20"/>
  <c r="G824" i="20" s="1"/>
  <c r="F516" i="20"/>
  <c r="G516" i="20" s="1"/>
  <c r="F521" i="20"/>
  <c r="G521" i="20" s="1"/>
  <c r="F511" i="20"/>
  <c r="G511" i="20" s="1"/>
  <c r="F686" i="20"/>
  <c r="G686" i="20" s="1"/>
  <c r="F232" i="20"/>
  <c r="G232" i="20" s="1"/>
  <c r="F386" i="20"/>
  <c r="G386" i="20" s="1"/>
  <c r="F49" i="20"/>
  <c r="G49" i="20" s="1"/>
  <c r="F302" i="20"/>
  <c r="G302" i="20" s="1"/>
  <c r="F572" i="20"/>
  <c r="G572" i="20" s="1"/>
  <c r="F117" i="20"/>
  <c r="G117" i="20" s="1"/>
  <c r="F346" i="20"/>
  <c r="E49" i="12" s="1"/>
  <c r="F293" i="20"/>
  <c r="G293" i="20" s="1"/>
  <c r="F658" i="20"/>
  <c r="G658" i="20" s="1"/>
  <c r="F40" i="20"/>
  <c r="E35" i="12" s="1"/>
  <c r="F387" i="20"/>
  <c r="G387" i="20" s="1"/>
  <c r="F478" i="20"/>
  <c r="G478" i="20" s="1"/>
  <c r="F331" i="20"/>
  <c r="G331" i="20" s="1"/>
  <c r="F833" i="20"/>
  <c r="G833" i="20" s="1"/>
  <c r="F759" i="20"/>
  <c r="G759" i="20" s="1"/>
  <c r="F261" i="20"/>
  <c r="G261" i="20" s="1"/>
  <c r="F495" i="20"/>
  <c r="G495" i="20" s="1"/>
  <c r="F865" i="20"/>
  <c r="G865" i="20" s="1"/>
  <c r="F659" i="20"/>
  <c r="G659" i="20" s="1"/>
  <c r="F792" i="20"/>
  <c r="G792" i="20" s="1"/>
  <c r="F430" i="20"/>
  <c r="G430" i="20" s="1"/>
  <c r="F776" i="20"/>
  <c r="G776" i="20" s="1"/>
  <c r="F448" i="20"/>
  <c r="G448" i="20" s="1"/>
  <c r="F307" i="20"/>
  <c r="G307" i="20" s="1"/>
  <c r="F563" i="20"/>
  <c r="G563" i="20" s="1"/>
  <c r="F173" i="20"/>
  <c r="G173" i="20" s="1"/>
  <c r="F597" i="20"/>
  <c r="G597" i="20" s="1"/>
  <c r="F613" i="20"/>
  <c r="G613" i="20" s="1"/>
  <c r="F676" i="20"/>
  <c r="G676" i="20" s="1"/>
  <c r="F411" i="20"/>
  <c r="G411" i="20" s="1"/>
  <c r="F781" i="20"/>
  <c r="G781" i="20" s="1"/>
  <c r="F145" i="20"/>
  <c r="G145" i="20" s="1"/>
  <c r="F23" i="20"/>
  <c r="G23" i="20" s="1"/>
  <c r="F723" i="20"/>
  <c r="G723" i="20" s="1"/>
  <c r="F596" i="20"/>
  <c r="G596" i="20" s="1"/>
  <c r="F653" i="20"/>
  <c r="G653" i="20" s="1"/>
  <c r="F733" i="20"/>
  <c r="G733" i="20" s="1"/>
  <c r="F161" i="20"/>
  <c r="G161" i="20" s="1"/>
  <c r="F794" i="20"/>
  <c r="G794" i="20" s="1"/>
  <c r="F142" i="20"/>
  <c r="G142" i="20" s="1"/>
  <c r="F636" i="20"/>
  <c r="G636" i="20" s="1"/>
  <c r="F95" i="20"/>
  <c r="G95" i="20" s="1"/>
  <c r="F750" i="20"/>
  <c r="G750" i="20" s="1"/>
  <c r="F736" i="20"/>
  <c r="G736" i="20" s="1"/>
  <c r="F480" i="20"/>
  <c r="G480" i="20" s="1"/>
  <c r="F843" i="20"/>
  <c r="G843" i="20" s="1"/>
  <c r="F565" i="20"/>
  <c r="G565" i="20" s="1"/>
  <c r="F487" i="20"/>
  <c r="G487" i="20" s="1"/>
  <c r="F208" i="20"/>
  <c r="G208" i="20" s="1"/>
  <c r="F524" i="20"/>
  <c r="G524" i="20" s="1"/>
  <c r="F345" i="20"/>
  <c r="E48" i="12" s="1"/>
  <c r="F269" i="20"/>
  <c r="G269" i="20" s="1"/>
  <c r="F814" i="20"/>
  <c r="G814" i="20" s="1"/>
  <c r="F237" i="20"/>
  <c r="G237" i="20" s="1"/>
  <c r="F370" i="20"/>
  <c r="G370" i="20" s="1"/>
  <c r="F806" i="20"/>
  <c r="G806" i="20" s="1"/>
  <c r="F789" i="20"/>
  <c r="G789" i="20" s="1"/>
  <c r="F688" i="20"/>
  <c r="G688" i="20" s="1"/>
  <c r="F514" i="20"/>
  <c r="G514" i="20" s="1"/>
  <c r="F384" i="20"/>
  <c r="G384" i="20" s="1"/>
  <c r="F422" i="20"/>
  <c r="G422" i="20" s="1"/>
  <c r="F749" i="20"/>
  <c r="G749" i="20" s="1"/>
  <c r="F379" i="20"/>
  <c r="G379" i="20" s="1"/>
  <c r="F503" i="20"/>
  <c r="G503" i="20" s="1"/>
  <c r="F534" i="20"/>
  <c r="G534" i="20" s="1"/>
  <c r="F852" i="20"/>
  <c r="G852" i="20" s="1"/>
  <c r="F114" i="20"/>
  <c r="G114" i="20" s="1"/>
  <c r="F805" i="20"/>
  <c r="G805" i="20" s="1"/>
  <c r="F728" i="20"/>
  <c r="G728" i="20" s="1"/>
  <c r="F135" i="20"/>
  <c r="G135" i="20" s="1"/>
  <c r="F175" i="20"/>
  <c r="G175" i="20" s="1"/>
  <c r="F111" i="20"/>
  <c r="G111" i="20" s="1"/>
  <c r="F223" i="20"/>
  <c r="G223" i="20" s="1"/>
  <c r="F101" i="20"/>
  <c r="G101" i="20" s="1"/>
  <c r="F650" i="20"/>
  <c r="G650" i="20" s="1"/>
  <c r="F153" i="20"/>
  <c r="G153" i="20" s="1"/>
  <c r="F60" i="20"/>
  <c r="G60" i="20" s="1"/>
  <c r="F167" i="20"/>
  <c r="G167" i="20" s="1"/>
  <c r="F848" i="20"/>
  <c r="G848" i="20" s="1"/>
  <c r="F193" i="20"/>
  <c r="G193" i="20" s="1"/>
  <c r="F679" i="20"/>
  <c r="G679" i="20" s="1"/>
  <c r="F103" i="20"/>
  <c r="G103" i="20" s="1"/>
  <c r="F730" i="20"/>
  <c r="G730" i="20" s="1"/>
  <c r="F355" i="20"/>
  <c r="G355" i="20" s="1"/>
  <c r="F825" i="20"/>
  <c r="G825" i="20" s="1"/>
  <c r="F609" i="20"/>
  <c r="G609" i="20" s="1"/>
  <c r="F639" i="20"/>
  <c r="G639" i="20" s="1"/>
  <c r="F797" i="20"/>
  <c r="G797" i="20" s="1"/>
  <c r="F744" i="20"/>
  <c r="G744" i="20" s="1"/>
  <c r="F464" i="20"/>
  <c r="G464" i="20" s="1"/>
  <c r="F192" i="20"/>
  <c r="G192" i="20" s="1"/>
  <c r="F819" i="20"/>
  <c r="G819" i="20" s="1"/>
  <c r="F663" i="20"/>
  <c r="G663" i="20" s="1"/>
  <c r="F624" i="20"/>
  <c r="G624" i="20" s="1"/>
  <c r="F344" i="20"/>
  <c r="E47" i="12" s="1"/>
  <c r="F802" i="20"/>
  <c r="G802" i="20" s="1"/>
  <c r="F338" i="20"/>
  <c r="G338" i="20" s="1"/>
  <c r="F335" i="20"/>
  <c r="G335" i="20" s="1"/>
  <c r="F662" i="20"/>
  <c r="G662" i="20" s="1"/>
  <c r="F306" i="20"/>
  <c r="G306" i="20" s="1"/>
  <c r="F598" i="20"/>
  <c r="G598" i="20" s="1"/>
  <c r="F793" i="20"/>
  <c r="G793" i="20" s="1"/>
  <c r="F594" i="20"/>
  <c r="G594" i="20" s="1"/>
  <c r="F436" i="20"/>
  <c r="G436" i="20" s="1"/>
  <c r="F313" i="20"/>
  <c r="G313" i="20" s="1"/>
  <c r="F546" i="20"/>
  <c r="G546" i="20" s="1"/>
  <c r="F735" i="20"/>
  <c r="G735" i="20" s="1"/>
  <c r="F769" i="20"/>
  <c r="G769" i="20" s="1"/>
  <c r="F146" i="20"/>
  <c r="G146" i="20" s="1"/>
  <c r="F566" i="20"/>
  <c r="G566" i="20" s="1"/>
  <c r="F671" i="20"/>
  <c r="G671" i="20" s="1"/>
  <c r="F858" i="20"/>
  <c r="G858" i="20" s="1"/>
  <c r="F569" i="20"/>
  <c r="G569" i="20" s="1"/>
  <c r="F579" i="20"/>
  <c r="G579" i="20" s="1"/>
  <c r="F206" i="20"/>
  <c r="G206" i="20" s="1"/>
  <c r="F627" i="20"/>
  <c r="G627" i="20" s="1"/>
  <c r="F227" i="20"/>
  <c r="G227" i="20" s="1"/>
  <c r="F603" i="20"/>
  <c r="G603" i="20" s="1"/>
  <c r="F471" i="20"/>
  <c r="G471" i="20" s="1"/>
  <c r="F721" i="20"/>
  <c r="G721" i="20" s="1"/>
  <c r="F402" i="20"/>
  <c r="G402" i="20" s="1"/>
  <c r="F143" i="20"/>
  <c r="G143" i="20" s="1"/>
  <c r="F779" i="20"/>
  <c r="G779" i="20" s="1"/>
  <c r="F454" i="20"/>
  <c r="G454" i="20" s="1"/>
  <c r="F98" i="20"/>
  <c r="G98" i="20" s="1"/>
  <c r="F76" i="20"/>
  <c r="G76" i="20" s="1"/>
  <c r="F263" i="20"/>
  <c r="G263" i="20" s="1"/>
  <c r="F697" i="20"/>
  <c r="G697" i="20" s="1"/>
  <c r="F867" i="20"/>
  <c r="G867" i="20" s="1"/>
  <c r="F494" i="20"/>
  <c r="G494" i="20" s="1"/>
  <c r="F20" i="20"/>
  <c r="G20" i="20" s="1"/>
  <c r="F611" i="20"/>
  <c r="G611" i="20" s="1"/>
  <c r="F383" i="20"/>
  <c r="G383" i="20" s="1"/>
  <c r="K6" i="4"/>
  <c r="L6" i="4"/>
  <c r="J6" i="4"/>
  <c r="I27" i="4"/>
  <c r="I28" i="4" s="1"/>
  <c r="H77" i="4"/>
  <c r="F76" i="4"/>
  <c r="J39" i="4"/>
  <c r="I38" i="4"/>
  <c r="H78" i="4"/>
  <c r="I78" i="4" s="1"/>
  <c r="J78" i="4" s="1"/>
  <c r="F71" i="4"/>
  <c r="G27" i="4"/>
  <c r="G28" i="4" s="1"/>
  <c r="J42" i="4"/>
  <c r="I41" i="4"/>
  <c r="J41" i="4" s="1"/>
  <c r="G116" i="4"/>
  <c r="G295" i="4"/>
  <c r="G297" i="4" s="1"/>
  <c r="I45" i="4"/>
  <c r="I52" i="4"/>
  <c r="J52" i="4" s="1"/>
  <c r="H63" i="4"/>
  <c r="I63" i="4" s="1"/>
  <c r="J63" i="4" s="1"/>
  <c r="I123" i="4"/>
  <c r="I116" i="4" s="1"/>
  <c r="I125" i="4" s="1"/>
  <c r="I126" i="4" s="1"/>
  <c r="I127" i="4" s="1"/>
  <c r="F59" i="4"/>
  <c r="G124" i="4"/>
  <c r="G200" i="4"/>
  <c r="G209" i="4" s="1"/>
  <c r="G210" i="4" s="1"/>
  <c r="G211" i="4" s="1"/>
  <c r="F75" i="4"/>
  <c r="I200" i="4"/>
  <c r="I209" i="4" s="1"/>
  <c r="I210" i="4" s="1"/>
  <c r="I211" i="4" s="1"/>
  <c r="F68" i="4"/>
  <c r="F57" i="4"/>
  <c r="F74" i="4"/>
  <c r="F332" i="4"/>
  <c r="F329" i="4"/>
  <c r="F330" i="4"/>
  <c r="F336" i="4"/>
  <c r="F334" i="4"/>
  <c r="F331" i="4"/>
  <c r="F335" i="4"/>
  <c r="F333" i="4"/>
  <c r="F66" i="4" l="1"/>
  <c r="F67" i="4"/>
  <c r="H36" i="4"/>
  <c r="I36" i="4" s="1"/>
  <c r="H47" i="4"/>
  <c r="I47" i="4" s="1"/>
  <c r="K54" i="12"/>
  <c r="I54" i="12"/>
  <c r="K56" i="12"/>
  <c r="I56" i="12"/>
  <c r="K46" i="12"/>
  <c r="I46" i="12"/>
  <c r="I37" i="12"/>
  <c r="K37" i="12"/>
  <c r="I27" i="12"/>
  <c r="I47" i="12"/>
  <c r="K47" i="12"/>
  <c r="K48" i="12"/>
  <c r="I48" i="12"/>
  <c r="I49" i="12"/>
  <c r="K49" i="12"/>
  <c r="I45" i="12"/>
  <c r="K45" i="12"/>
  <c r="I55" i="12"/>
  <c r="K55" i="12"/>
  <c r="K44" i="12"/>
  <c r="I44" i="12"/>
  <c r="I39" i="12"/>
  <c r="K39" i="12"/>
  <c r="I53" i="12"/>
  <c r="K53" i="12"/>
  <c r="K59" i="12"/>
  <c r="I59" i="12"/>
  <c r="I31" i="12"/>
  <c r="K31" i="12"/>
  <c r="K63" i="12"/>
  <c r="I63" i="12"/>
  <c r="I35" i="12"/>
  <c r="K35" i="12"/>
  <c r="I64" i="12"/>
  <c r="K64" i="12"/>
  <c r="K42" i="12"/>
  <c r="I42" i="12"/>
  <c r="I60" i="12"/>
  <c r="K60" i="12"/>
  <c r="K52" i="12"/>
  <c r="I52" i="12"/>
  <c r="I58" i="12"/>
  <c r="K58" i="12"/>
  <c r="K38" i="12"/>
  <c r="I38" i="12"/>
  <c r="K50" i="12"/>
  <c r="I50" i="12"/>
  <c r="I51" i="12"/>
  <c r="K51" i="12"/>
  <c r="I41" i="12"/>
  <c r="K41" i="12"/>
  <c r="I33" i="12"/>
  <c r="K33" i="12"/>
  <c r="K27" i="12"/>
  <c r="G11" i="16" s="1"/>
  <c r="G10" i="16" s="1"/>
  <c r="K32" i="12"/>
  <c r="I32" i="12"/>
  <c r="K40" i="12"/>
  <c r="I40" i="12"/>
  <c r="K61" i="12"/>
  <c r="I61" i="12"/>
  <c r="I62" i="12"/>
  <c r="K62" i="12"/>
  <c r="K34" i="12"/>
  <c r="I34" i="12"/>
  <c r="I43" i="12"/>
  <c r="K43" i="12"/>
  <c r="G296" i="4"/>
  <c r="G298" i="4"/>
  <c r="I48" i="4"/>
  <c r="J48" i="4" s="1"/>
  <c r="J49" i="4"/>
  <c r="F177" i="4"/>
  <c r="F178" i="4"/>
  <c r="F179" i="4"/>
  <c r="F175" i="4"/>
  <c r="F182" i="4"/>
  <c r="L182" i="4" s="1"/>
  <c r="F176" i="4"/>
  <c r="F180" i="4"/>
  <c r="F181" i="4"/>
  <c r="G360" i="20"/>
  <c r="F174" i="4"/>
  <c r="H76" i="4"/>
  <c r="L157" i="4"/>
  <c r="G244" i="20"/>
  <c r="F162" i="4"/>
  <c r="F185" i="4"/>
  <c r="F170" i="4"/>
  <c r="F191" i="4"/>
  <c r="F192" i="4"/>
  <c r="F164" i="4"/>
  <c r="F173" i="4"/>
  <c r="F169" i="4"/>
  <c r="F188" i="4"/>
  <c r="F168" i="4"/>
  <c r="F167" i="4"/>
  <c r="F171" i="4"/>
  <c r="F163" i="4"/>
  <c r="F165" i="4"/>
  <c r="F194" i="4"/>
  <c r="F172" i="4"/>
  <c r="F187" i="4"/>
  <c r="F184" i="4"/>
  <c r="F190" i="4"/>
  <c r="F186" i="4"/>
  <c r="F183" i="4"/>
  <c r="F189" i="4"/>
  <c r="F161" i="4"/>
  <c r="F193" i="4"/>
  <c r="G93" i="20"/>
  <c r="G87" i="20"/>
  <c r="G92" i="20"/>
  <c r="J157" i="4"/>
  <c r="G88" i="20"/>
  <c r="G90" i="20"/>
  <c r="G344" i="20"/>
  <c r="G345" i="20"/>
  <c r="G346" i="20"/>
  <c r="G342" i="20"/>
  <c r="G81" i="20"/>
  <c r="G340" i="20"/>
  <c r="G85" i="20"/>
  <c r="G343" i="20"/>
  <c r="G347" i="20"/>
  <c r="G349" i="20"/>
  <c r="G83" i="20"/>
  <c r="G71" i="20"/>
  <c r="G80" i="20"/>
  <c r="G55" i="20"/>
  <c r="G86" i="20"/>
  <c r="G43" i="20"/>
  <c r="G16" i="20"/>
  <c r="G41" i="20"/>
  <c r="G12" i="20"/>
  <c r="G15" i="20"/>
  <c r="G36" i="20"/>
  <c r="G38" i="20"/>
  <c r="G14" i="20"/>
  <c r="G42" i="20"/>
  <c r="G40" i="20"/>
  <c r="G13" i="20"/>
  <c r="G45" i="20"/>
  <c r="M6" i="4"/>
  <c r="I212" i="4"/>
  <c r="I213" i="4" s="1"/>
  <c r="G212" i="4"/>
  <c r="G213" i="4" s="1"/>
  <c r="F73" i="4"/>
  <c r="H74" i="4"/>
  <c r="I74" i="4" s="1"/>
  <c r="I44" i="4"/>
  <c r="J44" i="4" s="1"/>
  <c r="J45" i="4"/>
  <c r="G125" i="4"/>
  <c r="G126" i="4" s="1"/>
  <c r="G127" i="4" s="1"/>
  <c r="J47" i="4"/>
  <c r="H57" i="4"/>
  <c r="I57" i="4" s="1"/>
  <c r="H66" i="4"/>
  <c r="I66" i="4" s="1"/>
  <c r="J66" i="4" s="1"/>
  <c r="E66" i="4"/>
  <c r="H71" i="4"/>
  <c r="I71" i="4" s="1"/>
  <c r="J71" i="4" s="1"/>
  <c r="H68" i="4"/>
  <c r="I68" i="4" s="1"/>
  <c r="J68" i="4" s="1"/>
  <c r="F58" i="4"/>
  <c r="H59" i="4"/>
  <c r="H70" i="4"/>
  <c r="I70" i="4" s="1"/>
  <c r="J70" i="4" s="1"/>
  <c r="I77" i="4"/>
  <c r="H75" i="4"/>
  <c r="I75" i="4" s="1"/>
  <c r="J75" i="4" s="1"/>
  <c r="I128" i="4"/>
  <c r="I129" i="4" s="1"/>
  <c r="E67" i="4"/>
  <c r="H67" i="4"/>
  <c r="I67" i="4" s="1"/>
  <c r="J67" i="4" s="1"/>
  <c r="J38" i="4"/>
  <c r="I37" i="4"/>
  <c r="J37" i="4" s="1"/>
  <c r="G299" i="4" l="1"/>
  <c r="G300" i="4" s="1"/>
  <c r="G301" i="4" s="1"/>
  <c r="G302" i="4" s="1"/>
  <c r="G7" i="16"/>
  <c r="G6" i="16" s="1"/>
  <c r="K65" i="12"/>
  <c r="E11" i="16" s="1"/>
  <c r="E10" i="16" s="1"/>
  <c r="I65" i="12"/>
  <c r="J182" i="4"/>
  <c r="J193" i="4"/>
  <c r="L193" i="4"/>
  <c r="J190" i="4"/>
  <c r="L190" i="4"/>
  <c r="J194" i="4"/>
  <c r="L194" i="4"/>
  <c r="J192" i="4"/>
  <c r="L192" i="4"/>
  <c r="J191" i="4"/>
  <c r="L191" i="4"/>
  <c r="J183" i="4"/>
  <c r="L183" i="4"/>
  <c r="J184" i="4"/>
  <c r="L184" i="4"/>
  <c r="L181" i="4"/>
  <c r="J181" i="4"/>
  <c r="J176" i="4"/>
  <c r="L176" i="4"/>
  <c r="J174" i="4"/>
  <c r="L174" i="4"/>
  <c r="J175" i="4"/>
  <c r="L175" i="4"/>
  <c r="J178" i="4"/>
  <c r="L178" i="4"/>
  <c r="J189" i="4"/>
  <c r="L189" i="4"/>
  <c r="J186" i="4"/>
  <c r="L186" i="4"/>
  <c r="J180" i="4"/>
  <c r="L180" i="4"/>
  <c r="J188" i="4"/>
  <c r="L188" i="4"/>
  <c r="J185" i="4"/>
  <c r="L185" i="4"/>
  <c r="J179" i="4"/>
  <c r="L179" i="4"/>
  <c r="J177" i="4"/>
  <c r="L177" i="4"/>
  <c r="J161" i="4"/>
  <c r="L161" i="4"/>
  <c r="J165" i="4"/>
  <c r="L165" i="4"/>
  <c r="J171" i="4"/>
  <c r="L171" i="4"/>
  <c r="J168" i="4"/>
  <c r="L168" i="4"/>
  <c r="J173" i="4"/>
  <c r="L173" i="4"/>
  <c r="J170" i="4"/>
  <c r="L170" i="4"/>
  <c r="J172" i="4"/>
  <c r="L172" i="4"/>
  <c r="J163" i="4"/>
  <c r="L163" i="4"/>
  <c r="J167" i="4"/>
  <c r="L167" i="4"/>
  <c r="J169" i="4"/>
  <c r="L169" i="4"/>
  <c r="J164" i="4"/>
  <c r="L164" i="4"/>
  <c r="J162" i="4"/>
  <c r="L162" i="4"/>
  <c r="H58" i="4"/>
  <c r="I58" i="4" s="1"/>
  <c r="J58" i="4" s="1"/>
  <c r="J57" i="4"/>
  <c r="I59" i="4"/>
  <c r="J59" i="4" s="1"/>
  <c r="H73" i="4"/>
  <c r="J74" i="4"/>
  <c r="I76" i="4"/>
  <c r="J76" i="4" s="1"/>
  <c r="J77" i="4"/>
  <c r="G128" i="4"/>
  <c r="G129" i="4" s="1"/>
  <c r="E7" i="16" l="1"/>
  <c r="E6" i="16" s="1"/>
  <c r="L195" i="4"/>
  <c r="J195" i="4"/>
  <c r="I73" i="4"/>
  <c r="J73" i="4" s="1"/>
  <c r="I79" i="4" l="1"/>
  <c r="J79" i="4" s="1"/>
  <c r="D318" i="4"/>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3" i="6"/>
  <c r="AB4" i="6" l="1"/>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3" i="6"/>
  <c r="D24" i="6"/>
  <c r="D25" i="6" s="1"/>
  <c r="D19" i="6"/>
  <c r="B16" i="6"/>
  <c r="B15" i="6"/>
  <c r="E15" i="6" s="1"/>
  <c r="B14" i="6"/>
  <c r="E14" i="6" s="1"/>
  <c r="C10" i="6"/>
  <c r="C9" i="6"/>
  <c r="E16" i="6" l="1"/>
  <c r="G427" i="23" l="1"/>
  <c r="J427" i="23" s="1"/>
  <c r="E427" i="23"/>
  <c r="D427" i="23"/>
  <c r="C427" i="23"/>
  <c r="G426" i="23"/>
  <c r="J426" i="23" s="1"/>
  <c r="E426" i="23"/>
  <c r="D426" i="23"/>
  <c r="C426" i="23"/>
  <c r="G425" i="23"/>
  <c r="J425" i="23" s="1"/>
  <c r="E425" i="23"/>
  <c r="D425" i="23"/>
  <c r="C425" i="23"/>
  <c r="G424" i="23"/>
  <c r="J424" i="23" s="1"/>
  <c r="E424" i="23"/>
  <c r="D424" i="23"/>
  <c r="C424" i="23"/>
  <c r="G421" i="23"/>
  <c r="E421" i="23"/>
  <c r="D421" i="23"/>
  <c r="C421" i="23"/>
  <c r="G420" i="23"/>
  <c r="J420" i="23" s="1"/>
  <c r="E420" i="23"/>
  <c r="D420" i="23"/>
  <c r="C420" i="23"/>
  <c r="I419" i="23"/>
  <c r="L419" i="23" s="1"/>
  <c r="G419" i="23"/>
  <c r="J419" i="23" s="1"/>
  <c r="E419" i="23"/>
  <c r="D419" i="23"/>
  <c r="C419" i="23"/>
  <c r="N418" i="23"/>
  <c r="N423" i="23" s="1"/>
  <c r="M418" i="23"/>
  <c r="M422" i="23" l="1"/>
  <c r="M423" i="23"/>
  <c r="N419" i="23"/>
  <c r="N422" i="23"/>
  <c r="M427" i="23"/>
  <c r="M425" i="23"/>
  <c r="M426" i="23"/>
  <c r="M419" i="23"/>
  <c r="M420" i="23"/>
  <c r="M421" i="23"/>
  <c r="M424" i="23"/>
  <c r="N427" i="23"/>
  <c r="N426" i="23"/>
  <c r="N425" i="23"/>
  <c r="N424" i="23"/>
  <c r="N421" i="23"/>
  <c r="N420" i="23"/>
  <c r="J421" i="23"/>
  <c r="J418" i="23" s="1"/>
  <c r="G669" i="1" l="1"/>
  <c r="I36" i="2" s="1"/>
  <c r="L36" i="2" s="1"/>
  <c r="G148" i="29" l="1"/>
  <c r="G147" i="29"/>
  <c r="G146" i="29"/>
  <c r="G144" i="29"/>
  <c r="G143" i="29"/>
  <c r="G142" i="29"/>
  <c r="G141" i="29"/>
  <c r="G133" i="29"/>
  <c r="G132" i="29"/>
  <c r="G131" i="29"/>
  <c r="G130" i="29"/>
  <c r="G129" i="29"/>
  <c r="G128" i="29"/>
  <c r="G127" i="29"/>
  <c r="G126" i="29"/>
  <c r="G125" i="29"/>
  <c r="G124" i="29"/>
  <c r="G183" i="29" s="1"/>
  <c r="G123" i="29"/>
  <c r="G182" i="29" s="1"/>
  <c r="G122" i="29"/>
  <c r="G181" i="29" s="1"/>
  <c r="G121" i="29"/>
  <c r="G180" i="29" s="1"/>
  <c r="G120" i="29"/>
  <c r="G179" i="29" s="1"/>
  <c r="G119" i="29"/>
  <c r="G178" i="29" s="1"/>
  <c r="G118" i="29"/>
  <c r="G177" i="29" s="1"/>
  <c r="G87" i="29"/>
  <c r="G88" i="29"/>
  <c r="G89" i="29"/>
  <c r="G90" i="29"/>
  <c r="G91" i="29"/>
  <c r="G92" i="29"/>
  <c r="G93" i="29"/>
  <c r="G94" i="29"/>
  <c r="G95" i="29"/>
  <c r="G96" i="29"/>
  <c r="G97" i="29"/>
  <c r="R97" i="29" s="1"/>
  <c r="G98" i="29"/>
  <c r="G99" i="29"/>
  <c r="G100" i="29"/>
  <c r="G101" i="29"/>
  <c r="G102" i="29"/>
  <c r="G103" i="29"/>
  <c r="G104" i="29"/>
  <c r="G105" i="29"/>
  <c r="G108" i="29"/>
  <c r="G109" i="29"/>
  <c r="R109" i="29" s="1"/>
  <c r="G110" i="29"/>
  <c r="G111" i="29"/>
  <c r="G112" i="29"/>
  <c r="G113" i="29"/>
  <c r="G114" i="29"/>
  <c r="G40" i="29"/>
  <c r="G41" i="29"/>
  <c r="G42" i="29"/>
  <c r="G43" i="29"/>
  <c r="G63" i="29"/>
  <c r="G155" i="29" s="1"/>
  <c r="G64" i="29"/>
  <c r="G156" i="29" s="1"/>
  <c r="G65" i="29"/>
  <c r="G157" i="29" s="1"/>
  <c r="G66" i="29"/>
  <c r="G158" i="29" s="1"/>
  <c r="G67" i="29"/>
  <c r="G159" i="29" s="1"/>
  <c r="G68" i="29"/>
  <c r="G160" i="29" s="1"/>
  <c r="G69" i="29"/>
  <c r="G161" i="29" s="1"/>
  <c r="G70" i="29"/>
  <c r="G162" i="29" s="1"/>
  <c r="G71" i="29"/>
  <c r="G74" i="29"/>
  <c r="G165" i="29" s="1"/>
  <c r="G76" i="29"/>
  <c r="G167" i="29" s="1"/>
  <c r="G77" i="29"/>
  <c r="G168" i="29" s="1"/>
  <c r="G78" i="29"/>
  <c r="G169" i="29" s="1"/>
  <c r="G79" i="29"/>
  <c r="G170" i="29" s="1"/>
  <c r="G80" i="29"/>
  <c r="G171" i="29" s="1"/>
  <c r="G81" i="29"/>
  <c r="G172" i="29" s="1"/>
  <c r="G82" i="29"/>
  <c r="G83" i="29"/>
  <c r="G84" i="29"/>
  <c r="G85" i="29"/>
  <c r="G86" i="29"/>
  <c r="G7" i="29"/>
  <c r="G8" i="29"/>
  <c r="G9" i="29"/>
  <c r="G10" i="29"/>
  <c r="R31" i="29"/>
  <c r="R32" i="29"/>
  <c r="G33" i="29"/>
  <c r="G34" i="29"/>
  <c r="G35" i="29"/>
  <c r="G36" i="29"/>
  <c r="G37" i="29"/>
  <c r="G38" i="29"/>
  <c r="G39" i="29"/>
  <c r="I100" i="29"/>
  <c r="M69" i="29"/>
  <c r="M70" i="29"/>
  <c r="M71" i="29"/>
  <c r="M7" i="29"/>
  <c r="M8" i="29"/>
  <c r="M9" i="29"/>
  <c r="M10" i="29"/>
  <c r="M11" i="29"/>
  <c r="M12" i="29"/>
  <c r="M13" i="29"/>
  <c r="M14" i="29"/>
  <c r="M15" i="29"/>
  <c r="M16" i="29"/>
  <c r="M17" i="29"/>
  <c r="M18" i="29"/>
  <c r="M22" i="29"/>
  <c r="M24" i="29"/>
  <c r="M25" i="29"/>
  <c r="M26" i="29"/>
  <c r="M27" i="29"/>
  <c r="M28" i="29"/>
  <c r="M29" i="29"/>
  <c r="M30" i="29"/>
  <c r="M31" i="29"/>
  <c r="M32" i="29"/>
  <c r="M33" i="29"/>
  <c r="M34" i="29"/>
  <c r="M35" i="29"/>
  <c r="M36" i="29"/>
  <c r="M37" i="29"/>
  <c r="M38" i="29"/>
  <c r="M39" i="29"/>
  <c r="M40" i="29"/>
  <c r="M41" i="29"/>
  <c r="M42" i="29"/>
  <c r="M43" i="29"/>
  <c r="M156" i="29"/>
  <c r="M157" i="29"/>
  <c r="P157" i="29" s="1"/>
  <c r="M158" i="29"/>
  <c r="M159" i="29"/>
  <c r="P159" i="29" s="1"/>
  <c r="M160" i="29"/>
  <c r="M161" i="29"/>
  <c r="P161" i="29" s="1"/>
  <c r="M162" i="29"/>
  <c r="P162" i="29" s="1"/>
  <c r="M155" i="29"/>
  <c r="P155" i="29" s="1"/>
  <c r="I167" i="29"/>
  <c r="O167" i="29" s="1"/>
  <c r="I168" i="29"/>
  <c r="O168" i="29" s="1"/>
  <c r="I169" i="29"/>
  <c r="I170" i="29"/>
  <c r="M170" i="29" s="1"/>
  <c r="P170" i="29" s="1"/>
  <c r="I171" i="29"/>
  <c r="I172" i="29"/>
  <c r="O172" i="29" s="1"/>
  <c r="I173" i="29"/>
  <c r="M173" i="29" s="1"/>
  <c r="P173" i="29" s="1"/>
  <c r="I174" i="29"/>
  <c r="I165" i="29"/>
  <c r="O165" i="29" s="1"/>
  <c r="O173" i="29"/>
  <c r="I83" i="29"/>
  <c r="I82" i="29"/>
  <c r="I81" i="29"/>
  <c r="I80" i="29"/>
  <c r="I79" i="29"/>
  <c r="I78" i="29"/>
  <c r="I77" i="29"/>
  <c r="I76" i="29"/>
  <c r="I74" i="29"/>
  <c r="M109" i="29"/>
  <c r="I98" i="29"/>
  <c r="M97" i="29"/>
  <c r="I108" i="29"/>
  <c r="P184" i="29"/>
  <c r="O184" i="29"/>
  <c r="P183" i="29"/>
  <c r="O183" i="29"/>
  <c r="P182" i="29"/>
  <c r="O182" i="29"/>
  <c r="P181" i="29"/>
  <c r="O181" i="29"/>
  <c r="P180" i="29"/>
  <c r="O180" i="29"/>
  <c r="P179" i="29"/>
  <c r="O179" i="29"/>
  <c r="P178" i="29"/>
  <c r="O178" i="29"/>
  <c r="P177" i="29"/>
  <c r="O177" i="29"/>
  <c r="O171" i="29"/>
  <c r="O169" i="29"/>
  <c r="O162" i="29"/>
  <c r="O161" i="29"/>
  <c r="P160" i="29"/>
  <c r="O160" i="29"/>
  <c r="O159" i="29"/>
  <c r="P158" i="29"/>
  <c r="O158" i="29"/>
  <c r="O157" i="29"/>
  <c r="P156" i="29"/>
  <c r="O156" i="29"/>
  <c r="O155" i="29"/>
  <c r="O170" i="29" l="1"/>
  <c r="O174" i="29"/>
  <c r="M167" i="29"/>
  <c r="M174" i="29"/>
  <c r="M165" i="29"/>
  <c r="M172" i="29"/>
  <c r="M171" i="29"/>
  <c r="M169" i="29"/>
  <c r="C166" i="29"/>
  <c r="M168" i="29"/>
  <c r="R83" i="29"/>
  <c r="G174" i="29"/>
  <c r="R82" i="29"/>
  <c r="G173" i="29"/>
  <c r="C109" i="29"/>
  <c r="K109" i="29"/>
  <c r="K82" i="29"/>
  <c r="K83" i="29"/>
  <c r="C82" i="29"/>
  <c r="C83" i="29"/>
  <c r="C32" i="29"/>
  <c r="K32" i="29"/>
  <c r="K31" i="29"/>
  <c r="C97" i="29"/>
  <c r="K97" i="29"/>
  <c r="Q184" i="29"/>
  <c r="N22" i="29"/>
  <c r="N24" i="29"/>
  <c r="N25" i="29"/>
  <c r="N26" i="29"/>
  <c r="N27" i="29"/>
  <c r="N28" i="29"/>
  <c r="N18" i="29"/>
  <c r="J22" i="29"/>
  <c r="J24" i="29"/>
  <c r="J25" i="29"/>
  <c r="J26" i="29"/>
  <c r="J27" i="29"/>
  <c r="J28" i="29"/>
  <c r="J18" i="29"/>
  <c r="M63" i="29"/>
  <c r="M64" i="29"/>
  <c r="M65" i="29"/>
  <c r="M66" i="29"/>
  <c r="M67" i="29"/>
  <c r="M68" i="29"/>
  <c r="M84" i="29"/>
  <c r="M85" i="29"/>
  <c r="M86" i="29"/>
  <c r="M87" i="29"/>
  <c r="M88" i="29"/>
  <c r="M91" i="29"/>
  <c r="M92" i="29"/>
  <c r="M93" i="29"/>
  <c r="M94" i="29"/>
  <c r="M95" i="29"/>
  <c r="M96" i="29"/>
  <c r="M98" i="29"/>
  <c r="M99" i="29"/>
  <c r="M100" i="29"/>
  <c r="M101" i="29"/>
  <c r="M102" i="29"/>
  <c r="M103" i="29"/>
  <c r="M104" i="29"/>
  <c r="M105" i="29"/>
  <c r="M108" i="29"/>
  <c r="M113" i="29"/>
  <c r="M114" i="29"/>
  <c r="M6" i="29"/>
  <c r="P168" i="29" l="1"/>
  <c r="P167" i="29"/>
  <c r="P171" i="29"/>
  <c r="P165" i="29"/>
  <c r="P169" i="29"/>
  <c r="P172" i="29"/>
  <c r="P174" i="29"/>
  <c r="K173" i="29"/>
  <c r="Q173" i="29" s="1"/>
  <c r="C173" i="29"/>
  <c r="R173" i="29"/>
  <c r="R174" i="29"/>
  <c r="K174" i="29"/>
  <c r="C174" i="29"/>
  <c r="R30" i="29"/>
  <c r="K30" i="29"/>
  <c r="E82" i="22"/>
  <c r="G61" i="1"/>
  <c r="J89" i="11" s="1"/>
  <c r="M89" i="11" s="1"/>
  <c r="F61" i="1"/>
  <c r="I89" i="11" s="1"/>
  <c r="L89" i="11" s="1"/>
  <c r="G59" i="1"/>
  <c r="F59" i="1"/>
  <c r="G75" i="1"/>
  <c r="I1057" i="2" s="1"/>
  <c r="L1057" i="2" s="1"/>
  <c r="F75" i="1"/>
  <c r="H1057" i="2" s="1"/>
  <c r="K1057" i="2" s="1"/>
  <c r="G69" i="1"/>
  <c r="F69" i="1"/>
  <c r="G60" i="1"/>
  <c r="I1048" i="2" s="1"/>
  <c r="L1048" i="2" s="1"/>
  <c r="F60" i="1"/>
  <c r="H1048" i="2" s="1"/>
  <c r="K1048" i="2" s="1"/>
  <c r="G44" i="1"/>
  <c r="J82" i="11" s="1"/>
  <c r="M82" i="11" s="1"/>
  <c r="F44" i="1"/>
  <c r="I82" i="11" s="1"/>
  <c r="L82" i="11" s="1"/>
  <c r="E93" i="22"/>
  <c r="E92" i="22"/>
  <c r="E87" i="22"/>
  <c r="E81" i="22"/>
  <c r="E86" i="22"/>
  <c r="H94" i="22"/>
  <c r="F94" i="22"/>
  <c r="E94" i="22"/>
  <c r="D94" i="22"/>
  <c r="H93" i="22"/>
  <c r="F93" i="22"/>
  <c r="D93" i="22"/>
  <c r="H92" i="22"/>
  <c r="F92" i="22"/>
  <c r="D92" i="22"/>
  <c r="H91" i="22"/>
  <c r="F91" i="22"/>
  <c r="E91" i="22"/>
  <c r="D91" i="22"/>
  <c r="H90" i="22"/>
  <c r="F90" i="22"/>
  <c r="E90" i="22"/>
  <c r="D90" i="22"/>
  <c r="H89" i="22"/>
  <c r="F89" i="22"/>
  <c r="E89" i="22"/>
  <c r="D89" i="22"/>
  <c r="H88" i="22"/>
  <c r="F88" i="22"/>
  <c r="E88" i="22"/>
  <c r="D88" i="22"/>
  <c r="H87" i="22"/>
  <c r="F87" i="22"/>
  <c r="D87" i="22"/>
  <c r="H86" i="22"/>
  <c r="F86" i="22"/>
  <c r="D86" i="22"/>
  <c r="E80" i="22"/>
  <c r="E1188" i="1"/>
  <c r="H80" i="11" s="1"/>
  <c r="K80" i="11" s="1"/>
  <c r="E1185" i="1"/>
  <c r="H77" i="11" s="1"/>
  <c r="K77" i="11" s="1"/>
  <c r="E1184" i="1"/>
  <c r="H76" i="11" s="1"/>
  <c r="K76" i="11" s="1"/>
  <c r="E1183" i="1"/>
  <c r="H75" i="11" s="1"/>
  <c r="K75" i="11" s="1"/>
  <c r="E1182" i="1"/>
  <c r="H74" i="11" s="1"/>
  <c r="K74" i="11" s="1"/>
  <c r="E1181" i="1"/>
  <c r="H73" i="11" s="1"/>
  <c r="K73" i="11" s="1"/>
  <c r="H85" i="22"/>
  <c r="F85" i="22"/>
  <c r="E85" i="22"/>
  <c r="D85" i="22"/>
  <c r="H84" i="22"/>
  <c r="F84" i="22"/>
  <c r="E84" i="22"/>
  <c r="D84" i="22"/>
  <c r="H83" i="22"/>
  <c r="F83" i="22"/>
  <c r="E83" i="22"/>
  <c r="D83" i="22"/>
  <c r="H82" i="22"/>
  <c r="F82" i="22"/>
  <c r="D82" i="22"/>
  <c r="H81" i="22"/>
  <c r="F81" i="22"/>
  <c r="D81" i="22"/>
  <c r="H80" i="22"/>
  <c r="F80" i="22"/>
  <c r="D80" i="22"/>
  <c r="H79" i="22"/>
  <c r="F79" i="22"/>
  <c r="E79" i="22"/>
  <c r="D79" i="22"/>
  <c r="H78" i="22"/>
  <c r="F78" i="22"/>
  <c r="E78" i="22"/>
  <c r="D78" i="22"/>
  <c r="H77" i="22"/>
  <c r="F77" i="22"/>
  <c r="E77" i="22"/>
  <c r="D77" i="22"/>
  <c r="H76" i="22"/>
  <c r="F76" i="22"/>
  <c r="E76" i="22"/>
  <c r="D76" i="22"/>
  <c r="H75" i="22"/>
  <c r="F75" i="22"/>
  <c r="E75" i="22"/>
  <c r="D75" i="22"/>
  <c r="F74" i="22"/>
  <c r="E74" i="22"/>
  <c r="D74" i="22"/>
  <c r="F73" i="22"/>
  <c r="E73" i="22"/>
  <c r="D73" i="22"/>
  <c r="O72" i="22"/>
  <c r="M72" i="22"/>
  <c r="L72" i="22"/>
  <c r="K72" i="22"/>
  <c r="D72" i="22"/>
  <c r="D71" i="22"/>
  <c r="T1188" i="1"/>
  <c r="G1188" i="1"/>
  <c r="J80" i="11" s="1"/>
  <c r="M80" i="11" s="1"/>
  <c r="F1188" i="1"/>
  <c r="I80" i="11" s="1"/>
  <c r="L80" i="11" s="1"/>
  <c r="T1187" i="1"/>
  <c r="G1187" i="1"/>
  <c r="J79" i="11" s="1"/>
  <c r="M79" i="11" s="1"/>
  <c r="F1187" i="1"/>
  <c r="I79" i="11" s="1"/>
  <c r="L79" i="11" s="1"/>
  <c r="G1186" i="1"/>
  <c r="J78" i="11" s="1"/>
  <c r="M78" i="11" s="1"/>
  <c r="F1186" i="1"/>
  <c r="I78" i="11" s="1"/>
  <c r="L78" i="11" s="1"/>
  <c r="T1185" i="1"/>
  <c r="G1185" i="1"/>
  <c r="J77" i="11" s="1"/>
  <c r="M77" i="11" s="1"/>
  <c r="F1185" i="1"/>
  <c r="I77" i="11" s="1"/>
  <c r="L77" i="11" s="1"/>
  <c r="G1184" i="1"/>
  <c r="J76" i="11" s="1"/>
  <c r="M76" i="11" s="1"/>
  <c r="F1184" i="1"/>
  <c r="I76" i="11" s="1"/>
  <c r="L76" i="11" s="1"/>
  <c r="T1183" i="1"/>
  <c r="G1183" i="1"/>
  <c r="J75" i="11" s="1"/>
  <c r="M75" i="11" s="1"/>
  <c r="F1183" i="1"/>
  <c r="I75" i="11" s="1"/>
  <c r="L75" i="11" s="1"/>
  <c r="T1182" i="1"/>
  <c r="G1182" i="1"/>
  <c r="J74" i="11" s="1"/>
  <c r="M74" i="11" s="1"/>
  <c r="F1182" i="1"/>
  <c r="I74" i="11" s="1"/>
  <c r="L74" i="11" s="1"/>
  <c r="T1181" i="1"/>
  <c r="G1181" i="1"/>
  <c r="J73" i="11" s="1"/>
  <c r="M73" i="11" s="1"/>
  <c r="F1181" i="1"/>
  <c r="I73" i="11" s="1"/>
  <c r="L73" i="11" s="1"/>
  <c r="H73" i="22" l="1"/>
  <c r="I82" i="22"/>
  <c r="H200" i="2"/>
  <c r="K200" i="2" s="1"/>
  <c r="H182" i="2"/>
  <c r="K182" i="2" s="1"/>
  <c r="H116" i="2"/>
  <c r="K116" i="2" s="1"/>
  <c r="I91" i="11"/>
  <c r="L91" i="11" s="1"/>
  <c r="H1047" i="2"/>
  <c r="K1047" i="2" s="1"/>
  <c r="I94" i="11"/>
  <c r="L94" i="11" s="1"/>
  <c r="I88" i="11"/>
  <c r="L88" i="11" s="1"/>
  <c r="I116" i="2"/>
  <c r="L116" i="2" s="1"/>
  <c r="I182" i="2"/>
  <c r="L182" i="2" s="1"/>
  <c r="I200" i="2"/>
  <c r="L200" i="2" s="1"/>
  <c r="J91" i="11"/>
  <c r="M91" i="11" s="1"/>
  <c r="I1047" i="2"/>
  <c r="L1047" i="2" s="1"/>
  <c r="J94" i="11"/>
  <c r="M94" i="11" s="1"/>
  <c r="J88" i="11"/>
  <c r="M88" i="11" s="1"/>
  <c r="H74" i="22"/>
  <c r="I91" i="22"/>
  <c r="I88" i="22"/>
  <c r="J102" i="22"/>
  <c r="M102" i="22" s="1"/>
  <c r="J89" i="22"/>
  <c r="I94" i="22"/>
  <c r="J91" i="22"/>
  <c r="Q174" i="29"/>
  <c r="J75" i="22"/>
  <c r="J74" i="22"/>
  <c r="I73" i="22"/>
  <c r="J73" i="22"/>
  <c r="I76" i="22"/>
  <c r="I77" i="22"/>
  <c r="I80" i="22"/>
  <c r="J77" i="22"/>
  <c r="J80" i="22"/>
  <c r="I74" i="22"/>
  <c r="J76" i="22"/>
  <c r="I75" i="22"/>
  <c r="I79" i="22"/>
  <c r="J82" i="22"/>
  <c r="I89" i="22"/>
  <c r="J79" i="22"/>
  <c r="I78" i="22"/>
  <c r="J78" i="22"/>
  <c r="J88" i="22"/>
  <c r="J94" i="22"/>
  <c r="C730" i="20" l="1"/>
  <c r="D730" i="20"/>
  <c r="C731" i="20"/>
  <c r="D731" i="20"/>
  <c r="C732" i="20"/>
  <c r="D732" i="20"/>
  <c r="C733" i="20"/>
  <c r="D733" i="20"/>
  <c r="C734" i="20"/>
  <c r="D734" i="20"/>
  <c r="C735" i="20"/>
  <c r="D735" i="20"/>
  <c r="C736" i="20"/>
  <c r="D736" i="20"/>
  <c r="C737" i="20"/>
  <c r="D737" i="20"/>
  <c r="C738" i="20"/>
  <c r="D738" i="20"/>
  <c r="C739" i="20"/>
  <c r="D739" i="20"/>
  <c r="C740" i="20"/>
  <c r="D740" i="20"/>
  <c r="C741" i="20"/>
  <c r="D741" i="20"/>
  <c r="C742" i="20"/>
  <c r="D742" i="20"/>
  <c r="C743" i="20"/>
  <c r="D743" i="20"/>
  <c r="C744" i="20"/>
  <c r="D744" i="20"/>
  <c r="C745" i="20"/>
  <c r="D745" i="20"/>
  <c r="C746" i="20"/>
  <c r="D746" i="20"/>
  <c r="C747" i="20"/>
  <c r="D747" i="20"/>
  <c r="C748" i="20"/>
  <c r="D748" i="20"/>
  <c r="C749" i="20"/>
  <c r="D749" i="20"/>
  <c r="C750" i="20"/>
  <c r="D750" i="20"/>
  <c r="C751" i="20"/>
  <c r="D751" i="20"/>
  <c r="C752" i="20"/>
  <c r="D752" i="20"/>
  <c r="C753" i="20"/>
  <c r="D753" i="20"/>
  <c r="C754" i="20"/>
  <c r="D754" i="20"/>
  <c r="C755" i="20"/>
  <c r="D755" i="20"/>
  <c r="C756" i="20"/>
  <c r="D756" i="20"/>
  <c r="C757" i="20"/>
  <c r="D757" i="20"/>
  <c r="C758" i="20"/>
  <c r="D758" i="20"/>
  <c r="C759" i="20"/>
  <c r="D759" i="20"/>
  <c r="C760" i="20"/>
  <c r="D760" i="20"/>
  <c r="C761" i="20"/>
  <c r="D761" i="20"/>
  <c r="C762" i="20"/>
  <c r="D762" i="20"/>
  <c r="C763" i="20"/>
  <c r="D763" i="20"/>
  <c r="C764" i="20"/>
  <c r="D764" i="20"/>
  <c r="C765" i="20"/>
  <c r="D765" i="20"/>
  <c r="C766" i="20"/>
  <c r="D766" i="20"/>
  <c r="C767" i="20"/>
  <c r="D767" i="20"/>
  <c r="C768" i="20"/>
  <c r="D768" i="20"/>
  <c r="C769" i="20"/>
  <c r="D769" i="20"/>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C784" i="20"/>
  <c r="D784" i="20"/>
  <c r="C785" i="20"/>
  <c r="D785" i="20"/>
  <c r="C786" i="20"/>
  <c r="D786" i="20"/>
  <c r="C787" i="20"/>
  <c r="D787" i="20"/>
  <c r="C788" i="20"/>
  <c r="D788" i="20"/>
  <c r="C789" i="20"/>
  <c r="D789" i="20"/>
  <c r="C790" i="20"/>
  <c r="D790" i="20"/>
  <c r="C791" i="20"/>
  <c r="D791" i="20"/>
  <c r="C792" i="20"/>
  <c r="D792" i="20"/>
  <c r="C793" i="20"/>
  <c r="D793" i="20"/>
  <c r="C794" i="20"/>
  <c r="D794" i="20"/>
  <c r="C795" i="20"/>
  <c r="D795" i="20"/>
  <c r="C796" i="20"/>
  <c r="D796" i="20"/>
  <c r="C797" i="20"/>
  <c r="D797" i="20"/>
  <c r="C798" i="20"/>
  <c r="D798" i="20"/>
  <c r="C799" i="20"/>
  <c r="D799" i="20"/>
  <c r="C800" i="20"/>
  <c r="D800" i="20"/>
  <c r="C801" i="20"/>
  <c r="D801" i="20"/>
  <c r="C802" i="20"/>
  <c r="D802" i="20"/>
  <c r="C803" i="20"/>
  <c r="D803" i="20"/>
  <c r="C804" i="20"/>
  <c r="D804" i="20"/>
  <c r="C805" i="20"/>
  <c r="D805" i="20"/>
  <c r="C806" i="20"/>
  <c r="D806" i="20"/>
  <c r="C807" i="20"/>
  <c r="D807" i="20"/>
  <c r="C808" i="20"/>
  <c r="D808" i="20"/>
  <c r="C809" i="20"/>
  <c r="D809" i="20"/>
  <c r="C810" i="20"/>
  <c r="D810" i="20"/>
  <c r="C811" i="20"/>
  <c r="D811" i="20"/>
  <c r="C812" i="20"/>
  <c r="D812" i="20"/>
  <c r="C813" i="20"/>
  <c r="D813" i="20"/>
  <c r="C814" i="20"/>
  <c r="D814" i="20"/>
  <c r="C815" i="20"/>
  <c r="D815" i="20"/>
  <c r="C816" i="20"/>
  <c r="D816" i="20"/>
  <c r="C817" i="20"/>
  <c r="D817" i="20"/>
  <c r="C818" i="20"/>
  <c r="D818" i="20"/>
  <c r="C819" i="20"/>
  <c r="D819" i="20"/>
  <c r="C820" i="20"/>
  <c r="D820" i="20"/>
  <c r="C821" i="20"/>
  <c r="D821" i="20"/>
  <c r="C822" i="20"/>
  <c r="D822" i="20"/>
  <c r="C823" i="20"/>
  <c r="D823" i="20"/>
  <c r="C824" i="20"/>
  <c r="D824" i="20"/>
  <c r="C825" i="20"/>
  <c r="D825" i="20"/>
  <c r="C826" i="20"/>
  <c r="D826" i="20"/>
  <c r="C827" i="20"/>
  <c r="D827" i="20"/>
  <c r="C828" i="20"/>
  <c r="D828" i="20"/>
  <c r="C829" i="20"/>
  <c r="D829" i="20"/>
  <c r="C830" i="20"/>
  <c r="D830" i="20"/>
  <c r="C831" i="20"/>
  <c r="D831" i="20"/>
  <c r="C832" i="20"/>
  <c r="D832" i="20"/>
  <c r="C833" i="20"/>
  <c r="D833" i="20"/>
  <c r="C834" i="20"/>
  <c r="D834" i="20"/>
  <c r="C835" i="20"/>
  <c r="D835" i="20"/>
  <c r="C836" i="20"/>
  <c r="D836" i="20"/>
  <c r="C837" i="20"/>
  <c r="D837" i="20"/>
  <c r="C838" i="20"/>
  <c r="D838" i="20"/>
  <c r="C839" i="20"/>
  <c r="D839" i="20"/>
  <c r="C840" i="20"/>
  <c r="D840" i="20"/>
  <c r="C841" i="20"/>
  <c r="D841" i="20"/>
  <c r="C842" i="20"/>
  <c r="D842" i="20"/>
  <c r="C843" i="20"/>
  <c r="D843" i="20"/>
  <c r="C844" i="20"/>
  <c r="D844" i="20"/>
  <c r="C845" i="20"/>
  <c r="D845" i="20"/>
  <c r="C846" i="20"/>
  <c r="D846" i="20"/>
  <c r="C847" i="20"/>
  <c r="D847" i="20"/>
  <c r="C848" i="20"/>
  <c r="D848" i="20"/>
  <c r="C849" i="20"/>
  <c r="D849" i="20"/>
  <c r="C850" i="20"/>
  <c r="D850" i="20"/>
  <c r="C851" i="20"/>
  <c r="D851" i="20"/>
  <c r="C852" i="20"/>
  <c r="D852" i="20"/>
  <c r="C853" i="20"/>
  <c r="D853" i="20"/>
  <c r="C854" i="20"/>
  <c r="D854" i="20"/>
  <c r="C855" i="20"/>
  <c r="D855" i="20"/>
  <c r="C856" i="20"/>
  <c r="D856" i="20"/>
  <c r="C857" i="20"/>
  <c r="D857" i="20"/>
  <c r="C858" i="20"/>
  <c r="D858" i="20"/>
  <c r="C859" i="20"/>
  <c r="D859" i="20"/>
  <c r="C860" i="20"/>
  <c r="D860" i="20"/>
  <c r="C861" i="20"/>
  <c r="D861" i="20"/>
  <c r="C862" i="20"/>
  <c r="D862" i="20"/>
  <c r="C863" i="20"/>
  <c r="D863" i="20"/>
  <c r="C864" i="20"/>
  <c r="D864" i="20"/>
  <c r="C865" i="20"/>
  <c r="D865" i="20"/>
  <c r="C866" i="20"/>
  <c r="D866" i="20"/>
  <c r="C867" i="20"/>
  <c r="D867" i="20"/>
  <c r="C868" i="20"/>
  <c r="D868" i="20"/>
  <c r="C869" i="20"/>
  <c r="D869" i="20"/>
  <c r="C870" i="20"/>
  <c r="D870" i="20"/>
  <c r="C871" i="20"/>
  <c r="D871" i="20"/>
  <c r="C872" i="20"/>
  <c r="D872" i="20"/>
  <c r="C873" i="20"/>
  <c r="D873" i="20"/>
  <c r="C874" i="20"/>
  <c r="D874" i="20"/>
  <c r="C875" i="20"/>
  <c r="D875" i="20"/>
  <c r="C876" i="20"/>
  <c r="D876" i="20"/>
  <c r="C877" i="20"/>
  <c r="D877" i="20"/>
  <c r="C633" i="20"/>
  <c r="D633" i="20"/>
  <c r="C634" i="20"/>
  <c r="D634" i="20"/>
  <c r="C635" i="20"/>
  <c r="D635" i="20"/>
  <c r="C636" i="20"/>
  <c r="D636" i="20"/>
  <c r="C637" i="20"/>
  <c r="D637" i="20"/>
  <c r="C638" i="20"/>
  <c r="D638" i="20"/>
  <c r="C639" i="20"/>
  <c r="D639" i="20"/>
  <c r="C640" i="20"/>
  <c r="D640" i="20"/>
  <c r="C641" i="20"/>
  <c r="D641" i="20"/>
  <c r="C642" i="20"/>
  <c r="D642" i="20"/>
  <c r="C643" i="20"/>
  <c r="D643" i="20"/>
  <c r="C644" i="20"/>
  <c r="D644" i="20"/>
  <c r="C645" i="20"/>
  <c r="D645" i="20"/>
  <c r="C646" i="20"/>
  <c r="D646" i="20"/>
  <c r="C647" i="20"/>
  <c r="D647" i="20"/>
  <c r="C648" i="20"/>
  <c r="D648" i="20"/>
  <c r="C649" i="20"/>
  <c r="D649" i="20"/>
  <c r="C650" i="20"/>
  <c r="D650" i="20"/>
  <c r="C651" i="20"/>
  <c r="D651" i="20"/>
  <c r="C652" i="20"/>
  <c r="D652" i="20"/>
  <c r="C653" i="20"/>
  <c r="D653" i="20"/>
  <c r="C654" i="20"/>
  <c r="D654" i="20"/>
  <c r="C655" i="20"/>
  <c r="D655" i="20"/>
  <c r="C656" i="20"/>
  <c r="D656" i="20"/>
  <c r="C657" i="20"/>
  <c r="D657" i="20"/>
  <c r="C658" i="20"/>
  <c r="D658" i="20"/>
  <c r="C659" i="20"/>
  <c r="D659" i="20"/>
  <c r="C660" i="20"/>
  <c r="D660" i="20"/>
  <c r="C661" i="20"/>
  <c r="D661" i="20"/>
  <c r="C662" i="20"/>
  <c r="D662" i="20"/>
  <c r="C663" i="20"/>
  <c r="D663" i="20"/>
  <c r="C664" i="20"/>
  <c r="D664" i="20"/>
  <c r="C665" i="20"/>
  <c r="D665" i="20"/>
  <c r="C666" i="20"/>
  <c r="D666" i="20"/>
  <c r="C667" i="20"/>
  <c r="D667" i="20"/>
  <c r="C668" i="20"/>
  <c r="D668" i="20"/>
  <c r="C669" i="20"/>
  <c r="D669" i="20"/>
  <c r="C670" i="20"/>
  <c r="D670" i="20"/>
  <c r="C671" i="20"/>
  <c r="D671" i="20"/>
  <c r="C672" i="20"/>
  <c r="D672" i="20"/>
  <c r="C673" i="20"/>
  <c r="D673" i="20"/>
  <c r="C674" i="20"/>
  <c r="D674" i="20"/>
  <c r="C675" i="20"/>
  <c r="D675" i="20"/>
  <c r="C676" i="20"/>
  <c r="D676" i="20"/>
  <c r="C677" i="20"/>
  <c r="D677" i="20"/>
  <c r="C678" i="20"/>
  <c r="D678" i="20"/>
  <c r="C679" i="20"/>
  <c r="D679" i="20"/>
  <c r="C680" i="20"/>
  <c r="D680" i="20"/>
  <c r="C681" i="20"/>
  <c r="D681" i="20"/>
  <c r="C682" i="20"/>
  <c r="D682" i="20"/>
  <c r="C683" i="20"/>
  <c r="D683" i="20"/>
  <c r="C684" i="20"/>
  <c r="D684" i="20"/>
  <c r="C685" i="20"/>
  <c r="D685" i="20"/>
  <c r="C686" i="20"/>
  <c r="D686" i="20"/>
  <c r="C687" i="20"/>
  <c r="D687" i="20"/>
  <c r="C688" i="20"/>
  <c r="D688" i="20"/>
  <c r="C689" i="20"/>
  <c r="D689" i="20"/>
  <c r="C690" i="20"/>
  <c r="D690" i="20"/>
  <c r="C691" i="20"/>
  <c r="D691" i="20"/>
  <c r="C692" i="20"/>
  <c r="D692" i="20"/>
  <c r="C693" i="20"/>
  <c r="D693" i="20"/>
  <c r="C694" i="20"/>
  <c r="D694" i="20"/>
  <c r="C695" i="20"/>
  <c r="D695" i="20"/>
  <c r="C696" i="20"/>
  <c r="D696" i="20"/>
  <c r="C697" i="20"/>
  <c r="D697" i="20"/>
  <c r="C698" i="20"/>
  <c r="D698" i="20"/>
  <c r="C699" i="20"/>
  <c r="D699" i="20"/>
  <c r="C700" i="20"/>
  <c r="D700" i="20"/>
  <c r="C701" i="20"/>
  <c r="D701" i="20"/>
  <c r="C702" i="20"/>
  <c r="D702" i="20"/>
  <c r="C703" i="20"/>
  <c r="D703" i="20"/>
  <c r="C704" i="20"/>
  <c r="D704" i="20"/>
  <c r="C705" i="20"/>
  <c r="D705" i="20"/>
  <c r="C706" i="20"/>
  <c r="D706" i="20"/>
  <c r="C707" i="20"/>
  <c r="D707" i="20"/>
  <c r="C708" i="20"/>
  <c r="D708" i="20"/>
  <c r="C709" i="20"/>
  <c r="D709" i="20"/>
  <c r="C710" i="20"/>
  <c r="D710" i="20"/>
  <c r="C711" i="20"/>
  <c r="D711" i="20"/>
  <c r="C712" i="20"/>
  <c r="D712" i="20"/>
  <c r="C713" i="20"/>
  <c r="D713" i="20"/>
  <c r="C714" i="20"/>
  <c r="D714" i="20"/>
  <c r="C715" i="20"/>
  <c r="D715" i="20"/>
  <c r="C716" i="20"/>
  <c r="D716" i="20"/>
  <c r="C717" i="20"/>
  <c r="D717" i="20"/>
  <c r="C718" i="20"/>
  <c r="D718" i="20"/>
  <c r="C719" i="20"/>
  <c r="D719" i="20"/>
  <c r="C720" i="20"/>
  <c r="D720" i="20"/>
  <c r="C721" i="20"/>
  <c r="D721" i="20"/>
  <c r="C722" i="20"/>
  <c r="D722" i="20"/>
  <c r="C723" i="20"/>
  <c r="D723" i="20"/>
  <c r="C724" i="20"/>
  <c r="D724" i="20"/>
  <c r="C725" i="20"/>
  <c r="D725" i="20"/>
  <c r="C726" i="20"/>
  <c r="D726" i="20"/>
  <c r="C727" i="20"/>
  <c r="D727" i="20"/>
  <c r="C728" i="20"/>
  <c r="D728" i="20"/>
  <c r="C729" i="20"/>
  <c r="D729" i="20"/>
  <c r="D132" i="20"/>
  <c r="C132" i="20"/>
  <c r="D131" i="20"/>
  <c r="C131" i="20"/>
  <c r="D130" i="20"/>
  <c r="C130" i="20"/>
  <c r="C353" i="20"/>
  <c r="D353" i="20"/>
  <c r="C354" i="20"/>
  <c r="D354" i="20"/>
  <c r="C355" i="20"/>
  <c r="D355" i="20"/>
  <c r="C356" i="20"/>
  <c r="D356" i="20"/>
  <c r="C357" i="20"/>
  <c r="D357" i="20"/>
  <c r="C358" i="20"/>
  <c r="D358" i="20"/>
  <c r="C359" i="20"/>
  <c r="D359" i="20"/>
  <c r="C360" i="20"/>
  <c r="D360" i="20"/>
  <c r="C361" i="20"/>
  <c r="D361" i="20"/>
  <c r="C362" i="20"/>
  <c r="D362" i="20"/>
  <c r="C363" i="20"/>
  <c r="D363" i="20"/>
  <c r="C364" i="20"/>
  <c r="D364" i="20"/>
  <c r="C365" i="20"/>
  <c r="D365" i="20"/>
  <c r="C366" i="20"/>
  <c r="D366" i="20"/>
  <c r="C367" i="20"/>
  <c r="D367" i="20"/>
  <c r="C368" i="20"/>
  <c r="D368" i="20"/>
  <c r="C369" i="20"/>
  <c r="D369" i="20"/>
  <c r="C370" i="20"/>
  <c r="D370" i="20"/>
  <c r="C371" i="20"/>
  <c r="D371" i="20"/>
  <c r="C372" i="20"/>
  <c r="D372" i="20"/>
  <c r="C373" i="20"/>
  <c r="D373" i="20"/>
  <c r="C374" i="20"/>
  <c r="D374" i="20"/>
  <c r="C375" i="20"/>
  <c r="D375" i="20"/>
  <c r="C376" i="20"/>
  <c r="D376" i="20"/>
  <c r="C377" i="20"/>
  <c r="D377" i="20"/>
  <c r="C378" i="20"/>
  <c r="D378" i="20"/>
  <c r="C379" i="20"/>
  <c r="D379" i="20"/>
  <c r="C380" i="20"/>
  <c r="D380" i="20"/>
  <c r="C381" i="20"/>
  <c r="D381" i="20"/>
  <c r="C382" i="20"/>
  <c r="D382" i="20"/>
  <c r="C383" i="20"/>
  <c r="D383" i="20"/>
  <c r="C384" i="20"/>
  <c r="D384" i="20"/>
  <c r="C385" i="20"/>
  <c r="D385" i="20"/>
  <c r="C386" i="20"/>
  <c r="D386" i="20"/>
  <c r="C387" i="20"/>
  <c r="D387" i="20"/>
  <c r="C388" i="20"/>
  <c r="D388" i="20"/>
  <c r="C389" i="20"/>
  <c r="D389" i="20"/>
  <c r="C390" i="20"/>
  <c r="D390" i="20"/>
  <c r="C391" i="20"/>
  <c r="D391" i="20"/>
  <c r="C392" i="20"/>
  <c r="D392" i="20"/>
  <c r="C393" i="20"/>
  <c r="D393" i="20"/>
  <c r="C394" i="20"/>
  <c r="D394" i="20"/>
  <c r="C395" i="20"/>
  <c r="D395" i="20"/>
  <c r="C396" i="20"/>
  <c r="D396" i="20"/>
  <c r="C397" i="20"/>
  <c r="D397" i="20"/>
  <c r="C398" i="20"/>
  <c r="D398" i="20"/>
  <c r="C399" i="20"/>
  <c r="D399" i="20"/>
  <c r="C400" i="20"/>
  <c r="D400" i="20"/>
  <c r="C401" i="20"/>
  <c r="D401" i="20"/>
  <c r="C402" i="20"/>
  <c r="D402" i="20"/>
  <c r="C403" i="20"/>
  <c r="D403" i="20"/>
  <c r="C404" i="20"/>
  <c r="D404" i="20"/>
  <c r="C405" i="20"/>
  <c r="D405" i="20"/>
  <c r="C406" i="20"/>
  <c r="D406" i="20"/>
  <c r="C407" i="20"/>
  <c r="D407" i="20"/>
  <c r="C408" i="20"/>
  <c r="D408" i="20"/>
  <c r="C409" i="20"/>
  <c r="D409" i="20"/>
  <c r="C410" i="20"/>
  <c r="D410" i="20"/>
  <c r="C411" i="20"/>
  <c r="D411" i="20"/>
  <c r="C412" i="20"/>
  <c r="D412" i="20"/>
  <c r="C413" i="20"/>
  <c r="D413" i="20"/>
  <c r="C414" i="20"/>
  <c r="D414" i="20"/>
  <c r="C415" i="20"/>
  <c r="D415" i="20"/>
  <c r="C416" i="20"/>
  <c r="D416" i="20"/>
  <c r="C417" i="20"/>
  <c r="D417" i="20"/>
  <c r="C418" i="20"/>
  <c r="D418" i="20"/>
  <c r="C419" i="20"/>
  <c r="D419" i="20"/>
  <c r="C420" i="20"/>
  <c r="D420" i="20"/>
  <c r="C421" i="20"/>
  <c r="D421" i="20"/>
  <c r="C422" i="20"/>
  <c r="D422" i="20"/>
  <c r="C423" i="20"/>
  <c r="D423" i="20"/>
  <c r="C424" i="20"/>
  <c r="D424" i="20"/>
  <c r="C425" i="20"/>
  <c r="D425" i="20"/>
  <c r="C426" i="20"/>
  <c r="D426" i="20"/>
  <c r="C427" i="20"/>
  <c r="D427" i="20"/>
  <c r="C428" i="20"/>
  <c r="D428" i="20"/>
  <c r="C429" i="20"/>
  <c r="D429" i="20"/>
  <c r="C430" i="20"/>
  <c r="D430" i="20"/>
  <c r="C431" i="20"/>
  <c r="D431" i="20"/>
  <c r="C432" i="20"/>
  <c r="D432" i="20"/>
  <c r="C433" i="20"/>
  <c r="D433" i="20"/>
  <c r="C434" i="20"/>
  <c r="D434" i="20"/>
  <c r="C435" i="20"/>
  <c r="D435" i="20"/>
  <c r="C436" i="20"/>
  <c r="D436" i="20"/>
  <c r="C437" i="20"/>
  <c r="D437" i="20"/>
  <c r="C438" i="20"/>
  <c r="D438" i="20"/>
  <c r="C439" i="20"/>
  <c r="D439" i="20"/>
  <c r="C440" i="20"/>
  <c r="D440" i="20"/>
  <c r="C441" i="20"/>
  <c r="D441" i="20"/>
  <c r="C442" i="20"/>
  <c r="D442" i="20"/>
  <c r="C443" i="20"/>
  <c r="D443" i="20"/>
  <c r="C444" i="20"/>
  <c r="D444" i="20"/>
  <c r="C445" i="20"/>
  <c r="D445" i="20"/>
  <c r="C446" i="20"/>
  <c r="D446" i="20"/>
  <c r="C447" i="20"/>
  <c r="D447" i="20"/>
  <c r="C448" i="20"/>
  <c r="D448" i="20"/>
  <c r="C449" i="20"/>
  <c r="D449" i="20"/>
  <c r="C450" i="20"/>
  <c r="D450" i="20"/>
  <c r="C451" i="20"/>
  <c r="D451" i="20"/>
  <c r="C452" i="20"/>
  <c r="D452" i="20"/>
  <c r="C453" i="20"/>
  <c r="D453" i="20"/>
  <c r="C454" i="20"/>
  <c r="D454" i="20"/>
  <c r="C455" i="20"/>
  <c r="D455" i="20"/>
  <c r="C456" i="20"/>
  <c r="D456" i="20"/>
  <c r="C457" i="20"/>
  <c r="D457" i="20"/>
  <c r="C458" i="20"/>
  <c r="D458" i="20"/>
  <c r="C459" i="20"/>
  <c r="D459" i="20"/>
  <c r="C460" i="20"/>
  <c r="D460" i="20"/>
  <c r="C461" i="20"/>
  <c r="D461" i="20"/>
  <c r="C462" i="20"/>
  <c r="D462" i="20"/>
  <c r="C463" i="20"/>
  <c r="D463" i="20"/>
  <c r="C464" i="20"/>
  <c r="D464" i="20"/>
  <c r="C465" i="20"/>
  <c r="D465" i="20"/>
  <c r="C466" i="20"/>
  <c r="D466" i="20"/>
  <c r="C467" i="20"/>
  <c r="D467" i="20"/>
  <c r="C468" i="20"/>
  <c r="D468" i="20"/>
  <c r="C469" i="20"/>
  <c r="D469" i="20"/>
  <c r="C470" i="20"/>
  <c r="D470" i="20"/>
  <c r="C471" i="20"/>
  <c r="D471" i="20"/>
  <c r="C472" i="20"/>
  <c r="D472" i="20"/>
  <c r="C473" i="20"/>
  <c r="D473" i="20"/>
  <c r="C474" i="20"/>
  <c r="D474" i="20"/>
  <c r="C475" i="20"/>
  <c r="D475" i="20"/>
  <c r="C476" i="20"/>
  <c r="D476" i="20"/>
  <c r="C477" i="20"/>
  <c r="D477" i="20"/>
  <c r="C478" i="20"/>
  <c r="D478" i="20"/>
  <c r="C479" i="20"/>
  <c r="D479" i="20"/>
  <c r="C480" i="20"/>
  <c r="D480" i="20"/>
  <c r="C481" i="20"/>
  <c r="D481" i="20"/>
  <c r="C482" i="20"/>
  <c r="D482" i="20"/>
  <c r="C483" i="20"/>
  <c r="D483" i="20"/>
  <c r="C484" i="20"/>
  <c r="D484" i="20"/>
  <c r="C485" i="20"/>
  <c r="D485" i="20"/>
  <c r="C486" i="20"/>
  <c r="D486" i="20"/>
  <c r="C487" i="20"/>
  <c r="D487" i="20"/>
  <c r="C488" i="20"/>
  <c r="D488" i="20"/>
  <c r="C489" i="20"/>
  <c r="D489" i="20"/>
  <c r="C490" i="20"/>
  <c r="D490" i="20"/>
  <c r="C491" i="20"/>
  <c r="D491" i="20"/>
  <c r="C492" i="20"/>
  <c r="D492" i="20"/>
  <c r="C493" i="20"/>
  <c r="D493" i="20"/>
  <c r="C494" i="20"/>
  <c r="D494" i="20"/>
  <c r="C495" i="20"/>
  <c r="D495" i="20"/>
  <c r="C496" i="20"/>
  <c r="D496" i="20"/>
  <c r="C497" i="20"/>
  <c r="D497" i="20"/>
  <c r="C498" i="20"/>
  <c r="D498" i="20"/>
  <c r="C499" i="20"/>
  <c r="D499" i="20"/>
  <c r="C500" i="20"/>
  <c r="D500" i="20"/>
  <c r="C501" i="20"/>
  <c r="D501" i="20"/>
  <c r="C502" i="20"/>
  <c r="D502" i="20"/>
  <c r="C503" i="20"/>
  <c r="D503" i="20"/>
  <c r="C504" i="20"/>
  <c r="D504" i="20"/>
  <c r="C505" i="20"/>
  <c r="D505" i="20"/>
  <c r="C506" i="20"/>
  <c r="D506" i="20"/>
  <c r="C507" i="20"/>
  <c r="D507" i="20"/>
  <c r="C508" i="20"/>
  <c r="D508" i="20"/>
  <c r="C509" i="20"/>
  <c r="D509" i="20"/>
  <c r="C510" i="20"/>
  <c r="D510" i="20"/>
  <c r="C511" i="20"/>
  <c r="D511" i="20"/>
  <c r="C512" i="20"/>
  <c r="D512" i="20"/>
  <c r="C513" i="20"/>
  <c r="D513" i="20"/>
  <c r="C514" i="20"/>
  <c r="D514" i="20"/>
  <c r="C515" i="20"/>
  <c r="D515" i="20"/>
  <c r="C516" i="20"/>
  <c r="D516" i="20"/>
  <c r="C517" i="20"/>
  <c r="D517" i="20"/>
  <c r="C518" i="20"/>
  <c r="D518" i="20"/>
  <c r="C519" i="20"/>
  <c r="D519" i="20"/>
  <c r="C520" i="20"/>
  <c r="D520" i="20"/>
  <c r="C521" i="20"/>
  <c r="D521" i="20"/>
  <c r="C522" i="20"/>
  <c r="D522" i="20"/>
  <c r="C523" i="20"/>
  <c r="D523" i="20"/>
  <c r="C524" i="20"/>
  <c r="D524" i="20"/>
  <c r="C525" i="20"/>
  <c r="D525" i="20"/>
  <c r="C526" i="20"/>
  <c r="D526" i="20"/>
  <c r="C527" i="20"/>
  <c r="D527" i="20"/>
  <c r="C528" i="20"/>
  <c r="D528" i="20"/>
  <c r="C529" i="20"/>
  <c r="D529" i="20"/>
  <c r="C530" i="20"/>
  <c r="D530" i="20"/>
  <c r="C531" i="20"/>
  <c r="D531" i="20"/>
  <c r="C532" i="20"/>
  <c r="D532" i="20"/>
  <c r="C533" i="20"/>
  <c r="D533" i="20"/>
  <c r="C534" i="20"/>
  <c r="D534" i="20"/>
  <c r="C535" i="20"/>
  <c r="D535" i="20"/>
  <c r="C536" i="20"/>
  <c r="D536" i="20"/>
  <c r="C537" i="20"/>
  <c r="D537" i="20"/>
  <c r="C538" i="20"/>
  <c r="D538" i="20"/>
  <c r="C539" i="20"/>
  <c r="D539" i="20"/>
  <c r="C540" i="20"/>
  <c r="D540" i="20"/>
  <c r="C541" i="20"/>
  <c r="D541" i="20"/>
  <c r="C542" i="20"/>
  <c r="D542" i="20"/>
  <c r="C543" i="20"/>
  <c r="D543" i="20"/>
  <c r="C544" i="20"/>
  <c r="D544" i="20"/>
  <c r="C545" i="20"/>
  <c r="D545" i="20"/>
  <c r="C546" i="20"/>
  <c r="D546" i="20"/>
  <c r="C547" i="20"/>
  <c r="D547" i="20"/>
  <c r="C548" i="20"/>
  <c r="D548" i="20"/>
  <c r="C549" i="20"/>
  <c r="D549" i="20"/>
  <c r="C550" i="20"/>
  <c r="D550" i="20"/>
  <c r="C551" i="20"/>
  <c r="D551" i="20"/>
  <c r="C552" i="20"/>
  <c r="D552" i="20"/>
  <c r="C553" i="20"/>
  <c r="D553" i="20"/>
  <c r="C554" i="20"/>
  <c r="D554" i="20"/>
  <c r="C555" i="20"/>
  <c r="D555" i="20"/>
  <c r="C556" i="20"/>
  <c r="D556" i="20"/>
  <c r="C557" i="20"/>
  <c r="D557" i="20"/>
  <c r="C558" i="20"/>
  <c r="D558" i="20"/>
  <c r="C559" i="20"/>
  <c r="D559" i="20"/>
  <c r="C560" i="20"/>
  <c r="D560" i="20"/>
  <c r="C561" i="20"/>
  <c r="D561" i="20"/>
  <c r="C562" i="20"/>
  <c r="D562" i="20"/>
  <c r="C563" i="20"/>
  <c r="D563" i="20"/>
  <c r="C564" i="20"/>
  <c r="D564" i="20"/>
  <c r="C565" i="20"/>
  <c r="D565" i="20"/>
  <c r="C566" i="20"/>
  <c r="D566" i="20"/>
  <c r="C567" i="20"/>
  <c r="D567" i="20"/>
  <c r="C568" i="20"/>
  <c r="D568" i="20"/>
  <c r="C569" i="20"/>
  <c r="D569" i="20"/>
  <c r="C570" i="20"/>
  <c r="D570" i="20"/>
  <c r="C571" i="20"/>
  <c r="D571" i="20"/>
  <c r="C572" i="20"/>
  <c r="D572" i="20"/>
  <c r="C573" i="20"/>
  <c r="D573" i="20"/>
  <c r="C574" i="20"/>
  <c r="D574" i="20"/>
  <c r="C575" i="20"/>
  <c r="D575" i="20"/>
  <c r="C576" i="20"/>
  <c r="D576" i="20"/>
  <c r="C577" i="20"/>
  <c r="D577" i="20"/>
  <c r="C578" i="20"/>
  <c r="D578" i="20"/>
  <c r="C579" i="20"/>
  <c r="D579" i="20"/>
  <c r="C580" i="20"/>
  <c r="D580" i="20"/>
  <c r="C581" i="20"/>
  <c r="D581" i="20"/>
  <c r="C582" i="20"/>
  <c r="D582" i="20"/>
  <c r="C583" i="20"/>
  <c r="D583" i="20"/>
  <c r="C584" i="20"/>
  <c r="D584" i="20"/>
  <c r="C585" i="20"/>
  <c r="D585" i="20"/>
  <c r="C586" i="20"/>
  <c r="D586" i="20"/>
  <c r="C587" i="20"/>
  <c r="D587" i="20"/>
  <c r="C588" i="20"/>
  <c r="D588" i="20"/>
  <c r="C589" i="20"/>
  <c r="D589" i="20"/>
  <c r="C590" i="20"/>
  <c r="D590" i="20"/>
  <c r="C591" i="20"/>
  <c r="D591" i="20"/>
  <c r="C592" i="20"/>
  <c r="D592" i="20"/>
  <c r="C593" i="20"/>
  <c r="D593" i="20"/>
  <c r="C594" i="20"/>
  <c r="D594" i="20"/>
  <c r="C595" i="20"/>
  <c r="D595" i="20"/>
  <c r="C596" i="20"/>
  <c r="D596" i="20"/>
  <c r="C597" i="20"/>
  <c r="D597" i="20"/>
  <c r="C598" i="20"/>
  <c r="D598" i="20"/>
  <c r="C599" i="20"/>
  <c r="D599" i="20"/>
  <c r="C600" i="20"/>
  <c r="D600" i="20"/>
  <c r="C601" i="20"/>
  <c r="D601" i="20"/>
  <c r="C602" i="20"/>
  <c r="D602" i="20"/>
  <c r="C603" i="20"/>
  <c r="D603" i="20"/>
  <c r="C604" i="20"/>
  <c r="D604" i="20"/>
  <c r="C605" i="20"/>
  <c r="D605" i="20"/>
  <c r="C606" i="20"/>
  <c r="D606" i="20"/>
  <c r="C607" i="20"/>
  <c r="D607" i="20"/>
  <c r="C608" i="20"/>
  <c r="D608" i="20"/>
  <c r="C609" i="20"/>
  <c r="D609" i="20"/>
  <c r="C610" i="20"/>
  <c r="D610" i="20"/>
  <c r="C611" i="20"/>
  <c r="D611"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D118" i="20"/>
  <c r="C118" i="20"/>
  <c r="D117" i="20"/>
  <c r="C117" i="20"/>
  <c r="D116" i="20"/>
  <c r="C116" i="20"/>
  <c r="D115" i="20"/>
  <c r="C115" i="20"/>
  <c r="D114" i="20"/>
  <c r="C114" i="20"/>
  <c r="D113" i="20"/>
  <c r="C113" i="20"/>
  <c r="D112" i="20"/>
  <c r="C112" i="20"/>
  <c r="D111" i="20"/>
  <c r="C111" i="20"/>
  <c r="D110" i="20"/>
  <c r="C110" i="20"/>
  <c r="D109" i="20"/>
  <c r="C109" i="20"/>
  <c r="D108" i="20"/>
  <c r="C108" i="20"/>
  <c r="D107" i="20"/>
  <c r="C107" i="20"/>
  <c r="D106" i="20"/>
  <c r="C106" i="20"/>
  <c r="D105" i="20"/>
  <c r="C105" i="20"/>
  <c r="D104" i="20"/>
  <c r="C104" i="20"/>
  <c r="D103" i="20"/>
  <c r="C103" i="20"/>
  <c r="D102" i="20"/>
  <c r="C102" i="20"/>
  <c r="D101" i="20"/>
  <c r="C101" i="20"/>
  <c r="D100" i="20"/>
  <c r="C100" i="20"/>
  <c r="D99" i="20"/>
  <c r="C99" i="20"/>
  <c r="D98" i="20"/>
  <c r="C98" i="20"/>
  <c r="D97" i="20"/>
  <c r="C97" i="20"/>
  <c r="D96" i="20"/>
  <c r="C96" i="20"/>
  <c r="D95" i="20"/>
  <c r="C95" i="20"/>
  <c r="D94" i="20"/>
  <c r="C94" i="20"/>
  <c r="D93" i="20"/>
  <c r="C93" i="20"/>
  <c r="D92" i="20"/>
  <c r="C92" i="20"/>
  <c r="D91" i="20"/>
  <c r="C91" i="20"/>
  <c r="D90" i="20"/>
  <c r="C90" i="20"/>
  <c r="D89" i="20"/>
  <c r="C89" i="20"/>
  <c r="D88" i="20"/>
  <c r="C88" i="20"/>
  <c r="D87" i="20"/>
  <c r="C87" i="20"/>
  <c r="D86" i="20"/>
  <c r="C86" i="20"/>
  <c r="D85" i="20"/>
  <c r="C85" i="20"/>
  <c r="D84" i="20"/>
  <c r="C84" i="20"/>
  <c r="D83" i="20"/>
  <c r="C83" i="20"/>
  <c r="D82" i="20"/>
  <c r="C82" i="20"/>
  <c r="D81" i="20"/>
  <c r="C81" i="20"/>
  <c r="D80" i="20"/>
  <c r="C80" i="20"/>
  <c r="D79" i="20"/>
  <c r="C79" i="20"/>
  <c r="D78" i="20"/>
  <c r="C78" i="20"/>
  <c r="D77" i="20"/>
  <c r="C77" i="20"/>
  <c r="D76" i="20"/>
  <c r="C76" i="20"/>
  <c r="D74" i="20"/>
  <c r="C74" i="20"/>
  <c r="D73" i="20"/>
  <c r="C73" i="20"/>
  <c r="D72" i="20"/>
  <c r="C72" i="20"/>
  <c r="D71" i="20"/>
  <c r="C71" i="20"/>
  <c r="D70" i="20"/>
  <c r="C70" i="20"/>
  <c r="D69" i="20"/>
  <c r="C69" i="20"/>
  <c r="D68" i="20"/>
  <c r="C68" i="20"/>
  <c r="D67" i="20"/>
  <c r="C67" i="20"/>
  <c r="D66" i="20"/>
  <c r="C66" i="20"/>
  <c r="D65" i="20"/>
  <c r="C65" i="20"/>
  <c r="D64" i="20"/>
  <c r="C64" i="20"/>
  <c r="D63" i="20"/>
  <c r="C63" i="20"/>
  <c r="D62" i="20"/>
  <c r="C62" i="20"/>
  <c r="D61" i="20"/>
  <c r="C61" i="20"/>
  <c r="D60" i="20"/>
  <c r="C60" i="20"/>
  <c r="D59" i="20"/>
  <c r="C59" i="20"/>
  <c r="I142" i="29" l="1"/>
  <c r="M142" i="29" s="1"/>
  <c r="I143" i="29"/>
  <c r="M143" i="29" s="1"/>
  <c r="I144" i="29"/>
  <c r="M144" i="29" s="1"/>
  <c r="I145" i="29"/>
  <c r="M145" i="29" s="1"/>
  <c r="I146" i="29"/>
  <c r="M146" i="29" s="1"/>
  <c r="I147" i="29"/>
  <c r="M147" i="29" s="1"/>
  <c r="I148" i="29"/>
  <c r="M148" i="29" s="1"/>
  <c r="K465" i="20" l="1"/>
  <c r="K110" i="20"/>
  <c r="K873" i="20"/>
  <c r="K441" i="20"/>
  <c r="K86" i="20"/>
  <c r="K405" i="20"/>
  <c r="K84" i="20"/>
  <c r="K601" i="20"/>
  <c r="K393" i="20"/>
  <c r="K521" i="20"/>
  <c r="K830" i="20"/>
  <c r="K449" i="20"/>
  <c r="K461" i="20"/>
  <c r="K409" i="20"/>
  <c r="K569" i="20"/>
  <c r="K585" i="20"/>
  <c r="K742" i="20"/>
  <c r="K501" i="20"/>
  <c r="K118" i="20"/>
  <c r="K553" i="20"/>
  <c r="K613" i="20"/>
  <c r="K565" i="20"/>
  <c r="K457" i="20"/>
  <c r="K425" i="20"/>
  <c r="K561" i="20"/>
  <c r="K65" i="20"/>
  <c r="K549" i="20"/>
  <c r="K533" i="20"/>
  <c r="K617" i="20"/>
  <c r="K592" i="20"/>
  <c r="K417" i="20"/>
  <c r="K857" i="20"/>
  <c r="K453" i="20"/>
  <c r="K513" i="20"/>
  <c r="K361" i="20"/>
  <c r="K694" i="20"/>
  <c r="K442" i="20"/>
  <c r="K485" i="20"/>
  <c r="K548" i="20"/>
  <c r="K452" i="20"/>
  <c r="K433" i="20"/>
  <c r="K353" i="20"/>
  <c r="K782" i="20"/>
  <c r="K625" i="20"/>
  <c r="K108" i="20"/>
  <c r="K98" i="20"/>
  <c r="K706" i="20"/>
  <c r="K615" i="20"/>
  <c r="K410" i="20"/>
  <c r="K429" i="20"/>
  <c r="K426" i="20"/>
  <c r="K365" i="20"/>
  <c r="K76" i="20"/>
  <c r="K106" i="20"/>
  <c r="K79" i="20"/>
  <c r="K115" i="20"/>
  <c r="K541" i="20"/>
  <c r="K116" i="20"/>
  <c r="K421" i="20"/>
  <c r="K746" i="20"/>
  <c r="K861" i="20"/>
  <c r="K729" i="20"/>
  <c r="K643" i="20"/>
  <c r="K730" i="20"/>
  <c r="K825" i="20"/>
  <c r="K844" i="20"/>
  <c r="K600" i="20"/>
  <c r="K573" i="20"/>
  <c r="K618" i="20"/>
  <c r="K602" i="20"/>
  <c r="K381" i="20"/>
  <c r="K778" i="20"/>
  <c r="K389" i="20"/>
  <c r="K538" i="20"/>
  <c r="K356" i="20"/>
  <c r="K711" i="20"/>
  <c r="K499" i="20"/>
  <c r="K493" i="20"/>
  <c r="K448" i="20"/>
  <c r="K440" i="20"/>
  <c r="K843" i="20"/>
  <c r="K445" i="20"/>
  <c r="K83" i="20"/>
  <c r="K88" i="20"/>
  <c r="K91" i="20"/>
  <c r="K72" i="20"/>
  <c r="K596" i="20"/>
  <c r="K674" i="20"/>
  <c r="K532" i="20"/>
  <c r="K620" i="20"/>
  <c r="K604" i="20"/>
  <c r="K516" i="20"/>
  <c r="K480" i="20"/>
  <c r="K621" i="20"/>
  <c r="K605" i="20"/>
  <c r="K507" i="20"/>
  <c r="K397" i="20"/>
  <c r="K413" i="20"/>
  <c r="K713" i="20"/>
  <c r="K849" i="20"/>
  <c r="K744" i="20"/>
  <c r="K586" i="20"/>
  <c r="K472" i="20"/>
  <c r="K874" i="20"/>
  <c r="K362" i="20"/>
  <c r="K676" i="20"/>
  <c r="K570" i="20"/>
  <c r="K511" i="20"/>
  <c r="K623" i="20"/>
  <c r="K109" i="20"/>
  <c r="K443" i="20"/>
  <c r="K690" i="20"/>
  <c r="K543" i="20"/>
  <c r="K380" i="20"/>
  <c r="K607" i="20"/>
  <c r="K544" i="20"/>
  <c r="K117" i="20"/>
  <c r="K415" i="20"/>
  <c r="K654" i="20"/>
  <c r="K638" i="20"/>
  <c r="K816" i="20"/>
  <c r="K800" i="20"/>
  <c r="K467" i="20"/>
  <c r="K840" i="20"/>
  <c r="K755" i="20"/>
  <c r="K423" i="20"/>
  <c r="K821" i="20"/>
  <c r="K805" i="20"/>
  <c r="K702" i="20"/>
  <c r="K835" i="20"/>
  <c r="K432" i="20"/>
  <c r="K720" i="20"/>
  <c r="K685" i="20"/>
  <c r="K669" i="20"/>
  <c r="K751" i="20"/>
  <c r="K851" i="20"/>
  <c r="K535" i="20"/>
  <c r="K595" i="20"/>
  <c r="K488" i="20"/>
  <c r="K783" i="20"/>
  <c r="K697" i="20"/>
  <c r="K463" i="20"/>
  <c r="K853" i="20"/>
  <c r="K61" i="20"/>
  <c r="K95" i="20"/>
  <c r="K82" i="20"/>
  <c r="K63" i="20"/>
  <c r="K631" i="20"/>
  <c r="K420" i="20"/>
  <c r="K588" i="20"/>
  <c r="K536" i="20"/>
  <c r="K447" i="20"/>
  <c r="K619" i="20"/>
  <c r="K603" i="20"/>
  <c r="K587" i="20"/>
  <c r="K650" i="20"/>
  <c r="K634" i="20"/>
  <c r="K812" i="20"/>
  <c r="K796" i="20"/>
  <c r="K836" i="20"/>
  <c r="K737" i="20"/>
  <c r="K780" i="20"/>
  <c r="K655" i="20"/>
  <c r="K639" i="20"/>
  <c r="K817" i="20"/>
  <c r="K801" i="20"/>
  <c r="K767" i="20"/>
  <c r="K659" i="20"/>
  <c r="K831" i="20"/>
  <c r="K716" i="20"/>
  <c r="K681" i="20"/>
  <c r="K665" i="20"/>
  <c r="K862" i="20"/>
  <c r="K407" i="20"/>
  <c r="K752" i="20"/>
  <c r="K696" i="20"/>
  <c r="K396" i="20"/>
  <c r="K130" i="20"/>
  <c r="K756" i="20"/>
  <c r="K869" i="20"/>
  <c r="K73" i="20"/>
  <c r="K111" i="20"/>
  <c r="K77" i="20"/>
  <c r="K481" i="20"/>
  <c r="K686" i="20"/>
  <c r="K584" i="20"/>
  <c r="K503" i="20"/>
  <c r="K572" i="20"/>
  <c r="K682" i="20"/>
  <c r="K385" i="20"/>
  <c r="K559" i="20"/>
  <c r="K391" i="20"/>
  <c r="K372" i="20"/>
  <c r="K646" i="20"/>
  <c r="K824" i="20"/>
  <c r="K808" i="20"/>
  <c r="K662" i="20"/>
  <c r="K832" i="20"/>
  <c r="K733" i="20"/>
  <c r="K763" i="20"/>
  <c r="K651" i="20"/>
  <c r="K635" i="20"/>
  <c r="K813" i="20"/>
  <c r="K797" i="20"/>
  <c r="K475" i="20"/>
  <c r="K865" i="20"/>
  <c r="K827" i="20"/>
  <c r="K705" i="20"/>
  <c r="K677" i="20"/>
  <c r="K777" i="20"/>
  <c r="K743" i="20"/>
  <c r="K764" i="20"/>
  <c r="K471" i="20"/>
  <c r="K367" i="20"/>
  <c r="K431" i="20"/>
  <c r="K740" i="20"/>
  <c r="K439" i="20"/>
  <c r="K492" i="20"/>
  <c r="K464" i="20"/>
  <c r="K94" i="20"/>
  <c r="K90" i="20"/>
  <c r="K62" i="20"/>
  <c r="K67" i="20"/>
  <c r="K96" i="20"/>
  <c r="K455" i="20"/>
  <c r="K704" i="20"/>
  <c r="K719" i="20"/>
  <c r="K547" i="20"/>
  <c r="K112" i="20"/>
  <c r="K577" i="20"/>
  <c r="K859" i="20"/>
  <c r="K568" i="20"/>
  <c r="K529" i="20"/>
  <c r="K693" i="20"/>
  <c r="K611" i="20"/>
  <c r="K555" i="20"/>
  <c r="K717" i="20"/>
  <c r="K563" i="20"/>
  <c r="K642" i="20"/>
  <c r="K820" i="20"/>
  <c r="K804" i="20"/>
  <c r="K768" i="20"/>
  <c r="K828" i="20"/>
  <c r="K750" i="20"/>
  <c r="K877" i="20"/>
  <c r="K759" i="20"/>
  <c r="K647" i="20"/>
  <c r="K856" i="20"/>
  <c r="K809" i="20"/>
  <c r="K793" i="20"/>
  <c r="K468" i="20"/>
  <c r="K839" i="20"/>
  <c r="K456" i="20"/>
  <c r="K724" i="20"/>
  <c r="K689" i="20"/>
  <c r="K673" i="20"/>
  <c r="K773" i="20"/>
  <c r="K734" i="20"/>
  <c r="K760" i="20"/>
  <c r="K599" i="20"/>
  <c r="K60" i="20"/>
  <c r="K715" i="20"/>
  <c r="K355" i="20"/>
  <c r="K411" i="20"/>
  <c r="K747" i="20"/>
  <c r="K872" i="20"/>
  <c r="K427" i="20"/>
  <c r="K368" i="20"/>
  <c r="K359" i="20"/>
  <c r="K868" i="20"/>
  <c r="K360" i="20"/>
  <c r="K68" i="20"/>
  <c r="K99" i="20"/>
  <c r="K64" i="20"/>
  <c r="K104" i="20"/>
  <c r="K69" i="20"/>
  <c r="K107" i="20"/>
  <c r="K89" i="20"/>
  <c r="K70" i="20"/>
  <c r="K571" i="20"/>
  <c r="K387" i="20"/>
  <c r="K528" i="20"/>
  <c r="K483" i="20"/>
  <c r="K616" i="20"/>
  <c r="K560" i="20"/>
  <c r="K725" i="20"/>
  <c r="K523" i="20"/>
  <c r="K709" i="20"/>
  <c r="K721" i="20"/>
  <c r="K540" i="20"/>
  <c r="K512" i="20"/>
  <c r="K401" i="20"/>
  <c r="K723" i="20"/>
  <c r="K871" i="20"/>
  <c r="K810" i="20"/>
  <c r="K794" i="20"/>
  <c r="K701" i="20"/>
  <c r="K776" i="20"/>
  <c r="K735" i="20"/>
  <c r="K765" i="20"/>
  <c r="K412" i="20"/>
  <c r="K653" i="20"/>
  <c r="K637" i="20"/>
  <c r="K815" i="20"/>
  <c r="K799" i="20"/>
  <c r="K509" i="20"/>
  <c r="K867" i="20"/>
  <c r="K829" i="20"/>
  <c r="K388" i="20"/>
  <c r="K707" i="20"/>
  <c r="K679" i="20"/>
  <c r="K848" i="20"/>
  <c r="K745" i="20"/>
  <c r="K781" i="20"/>
  <c r="K554" i="20"/>
  <c r="K787" i="20"/>
  <c r="K428" i="20"/>
  <c r="K132" i="20"/>
  <c r="K436" i="20"/>
  <c r="K487" i="20"/>
  <c r="K624" i="20"/>
  <c r="K863" i="20"/>
  <c r="K451" i="20"/>
  <c r="K852" i="20"/>
  <c r="K741" i="20"/>
  <c r="K85" i="20"/>
  <c r="K113" i="20"/>
  <c r="K81" i="20"/>
  <c r="K105" i="20"/>
  <c r="K87" i="20"/>
  <c r="K567" i="20"/>
  <c r="K519" i="20"/>
  <c r="K479" i="20"/>
  <c r="K612" i="20"/>
  <c r="K556" i="20"/>
  <c r="K670" i="20"/>
  <c r="K579" i="20"/>
  <c r="K495" i="20"/>
  <c r="K666" i="20"/>
  <c r="K531" i="20"/>
  <c r="K497" i="20"/>
  <c r="K727" i="20"/>
  <c r="K557" i="20"/>
  <c r="K379" i="20"/>
  <c r="K644" i="20"/>
  <c r="K785" i="20"/>
  <c r="K660" i="20"/>
  <c r="K772" i="20"/>
  <c r="K731" i="20"/>
  <c r="K761" i="20"/>
  <c r="K373" i="20"/>
  <c r="K649" i="20"/>
  <c r="K633" i="20"/>
  <c r="K811" i="20"/>
  <c r="K795" i="20"/>
  <c r="K841" i="20"/>
  <c r="K458" i="20"/>
  <c r="K377" i="20"/>
  <c r="K675" i="20"/>
  <c r="K775" i="20"/>
  <c r="K736" i="20"/>
  <c r="K762" i="20"/>
  <c r="K404" i="20"/>
  <c r="K93" i="20"/>
  <c r="K371" i="20"/>
  <c r="K757" i="20"/>
  <c r="K860" i="20"/>
  <c r="K384" i="20"/>
  <c r="K491" i="20"/>
  <c r="K383" i="20"/>
  <c r="K392" i="20"/>
  <c r="K864" i="20"/>
  <c r="K855" i="20"/>
  <c r="K460" i="20"/>
  <c r="K435" i="20"/>
  <c r="K101" i="20"/>
  <c r="K66" i="20"/>
  <c r="K97" i="20"/>
  <c r="K71" i="20"/>
  <c r="K102" i="20"/>
  <c r="K74" i="20"/>
  <c r="K103" i="20"/>
  <c r="K692" i="20"/>
  <c r="K552" i="20"/>
  <c r="K515" i="20"/>
  <c r="K608" i="20"/>
  <c r="K545" i="20"/>
  <c r="K114" i="20"/>
  <c r="K564" i="20"/>
  <c r="K628" i="20"/>
  <c r="K527" i="20"/>
  <c r="K484" i="20"/>
  <c r="K609" i="20"/>
  <c r="K678" i="20"/>
  <c r="K477" i="20"/>
  <c r="K424" i="20"/>
  <c r="K469" i="20"/>
  <c r="K842" i="20"/>
  <c r="K826" i="20"/>
  <c r="K748" i="20"/>
  <c r="K875" i="20"/>
  <c r="K739" i="20"/>
  <c r="K369" i="20"/>
  <c r="K645" i="20"/>
  <c r="K823" i="20"/>
  <c r="K807" i="20"/>
  <c r="K788" i="20"/>
  <c r="K837" i="20"/>
  <c r="K444" i="20"/>
  <c r="K722" i="20"/>
  <c r="K687" i="20"/>
  <c r="K671" i="20"/>
  <c r="K771" i="20"/>
  <c r="K732" i="20"/>
  <c r="K395" i="20"/>
  <c r="K416" i="20"/>
  <c r="K657" i="20"/>
  <c r="K641" i="20"/>
  <c r="K819" i="20"/>
  <c r="K803" i="20"/>
  <c r="K784" i="20"/>
  <c r="K661" i="20"/>
  <c r="K833" i="20"/>
  <c r="K683" i="20"/>
  <c r="K667" i="20"/>
  <c r="K749" i="20"/>
  <c r="K876" i="20"/>
  <c r="K551" i="20"/>
  <c r="K419" i="20"/>
  <c r="K92" i="20"/>
  <c r="K403" i="20"/>
  <c r="I361" i="20"/>
  <c r="I511" i="20"/>
  <c r="I223" i="20"/>
  <c r="I29" i="20"/>
  <c r="I17" i="20"/>
  <c r="I65" i="20"/>
  <c r="I541" i="20"/>
  <c r="I380" i="20"/>
  <c r="I672" i="20"/>
  <c r="K672" i="20"/>
  <c r="I415" i="20"/>
  <c r="I840" i="20"/>
  <c r="I643" i="20"/>
  <c r="I835" i="20"/>
  <c r="I669" i="20"/>
  <c r="I825" i="20"/>
  <c r="I177" i="20"/>
  <c r="I600" i="20"/>
  <c r="I145" i="20"/>
  <c r="I574" i="20"/>
  <c r="K574" i="20"/>
  <c r="I312" i="20"/>
  <c r="I221" i="20"/>
  <c r="I493" i="20"/>
  <c r="I448" i="20"/>
  <c r="I440" i="20"/>
  <c r="I843" i="20"/>
  <c r="I445" i="20"/>
  <c r="I174" i="20"/>
  <c r="I13" i="20"/>
  <c r="I48" i="20"/>
  <c r="I83" i="20"/>
  <c r="I199" i="20"/>
  <c r="I20" i="20"/>
  <c r="I345" i="20"/>
  <c r="I46" i="20"/>
  <c r="I88" i="20"/>
  <c r="I165" i="20"/>
  <c r="I8" i="20"/>
  <c r="I343" i="20"/>
  <c r="I44" i="20"/>
  <c r="I91" i="20"/>
  <c r="I139" i="20"/>
  <c r="I72" i="20"/>
  <c r="I14" i="20"/>
  <c r="I596" i="20"/>
  <c r="I433" i="20"/>
  <c r="I674" i="20"/>
  <c r="I532" i="20"/>
  <c r="I501" i="20"/>
  <c r="I620" i="20"/>
  <c r="I604" i="20"/>
  <c r="I521" i="20"/>
  <c r="I118" i="20"/>
  <c r="I549" i="20"/>
  <c r="I353" i="20"/>
  <c r="I18" i="20"/>
  <c r="I438" i="20"/>
  <c r="K438" i="20"/>
  <c r="I599" i="20"/>
  <c r="I516" i="20"/>
  <c r="I480" i="20"/>
  <c r="I621" i="20"/>
  <c r="I605" i="20"/>
  <c r="I507" i="20"/>
  <c r="I594" i="20"/>
  <c r="K594" i="20"/>
  <c r="I397" i="20"/>
  <c r="I413" i="20"/>
  <c r="I652" i="20"/>
  <c r="K652" i="20"/>
  <c r="I636" i="20"/>
  <c r="K636" i="20"/>
  <c r="I814" i="20"/>
  <c r="K814" i="20"/>
  <c r="I798" i="20"/>
  <c r="K798" i="20"/>
  <c r="I713" i="20"/>
  <c r="I838" i="20"/>
  <c r="K838" i="20"/>
  <c r="I849" i="20"/>
  <c r="I744" i="20"/>
  <c r="I782" i="20"/>
  <c r="I416" i="20"/>
  <c r="I657" i="20"/>
  <c r="I641" i="20"/>
  <c r="I819" i="20"/>
  <c r="I803" i="20"/>
  <c r="I784" i="20"/>
  <c r="I661" i="20"/>
  <c r="I833" i="20"/>
  <c r="I402" i="20"/>
  <c r="K402" i="20"/>
  <c r="I718" i="20"/>
  <c r="K718" i="20"/>
  <c r="I683" i="20"/>
  <c r="I667" i="20"/>
  <c r="I749" i="20"/>
  <c r="I876" i="20"/>
  <c r="I551" i="20"/>
  <c r="I419" i="20"/>
  <c r="I592" i="20"/>
  <c r="I694" i="20"/>
  <c r="I452" i="20"/>
  <c r="I22" i="20"/>
  <c r="I196" i="20"/>
  <c r="I664" i="20"/>
  <c r="K664" i="20"/>
  <c r="I510" i="20"/>
  <c r="K510" i="20"/>
  <c r="I544" i="20"/>
  <c r="I816" i="20"/>
  <c r="I861" i="20"/>
  <c r="I786" i="20"/>
  <c r="K786" i="20"/>
  <c r="I685" i="20"/>
  <c r="I356" i="20"/>
  <c r="I711" i="20"/>
  <c r="I499" i="20"/>
  <c r="I327" i="20"/>
  <c r="I189" i="20"/>
  <c r="I873" i="20"/>
  <c r="I425" i="20"/>
  <c r="I535" i="20"/>
  <c r="I595" i="20"/>
  <c r="I393" i="20"/>
  <c r="I561" i="20"/>
  <c r="I488" i="20"/>
  <c r="I783" i="20"/>
  <c r="I742" i="20"/>
  <c r="I697" i="20"/>
  <c r="I854" i="20"/>
  <c r="K854" i="20"/>
  <c r="I434" i="20"/>
  <c r="K434" i="20"/>
  <c r="I463" i="20"/>
  <c r="I622" i="20"/>
  <c r="K622" i="20"/>
  <c r="I691" i="20"/>
  <c r="K691" i="20"/>
  <c r="I853" i="20"/>
  <c r="I148" i="20"/>
  <c r="I61" i="20"/>
  <c r="I325" i="20"/>
  <c r="I39" i="20"/>
  <c r="I92" i="20"/>
  <c r="I171" i="20"/>
  <c r="I11" i="20"/>
  <c r="I266" i="20"/>
  <c r="I37" i="20"/>
  <c r="I95" i="20"/>
  <c r="I141" i="20"/>
  <c r="I60" i="20"/>
  <c r="I251" i="20"/>
  <c r="I35" i="20"/>
  <c r="I100" i="20"/>
  <c r="K100" i="20"/>
  <c r="I75" i="20"/>
  <c r="I82" i="20"/>
  <c r="I158" i="20"/>
  <c r="I63" i="20"/>
  <c r="I573" i="20"/>
  <c r="I403" i="20"/>
  <c r="I631" i="20"/>
  <c r="I530" i="20"/>
  <c r="K530" i="20"/>
  <c r="I485" i="20"/>
  <c r="I618" i="20"/>
  <c r="I602" i="20"/>
  <c r="I420" i="20"/>
  <c r="I588" i="20"/>
  <c r="I536" i="20"/>
  <c r="I715" i="20"/>
  <c r="I10" i="20"/>
  <c r="I355" i="20"/>
  <c r="I553" i="20"/>
  <c r="I514" i="20"/>
  <c r="K514" i="20"/>
  <c r="I447" i="20"/>
  <c r="I619" i="20"/>
  <c r="I603" i="20"/>
  <c r="I502" i="20"/>
  <c r="K502" i="20"/>
  <c r="I587" i="20"/>
  <c r="I381" i="20"/>
  <c r="I411" i="20"/>
  <c r="I650" i="20"/>
  <c r="I634" i="20"/>
  <c r="I812" i="20"/>
  <c r="I796" i="20"/>
  <c r="I703" i="20"/>
  <c r="K703" i="20"/>
  <c r="I836" i="20"/>
  <c r="I778" i="20"/>
  <c r="I737" i="20"/>
  <c r="I780" i="20"/>
  <c r="I414" i="20"/>
  <c r="K414" i="20"/>
  <c r="I655" i="20"/>
  <c r="I639" i="20"/>
  <c r="I817" i="20"/>
  <c r="I801" i="20"/>
  <c r="I767" i="20"/>
  <c r="I659" i="20"/>
  <c r="I831" i="20"/>
  <c r="I390" i="20"/>
  <c r="K390" i="20"/>
  <c r="I716" i="20"/>
  <c r="I681" i="20"/>
  <c r="I665" i="20"/>
  <c r="I747" i="20"/>
  <c r="I862" i="20"/>
  <c r="I407" i="20"/>
  <c r="I332" i="20"/>
  <c r="I738" i="20"/>
  <c r="K738" i="20"/>
  <c r="I324" i="20"/>
  <c r="I489" i="20"/>
  <c r="K489" i="20"/>
  <c r="I110" i="20"/>
  <c r="I106" i="20"/>
  <c r="I52" i="20"/>
  <c r="I115" i="20"/>
  <c r="I606" i="20"/>
  <c r="K606" i="20"/>
  <c r="I26" i="20"/>
  <c r="I482" i="20"/>
  <c r="K482" i="20"/>
  <c r="I654" i="20"/>
  <c r="I746" i="20"/>
  <c r="I805" i="20"/>
  <c r="I366" i="20"/>
  <c r="K366" i="20"/>
  <c r="I368" i="20"/>
  <c r="I222" i="20"/>
  <c r="I409" i="20"/>
  <c r="I213" i="20"/>
  <c r="I566" i="20"/>
  <c r="K566" i="20"/>
  <c r="I417" i="20"/>
  <c r="I359" i="20"/>
  <c r="I358" i="20"/>
  <c r="K358" i="20"/>
  <c r="I453" i="20"/>
  <c r="I868" i="20"/>
  <c r="I360" i="20"/>
  <c r="I870" i="20"/>
  <c r="K870" i="20"/>
  <c r="I68" i="20"/>
  <c r="I239" i="20"/>
  <c r="I30" i="20"/>
  <c r="I99" i="20"/>
  <c r="I143" i="20"/>
  <c r="I64" i="20"/>
  <c r="I237" i="20"/>
  <c r="I28" i="20"/>
  <c r="I104" i="20"/>
  <c r="I120" i="20"/>
  <c r="I69" i="20"/>
  <c r="I227" i="20"/>
  <c r="I25" i="20"/>
  <c r="I107" i="20"/>
  <c r="I51" i="20"/>
  <c r="I89" i="20"/>
  <c r="I136" i="20"/>
  <c r="I70" i="20"/>
  <c r="I571" i="20"/>
  <c r="I387" i="20"/>
  <c r="I629" i="20"/>
  <c r="K629" i="20"/>
  <c r="I528" i="20"/>
  <c r="I483" i="20"/>
  <c r="I616" i="20"/>
  <c r="I560" i="20"/>
  <c r="I725" i="20"/>
  <c r="I586" i="20"/>
  <c r="I523" i="20"/>
  <c r="I709" i="20"/>
  <c r="I590" i="20"/>
  <c r="K590" i="20"/>
  <c r="I721" i="20"/>
  <c r="I540" i="20"/>
  <c r="I512" i="20"/>
  <c r="I401" i="20"/>
  <c r="I617" i="20"/>
  <c r="I601" i="20"/>
  <c r="I494" i="20"/>
  <c r="K494" i="20"/>
  <c r="I585" i="20"/>
  <c r="I723" i="20"/>
  <c r="I374" i="20"/>
  <c r="K374" i="20"/>
  <c r="I648" i="20"/>
  <c r="K648" i="20"/>
  <c r="I871" i="20"/>
  <c r="I810" i="20"/>
  <c r="I794" i="20"/>
  <c r="I701" i="20"/>
  <c r="I834" i="20"/>
  <c r="K834" i="20"/>
  <c r="I776" i="20"/>
  <c r="I735" i="20"/>
  <c r="I765" i="20"/>
  <c r="I412" i="20"/>
  <c r="I653" i="20"/>
  <c r="I637" i="20"/>
  <c r="I815" i="20"/>
  <c r="I799" i="20"/>
  <c r="I509" i="20"/>
  <c r="I867" i="20"/>
  <c r="I829" i="20"/>
  <c r="I388" i="20"/>
  <c r="I707" i="20"/>
  <c r="I679" i="20"/>
  <c r="I848" i="20"/>
  <c r="I745" i="20"/>
  <c r="I781" i="20"/>
  <c r="I554" i="20"/>
  <c r="I170" i="20"/>
  <c r="I178" i="20"/>
  <c r="I427" i="20"/>
  <c r="I696" i="20"/>
  <c r="I154" i="20"/>
  <c r="I756" i="20"/>
  <c r="I754" i="20"/>
  <c r="K754" i="20"/>
  <c r="I357" i="20"/>
  <c r="K357" i="20"/>
  <c r="I394" i="20"/>
  <c r="K394" i="20"/>
  <c r="I766" i="20"/>
  <c r="K766" i="20"/>
  <c r="I869" i="20"/>
  <c r="I57" i="20"/>
  <c r="I78" i="20"/>
  <c r="K78" i="20"/>
  <c r="I207" i="20"/>
  <c r="I21" i="20"/>
  <c r="I108" i="20"/>
  <c r="I122" i="20"/>
  <c r="I73" i="20"/>
  <c r="I198" i="20"/>
  <c r="I19" i="20"/>
  <c r="I111" i="20"/>
  <c r="I53" i="20"/>
  <c r="I77" i="20"/>
  <c r="I191" i="20"/>
  <c r="I16" i="20"/>
  <c r="I342" i="20"/>
  <c r="I43" i="20"/>
  <c r="I98" i="20"/>
  <c r="I58" i="20"/>
  <c r="I80" i="20"/>
  <c r="K80" i="20"/>
  <c r="I569" i="20"/>
  <c r="I354" i="20"/>
  <c r="K354" i="20"/>
  <c r="I627" i="20"/>
  <c r="K627" i="20"/>
  <c r="I526" i="20"/>
  <c r="K526" i="20"/>
  <c r="I481" i="20"/>
  <c r="I614" i="20"/>
  <c r="K614" i="20"/>
  <c r="I558" i="20"/>
  <c r="K558" i="20"/>
  <c r="I686" i="20"/>
  <c r="I584" i="20"/>
  <c r="I503" i="20"/>
  <c r="I706" i="20"/>
  <c r="I572" i="20"/>
  <c r="I682" i="20"/>
  <c r="I533" i="20"/>
  <c r="I505" i="20"/>
  <c r="K505" i="20"/>
  <c r="I385" i="20"/>
  <c r="I615" i="20"/>
  <c r="I559" i="20"/>
  <c r="I391" i="20"/>
  <c r="I578" i="20"/>
  <c r="K578" i="20"/>
  <c r="I684" i="20"/>
  <c r="K684" i="20"/>
  <c r="I372" i="20"/>
  <c r="I646" i="20"/>
  <c r="I824" i="20"/>
  <c r="I808" i="20"/>
  <c r="I787" i="20"/>
  <c r="I662" i="20"/>
  <c r="I832" i="20"/>
  <c r="I774" i="20"/>
  <c r="K774" i="20"/>
  <c r="I733" i="20"/>
  <c r="I763" i="20"/>
  <c r="I410" i="20"/>
  <c r="I651" i="20"/>
  <c r="I635" i="20"/>
  <c r="I813" i="20"/>
  <c r="I797" i="20"/>
  <c r="I475" i="20"/>
  <c r="I865" i="20"/>
  <c r="I827" i="20"/>
  <c r="I386" i="20"/>
  <c r="K386" i="20"/>
  <c r="I705" i="20"/>
  <c r="I677" i="20"/>
  <c r="I777" i="20"/>
  <c r="I743" i="20"/>
  <c r="I764" i="20"/>
  <c r="I548" i="20"/>
  <c r="I450" i="20"/>
  <c r="K450" i="20"/>
  <c r="I623" i="20"/>
  <c r="I76" i="20"/>
  <c r="I79" i="20"/>
  <c r="I84" i="20"/>
  <c r="I443" i="20"/>
  <c r="I543" i="20"/>
  <c r="I626" i="20"/>
  <c r="K626" i="20"/>
  <c r="I117" i="20"/>
  <c r="I800" i="20"/>
  <c r="I423" i="20"/>
  <c r="I702" i="20"/>
  <c r="I730" i="20"/>
  <c r="I851" i="20"/>
  <c r="I197" i="20"/>
  <c r="I752" i="20"/>
  <c r="I461" i="20"/>
  <c r="I130" i="20"/>
  <c r="I874" i="20"/>
  <c r="I132" i="20"/>
  <c r="I436" i="20"/>
  <c r="I857" i="20"/>
  <c r="I323" i="20"/>
  <c r="I487" i="20"/>
  <c r="I624" i="20"/>
  <c r="I863" i="20"/>
  <c r="I362" i="20"/>
  <c r="I451" i="20"/>
  <c r="I852" i="20"/>
  <c r="I405" i="20"/>
  <c r="I741" i="20"/>
  <c r="I49" i="20"/>
  <c r="I85" i="20"/>
  <c r="I172" i="20"/>
  <c r="I12" i="20"/>
  <c r="I113" i="20"/>
  <c r="I55" i="20"/>
  <c r="I81" i="20"/>
  <c r="I168" i="20"/>
  <c r="I9" i="20"/>
  <c r="I344" i="20"/>
  <c r="I45" i="20"/>
  <c r="I86" i="20"/>
  <c r="I164" i="20"/>
  <c r="I7" i="20"/>
  <c r="I250" i="20"/>
  <c r="I33" i="20"/>
  <c r="I105" i="20"/>
  <c r="I50" i="20"/>
  <c r="I87" i="20"/>
  <c r="I567" i="20"/>
  <c r="I710" i="20"/>
  <c r="K710" i="20"/>
  <c r="I625" i="20"/>
  <c r="I519" i="20"/>
  <c r="I479" i="20"/>
  <c r="I612" i="20"/>
  <c r="I556" i="20"/>
  <c r="I670" i="20"/>
  <c r="I579" i="20"/>
  <c r="I495" i="20"/>
  <c r="I676" i="20"/>
  <c r="I570" i="20"/>
  <c r="I666" i="20"/>
  <c r="I531" i="20"/>
  <c r="I497" i="20"/>
  <c r="I727" i="20"/>
  <c r="I613" i="20"/>
  <c r="I557" i="20"/>
  <c r="I379" i="20"/>
  <c r="I565" i="20"/>
  <c r="I668" i="20"/>
  <c r="K668" i="20"/>
  <c r="I370" i="20"/>
  <c r="K370" i="20"/>
  <c r="I644" i="20"/>
  <c r="I822" i="20"/>
  <c r="K822" i="20"/>
  <c r="I806" i="20"/>
  <c r="K806" i="20"/>
  <c r="I785" i="20"/>
  <c r="I660" i="20"/>
  <c r="I830" i="20"/>
  <c r="I772" i="20"/>
  <c r="I731" i="20"/>
  <c r="I761" i="20"/>
  <c r="I373" i="20"/>
  <c r="I649" i="20"/>
  <c r="I633" i="20"/>
  <c r="I811" i="20"/>
  <c r="I795" i="20"/>
  <c r="I470" i="20"/>
  <c r="K470" i="20"/>
  <c r="I841" i="20"/>
  <c r="I458" i="20"/>
  <c r="I377" i="20"/>
  <c r="I675" i="20"/>
  <c r="I775" i="20"/>
  <c r="I736" i="20"/>
  <c r="I762" i="20"/>
  <c r="I404" i="20"/>
  <c r="I465" i="20"/>
  <c r="I382" i="20"/>
  <c r="K382" i="20"/>
  <c r="I844" i="20"/>
  <c r="I238" i="20"/>
  <c r="I109" i="20"/>
  <c r="I23" i="20"/>
  <c r="I513" i="20"/>
  <c r="I562" i="20"/>
  <c r="K562" i="20"/>
  <c r="I607" i="20"/>
  <c r="I638" i="20"/>
  <c r="I755" i="20"/>
  <c r="I821" i="20"/>
  <c r="I720" i="20"/>
  <c r="I872" i="20"/>
  <c r="I156" i="20"/>
  <c r="I219" i="20"/>
  <c r="I396" i="20"/>
  <c r="I845" i="20"/>
  <c r="K845" i="20"/>
  <c r="I428" i="20"/>
  <c r="I218" i="20"/>
  <c r="I471" i="20"/>
  <c r="I224" i="20"/>
  <c r="I695" i="20"/>
  <c r="K695" i="20"/>
  <c r="I431" i="20"/>
  <c r="I740" i="20"/>
  <c r="I492" i="20"/>
  <c r="I464" i="20"/>
  <c r="I442" i="20"/>
  <c r="I850" i="20"/>
  <c r="K850" i="20"/>
  <c r="I858" i="20"/>
  <c r="K858" i="20"/>
  <c r="I335" i="20"/>
  <c r="I40" i="20"/>
  <c r="I94" i="20"/>
  <c r="I144" i="20"/>
  <c r="I59" i="20"/>
  <c r="K59" i="20"/>
  <c r="I346" i="20"/>
  <c r="I47" i="20"/>
  <c r="I90" i="20"/>
  <c r="I142" i="20"/>
  <c r="I62" i="20"/>
  <c r="I259" i="20"/>
  <c r="I36" i="20"/>
  <c r="I93" i="20"/>
  <c r="I140" i="20"/>
  <c r="I67" i="20"/>
  <c r="I225" i="20"/>
  <c r="I24" i="20"/>
  <c r="I338" i="20"/>
  <c r="I41" i="20"/>
  <c r="I96" i="20"/>
  <c r="I455" i="20"/>
  <c r="I704" i="20"/>
  <c r="I598" i="20"/>
  <c r="K598" i="20"/>
  <c r="I517" i="20"/>
  <c r="K517" i="20"/>
  <c r="I719" i="20"/>
  <c r="I610" i="20"/>
  <c r="K610" i="20"/>
  <c r="I547" i="20"/>
  <c r="I112" i="20"/>
  <c r="I577" i="20"/>
  <c r="I457" i="20"/>
  <c r="I859" i="20"/>
  <c r="I568" i="20"/>
  <c r="I630" i="20"/>
  <c r="K630" i="20"/>
  <c r="I529" i="20"/>
  <c r="I486" i="20"/>
  <c r="K486" i="20"/>
  <c r="I693" i="20"/>
  <c r="I611" i="20"/>
  <c r="I555" i="20"/>
  <c r="I717" i="20"/>
  <c r="I563" i="20"/>
  <c r="I429" i="20"/>
  <c r="I699" i="20"/>
  <c r="K699" i="20"/>
  <c r="I642" i="20"/>
  <c r="I820" i="20"/>
  <c r="I804" i="20"/>
  <c r="I768" i="20"/>
  <c r="I866" i="20"/>
  <c r="K866" i="20"/>
  <c r="I828" i="20"/>
  <c r="I750" i="20"/>
  <c r="I877" i="20"/>
  <c r="I759" i="20"/>
  <c r="I371" i="20"/>
  <c r="I647" i="20"/>
  <c r="I856" i="20"/>
  <c r="I809" i="20"/>
  <c r="I793" i="20"/>
  <c r="I468" i="20"/>
  <c r="I839" i="20"/>
  <c r="I456" i="20"/>
  <c r="I724" i="20"/>
  <c r="I689" i="20"/>
  <c r="I673" i="20"/>
  <c r="I773" i="20"/>
  <c r="I734" i="20"/>
  <c r="I760" i="20"/>
  <c r="I426" i="20"/>
  <c r="I56" i="20"/>
  <c r="I54" i="20"/>
  <c r="I163" i="20"/>
  <c r="I690" i="20"/>
  <c r="I116" i="20"/>
  <c r="I518" i="20"/>
  <c r="K518" i="20"/>
  <c r="I421" i="20"/>
  <c r="I467" i="20"/>
  <c r="I729" i="20"/>
  <c r="I432" i="20"/>
  <c r="I751" i="20"/>
  <c r="I184" i="20"/>
  <c r="I472" i="20"/>
  <c r="I194" i="20"/>
  <c r="I449" i="20"/>
  <c r="I367" i="20"/>
  <c r="I406" i="20"/>
  <c r="K406" i="20"/>
  <c r="I365" i="20"/>
  <c r="I441" i="20"/>
  <c r="I439" i="20"/>
  <c r="I498" i="20"/>
  <c r="K498" i="20"/>
  <c r="I217" i="20"/>
  <c r="I320" i="20"/>
  <c r="I757" i="20"/>
  <c r="I860" i="20"/>
  <c r="I384" i="20"/>
  <c r="I491" i="20"/>
  <c r="I383" i="20"/>
  <c r="I392" i="20"/>
  <c r="I864" i="20"/>
  <c r="I855" i="20"/>
  <c r="I460" i="20"/>
  <c r="I435" i="20"/>
  <c r="I454" i="20"/>
  <c r="K454" i="20"/>
  <c r="I462" i="20"/>
  <c r="K462" i="20"/>
  <c r="I157" i="20"/>
  <c r="I314" i="20"/>
  <c r="I240" i="20"/>
  <c r="I31" i="20"/>
  <c r="I101" i="20"/>
  <c r="I123" i="20"/>
  <c r="I66" i="20"/>
  <c r="I293" i="20"/>
  <c r="I38" i="20"/>
  <c r="I97" i="20"/>
  <c r="I121" i="20"/>
  <c r="I71" i="20"/>
  <c r="I228" i="20"/>
  <c r="I27" i="20"/>
  <c r="I102" i="20"/>
  <c r="I74" i="20"/>
  <c r="I186" i="20"/>
  <c r="I15" i="20"/>
  <c r="I249" i="20"/>
  <c r="I32" i="20"/>
  <c r="I103" i="20"/>
  <c r="I446" i="20"/>
  <c r="K446" i="20"/>
  <c r="I692" i="20"/>
  <c r="I552" i="20"/>
  <c r="I515" i="20"/>
  <c r="I680" i="20"/>
  <c r="K680" i="20"/>
  <c r="I608" i="20"/>
  <c r="I545" i="20"/>
  <c r="I114" i="20"/>
  <c r="I564" i="20"/>
  <c r="I389" i="20"/>
  <c r="I34" i="20"/>
  <c r="I538" i="20"/>
  <c r="I628" i="20"/>
  <c r="I527" i="20"/>
  <c r="I484" i="20"/>
  <c r="I688" i="20"/>
  <c r="K688" i="20"/>
  <c r="I609" i="20"/>
  <c r="I546" i="20"/>
  <c r="K546" i="20"/>
  <c r="I678" i="20"/>
  <c r="I477" i="20"/>
  <c r="I424" i="20"/>
  <c r="I656" i="20"/>
  <c r="K656" i="20"/>
  <c r="I640" i="20"/>
  <c r="K640" i="20"/>
  <c r="I818" i="20"/>
  <c r="K818" i="20"/>
  <c r="I802" i="20"/>
  <c r="K802" i="20"/>
  <c r="I469" i="20"/>
  <c r="I842" i="20"/>
  <c r="I826" i="20"/>
  <c r="I748" i="20"/>
  <c r="I875" i="20"/>
  <c r="I739" i="20"/>
  <c r="I369" i="20"/>
  <c r="I645" i="20"/>
  <c r="I823" i="20"/>
  <c r="I807" i="20"/>
  <c r="I788" i="20"/>
  <c r="I466" i="20"/>
  <c r="K466" i="20"/>
  <c r="I837" i="20"/>
  <c r="I444" i="20"/>
  <c r="I722" i="20"/>
  <c r="I687" i="20"/>
  <c r="I671" i="20"/>
  <c r="I771" i="20"/>
  <c r="I732" i="20"/>
  <c r="I758" i="20"/>
  <c r="K758" i="20"/>
  <c r="I395" i="20"/>
  <c r="I6" i="20"/>
  <c r="G7" i="1"/>
  <c r="G8" i="1"/>
  <c r="G9" i="1"/>
  <c r="G10" i="1"/>
  <c r="G11" i="1"/>
  <c r="G12" i="1"/>
  <c r="G13" i="1"/>
  <c r="G14" i="1"/>
  <c r="G15" i="1"/>
  <c r="G16" i="1"/>
  <c r="G17" i="1"/>
  <c r="G18" i="1"/>
  <c r="G21" i="1"/>
  <c r="G22" i="1"/>
  <c r="G23" i="1"/>
  <c r="I992" i="2" s="1"/>
  <c r="L992" i="2" s="1"/>
  <c r="G24" i="1"/>
  <c r="G25" i="1"/>
  <c r="G27" i="1"/>
  <c r="G28" i="1"/>
  <c r="G29" i="1"/>
  <c r="G30" i="1"/>
  <c r="J174" i="11" s="1"/>
  <c r="M174" i="11" s="1"/>
  <c r="G31" i="1"/>
  <c r="G32" i="1"/>
  <c r="G33" i="1"/>
  <c r="J43" i="11" s="1"/>
  <c r="M43" i="11" s="1"/>
  <c r="G34" i="1"/>
  <c r="J185" i="11" s="1"/>
  <c r="M185" i="11" s="1"/>
  <c r="G35" i="1"/>
  <c r="G36" i="1"/>
  <c r="G37" i="1"/>
  <c r="G38" i="1"/>
  <c r="G39" i="1"/>
  <c r="G40" i="1"/>
  <c r="G41" i="1"/>
  <c r="G42" i="1"/>
  <c r="G43" i="1"/>
  <c r="G45" i="1"/>
  <c r="G46" i="1"/>
  <c r="G47" i="1"/>
  <c r="G48" i="1"/>
  <c r="I1037" i="2" s="1"/>
  <c r="L1037" i="2" s="1"/>
  <c r="G49" i="1"/>
  <c r="G50" i="1"/>
  <c r="G51" i="1"/>
  <c r="G52" i="1"/>
  <c r="G53" i="1"/>
  <c r="G54" i="1"/>
  <c r="G55" i="1"/>
  <c r="G56" i="1"/>
  <c r="G58" i="1"/>
  <c r="G62" i="1"/>
  <c r="G63" i="1"/>
  <c r="G64" i="1"/>
  <c r="I1049" i="2" s="1"/>
  <c r="L1049" i="2" s="1"/>
  <c r="G65" i="1"/>
  <c r="G66" i="1"/>
  <c r="G67" i="1"/>
  <c r="G68" i="1"/>
  <c r="G70" i="1"/>
  <c r="G71" i="1"/>
  <c r="G72" i="1"/>
  <c r="G73" i="1"/>
  <c r="G74" i="1"/>
  <c r="I248" i="2" s="1"/>
  <c r="L248" i="2" s="1"/>
  <c r="G76" i="1"/>
  <c r="G77" i="1"/>
  <c r="G79" i="1"/>
  <c r="G80" i="1"/>
  <c r="G81" i="1"/>
  <c r="I260" i="2" s="1"/>
  <c r="L260" i="2" s="1"/>
  <c r="G82" i="1"/>
  <c r="G83" i="1"/>
  <c r="G84" i="1"/>
  <c r="G85" i="1"/>
  <c r="G86" i="1"/>
  <c r="G87" i="1"/>
  <c r="G88" i="1"/>
  <c r="G89" i="1"/>
  <c r="G90" i="1"/>
  <c r="G91" i="1"/>
  <c r="I1060" i="2" s="1"/>
  <c r="L1060" i="2" s="1"/>
  <c r="G92" i="1"/>
  <c r="J141" i="11" s="1"/>
  <c r="M141" i="11" s="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I877" i="2" s="1"/>
  <c r="L877" i="2" s="1"/>
  <c r="G120" i="1"/>
  <c r="I878" i="2" s="1"/>
  <c r="L878" i="2" s="1"/>
  <c r="G121" i="1"/>
  <c r="I879" i="2" s="1"/>
  <c r="L879" i="2" s="1"/>
  <c r="G122" i="1"/>
  <c r="I880" i="2" s="1"/>
  <c r="L880" i="2" s="1"/>
  <c r="G123" i="1"/>
  <c r="I881" i="2" s="1"/>
  <c r="L881" i="2" s="1"/>
  <c r="G124" i="1"/>
  <c r="I882" i="2" s="1"/>
  <c r="L882" i="2" s="1"/>
  <c r="G125" i="1"/>
  <c r="I883" i="2" s="1"/>
  <c r="L883" i="2" s="1"/>
  <c r="G126" i="1"/>
  <c r="G127" i="1"/>
  <c r="G128" i="1"/>
  <c r="G129" i="1"/>
  <c r="I870" i="2" s="1"/>
  <c r="L870" i="2" s="1"/>
  <c r="G130" i="1"/>
  <c r="I871" i="2" s="1"/>
  <c r="L871" i="2" s="1"/>
  <c r="G131" i="1"/>
  <c r="I872" i="2" s="1"/>
  <c r="L872" i="2" s="1"/>
  <c r="G132" i="1"/>
  <c r="I873" i="2" s="1"/>
  <c r="L873" i="2" s="1"/>
  <c r="G133" i="1"/>
  <c r="I874" i="2" s="1"/>
  <c r="L874" i="2" s="1"/>
  <c r="G134" i="1"/>
  <c r="I875" i="2" s="1"/>
  <c r="L875" i="2" s="1"/>
  <c r="G135" i="1"/>
  <c r="I876" i="2" s="1"/>
  <c r="L876" i="2" s="1"/>
  <c r="G136" i="1"/>
  <c r="G137" i="1"/>
  <c r="G138" i="1"/>
  <c r="G139" i="1"/>
  <c r="G140" i="1"/>
  <c r="G141" i="1"/>
  <c r="G142" i="1"/>
  <c r="G143" i="1"/>
  <c r="G144" i="1"/>
  <c r="G145" i="1"/>
  <c r="G146" i="1"/>
  <c r="G147" i="1"/>
  <c r="G148" i="1"/>
  <c r="I916" i="2" s="1"/>
  <c r="L916" i="2" s="1"/>
  <c r="G149" i="1"/>
  <c r="G150" i="1"/>
  <c r="I909" i="2" s="1"/>
  <c r="L909" i="2" s="1"/>
  <c r="G151" i="1"/>
  <c r="I910" i="2" s="1"/>
  <c r="L910" i="2" s="1"/>
  <c r="G152" i="1"/>
  <c r="I911" i="2" s="1"/>
  <c r="L911" i="2" s="1"/>
  <c r="G153" i="1"/>
  <c r="I912" i="2" s="1"/>
  <c r="L912" i="2" s="1"/>
  <c r="G154" i="1"/>
  <c r="I913" i="2" s="1"/>
  <c r="L913" i="2" s="1"/>
  <c r="G155" i="1"/>
  <c r="I914" i="2" s="1"/>
  <c r="L914" i="2" s="1"/>
  <c r="G156" i="1"/>
  <c r="I915" i="2" s="1"/>
  <c r="L915" i="2" s="1"/>
  <c r="G158" i="1"/>
  <c r="G159" i="1"/>
  <c r="G160" i="1"/>
  <c r="G161" i="1"/>
  <c r="G162" i="1"/>
  <c r="G163" i="1"/>
  <c r="G164" i="1"/>
  <c r="G165" i="1"/>
  <c r="G166" i="1"/>
  <c r="G167" i="1"/>
  <c r="G168" i="1"/>
  <c r="G169" i="1"/>
  <c r="G170" i="1"/>
  <c r="G171" i="1"/>
  <c r="G172" i="1"/>
  <c r="G173" i="1"/>
  <c r="I863" i="2" s="1"/>
  <c r="L863" i="2" s="1"/>
  <c r="G174" i="1"/>
  <c r="I864" i="2" s="1"/>
  <c r="L864" i="2" s="1"/>
  <c r="G175" i="1"/>
  <c r="I865" i="2" s="1"/>
  <c r="L865" i="2" s="1"/>
  <c r="G176" i="1"/>
  <c r="I866" i="2" s="1"/>
  <c r="L866" i="2" s="1"/>
  <c r="G177" i="1"/>
  <c r="I867" i="2" s="1"/>
  <c r="L867" i="2" s="1"/>
  <c r="G178" i="1"/>
  <c r="I868" i="2" s="1"/>
  <c r="L868" i="2" s="1"/>
  <c r="G179" i="1"/>
  <c r="I869" i="2" s="1"/>
  <c r="L869" i="2" s="1"/>
  <c r="G180" i="1"/>
  <c r="G181" i="1"/>
  <c r="I895" i="2" s="1"/>
  <c r="L895" i="2" s="1"/>
  <c r="G182" i="1"/>
  <c r="I896" i="2" s="1"/>
  <c r="L896" i="2" s="1"/>
  <c r="G183" i="1"/>
  <c r="I897" i="2" s="1"/>
  <c r="L897" i="2" s="1"/>
  <c r="G184" i="1"/>
  <c r="I898" i="2" s="1"/>
  <c r="L898" i="2" s="1"/>
  <c r="G185" i="1"/>
  <c r="I899" i="2" s="1"/>
  <c r="L899" i="2" s="1"/>
  <c r="G186" i="1"/>
  <c r="I900" i="2" s="1"/>
  <c r="L900" i="2" s="1"/>
  <c r="G187" i="1"/>
  <c r="I901" i="2" s="1"/>
  <c r="L901" i="2" s="1"/>
  <c r="G188" i="1"/>
  <c r="G189" i="1"/>
  <c r="I884" i="2" s="1"/>
  <c r="L884" i="2" s="1"/>
  <c r="G190" i="1"/>
  <c r="I885" i="2" s="1"/>
  <c r="L885" i="2" s="1"/>
  <c r="G191" i="1"/>
  <c r="I886" i="2" s="1"/>
  <c r="L886" i="2" s="1"/>
  <c r="G192" i="1"/>
  <c r="I887" i="2" s="1"/>
  <c r="L887" i="2" s="1"/>
  <c r="G193" i="1"/>
  <c r="G194" i="1"/>
  <c r="G195" i="1"/>
  <c r="I888" i="2" s="1"/>
  <c r="L888" i="2" s="1"/>
  <c r="G196" i="1"/>
  <c r="G197" i="1"/>
  <c r="I889" i="2" s="1"/>
  <c r="L889" i="2" s="1"/>
  <c r="G198" i="1"/>
  <c r="I892" i="2" s="1"/>
  <c r="L892" i="2" s="1"/>
  <c r="G199" i="1"/>
  <c r="I890" i="2" s="1"/>
  <c r="L890" i="2" s="1"/>
  <c r="G200" i="1"/>
  <c r="I891" i="2" s="1"/>
  <c r="L891" i="2" s="1"/>
  <c r="G201" i="1"/>
  <c r="I893" i="2" s="1"/>
  <c r="L893" i="2" s="1"/>
  <c r="G202" i="1"/>
  <c r="I894" i="2" s="1"/>
  <c r="L894" i="2" s="1"/>
  <c r="G203" i="1"/>
  <c r="G204" i="1"/>
  <c r="I1065" i="2" s="1"/>
  <c r="L1065" i="2" s="1"/>
  <c r="G205" i="1"/>
  <c r="G206" i="1"/>
  <c r="G208" i="1"/>
  <c r="I1064" i="2" s="1"/>
  <c r="L1064" i="2" s="1"/>
  <c r="G209" i="1"/>
  <c r="G210" i="1"/>
  <c r="G211" i="1"/>
  <c r="G212" i="1"/>
  <c r="J196" i="11" s="1"/>
  <c r="M196" i="11" s="1"/>
  <c r="G213" i="1"/>
  <c r="G214" i="1"/>
  <c r="G215" i="1"/>
  <c r="G216" i="1"/>
  <c r="G217" i="1"/>
  <c r="G218" i="1"/>
  <c r="G219" i="1"/>
  <c r="G220" i="1"/>
  <c r="G221" i="1"/>
  <c r="G222" i="1"/>
  <c r="G223" i="1"/>
  <c r="G224" i="1"/>
  <c r="G225" i="1"/>
  <c r="G226" i="1"/>
  <c r="G227" i="1"/>
  <c r="G228" i="1"/>
  <c r="G229" i="1"/>
  <c r="G230" i="1"/>
  <c r="G231" i="1"/>
  <c r="G232" i="1"/>
  <c r="G233" i="1"/>
  <c r="G234" i="1"/>
  <c r="G235" i="1"/>
  <c r="I902" i="2" s="1"/>
  <c r="L902" i="2" s="1"/>
  <c r="G236" i="1"/>
  <c r="I903" i="2" s="1"/>
  <c r="L903" i="2" s="1"/>
  <c r="G237" i="1"/>
  <c r="I904" i="2" s="1"/>
  <c r="L904" i="2" s="1"/>
  <c r="G238" i="1"/>
  <c r="I905" i="2" s="1"/>
  <c r="L905" i="2" s="1"/>
  <c r="G239" i="1"/>
  <c r="I906" i="2" s="1"/>
  <c r="L906" i="2" s="1"/>
  <c r="G240" i="1"/>
  <c r="I907" i="2" s="1"/>
  <c r="L907" i="2" s="1"/>
  <c r="G241" i="1"/>
  <c r="I908" i="2" s="1"/>
  <c r="L908" i="2" s="1"/>
  <c r="G242" i="1"/>
  <c r="G243" i="1"/>
  <c r="G244" i="1"/>
  <c r="G245" i="1"/>
  <c r="I735" i="2" s="1"/>
  <c r="L735" i="2" s="1"/>
  <c r="G246" i="1"/>
  <c r="G247" i="1"/>
  <c r="I991" i="2" s="1"/>
  <c r="L991" i="2" s="1"/>
  <c r="G251" i="1"/>
  <c r="G252" i="1"/>
  <c r="G253" i="1"/>
  <c r="J40" i="11" s="1"/>
  <c r="M40" i="11" s="1"/>
  <c r="G254" i="1"/>
  <c r="G255" i="1"/>
  <c r="G256" i="1"/>
  <c r="G257" i="1"/>
  <c r="G258" i="1"/>
  <c r="G259" i="1"/>
  <c r="G260" i="1"/>
  <c r="G261" i="1"/>
  <c r="G262" i="1"/>
  <c r="G263" i="1"/>
  <c r="G264" i="1"/>
  <c r="G265" i="1"/>
  <c r="I958" i="2" s="1"/>
  <c r="L958" i="2" s="1"/>
  <c r="G266" i="1"/>
  <c r="I959" i="2" s="1"/>
  <c r="L959" i="2" s="1"/>
  <c r="G267" i="1"/>
  <c r="I960" i="2" s="1"/>
  <c r="L960" i="2" s="1"/>
  <c r="G268" i="1"/>
  <c r="I961" i="2" s="1"/>
  <c r="L961" i="2" s="1"/>
  <c r="G269" i="1"/>
  <c r="I962" i="2" s="1"/>
  <c r="L962" i="2" s="1"/>
  <c r="G270" i="1"/>
  <c r="G271" i="1"/>
  <c r="G272" i="1"/>
  <c r="G273" i="1"/>
  <c r="G274" i="1"/>
  <c r="G275" i="1"/>
  <c r="G276" i="1"/>
  <c r="I1007" i="2" s="1"/>
  <c r="L1007" i="2" s="1"/>
  <c r="G277" i="1"/>
  <c r="I1006" i="2" s="1"/>
  <c r="L1006" i="2" s="1"/>
  <c r="G278" i="1"/>
  <c r="I1005" i="2" s="1"/>
  <c r="L1005" i="2" s="1"/>
  <c r="G279" i="1"/>
  <c r="I1004" i="2" s="1"/>
  <c r="L1004" i="2" s="1"/>
  <c r="G280" i="1"/>
  <c r="I1003" i="2" s="1"/>
  <c r="L1003" i="2" s="1"/>
  <c r="G281" i="1"/>
  <c r="G282" i="1"/>
  <c r="G283" i="1"/>
  <c r="G284" i="1"/>
  <c r="G285" i="1"/>
  <c r="G286" i="1"/>
  <c r="G287" i="1"/>
  <c r="G288" i="1"/>
  <c r="I1013" i="2" s="1"/>
  <c r="L1013" i="2" s="1"/>
  <c r="G289" i="1"/>
  <c r="I1012" i="2" s="1"/>
  <c r="L1012" i="2" s="1"/>
  <c r="G290" i="1"/>
  <c r="I1011" i="2" s="1"/>
  <c r="L1011" i="2" s="1"/>
  <c r="G291" i="1"/>
  <c r="G292" i="1"/>
  <c r="I1009" i="2" s="1"/>
  <c r="L1009" i="2" s="1"/>
  <c r="G293" i="1"/>
  <c r="G294" i="1"/>
  <c r="G295" i="1"/>
  <c r="G296" i="1"/>
  <c r="G297" i="1"/>
  <c r="G298" i="1"/>
  <c r="G299" i="1"/>
  <c r="G300" i="1"/>
  <c r="I1001" i="2" s="1"/>
  <c r="L1001" i="2" s="1"/>
  <c r="G301" i="1"/>
  <c r="G302" i="1"/>
  <c r="G303" i="1"/>
  <c r="G304" i="1"/>
  <c r="G305" i="1"/>
  <c r="G306" i="1"/>
  <c r="G307" i="1"/>
  <c r="G308" i="1"/>
  <c r="G309" i="1"/>
  <c r="G310" i="1"/>
  <c r="G311" i="1"/>
  <c r="I1014" i="2" s="1"/>
  <c r="L1014" i="2" s="1"/>
  <c r="G312" i="1"/>
  <c r="I1016" i="2" s="1"/>
  <c r="L1016" i="2" s="1"/>
  <c r="G313" i="1"/>
  <c r="G314" i="1"/>
  <c r="G315" i="1"/>
  <c r="G316" i="1"/>
  <c r="I964" i="2" s="1"/>
  <c r="L964" i="2" s="1"/>
  <c r="G317" i="1"/>
  <c r="G318" i="1"/>
  <c r="G319" i="1"/>
  <c r="I965" i="2" s="1"/>
  <c r="L965" i="2" s="1"/>
  <c r="G320" i="1"/>
  <c r="I966" i="2" s="1"/>
  <c r="L966" i="2" s="1"/>
  <c r="G321" i="1"/>
  <c r="I967" i="2" s="1"/>
  <c r="L967" i="2" s="1"/>
  <c r="G322" i="1"/>
  <c r="G323" i="1"/>
  <c r="G324" i="1"/>
  <c r="G325" i="1"/>
  <c r="I977" i="2" s="1"/>
  <c r="L977" i="2" s="1"/>
  <c r="G326" i="1"/>
  <c r="G327" i="1"/>
  <c r="I978" i="2" s="1"/>
  <c r="L978" i="2" s="1"/>
  <c r="G328" i="1"/>
  <c r="G329" i="1"/>
  <c r="G330" i="1"/>
  <c r="G331" i="1"/>
  <c r="G332" i="1"/>
  <c r="G333" i="1"/>
  <c r="I950" i="2" s="1"/>
  <c r="L950" i="2" s="1"/>
  <c r="G334" i="1"/>
  <c r="I949" i="2" s="1"/>
  <c r="L949" i="2" s="1"/>
  <c r="G335" i="1"/>
  <c r="I948" i="2" s="1"/>
  <c r="L948" i="2" s="1"/>
  <c r="G336" i="1"/>
  <c r="I947" i="2" s="1"/>
  <c r="L947" i="2" s="1"/>
  <c r="G337" i="1"/>
  <c r="I946" i="2" s="1"/>
  <c r="L946" i="2" s="1"/>
  <c r="G338" i="1"/>
  <c r="I945" i="2" s="1"/>
  <c r="L945" i="2" s="1"/>
  <c r="G339" i="1"/>
  <c r="I944" i="2" s="1"/>
  <c r="L944" i="2" s="1"/>
  <c r="G340" i="1"/>
  <c r="G341" i="1"/>
  <c r="G342" i="1"/>
  <c r="G343" i="1"/>
  <c r="G344" i="1"/>
  <c r="G346" i="1"/>
  <c r="I956" i="2" s="1"/>
  <c r="L956" i="2" s="1"/>
  <c r="G347" i="1"/>
  <c r="I955" i="2" s="1"/>
  <c r="L955" i="2" s="1"/>
  <c r="G348" i="1"/>
  <c r="I954" i="2" s="1"/>
  <c r="L954" i="2" s="1"/>
  <c r="G349" i="1"/>
  <c r="I953" i="2" s="1"/>
  <c r="L953" i="2" s="1"/>
  <c r="G350" i="1"/>
  <c r="I952" i="2" s="1"/>
  <c r="L952" i="2" s="1"/>
  <c r="G351" i="1"/>
  <c r="I951" i="2" s="1"/>
  <c r="L951" i="2" s="1"/>
  <c r="G352" i="1"/>
  <c r="G353" i="1"/>
  <c r="G354" i="1"/>
  <c r="G355" i="1"/>
  <c r="G357" i="1"/>
  <c r="G358" i="1"/>
  <c r="G359" i="1"/>
  <c r="G360" i="1"/>
  <c r="G361" i="1"/>
  <c r="G362" i="1"/>
  <c r="G363" i="1"/>
  <c r="G364" i="1"/>
  <c r="G365" i="1"/>
  <c r="G366" i="1"/>
  <c r="G367" i="1"/>
  <c r="G368" i="1"/>
  <c r="G369" i="1"/>
  <c r="G370" i="1"/>
  <c r="G371" i="1"/>
  <c r="G372" i="1"/>
  <c r="G373" i="1"/>
  <c r="G374" i="1"/>
  <c r="I983" i="2" s="1"/>
  <c r="L983" i="2" s="1"/>
  <c r="G375" i="1"/>
  <c r="I984" i="2" s="1"/>
  <c r="L984" i="2" s="1"/>
  <c r="G376" i="1"/>
  <c r="I985" i="2" s="1"/>
  <c r="L985" i="2" s="1"/>
  <c r="G377" i="1"/>
  <c r="G378" i="1"/>
  <c r="I987" i="2" s="1"/>
  <c r="L987" i="2" s="1"/>
  <c r="G379" i="1"/>
  <c r="I988" i="2" s="1"/>
  <c r="L988" i="2" s="1"/>
  <c r="G380" i="1"/>
  <c r="I989" i="2" s="1"/>
  <c r="L989" i="2" s="1"/>
  <c r="G381" i="1"/>
  <c r="G382" i="1"/>
  <c r="G383" i="1"/>
  <c r="G384" i="1"/>
  <c r="G385" i="1"/>
  <c r="I1019" i="2" s="1"/>
  <c r="L1019" i="2" s="1"/>
  <c r="G386" i="1"/>
  <c r="I1020" i="2" s="1"/>
  <c r="L1020" i="2" s="1"/>
  <c r="G387" i="1"/>
  <c r="G388" i="1"/>
  <c r="G389" i="1"/>
  <c r="G390" i="1"/>
  <c r="G391" i="1"/>
  <c r="G393" i="1"/>
  <c r="G394" i="1"/>
  <c r="G395" i="1"/>
  <c r="G396" i="1"/>
  <c r="G397" i="1"/>
  <c r="G398" i="1"/>
  <c r="G399" i="1"/>
  <c r="I546" i="2" s="1"/>
  <c r="L546" i="2" s="1"/>
  <c r="G400" i="1"/>
  <c r="G401" i="1"/>
  <c r="G402" i="1"/>
  <c r="G403" i="1"/>
  <c r="G404" i="1"/>
  <c r="G405" i="1"/>
  <c r="G406" i="1"/>
  <c r="G407" i="1"/>
  <c r="G408" i="1"/>
  <c r="G409" i="1"/>
  <c r="G410" i="1"/>
  <c r="G411" i="1"/>
  <c r="G412" i="1"/>
  <c r="G413" i="1"/>
  <c r="G414" i="1"/>
  <c r="G415" i="1"/>
  <c r="G416" i="1"/>
  <c r="G417" i="1"/>
  <c r="G418" i="1"/>
  <c r="G419" i="1"/>
  <c r="J119" i="11" s="1"/>
  <c r="M119" i="11" s="1"/>
  <c r="G420" i="1"/>
  <c r="G422" i="1"/>
  <c r="G423" i="1"/>
  <c r="G424" i="1"/>
  <c r="I592" i="2" s="1"/>
  <c r="L592" i="2" s="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J183" i="11" s="1"/>
  <c r="M183" i="11" s="1"/>
  <c r="G450" i="1"/>
  <c r="G451" i="1"/>
  <c r="I1061" i="2" s="1"/>
  <c r="L1061" i="2" s="1"/>
  <c r="G452" i="1"/>
  <c r="G453" i="1"/>
  <c r="G454" i="1"/>
  <c r="G455" i="1"/>
  <c r="G456" i="1"/>
  <c r="I472" i="2" s="1"/>
  <c r="L472" i="2" s="1"/>
  <c r="G457" i="1"/>
  <c r="G458" i="1"/>
  <c r="G459" i="1"/>
  <c r="G460" i="1"/>
  <c r="G461" i="1"/>
  <c r="G462" i="1"/>
  <c r="G463" i="1"/>
  <c r="G464" i="1"/>
  <c r="I473" i="2" s="1"/>
  <c r="L473" i="2" s="1"/>
  <c r="G465" i="1"/>
  <c r="I14" i="2" s="1"/>
  <c r="L14" i="2" s="1"/>
  <c r="G466" i="1"/>
  <c r="I19" i="2" s="1"/>
  <c r="L19" i="2" s="1"/>
  <c r="G467" i="1"/>
  <c r="J28" i="34" s="1"/>
  <c r="M28" i="34" s="1"/>
  <c r="G468" i="1"/>
  <c r="G469" i="1"/>
  <c r="G470" i="1"/>
  <c r="I24" i="2" s="1"/>
  <c r="L24" i="2" s="1"/>
  <c r="G471" i="1"/>
  <c r="G472" i="1"/>
  <c r="G473" i="1"/>
  <c r="I54" i="2" s="1"/>
  <c r="L54" i="2" s="1"/>
  <c r="G474" i="1"/>
  <c r="G475" i="1"/>
  <c r="G476" i="1"/>
  <c r="G477" i="1"/>
  <c r="G478" i="1"/>
  <c r="G479" i="1"/>
  <c r="G480" i="1"/>
  <c r="G481" i="1"/>
  <c r="G482" i="1"/>
  <c r="G483" i="1"/>
  <c r="G484" i="1"/>
  <c r="G485" i="1"/>
  <c r="I283" i="2" s="1"/>
  <c r="L283" i="2" s="1"/>
  <c r="G486" i="1"/>
  <c r="J154" i="11" s="1"/>
  <c r="M154" i="11" s="1"/>
  <c r="G487" i="1"/>
  <c r="G488" i="1"/>
  <c r="G489" i="1"/>
  <c r="G490" i="1"/>
  <c r="I284" i="2" s="1"/>
  <c r="L284" i="2" s="1"/>
  <c r="G491" i="1"/>
  <c r="G492" i="1"/>
  <c r="G493" i="1"/>
  <c r="G494" i="1"/>
  <c r="G495" i="1"/>
  <c r="G496" i="1"/>
  <c r="G497" i="1"/>
  <c r="G498" i="1"/>
  <c r="G499" i="1"/>
  <c r="G500" i="1"/>
  <c r="G501" i="1"/>
  <c r="G502" i="1"/>
  <c r="G503" i="1"/>
  <c r="G504" i="1"/>
  <c r="G505" i="1"/>
  <c r="G506" i="1"/>
  <c r="G507" i="1"/>
  <c r="I1074" i="2" s="1"/>
  <c r="L1074" i="2" s="1"/>
  <c r="G508" i="1"/>
  <c r="I1073" i="2" s="1"/>
  <c r="L1073" i="2" s="1"/>
  <c r="G509" i="1"/>
  <c r="I1072" i="2" s="1"/>
  <c r="L1072" i="2" s="1"/>
  <c r="G510" i="1"/>
  <c r="I1071" i="2" s="1"/>
  <c r="L1071" i="2" s="1"/>
  <c r="G511" i="1"/>
  <c r="I1070" i="2" s="1"/>
  <c r="L1070" i="2" s="1"/>
  <c r="G512" i="1"/>
  <c r="G513" i="1"/>
  <c r="G514" i="1"/>
  <c r="G515" i="1"/>
  <c r="J121" i="11" s="1"/>
  <c r="M121" i="11" s="1"/>
  <c r="G516" i="1"/>
  <c r="G517" i="1"/>
  <c r="G518" i="1"/>
  <c r="G519" i="1"/>
  <c r="G520" i="1"/>
  <c r="G521" i="1"/>
  <c r="G522" i="1"/>
  <c r="G524" i="1"/>
  <c r="J6" i="11" s="1"/>
  <c r="M6" i="11" s="1"/>
  <c r="G525" i="1"/>
  <c r="G526" i="1"/>
  <c r="G527" i="1"/>
  <c r="G528" i="1"/>
  <c r="G529" i="1"/>
  <c r="G530" i="1"/>
  <c r="I172" i="2" s="1"/>
  <c r="L172" i="2" s="1"/>
  <c r="G531" i="1"/>
  <c r="G532" i="1"/>
  <c r="G533" i="1"/>
  <c r="G534" i="1"/>
  <c r="G535" i="1"/>
  <c r="G536" i="1"/>
  <c r="G537" i="1"/>
  <c r="G538" i="1"/>
  <c r="G539" i="1"/>
  <c r="G540" i="1"/>
  <c r="G541" i="1"/>
  <c r="G542" i="1"/>
  <c r="G543" i="1"/>
  <c r="I173" i="2" s="1"/>
  <c r="L173" i="2" s="1"/>
  <c r="G544" i="1"/>
  <c r="G545" i="1"/>
  <c r="I288" i="2" s="1"/>
  <c r="L288" i="2" s="1"/>
  <c r="G546" i="1"/>
  <c r="G547" i="1"/>
  <c r="G548" i="1"/>
  <c r="G549" i="1"/>
  <c r="G550" i="1"/>
  <c r="G551" i="1"/>
  <c r="G552" i="1"/>
  <c r="G553" i="1"/>
  <c r="G554" i="1"/>
  <c r="G555" i="1"/>
  <c r="G556" i="1"/>
  <c r="G557" i="1"/>
  <c r="G558" i="1"/>
  <c r="G559" i="1"/>
  <c r="J161" i="11" s="1"/>
  <c r="M161" i="11" s="1"/>
  <c r="G560" i="1"/>
  <c r="G561" i="1"/>
  <c r="I286" i="2" s="1"/>
  <c r="L286" i="2" s="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I31" i="2" s="1"/>
  <c r="L31" i="2" s="1"/>
  <c r="G664" i="1"/>
  <c r="G665" i="1"/>
  <c r="G666" i="1"/>
  <c r="G667" i="1"/>
  <c r="G668" i="1"/>
  <c r="I26" i="2" s="1"/>
  <c r="L26" i="2" s="1"/>
  <c r="G670" i="1"/>
  <c r="G671" i="1"/>
  <c r="I56" i="2" s="1"/>
  <c r="L56" i="2" s="1"/>
  <c r="G675" i="1"/>
  <c r="G676" i="1"/>
  <c r="I534" i="2" s="1"/>
  <c r="L534" i="2" s="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J145" i="22"/>
  <c r="M145" i="22" s="1"/>
  <c r="G706" i="1"/>
  <c r="G707" i="1"/>
  <c r="G708" i="1"/>
  <c r="G709" i="1"/>
  <c r="G710" i="1"/>
  <c r="G711" i="1"/>
  <c r="G712" i="1"/>
  <c r="G713" i="1"/>
  <c r="G714" i="1"/>
  <c r="G715" i="1"/>
  <c r="G716" i="1"/>
  <c r="G717" i="1"/>
  <c r="I929" i="2" s="1"/>
  <c r="L929" i="2" s="1"/>
  <c r="G718" i="1"/>
  <c r="I930" i="2" s="1"/>
  <c r="L930" i="2" s="1"/>
  <c r="G719" i="1"/>
  <c r="I931" i="2" s="1"/>
  <c r="L931" i="2" s="1"/>
  <c r="G720" i="1"/>
  <c r="I932" i="2" s="1"/>
  <c r="L932" i="2" s="1"/>
  <c r="G721" i="1"/>
  <c r="I940" i="2" s="1"/>
  <c r="L940" i="2" s="1"/>
  <c r="G722" i="1"/>
  <c r="I935" i="2" s="1"/>
  <c r="L935" i="2" s="1"/>
  <c r="G723" i="1"/>
  <c r="G725" i="1"/>
  <c r="I936" i="2" s="1"/>
  <c r="L936" i="2" s="1"/>
  <c r="G726" i="1"/>
  <c r="I937" i="2" s="1"/>
  <c r="L937" i="2" s="1"/>
  <c r="G727" i="1"/>
  <c r="I938" i="2" s="1"/>
  <c r="L938" i="2" s="1"/>
  <c r="G728" i="1"/>
  <c r="G729" i="1"/>
  <c r="I920" i="2" s="1"/>
  <c r="L920" i="2" s="1"/>
  <c r="G730" i="1"/>
  <c r="I921" i="2" s="1"/>
  <c r="L921" i="2" s="1"/>
  <c r="G731" i="1"/>
  <c r="I922" i="2" s="1"/>
  <c r="L922" i="2" s="1"/>
  <c r="G732" i="1"/>
  <c r="I923" i="2" s="1"/>
  <c r="L923" i="2" s="1"/>
  <c r="G733" i="1"/>
  <c r="I924" i="2" s="1"/>
  <c r="L924" i="2" s="1"/>
  <c r="G734" i="1"/>
  <c r="I925" i="2" s="1"/>
  <c r="L925" i="2" s="1"/>
  <c r="G735" i="1"/>
  <c r="I926" i="2" s="1"/>
  <c r="L926" i="2" s="1"/>
  <c r="G736" i="1"/>
  <c r="I927" i="2" s="1"/>
  <c r="L927" i="2" s="1"/>
  <c r="G737" i="1"/>
  <c r="G738" i="1"/>
  <c r="G739" i="1"/>
  <c r="G740" i="1"/>
  <c r="G741" i="1"/>
  <c r="G742" i="1"/>
  <c r="G743" i="1"/>
  <c r="G744" i="1"/>
  <c r="G745" i="1"/>
  <c r="G746" i="1"/>
  <c r="G747" i="1"/>
  <c r="G748" i="1"/>
  <c r="I933" i="2" s="1"/>
  <c r="L933" i="2" s="1"/>
  <c r="G749" i="1"/>
  <c r="I934" i="2" s="1"/>
  <c r="L934" i="2" s="1"/>
  <c r="G750" i="1"/>
  <c r="G751" i="1"/>
  <c r="G752" i="1"/>
  <c r="G753" i="1"/>
  <c r="G754" i="1"/>
  <c r="G755" i="1"/>
  <c r="G756" i="1"/>
  <c r="G757" i="1"/>
  <c r="G758" i="1"/>
  <c r="G759" i="1"/>
  <c r="G760" i="1"/>
  <c r="G761" i="1"/>
  <c r="G762"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I1062" i="2" s="1"/>
  <c r="L1062" i="2" s="1"/>
  <c r="G805" i="1"/>
  <c r="G806" i="1"/>
  <c r="J275" i="11" s="1"/>
  <c r="M275" i="11" s="1"/>
  <c r="G807" i="1"/>
  <c r="G811" i="1"/>
  <c r="G812" i="1"/>
  <c r="G813" i="1"/>
  <c r="G814" i="1"/>
  <c r="G815" i="1"/>
  <c r="G824" i="1"/>
  <c r="G825" i="1"/>
  <c r="G826" i="1"/>
  <c r="G827" i="1"/>
  <c r="G828" i="1"/>
  <c r="G829" i="1"/>
  <c r="G830" i="1"/>
  <c r="G878" i="1"/>
  <c r="G879" i="1"/>
  <c r="G880" i="1"/>
  <c r="G881" i="1"/>
  <c r="I1098" i="2" s="1"/>
  <c r="L1098" i="2" s="1"/>
  <c r="G882" i="1"/>
  <c r="G883" i="1"/>
  <c r="G884" i="1"/>
  <c r="G885" i="1"/>
  <c r="G886" i="1"/>
  <c r="G887" i="1"/>
  <c r="I1102" i="2" s="1"/>
  <c r="L1102" i="2" s="1"/>
  <c r="G888" i="1"/>
  <c r="G889" i="1"/>
  <c r="G890" i="1"/>
  <c r="G891" i="1"/>
  <c r="I1101" i="2" s="1"/>
  <c r="L1101" i="2" s="1"/>
  <c r="G892" i="1"/>
  <c r="G893" i="1"/>
  <c r="I1100" i="2" s="1"/>
  <c r="L1100" i="2" s="1"/>
  <c r="G894" i="1"/>
  <c r="G895" i="1"/>
  <c r="G896" i="1"/>
  <c r="G897" i="1"/>
  <c r="G898" i="1"/>
  <c r="G899" i="1"/>
  <c r="G900" i="1"/>
  <c r="G901" i="1"/>
  <c r="G902" i="1"/>
  <c r="G903" i="1"/>
  <c r="G904" i="1"/>
  <c r="G905" i="1"/>
  <c r="G906" i="1"/>
  <c r="J11" i="11" s="1"/>
  <c r="M11" i="11" s="1"/>
  <c r="G907" i="1"/>
  <c r="G908" i="1"/>
  <c r="G909" i="1"/>
  <c r="G910" i="1"/>
  <c r="G911" i="1"/>
  <c r="G912" i="1"/>
  <c r="G913" i="1"/>
  <c r="G914" i="1"/>
  <c r="G915" i="1"/>
  <c r="G916" i="1"/>
  <c r="G917" i="1"/>
  <c r="G918" i="1"/>
  <c r="G920" i="1"/>
  <c r="G921" i="1"/>
  <c r="G922" i="1"/>
  <c r="G923" i="1"/>
  <c r="G924" i="1"/>
  <c r="G925" i="1"/>
  <c r="G926" i="1"/>
  <c r="G927" i="1"/>
  <c r="G928" i="1"/>
  <c r="G929" i="1"/>
  <c r="G930" i="1"/>
  <c r="G931" i="1"/>
  <c r="G932" i="1"/>
  <c r="G933" i="1"/>
  <c r="G934" i="1"/>
  <c r="G935" i="1"/>
  <c r="G936" i="1"/>
  <c r="G937" i="1"/>
  <c r="G938" i="1"/>
  <c r="G939" i="1"/>
  <c r="G940" i="1"/>
  <c r="J13" i="11" s="1"/>
  <c r="M13" i="11" s="1"/>
  <c r="G941" i="1"/>
  <c r="G942" i="1"/>
  <c r="G943" i="1"/>
  <c r="G944" i="1"/>
  <c r="G945" i="1"/>
  <c r="G946" i="1"/>
  <c r="G947" i="1"/>
  <c r="G948" i="1"/>
  <c r="G949" i="1"/>
  <c r="G950" i="1"/>
  <c r="J264" i="11" s="1"/>
  <c r="M264" i="11" s="1"/>
  <c r="G951" i="1"/>
  <c r="G952" i="1"/>
  <c r="J194" i="11" s="1"/>
  <c r="M194" i="11" s="1"/>
  <c r="G953" i="1"/>
  <c r="J278" i="11" s="1"/>
  <c r="M278" i="11" s="1"/>
  <c r="G954" i="1"/>
  <c r="G955" i="1"/>
  <c r="G956" i="1"/>
  <c r="G957" i="1"/>
  <c r="G958" i="1"/>
  <c r="G959" i="1"/>
  <c r="G960" i="1"/>
  <c r="G961" i="1"/>
  <c r="G962" i="1"/>
  <c r="G963" i="1"/>
  <c r="I1103" i="2" s="1"/>
  <c r="L1103" i="2" s="1"/>
  <c r="G964" i="1"/>
  <c r="I1104" i="2" s="1"/>
  <c r="L1104" i="2" s="1"/>
  <c r="G965" i="1"/>
  <c r="I1105" i="2" s="1"/>
  <c r="L1105" i="2" s="1"/>
  <c r="G966" i="1"/>
  <c r="I1106" i="2" s="1"/>
  <c r="L1106" i="2" s="1"/>
  <c r="G967" i="1"/>
  <c r="G969" i="1"/>
  <c r="I1108" i="2" s="1"/>
  <c r="L1108" i="2" s="1"/>
  <c r="G970" i="1"/>
  <c r="G971" i="1"/>
  <c r="G972" i="1"/>
  <c r="G973" i="1"/>
  <c r="G974" i="1"/>
  <c r="G975" i="1"/>
  <c r="G976" i="1"/>
  <c r="G977" i="1"/>
  <c r="G978" i="1"/>
  <c r="G979" i="1"/>
  <c r="G980" i="1"/>
  <c r="G981" i="1"/>
  <c r="G982" i="1"/>
  <c r="G983" i="1"/>
  <c r="G984" i="1"/>
  <c r="G985" i="1"/>
  <c r="G986" i="1"/>
  <c r="I1109" i="2" s="1"/>
  <c r="L1109" i="2" s="1"/>
  <c r="G987" i="1"/>
  <c r="G988" i="1"/>
  <c r="I1111" i="2" s="1"/>
  <c r="L1111" i="2" s="1"/>
  <c r="G989" i="1"/>
  <c r="I1112" i="2" s="1"/>
  <c r="L1112" i="2" s="1"/>
  <c r="G990" i="1"/>
  <c r="G991" i="1"/>
  <c r="I1113" i="2" s="1"/>
  <c r="L1113" i="2" s="1"/>
  <c r="G992" i="1"/>
  <c r="I1114" i="2" s="1"/>
  <c r="L1114" i="2" s="1"/>
  <c r="G993" i="1"/>
  <c r="G994" i="1"/>
  <c r="I1115" i="2" s="1"/>
  <c r="L1115" i="2" s="1"/>
  <c r="G995" i="1"/>
  <c r="I1116" i="2" s="1"/>
  <c r="L1116" i="2" s="1"/>
  <c r="G996" i="1"/>
  <c r="G997" i="1"/>
  <c r="G998" i="1"/>
  <c r="I1117" i="2" s="1"/>
  <c r="L1117" i="2" s="1"/>
  <c r="G999" i="1"/>
  <c r="I1118" i="2" s="1"/>
  <c r="L1118" i="2" s="1"/>
  <c r="G1000" i="1"/>
  <c r="I1119" i="2" s="1"/>
  <c r="L1119" i="2" s="1"/>
  <c r="G1001" i="1"/>
  <c r="G1002" i="1"/>
  <c r="G1003" i="1"/>
  <c r="G1004" i="1"/>
  <c r="G1005" i="1"/>
  <c r="G1006" i="1"/>
  <c r="G1007" i="1"/>
  <c r="G1008" i="1"/>
  <c r="J389" i="11" s="1"/>
  <c r="M389" i="11" s="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I970" i="2" s="1"/>
  <c r="L970" i="2" s="1"/>
  <c r="G1040" i="1"/>
  <c r="I971" i="2" s="1"/>
  <c r="L971" i="2" s="1"/>
  <c r="G1041" i="1"/>
  <c r="I972" i="2" s="1"/>
  <c r="L972" i="2" s="1"/>
  <c r="G1042" i="1"/>
  <c r="I973" i="2" s="1"/>
  <c r="L973" i="2" s="1"/>
  <c r="G1043" i="1"/>
  <c r="G1044" i="1"/>
  <c r="I974" i="2" s="1"/>
  <c r="L974" i="2" s="1"/>
  <c r="G1045" i="1"/>
  <c r="G1046" i="1"/>
  <c r="G1047" i="1"/>
  <c r="G1048" i="1"/>
  <c r="G1049" i="1"/>
  <c r="G1050" i="1"/>
  <c r="G1051" i="1"/>
  <c r="G1052" i="1"/>
  <c r="G1053" i="1"/>
  <c r="G1054" i="1"/>
  <c r="G1055" i="1"/>
  <c r="G1056" i="1"/>
  <c r="G1057" i="1"/>
  <c r="I1025" i="2" s="1"/>
  <c r="L1025" i="2" s="1"/>
  <c r="G1058" i="1"/>
  <c r="G1059" i="1"/>
  <c r="I1027" i="2" s="1"/>
  <c r="L1027" i="2" s="1"/>
  <c r="G1060" i="1"/>
  <c r="G1061" i="1"/>
  <c r="G1062" i="1"/>
  <c r="I1028" i="2" s="1"/>
  <c r="L1028" i="2" s="1"/>
  <c r="G1063" i="1"/>
  <c r="G1064" i="1"/>
  <c r="G1065" i="1"/>
  <c r="G1066" i="1"/>
  <c r="G1067" i="1"/>
  <c r="G1068" i="1"/>
  <c r="G1069" i="1"/>
  <c r="G1070" i="1"/>
  <c r="G1071" i="1"/>
  <c r="G1072" i="1"/>
  <c r="G1073" i="1"/>
  <c r="G1074" i="1"/>
  <c r="G1075" i="1"/>
  <c r="G1076" i="1"/>
  <c r="G1077" i="1"/>
  <c r="G1078" i="1"/>
  <c r="G1079" i="1"/>
  <c r="G1080" i="1"/>
  <c r="G1081" i="1"/>
  <c r="J176" i="11" s="1"/>
  <c r="M176" i="11" s="1"/>
  <c r="G1082" i="1"/>
  <c r="I917" i="2" s="1"/>
  <c r="L917" i="2" s="1"/>
  <c r="G1084" i="1"/>
  <c r="G1085" i="1"/>
  <c r="G1086" i="1"/>
  <c r="I918" i="2" s="1"/>
  <c r="L918" i="2" s="1"/>
  <c r="G1087" i="1"/>
  <c r="I919" i="2" s="1"/>
  <c r="L919" i="2" s="1"/>
  <c r="G1088" i="1"/>
  <c r="G1089" i="1"/>
  <c r="G1090" i="1"/>
  <c r="G1091" i="1"/>
  <c r="G1092" i="1"/>
  <c r="G1093" i="1"/>
  <c r="G1094" i="1"/>
  <c r="G1095" i="1"/>
  <c r="G1096" i="1"/>
  <c r="G1097" i="1"/>
  <c r="G1098" i="1"/>
  <c r="G1099" i="1"/>
  <c r="G1100" i="1"/>
  <c r="G1101" i="1"/>
  <c r="G1102" i="1"/>
  <c r="G1103" i="1"/>
  <c r="G1104" i="1"/>
  <c r="G1105" i="1"/>
  <c r="G1106" i="1"/>
  <c r="G1107" i="1"/>
  <c r="G1108" i="1"/>
  <c r="J178" i="11" s="1"/>
  <c r="M178" i="11" s="1"/>
  <c r="G1109" i="1"/>
  <c r="G1110" i="1"/>
  <c r="G1111" i="1"/>
  <c r="G1112" i="1"/>
  <c r="G1113" i="1"/>
  <c r="G1114" i="1"/>
  <c r="G1115" i="1"/>
  <c r="G1116" i="1"/>
  <c r="J187" i="11" s="1"/>
  <c r="M187" i="11" s="1"/>
  <c r="G1117" i="1"/>
  <c r="J188" i="11" s="1"/>
  <c r="M188" i="11" s="1"/>
  <c r="G1118" i="1"/>
  <c r="G1119" i="1"/>
  <c r="G1120" i="1"/>
  <c r="G1121" i="1"/>
  <c r="G1122" i="1"/>
  <c r="G1123" i="1"/>
  <c r="G1124" i="1"/>
  <c r="G1125" i="1"/>
  <c r="I1033" i="2" s="1"/>
  <c r="L1033" i="2" s="1"/>
  <c r="G1126" i="1"/>
  <c r="G1127" i="1"/>
  <c r="G1128" i="1"/>
  <c r="G1129" i="1"/>
  <c r="G1130" i="1"/>
  <c r="G1131" i="1"/>
  <c r="G1132" i="1"/>
  <c r="J189" i="11" s="1"/>
  <c r="M189" i="11" s="1"/>
  <c r="G1133" i="1"/>
  <c r="G1134" i="1"/>
  <c r="G1135" i="1"/>
  <c r="G1136" i="1"/>
  <c r="G1137" i="1"/>
  <c r="G1138" i="1"/>
  <c r="G1139" i="1"/>
  <c r="G1140" i="1"/>
  <c r="G1141" i="1"/>
  <c r="G1142" i="1"/>
  <c r="G1143" i="1"/>
  <c r="G1144" i="1"/>
  <c r="G1145" i="1"/>
  <c r="G1146" i="1"/>
  <c r="J192" i="11" s="1"/>
  <c r="M192" i="11" s="1"/>
  <c r="G1147" i="1"/>
  <c r="G1148" i="1"/>
  <c r="G1149" i="1"/>
  <c r="G1150" i="1"/>
  <c r="J193" i="11" s="1"/>
  <c r="M193" i="11" s="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J64" i="11" s="1"/>
  <c r="M64" i="11" s="1"/>
  <c r="G1177" i="1"/>
  <c r="G1178" i="1"/>
  <c r="J66" i="11" s="1"/>
  <c r="M66" i="11" s="1"/>
  <c r="G1179" i="1"/>
  <c r="G1180" i="1"/>
  <c r="J65" i="11" s="1"/>
  <c r="M65" i="11" s="1"/>
  <c r="G1189" i="1"/>
  <c r="G1190" i="1"/>
  <c r="J173" i="11" s="1"/>
  <c r="M173" i="11" s="1"/>
  <c r="G1191" i="1"/>
  <c r="J220" i="11" s="1"/>
  <c r="M220" i="11" s="1"/>
  <c r="G1192" i="1"/>
  <c r="J227" i="11" s="1"/>
  <c r="M227" i="11" s="1"/>
  <c r="G1193" i="1"/>
  <c r="G1194" i="1"/>
  <c r="G1195" i="1"/>
  <c r="G1196" i="1"/>
  <c r="G1198" i="1"/>
  <c r="G1200" i="1"/>
  <c r="G1205" i="1"/>
  <c r="G1206" i="1"/>
  <c r="G1207" i="1"/>
  <c r="G1208" i="1"/>
  <c r="G1209" i="1"/>
  <c r="G1210" i="1"/>
  <c r="G1211" i="1"/>
  <c r="G1212" i="1"/>
  <c r="G1213" i="1"/>
  <c r="G1214" i="1"/>
  <c r="I1000" i="2" s="1"/>
  <c r="L1000" i="2" s="1"/>
  <c r="G1215" i="1"/>
  <c r="I329" i="2" s="1"/>
  <c r="L329" i="2" s="1"/>
  <c r="G1216" i="1"/>
  <c r="G1217" i="1"/>
  <c r="G1218" i="1"/>
  <c r="G1221" i="1"/>
  <c r="G1222" i="1"/>
  <c r="G1223" i="1"/>
  <c r="G1224" i="1"/>
  <c r="G1225" i="1"/>
  <c r="I993" i="2" s="1"/>
  <c r="L993" i="2" s="1"/>
  <c r="G1226" i="1"/>
  <c r="G1227" i="1"/>
  <c r="G1228" i="1"/>
  <c r="G1229" i="1"/>
  <c r="I994" i="2" s="1"/>
  <c r="L994" i="2" s="1"/>
  <c r="G1230" i="1"/>
  <c r="I995" i="2" s="1"/>
  <c r="L995" i="2" s="1"/>
  <c r="G1231" i="1"/>
  <c r="G1232" i="1"/>
  <c r="G1233" i="1"/>
  <c r="G1234" i="1"/>
  <c r="G1235" i="1"/>
  <c r="G1236" i="1"/>
  <c r="G1237" i="1"/>
  <c r="G1238" i="1"/>
  <c r="G1239" i="1"/>
  <c r="G1240" i="1"/>
  <c r="G1241" i="1"/>
  <c r="G1305" i="1"/>
  <c r="G673" i="1"/>
  <c r="G674" i="1"/>
  <c r="G672" i="1"/>
  <c r="F24" i="1"/>
  <c r="F25" i="1"/>
  <c r="F27" i="1"/>
  <c r="F28" i="1"/>
  <c r="F29" i="1"/>
  <c r="F30" i="1"/>
  <c r="I174" i="11" s="1"/>
  <c r="L174" i="11" s="1"/>
  <c r="F31" i="1"/>
  <c r="F32" i="1"/>
  <c r="F33" i="1"/>
  <c r="I43" i="11" s="1"/>
  <c r="L43" i="11" s="1"/>
  <c r="F34" i="1"/>
  <c r="I185" i="11" s="1"/>
  <c r="L185" i="11" s="1"/>
  <c r="F35" i="1"/>
  <c r="F36" i="1"/>
  <c r="F37" i="1"/>
  <c r="F38" i="1"/>
  <c r="F39" i="1"/>
  <c r="F40" i="1"/>
  <c r="F41" i="1"/>
  <c r="F42" i="1"/>
  <c r="F43" i="1"/>
  <c r="F45" i="1"/>
  <c r="F46" i="1"/>
  <c r="F47" i="1"/>
  <c r="F48" i="1"/>
  <c r="H1037" i="2" s="1"/>
  <c r="K1037" i="2" s="1"/>
  <c r="F49" i="1"/>
  <c r="F50" i="1"/>
  <c r="F51" i="1"/>
  <c r="F52" i="1"/>
  <c r="F53" i="1"/>
  <c r="F54" i="1"/>
  <c r="F55" i="1"/>
  <c r="F56" i="1"/>
  <c r="F58" i="1"/>
  <c r="F62" i="1"/>
  <c r="F63" i="1"/>
  <c r="F64" i="1"/>
  <c r="H1049" i="2" s="1"/>
  <c r="K1049" i="2" s="1"/>
  <c r="F65" i="1"/>
  <c r="F66" i="1"/>
  <c r="F67" i="1"/>
  <c r="F68" i="1"/>
  <c r="F70" i="1"/>
  <c r="F71" i="1"/>
  <c r="F72" i="1"/>
  <c r="F73" i="1"/>
  <c r="F74" i="1"/>
  <c r="H248" i="2" s="1"/>
  <c r="K248" i="2" s="1"/>
  <c r="F76" i="1"/>
  <c r="F77" i="1"/>
  <c r="F79" i="1"/>
  <c r="F80" i="1"/>
  <c r="F81" i="1"/>
  <c r="H260" i="2" s="1"/>
  <c r="K260" i="2" s="1"/>
  <c r="F82" i="1"/>
  <c r="F83" i="1"/>
  <c r="F84" i="1"/>
  <c r="F85" i="1"/>
  <c r="F86" i="1"/>
  <c r="F87" i="1"/>
  <c r="F88" i="1"/>
  <c r="F89" i="1"/>
  <c r="F90" i="1"/>
  <c r="F91" i="1"/>
  <c r="H1060" i="2" s="1"/>
  <c r="K1060" i="2" s="1"/>
  <c r="F92" i="1"/>
  <c r="I141" i="11" s="1"/>
  <c r="L141" i="11" s="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H877" i="2" s="1"/>
  <c r="K877" i="2" s="1"/>
  <c r="F120" i="1"/>
  <c r="H878" i="2" s="1"/>
  <c r="K878" i="2" s="1"/>
  <c r="F121" i="1"/>
  <c r="H879" i="2" s="1"/>
  <c r="K879" i="2" s="1"/>
  <c r="F122" i="1"/>
  <c r="H880" i="2" s="1"/>
  <c r="K880" i="2" s="1"/>
  <c r="F123" i="1"/>
  <c r="H881" i="2" s="1"/>
  <c r="K881" i="2" s="1"/>
  <c r="F124" i="1"/>
  <c r="H882" i="2" s="1"/>
  <c r="K882" i="2" s="1"/>
  <c r="F125" i="1"/>
  <c r="H883" i="2" s="1"/>
  <c r="K883" i="2" s="1"/>
  <c r="F126" i="1"/>
  <c r="F127" i="1"/>
  <c r="F128" i="1"/>
  <c r="F129" i="1"/>
  <c r="H870" i="2" s="1"/>
  <c r="K870" i="2" s="1"/>
  <c r="F130" i="1"/>
  <c r="H871" i="2" s="1"/>
  <c r="K871" i="2" s="1"/>
  <c r="F131" i="1"/>
  <c r="H872" i="2" s="1"/>
  <c r="K872" i="2" s="1"/>
  <c r="F132" i="1"/>
  <c r="H873" i="2" s="1"/>
  <c r="K873" i="2" s="1"/>
  <c r="F133" i="1"/>
  <c r="H874" i="2" s="1"/>
  <c r="K874" i="2" s="1"/>
  <c r="F134" i="1"/>
  <c r="H875" i="2" s="1"/>
  <c r="K875" i="2" s="1"/>
  <c r="F135" i="1"/>
  <c r="H876" i="2" s="1"/>
  <c r="K876" i="2" s="1"/>
  <c r="F136" i="1"/>
  <c r="F137" i="1"/>
  <c r="F138" i="1"/>
  <c r="F139" i="1"/>
  <c r="F140" i="1"/>
  <c r="F141" i="1"/>
  <c r="F142" i="1"/>
  <c r="F143" i="1"/>
  <c r="F144" i="1"/>
  <c r="F145" i="1"/>
  <c r="F146" i="1"/>
  <c r="F147" i="1"/>
  <c r="F148" i="1"/>
  <c r="H916" i="2" s="1"/>
  <c r="K916" i="2" s="1"/>
  <c r="F149" i="1"/>
  <c r="F150" i="1"/>
  <c r="H909" i="2" s="1"/>
  <c r="K909" i="2" s="1"/>
  <c r="F151" i="1"/>
  <c r="H910" i="2" s="1"/>
  <c r="K910" i="2" s="1"/>
  <c r="F152" i="1"/>
  <c r="H911" i="2" s="1"/>
  <c r="K911" i="2" s="1"/>
  <c r="F153" i="1"/>
  <c r="H912" i="2" s="1"/>
  <c r="K912" i="2" s="1"/>
  <c r="F154" i="1"/>
  <c r="H913" i="2" s="1"/>
  <c r="K913" i="2" s="1"/>
  <c r="F155" i="1"/>
  <c r="H914" i="2" s="1"/>
  <c r="K914" i="2" s="1"/>
  <c r="F156" i="1"/>
  <c r="H915" i="2" s="1"/>
  <c r="K915" i="2" s="1"/>
  <c r="F158" i="1"/>
  <c r="F159" i="1"/>
  <c r="F160" i="1"/>
  <c r="F161" i="1"/>
  <c r="F162" i="1"/>
  <c r="F163" i="1"/>
  <c r="F164" i="1"/>
  <c r="F165" i="1"/>
  <c r="F166" i="1"/>
  <c r="F167" i="1"/>
  <c r="F168" i="1"/>
  <c r="F169" i="1"/>
  <c r="F170" i="1"/>
  <c r="F171" i="1"/>
  <c r="F172" i="1"/>
  <c r="F173" i="1"/>
  <c r="H863" i="2" s="1"/>
  <c r="K863" i="2" s="1"/>
  <c r="F174" i="1"/>
  <c r="H864" i="2" s="1"/>
  <c r="K864" i="2" s="1"/>
  <c r="F175" i="1"/>
  <c r="H865" i="2" s="1"/>
  <c r="K865" i="2" s="1"/>
  <c r="F176" i="1"/>
  <c r="H866" i="2" s="1"/>
  <c r="K866" i="2" s="1"/>
  <c r="F177" i="1"/>
  <c r="H867" i="2" s="1"/>
  <c r="K867" i="2" s="1"/>
  <c r="F178" i="1"/>
  <c r="H868" i="2" s="1"/>
  <c r="K868" i="2" s="1"/>
  <c r="F179" i="1"/>
  <c r="H869" i="2" s="1"/>
  <c r="K869" i="2" s="1"/>
  <c r="F180" i="1"/>
  <c r="F181" i="1"/>
  <c r="H895" i="2" s="1"/>
  <c r="K895" i="2" s="1"/>
  <c r="F182" i="1"/>
  <c r="H896" i="2" s="1"/>
  <c r="K896" i="2" s="1"/>
  <c r="F183" i="1"/>
  <c r="H897" i="2" s="1"/>
  <c r="K897" i="2" s="1"/>
  <c r="F184" i="1"/>
  <c r="H898" i="2" s="1"/>
  <c r="K898" i="2" s="1"/>
  <c r="F185" i="1"/>
  <c r="H899" i="2" s="1"/>
  <c r="K899" i="2" s="1"/>
  <c r="F186" i="1"/>
  <c r="H900" i="2" s="1"/>
  <c r="K900" i="2" s="1"/>
  <c r="F187" i="1"/>
  <c r="H901" i="2" s="1"/>
  <c r="K901" i="2" s="1"/>
  <c r="F188" i="1"/>
  <c r="F189" i="1"/>
  <c r="H884" i="2" s="1"/>
  <c r="K884" i="2" s="1"/>
  <c r="F190" i="1"/>
  <c r="H885" i="2" s="1"/>
  <c r="K885" i="2" s="1"/>
  <c r="F191" i="1"/>
  <c r="H886" i="2" s="1"/>
  <c r="K886" i="2" s="1"/>
  <c r="F192" i="1"/>
  <c r="H887" i="2" s="1"/>
  <c r="K887" i="2" s="1"/>
  <c r="F193" i="1"/>
  <c r="F194" i="1"/>
  <c r="F195" i="1"/>
  <c r="H888" i="2" s="1"/>
  <c r="K888" i="2" s="1"/>
  <c r="F196" i="1"/>
  <c r="F197" i="1"/>
  <c r="H889" i="2" s="1"/>
  <c r="K889" i="2" s="1"/>
  <c r="F198" i="1"/>
  <c r="H892" i="2" s="1"/>
  <c r="K892" i="2" s="1"/>
  <c r="F199" i="1"/>
  <c r="H890" i="2" s="1"/>
  <c r="K890" i="2" s="1"/>
  <c r="F200" i="1"/>
  <c r="H891" i="2" s="1"/>
  <c r="K891" i="2" s="1"/>
  <c r="F201" i="1"/>
  <c r="H893" i="2" s="1"/>
  <c r="K893" i="2" s="1"/>
  <c r="F202" i="1"/>
  <c r="H894" i="2" s="1"/>
  <c r="K894" i="2" s="1"/>
  <c r="F203" i="1"/>
  <c r="F204" i="1"/>
  <c r="H1065" i="2" s="1"/>
  <c r="K1065" i="2" s="1"/>
  <c r="F205" i="1"/>
  <c r="F206" i="1"/>
  <c r="F208" i="1"/>
  <c r="H1064" i="2" s="1"/>
  <c r="K1064" i="2" s="1"/>
  <c r="F209" i="1"/>
  <c r="F210" i="1"/>
  <c r="F211" i="1"/>
  <c r="F212" i="1"/>
  <c r="I196" i="11" s="1"/>
  <c r="L196" i="11" s="1"/>
  <c r="F213" i="1"/>
  <c r="F214" i="1"/>
  <c r="F215" i="1"/>
  <c r="F216" i="1"/>
  <c r="F217" i="1"/>
  <c r="F218" i="1"/>
  <c r="F219" i="1"/>
  <c r="F220" i="1"/>
  <c r="F221" i="1"/>
  <c r="F222" i="1"/>
  <c r="F223" i="1"/>
  <c r="F224" i="1"/>
  <c r="F225" i="1"/>
  <c r="F226" i="1"/>
  <c r="F227" i="1"/>
  <c r="F228" i="1"/>
  <c r="F229" i="1"/>
  <c r="F230" i="1"/>
  <c r="F231" i="1"/>
  <c r="F232" i="1"/>
  <c r="F233" i="1"/>
  <c r="F234" i="1"/>
  <c r="F235" i="1"/>
  <c r="H902" i="2" s="1"/>
  <c r="K902" i="2" s="1"/>
  <c r="F236" i="1"/>
  <c r="H903" i="2" s="1"/>
  <c r="K903" i="2" s="1"/>
  <c r="F237" i="1"/>
  <c r="H904" i="2" s="1"/>
  <c r="K904" i="2" s="1"/>
  <c r="F238" i="1"/>
  <c r="H905" i="2" s="1"/>
  <c r="K905" i="2" s="1"/>
  <c r="F239" i="1"/>
  <c r="H906" i="2" s="1"/>
  <c r="K906" i="2" s="1"/>
  <c r="F240" i="1"/>
  <c r="H907" i="2" s="1"/>
  <c r="K907" i="2" s="1"/>
  <c r="F241" i="1"/>
  <c r="H908" i="2" s="1"/>
  <c r="K908" i="2" s="1"/>
  <c r="F242" i="1"/>
  <c r="F243" i="1"/>
  <c r="F244" i="1"/>
  <c r="F245" i="1"/>
  <c r="H735" i="2" s="1"/>
  <c r="K735" i="2" s="1"/>
  <c r="F246" i="1"/>
  <c r="F247" i="1"/>
  <c r="H991" i="2" s="1"/>
  <c r="K991" i="2" s="1"/>
  <c r="F251" i="1"/>
  <c r="F252" i="1"/>
  <c r="F253" i="1"/>
  <c r="I40" i="11" s="1"/>
  <c r="L40" i="11" s="1"/>
  <c r="F254" i="1"/>
  <c r="F255" i="1"/>
  <c r="F256" i="1"/>
  <c r="F257" i="1"/>
  <c r="F258" i="1"/>
  <c r="F259" i="1"/>
  <c r="F260" i="1"/>
  <c r="F261" i="1"/>
  <c r="F262" i="1"/>
  <c r="F263" i="1"/>
  <c r="F264" i="1"/>
  <c r="F265" i="1"/>
  <c r="H958" i="2" s="1"/>
  <c r="K958" i="2" s="1"/>
  <c r="F266" i="1"/>
  <c r="H959" i="2" s="1"/>
  <c r="K959" i="2" s="1"/>
  <c r="F267" i="1"/>
  <c r="H960" i="2" s="1"/>
  <c r="K960" i="2" s="1"/>
  <c r="F268" i="1"/>
  <c r="H961" i="2" s="1"/>
  <c r="K961" i="2" s="1"/>
  <c r="F269" i="1"/>
  <c r="H962" i="2" s="1"/>
  <c r="K962" i="2" s="1"/>
  <c r="F270" i="1"/>
  <c r="F271" i="1"/>
  <c r="F272" i="1"/>
  <c r="F273" i="1"/>
  <c r="F274" i="1"/>
  <c r="F275" i="1"/>
  <c r="F276" i="1"/>
  <c r="H1007" i="2" s="1"/>
  <c r="K1007" i="2" s="1"/>
  <c r="F277" i="1"/>
  <c r="H1006" i="2" s="1"/>
  <c r="K1006" i="2" s="1"/>
  <c r="F278" i="1"/>
  <c r="H1005" i="2" s="1"/>
  <c r="K1005" i="2" s="1"/>
  <c r="F279" i="1"/>
  <c r="H1004" i="2" s="1"/>
  <c r="K1004" i="2" s="1"/>
  <c r="F280" i="1"/>
  <c r="H1003" i="2" s="1"/>
  <c r="K1003" i="2" s="1"/>
  <c r="F281" i="1"/>
  <c r="F282" i="1"/>
  <c r="F283" i="1"/>
  <c r="F293" i="1"/>
  <c r="F294" i="1"/>
  <c r="F295" i="1"/>
  <c r="F296" i="1"/>
  <c r="F297" i="1"/>
  <c r="F298" i="1"/>
  <c r="F299" i="1"/>
  <c r="F303" i="1"/>
  <c r="F304" i="1"/>
  <c r="F305" i="1"/>
  <c r="F306" i="1"/>
  <c r="F307" i="1"/>
  <c r="F308" i="1"/>
  <c r="F309" i="1"/>
  <c r="F310" i="1"/>
  <c r="F311" i="1"/>
  <c r="H1014" i="2" s="1"/>
  <c r="K1014" i="2" s="1"/>
  <c r="F312" i="1"/>
  <c r="H1016" i="2" s="1"/>
  <c r="K1016" i="2" s="1"/>
  <c r="F322" i="1"/>
  <c r="F323" i="1"/>
  <c r="F328" i="1"/>
  <c r="F329" i="1"/>
  <c r="F330" i="1"/>
  <c r="F331" i="1"/>
  <c r="F332" i="1"/>
  <c r="F333" i="1"/>
  <c r="H950" i="2" s="1"/>
  <c r="K950" i="2" s="1"/>
  <c r="F334" i="1"/>
  <c r="H949" i="2" s="1"/>
  <c r="K949" i="2" s="1"/>
  <c r="F335" i="1"/>
  <c r="H948" i="2" s="1"/>
  <c r="K948" i="2" s="1"/>
  <c r="F336" i="1"/>
  <c r="H947" i="2" s="1"/>
  <c r="K947" i="2" s="1"/>
  <c r="F337" i="1"/>
  <c r="H946" i="2" s="1"/>
  <c r="K946" i="2" s="1"/>
  <c r="F338" i="1"/>
  <c r="H945" i="2" s="1"/>
  <c r="K945" i="2" s="1"/>
  <c r="F339" i="1"/>
  <c r="H944" i="2" s="1"/>
  <c r="K944" i="2" s="1"/>
  <c r="F340" i="1"/>
  <c r="F341" i="1"/>
  <c r="F342" i="1"/>
  <c r="F343" i="1"/>
  <c r="F344" i="1"/>
  <c r="F346" i="1"/>
  <c r="H956" i="2" s="1"/>
  <c r="K956" i="2" s="1"/>
  <c r="F347" i="1"/>
  <c r="H955" i="2" s="1"/>
  <c r="K955" i="2" s="1"/>
  <c r="F348" i="1"/>
  <c r="H954" i="2" s="1"/>
  <c r="K954" i="2" s="1"/>
  <c r="F349" i="1"/>
  <c r="H953" i="2" s="1"/>
  <c r="K953" i="2" s="1"/>
  <c r="F350" i="1"/>
  <c r="H952" i="2" s="1"/>
  <c r="K952" i="2" s="1"/>
  <c r="F351" i="1"/>
  <c r="H951" i="2" s="1"/>
  <c r="K951" i="2" s="1"/>
  <c r="F352" i="1"/>
  <c r="F353" i="1"/>
  <c r="F354" i="1"/>
  <c r="F355" i="1"/>
  <c r="F357" i="1"/>
  <c r="F358" i="1"/>
  <c r="F359" i="1"/>
  <c r="F360" i="1"/>
  <c r="F361" i="1"/>
  <c r="F362" i="1"/>
  <c r="F363" i="1"/>
  <c r="F364" i="1"/>
  <c r="F365" i="1"/>
  <c r="F366" i="1"/>
  <c r="F367" i="1"/>
  <c r="F368" i="1"/>
  <c r="F369" i="1"/>
  <c r="F370" i="1"/>
  <c r="F371" i="1"/>
  <c r="F372" i="1"/>
  <c r="F381" i="1"/>
  <c r="F382" i="1"/>
  <c r="F383" i="1"/>
  <c r="F384" i="1"/>
  <c r="F385" i="1"/>
  <c r="H1019" i="2" s="1"/>
  <c r="K1019" i="2" s="1"/>
  <c r="F386" i="1"/>
  <c r="H1020" i="2" s="1"/>
  <c r="K1020" i="2" s="1"/>
  <c r="F388" i="1"/>
  <c r="F389" i="1"/>
  <c r="F390" i="1"/>
  <c r="F391" i="1"/>
  <c r="F394" i="1"/>
  <c r="F395" i="1"/>
  <c r="F397" i="1"/>
  <c r="F398" i="1"/>
  <c r="F399" i="1"/>
  <c r="H546" i="2" s="1"/>
  <c r="K546" i="2" s="1"/>
  <c r="F400" i="1"/>
  <c r="F401" i="1"/>
  <c r="F402" i="1"/>
  <c r="F403" i="1"/>
  <c r="F404" i="1"/>
  <c r="F405" i="1"/>
  <c r="F406" i="1"/>
  <c r="F407" i="1"/>
  <c r="F408" i="1"/>
  <c r="F409" i="1"/>
  <c r="F410" i="1"/>
  <c r="F411" i="1"/>
  <c r="F412" i="1"/>
  <c r="F413" i="1"/>
  <c r="F414" i="1"/>
  <c r="F415" i="1"/>
  <c r="F416" i="1"/>
  <c r="F417" i="1"/>
  <c r="F418" i="1"/>
  <c r="F419" i="1"/>
  <c r="I119" i="11" s="1"/>
  <c r="L119" i="11" s="1"/>
  <c r="F420" i="1"/>
  <c r="F422" i="1"/>
  <c r="F423" i="1"/>
  <c r="F424" i="1"/>
  <c r="H592" i="2" s="1"/>
  <c r="K592" i="2" s="1"/>
  <c r="F425" i="1"/>
  <c r="F426" i="1"/>
  <c r="F427" i="1"/>
  <c r="F428" i="1"/>
  <c r="F429" i="1"/>
  <c r="F430" i="1"/>
  <c r="F431" i="1"/>
  <c r="F432" i="1"/>
  <c r="F433" i="1"/>
  <c r="F434" i="1"/>
  <c r="F435" i="1"/>
  <c r="F436" i="1"/>
  <c r="F439" i="1"/>
  <c r="F441" i="1"/>
  <c r="F442" i="1"/>
  <c r="F443" i="1"/>
  <c r="F444" i="1"/>
  <c r="F445" i="1"/>
  <c r="F446" i="1"/>
  <c r="F447" i="1"/>
  <c r="F448" i="1"/>
  <c r="F449" i="1"/>
  <c r="I183" i="11" s="1"/>
  <c r="L183" i="11" s="1"/>
  <c r="F450" i="1"/>
  <c r="F451" i="1"/>
  <c r="H1061" i="2" s="1"/>
  <c r="K1061" i="2" s="1"/>
  <c r="F452" i="1"/>
  <c r="F453" i="1"/>
  <c r="F454" i="1"/>
  <c r="F455" i="1"/>
  <c r="F456" i="1"/>
  <c r="H472" i="2" s="1"/>
  <c r="K472" i="2" s="1"/>
  <c r="F457" i="1"/>
  <c r="F458" i="1"/>
  <c r="F459" i="1"/>
  <c r="F460" i="1"/>
  <c r="F461" i="1"/>
  <c r="F462" i="1"/>
  <c r="F464" i="1"/>
  <c r="H473" i="2" s="1"/>
  <c r="K473" i="2" s="1"/>
  <c r="F465" i="1"/>
  <c r="H14" i="2" s="1"/>
  <c r="K14" i="2" s="1"/>
  <c r="F466" i="1"/>
  <c r="H19" i="2" s="1"/>
  <c r="K19" i="2" s="1"/>
  <c r="F467" i="1"/>
  <c r="I28" i="34" s="1"/>
  <c r="L28" i="34" s="1"/>
  <c r="F468" i="1"/>
  <c r="F469" i="1"/>
  <c r="F470" i="1"/>
  <c r="H24" i="2" s="1"/>
  <c r="K24" i="2" s="1"/>
  <c r="F471" i="1"/>
  <c r="F472" i="1"/>
  <c r="F473" i="1"/>
  <c r="H54" i="2" s="1"/>
  <c r="K54" i="2" s="1"/>
  <c r="F474" i="1"/>
  <c r="F475" i="1"/>
  <c r="F476" i="1"/>
  <c r="F477" i="1"/>
  <c r="F478" i="1"/>
  <c r="F479" i="1"/>
  <c r="F480" i="1"/>
  <c r="F481" i="1"/>
  <c r="F482" i="1"/>
  <c r="F483" i="1"/>
  <c r="F484" i="1"/>
  <c r="F485" i="1"/>
  <c r="H283" i="2" s="1"/>
  <c r="K283" i="2" s="1"/>
  <c r="F486" i="1"/>
  <c r="I154" i="11" s="1"/>
  <c r="L154" i="11" s="1"/>
  <c r="F487" i="1"/>
  <c r="F488" i="1"/>
  <c r="F489" i="1"/>
  <c r="F490" i="1"/>
  <c r="H284" i="2" s="1"/>
  <c r="K284" i="2" s="1"/>
  <c r="F491" i="1"/>
  <c r="F492" i="1"/>
  <c r="F493" i="1"/>
  <c r="F494" i="1"/>
  <c r="F495" i="1"/>
  <c r="F496" i="1"/>
  <c r="F497" i="1"/>
  <c r="F498" i="1"/>
  <c r="F499" i="1"/>
  <c r="F500" i="1"/>
  <c r="F501" i="1"/>
  <c r="F502" i="1"/>
  <c r="F503" i="1"/>
  <c r="F504" i="1"/>
  <c r="F505" i="1"/>
  <c r="F506" i="1"/>
  <c r="F507" i="1"/>
  <c r="H1074" i="2" s="1"/>
  <c r="K1074" i="2" s="1"/>
  <c r="F508" i="1"/>
  <c r="H1073" i="2" s="1"/>
  <c r="K1073" i="2" s="1"/>
  <c r="F509" i="1"/>
  <c r="H1072" i="2" s="1"/>
  <c r="K1072" i="2" s="1"/>
  <c r="F510" i="1"/>
  <c r="H1071" i="2" s="1"/>
  <c r="K1071" i="2" s="1"/>
  <c r="F511" i="1"/>
  <c r="H1070" i="2" s="1"/>
  <c r="K1070" i="2" s="1"/>
  <c r="F512" i="1"/>
  <c r="F513" i="1"/>
  <c r="F514" i="1"/>
  <c r="F520" i="1"/>
  <c r="F521" i="1"/>
  <c r="F522" i="1"/>
  <c r="F524" i="1"/>
  <c r="F525" i="1"/>
  <c r="F526" i="1"/>
  <c r="F527" i="1"/>
  <c r="F528" i="1"/>
  <c r="F529" i="1"/>
  <c r="F530" i="1"/>
  <c r="H172" i="2" s="1"/>
  <c r="K172" i="2" s="1"/>
  <c r="F531" i="1"/>
  <c r="F532" i="1"/>
  <c r="F533" i="1"/>
  <c r="F535" i="1"/>
  <c r="F536" i="1"/>
  <c r="F538" i="1"/>
  <c r="F539" i="1"/>
  <c r="F540" i="1"/>
  <c r="F541" i="1"/>
  <c r="F543" i="1"/>
  <c r="H173" i="2" s="1"/>
  <c r="K173" i="2" s="1"/>
  <c r="F544" i="1"/>
  <c r="F545" i="1"/>
  <c r="H288" i="2" s="1"/>
  <c r="K288" i="2" s="1"/>
  <c r="F546" i="1"/>
  <c r="F547" i="1"/>
  <c r="F548" i="1"/>
  <c r="F549" i="1"/>
  <c r="F550" i="1"/>
  <c r="F551" i="1"/>
  <c r="F552" i="1"/>
  <c r="F553" i="1"/>
  <c r="F555" i="1"/>
  <c r="F556" i="1"/>
  <c r="F558" i="1"/>
  <c r="F559" i="1"/>
  <c r="I161" i="11" s="1"/>
  <c r="L161" i="11" s="1"/>
  <c r="F560" i="1"/>
  <c r="F561" i="1"/>
  <c r="H286" i="2" s="1"/>
  <c r="K286" i="2" s="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8" i="1"/>
  <c r="F660" i="1"/>
  <c r="F661" i="1"/>
  <c r="F662" i="1"/>
  <c r="F664" i="1"/>
  <c r="F665" i="1"/>
  <c r="F666" i="1"/>
  <c r="F668" i="1"/>
  <c r="H26" i="2" s="1"/>
  <c r="K26" i="2" s="1"/>
  <c r="F670" i="1"/>
  <c r="F671" i="1"/>
  <c r="H56" i="2" s="1"/>
  <c r="K56" i="2" s="1"/>
  <c r="F673" i="1"/>
  <c r="F684" i="1"/>
  <c r="F685" i="1"/>
  <c r="F686" i="1"/>
  <c r="F687" i="1"/>
  <c r="F688" i="1"/>
  <c r="F689" i="1"/>
  <c r="F690" i="1"/>
  <c r="F691" i="1"/>
  <c r="F692" i="1"/>
  <c r="F693" i="1"/>
  <c r="F696" i="1"/>
  <c r="F697" i="1"/>
  <c r="F698" i="1"/>
  <c r="F699" i="1"/>
  <c r="F700" i="1"/>
  <c r="F701" i="1"/>
  <c r="F702" i="1"/>
  <c r="F706" i="1"/>
  <c r="F707" i="1"/>
  <c r="F708" i="1"/>
  <c r="F709" i="1"/>
  <c r="F710" i="1"/>
  <c r="F711" i="1"/>
  <c r="F712" i="1"/>
  <c r="F713" i="1"/>
  <c r="F714" i="1"/>
  <c r="F716" i="1"/>
  <c r="F717" i="1"/>
  <c r="H929" i="2" s="1"/>
  <c r="K929" i="2" s="1"/>
  <c r="F718" i="1"/>
  <c r="H930" i="2" s="1"/>
  <c r="K930" i="2" s="1"/>
  <c r="F719" i="1"/>
  <c r="H931" i="2" s="1"/>
  <c r="K931" i="2" s="1"/>
  <c r="F720" i="1"/>
  <c r="H932" i="2" s="1"/>
  <c r="K932" i="2" s="1"/>
  <c r="F721" i="1"/>
  <c r="H940" i="2" s="1"/>
  <c r="K940" i="2" s="1"/>
  <c r="F725" i="1"/>
  <c r="H936" i="2" s="1"/>
  <c r="K936" i="2" s="1"/>
  <c r="F726" i="1"/>
  <c r="H937" i="2" s="1"/>
  <c r="K937" i="2" s="1"/>
  <c r="F727" i="1"/>
  <c r="H938" i="2" s="1"/>
  <c r="K938" i="2" s="1"/>
  <c r="F728" i="1"/>
  <c r="F730" i="1"/>
  <c r="H921" i="2" s="1"/>
  <c r="K921" i="2" s="1"/>
  <c r="F733" i="1"/>
  <c r="H924" i="2" s="1"/>
  <c r="K924" i="2" s="1"/>
  <c r="F734" i="1"/>
  <c r="H925" i="2" s="1"/>
  <c r="K925" i="2" s="1"/>
  <c r="F735" i="1"/>
  <c r="H926" i="2" s="1"/>
  <c r="K926" i="2" s="1"/>
  <c r="F736" i="1"/>
  <c r="H927" i="2" s="1"/>
  <c r="K927" i="2" s="1"/>
  <c r="F737" i="1"/>
  <c r="F738" i="1"/>
  <c r="F739" i="1"/>
  <c r="F740" i="1"/>
  <c r="F741" i="1"/>
  <c r="F742" i="1"/>
  <c r="F743" i="1"/>
  <c r="F744" i="1"/>
  <c r="F745" i="1"/>
  <c r="F746" i="1"/>
  <c r="F747" i="1"/>
  <c r="F748" i="1"/>
  <c r="H933" i="2" s="1"/>
  <c r="K933" i="2" s="1"/>
  <c r="F749" i="1"/>
  <c r="H934" i="2" s="1"/>
  <c r="K934" i="2" s="1"/>
  <c r="F750" i="1"/>
  <c r="F751" i="1"/>
  <c r="F752" i="1"/>
  <c r="F753" i="1"/>
  <c r="F754" i="1"/>
  <c r="F755" i="1"/>
  <c r="F756" i="1"/>
  <c r="F757" i="1"/>
  <c r="F778" i="1"/>
  <c r="F779" i="1"/>
  <c r="F780" i="1"/>
  <c r="F781" i="1"/>
  <c r="F782" i="1"/>
  <c r="F783" i="1"/>
  <c r="F784" i="1"/>
  <c r="F786" i="1"/>
  <c r="F787" i="1"/>
  <c r="F788" i="1"/>
  <c r="F789" i="1"/>
  <c r="F791" i="1"/>
  <c r="F793" i="1"/>
  <c r="F794" i="1"/>
  <c r="F795" i="1"/>
  <c r="F796" i="1"/>
  <c r="F797" i="1"/>
  <c r="F798" i="1"/>
  <c r="F799" i="1"/>
  <c r="F800" i="1"/>
  <c r="F801" i="1"/>
  <c r="F802" i="1"/>
  <c r="F803" i="1"/>
  <c r="F811" i="1"/>
  <c r="F812" i="1"/>
  <c r="F813" i="1"/>
  <c r="F814" i="1"/>
  <c r="F815" i="1"/>
  <c r="F824" i="1"/>
  <c r="F825" i="1"/>
  <c r="F826" i="1"/>
  <c r="F827" i="1"/>
  <c r="F828" i="1"/>
  <c r="F829" i="1"/>
  <c r="F830" i="1"/>
  <c r="F878" i="1"/>
  <c r="F879" i="1"/>
  <c r="F881" i="1"/>
  <c r="H1098" i="2" s="1"/>
  <c r="K1098" i="2" s="1"/>
  <c r="F882" i="1"/>
  <c r="F883" i="1"/>
  <c r="F884" i="1"/>
  <c r="F885" i="1"/>
  <c r="F886" i="1"/>
  <c r="F887" i="1"/>
  <c r="H1102" i="2" s="1"/>
  <c r="K1102" i="2" s="1"/>
  <c r="F888" i="1"/>
  <c r="F889" i="1"/>
  <c r="F890" i="1"/>
  <c r="F891" i="1"/>
  <c r="H1101" i="2" s="1"/>
  <c r="K1101" i="2" s="1"/>
  <c r="F892" i="1"/>
  <c r="F893" i="1"/>
  <c r="H1100" i="2" s="1"/>
  <c r="K1100" i="2" s="1"/>
  <c r="F894" i="1"/>
  <c r="F895" i="1"/>
  <c r="F897" i="1"/>
  <c r="F898" i="1"/>
  <c r="F899" i="1"/>
  <c r="F900" i="1"/>
  <c r="F901" i="1"/>
  <c r="F902" i="1"/>
  <c r="F903" i="1"/>
  <c r="F904" i="1"/>
  <c r="F905" i="1"/>
  <c r="F922" i="1"/>
  <c r="F923" i="1"/>
  <c r="F924" i="1"/>
  <c r="F925" i="1"/>
  <c r="F942" i="1"/>
  <c r="F943" i="1"/>
  <c r="F944" i="1"/>
  <c r="F945" i="1"/>
  <c r="F946" i="1"/>
  <c r="F947" i="1"/>
  <c r="F948" i="1"/>
  <c r="F949" i="1"/>
  <c r="F951" i="1"/>
  <c r="F952" i="1"/>
  <c r="I194" i="11" s="1"/>
  <c r="L194" i="11" s="1"/>
  <c r="F954" i="1"/>
  <c r="F955" i="1"/>
  <c r="F956" i="1"/>
  <c r="F957" i="1"/>
  <c r="F958" i="1"/>
  <c r="F959" i="1"/>
  <c r="F977" i="1"/>
  <c r="F978" i="1"/>
  <c r="F979" i="1"/>
  <c r="F980" i="1"/>
  <c r="F981" i="1"/>
  <c r="F982" i="1"/>
  <c r="F983" i="1"/>
  <c r="F984" i="1"/>
  <c r="F985" i="1"/>
  <c r="F986" i="1"/>
  <c r="H1109" i="2" s="1"/>
  <c r="K1109" i="2" s="1"/>
  <c r="F987" i="1"/>
  <c r="F988" i="1"/>
  <c r="H1111" i="2" s="1"/>
  <c r="K1111" i="2" s="1"/>
  <c r="F989" i="1"/>
  <c r="H1112" i="2" s="1"/>
  <c r="K1112" i="2" s="1"/>
  <c r="F990" i="1"/>
  <c r="F991" i="1"/>
  <c r="H1113" i="2" s="1"/>
  <c r="K1113" i="2" s="1"/>
  <c r="F992" i="1"/>
  <c r="H1114" i="2" s="1"/>
  <c r="K1114" i="2" s="1"/>
  <c r="F993" i="1"/>
  <c r="F994" i="1"/>
  <c r="H1115" i="2" s="1"/>
  <c r="K1115" i="2" s="1"/>
  <c r="F995" i="1"/>
  <c r="H1116" i="2" s="1"/>
  <c r="K1116" i="2" s="1"/>
  <c r="F996" i="1"/>
  <c r="F997" i="1"/>
  <c r="F998" i="1"/>
  <c r="H1117" i="2" s="1"/>
  <c r="K1117" i="2" s="1"/>
  <c r="F999" i="1"/>
  <c r="H1118" i="2" s="1"/>
  <c r="K1118" i="2" s="1"/>
  <c r="F1000" i="1"/>
  <c r="H1119" i="2" s="1"/>
  <c r="K1119" i="2" s="1"/>
  <c r="F1001" i="1"/>
  <c r="F1002" i="1"/>
  <c r="F1003" i="1"/>
  <c r="F1004" i="1"/>
  <c r="F1005" i="1"/>
  <c r="F1006" i="1"/>
  <c r="F1009" i="1"/>
  <c r="F1010" i="1"/>
  <c r="F1011" i="1"/>
  <c r="F1012" i="1"/>
  <c r="F1013" i="1"/>
  <c r="F1014" i="1"/>
  <c r="F1015" i="1"/>
  <c r="F1016" i="1"/>
  <c r="F1017" i="1"/>
  <c r="F1018" i="1"/>
  <c r="F1019" i="1"/>
  <c r="F1020" i="1"/>
  <c r="F1021" i="1"/>
  <c r="F1022" i="1"/>
  <c r="F1023" i="1"/>
  <c r="F1024" i="1"/>
  <c r="F1025" i="1"/>
  <c r="F1026" i="1"/>
  <c r="F1027" i="1"/>
  <c r="F1028" i="1"/>
  <c r="F1052" i="1"/>
  <c r="F1055" i="1"/>
  <c r="F1056" i="1"/>
  <c r="F1057" i="1"/>
  <c r="H1025" i="2" s="1"/>
  <c r="K1025" i="2" s="1"/>
  <c r="F1058" i="1"/>
  <c r="F1059" i="1"/>
  <c r="H1027" i="2" s="1"/>
  <c r="K1027" i="2" s="1"/>
  <c r="F1065" i="1"/>
  <c r="F1066" i="1"/>
  <c r="F1067" i="1"/>
  <c r="F1068" i="1"/>
  <c r="F1069" i="1"/>
  <c r="F1070" i="1"/>
  <c r="F1071" i="1"/>
  <c r="F1072" i="1"/>
  <c r="F1073" i="1"/>
  <c r="F1074" i="1"/>
  <c r="F1075" i="1"/>
  <c r="F1076" i="1"/>
  <c r="F1077" i="1"/>
  <c r="F1078" i="1"/>
  <c r="F1079" i="1"/>
  <c r="F1080" i="1"/>
  <c r="F1081" i="1"/>
  <c r="I176" i="11" s="1"/>
  <c r="L176" i="11" s="1"/>
  <c r="F1082" i="1"/>
  <c r="H917" i="2" s="1"/>
  <c r="K917" i="2" s="1"/>
  <c r="F1084" i="1"/>
  <c r="F1085" i="1"/>
  <c r="F1086" i="1"/>
  <c r="H918" i="2" s="1"/>
  <c r="K918" i="2" s="1"/>
  <c r="F1087" i="1"/>
  <c r="H919" i="2" s="1"/>
  <c r="K919" i="2" s="1"/>
  <c r="F1088" i="1"/>
  <c r="F1089" i="1"/>
  <c r="F1090" i="1"/>
  <c r="F1091" i="1"/>
  <c r="F1092" i="1"/>
  <c r="F1093" i="1"/>
  <c r="F1094" i="1"/>
  <c r="F1095" i="1"/>
  <c r="F1096" i="1"/>
  <c r="F1097" i="1"/>
  <c r="F1098" i="1"/>
  <c r="F1099" i="1"/>
  <c r="F1100" i="1"/>
  <c r="F1101" i="1"/>
  <c r="F1102" i="1"/>
  <c r="F1103" i="1"/>
  <c r="F1104" i="1"/>
  <c r="F1105" i="1"/>
  <c r="F1106" i="1"/>
  <c r="F1107" i="1"/>
  <c r="F1108" i="1"/>
  <c r="I178" i="11" s="1"/>
  <c r="L178" i="11" s="1"/>
  <c r="F1109" i="1"/>
  <c r="F1110" i="1"/>
  <c r="F1111" i="1"/>
  <c r="F1112" i="1"/>
  <c r="F1113" i="1"/>
  <c r="F1114" i="1"/>
  <c r="F1115" i="1"/>
  <c r="F1116" i="1"/>
  <c r="I187" i="11" s="1"/>
  <c r="L187" i="11" s="1"/>
  <c r="F1117" i="1"/>
  <c r="I188" i="11" s="1"/>
  <c r="L188" i="11" s="1"/>
  <c r="F1118" i="1"/>
  <c r="F1119" i="1"/>
  <c r="F1120" i="1"/>
  <c r="F1121" i="1"/>
  <c r="F1122" i="1"/>
  <c r="F1123" i="1"/>
  <c r="F1124" i="1"/>
  <c r="F1125" i="1"/>
  <c r="H1033" i="2" s="1"/>
  <c r="K1033" i="2" s="1"/>
  <c r="F1126" i="1"/>
  <c r="F1127" i="1"/>
  <c r="F1128" i="1"/>
  <c r="F1129" i="1"/>
  <c r="F1130" i="1"/>
  <c r="F1131" i="1"/>
  <c r="F1132" i="1"/>
  <c r="I189" i="11" s="1"/>
  <c r="L189" i="11" s="1"/>
  <c r="F1133" i="1"/>
  <c r="F1134" i="1"/>
  <c r="F1135" i="1"/>
  <c r="F1136" i="1"/>
  <c r="F1137" i="1"/>
  <c r="F1138" i="1"/>
  <c r="F1139" i="1"/>
  <c r="F1140" i="1"/>
  <c r="F1141" i="1"/>
  <c r="F1142" i="1"/>
  <c r="F1143" i="1"/>
  <c r="F1144" i="1"/>
  <c r="F1145" i="1"/>
  <c r="F1146" i="1"/>
  <c r="I192" i="11" s="1"/>
  <c r="L192" i="11" s="1"/>
  <c r="F1147" i="1"/>
  <c r="F1148" i="1"/>
  <c r="F1149" i="1"/>
  <c r="F1150" i="1"/>
  <c r="I193" i="11" s="1"/>
  <c r="L193" i="11" s="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I64" i="11" s="1"/>
  <c r="L64" i="11" s="1"/>
  <c r="F1177" i="1"/>
  <c r="F1178" i="1"/>
  <c r="I66" i="11" s="1"/>
  <c r="L66" i="11" s="1"/>
  <c r="F1179" i="1"/>
  <c r="F1180" i="1"/>
  <c r="I65" i="11" s="1"/>
  <c r="L65" i="11" s="1"/>
  <c r="F1189" i="1"/>
  <c r="F1190" i="1"/>
  <c r="I173" i="11" s="1"/>
  <c r="L173" i="11" s="1"/>
  <c r="F1191" i="1"/>
  <c r="I220" i="11" s="1"/>
  <c r="L220" i="11" s="1"/>
  <c r="F1192" i="1"/>
  <c r="I227" i="11" s="1"/>
  <c r="L227" i="11" s="1"/>
  <c r="F1193" i="1"/>
  <c r="F1194" i="1"/>
  <c r="F1195" i="1"/>
  <c r="F1196" i="1"/>
  <c r="F1200" i="1"/>
  <c r="F1205" i="1"/>
  <c r="F1206" i="1"/>
  <c r="F1207" i="1"/>
  <c r="F1208" i="1"/>
  <c r="F1209" i="1"/>
  <c r="F1210" i="1"/>
  <c r="F1211" i="1"/>
  <c r="F1212" i="1"/>
  <c r="F1213" i="1"/>
  <c r="F1214" i="1"/>
  <c r="H1000" i="2" s="1"/>
  <c r="K1000" i="2" s="1"/>
  <c r="F1215" i="1"/>
  <c r="H329" i="2" s="1"/>
  <c r="K329" i="2" s="1"/>
  <c r="F1216" i="1"/>
  <c r="F1217" i="1"/>
  <c r="F1218" i="1"/>
  <c r="F1221" i="1"/>
  <c r="F1222" i="1"/>
  <c r="F1223" i="1"/>
  <c r="F1224" i="1"/>
  <c r="F1225" i="1"/>
  <c r="H993" i="2" s="1"/>
  <c r="K993" i="2" s="1"/>
  <c r="F1226" i="1"/>
  <c r="F1227" i="1"/>
  <c r="F1228" i="1"/>
  <c r="F1229" i="1"/>
  <c r="H994" i="2" s="1"/>
  <c r="K994" i="2" s="1"/>
  <c r="F1230" i="1"/>
  <c r="H995" i="2" s="1"/>
  <c r="K995" i="2" s="1"/>
  <c r="F1231" i="1"/>
  <c r="F1232" i="1"/>
  <c r="F1233" i="1"/>
  <c r="F1234" i="1"/>
  <c r="F1235" i="1"/>
  <c r="F1236" i="1"/>
  <c r="F1237" i="1"/>
  <c r="F1238" i="1"/>
  <c r="F1239" i="1"/>
  <c r="F1240" i="1"/>
  <c r="F1241" i="1"/>
  <c r="F1246" i="1"/>
  <c r="F1248" i="1"/>
  <c r="H9" i="2" s="1"/>
  <c r="K9" i="2" s="1"/>
  <c r="F1249" i="1"/>
  <c r="I23" i="34" s="1"/>
  <c r="L23" i="34" s="1"/>
  <c r="N23" i="34" s="1"/>
  <c r="F1254" i="1"/>
  <c r="I47" i="34" s="1"/>
  <c r="L47" i="34" s="1"/>
  <c r="N47" i="34" s="1"/>
  <c r="F1257" i="1"/>
  <c r="I36" i="34" s="1"/>
  <c r="L36" i="34" s="1"/>
  <c r="N36" i="34" s="1"/>
  <c r="F1258" i="1"/>
  <c r="I37" i="34" s="1"/>
  <c r="L37" i="34" s="1"/>
  <c r="N37" i="34" s="1"/>
  <c r="F1259" i="1"/>
  <c r="I38" i="34" s="1"/>
  <c r="L38" i="34" s="1"/>
  <c r="N38" i="34" s="1"/>
  <c r="F1260" i="1"/>
  <c r="I39" i="34" s="1"/>
  <c r="L39" i="34" s="1"/>
  <c r="N39" i="34" s="1"/>
  <c r="F1261" i="1"/>
  <c r="I40" i="34" s="1"/>
  <c r="L40" i="34" s="1"/>
  <c r="N40" i="34" s="1"/>
  <c r="F1262" i="1"/>
  <c r="I41" i="34" s="1"/>
  <c r="L41" i="34" s="1"/>
  <c r="N41" i="34" s="1"/>
  <c r="F1263" i="1"/>
  <c r="I42" i="34" s="1"/>
  <c r="L42" i="34" s="1"/>
  <c r="N42" i="34" s="1"/>
  <c r="F1264" i="1"/>
  <c r="F1265" i="1"/>
  <c r="F1266" i="1"/>
  <c r="F1267" i="1"/>
  <c r="I74" i="34" s="1"/>
  <c r="L74" i="34" s="1"/>
  <c r="N74" i="34" s="1"/>
  <c r="F1268" i="1"/>
  <c r="F1272" i="1"/>
  <c r="H306" i="2" s="1"/>
  <c r="K306" i="2" s="1"/>
  <c r="F1282" i="1"/>
  <c r="H941" i="2" s="1"/>
  <c r="K941" i="2" s="1"/>
  <c r="F1283" i="1"/>
  <c r="H942" i="2" s="1"/>
  <c r="K942" i="2" s="1"/>
  <c r="F1284" i="1"/>
  <c r="F1285" i="1"/>
  <c r="F1289" i="1"/>
  <c r="F1290" i="1"/>
  <c r="F1291" i="1"/>
  <c r="F1292" i="1"/>
  <c r="F1293" i="1"/>
  <c r="F1294" i="1"/>
  <c r="F1295" i="1"/>
  <c r="F1296" i="1"/>
  <c r="F1297" i="1"/>
  <c r="F1298" i="1"/>
  <c r="H990" i="2" s="1"/>
  <c r="K990" i="2" s="1"/>
  <c r="F1305" i="1"/>
  <c r="F8" i="1"/>
  <c r="F9" i="1"/>
  <c r="F10" i="1"/>
  <c r="F11" i="1"/>
  <c r="F12" i="1"/>
  <c r="F13" i="1"/>
  <c r="F14" i="1"/>
  <c r="F15" i="1"/>
  <c r="F16" i="1"/>
  <c r="F17" i="1"/>
  <c r="F21" i="1"/>
  <c r="F23" i="1"/>
  <c r="H992" i="2" s="1"/>
  <c r="K992" i="2" s="1"/>
  <c r="J24" i="11" l="1"/>
  <c r="M24" i="11" s="1"/>
  <c r="J12" i="11"/>
  <c r="M12" i="11" s="1"/>
  <c r="H553" i="2"/>
  <c r="K553" i="2" s="1"/>
  <c r="H454" i="2"/>
  <c r="K454" i="2" s="1"/>
  <c r="H560" i="2"/>
  <c r="K560" i="2" s="1"/>
  <c r="H461" i="2"/>
  <c r="K461" i="2" s="1"/>
  <c r="H1032" i="2"/>
  <c r="K1032" i="2" s="1"/>
  <c r="I273" i="11"/>
  <c r="L273" i="11" s="1"/>
  <c r="I360" i="11"/>
  <c r="L360" i="11" s="1"/>
  <c r="I381" i="11"/>
  <c r="L381" i="11" s="1"/>
  <c r="I339" i="11"/>
  <c r="L339" i="11" s="1"/>
  <c r="I318" i="11"/>
  <c r="L318" i="11" s="1"/>
  <c r="H208" i="2"/>
  <c r="K208" i="2" s="1"/>
  <c r="H121" i="2"/>
  <c r="K121" i="2" s="1"/>
  <c r="H104" i="2"/>
  <c r="K104" i="2" s="1"/>
  <c r="H254" i="2"/>
  <c r="K254" i="2" s="1"/>
  <c r="H187" i="2"/>
  <c r="K187" i="2" s="1"/>
  <c r="H234" i="2"/>
  <c r="K234" i="2" s="1"/>
  <c r="H692" i="2"/>
  <c r="K692" i="2" s="1"/>
  <c r="H706" i="2"/>
  <c r="K706" i="2" s="1"/>
  <c r="H713" i="2"/>
  <c r="K713" i="2" s="1"/>
  <c r="H703" i="2"/>
  <c r="K703" i="2" s="1"/>
  <c r="H699" i="2"/>
  <c r="K699" i="2" s="1"/>
  <c r="H696" i="2"/>
  <c r="K696" i="2" s="1"/>
  <c r="H799" i="2"/>
  <c r="K799" i="2" s="1"/>
  <c r="H787" i="2"/>
  <c r="K787" i="2" s="1"/>
  <c r="H1017" i="2"/>
  <c r="K1017" i="2" s="1"/>
  <c r="H796" i="2"/>
  <c r="K796" i="2" s="1"/>
  <c r="H784" i="2"/>
  <c r="K784" i="2" s="1"/>
  <c r="H661" i="2"/>
  <c r="K661" i="2" s="1"/>
  <c r="H626" i="2"/>
  <c r="K626" i="2" s="1"/>
  <c r="H686" i="2"/>
  <c r="K686" i="2" s="1"/>
  <c r="H671" i="2"/>
  <c r="K671" i="2" s="1"/>
  <c r="H635" i="2"/>
  <c r="K635" i="2" s="1"/>
  <c r="H600" i="2"/>
  <c r="K600" i="2" s="1"/>
  <c r="H679" i="2"/>
  <c r="K679" i="2" s="1"/>
  <c r="H653" i="2"/>
  <c r="K653" i="2" s="1"/>
  <c r="H618" i="2"/>
  <c r="K618" i="2" s="1"/>
  <c r="H608" i="2"/>
  <c r="K608" i="2" s="1"/>
  <c r="H582" i="2"/>
  <c r="K582" i="2" s="1"/>
  <c r="H590" i="2"/>
  <c r="K590" i="2" s="1"/>
  <c r="H645" i="2"/>
  <c r="K645" i="2" s="1"/>
  <c r="I1031" i="2"/>
  <c r="L1031" i="2" s="1"/>
  <c r="I817" i="2"/>
  <c r="L817" i="2" s="1"/>
  <c r="I836" i="2"/>
  <c r="L836" i="2" s="1"/>
  <c r="I823" i="2"/>
  <c r="L823" i="2" s="1"/>
  <c r="I842" i="2"/>
  <c r="L842" i="2" s="1"/>
  <c r="I860" i="2"/>
  <c r="L860" i="2" s="1"/>
  <c r="I46" i="2"/>
  <c r="L46" i="2" s="1"/>
  <c r="I41" i="2"/>
  <c r="L41" i="2" s="1"/>
  <c r="I51" i="2"/>
  <c r="L51" i="2" s="1"/>
  <c r="H840" i="2"/>
  <c r="K840" i="2" s="1"/>
  <c r="H821" i="2"/>
  <c r="K821" i="2" s="1"/>
  <c r="I343" i="11"/>
  <c r="L343" i="11" s="1"/>
  <c r="I364" i="11"/>
  <c r="L364" i="11" s="1"/>
  <c r="I195" i="11"/>
  <c r="L195" i="11" s="1"/>
  <c r="I385" i="11"/>
  <c r="L385" i="11" s="1"/>
  <c r="I322" i="11"/>
  <c r="L322" i="11" s="1"/>
  <c r="I320" i="11"/>
  <c r="L320" i="11" s="1"/>
  <c r="I362" i="11"/>
  <c r="L362" i="11" s="1"/>
  <c r="I383" i="11"/>
  <c r="L383" i="11" s="1"/>
  <c r="I341" i="11"/>
  <c r="L341" i="11" s="1"/>
  <c r="H153" i="2"/>
  <c r="K153" i="2" s="1"/>
  <c r="H139" i="2"/>
  <c r="K139" i="2" s="1"/>
  <c r="H1094" i="2"/>
  <c r="K1094" i="2" s="1"/>
  <c r="H1090" i="2"/>
  <c r="K1090" i="2" s="1"/>
  <c r="H1086" i="2"/>
  <c r="K1086" i="2" s="1"/>
  <c r="H1082" i="2"/>
  <c r="K1082" i="2" s="1"/>
  <c r="H1092" i="2"/>
  <c r="K1092" i="2" s="1"/>
  <c r="H1087" i="2"/>
  <c r="K1087" i="2" s="1"/>
  <c r="H1084" i="2"/>
  <c r="K1084" i="2" s="1"/>
  <c r="H1079" i="2"/>
  <c r="K1079" i="2" s="1"/>
  <c r="H1095" i="2"/>
  <c r="K1095" i="2" s="1"/>
  <c r="H1093" i="2"/>
  <c r="K1093" i="2" s="1"/>
  <c r="H1085" i="2"/>
  <c r="K1085" i="2" s="1"/>
  <c r="H1091" i="2"/>
  <c r="K1091" i="2" s="1"/>
  <c r="H1088" i="2"/>
  <c r="K1088" i="2" s="1"/>
  <c r="H1083" i="2"/>
  <c r="K1083" i="2" s="1"/>
  <c r="H1080" i="2"/>
  <c r="K1080" i="2" s="1"/>
  <c r="H825" i="2"/>
  <c r="K825" i="2" s="1"/>
  <c r="H1089" i="2"/>
  <c r="K1089" i="2" s="1"/>
  <c r="H1081" i="2"/>
  <c r="K1081" i="2" s="1"/>
  <c r="H11" i="2"/>
  <c r="K11" i="2" s="1"/>
  <c r="I169" i="11"/>
  <c r="L169" i="11" s="1"/>
  <c r="I175" i="11"/>
  <c r="L175" i="11" s="1"/>
  <c r="I54" i="11"/>
  <c r="L54" i="11" s="1"/>
  <c r="I58" i="11"/>
  <c r="L58" i="11" s="1"/>
  <c r="I14" i="11"/>
  <c r="L14" i="11" s="1"/>
  <c r="H760" i="2"/>
  <c r="K760" i="2" s="1"/>
  <c r="H753" i="2"/>
  <c r="K753" i="2" s="1"/>
  <c r="H741" i="2"/>
  <c r="K741" i="2" s="1"/>
  <c r="H747" i="2"/>
  <c r="K747" i="2" s="1"/>
  <c r="H421" i="2"/>
  <c r="K421" i="2" s="1"/>
  <c r="H402" i="2"/>
  <c r="K402" i="2" s="1"/>
  <c r="H980" i="2"/>
  <c r="K980" i="2" s="1"/>
  <c r="I289" i="11"/>
  <c r="L289" i="11" s="1"/>
  <c r="I61" i="11"/>
  <c r="L61" i="11" s="1"/>
  <c r="H1050" i="2"/>
  <c r="K1050" i="2" s="1"/>
  <c r="H449" i="2"/>
  <c r="K449" i="2" s="1"/>
  <c r="H415" i="2"/>
  <c r="K415" i="2" s="1"/>
  <c r="H434" i="2"/>
  <c r="K434" i="2" s="1"/>
  <c r="H424" i="2"/>
  <c r="K424" i="2" s="1"/>
  <c r="H405" i="2"/>
  <c r="K405" i="2" s="1"/>
  <c r="I50" i="11"/>
  <c r="L50" i="11" s="1"/>
  <c r="I523" i="2"/>
  <c r="L523" i="2" s="1"/>
  <c r="I447" i="2"/>
  <c r="L447" i="2" s="1"/>
  <c r="I439" i="2"/>
  <c r="L439" i="2" s="1"/>
  <c r="I530" i="2"/>
  <c r="L530" i="2" s="1"/>
  <c r="I480" i="2"/>
  <c r="L480" i="2" s="1"/>
  <c r="I489" i="2"/>
  <c r="L489" i="2" s="1"/>
  <c r="I471" i="2"/>
  <c r="L471" i="2" s="1"/>
  <c r="J211" i="11"/>
  <c r="M211" i="11" s="1"/>
  <c r="J201" i="11"/>
  <c r="M201" i="11" s="1"/>
  <c r="J190" i="11"/>
  <c r="M190" i="11" s="1"/>
  <c r="J274" i="11"/>
  <c r="M274" i="11" s="1"/>
  <c r="I841" i="2"/>
  <c r="L841" i="2" s="1"/>
  <c r="I859" i="2"/>
  <c r="L859" i="2" s="1"/>
  <c r="I822" i="2"/>
  <c r="L822" i="2" s="1"/>
  <c r="J386" i="11"/>
  <c r="M386" i="11" s="1"/>
  <c r="J323" i="11"/>
  <c r="M323" i="11" s="1"/>
  <c r="J191" i="11"/>
  <c r="M191" i="11" s="1"/>
  <c r="J344" i="11"/>
  <c r="M344" i="11" s="1"/>
  <c r="J365" i="11"/>
  <c r="M365" i="11" s="1"/>
  <c r="I1034" i="2"/>
  <c r="L1034" i="2" s="1"/>
  <c r="I837" i="2"/>
  <c r="L837" i="2" s="1"/>
  <c r="I818" i="2"/>
  <c r="L818" i="2" s="1"/>
  <c r="I847" i="2"/>
  <c r="L847" i="2" s="1"/>
  <c r="I390" i="2"/>
  <c r="L390" i="2" s="1"/>
  <c r="J250" i="11"/>
  <c r="M250" i="11" s="1"/>
  <c r="I1029" i="2"/>
  <c r="L1029" i="2" s="1"/>
  <c r="I814" i="2"/>
  <c r="L814" i="2" s="1"/>
  <c r="I833" i="2"/>
  <c r="L833" i="2" s="1"/>
  <c r="I831" i="2"/>
  <c r="L831" i="2" s="1"/>
  <c r="I812" i="2"/>
  <c r="L812" i="2" s="1"/>
  <c r="I1024" i="2"/>
  <c r="L1024" i="2" s="1"/>
  <c r="I829" i="2"/>
  <c r="L829" i="2" s="1"/>
  <c r="I810" i="2"/>
  <c r="L810" i="2" s="1"/>
  <c r="J373" i="11"/>
  <c r="M373" i="11" s="1"/>
  <c r="J310" i="11"/>
  <c r="M310" i="11" s="1"/>
  <c r="J331" i="11"/>
  <c r="M331" i="11" s="1"/>
  <c r="J352" i="11"/>
  <c r="M352" i="11" s="1"/>
  <c r="I364" i="2"/>
  <c r="L364" i="2" s="1"/>
  <c r="I330" i="2"/>
  <c r="L330" i="2" s="1"/>
  <c r="I321" i="2"/>
  <c r="L321" i="2" s="1"/>
  <c r="I392" i="2"/>
  <c r="L392" i="2" s="1"/>
  <c r="I373" i="2"/>
  <c r="L373" i="2" s="1"/>
  <c r="I346" i="2"/>
  <c r="L346" i="2" s="1"/>
  <c r="I355" i="2"/>
  <c r="L355" i="2" s="1"/>
  <c r="I1107" i="2"/>
  <c r="L1107" i="2" s="1"/>
  <c r="J10" i="11"/>
  <c r="M10" i="11" s="1"/>
  <c r="I256" i="2"/>
  <c r="L256" i="2" s="1"/>
  <c r="I189" i="2"/>
  <c r="L189" i="2" s="1"/>
  <c r="I159" i="2"/>
  <c r="L159" i="2" s="1"/>
  <c r="I236" i="2"/>
  <c r="L236" i="2" s="1"/>
  <c r="I210" i="2"/>
  <c r="L210" i="2" s="1"/>
  <c r="I145" i="2"/>
  <c r="L145" i="2" s="1"/>
  <c r="I118" i="2"/>
  <c r="L118" i="2" s="1"/>
  <c r="I101" i="2"/>
  <c r="L101" i="2" s="1"/>
  <c r="I856" i="2"/>
  <c r="L856" i="2" s="1"/>
  <c r="J259" i="11"/>
  <c r="M259" i="11" s="1"/>
  <c r="I231" i="2"/>
  <c r="L231" i="2" s="1"/>
  <c r="I158" i="2"/>
  <c r="L158" i="2" s="1"/>
  <c r="I144" i="2"/>
  <c r="L144" i="2" s="1"/>
  <c r="I100" i="2"/>
  <c r="L100" i="2" s="1"/>
  <c r="I205" i="2"/>
  <c r="L205" i="2" s="1"/>
  <c r="I251" i="2"/>
  <c r="L251" i="2" s="1"/>
  <c r="I52" i="2"/>
  <c r="L52" i="2" s="1"/>
  <c r="I47" i="2"/>
  <c r="L47" i="2" s="1"/>
  <c r="I32" i="2"/>
  <c r="L32" i="2" s="1"/>
  <c r="I12" i="2"/>
  <c r="L12" i="2" s="1"/>
  <c r="I57" i="2"/>
  <c r="L57" i="2" s="1"/>
  <c r="I42" i="2"/>
  <c r="L42" i="2" s="1"/>
  <c r="I22" i="2"/>
  <c r="L22" i="2" s="1"/>
  <c r="I17" i="2"/>
  <c r="L17" i="2" s="1"/>
  <c r="I37" i="2"/>
  <c r="L37" i="2" s="1"/>
  <c r="I27" i="2"/>
  <c r="L27" i="2" s="1"/>
  <c r="I1091" i="2"/>
  <c r="L1091" i="2" s="1"/>
  <c r="I1087" i="2"/>
  <c r="L1087" i="2" s="1"/>
  <c r="I1083" i="2"/>
  <c r="L1083" i="2" s="1"/>
  <c r="I1079" i="2"/>
  <c r="L1079" i="2" s="1"/>
  <c r="I1095" i="2"/>
  <c r="L1095" i="2" s="1"/>
  <c r="I1093" i="2"/>
  <c r="L1093" i="2" s="1"/>
  <c r="I1090" i="2"/>
  <c r="L1090" i="2" s="1"/>
  <c r="I1085" i="2"/>
  <c r="L1085" i="2" s="1"/>
  <c r="I1082" i="2"/>
  <c r="L1082" i="2" s="1"/>
  <c r="I1088" i="2"/>
  <c r="L1088" i="2" s="1"/>
  <c r="I1080" i="2"/>
  <c r="L1080" i="2" s="1"/>
  <c r="I1094" i="2"/>
  <c r="L1094" i="2" s="1"/>
  <c r="I1089" i="2"/>
  <c r="L1089" i="2" s="1"/>
  <c r="I1086" i="2"/>
  <c r="L1086" i="2" s="1"/>
  <c r="I1081" i="2"/>
  <c r="L1081" i="2" s="1"/>
  <c r="I1092" i="2"/>
  <c r="L1092" i="2" s="1"/>
  <c r="I1084" i="2"/>
  <c r="L1084" i="2" s="1"/>
  <c r="I825" i="2"/>
  <c r="L825" i="2" s="1"/>
  <c r="I11" i="2"/>
  <c r="L11" i="2" s="1"/>
  <c r="J169" i="11"/>
  <c r="M169" i="11" s="1"/>
  <c r="J175" i="11"/>
  <c r="M175" i="11" s="1"/>
  <c r="J58" i="11"/>
  <c r="M58" i="11" s="1"/>
  <c r="J54" i="11"/>
  <c r="M54" i="11" s="1"/>
  <c r="J14" i="11"/>
  <c r="M14" i="11" s="1"/>
  <c r="I239" i="2"/>
  <c r="L239" i="2" s="1"/>
  <c r="I222" i="2"/>
  <c r="L222" i="2" s="1"/>
  <c r="I282" i="2"/>
  <c r="L282" i="2" s="1"/>
  <c r="I192" i="2"/>
  <c r="L192" i="2" s="1"/>
  <c r="I175" i="2"/>
  <c r="L175" i="2" s="1"/>
  <c r="I134" i="2"/>
  <c r="L134" i="2" s="1"/>
  <c r="I91" i="2"/>
  <c r="L91" i="2" s="1"/>
  <c r="I291" i="2"/>
  <c r="L291" i="2" s="1"/>
  <c r="I108" i="2"/>
  <c r="L108" i="2" s="1"/>
  <c r="J98" i="11"/>
  <c r="M98" i="11" s="1"/>
  <c r="I148" i="2"/>
  <c r="L148" i="2" s="1"/>
  <c r="J150" i="11"/>
  <c r="M150" i="11" s="1"/>
  <c r="J137" i="11"/>
  <c r="M137" i="11" s="1"/>
  <c r="J108" i="11"/>
  <c r="M108" i="11" s="1"/>
  <c r="I292" i="2"/>
  <c r="L292" i="2" s="1"/>
  <c r="I279" i="2"/>
  <c r="L279" i="2" s="1"/>
  <c r="I240" i="2"/>
  <c r="L240" i="2" s="1"/>
  <c r="I223" i="2"/>
  <c r="L223" i="2" s="1"/>
  <c r="I193" i="2"/>
  <c r="L193" i="2" s="1"/>
  <c r="I176" i="2"/>
  <c r="L176" i="2" s="1"/>
  <c r="I92" i="2"/>
  <c r="L92" i="2" s="1"/>
  <c r="I149" i="2"/>
  <c r="L149" i="2" s="1"/>
  <c r="J151" i="11"/>
  <c r="M151" i="11" s="1"/>
  <c r="J138" i="11"/>
  <c r="M138" i="11" s="1"/>
  <c r="J109" i="11"/>
  <c r="M109" i="11" s="1"/>
  <c r="I135" i="2"/>
  <c r="L135" i="2" s="1"/>
  <c r="I109" i="2"/>
  <c r="L109" i="2" s="1"/>
  <c r="J99" i="11"/>
  <c r="M99" i="11" s="1"/>
  <c r="I293" i="2"/>
  <c r="L293" i="2" s="1"/>
  <c r="I224" i="2"/>
  <c r="L224" i="2" s="1"/>
  <c r="I280" i="2"/>
  <c r="L280" i="2" s="1"/>
  <c r="I177" i="2"/>
  <c r="L177" i="2" s="1"/>
  <c r="I241" i="2"/>
  <c r="L241" i="2" s="1"/>
  <c r="I194" i="2"/>
  <c r="L194" i="2" s="1"/>
  <c r="I136" i="2"/>
  <c r="L136" i="2" s="1"/>
  <c r="I93" i="2"/>
  <c r="L93" i="2" s="1"/>
  <c r="I110" i="2"/>
  <c r="L110" i="2" s="1"/>
  <c r="I150" i="2"/>
  <c r="L150" i="2" s="1"/>
  <c r="J152" i="11"/>
  <c r="M152" i="11" s="1"/>
  <c r="J139" i="11"/>
  <c r="M139" i="11" s="1"/>
  <c r="J110" i="11"/>
  <c r="M110" i="11" s="1"/>
  <c r="J100" i="11"/>
  <c r="M100" i="11" s="1"/>
  <c r="I34" i="2"/>
  <c r="L34" i="2" s="1"/>
  <c r="I29" i="2"/>
  <c r="L29" i="2" s="1"/>
  <c r="J19" i="11"/>
  <c r="M19" i="11" s="1"/>
  <c r="J265" i="11"/>
  <c r="M265" i="11" s="1"/>
  <c r="J279" i="11"/>
  <c r="M279" i="11" s="1"/>
  <c r="I706" i="2"/>
  <c r="L706" i="2" s="1"/>
  <c r="I713" i="2"/>
  <c r="L713" i="2" s="1"/>
  <c r="I692" i="2"/>
  <c r="L692" i="2" s="1"/>
  <c r="I703" i="2"/>
  <c r="L703" i="2" s="1"/>
  <c r="I699" i="2"/>
  <c r="L699" i="2" s="1"/>
  <c r="I696" i="2"/>
  <c r="L696" i="2" s="1"/>
  <c r="I663" i="2"/>
  <c r="L663" i="2" s="1"/>
  <c r="I637" i="2"/>
  <c r="L637" i="2" s="1"/>
  <c r="I610" i="2"/>
  <c r="L610" i="2" s="1"/>
  <c r="I574" i="2"/>
  <c r="L574" i="2" s="1"/>
  <c r="I507" i="2"/>
  <c r="L507" i="2" s="1"/>
  <c r="I514" i="2"/>
  <c r="L514" i="2" s="1"/>
  <c r="I569" i="2"/>
  <c r="L569" i="2" s="1"/>
  <c r="I301" i="2"/>
  <c r="L301" i="2" s="1"/>
  <c r="I744" i="2"/>
  <c r="L744" i="2" s="1"/>
  <c r="I738" i="2"/>
  <c r="L738" i="2" s="1"/>
  <c r="I986" i="2"/>
  <c r="L986" i="2" s="1"/>
  <c r="I782" i="2"/>
  <c r="L782" i="2" s="1"/>
  <c r="I776" i="2"/>
  <c r="L776" i="2" s="1"/>
  <c r="I740" i="2"/>
  <c r="L740" i="2" s="1"/>
  <c r="I746" i="2"/>
  <c r="L746" i="2" s="1"/>
  <c r="I760" i="2"/>
  <c r="L760" i="2" s="1"/>
  <c r="I753" i="2"/>
  <c r="L753" i="2" s="1"/>
  <c r="I741" i="2"/>
  <c r="L741" i="2" s="1"/>
  <c r="I747" i="2"/>
  <c r="L747" i="2" s="1"/>
  <c r="I963" i="2"/>
  <c r="L963" i="2" s="1"/>
  <c r="I725" i="2"/>
  <c r="L725" i="2" s="1"/>
  <c r="I848" i="2"/>
  <c r="L848" i="2" s="1"/>
  <c r="I354" i="2"/>
  <c r="L354" i="2" s="1"/>
  <c r="I388" i="2"/>
  <c r="L388" i="2" s="1"/>
  <c r="I320" i="2"/>
  <c r="L320" i="2" s="1"/>
  <c r="J251" i="11"/>
  <c r="M251" i="11" s="1"/>
  <c r="I714" i="2"/>
  <c r="L714" i="2" s="1"/>
  <c r="I707" i="2"/>
  <c r="L707" i="2" s="1"/>
  <c r="I1010" i="2"/>
  <c r="L1010" i="2" s="1"/>
  <c r="I804" i="2"/>
  <c r="L804" i="2" s="1"/>
  <c r="I792" i="2"/>
  <c r="L792" i="2" s="1"/>
  <c r="I1017" i="2"/>
  <c r="L1017" i="2" s="1"/>
  <c r="I796" i="2"/>
  <c r="L796" i="2" s="1"/>
  <c r="I784" i="2"/>
  <c r="L784" i="2" s="1"/>
  <c r="I787" i="2"/>
  <c r="L787" i="2" s="1"/>
  <c r="I799" i="2"/>
  <c r="L799" i="2" s="1"/>
  <c r="I686" i="2"/>
  <c r="L686" i="2" s="1"/>
  <c r="I671" i="2"/>
  <c r="L671" i="2" s="1"/>
  <c r="I635" i="2"/>
  <c r="L635" i="2" s="1"/>
  <c r="I645" i="2"/>
  <c r="L645" i="2" s="1"/>
  <c r="I590" i="2"/>
  <c r="L590" i="2" s="1"/>
  <c r="I661" i="2"/>
  <c r="L661" i="2" s="1"/>
  <c r="I626" i="2"/>
  <c r="L626" i="2" s="1"/>
  <c r="I679" i="2"/>
  <c r="L679" i="2" s="1"/>
  <c r="I582" i="2"/>
  <c r="L582" i="2" s="1"/>
  <c r="I608" i="2"/>
  <c r="L608" i="2" s="1"/>
  <c r="I653" i="2"/>
  <c r="L653" i="2" s="1"/>
  <c r="I618" i="2"/>
  <c r="L618" i="2" s="1"/>
  <c r="I600" i="2"/>
  <c r="L600" i="2" s="1"/>
  <c r="I731" i="2"/>
  <c r="L731" i="2" s="1"/>
  <c r="I440" i="2"/>
  <c r="L440" i="2" s="1"/>
  <c r="I809" i="2"/>
  <c r="L809" i="2" s="1"/>
  <c r="I828" i="2"/>
  <c r="L828" i="2" s="1"/>
  <c r="J307" i="11"/>
  <c r="M307" i="11" s="1"/>
  <c r="J328" i="11"/>
  <c r="M328" i="11" s="1"/>
  <c r="J349" i="11"/>
  <c r="M349" i="11" s="1"/>
  <c r="J370" i="11"/>
  <c r="M370" i="11" s="1"/>
  <c r="J270" i="11"/>
  <c r="M270" i="11" s="1"/>
  <c r="I981" i="2"/>
  <c r="L981" i="2" s="1"/>
  <c r="J290" i="11"/>
  <c r="M290" i="11" s="1"/>
  <c r="J59" i="11"/>
  <c r="M59" i="11" s="1"/>
  <c r="I1058" i="2"/>
  <c r="L1058" i="2" s="1"/>
  <c r="I801" i="2"/>
  <c r="L801" i="2" s="1"/>
  <c r="I797" i="2"/>
  <c r="L797" i="2" s="1"/>
  <c r="I806" i="2"/>
  <c r="L806" i="2" s="1"/>
  <c r="I1055" i="2"/>
  <c r="L1055" i="2" s="1"/>
  <c r="I492" i="2"/>
  <c r="L492" i="2" s="1"/>
  <c r="I201" i="2"/>
  <c r="L201" i="2" s="1"/>
  <c r="I183" i="2"/>
  <c r="L183" i="2" s="1"/>
  <c r="I1051" i="2"/>
  <c r="L1051" i="2" s="1"/>
  <c r="I562" i="2"/>
  <c r="L562" i="2" s="1"/>
  <c r="I518" i="2"/>
  <c r="L518" i="2" s="1"/>
  <c r="I576" i="2"/>
  <c r="L576" i="2" s="1"/>
  <c r="I483" i="2"/>
  <c r="L483" i="2" s="1"/>
  <c r="I502" i="2"/>
  <c r="L502" i="2" s="1"/>
  <c r="I466" i="2"/>
  <c r="L466" i="2" s="1"/>
  <c r="I547" i="2"/>
  <c r="L547" i="2" s="1"/>
  <c r="J242" i="11"/>
  <c r="M242" i="11" s="1"/>
  <c r="J235" i="11"/>
  <c r="M235" i="11" s="1"/>
  <c r="J228" i="11"/>
  <c r="M228" i="11" s="1"/>
  <c r="I1042" i="2"/>
  <c r="L1042" i="2" s="1"/>
  <c r="I427" i="2"/>
  <c r="L427" i="2" s="1"/>
  <c r="I406" i="2"/>
  <c r="L406" i="2" s="1"/>
  <c r="I531" i="2"/>
  <c r="L531" i="2" s="1"/>
  <c r="J68" i="11"/>
  <c r="M68" i="11" s="1"/>
  <c r="I1038" i="2"/>
  <c r="L1038" i="2" s="1"/>
  <c r="J84" i="11"/>
  <c r="M84" i="11" s="1"/>
  <c r="I400" i="2"/>
  <c r="L400" i="2" s="1"/>
  <c r="J46" i="11"/>
  <c r="M46" i="11" s="1"/>
  <c r="H849" i="2"/>
  <c r="K849" i="2" s="1"/>
  <c r="I252" i="11"/>
  <c r="L252" i="11" s="1"/>
  <c r="H832" i="2"/>
  <c r="K832" i="2" s="1"/>
  <c r="H813" i="2"/>
  <c r="K813" i="2" s="1"/>
  <c r="I375" i="11"/>
  <c r="L375" i="11" s="1"/>
  <c r="I354" i="11"/>
  <c r="L354" i="11" s="1"/>
  <c r="I312" i="11"/>
  <c r="L312" i="11" s="1"/>
  <c r="I333" i="11"/>
  <c r="L333" i="11" s="1"/>
  <c r="H252" i="2"/>
  <c r="K252" i="2" s="1"/>
  <c r="H185" i="2"/>
  <c r="K185" i="2" s="1"/>
  <c r="H102" i="2"/>
  <c r="K102" i="2" s="1"/>
  <c r="H232" i="2"/>
  <c r="K232" i="2" s="1"/>
  <c r="H119" i="2"/>
  <c r="K119" i="2" s="1"/>
  <c r="H206" i="2"/>
  <c r="K206" i="2" s="1"/>
  <c r="H280" i="2"/>
  <c r="K280" i="2" s="1"/>
  <c r="H241" i="2"/>
  <c r="K241" i="2" s="1"/>
  <c r="H194" i="2"/>
  <c r="K194" i="2" s="1"/>
  <c r="H150" i="2"/>
  <c r="K150" i="2" s="1"/>
  <c r="H136" i="2"/>
  <c r="K136" i="2" s="1"/>
  <c r="H110" i="2"/>
  <c r="K110" i="2" s="1"/>
  <c r="H293" i="2"/>
  <c r="K293" i="2" s="1"/>
  <c r="H224" i="2"/>
  <c r="K224" i="2" s="1"/>
  <c r="H177" i="2"/>
  <c r="K177" i="2" s="1"/>
  <c r="I110" i="11"/>
  <c r="L110" i="11" s="1"/>
  <c r="I100" i="11"/>
  <c r="L100" i="11" s="1"/>
  <c r="H93" i="2"/>
  <c r="K93" i="2" s="1"/>
  <c r="I152" i="11"/>
  <c r="L152" i="11" s="1"/>
  <c r="I139" i="11"/>
  <c r="L139" i="11" s="1"/>
  <c r="H731" i="2"/>
  <c r="K731" i="2" s="1"/>
  <c r="H440" i="2"/>
  <c r="K440" i="2" s="1"/>
  <c r="H1055" i="2"/>
  <c r="K1055" i="2" s="1"/>
  <c r="H492" i="2"/>
  <c r="K492" i="2" s="1"/>
  <c r="H183" i="2"/>
  <c r="K183" i="2" s="1"/>
  <c r="H201" i="2"/>
  <c r="K201" i="2" s="1"/>
  <c r="H1038" i="2"/>
  <c r="K1038" i="2" s="1"/>
  <c r="I84" i="11"/>
  <c r="L84" i="11" s="1"/>
  <c r="I999" i="2"/>
  <c r="L999" i="2" s="1"/>
  <c r="I313" i="2"/>
  <c r="L313" i="2" s="1"/>
  <c r="I305" i="2"/>
  <c r="L305" i="2" s="1"/>
  <c r="J313" i="11"/>
  <c r="M313" i="11" s="1"/>
  <c r="J376" i="11"/>
  <c r="M376" i="11" s="1"/>
  <c r="J334" i="11"/>
  <c r="M334" i="11" s="1"/>
  <c r="J355" i="11"/>
  <c r="M355" i="11" s="1"/>
  <c r="I404" i="2"/>
  <c r="L404" i="2" s="1"/>
  <c r="I414" i="2"/>
  <c r="L414" i="2" s="1"/>
  <c r="I433" i="2"/>
  <c r="L433" i="2" s="1"/>
  <c r="I423" i="2"/>
  <c r="L423" i="2" s="1"/>
  <c r="J303" i="11"/>
  <c r="M303" i="11" s="1"/>
  <c r="J293" i="11"/>
  <c r="M293" i="11" s="1"/>
  <c r="I571" i="2"/>
  <c r="L571" i="2" s="1"/>
  <c r="I577" i="2"/>
  <c r="L577" i="2" s="1"/>
  <c r="H836" i="2"/>
  <c r="K836" i="2" s="1"/>
  <c r="H1031" i="2"/>
  <c r="K1031" i="2" s="1"/>
  <c r="H817" i="2"/>
  <c r="K817" i="2" s="1"/>
  <c r="H294" i="2"/>
  <c r="K294" i="2" s="1"/>
  <c r="I101" i="11"/>
  <c r="L101" i="11" s="1"/>
  <c r="I111" i="11"/>
  <c r="L111" i="11" s="1"/>
  <c r="H1022" i="2"/>
  <c r="K1022" i="2" s="1"/>
  <c r="I378" i="11"/>
  <c r="I357" i="11"/>
  <c r="I315" i="11"/>
  <c r="I336" i="11"/>
  <c r="H691" i="2"/>
  <c r="K691" i="2" s="1"/>
  <c r="H698" i="2"/>
  <c r="K698" i="2" s="1"/>
  <c r="H740" i="2"/>
  <c r="K740" i="2" s="1"/>
  <c r="H746" i="2"/>
  <c r="K746" i="2" s="1"/>
  <c r="H759" i="2"/>
  <c r="K759" i="2" s="1"/>
  <c r="H742" i="2"/>
  <c r="K742" i="2" s="1"/>
  <c r="H724" i="2"/>
  <c r="K724" i="2" s="1"/>
  <c r="H633" i="2"/>
  <c r="K633" i="2" s="1"/>
  <c r="H624" i="2"/>
  <c r="K624" i="2" s="1"/>
  <c r="H606" i="2"/>
  <c r="K606" i="2" s="1"/>
  <c r="H274" i="2"/>
  <c r="K274" i="2" s="1"/>
  <c r="H166" i="2"/>
  <c r="K166" i="2" s="1"/>
  <c r="H217" i="2"/>
  <c r="K217" i="2" s="1"/>
  <c r="H129" i="2"/>
  <c r="K129" i="2" s="1"/>
  <c r="I35" i="11"/>
  <c r="L35" i="11" s="1"/>
  <c r="H1054" i="2"/>
  <c r="K1054" i="2" s="1"/>
  <c r="H246" i="2"/>
  <c r="K246" i="2" s="1"/>
  <c r="H115" i="2"/>
  <c r="K115" i="2" s="1"/>
  <c r="I90" i="11"/>
  <c r="L90" i="11" s="1"/>
  <c r="H1046" i="2"/>
  <c r="K1046" i="2" s="1"/>
  <c r="H491" i="2"/>
  <c r="K491" i="2" s="1"/>
  <c r="I87" i="11"/>
  <c r="L87" i="11" s="1"/>
  <c r="H1041" i="2"/>
  <c r="K1041" i="2" s="1"/>
  <c r="H416" i="2"/>
  <c r="K416" i="2" s="1"/>
  <c r="I229" i="11"/>
  <c r="L229" i="11" s="1"/>
  <c r="I86" i="11"/>
  <c r="L86" i="11" s="1"/>
  <c r="I69" i="11"/>
  <c r="L69" i="11" s="1"/>
  <c r="H850" i="2"/>
  <c r="K850" i="2" s="1"/>
  <c r="H854" i="2"/>
  <c r="K854" i="2" s="1"/>
  <c r="H365" i="2"/>
  <c r="K365" i="2" s="1"/>
  <c r="H393" i="2"/>
  <c r="K393" i="2" s="1"/>
  <c r="H356" i="2"/>
  <c r="K356" i="2" s="1"/>
  <c r="H374" i="2"/>
  <c r="K374" i="2" s="1"/>
  <c r="H347" i="2"/>
  <c r="K347" i="2" s="1"/>
  <c r="H331" i="2"/>
  <c r="K331" i="2" s="1"/>
  <c r="H322" i="2"/>
  <c r="K322" i="2" s="1"/>
  <c r="I380" i="11"/>
  <c r="I317" i="11"/>
  <c r="I253" i="11"/>
  <c r="L253" i="11" s="1"/>
  <c r="I184" i="11"/>
  <c r="L184" i="11" s="1"/>
  <c r="I359" i="11"/>
  <c r="I338" i="11"/>
  <c r="I282" i="11"/>
  <c r="L282" i="11" s="1"/>
  <c r="I267" i="11"/>
  <c r="L267" i="11" s="1"/>
  <c r="I257" i="11"/>
  <c r="L257" i="11" s="1"/>
  <c r="I81" i="11"/>
  <c r="L81" i="11" s="1"/>
  <c r="I498" i="2"/>
  <c r="L498" i="2" s="1"/>
  <c r="I479" i="2"/>
  <c r="L479" i="2" s="1"/>
  <c r="I488" i="2"/>
  <c r="L488" i="2" s="1"/>
  <c r="I470" i="2"/>
  <c r="L470" i="2" s="1"/>
  <c r="J241" i="11"/>
  <c r="M241" i="11" s="1"/>
  <c r="J200" i="11"/>
  <c r="M200" i="11" s="1"/>
  <c r="J210" i="11"/>
  <c r="M210" i="11" s="1"/>
  <c r="J234" i="11"/>
  <c r="M234" i="11" s="1"/>
  <c r="H273" i="2"/>
  <c r="K273" i="2" s="1"/>
  <c r="H266" i="2"/>
  <c r="K266" i="2" s="1"/>
  <c r="H69" i="2"/>
  <c r="K69" i="2" s="1"/>
  <c r="H999" i="2"/>
  <c r="K999" i="2" s="1"/>
  <c r="H313" i="2"/>
  <c r="K313" i="2" s="1"/>
  <c r="H305" i="2"/>
  <c r="K305" i="2" s="1"/>
  <c r="H498" i="2"/>
  <c r="K498" i="2" s="1"/>
  <c r="H479" i="2"/>
  <c r="K479" i="2" s="1"/>
  <c r="H488" i="2"/>
  <c r="K488" i="2" s="1"/>
  <c r="H470" i="2"/>
  <c r="K470" i="2" s="1"/>
  <c r="I234" i="11"/>
  <c r="L234" i="11" s="1"/>
  <c r="I210" i="11"/>
  <c r="L210" i="11" s="1"/>
  <c r="I200" i="11"/>
  <c r="L200" i="11" s="1"/>
  <c r="I241" i="11"/>
  <c r="L241" i="11" s="1"/>
  <c r="I190" i="11"/>
  <c r="L190" i="11" s="1"/>
  <c r="I274" i="11"/>
  <c r="L274" i="11" s="1"/>
  <c r="H822" i="2"/>
  <c r="K822" i="2" s="1"/>
  <c r="H841" i="2"/>
  <c r="K841" i="2" s="1"/>
  <c r="H859" i="2"/>
  <c r="K859" i="2" s="1"/>
  <c r="I386" i="11"/>
  <c r="L386" i="11" s="1"/>
  <c r="I323" i="11"/>
  <c r="L323" i="11" s="1"/>
  <c r="I191" i="11"/>
  <c r="L191" i="11" s="1"/>
  <c r="I344" i="11"/>
  <c r="L344" i="11" s="1"/>
  <c r="I365" i="11"/>
  <c r="L365" i="11" s="1"/>
  <c r="H1034" i="2"/>
  <c r="K1034" i="2" s="1"/>
  <c r="H837" i="2"/>
  <c r="K837" i="2" s="1"/>
  <c r="H818" i="2"/>
  <c r="K818" i="2" s="1"/>
  <c r="H847" i="2"/>
  <c r="K847" i="2" s="1"/>
  <c r="H390" i="2"/>
  <c r="K390" i="2" s="1"/>
  <c r="I250" i="11"/>
  <c r="L250" i="11" s="1"/>
  <c r="H1029" i="2"/>
  <c r="K1029" i="2" s="1"/>
  <c r="H833" i="2"/>
  <c r="K833" i="2" s="1"/>
  <c r="H814" i="2"/>
  <c r="K814" i="2" s="1"/>
  <c r="H831" i="2"/>
  <c r="K831" i="2" s="1"/>
  <c r="H812" i="2"/>
  <c r="K812" i="2" s="1"/>
  <c r="H1023" i="2"/>
  <c r="K1023" i="2" s="1"/>
  <c r="H781" i="2"/>
  <c r="K781" i="2" s="1"/>
  <c r="H775" i="2"/>
  <c r="K775" i="2" s="1"/>
  <c r="I311" i="11"/>
  <c r="L311" i="11" s="1"/>
  <c r="I374" i="11"/>
  <c r="L374" i="11" s="1"/>
  <c r="I332" i="11"/>
  <c r="L332" i="11" s="1"/>
  <c r="I353" i="11"/>
  <c r="L353" i="11" s="1"/>
  <c r="H251" i="2"/>
  <c r="K251" i="2" s="1"/>
  <c r="H231" i="2"/>
  <c r="K231" i="2" s="1"/>
  <c r="H158" i="2"/>
  <c r="K158" i="2" s="1"/>
  <c r="H144" i="2"/>
  <c r="K144" i="2" s="1"/>
  <c r="H100" i="2"/>
  <c r="K100" i="2" s="1"/>
  <c r="H205" i="2"/>
  <c r="K205" i="2" s="1"/>
  <c r="H27" i="2"/>
  <c r="K27" i="2" s="1"/>
  <c r="H52" i="2"/>
  <c r="K52" i="2" s="1"/>
  <c r="H47" i="2"/>
  <c r="K47" i="2" s="1"/>
  <c r="H32" i="2"/>
  <c r="K32" i="2" s="1"/>
  <c r="H12" i="2"/>
  <c r="K12" i="2" s="1"/>
  <c r="H57" i="2"/>
  <c r="K57" i="2" s="1"/>
  <c r="H42" i="2"/>
  <c r="K42" i="2" s="1"/>
  <c r="H22" i="2"/>
  <c r="K22" i="2" s="1"/>
  <c r="H17" i="2"/>
  <c r="K17" i="2" s="1"/>
  <c r="H37" i="2"/>
  <c r="K37" i="2" s="1"/>
  <c r="H295" i="2"/>
  <c r="K295" i="2" s="1"/>
  <c r="H287" i="2"/>
  <c r="K287" i="2" s="1"/>
  <c r="H673" i="2"/>
  <c r="K673" i="2" s="1"/>
  <c r="H647" i="2"/>
  <c r="K647" i="2" s="1"/>
  <c r="H655" i="2"/>
  <c r="K655" i="2" s="1"/>
  <c r="H638" i="2"/>
  <c r="K638" i="2" s="1"/>
  <c r="H628" i="2"/>
  <c r="K628" i="2" s="1"/>
  <c r="H620" i="2"/>
  <c r="K620" i="2" s="1"/>
  <c r="H584" i="2"/>
  <c r="K584" i="2" s="1"/>
  <c r="H688" i="2"/>
  <c r="K688" i="2" s="1"/>
  <c r="H611" i="2"/>
  <c r="K611" i="2" s="1"/>
  <c r="H602" i="2"/>
  <c r="K602" i="2" s="1"/>
  <c r="H593" i="2"/>
  <c r="K593" i="2" s="1"/>
  <c r="H664" i="2"/>
  <c r="K664" i="2" s="1"/>
  <c r="H681" i="2"/>
  <c r="K681" i="2" s="1"/>
  <c r="H281" i="2"/>
  <c r="K281" i="2" s="1"/>
  <c r="H268" i="2"/>
  <c r="K268" i="2" s="1"/>
  <c r="H71" i="2"/>
  <c r="K71" i="2" s="1"/>
  <c r="H64" i="2"/>
  <c r="K64" i="2" s="1"/>
  <c r="H261" i="2"/>
  <c r="K261" i="2" s="1"/>
  <c r="I140" i="11"/>
  <c r="L140" i="11" s="1"/>
  <c r="I153" i="11"/>
  <c r="L153" i="11" s="1"/>
  <c r="I180" i="11"/>
  <c r="L180" i="11" s="1"/>
  <c r="I181" i="11"/>
  <c r="L181" i="11" s="1"/>
  <c r="I182" i="11"/>
  <c r="L182" i="11" s="1"/>
  <c r="I179" i="11"/>
  <c r="L179" i="11" s="1"/>
  <c r="H309" i="2"/>
  <c r="K309" i="2" s="1"/>
  <c r="H94" i="2"/>
  <c r="K94" i="2" s="1"/>
  <c r="H508" i="2"/>
  <c r="K508" i="2" s="1"/>
  <c r="H515" i="2"/>
  <c r="K515" i="2" s="1"/>
  <c r="H648" i="2"/>
  <c r="K648" i="2" s="1"/>
  <c r="H612" i="2"/>
  <c r="K612" i="2" s="1"/>
  <c r="H674" i="2"/>
  <c r="K674" i="2" s="1"/>
  <c r="H639" i="2"/>
  <c r="K639" i="2" s="1"/>
  <c r="H629" i="2"/>
  <c r="K629" i="2" s="1"/>
  <c r="H621" i="2"/>
  <c r="K621" i="2" s="1"/>
  <c r="H665" i="2"/>
  <c r="K665" i="2" s="1"/>
  <c r="H594" i="2"/>
  <c r="K594" i="2" s="1"/>
  <c r="H585" i="2"/>
  <c r="K585" i="2" s="1"/>
  <c r="H603" i="2"/>
  <c r="K603" i="2" s="1"/>
  <c r="H656" i="2"/>
  <c r="K656" i="2" s="1"/>
  <c r="H363" i="2"/>
  <c r="K363" i="2" s="1"/>
  <c r="H345" i="2"/>
  <c r="K345" i="2" s="1"/>
  <c r="H381" i="2"/>
  <c r="K381" i="2" s="1"/>
  <c r="H372" i="2"/>
  <c r="K372" i="2" s="1"/>
  <c r="H1008" i="2"/>
  <c r="K1008" i="2" s="1"/>
  <c r="H800" i="2"/>
  <c r="K800" i="2" s="1"/>
  <c r="H788" i="2"/>
  <c r="K788" i="2" s="1"/>
  <c r="H846" i="2"/>
  <c r="K846" i="2" s="1"/>
  <c r="H362" i="2"/>
  <c r="K362" i="2" s="1"/>
  <c r="H371" i="2"/>
  <c r="K371" i="2" s="1"/>
  <c r="H353" i="2"/>
  <c r="K353" i="2" s="1"/>
  <c r="H387" i="2"/>
  <c r="K387" i="2" s="1"/>
  <c r="H380" i="2"/>
  <c r="K380" i="2" s="1"/>
  <c r="H344" i="2"/>
  <c r="K344" i="2" s="1"/>
  <c r="H328" i="2"/>
  <c r="K328" i="2" s="1"/>
  <c r="H312" i="2"/>
  <c r="K312" i="2" s="1"/>
  <c r="H319" i="2"/>
  <c r="K319" i="2" s="1"/>
  <c r="H304" i="2"/>
  <c r="K304" i="2" s="1"/>
  <c r="H337" i="2"/>
  <c r="K337" i="2" s="1"/>
  <c r="I249" i="11"/>
  <c r="L249" i="11" s="1"/>
  <c r="H728" i="2"/>
  <c r="K728" i="2" s="1"/>
  <c r="I222" i="11"/>
  <c r="L222" i="11" s="1"/>
  <c r="I302" i="11"/>
  <c r="L302" i="11" s="1"/>
  <c r="I292" i="11"/>
  <c r="L292" i="11" s="1"/>
  <c r="I213" i="11"/>
  <c r="L213" i="11" s="1"/>
  <c r="I203" i="11"/>
  <c r="L203" i="11" s="1"/>
  <c r="H619" i="2"/>
  <c r="K619" i="2" s="1"/>
  <c r="H662" i="2"/>
  <c r="K662" i="2" s="1"/>
  <c r="H601" i="2"/>
  <c r="K601" i="2" s="1"/>
  <c r="H654" i="2"/>
  <c r="K654" i="2" s="1"/>
  <c r="H609" i="2"/>
  <c r="K609" i="2" s="1"/>
  <c r="H591" i="2"/>
  <c r="K591" i="2" s="1"/>
  <c r="H583" i="2"/>
  <c r="K583" i="2" s="1"/>
  <c r="H827" i="2"/>
  <c r="K827" i="2" s="1"/>
  <c r="H808" i="2"/>
  <c r="K808" i="2" s="1"/>
  <c r="H1069" i="2"/>
  <c r="K1069" i="2" s="1"/>
  <c r="H845" i="2"/>
  <c r="K845" i="2" s="1"/>
  <c r="H386" i="2"/>
  <c r="K386" i="2" s="1"/>
  <c r="H379" i="2"/>
  <c r="K379" i="2" s="1"/>
  <c r="H318" i="2"/>
  <c r="K318" i="2" s="1"/>
  <c r="H303" i="2"/>
  <c r="K303" i="2" s="1"/>
  <c r="H361" i="2"/>
  <c r="K361" i="2" s="1"/>
  <c r="H336" i="2"/>
  <c r="K336" i="2" s="1"/>
  <c r="K335" i="2" s="1"/>
  <c r="H327" i="2"/>
  <c r="K327" i="2" s="1"/>
  <c r="H311" i="2"/>
  <c r="K311" i="2" s="1"/>
  <c r="H370" i="2"/>
  <c r="K370" i="2" s="1"/>
  <c r="H352" i="2"/>
  <c r="K352" i="2" s="1"/>
  <c r="H343" i="2"/>
  <c r="K343" i="2" s="1"/>
  <c r="I248" i="11"/>
  <c r="L248" i="11" s="1"/>
  <c r="H979" i="2"/>
  <c r="K979" i="2" s="1"/>
  <c r="I300" i="11"/>
  <c r="L300" i="11" s="1"/>
  <c r="I288" i="11"/>
  <c r="L288" i="11" s="1"/>
  <c r="H651" i="2"/>
  <c r="K651" i="2" s="1"/>
  <c r="H580" i="2"/>
  <c r="K580" i="2" s="1"/>
  <c r="H684" i="2"/>
  <c r="K684" i="2" s="1"/>
  <c r="H659" i="2"/>
  <c r="K659" i="2" s="1"/>
  <c r="H643" i="2"/>
  <c r="K643" i="2" s="1"/>
  <c r="H588" i="2"/>
  <c r="K588" i="2" s="1"/>
  <c r="H616" i="2"/>
  <c r="K616" i="2" s="1"/>
  <c r="H598" i="2"/>
  <c r="K598" i="2" s="1"/>
  <c r="H677" i="2"/>
  <c r="K677" i="2" s="1"/>
  <c r="H669" i="2"/>
  <c r="K669" i="2" s="1"/>
  <c r="H195" i="2"/>
  <c r="K195" i="2" s="1"/>
  <c r="H267" i="2"/>
  <c r="K267" i="2" s="1"/>
  <c r="H1056" i="2"/>
  <c r="K1056" i="2" s="1"/>
  <c r="H184" i="2"/>
  <c r="K184" i="2" s="1"/>
  <c r="H202" i="2"/>
  <c r="K202" i="2" s="1"/>
  <c r="I93" i="11"/>
  <c r="L93" i="11" s="1"/>
  <c r="H1053" i="2"/>
  <c r="K1053" i="2" s="1"/>
  <c r="H532" i="2"/>
  <c r="K532" i="2" s="1"/>
  <c r="H407" i="2"/>
  <c r="K407" i="2" s="1"/>
  <c r="H426" i="2"/>
  <c r="K426" i="2" s="1"/>
  <c r="H117" i="2"/>
  <c r="K117" i="2" s="1"/>
  <c r="I67" i="11"/>
  <c r="L67" i="11" s="1"/>
  <c r="H1044" i="2"/>
  <c r="K1044" i="2" s="1"/>
  <c r="H490" i="2"/>
  <c r="K490" i="2" s="1"/>
  <c r="H1040" i="2"/>
  <c r="K1040" i="2" s="1"/>
  <c r="H736" i="2"/>
  <c r="K736" i="2" s="1"/>
  <c r="H720" i="2"/>
  <c r="K720" i="2" s="1"/>
  <c r="H732" i="2"/>
  <c r="K732" i="2" s="1"/>
  <c r="H563" i="2"/>
  <c r="K563" i="2" s="1"/>
  <c r="H509" i="2"/>
  <c r="K509" i="2" s="1"/>
  <c r="H570" i="2"/>
  <c r="K570" i="2" s="1"/>
  <c r="H501" i="2"/>
  <c r="K501" i="2" s="1"/>
  <c r="H482" i="2"/>
  <c r="K482" i="2" s="1"/>
  <c r="H465" i="2"/>
  <c r="K465" i="2" s="1"/>
  <c r="H548" i="2"/>
  <c r="K548" i="2" s="1"/>
  <c r="H575" i="2"/>
  <c r="K575" i="2" s="1"/>
  <c r="H517" i="2"/>
  <c r="K517" i="2" s="1"/>
  <c r="I236" i="11"/>
  <c r="L236" i="11" s="1"/>
  <c r="I215" i="11"/>
  <c r="L215" i="11" s="1"/>
  <c r="I85" i="11"/>
  <c r="L85" i="11" s="1"/>
  <c r="I243" i="11"/>
  <c r="L243" i="11" s="1"/>
  <c r="I221" i="11"/>
  <c r="L221" i="11" s="1"/>
  <c r="I205" i="11"/>
  <c r="L205" i="11" s="1"/>
  <c r="I49" i="11"/>
  <c r="L49" i="11" s="1"/>
  <c r="I42" i="11"/>
  <c r="L42" i="11" s="1"/>
  <c r="I557" i="2"/>
  <c r="L557" i="2" s="1"/>
  <c r="I526" i="2"/>
  <c r="L526" i="2" s="1"/>
  <c r="I467" i="2"/>
  <c r="L467" i="2" s="1"/>
  <c r="I476" i="2"/>
  <c r="L476" i="2" s="1"/>
  <c r="I458" i="2"/>
  <c r="L458" i="2" s="1"/>
  <c r="I451" i="2"/>
  <c r="L451" i="2" s="1"/>
  <c r="I443" i="2"/>
  <c r="L443" i="2" s="1"/>
  <c r="J245" i="11"/>
  <c r="M245" i="11" s="1"/>
  <c r="J207" i="11"/>
  <c r="M207" i="11" s="1"/>
  <c r="J217" i="11"/>
  <c r="M217" i="11" s="1"/>
  <c r="J197" i="11"/>
  <c r="M197" i="11" s="1"/>
  <c r="J231" i="11"/>
  <c r="M231" i="11" s="1"/>
  <c r="J224" i="11"/>
  <c r="M224" i="11" s="1"/>
  <c r="J70" i="11"/>
  <c r="M70" i="11" s="1"/>
  <c r="J238" i="11"/>
  <c r="M238" i="11" s="1"/>
  <c r="J95" i="11"/>
  <c r="M95" i="11" s="1"/>
  <c r="I446" i="2"/>
  <c r="L446" i="2" s="1"/>
  <c r="I438" i="2"/>
  <c r="L438" i="2" s="1"/>
  <c r="I820" i="2"/>
  <c r="L820" i="2" s="1"/>
  <c r="I839" i="2"/>
  <c r="L839" i="2" s="1"/>
  <c r="J384" i="11"/>
  <c r="M384" i="11" s="1"/>
  <c r="J321" i="11"/>
  <c r="M321" i="11" s="1"/>
  <c r="J342" i="11"/>
  <c r="M342" i="11" s="1"/>
  <c r="J363" i="11"/>
  <c r="M363" i="11" s="1"/>
  <c r="J281" i="11"/>
  <c r="M281" i="11" s="1"/>
  <c r="J266" i="11"/>
  <c r="M266" i="11" s="1"/>
  <c r="I1035" i="2"/>
  <c r="L1035" i="2" s="1"/>
  <c r="J319" i="11"/>
  <c r="M319" i="11" s="1"/>
  <c r="J382" i="11"/>
  <c r="M382" i="11" s="1"/>
  <c r="J361" i="11"/>
  <c r="M361" i="11" s="1"/>
  <c r="J340" i="11"/>
  <c r="M340" i="11" s="1"/>
  <c r="I1030" i="2"/>
  <c r="L1030" i="2" s="1"/>
  <c r="I285" i="2"/>
  <c r="L285" i="2" s="1"/>
  <c r="J272" i="11"/>
  <c r="M272" i="11" s="1"/>
  <c r="J356" i="11"/>
  <c r="M356" i="11" s="1"/>
  <c r="J377" i="11"/>
  <c r="M377" i="11" s="1"/>
  <c r="J335" i="11"/>
  <c r="M335" i="11" s="1"/>
  <c r="J314" i="11"/>
  <c r="M314" i="11" s="1"/>
  <c r="I1023" i="2"/>
  <c r="L1023" i="2" s="1"/>
  <c r="I781" i="2"/>
  <c r="L781" i="2" s="1"/>
  <c r="I775" i="2"/>
  <c r="L775" i="2" s="1"/>
  <c r="J311" i="11"/>
  <c r="M311" i="11" s="1"/>
  <c r="J374" i="11"/>
  <c r="M374" i="11" s="1"/>
  <c r="J332" i="11"/>
  <c r="M332" i="11" s="1"/>
  <c r="J353" i="11"/>
  <c r="M353" i="11" s="1"/>
  <c r="I1110" i="2"/>
  <c r="L1110" i="2" s="1"/>
  <c r="J8" i="11"/>
  <c r="M8" i="11" s="1"/>
  <c r="I689" i="2"/>
  <c r="L689" i="2" s="1"/>
  <c r="I649" i="2"/>
  <c r="L649" i="2" s="1"/>
  <c r="I640" i="2"/>
  <c r="L640" i="2" s="1"/>
  <c r="I631" i="2"/>
  <c r="L631" i="2" s="1"/>
  <c r="I613" i="2"/>
  <c r="L613" i="2" s="1"/>
  <c r="I604" i="2"/>
  <c r="L604" i="2" s="1"/>
  <c r="I595" i="2"/>
  <c r="L595" i="2" s="1"/>
  <c r="I630" i="2"/>
  <c r="L630" i="2" s="1"/>
  <c r="I682" i="2"/>
  <c r="L682" i="2" s="1"/>
  <c r="I657" i="2"/>
  <c r="L657" i="2" s="1"/>
  <c r="I675" i="2"/>
  <c r="L675" i="2" s="1"/>
  <c r="I622" i="2"/>
  <c r="L622" i="2" s="1"/>
  <c r="I586" i="2"/>
  <c r="L586" i="2" s="1"/>
  <c r="I666" i="2"/>
  <c r="L666" i="2" s="1"/>
  <c r="I511" i="2"/>
  <c r="L511" i="2" s="1"/>
  <c r="I541" i="2"/>
  <c r="L541" i="2" s="1"/>
  <c r="I21" i="2"/>
  <c r="L21" i="2" s="1"/>
  <c r="I16" i="2"/>
  <c r="L16" i="2" s="1"/>
  <c r="I855" i="2"/>
  <c r="L855" i="2" s="1"/>
  <c r="J258" i="11"/>
  <c r="M258" i="11" s="1"/>
  <c r="I382" i="2"/>
  <c r="L382" i="2" s="1"/>
  <c r="I366" i="2"/>
  <c r="L366" i="2" s="1"/>
  <c r="I357" i="2"/>
  <c r="L357" i="2" s="1"/>
  <c r="I323" i="2"/>
  <c r="L323" i="2" s="1"/>
  <c r="I314" i="2"/>
  <c r="L314" i="2" s="1"/>
  <c r="I394" i="2"/>
  <c r="L394" i="2" s="1"/>
  <c r="I375" i="2"/>
  <c r="L375" i="2" s="1"/>
  <c r="I348" i="2"/>
  <c r="L348" i="2" s="1"/>
  <c r="I339" i="2"/>
  <c r="L339" i="2" s="1"/>
  <c r="I332" i="2"/>
  <c r="L332" i="2" s="1"/>
  <c r="I230" i="2"/>
  <c r="L230" i="2" s="1"/>
  <c r="I204" i="2"/>
  <c r="L204" i="2" s="1"/>
  <c r="I250" i="2"/>
  <c r="L250" i="2" s="1"/>
  <c r="I143" i="2"/>
  <c r="L143" i="2" s="1"/>
  <c r="I157" i="2"/>
  <c r="L157" i="2" s="1"/>
  <c r="I99" i="2"/>
  <c r="L99" i="2" s="1"/>
  <c r="I398" i="2"/>
  <c r="L398" i="2" s="1"/>
  <c r="I384" i="2"/>
  <c r="L384" i="2" s="1"/>
  <c r="I350" i="2"/>
  <c r="L350" i="2" s="1"/>
  <c r="I341" i="2"/>
  <c r="L341" i="2" s="1"/>
  <c r="I325" i="2"/>
  <c r="L325" i="2" s="1"/>
  <c r="I316" i="2"/>
  <c r="L316" i="2" s="1"/>
  <c r="I377" i="2"/>
  <c r="L377" i="2" s="1"/>
  <c r="I308" i="2"/>
  <c r="L308" i="2" s="1"/>
  <c r="I334" i="2"/>
  <c r="L334" i="2" s="1"/>
  <c r="I359" i="2"/>
  <c r="L359" i="2" s="1"/>
  <c r="I368" i="2"/>
  <c r="L368" i="2" s="1"/>
  <c r="I695" i="2"/>
  <c r="L695" i="2" s="1"/>
  <c r="I702" i="2"/>
  <c r="L702" i="2" s="1"/>
  <c r="I655" i="2"/>
  <c r="L655" i="2" s="1"/>
  <c r="I638" i="2"/>
  <c r="L638" i="2" s="1"/>
  <c r="I628" i="2"/>
  <c r="L628" i="2" s="1"/>
  <c r="I620" i="2"/>
  <c r="L620" i="2" s="1"/>
  <c r="I681" i="2"/>
  <c r="L681" i="2" s="1"/>
  <c r="I664" i="2"/>
  <c r="L664" i="2" s="1"/>
  <c r="I593" i="2"/>
  <c r="L593" i="2" s="1"/>
  <c r="I673" i="2"/>
  <c r="L673" i="2" s="1"/>
  <c r="I647" i="2"/>
  <c r="L647" i="2" s="1"/>
  <c r="I688" i="2"/>
  <c r="L688" i="2" s="1"/>
  <c r="I584" i="2"/>
  <c r="L584" i="2" s="1"/>
  <c r="I611" i="2"/>
  <c r="L611" i="2" s="1"/>
  <c r="I602" i="2"/>
  <c r="L602" i="2" s="1"/>
  <c r="I294" i="2"/>
  <c r="L294" i="2" s="1"/>
  <c r="J111" i="11"/>
  <c r="M111" i="11" s="1"/>
  <c r="J101" i="11"/>
  <c r="M101" i="11" s="1"/>
  <c r="I852" i="2"/>
  <c r="L852" i="2" s="1"/>
  <c r="I391" i="2"/>
  <c r="L391" i="2" s="1"/>
  <c r="J255" i="11"/>
  <c r="M255" i="11" s="1"/>
  <c r="I698" i="2"/>
  <c r="L698" i="2" s="1"/>
  <c r="I691" i="2"/>
  <c r="L691" i="2" s="1"/>
  <c r="I242" i="2"/>
  <c r="L242" i="2" s="1"/>
  <c r="I196" i="2"/>
  <c r="L196" i="2" s="1"/>
  <c r="I137" i="2"/>
  <c r="L137" i="2" s="1"/>
  <c r="I111" i="2"/>
  <c r="L111" i="2" s="1"/>
  <c r="I299" i="2"/>
  <c r="L299" i="2" s="1"/>
  <c r="I225" i="2"/>
  <c r="L225" i="2" s="1"/>
  <c r="I178" i="2"/>
  <c r="L178" i="2" s="1"/>
  <c r="I151" i="2"/>
  <c r="L151" i="2" s="1"/>
  <c r="I674" i="2"/>
  <c r="L674" i="2" s="1"/>
  <c r="I639" i="2"/>
  <c r="L639" i="2" s="1"/>
  <c r="I665" i="2"/>
  <c r="L665" i="2" s="1"/>
  <c r="I656" i="2"/>
  <c r="L656" i="2" s="1"/>
  <c r="I585" i="2"/>
  <c r="L585" i="2" s="1"/>
  <c r="I648" i="2"/>
  <c r="L648" i="2" s="1"/>
  <c r="I612" i="2"/>
  <c r="L612" i="2" s="1"/>
  <c r="I603" i="2"/>
  <c r="L603" i="2" s="1"/>
  <c r="I594" i="2"/>
  <c r="L594" i="2" s="1"/>
  <c r="I621" i="2"/>
  <c r="L621" i="2" s="1"/>
  <c r="I629" i="2"/>
  <c r="L629" i="2" s="1"/>
  <c r="I976" i="2"/>
  <c r="L976" i="2" s="1"/>
  <c r="J299" i="11"/>
  <c r="M299" i="11" s="1"/>
  <c r="J287" i="11"/>
  <c r="M287" i="11" s="1"/>
  <c r="I363" i="2"/>
  <c r="L363" i="2" s="1"/>
  <c r="I381" i="2"/>
  <c r="L381" i="2" s="1"/>
  <c r="I372" i="2"/>
  <c r="L372" i="2" s="1"/>
  <c r="I345" i="2"/>
  <c r="L345" i="2" s="1"/>
  <c r="I1015" i="2"/>
  <c r="L1015" i="2" s="1"/>
  <c r="I793" i="2"/>
  <c r="L793" i="2" s="1"/>
  <c r="I805" i="2"/>
  <c r="L805" i="2" s="1"/>
  <c r="I778" i="2"/>
  <c r="L778" i="2" s="1"/>
  <c r="I772" i="2"/>
  <c r="L772" i="2" s="1"/>
  <c r="I803" i="2"/>
  <c r="L803" i="2" s="1"/>
  <c r="I791" i="2"/>
  <c r="L791" i="2" s="1"/>
  <c r="I45" i="2"/>
  <c r="L45" i="2" s="1"/>
  <c r="I25" i="2"/>
  <c r="L25" i="2" s="1"/>
  <c r="I20" i="2"/>
  <c r="L20" i="2" s="1"/>
  <c r="I35" i="2"/>
  <c r="L35" i="2" s="1"/>
  <c r="I15" i="2"/>
  <c r="L15" i="2" s="1"/>
  <c r="I30" i="2"/>
  <c r="L30" i="2" s="1"/>
  <c r="I55" i="2"/>
  <c r="L55" i="2" s="1"/>
  <c r="L53" i="2" s="1"/>
  <c r="I50" i="2"/>
  <c r="L50" i="2" s="1"/>
  <c r="I40" i="2"/>
  <c r="L40" i="2" s="1"/>
  <c r="I10" i="2"/>
  <c r="L10" i="2" s="1"/>
  <c r="L8" i="2" s="1"/>
  <c r="J30" i="11"/>
  <c r="M30" i="11" s="1"/>
  <c r="J20" i="11"/>
  <c r="M20" i="11" s="1"/>
  <c r="I636" i="2"/>
  <c r="L636" i="2" s="1"/>
  <c r="I687" i="2"/>
  <c r="L687" i="2" s="1"/>
  <c r="I672" i="2"/>
  <c r="L672" i="2" s="1"/>
  <c r="I680" i="2"/>
  <c r="L680" i="2" s="1"/>
  <c r="I627" i="2"/>
  <c r="L627" i="2" s="1"/>
  <c r="I646" i="2"/>
  <c r="L646" i="2" s="1"/>
  <c r="I780" i="2"/>
  <c r="L780" i="2" s="1"/>
  <c r="I774" i="2"/>
  <c r="L774" i="2" s="1"/>
  <c r="J329" i="11"/>
  <c r="M329" i="11" s="1"/>
  <c r="J350" i="11"/>
  <c r="M350" i="11" s="1"/>
  <c r="J371" i="11"/>
  <c r="M371" i="11" s="1"/>
  <c r="J308" i="11"/>
  <c r="M308" i="11" s="1"/>
  <c r="J271" i="11"/>
  <c r="M271" i="11" s="1"/>
  <c r="I1067" i="2"/>
  <c r="L1067" i="2" s="1"/>
  <c r="J330" i="11"/>
  <c r="M330" i="11" s="1"/>
  <c r="J351" i="11"/>
  <c r="M351" i="11" s="1"/>
  <c r="I1068" i="2"/>
  <c r="L1068" i="2" s="1"/>
  <c r="I422" i="2"/>
  <c r="L422" i="2" s="1"/>
  <c r="I432" i="2"/>
  <c r="L432" i="2" s="1"/>
  <c r="I413" i="2"/>
  <c r="L413" i="2" s="1"/>
  <c r="I403" i="2"/>
  <c r="L403" i="2" s="1"/>
  <c r="J297" i="11"/>
  <c r="M297" i="11" s="1"/>
  <c r="J285" i="11"/>
  <c r="M285" i="11" s="1"/>
  <c r="I402" i="2"/>
  <c r="L402" i="2" s="1"/>
  <c r="I421" i="2"/>
  <c r="L421" i="2" s="1"/>
  <c r="I980" i="2"/>
  <c r="L980" i="2" s="1"/>
  <c r="J289" i="11"/>
  <c r="M289" i="11" s="1"/>
  <c r="J61" i="11"/>
  <c r="M61" i="11" s="1"/>
  <c r="I759" i="2"/>
  <c r="L759" i="2" s="1"/>
  <c r="I742" i="2"/>
  <c r="L742" i="2" s="1"/>
  <c r="I724" i="2"/>
  <c r="L724" i="2" s="1"/>
  <c r="I606" i="2"/>
  <c r="L606" i="2" s="1"/>
  <c r="I633" i="2"/>
  <c r="L633" i="2" s="1"/>
  <c r="I624" i="2"/>
  <c r="L624" i="2" s="1"/>
  <c r="I274" i="2"/>
  <c r="L274" i="2" s="1"/>
  <c r="I166" i="2"/>
  <c r="L166" i="2" s="1"/>
  <c r="I217" i="2"/>
  <c r="L217" i="2" s="1"/>
  <c r="I129" i="2"/>
  <c r="L129" i="2" s="1"/>
  <c r="J35" i="11"/>
  <c r="M35" i="11" s="1"/>
  <c r="I1054" i="2"/>
  <c r="L1054" i="2" s="1"/>
  <c r="I246" i="2"/>
  <c r="L246" i="2" s="1"/>
  <c r="I115" i="2"/>
  <c r="L115" i="2" s="1"/>
  <c r="J90" i="11"/>
  <c r="M90" i="11" s="1"/>
  <c r="I1050" i="2"/>
  <c r="L1050" i="2" s="1"/>
  <c r="I449" i="2"/>
  <c r="L449" i="2" s="1"/>
  <c r="I1046" i="2"/>
  <c r="L1046" i="2" s="1"/>
  <c r="I491" i="2"/>
  <c r="L491" i="2" s="1"/>
  <c r="J87" i="11"/>
  <c r="M87" i="11" s="1"/>
  <c r="I1041" i="2"/>
  <c r="L1041" i="2" s="1"/>
  <c r="I416" i="2"/>
  <c r="L416" i="2" s="1"/>
  <c r="J229" i="11"/>
  <c r="M229" i="11" s="1"/>
  <c r="J69" i="11"/>
  <c r="M69" i="11" s="1"/>
  <c r="J86" i="11"/>
  <c r="M86" i="11" s="1"/>
  <c r="I434" i="2"/>
  <c r="L434" i="2" s="1"/>
  <c r="I424" i="2"/>
  <c r="L424" i="2" s="1"/>
  <c r="I405" i="2"/>
  <c r="L405" i="2" s="1"/>
  <c r="I415" i="2"/>
  <c r="L415" i="2" s="1"/>
  <c r="J50" i="11"/>
  <c r="M50" i="11" s="1"/>
  <c r="I850" i="2"/>
  <c r="L850" i="2" s="1"/>
  <c r="I854" i="2"/>
  <c r="L854" i="2" s="1"/>
  <c r="I393" i="2"/>
  <c r="L393" i="2" s="1"/>
  <c r="I374" i="2"/>
  <c r="L374" i="2" s="1"/>
  <c r="I347" i="2"/>
  <c r="L347" i="2" s="1"/>
  <c r="I331" i="2"/>
  <c r="L331" i="2" s="1"/>
  <c r="I322" i="2"/>
  <c r="L322" i="2" s="1"/>
  <c r="I365" i="2"/>
  <c r="L365" i="2" s="1"/>
  <c r="I356" i="2"/>
  <c r="L356" i="2" s="1"/>
  <c r="J359" i="11"/>
  <c r="M359" i="11" s="1"/>
  <c r="J338" i="11"/>
  <c r="M338" i="11" s="1"/>
  <c r="J282" i="11"/>
  <c r="M282" i="11" s="1"/>
  <c r="J267" i="11"/>
  <c r="M267" i="11" s="1"/>
  <c r="J257" i="11"/>
  <c r="M257" i="11" s="1"/>
  <c r="J380" i="11"/>
  <c r="M380" i="11" s="1"/>
  <c r="J317" i="11"/>
  <c r="M317" i="11" s="1"/>
  <c r="J184" i="11"/>
  <c r="M184" i="11" s="1"/>
  <c r="J81" i="11"/>
  <c r="M81" i="11" s="1"/>
  <c r="J253" i="11"/>
  <c r="M253" i="11" s="1"/>
  <c r="H838" i="2"/>
  <c r="K838" i="2" s="1"/>
  <c r="H819" i="2"/>
  <c r="K819" i="2" s="1"/>
  <c r="H717" i="2"/>
  <c r="K717" i="2" s="1"/>
  <c r="H710" i="2"/>
  <c r="K710" i="2" s="1"/>
  <c r="H264" i="2"/>
  <c r="K264" i="2" s="1"/>
  <c r="H277" i="2"/>
  <c r="K277" i="2" s="1"/>
  <c r="H271" i="2"/>
  <c r="K271" i="2" s="1"/>
  <c r="H89" i="2"/>
  <c r="K89" i="2" s="1"/>
  <c r="H169" i="2"/>
  <c r="K169" i="2" s="1"/>
  <c r="H132" i="2"/>
  <c r="K132" i="2" s="1"/>
  <c r="H74" i="2"/>
  <c r="K74" i="2" s="1"/>
  <c r="H67" i="2"/>
  <c r="K67" i="2" s="1"/>
  <c r="H80" i="2"/>
  <c r="K80" i="2" s="1"/>
  <c r="H220" i="2"/>
  <c r="K220" i="2" s="1"/>
  <c r="H292" i="2"/>
  <c r="K292" i="2" s="1"/>
  <c r="H279" i="2"/>
  <c r="K279" i="2" s="1"/>
  <c r="H240" i="2"/>
  <c r="K240" i="2" s="1"/>
  <c r="H223" i="2"/>
  <c r="K223" i="2" s="1"/>
  <c r="H109" i="2"/>
  <c r="K109" i="2" s="1"/>
  <c r="H92" i="2"/>
  <c r="K92" i="2" s="1"/>
  <c r="H149" i="2"/>
  <c r="K149" i="2" s="1"/>
  <c r="I151" i="11"/>
  <c r="L151" i="11" s="1"/>
  <c r="I138" i="11"/>
  <c r="L138" i="11" s="1"/>
  <c r="H193" i="2"/>
  <c r="K193" i="2" s="1"/>
  <c r="H176" i="2"/>
  <c r="K176" i="2" s="1"/>
  <c r="H135" i="2"/>
  <c r="K135" i="2" s="1"/>
  <c r="I109" i="11"/>
  <c r="L109" i="11" s="1"/>
  <c r="I99" i="11"/>
  <c r="L99" i="11" s="1"/>
  <c r="H34" i="2"/>
  <c r="K34" i="2" s="1"/>
  <c r="H29" i="2"/>
  <c r="K29" i="2" s="1"/>
  <c r="I19" i="11"/>
  <c r="L19" i="11" s="1"/>
  <c r="H828" i="2"/>
  <c r="K828" i="2" s="1"/>
  <c r="H809" i="2"/>
  <c r="K809" i="2" s="1"/>
  <c r="I328" i="11"/>
  <c r="L328" i="11" s="1"/>
  <c r="I349" i="11"/>
  <c r="L349" i="11" s="1"/>
  <c r="I370" i="11"/>
  <c r="L370" i="11" s="1"/>
  <c r="I307" i="11"/>
  <c r="L307" i="11" s="1"/>
  <c r="I270" i="11"/>
  <c r="L270" i="11" s="1"/>
  <c r="H981" i="2"/>
  <c r="K981" i="2" s="1"/>
  <c r="I290" i="11"/>
  <c r="L290" i="11" s="1"/>
  <c r="I59" i="11"/>
  <c r="L59" i="11" s="1"/>
  <c r="H1051" i="2"/>
  <c r="K1051" i="2" s="1"/>
  <c r="H576" i="2"/>
  <c r="K576" i="2" s="1"/>
  <c r="H547" i="2"/>
  <c r="K547" i="2" s="1"/>
  <c r="H562" i="2"/>
  <c r="K562" i="2" s="1"/>
  <c r="H518" i="2"/>
  <c r="K518" i="2" s="1"/>
  <c r="H483" i="2"/>
  <c r="K483" i="2" s="1"/>
  <c r="H502" i="2"/>
  <c r="K502" i="2" s="1"/>
  <c r="H466" i="2"/>
  <c r="K466" i="2" s="1"/>
  <c r="I242" i="11"/>
  <c r="L242" i="11" s="1"/>
  <c r="I235" i="11"/>
  <c r="L235" i="11" s="1"/>
  <c r="I228" i="11"/>
  <c r="L228" i="11" s="1"/>
  <c r="H1042" i="2"/>
  <c r="K1042" i="2" s="1"/>
  <c r="H531" i="2"/>
  <c r="K531" i="2" s="1"/>
  <c r="H427" i="2"/>
  <c r="K427" i="2" s="1"/>
  <c r="H406" i="2"/>
  <c r="K406" i="2" s="1"/>
  <c r="I68" i="11"/>
  <c r="L68" i="11" s="1"/>
  <c r="I544" i="2"/>
  <c r="L544" i="2" s="1"/>
  <c r="I537" i="2"/>
  <c r="L537" i="2" s="1"/>
  <c r="I821" i="2"/>
  <c r="L821" i="2" s="1"/>
  <c r="I840" i="2"/>
  <c r="L840" i="2" s="1"/>
  <c r="J364" i="11"/>
  <c r="M364" i="11" s="1"/>
  <c r="J195" i="11"/>
  <c r="M195" i="11" s="1"/>
  <c r="J385" i="11"/>
  <c r="M385" i="11" s="1"/>
  <c r="J322" i="11"/>
  <c r="M322" i="11" s="1"/>
  <c r="J343" i="11"/>
  <c r="M343" i="11" s="1"/>
  <c r="J320" i="11"/>
  <c r="M320" i="11" s="1"/>
  <c r="J341" i="11"/>
  <c r="M341" i="11" s="1"/>
  <c r="J362" i="11"/>
  <c r="M362" i="11" s="1"/>
  <c r="J383" i="11"/>
  <c r="M383" i="11" s="1"/>
  <c r="I939" i="2"/>
  <c r="L939" i="2" s="1"/>
  <c r="I928" i="2"/>
  <c r="L928" i="2" s="1"/>
  <c r="I578" i="2"/>
  <c r="L578" i="2" s="1"/>
  <c r="I558" i="2"/>
  <c r="L558" i="2" s="1"/>
  <c r="I520" i="2"/>
  <c r="L520" i="2" s="1"/>
  <c r="I512" i="2"/>
  <c r="L512" i="2" s="1"/>
  <c r="I572" i="2"/>
  <c r="L572" i="2" s="1"/>
  <c r="I551" i="2"/>
  <c r="L551" i="2" s="1"/>
  <c r="I542" i="2"/>
  <c r="L542" i="2" s="1"/>
  <c r="I535" i="2"/>
  <c r="L535" i="2" s="1"/>
  <c r="I444" i="2"/>
  <c r="L444" i="2" s="1"/>
  <c r="I527" i="2"/>
  <c r="L527" i="2" s="1"/>
  <c r="I505" i="2"/>
  <c r="L505" i="2" s="1"/>
  <c r="I452" i="2"/>
  <c r="L452" i="2" s="1"/>
  <c r="I567" i="2"/>
  <c r="L567" i="2" s="1"/>
  <c r="I495" i="2"/>
  <c r="L495" i="2" s="1"/>
  <c r="I477" i="2"/>
  <c r="L477" i="2" s="1"/>
  <c r="I459" i="2"/>
  <c r="L459" i="2" s="1"/>
  <c r="I486" i="2"/>
  <c r="L486" i="2" s="1"/>
  <c r="I468" i="2"/>
  <c r="L468" i="2" s="1"/>
  <c r="H998" i="2"/>
  <c r="K998" i="2" s="1"/>
  <c r="H765" i="2"/>
  <c r="K765" i="2" s="1"/>
  <c r="H770" i="2"/>
  <c r="K770" i="2" s="1"/>
  <c r="H544" i="2"/>
  <c r="K544" i="2" s="1"/>
  <c r="H537" i="2"/>
  <c r="K537" i="2" s="1"/>
  <c r="I313" i="11"/>
  <c r="L313" i="11" s="1"/>
  <c r="I334" i="11"/>
  <c r="L334" i="11" s="1"/>
  <c r="I355" i="11"/>
  <c r="L355" i="11" s="1"/>
  <c r="I376" i="11"/>
  <c r="L376" i="11" s="1"/>
  <c r="H1024" i="2"/>
  <c r="K1024" i="2" s="1"/>
  <c r="H829" i="2"/>
  <c r="K829" i="2" s="1"/>
  <c r="H810" i="2"/>
  <c r="K810" i="2" s="1"/>
  <c r="I373" i="11"/>
  <c r="L373" i="11" s="1"/>
  <c r="I310" i="11"/>
  <c r="L310" i="11" s="1"/>
  <c r="I352" i="11"/>
  <c r="L352" i="11" s="1"/>
  <c r="I331" i="11"/>
  <c r="L331" i="11" s="1"/>
  <c r="H551" i="2"/>
  <c r="K551" i="2" s="1"/>
  <c r="H572" i="2"/>
  <c r="K572" i="2" s="1"/>
  <c r="H567" i="2"/>
  <c r="K567" i="2" s="1"/>
  <c r="H558" i="2"/>
  <c r="K558" i="2" s="1"/>
  <c r="H495" i="2"/>
  <c r="K495" i="2" s="1"/>
  <c r="H520" i="2"/>
  <c r="K520" i="2" s="1"/>
  <c r="H512" i="2"/>
  <c r="K512" i="2" s="1"/>
  <c r="H486" i="2"/>
  <c r="K486" i="2" s="1"/>
  <c r="H468" i="2"/>
  <c r="K468" i="2" s="1"/>
  <c r="H542" i="2"/>
  <c r="K542" i="2" s="1"/>
  <c r="H535" i="2"/>
  <c r="K535" i="2" s="1"/>
  <c r="H444" i="2"/>
  <c r="K444" i="2" s="1"/>
  <c r="H578" i="2"/>
  <c r="K578" i="2" s="1"/>
  <c r="H527" i="2"/>
  <c r="K527" i="2" s="1"/>
  <c r="H505" i="2"/>
  <c r="K505" i="2" s="1"/>
  <c r="H452" i="2"/>
  <c r="K452" i="2" s="1"/>
  <c r="H459" i="2"/>
  <c r="K459" i="2" s="1"/>
  <c r="H477" i="2"/>
  <c r="K477" i="2" s="1"/>
  <c r="H299" i="2"/>
  <c r="K299" i="2" s="1"/>
  <c r="H242" i="2"/>
  <c r="K242" i="2" s="1"/>
  <c r="H151" i="2"/>
  <c r="K151" i="2" s="1"/>
  <c r="H196" i="2"/>
  <c r="K196" i="2" s="1"/>
  <c r="H137" i="2"/>
  <c r="K137" i="2" s="1"/>
  <c r="H111" i="2"/>
  <c r="K111" i="2" s="1"/>
  <c r="H225" i="2"/>
  <c r="K225" i="2" s="1"/>
  <c r="H178" i="2"/>
  <c r="K178" i="2" s="1"/>
  <c r="H1015" i="2"/>
  <c r="K1015" i="2" s="1"/>
  <c r="H793" i="2"/>
  <c r="K793" i="2" s="1"/>
  <c r="H805" i="2"/>
  <c r="K805" i="2" s="1"/>
  <c r="H791" i="2"/>
  <c r="K791" i="2" s="1"/>
  <c r="H803" i="2"/>
  <c r="K803" i="2" s="1"/>
  <c r="H55" i="2"/>
  <c r="K55" i="2" s="1"/>
  <c r="H50" i="2"/>
  <c r="K50" i="2" s="1"/>
  <c r="H40" i="2"/>
  <c r="K40" i="2" s="1"/>
  <c r="H10" i="2"/>
  <c r="K10" i="2" s="1"/>
  <c r="H45" i="2"/>
  <c r="K45" i="2" s="1"/>
  <c r="H25" i="2"/>
  <c r="K25" i="2" s="1"/>
  <c r="H20" i="2"/>
  <c r="K20" i="2" s="1"/>
  <c r="H35" i="2"/>
  <c r="K35" i="2" s="1"/>
  <c r="H15" i="2"/>
  <c r="K15" i="2" s="1"/>
  <c r="H30" i="2"/>
  <c r="K30" i="2" s="1"/>
  <c r="I30" i="11"/>
  <c r="L30" i="11" s="1"/>
  <c r="I20" i="11"/>
  <c r="L20" i="11" s="1"/>
  <c r="H680" i="2"/>
  <c r="K680" i="2" s="1"/>
  <c r="H627" i="2"/>
  <c r="K627" i="2" s="1"/>
  <c r="H636" i="2"/>
  <c r="K636" i="2" s="1"/>
  <c r="H646" i="2"/>
  <c r="K646" i="2" s="1"/>
  <c r="H672" i="2"/>
  <c r="K672" i="2" s="1"/>
  <c r="H687" i="2"/>
  <c r="K687" i="2" s="1"/>
  <c r="H774" i="2"/>
  <c r="K774" i="2" s="1"/>
  <c r="H780" i="2"/>
  <c r="K780" i="2" s="1"/>
  <c r="I350" i="11"/>
  <c r="L350" i="11" s="1"/>
  <c r="I329" i="11"/>
  <c r="L329" i="11" s="1"/>
  <c r="I371" i="11"/>
  <c r="L371" i="11" s="1"/>
  <c r="I308" i="11"/>
  <c r="L308" i="11" s="1"/>
  <c r="I271" i="11"/>
  <c r="L271" i="11" s="1"/>
  <c r="H1067" i="2"/>
  <c r="K1067" i="2" s="1"/>
  <c r="I330" i="11"/>
  <c r="L330" i="11" s="1"/>
  <c r="I351" i="11"/>
  <c r="L351" i="11" s="1"/>
  <c r="H1068" i="2"/>
  <c r="K1068" i="2" s="1"/>
  <c r="H413" i="2"/>
  <c r="K413" i="2" s="1"/>
  <c r="H403" i="2"/>
  <c r="K403" i="2" s="1"/>
  <c r="H422" i="2"/>
  <c r="K422" i="2" s="1"/>
  <c r="H432" i="2"/>
  <c r="K432" i="2" s="1"/>
  <c r="I297" i="11"/>
  <c r="L297" i="11" s="1"/>
  <c r="I285" i="11"/>
  <c r="L285" i="11" s="1"/>
  <c r="J31" i="11"/>
  <c r="M31" i="11" s="1"/>
  <c r="J21" i="11"/>
  <c r="M21" i="11" s="1"/>
  <c r="H438" i="2"/>
  <c r="K438" i="2" s="1"/>
  <c r="H446" i="2"/>
  <c r="K446" i="2" s="1"/>
  <c r="H839" i="2"/>
  <c r="K839" i="2" s="1"/>
  <c r="H820" i="2"/>
  <c r="K820" i="2" s="1"/>
  <c r="I384" i="11"/>
  <c r="L384" i="11" s="1"/>
  <c r="I321" i="11"/>
  <c r="L321" i="11" s="1"/>
  <c r="I342" i="11"/>
  <c r="L342" i="11" s="1"/>
  <c r="I363" i="11"/>
  <c r="L363" i="11" s="1"/>
  <c r="I281" i="11"/>
  <c r="L281" i="11" s="1"/>
  <c r="I266" i="11"/>
  <c r="L266" i="11" s="1"/>
  <c r="H1035" i="2"/>
  <c r="K1035" i="2" s="1"/>
  <c r="I382" i="11"/>
  <c r="L382" i="11" s="1"/>
  <c r="I361" i="11"/>
  <c r="L361" i="11" s="1"/>
  <c r="I340" i="11"/>
  <c r="L340" i="11" s="1"/>
  <c r="I319" i="11"/>
  <c r="L319" i="11" s="1"/>
  <c r="H1030" i="2"/>
  <c r="K1030" i="2" s="1"/>
  <c r="H285" i="2"/>
  <c r="K285" i="2" s="1"/>
  <c r="I272" i="11"/>
  <c r="L272" i="11" s="1"/>
  <c r="I335" i="11"/>
  <c r="L335" i="11" s="1"/>
  <c r="I314" i="11"/>
  <c r="L314" i="11" s="1"/>
  <c r="I377" i="11"/>
  <c r="L377" i="11" s="1"/>
  <c r="I356" i="11"/>
  <c r="L356" i="11" s="1"/>
  <c r="H1026" i="2"/>
  <c r="K1026" i="2" s="1"/>
  <c r="H830" i="2"/>
  <c r="K830" i="2" s="1"/>
  <c r="H811" i="2"/>
  <c r="K811" i="2" s="1"/>
  <c r="H392" i="2"/>
  <c r="K392" i="2" s="1"/>
  <c r="H373" i="2"/>
  <c r="K373" i="2" s="1"/>
  <c r="H364" i="2"/>
  <c r="K364" i="2" s="1"/>
  <c r="H330" i="2"/>
  <c r="K330" i="2" s="1"/>
  <c r="H321" i="2"/>
  <c r="K321" i="2" s="1"/>
  <c r="H355" i="2"/>
  <c r="K355" i="2" s="1"/>
  <c r="H346" i="2"/>
  <c r="K346" i="2" s="1"/>
  <c r="H1110" i="2"/>
  <c r="K1110" i="2" s="1"/>
  <c r="I8" i="11"/>
  <c r="L8" i="11" s="1"/>
  <c r="H256" i="2"/>
  <c r="K256" i="2" s="1"/>
  <c r="H189" i="2"/>
  <c r="K189" i="2" s="1"/>
  <c r="H159" i="2"/>
  <c r="K159" i="2" s="1"/>
  <c r="H236" i="2"/>
  <c r="K236" i="2" s="1"/>
  <c r="H145" i="2"/>
  <c r="K145" i="2" s="1"/>
  <c r="H118" i="2"/>
  <c r="K118" i="2" s="1"/>
  <c r="H210" i="2"/>
  <c r="K210" i="2" s="1"/>
  <c r="H101" i="2"/>
  <c r="K101" i="2" s="1"/>
  <c r="H51" i="2"/>
  <c r="K51" i="2" s="1"/>
  <c r="H46" i="2"/>
  <c r="K46" i="2" s="1"/>
  <c r="H41" i="2"/>
  <c r="K41" i="2" s="1"/>
  <c r="H157" i="2"/>
  <c r="K157" i="2" s="1"/>
  <c r="H230" i="2"/>
  <c r="K230" i="2" s="1"/>
  <c r="H143" i="2"/>
  <c r="K143" i="2" s="1"/>
  <c r="H204" i="2"/>
  <c r="K204" i="2" s="1"/>
  <c r="H250" i="2"/>
  <c r="K250" i="2" s="1"/>
  <c r="H99" i="2"/>
  <c r="K99" i="2" s="1"/>
  <c r="H368" i="2"/>
  <c r="K368" i="2" s="1"/>
  <c r="H398" i="2"/>
  <c r="K398" i="2" s="1"/>
  <c r="H384" i="2"/>
  <c r="K384" i="2" s="1"/>
  <c r="H359" i="2"/>
  <c r="K359" i="2" s="1"/>
  <c r="H350" i="2"/>
  <c r="K350" i="2" s="1"/>
  <c r="H341" i="2"/>
  <c r="K341" i="2" s="1"/>
  <c r="H325" i="2"/>
  <c r="K325" i="2" s="1"/>
  <c r="H316" i="2"/>
  <c r="K316" i="2" s="1"/>
  <c r="H334" i="2"/>
  <c r="K334" i="2" s="1"/>
  <c r="H308" i="2"/>
  <c r="K308" i="2" s="1"/>
  <c r="H377" i="2"/>
  <c r="K377" i="2" s="1"/>
  <c r="H702" i="2"/>
  <c r="K702" i="2" s="1"/>
  <c r="H695" i="2"/>
  <c r="K695" i="2" s="1"/>
  <c r="I143" i="11"/>
  <c r="L143" i="11" s="1"/>
  <c r="I156" i="11"/>
  <c r="L156" i="11" s="1"/>
  <c r="I133" i="11"/>
  <c r="L133" i="11" s="1"/>
  <c r="I126" i="11"/>
  <c r="L126" i="11" s="1"/>
  <c r="I120" i="11"/>
  <c r="L120" i="11" s="1"/>
  <c r="H44" i="2"/>
  <c r="K44" i="2" s="1"/>
  <c r="H49" i="2"/>
  <c r="K49" i="2" s="1"/>
  <c r="H39" i="2"/>
  <c r="K39" i="2" s="1"/>
  <c r="H705" i="2"/>
  <c r="K705" i="2" s="1"/>
  <c r="H712" i="2"/>
  <c r="K712" i="2" s="1"/>
  <c r="H738" i="2"/>
  <c r="K738" i="2" s="1"/>
  <c r="H744" i="2"/>
  <c r="K744" i="2" s="1"/>
  <c r="H1018" i="2"/>
  <c r="K1018" i="2" s="1"/>
  <c r="H719" i="2"/>
  <c r="K719" i="2" s="1"/>
  <c r="H756" i="2"/>
  <c r="K756" i="2" s="1"/>
  <c r="H750" i="2"/>
  <c r="K750" i="2" s="1"/>
  <c r="H745" i="2"/>
  <c r="K745" i="2" s="1"/>
  <c r="H739" i="2"/>
  <c r="K739" i="2" s="1"/>
  <c r="H723" i="2"/>
  <c r="K723" i="2" s="1"/>
  <c r="H1076" i="2"/>
  <c r="K1076" i="2" s="1"/>
  <c r="H757" i="2"/>
  <c r="K757" i="2" s="1"/>
  <c r="H1063" i="2"/>
  <c r="K1063" i="2" s="1"/>
  <c r="H769" i="2"/>
  <c r="K769" i="2" s="1"/>
  <c r="H764" i="2"/>
  <c r="K764" i="2" s="1"/>
  <c r="H431" i="2"/>
  <c r="K431" i="2" s="1"/>
  <c r="H412" i="2"/>
  <c r="K412" i="2" s="1"/>
  <c r="I55" i="11"/>
  <c r="L55" i="11" s="1"/>
  <c r="I48" i="11"/>
  <c r="L48" i="11" s="1"/>
  <c r="I41" i="11"/>
  <c r="L41" i="11" s="1"/>
  <c r="H982" i="2"/>
  <c r="K982" i="2" s="1"/>
  <c r="I60" i="11"/>
  <c r="L60" i="11" s="1"/>
  <c r="H1059" i="2"/>
  <c r="K1059" i="2" s="1"/>
  <c r="H794" i="2"/>
  <c r="K794" i="2" s="1"/>
  <c r="H789" i="2"/>
  <c r="K789" i="2" s="1"/>
  <c r="H785" i="2"/>
  <c r="K785" i="2" s="1"/>
  <c r="H247" i="2"/>
  <c r="K247" i="2" s="1"/>
  <c r="I92" i="11"/>
  <c r="L92" i="11" s="1"/>
  <c r="H1052" i="2"/>
  <c r="K1052" i="2" s="1"/>
  <c r="I204" i="11"/>
  <c r="L204" i="11" s="1"/>
  <c r="I214" i="11"/>
  <c r="L214" i="11" s="1"/>
  <c r="H1043" i="2"/>
  <c r="K1043" i="2" s="1"/>
  <c r="H436" i="2"/>
  <c r="K436" i="2" s="1"/>
  <c r="I56" i="11"/>
  <c r="L56" i="11" s="1"/>
  <c r="H1039" i="2"/>
  <c r="K1039" i="2" s="1"/>
  <c r="H763" i="2"/>
  <c r="K763" i="2" s="1"/>
  <c r="H779" i="2"/>
  <c r="K779" i="2" s="1"/>
  <c r="H768" i="2"/>
  <c r="K768" i="2" s="1"/>
  <c r="H773" i="2"/>
  <c r="K773" i="2" s="1"/>
  <c r="H555" i="2"/>
  <c r="K555" i="2" s="1"/>
  <c r="H549" i="2"/>
  <c r="K549" i="2" s="1"/>
  <c r="H539" i="2"/>
  <c r="K539" i="2" s="1"/>
  <c r="H500" i="2"/>
  <c r="K500" i="2" s="1"/>
  <c r="H516" i="2"/>
  <c r="K516" i="2" s="1"/>
  <c r="H456" i="2"/>
  <c r="K456" i="2" s="1"/>
  <c r="H408" i="2"/>
  <c r="K408" i="2" s="1"/>
  <c r="H564" i="2"/>
  <c r="K564" i="2" s="1"/>
  <c r="H524" i="2"/>
  <c r="K524" i="2" s="1"/>
  <c r="H474" i="2"/>
  <c r="K474" i="2" s="1"/>
  <c r="H464" i="2"/>
  <c r="K464" i="2" s="1"/>
  <c r="H448" i="2"/>
  <c r="K448" i="2" s="1"/>
  <c r="H425" i="2"/>
  <c r="K425" i="2" s="1"/>
  <c r="H481" i="2"/>
  <c r="K481" i="2" s="1"/>
  <c r="H441" i="2"/>
  <c r="K441" i="2" s="1"/>
  <c r="H417" i="2"/>
  <c r="K417" i="2" s="1"/>
  <c r="I244" i="11"/>
  <c r="L244" i="11" s="1"/>
  <c r="I206" i="11"/>
  <c r="L206" i="11" s="1"/>
  <c r="I216" i="11"/>
  <c r="L216" i="11" s="1"/>
  <c r="I237" i="11"/>
  <c r="L237" i="11" s="1"/>
  <c r="I57" i="11"/>
  <c r="L57" i="11" s="1"/>
  <c r="I25" i="11"/>
  <c r="L25" i="11" s="1"/>
  <c r="I29" i="11"/>
  <c r="L29" i="11" s="1"/>
  <c r="H1036" i="2"/>
  <c r="K1036" i="2" s="1"/>
  <c r="H556" i="2"/>
  <c r="K556" i="2" s="1"/>
  <c r="H525" i="2"/>
  <c r="K525" i="2" s="1"/>
  <c r="H503" i="2"/>
  <c r="K503" i="2" s="1"/>
  <c r="H493" i="2"/>
  <c r="K493" i="2" s="1"/>
  <c r="H463" i="2"/>
  <c r="K463" i="2" s="1"/>
  <c r="H442" i="2"/>
  <c r="K442" i="2" s="1"/>
  <c r="H565" i="2"/>
  <c r="K565" i="2" s="1"/>
  <c r="H540" i="2"/>
  <c r="K540" i="2" s="1"/>
  <c r="H510" i="2"/>
  <c r="K510" i="2" s="1"/>
  <c r="H450" i="2"/>
  <c r="K450" i="2" s="1"/>
  <c r="H533" i="2"/>
  <c r="K533" i="2" s="1"/>
  <c r="H484" i="2"/>
  <c r="K484" i="2" s="1"/>
  <c r="H475" i="2"/>
  <c r="K475" i="2" s="1"/>
  <c r="H457" i="2"/>
  <c r="K457" i="2" s="1"/>
  <c r="I230" i="11"/>
  <c r="L230" i="11" s="1"/>
  <c r="I83" i="11"/>
  <c r="L83" i="11" s="1"/>
  <c r="I26" i="11"/>
  <c r="L26" i="11" s="1"/>
  <c r="I998" i="2"/>
  <c r="L998" i="2" s="1"/>
  <c r="I765" i="2"/>
  <c r="L765" i="2" s="1"/>
  <c r="I770" i="2"/>
  <c r="L770" i="2" s="1"/>
  <c r="I560" i="2"/>
  <c r="L560" i="2" s="1"/>
  <c r="I553" i="2"/>
  <c r="L553" i="2" s="1"/>
  <c r="I461" i="2"/>
  <c r="L461" i="2" s="1"/>
  <c r="I454" i="2"/>
  <c r="L454" i="2" s="1"/>
  <c r="I849" i="2"/>
  <c r="L849" i="2" s="1"/>
  <c r="J252" i="11"/>
  <c r="M252" i="11" s="1"/>
  <c r="I300" i="2"/>
  <c r="L300" i="2" s="1"/>
  <c r="I226" i="2"/>
  <c r="L226" i="2" s="1"/>
  <c r="I243" i="2"/>
  <c r="L243" i="2" s="1"/>
  <c r="I197" i="2"/>
  <c r="L197" i="2" s="1"/>
  <c r="I152" i="2"/>
  <c r="L152" i="2" s="1"/>
  <c r="I112" i="2"/>
  <c r="L112" i="2" s="1"/>
  <c r="I179" i="2"/>
  <c r="L179" i="2" s="1"/>
  <c r="I138" i="2"/>
  <c r="L138" i="2" s="1"/>
  <c r="I95" i="2"/>
  <c r="L95" i="2" s="1"/>
  <c r="I819" i="2"/>
  <c r="L819" i="2" s="1"/>
  <c r="I838" i="2"/>
  <c r="L838" i="2" s="1"/>
  <c r="I1032" i="2"/>
  <c r="L1032" i="2" s="1"/>
  <c r="J273" i="11"/>
  <c r="M273" i="11" s="1"/>
  <c r="J339" i="11"/>
  <c r="M339" i="11" s="1"/>
  <c r="J381" i="11"/>
  <c r="M381" i="11" s="1"/>
  <c r="J360" i="11"/>
  <c r="M360" i="11" s="1"/>
  <c r="J318" i="11"/>
  <c r="M318" i="11" s="1"/>
  <c r="I832" i="2"/>
  <c r="L832" i="2" s="1"/>
  <c r="I813" i="2"/>
  <c r="L813" i="2" s="1"/>
  <c r="J375" i="11"/>
  <c r="M375" i="11" s="1"/>
  <c r="J333" i="11"/>
  <c r="M333" i="11" s="1"/>
  <c r="J312" i="11"/>
  <c r="M312" i="11" s="1"/>
  <c r="J354" i="11"/>
  <c r="M354" i="11" s="1"/>
  <c r="I1026" i="2"/>
  <c r="L1026" i="2" s="1"/>
  <c r="I830" i="2"/>
  <c r="L830" i="2" s="1"/>
  <c r="I811" i="2"/>
  <c r="L811" i="2" s="1"/>
  <c r="I969" i="2"/>
  <c r="L969" i="2" s="1"/>
  <c r="I968" i="2"/>
  <c r="L968" i="2" s="1"/>
  <c r="I1099" i="2"/>
  <c r="L1099" i="2" s="1"/>
  <c r="J9" i="11"/>
  <c r="M9" i="11" s="1"/>
  <c r="I1097" i="2"/>
  <c r="L1097" i="2" s="1"/>
  <c r="J7" i="11"/>
  <c r="M7" i="11" s="1"/>
  <c r="J345" i="11"/>
  <c r="M345" i="11" s="1"/>
  <c r="J324" i="11"/>
  <c r="M324" i="11" s="1"/>
  <c r="J387" i="11"/>
  <c r="M387" i="11" s="1"/>
  <c r="J366" i="11"/>
  <c r="M366" i="11" s="1"/>
  <c r="I641" i="2"/>
  <c r="L641" i="2" s="1"/>
  <c r="I614" i="2"/>
  <c r="L614" i="2" s="1"/>
  <c r="I596" i="2"/>
  <c r="L596" i="2" s="1"/>
  <c r="I667" i="2"/>
  <c r="L667" i="2" s="1"/>
  <c r="I550" i="2"/>
  <c r="L550" i="2" s="1"/>
  <c r="I504" i="2"/>
  <c r="L504" i="2" s="1"/>
  <c r="I519" i="2"/>
  <c r="L519" i="2" s="1"/>
  <c r="I249" i="2"/>
  <c r="L249" i="2" s="1"/>
  <c r="I203" i="2"/>
  <c r="L203" i="2" s="1"/>
  <c r="I98" i="2"/>
  <c r="L98" i="2" s="1"/>
  <c r="I156" i="2"/>
  <c r="L156" i="2" s="1"/>
  <c r="I229" i="2"/>
  <c r="L229" i="2" s="1"/>
  <c r="I142" i="2"/>
  <c r="L142" i="2" s="1"/>
  <c r="I717" i="2"/>
  <c r="L717" i="2" s="1"/>
  <c r="I710" i="2"/>
  <c r="L710" i="2" s="1"/>
  <c r="I277" i="2"/>
  <c r="L277" i="2" s="1"/>
  <c r="I271" i="2"/>
  <c r="L271" i="2" s="1"/>
  <c r="I169" i="2"/>
  <c r="L169" i="2" s="1"/>
  <c r="I220" i="2"/>
  <c r="L220" i="2" s="1"/>
  <c r="I67" i="2"/>
  <c r="L67" i="2" s="1"/>
  <c r="I80" i="2"/>
  <c r="L80" i="2" s="1"/>
  <c r="I264" i="2"/>
  <c r="L264" i="2" s="1"/>
  <c r="I132" i="2"/>
  <c r="L132" i="2" s="1"/>
  <c r="I89" i="2"/>
  <c r="L89" i="2" s="1"/>
  <c r="I74" i="2"/>
  <c r="L74" i="2" s="1"/>
  <c r="I253" i="2"/>
  <c r="L253" i="2" s="1"/>
  <c r="I186" i="2"/>
  <c r="L186" i="2" s="1"/>
  <c r="I233" i="2"/>
  <c r="L233" i="2" s="1"/>
  <c r="I103" i="2"/>
  <c r="L103" i="2" s="1"/>
  <c r="I207" i="2"/>
  <c r="L207" i="2" s="1"/>
  <c r="I120" i="2"/>
  <c r="L120" i="2" s="1"/>
  <c r="I254" i="2"/>
  <c r="L254" i="2" s="1"/>
  <c r="I187" i="2"/>
  <c r="L187" i="2" s="1"/>
  <c r="I234" i="2"/>
  <c r="L234" i="2" s="1"/>
  <c r="I104" i="2"/>
  <c r="L104" i="2" s="1"/>
  <c r="I121" i="2"/>
  <c r="L121" i="2" s="1"/>
  <c r="I208" i="2"/>
  <c r="L208" i="2" s="1"/>
  <c r="I185" i="2"/>
  <c r="L185" i="2" s="1"/>
  <c r="I232" i="2"/>
  <c r="L232" i="2" s="1"/>
  <c r="I206" i="2"/>
  <c r="L206" i="2" s="1"/>
  <c r="I119" i="2"/>
  <c r="L119" i="2" s="1"/>
  <c r="I252" i="2"/>
  <c r="L252" i="2" s="1"/>
  <c r="I102" i="2"/>
  <c r="L102" i="2" s="1"/>
  <c r="I255" i="2"/>
  <c r="L255" i="2" s="1"/>
  <c r="I188" i="2"/>
  <c r="L188" i="2" s="1"/>
  <c r="I122" i="2"/>
  <c r="L122" i="2" s="1"/>
  <c r="I105" i="2"/>
  <c r="L105" i="2" s="1"/>
  <c r="I235" i="2"/>
  <c r="L235" i="2" s="1"/>
  <c r="I209" i="2"/>
  <c r="L209" i="2" s="1"/>
  <c r="I857" i="2"/>
  <c r="L857" i="2" s="1"/>
  <c r="I396" i="2"/>
  <c r="L396" i="2" s="1"/>
  <c r="J260" i="11"/>
  <c r="M260" i="11" s="1"/>
  <c r="I295" i="2"/>
  <c r="L295" i="2" s="1"/>
  <c r="I287" i="2"/>
  <c r="L287" i="2" s="1"/>
  <c r="I694" i="2"/>
  <c r="L694" i="2" s="1"/>
  <c r="I276" i="2"/>
  <c r="L276" i="2" s="1"/>
  <c r="I270" i="2"/>
  <c r="L270" i="2" s="1"/>
  <c r="I245" i="2"/>
  <c r="L245" i="2" s="1"/>
  <c r="I219" i="2"/>
  <c r="L219" i="2" s="1"/>
  <c r="I214" i="2"/>
  <c r="L214" i="2" s="1"/>
  <c r="I168" i="2"/>
  <c r="L168" i="2" s="1"/>
  <c r="I228" i="2"/>
  <c r="L228" i="2" s="1"/>
  <c r="I199" i="2"/>
  <c r="L199" i="2" s="1"/>
  <c r="I155" i="2"/>
  <c r="L155" i="2" s="1"/>
  <c r="I131" i="2"/>
  <c r="L131" i="2" s="1"/>
  <c r="I126" i="2"/>
  <c r="L126" i="2" s="1"/>
  <c r="I114" i="2"/>
  <c r="L114" i="2" s="1"/>
  <c r="I73" i="2"/>
  <c r="L73" i="2" s="1"/>
  <c r="I97" i="2"/>
  <c r="L97" i="2" s="1"/>
  <c r="I60" i="2"/>
  <c r="L60" i="2" s="1"/>
  <c r="I141" i="2"/>
  <c r="L141" i="2" s="1"/>
  <c r="J147" i="11"/>
  <c r="M147" i="11" s="1"/>
  <c r="I163" i="2"/>
  <c r="L163" i="2" s="1"/>
  <c r="J160" i="11"/>
  <c r="M160" i="11" s="1"/>
  <c r="I181" i="2"/>
  <c r="L181" i="2" s="1"/>
  <c r="J114" i="11"/>
  <c r="M114" i="11" s="1"/>
  <c r="J37" i="11"/>
  <c r="M37" i="11" s="1"/>
  <c r="J104" i="11"/>
  <c r="M104" i="11" s="1"/>
  <c r="I79" i="2"/>
  <c r="L79" i="2" s="1"/>
  <c r="I701" i="2"/>
  <c r="L701" i="2" s="1"/>
  <c r="I88" i="2"/>
  <c r="L88" i="2" s="1"/>
  <c r="I709" i="2"/>
  <c r="L709" i="2" s="1"/>
  <c r="I66" i="2"/>
  <c r="L66" i="2" s="1"/>
  <c r="I716" i="2"/>
  <c r="L716" i="2" s="1"/>
  <c r="I83" i="2"/>
  <c r="L83" i="2" s="1"/>
  <c r="I263" i="2"/>
  <c r="L263" i="2" s="1"/>
  <c r="I153" i="2"/>
  <c r="L153" i="2" s="1"/>
  <c r="I139" i="2"/>
  <c r="L139" i="2" s="1"/>
  <c r="I171" i="2"/>
  <c r="L171" i="2" s="1"/>
  <c r="L170" i="2" s="1"/>
  <c r="J159" i="11"/>
  <c r="M159" i="11" s="1"/>
  <c r="J113" i="11"/>
  <c r="M113" i="11" s="1"/>
  <c r="J103" i="11"/>
  <c r="M103" i="11" s="1"/>
  <c r="J146" i="11"/>
  <c r="M146" i="11" s="1"/>
  <c r="I281" i="2"/>
  <c r="L281" i="2" s="1"/>
  <c r="I268" i="2"/>
  <c r="L268" i="2" s="1"/>
  <c r="I261" i="2"/>
  <c r="L261" i="2" s="1"/>
  <c r="I71" i="2"/>
  <c r="L71" i="2" s="1"/>
  <c r="J153" i="11"/>
  <c r="M153" i="11" s="1"/>
  <c r="I64" i="2"/>
  <c r="L64" i="2" s="1"/>
  <c r="J140" i="11"/>
  <c r="M140" i="11" s="1"/>
  <c r="I1022" i="2"/>
  <c r="L1022" i="2" s="1"/>
  <c r="J357" i="11"/>
  <c r="M357" i="11" s="1"/>
  <c r="J315" i="11"/>
  <c r="M315" i="11" s="1"/>
  <c r="J336" i="11"/>
  <c r="M336" i="11" s="1"/>
  <c r="J378" i="11"/>
  <c r="M378" i="11" s="1"/>
  <c r="I835" i="2"/>
  <c r="L835" i="2" s="1"/>
  <c r="I816" i="2"/>
  <c r="L816" i="2" s="1"/>
  <c r="I853" i="2"/>
  <c r="L853" i="2" s="1"/>
  <c r="J256" i="11"/>
  <c r="M256" i="11" s="1"/>
  <c r="J379" i="11"/>
  <c r="M379" i="11" s="1"/>
  <c r="J186" i="11"/>
  <c r="M186" i="11" s="1"/>
  <c r="J316" i="11"/>
  <c r="M316" i="11" s="1"/>
  <c r="J358" i="11"/>
  <c r="M358" i="11" s="1"/>
  <c r="J337" i="11"/>
  <c r="M337" i="11" s="1"/>
  <c r="I309" i="2"/>
  <c r="L309" i="2" s="1"/>
  <c r="I94" i="2"/>
  <c r="L94" i="2" s="1"/>
  <c r="I508" i="2"/>
  <c r="L508" i="2" s="1"/>
  <c r="I515" i="2"/>
  <c r="L515" i="2" s="1"/>
  <c r="I749" i="2"/>
  <c r="L749" i="2" s="1"/>
  <c r="I755" i="2"/>
  <c r="L755" i="2" s="1"/>
  <c r="I652" i="2"/>
  <c r="L652" i="2" s="1"/>
  <c r="I678" i="2"/>
  <c r="L678" i="2" s="1"/>
  <c r="I607" i="2"/>
  <c r="L607" i="2" s="1"/>
  <c r="I581" i="2"/>
  <c r="L581" i="2" s="1"/>
  <c r="I685" i="2"/>
  <c r="L685" i="2" s="1"/>
  <c r="I670" i="2"/>
  <c r="L670" i="2" s="1"/>
  <c r="I660" i="2"/>
  <c r="L660" i="2" s="1"/>
  <c r="I644" i="2"/>
  <c r="L644" i="2" s="1"/>
  <c r="I634" i="2"/>
  <c r="L634" i="2" s="1"/>
  <c r="I589" i="2"/>
  <c r="L589" i="2" s="1"/>
  <c r="I625" i="2"/>
  <c r="L625" i="2" s="1"/>
  <c r="I617" i="2"/>
  <c r="L617" i="2" s="1"/>
  <c r="I599" i="2"/>
  <c r="L599" i="2" s="1"/>
  <c r="I734" i="2"/>
  <c r="L734" i="2" s="1"/>
  <c r="I730" i="2"/>
  <c r="L730" i="2" s="1"/>
  <c r="I727" i="2"/>
  <c r="L727" i="2" s="1"/>
  <c r="J202" i="11"/>
  <c r="M202" i="11" s="1"/>
  <c r="J301" i="11"/>
  <c r="M301" i="11" s="1"/>
  <c r="J291" i="11"/>
  <c r="M291" i="11" s="1"/>
  <c r="J223" i="11"/>
  <c r="M223" i="11" s="1"/>
  <c r="J212" i="11"/>
  <c r="M212" i="11" s="1"/>
  <c r="I1018" i="2"/>
  <c r="L1018" i="2" s="1"/>
  <c r="I719" i="2"/>
  <c r="L719" i="2" s="1"/>
  <c r="I750" i="2"/>
  <c r="L750" i="2" s="1"/>
  <c r="I745" i="2"/>
  <c r="L745" i="2" s="1"/>
  <c r="I739" i="2"/>
  <c r="L739" i="2" s="1"/>
  <c r="I723" i="2"/>
  <c r="L723" i="2" s="1"/>
  <c r="I756" i="2"/>
  <c r="L756" i="2" s="1"/>
  <c r="I1076" i="2"/>
  <c r="L1076" i="2" s="1"/>
  <c r="I757" i="2"/>
  <c r="L757" i="2" s="1"/>
  <c r="I851" i="2"/>
  <c r="L851" i="2" s="1"/>
  <c r="I389" i="2"/>
  <c r="L389" i="2" s="1"/>
  <c r="J177" i="11"/>
  <c r="M177" i="11" s="1"/>
  <c r="J254" i="11"/>
  <c r="M254" i="11" s="1"/>
  <c r="I1002" i="2"/>
  <c r="L1002" i="2" s="1"/>
  <c r="I767" i="2"/>
  <c r="L767" i="2" s="1"/>
  <c r="I762" i="2"/>
  <c r="L762" i="2" s="1"/>
  <c r="I1008" i="2"/>
  <c r="L1008" i="2" s="1"/>
  <c r="I800" i="2"/>
  <c r="L800" i="2" s="1"/>
  <c r="I788" i="2"/>
  <c r="L788" i="2" s="1"/>
  <c r="I846" i="2"/>
  <c r="L846" i="2" s="1"/>
  <c r="I371" i="2"/>
  <c r="L371" i="2" s="1"/>
  <c r="I387" i="2"/>
  <c r="L387" i="2" s="1"/>
  <c r="I380" i="2"/>
  <c r="L380" i="2" s="1"/>
  <c r="I344" i="2"/>
  <c r="L344" i="2" s="1"/>
  <c r="I328" i="2"/>
  <c r="L328" i="2" s="1"/>
  <c r="I312" i="2"/>
  <c r="L312" i="2" s="1"/>
  <c r="I319" i="2"/>
  <c r="L319" i="2" s="1"/>
  <c r="I304" i="2"/>
  <c r="L304" i="2" s="1"/>
  <c r="I353" i="2"/>
  <c r="L353" i="2" s="1"/>
  <c r="I337" i="2"/>
  <c r="L337" i="2" s="1"/>
  <c r="I362" i="2"/>
  <c r="L362" i="2" s="1"/>
  <c r="J249" i="11"/>
  <c r="M249" i="11" s="1"/>
  <c r="I728" i="2"/>
  <c r="L728" i="2" s="1"/>
  <c r="J222" i="11"/>
  <c r="M222" i="11" s="1"/>
  <c r="J302" i="11"/>
  <c r="M302" i="11" s="1"/>
  <c r="J292" i="11"/>
  <c r="M292" i="11" s="1"/>
  <c r="J213" i="11"/>
  <c r="M213" i="11" s="1"/>
  <c r="J203" i="11"/>
  <c r="M203" i="11" s="1"/>
  <c r="I662" i="2"/>
  <c r="L662" i="2" s="1"/>
  <c r="I619" i="2"/>
  <c r="L619" i="2" s="1"/>
  <c r="I654" i="2"/>
  <c r="L654" i="2" s="1"/>
  <c r="I601" i="2"/>
  <c r="L601" i="2" s="1"/>
  <c r="I583" i="2"/>
  <c r="L583" i="2" s="1"/>
  <c r="I609" i="2"/>
  <c r="L609" i="2" s="1"/>
  <c r="I591" i="2"/>
  <c r="L591" i="2" s="1"/>
  <c r="I808" i="2"/>
  <c r="L808" i="2" s="1"/>
  <c r="I827" i="2"/>
  <c r="L827" i="2" s="1"/>
  <c r="I1069" i="2"/>
  <c r="L1069" i="2" s="1"/>
  <c r="I845" i="2"/>
  <c r="L845" i="2" s="1"/>
  <c r="I379" i="2"/>
  <c r="L379" i="2" s="1"/>
  <c r="I361" i="2"/>
  <c r="L361" i="2" s="1"/>
  <c r="I336" i="2"/>
  <c r="L336" i="2" s="1"/>
  <c r="I370" i="2"/>
  <c r="L370" i="2" s="1"/>
  <c r="I352" i="2"/>
  <c r="L352" i="2" s="1"/>
  <c r="I386" i="2"/>
  <c r="L386" i="2" s="1"/>
  <c r="I327" i="2"/>
  <c r="L327" i="2" s="1"/>
  <c r="I318" i="2"/>
  <c r="L318" i="2" s="1"/>
  <c r="I311" i="2"/>
  <c r="L311" i="2" s="1"/>
  <c r="I343" i="2"/>
  <c r="L343" i="2" s="1"/>
  <c r="I303" i="2"/>
  <c r="L303" i="2" s="1"/>
  <c r="J248" i="11"/>
  <c r="M248" i="11" s="1"/>
  <c r="I979" i="2"/>
  <c r="L979" i="2" s="1"/>
  <c r="J300" i="11"/>
  <c r="M300" i="11" s="1"/>
  <c r="J288" i="11"/>
  <c r="M288" i="11" s="1"/>
  <c r="I677" i="2"/>
  <c r="L677" i="2" s="1"/>
  <c r="I669" i="2"/>
  <c r="L669" i="2" s="1"/>
  <c r="I616" i="2"/>
  <c r="L616" i="2" s="1"/>
  <c r="I598" i="2"/>
  <c r="L598" i="2" s="1"/>
  <c r="I651" i="2"/>
  <c r="L651" i="2" s="1"/>
  <c r="I684" i="2"/>
  <c r="L684" i="2" s="1"/>
  <c r="I659" i="2"/>
  <c r="L659" i="2" s="1"/>
  <c r="I643" i="2"/>
  <c r="L643" i="2" s="1"/>
  <c r="I588" i="2"/>
  <c r="L588" i="2" s="1"/>
  <c r="I580" i="2"/>
  <c r="L580" i="2" s="1"/>
  <c r="I195" i="2"/>
  <c r="L195" i="2" s="1"/>
  <c r="I267" i="2"/>
  <c r="L267" i="2" s="1"/>
  <c r="I1056" i="2"/>
  <c r="L1056" i="2" s="1"/>
  <c r="I202" i="2"/>
  <c r="L202" i="2" s="1"/>
  <c r="I184" i="2"/>
  <c r="L184" i="2" s="1"/>
  <c r="J93" i="11"/>
  <c r="M93" i="11" s="1"/>
  <c r="I1053" i="2"/>
  <c r="L1053" i="2" s="1"/>
  <c r="I532" i="2"/>
  <c r="L532" i="2" s="1"/>
  <c r="I426" i="2"/>
  <c r="L426" i="2" s="1"/>
  <c r="I117" i="2"/>
  <c r="L117" i="2" s="1"/>
  <c r="I407" i="2"/>
  <c r="L407" i="2" s="1"/>
  <c r="J67" i="11"/>
  <c r="M67" i="11" s="1"/>
  <c r="I1044" i="2"/>
  <c r="L1044" i="2" s="1"/>
  <c r="I490" i="2"/>
  <c r="L490" i="2" s="1"/>
  <c r="I1040" i="2"/>
  <c r="L1040" i="2" s="1"/>
  <c r="I720" i="2"/>
  <c r="L720" i="2" s="1"/>
  <c r="I732" i="2"/>
  <c r="L732" i="2" s="1"/>
  <c r="I575" i="2"/>
  <c r="L575" i="2" s="1"/>
  <c r="I570" i="2"/>
  <c r="L570" i="2" s="1"/>
  <c r="I548" i="2"/>
  <c r="L548" i="2" s="1"/>
  <c r="I736" i="2"/>
  <c r="L736" i="2" s="1"/>
  <c r="I563" i="2"/>
  <c r="L563" i="2" s="1"/>
  <c r="I501" i="2"/>
  <c r="L501" i="2" s="1"/>
  <c r="I517" i="2"/>
  <c r="L517" i="2" s="1"/>
  <c r="I509" i="2"/>
  <c r="L509" i="2" s="1"/>
  <c r="I482" i="2"/>
  <c r="L482" i="2" s="1"/>
  <c r="I465" i="2"/>
  <c r="L465" i="2" s="1"/>
  <c r="J243" i="11"/>
  <c r="M243" i="11" s="1"/>
  <c r="J221" i="11"/>
  <c r="M221" i="11" s="1"/>
  <c r="J205" i="11"/>
  <c r="M205" i="11" s="1"/>
  <c r="J236" i="11"/>
  <c r="M236" i="11" s="1"/>
  <c r="J215" i="11"/>
  <c r="M215" i="11" s="1"/>
  <c r="J85" i="11"/>
  <c r="M85" i="11" s="1"/>
  <c r="J49" i="11"/>
  <c r="M49" i="11" s="1"/>
  <c r="J42" i="11"/>
  <c r="M42" i="11" s="1"/>
  <c r="I411" i="2"/>
  <c r="L411" i="2" s="1"/>
  <c r="I430" i="2"/>
  <c r="L430" i="2" s="1"/>
  <c r="I420" i="2"/>
  <c r="L420" i="2" s="1"/>
  <c r="I273" i="2"/>
  <c r="L273" i="2" s="1"/>
  <c r="I69" i="2"/>
  <c r="L69" i="2" s="1"/>
  <c r="I266" i="2"/>
  <c r="L266" i="2" s="1"/>
  <c r="H401" i="2"/>
  <c r="K401" i="2" s="1"/>
  <c r="I47" i="11"/>
  <c r="L47" i="11" s="1"/>
  <c r="H300" i="2"/>
  <c r="K300" i="2" s="1"/>
  <c r="H226" i="2"/>
  <c r="K226" i="2" s="1"/>
  <c r="H243" i="2"/>
  <c r="K243" i="2" s="1"/>
  <c r="H197" i="2"/>
  <c r="K197" i="2" s="1"/>
  <c r="H152" i="2"/>
  <c r="K152" i="2" s="1"/>
  <c r="H112" i="2"/>
  <c r="K112" i="2" s="1"/>
  <c r="H179" i="2"/>
  <c r="K179" i="2" s="1"/>
  <c r="H138" i="2"/>
  <c r="K138" i="2" s="1"/>
  <c r="H95" i="2"/>
  <c r="K95" i="2" s="1"/>
  <c r="H229" i="2"/>
  <c r="K229" i="2" s="1"/>
  <c r="H249" i="2"/>
  <c r="K249" i="2" s="1"/>
  <c r="H203" i="2"/>
  <c r="K203" i="2" s="1"/>
  <c r="H98" i="2"/>
  <c r="K98" i="2" s="1"/>
  <c r="H156" i="2"/>
  <c r="K156" i="2" s="1"/>
  <c r="H142" i="2"/>
  <c r="K142" i="2" s="1"/>
  <c r="H207" i="2"/>
  <c r="K207" i="2" s="1"/>
  <c r="H253" i="2"/>
  <c r="K253" i="2" s="1"/>
  <c r="H186" i="2"/>
  <c r="K186" i="2" s="1"/>
  <c r="H233" i="2"/>
  <c r="K233" i="2" s="1"/>
  <c r="H120" i="2"/>
  <c r="K120" i="2" s="1"/>
  <c r="H103" i="2"/>
  <c r="K103" i="2" s="1"/>
  <c r="H235" i="2"/>
  <c r="K235" i="2" s="1"/>
  <c r="H209" i="2"/>
  <c r="K209" i="2" s="1"/>
  <c r="H255" i="2"/>
  <c r="K255" i="2" s="1"/>
  <c r="H188" i="2"/>
  <c r="K188" i="2" s="1"/>
  <c r="H122" i="2"/>
  <c r="K122" i="2" s="1"/>
  <c r="H105" i="2"/>
  <c r="K105" i="2" s="1"/>
  <c r="H291" i="2"/>
  <c r="K291" i="2" s="1"/>
  <c r="H239" i="2"/>
  <c r="K239" i="2" s="1"/>
  <c r="H222" i="2"/>
  <c r="K222" i="2" s="1"/>
  <c r="H282" i="2"/>
  <c r="K282" i="2" s="1"/>
  <c r="H192" i="2"/>
  <c r="K192" i="2" s="1"/>
  <c r="H175" i="2"/>
  <c r="K175" i="2" s="1"/>
  <c r="H134" i="2"/>
  <c r="K134" i="2" s="1"/>
  <c r="H91" i="2"/>
  <c r="K91" i="2" s="1"/>
  <c r="H148" i="2"/>
  <c r="K148" i="2" s="1"/>
  <c r="I108" i="11"/>
  <c r="L108" i="11" s="1"/>
  <c r="H108" i="2"/>
  <c r="K108" i="2" s="1"/>
  <c r="I137" i="11"/>
  <c r="L137" i="11" s="1"/>
  <c r="I98" i="11"/>
  <c r="L98" i="11" s="1"/>
  <c r="I150" i="11"/>
  <c r="L150" i="11" s="1"/>
  <c r="H663" i="2"/>
  <c r="K663" i="2" s="1"/>
  <c r="H637" i="2"/>
  <c r="K637" i="2" s="1"/>
  <c r="H610" i="2"/>
  <c r="K610" i="2" s="1"/>
  <c r="H569" i="2"/>
  <c r="K569" i="2" s="1"/>
  <c r="H574" i="2"/>
  <c r="K574" i="2" s="1"/>
  <c r="H507" i="2"/>
  <c r="K507" i="2" s="1"/>
  <c r="H514" i="2"/>
  <c r="K514" i="2" s="1"/>
  <c r="H301" i="2"/>
  <c r="K301" i="2" s="1"/>
  <c r="H685" i="2"/>
  <c r="K685" i="2" s="1"/>
  <c r="H670" i="2"/>
  <c r="K670" i="2" s="1"/>
  <c r="H660" i="2"/>
  <c r="K660" i="2" s="1"/>
  <c r="H644" i="2"/>
  <c r="K644" i="2" s="1"/>
  <c r="H634" i="2"/>
  <c r="K634" i="2" s="1"/>
  <c r="H652" i="2"/>
  <c r="K652" i="2" s="1"/>
  <c r="H625" i="2"/>
  <c r="K625" i="2" s="1"/>
  <c r="H617" i="2"/>
  <c r="K617" i="2" s="1"/>
  <c r="H599" i="2"/>
  <c r="K599" i="2" s="1"/>
  <c r="H678" i="2"/>
  <c r="K678" i="2" s="1"/>
  <c r="H589" i="2"/>
  <c r="K589" i="2" s="1"/>
  <c r="H581" i="2"/>
  <c r="K581" i="2" s="1"/>
  <c r="H607" i="2"/>
  <c r="K607" i="2" s="1"/>
  <c r="H758" i="2"/>
  <c r="K758" i="2" s="1"/>
  <c r="H752" i="2"/>
  <c r="K752" i="2" s="1"/>
  <c r="H957" i="2"/>
  <c r="K957" i="2" s="1"/>
  <c r="H751" i="2"/>
  <c r="K751" i="2" s="1"/>
  <c r="H722" i="2"/>
  <c r="K722" i="2" s="1"/>
  <c r="H714" i="2"/>
  <c r="K714" i="2" s="1"/>
  <c r="H707" i="2"/>
  <c r="K707" i="2" s="1"/>
  <c r="H1058" i="2"/>
  <c r="K1058" i="2" s="1"/>
  <c r="H801" i="2"/>
  <c r="K801" i="2" s="1"/>
  <c r="H806" i="2"/>
  <c r="K806" i="2" s="1"/>
  <c r="H797" i="2"/>
  <c r="K797" i="2" s="1"/>
  <c r="K795" i="2" s="1"/>
  <c r="I861" i="2"/>
  <c r="L861" i="2" s="1"/>
  <c r="I824" i="2"/>
  <c r="L824" i="2" s="1"/>
  <c r="I843" i="2"/>
  <c r="L843" i="2" s="1"/>
  <c r="J304" i="11"/>
  <c r="M304" i="11" s="1"/>
  <c r="J294" i="11"/>
  <c r="M294" i="11" s="1"/>
  <c r="J367" i="11"/>
  <c r="M367" i="11" s="1"/>
  <c r="J325" i="11"/>
  <c r="M325" i="11" s="1"/>
  <c r="J388" i="11"/>
  <c r="M388" i="11" s="1"/>
  <c r="J346" i="11"/>
  <c r="M346" i="11" s="1"/>
  <c r="I566" i="2"/>
  <c r="L566" i="2" s="1"/>
  <c r="I494" i="2"/>
  <c r="L494" i="2" s="1"/>
  <c r="I485" i="2"/>
  <c r="L485" i="2" s="1"/>
  <c r="I376" i="2"/>
  <c r="L376" i="2" s="1"/>
  <c r="I367" i="2"/>
  <c r="L367" i="2" s="1"/>
  <c r="I383" i="2"/>
  <c r="L383" i="2" s="1"/>
  <c r="I358" i="2"/>
  <c r="L358" i="2" s="1"/>
  <c r="I333" i="2"/>
  <c r="L333" i="2" s="1"/>
  <c r="I349" i="2"/>
  <c r="L349" i="2" s="1"/>
  <c r="I340" i="2"/>
  <c r="L340" i="2" s="1"/>
  <c r="I315" i="2"/>
  <c r="L315" i="2" s="1"/>
  <c r="I395" i="2"/>
  <c r="L395" i="2" s="1"/>
  <c r="I324" i="2"/>
  <c r="L324" i="2" s="1"/>
  <c r="I307" i="2"/>
  <c r="L307" i="2" s="1"/>
  <c r="I858" i="2"/>
  <c r="L858" i="2" s="1"/>
  <c r="I397" i="2"/>
  <c r="L397" i="2" s="1"/>
  <c r="J261" i="11"/>
  <c r="M261" i="11" s="1"/>
  <c r="I693" i="2"/>
  <c r="L693" i="2" s="1"/>
  <c r="I275" i="2"/>
  <c r="L275" i="2" s="1"/>
  <c r="I198" i="2"/>
  <c r="L198" i="2" s="1"/>
  <c r="I296" i="2"/>
  <c r="L296" i="2" s="1"/>
  <c r="I269" i="2"/>
  <c r="L269" i="2" s="1"/>
  <c r="I227" i="2"/>
  <c r="L227" i="2" s="1"/>
  <c r="I154" i="2"/>
  <c r="L154" i="2" s="1"/>
  <c r="I125" i="2"/>
  <c r="L125" i="2" s="1"/>
  <c r="I113" i="2"/>
  <c r="L113" i="2" s="1"/>
  <c r="I72" i="2"/>
  <c r="L72" i="2" s="1"/>
  <c r="I244" i="2"/>
  <c r="L244" i="2" s="1"/>
  <c r="I218" i="2"/>
  <c r="L218" i="2" s="1"/>
  <c r="I162" i="2"/>
  <c r="L162" i="2" s="1"/>
  <c r="I130" i="2"/>
  <c r="L130" i="2" s="1"/>
  <c r="I96" i="2"/>
  <c r="L96" i="2" s="1"/>
  <c r="I140" i="2"/>
  <c r="L140" i="2" s="1"/>
  <c r="I213" i="2"/>
  <c r="L213" i="2" s="1"/>
  <c r="I167" i="2"/>
  <c r="L167" i="2" s="1"/>
  <c r="I59" i="2"/>
  <c r="L59" i="2" s="1"/>
  <c r="J36" i="11"/>
  <c r="M36" i="11" s="1"/>
  <c r="I180" i="2"/>
  <c r="L180" i="2" s="1"/>
  <c r="I262" i="2"/>
  <c r="L262" i="2" s="1"/>
  <c r="I65" i="2"/>
  <c r="L65" i="2" s="1"/>
  <c r="I87" i="2"/>
  <c r="L87" i="2" s="1"/>
  <c r="I708" i="2"/>
  <c r="L708" i="2" s="1"/>
  <c r="I715" i="2"/>
  <c r="L715" i="2" s="1"/>
  <c r="I78" i="2"/>
  <c r="L78" i="2" s="1"/>
  <c r="I700" i="2"/>
  <c r="L700" i="2" s="1"/>
  <c r="I82" i="2"/>
  <c r="L82" i="2" s="1"/>
  <c r="J143" i="11"/>
  <c r="M143" i="11" s="1"/>
  <c r="J156" i="11"/>
  <c r="M156" i="11" s="1"/>
  <c r="J133" i="11"/>
  <c r="M133" i="11" s="1"/>
  <c r="J126" i="11"/>
  <c r="M126" i="11" s="1"/>
  <c r="J120" i="11"/>
  <c r="M120" i="11" s="1"/>
  <c r="I49" i="2"/>
  <c r="L49" i="2" s="1"/>
  <c r="I39" i="2"/>
  <c r="L39" i="2" s="1"/>
  <c r="I44" i="2"/>
  <c r="L44" i="2" s="1"/>
  <c r="J181" i="11"/>
  <c r="M181" i="11" s="1"/>
  <c r="J182" i="11"/>
  <c r="M182" i="11" s="1"/>
  <c r="J179" i="11"/>
  <c r="M179" i="11" s="1"/>
  <c r="J180" i="11"/>
  <c r="M180" i="11" s="1"/>
  <c r="I1021" i="2"/>
  <c r="L1021" i="2" s="1"/>
  <c r="I815" i="2"/>
  <c r="L815" i="2" s="1"/>
  <c r="I834" i="2"/>
  <c r="L834" i="2" s="1"/>
  <c r="I712" i="2"/>
  <c r="L712" i="2" s="1"/>
  <c r="I705" i="2"/>
  <c r="L705" i="2" s="1"/>
  <c r="I752" i="2"/>
  <c r="L752" i="2" s="1"/>
  <c r="I758" i="2"/>
  <c r="L758" i="2" s="1"/>
  <c r="I957" i="2"/>
  <c r="L957" i="2" s="1"/>
  <c r="I751" i="2"/>
  <c r="L751" i="2" s="1"/>
  <c r="I722" i="2"/>
  <c r="L722" i="2" s="1"/>
  <c r="I975" i="2"/>
  <c r="L975" i="2" s="1"/>
  <c r="J298" i="11"/>
  <c r="M298" i="11" s="1"/>
  <c r="J286" i="11"/>
  <c r="M286" i="11" s="1"/>
  <c r="I1063" i="2"/>
  <c r="L1063" i="2" s="1"/>
  <c r="I769" i="2"/>
  <c r="L769" i="2" s="1"/>
  <c r="I764" i="2"/>
  <c r="L764" i="2" s="1"/>
  <c r="I431" i="2"/>
  <c r="L431" i="2" s="1"/>
  <c r="I412" i="2"/>
  <c r="L412" i="2" s="1"/>
  <c r="J55" i="11"/>
  <c r="M55" i="11" s="1"/>
  <c r="J48" i="11"/>
  <c r="M48" i="11" s="1"/>
  <c r="J41" i="11"/>
  <c r="M41" i="11" s="1"/>
  <c r="I982" i="2"/>
  <c r="L982" i="2" s="1"/>
  <c r="J60" i="11"/>
  <c r="M60" i="11" s="1"/>
  <c r="I1059" i="2"/>
  <c r="L1059" i="2" s="1"/>
  <c r="I794" i="2"/>
  <c r="L794" i="2" s="1"/>
  <c r="I789" i="2"/>
  <c r="L789" i="2" s="1"/>
  <c r="I785" i="2"/>
  <c r="L785" i="2" s="1"/>
  <c r="I247" i="2"/>
  <c r="L247" i="2" s="1"/>
  <c r="J92" i="11"/>
  <c r="M92" i="11" s="1"/>
  <c r="I1052" i="2"/>
  <c r="L1052" i="2" s="1"/>
  <c r="J204" i="11"/>
  <c r="M204" i="11" s="1"/>
  <c r="J214" i="11"/>
  <c r="M214" i="11" s="1"/>
  <c r="I1043" i="2"/>
  <c r="L1043" i="2" s="1"/>
  <c r="I436" i="2"/>
  <c r="L436" i="2" s="1"/>
  <c r="J56" i="11"/>
  <c r="M56" i="11" s="1"/>
  <c r="I1039" i="2"/>
  <c r="L1039" i="2" s="1"/>
  <c r="I768" i="2"/>
  <c r="L768" i="2" s="1"/>
  <c r="I773" i="2"/>
  <c r="L773" i="2" s="1"/>
  <c r="I763" i="2"/>
  <c r="L763" i="2" s="1"/>
  <c r="I564" i="2"/>
  <c r="L564" i="2" s="1"/>
  <c r="I779" i="2"/>
  <c r="L779" i="2" s="1"/>
  <c r="I549" i="2"/>
  <c r="L549" i="2" s="1"/>
  <c r="I516" i="2"/>
  <c r="L516" i="2" s="1"/>
  <c r="I456" i="2"/>
  <c r="L456" i="2" s="1"/>
  <c r="I408" i="2"/>
  <c r="L408" i="2" s="1"/>
  <c r="I524" i="2"/>
  <c r="L524" i="2" s="1"/>
  <c r="I474" i="2"/>
  <c r="L474" i="2" s="1"/>
  <c r="I464" i="2"/>
  <c r="L464" i="2" s="1"/>
  <c r="I448" i="2"/>
  <c r="L448" i="2" s="1"/>
  <c r="I425" i="2"/>
  <c r="L425" i="2" s="1"/>
  <c r="I555" i="2"/>
  <c r="L555" i="2" s="1"/>
  <c r="I539" i="2"/>
  <c r="L539" i="2" s="1"/>
  <c r="I500" i="2"/>
  <c r="L500" i="2" s="1"/>
  <c r="I481" i="2"/>
  <c r="L481" i="2" s="1"/>
  <c r="I441" i="2"/>
  <c r="L441" i="2" s="1"/>
  <c r="I417" i="2"/>
  <c r="L417" i="2" s="1"/>
  <c r="J216" i="11"/>
  <c r="M216" i="11" s="1"/>
  <c r="J237" i="11"/>
  <c r="M237" i="11" s="1"/>
  <c r="J244" i="11"/>
  <c r="M244" i="11" s="1"/>
  <c r="J57" i="11"/>
  <c r="M57" i="11" s="1"/>
  <c r="J206" i="11"/>
  <c r="M206" i="11" s="1"/>
  <c r="J29" i="11"/>
  <c r="M29" i="11" s="1"/>
  <c r="J25" i="11"/>
  <c r="M25" i="11" s="1"/>
  <c r="I1036" i="2"/>
  <c r="L1036" i="2" s="1"/>
  <c r="I540" i="2"/>
  <c r="L540" i="2" s="1"/>
  <c r="I565" i="2"/>
  <c r="L565" i="2" s="1"/>
  <c r="I493" i="2"/>
  <c r="L493" i="2" s="1"/>
  <c r="I510" i="2"/>
  <c r="L510" i="2" s="1"/>
  <c r="I450" i="2"/>
  <c r="L450" i="2" s="1"/>
  <c r="I556" i="2"/>
  <c r="L556" i="2" s="1"/>
  <c r="I533" i="2"/>
  <c r="L533" i="2" s="1"/>
  <c r="I484" i="2"/>
  <c r="L484" i="2" s="1"/>
  <c r="I475" i="2"/>
  <c r="L475" i="2" s="1"/>
  <c r="I457" i="2"/>
  <c r="L457" i="2" s="1"/>
  <c r="I525" i="2"/>
  <c r="L525" i="2" s="1"/>
  <c r="I503" i="2"/>
  <c r="L503" i="2" s="1"/>
  <c r="I463" i="2"/>
  <c r="L463" i="2" s="1"/>
  <c r="I442" i="2"/>
  <c r="L442" i="2" s="1"/>
  <c r="J230" i="11"/>
  <c r="M230" i="11" s="1"/>
  <c r="J83" i="11"/>
  <c r="M83" i="11" s="1"/>
  <c r="J26" i="11"/>
  <c r="M26" i="11" s="1"/>
  <c r="I401" i="2"/>
  <c r="L401" i="2" s="1"/>
  <c r="J47" i="11"/>
  <c r="M47" i="11" s="1"/>
  <c r="I128" i="2"/>
  <c r="L128" i="2" s="1"/>
  <c r="I259" i="2"/>
  <c r="L259" i="2" s="1"/>
  <c r="I85" i="2"/>
  <c r="L85" i="2" s="1"/>
  <c r="I76" i="2"/>
  <c r="L76" i="2" s="1"/>
  <c r="I62" i="2"/>
  <c r="L62" i="2" s="1"/>
  <c r="I216" i="2"/>
  <c r="L216" i="2" s="1"/>
  <c r="I165" i="2"/>
  <c r="L165" i="2" s="1"/>
  <c r="J34" i="11"/>
  <c r="M34" i="11" s="1"/>
  <c r="H850" i="23"/>
  <c r="K850" i="23" s="1"/>
  <c r="H854" i="23"/>
  <c r="K854" i="23" s="1"/>
  <c r="I849" i="23"/>
  <c r="I859" i="23"/>
  <c r="L859" i="23" s="1"/>
  <c r="I847" i="23"/>
  <c r="L847" i="23" s="1"/>
  <c r="I856" i="23"/>
  <c r="I857" i="23"/>
  <c r="L857" i="23" s="1"/>
  <c r="J16" i="34"/>
  <c r="M16" i="34" s="1"/>
  <c r="J17" i="34"/>
  <c r="M17" i="34" s="1"/>
  <c r="J18" i="34"/>
  <c r="M18" i="34" s="1"/>
  <c r="I853" i="23"/>
  <c r="L853" i="23" s="1"/>
  <c r="I848" i="23"/>
  <c r="L848" i="23" s="1"/>
  <c r="I851" i="23"/>
  <c r="L851" i="23" s="1"/>
  <c r="I846" i="23"/>
  <c r="I845" i="23"/>
  <c r="H849" i="23"/>
  <c r="H859" i="23"/>
  <c r="K859" i="23" s="1"/>
  <c r="H847" i="23"/>
  <c r="K847" i="23" s="1"/>
  <c r="H846" i="23"/>
  <c r="H845" i="23"/>
  <c r="I861" i="23"/>
  <c r="L861" i="23" s="1"/>
  <c r="I860" i="23"/>
  <c r="L860" i="23" s="1"/>
  <c r="I855" i="23"/>
  <c r="I858" i="23"/>
  <c r="L858" i="23" s="1"/>
  <c r="I852" i="23"/>
  <c r="L852" i="23" s="1"/>
  <c r="I854" i="23"/>
  <c r="L854" i="23" s="1"/>
  <c r="I850" i="23"/>
  <c r="L850" i="23" s="1"/>
  <c r="I22" i="34"/>
  <c r="L22" i="34" s="1"/>
  <c r="N22" i="34" s="1"/>
  <c r="I78" i="34"/>
  <c r="L78" i="34" s="1"/>
  <c r="I76" i="34"/>
  <c r="L76" i="34" s="1"/>
  <c r="I71" i="34"/>
  <c r="L71" i="34" s="1"/>
  <c r="I69" i="34"/>
  <c r="L69" i="34" s="1"/>
  <c r="I66" i="34"/>
  <c r="L66" i="34" s="1"/>
  <c r="I64" i="34"/>
  <c r="L64" i="34" s="1"/>
  <c r="I62" i="34"/>
  <c r="L62" i="34" s="1"/>
  <c r="I59" i="34"/>
  <c r="L59" i="34" s="1"/>
  <c r="I77" i="34"/>
  <c r="L77" i="34" s="1"/>
  <c r="I72" i="34"/>
  <c r="L72" i="34" s="1"/>
  <c r="I70" i="34"/>
  <c r="L70" i="34" s="1"/>
  <c r="I68" i="34"/>
  <c r="L68" i="34" s="1"/>
  <c r="I65" i="34"/>
  <c r="L65" i="34" s="1"/>
  <c r="I63" i="34"/>
  <c r="L63" i="34" s="1"/>
  <c r="I60" i="34"/>
  <c r="L60" i="34" s="1"/>
  <c r="J8" i="34"/>
  <c r="M8" i="34" s="1"/>
  <c r="J20" i="34"/>
  <c r="M20" i="34" s="1"/>
  <c r="N28" i="34"/>
  <c r="I16" i="34"/>
  <c r="L16" i="34" s="1"/>
  <c r="I10" i="34"/>
  <c r="L10" i="34" s="1"/>
  <c r="I17" i="34"/>
  <c r="L17" i="34" s="1"/>
  <c r="N17" i="34" s="1"/>
  <c r="I11" i="34"/>
  <c r="L11" i="34" s="1"/>
  <c r="I18" i="34"/>
  <c r="L18" i="34" s="1"/>
  <c r="I12" i="34"/>
  <c r="L12" i="34" s="1"/>
  <c r="I29" i="34"/>
  <c r="L29" i="34" s="1"/>
  <c r="J7" i="34"/>
  <c r="M7" i="34" s="1"/>
  <c r="J19" i="34"/>
  <c r="M19" i="34" s="1"/>
  <c r="H1014" i="23"/>
  <c r="K1014" i="23" s="1"/>
  <c r="H1017" i="23"/>
  <c r="K1017" i="23" s="1"/>
  <c r="H1015" i="23"/>
  <c r="K1015" i="23" s="1"/>
  <c r="J10" i="34"/>
  <c r="M10" i="34" s="1"/>
  <c r="J12" i="34"/>
  <c r="M12" i="34" s="1"/>
  <c r="N12" i="34" s="1"/>
  <c r="I1010" i="23"/>
  <c r="L1010" i="23" s="1"/>
  <c r="I1017" i="23"/>
  <c r="L1017" i="23" s="1"/>
  <c r="I1011" i="23"/>
  <c r="L1011" i="23" s="1"/>
  <c r="J14" i="34"/>
  <c r="M14" i="34" s="1"/>
  <c r="I1012" i="23"/>
  <c r="L1012" i="23" s="1"/>
  <c r="I53" i="34"/>
  <c r="L53" i="34" s="1"/>
  <c r="I1016" i="23"/>
  <c r="L1016" i="23" s="1"/>
  <c r="I1013" i="23"/>
  <c r="L1013" i="23" s="1"/>
  <c r="J53" i="34"/>
  <c r="M53" i="34" s="1"/>
  <c r="J77" i="34"/>
  <c r="M77" i="34" s="1"/>
  <c r="J72" i="34"/>
  <c r="M72" i="34" s="1"/>
  <c r="J68" i="34"/>
  <c r="M68" i="34" s="1"/>
  <c r="N68" i="34" s="1"/>
  <c r="J63" i="34"/>
  <c r="M63" i="34" s="1"/>
  <c r="J78" i="34"/>
  <c r="M78" i="34" s="1"/>
  <c r="J69" i="34"/>
  <c r="M69" i="34" s="1"/>
  <c r="J64" i="34"/>
  <c r="M64" i="34" s="1"/>
  <c r="J70" i="34"/>
  <c r="M70" i="34" s="1"/>
  <c r="J65" i="34"/>
  <c r="M65" i="34" s="1"/>
  <c r="J60" i="34"/>
  <c r="M60" i="34" s="1"/>
  <c r="N60" i="34" s="1"/>
  <c r="J76" i="34"/>
  <c r="M76" i="34" s="1"/>
  <c r="J71" i="34"/>
  <c r="M71" i="34" s="1"/>
  <c r="J66" i="34"/>
  <c r="M66" i="34" s="1"/>
  <c r="J62" i="34"/>
  <c r="M62" i="34" s="1"/>
  <c r="N62" i="34" s="1"/>
  <c r="J59" i="34"/>
  <c r="M59" i="34" s="1"/>
  <c r="N59" i="34" s="1"/>
  <c r="J11" i="34"/>
  <c r="M11" i="34" s="1"/>
  <c r="I1014" i="23"/>
  <c r="L1014" i="23" s="1"/>
  <c r="I1015" i="23"/>
  <c r="L1015" i="23" s="1"/>
  <c r="H1016" i="23"/>
  <c r="K1016" i="23" s="1"/>
  <c r="J29" i="34"/>
  <c r="M29" i="34" s="1"/>
  <c r="J13" i="34"/>
  <c r="M13" i="34" s="1"/>
  <c r="I173" i="22"/>
  <c r="L173" i="22" s="1"/>
  <c r="I193" i="22"/>
  <c r="L193" i="22" s="1"/>
  <c r="I192" i="22"/>
  <c r="L192" i="22" s="1"/>
  <c r="I195" i="22"/>
  <c r="L195" i="22" s="1"/>
  <c r="I176" i="22"/>
  <c r="L176" i="22" s="1"/>
  <c r="I141" i="22"/>
  <c r="L141" i="22" s="1"/>
  <c r="I184" i="22"/>
  <c r="L184" i="22" s="1"/>
  <c r="J173" i="22"/>
  <c r="M173" i="22" s="1"/>
  <c r="J193" i="22"/>
  <c r="M193" i="22" s="1"/>
  <c r="J192" i="22"/>
  <c r="M192" i="22" s="1"/>
  <c r="J195" i="22"/>
  <c r="M195" i="22" s="1"/>
  <c r="J176" i="22"/>
  <c r="M176" i="22" s="1"/>
  <c r="J194" i="22"/>
  <c r="M194" i="22" s="1"/>
  <c r="J183" i="22"/>
  <c r="M183" i="22" s="1"/>
  <c r="J186" i="22"/>
  <c r="M186" i="22" s="1"/>
  <c r="J212" i="22"/>
  <c r="M212" i="22" s="1"/>
  <c r="J202" i="22"/>
  <c r="M202" i="22" s="1"/>
  <c r="J177" i="22"/>
  <c r="M177" i="22" s="1"/>
  <c r="J213" i="22"/>
  <c r="M213" i="22" s="1"/>
  <c r="J203" i="22"/>
  <c r="M203" i="22" s="1"/>
  <c r="J215" i="22"/>
  <c r="M215" i="22" s="1"/>
  <c r="J205" i="22"/>
  <c r="M205" i="22" s="1"/>
  <c r="I200" i="22"/>
  <c r="L200" i="22" s="1"/>
  <c r="I210" i="22"/>
  <c r="L210" i="22" s="1"/>
  <c r="I190" i="22"/>
  <c r="L190" i="22" s="1"/>
  <c r="I191" i="22"/>
  <c r="L191" i="22" s="1"/>
  <c r="I188" i="22"/>
  <c r="L188" i="22" s="1"/>
  <c r="I133" i="22"/>
  <c r="L133" i="22" s="1"/>
  <c r="I203" i="22"/>
  <c r="L203" i="22" s="1"/>
  <c r="I213" i="22"/>
  <c r="L213" i="22" s="1"/>
  <c r="I215" i="22"/>
  <c r="L215" i="22" s="1"/>
  <c r="I205" i="22"/>
  <c r="L205" i="22" s="1"/>
  <c r="J197" i="22"/>
  <c r="M197" i="22" s="1"/>
  <c r="J217" i="22"/>
  <c r="M217" i="22" s="1"/>
  <c r="J207" i="22"/>
  <c r="M207" i="22" s="1"/>
  <c r="J211" i="22"/>
  <c r="M211" i="22" s="1"/>
  <c r="J201" i="22"/>
  <c r="M201" i="22" s="1"/>
  <c r="J210" i="22"/>
  <c r="M210" i="22" s="1"/>
  <c r="J200" i="22"/>
  <c r="M200" i="22" s="1"/>
  <c r="J191" i="22"/>
  <c r="M191" i="22" s="1"/>
  <c r="J188" i="22"/>
  <c r="M188" i="22" s="1"/>
  <c r="J133" i="22"/>
  <c r="M133" i="22" s="1"/>
  <c r="J204" i="22"/>
  <c r="M204" i="22" s="1"/>
  <c r="J214" i="22"/>
  <c r="M214" i="22" s="1"/>
  <c r="J206" i="22"/>
  <c r="M206" i="22" s="1"/>
  <c r="J216" i="22"/>
  <c r="M216" i="22" s="1"/>
  <c r="J185" i="22"/>
  <c r="M185" i="22" s="1"/>
  <c r="J174" i="22"/>
  <c r="M174" i="22" s="1"/>
  <c r="I189" i="22"/>
  <c r="L189" i="22" s="1"/>
  <c r="I187" i="22"/>
  <c r="L187" i="22" s="1"/>
  <c r="I178" i="22"/>
  <c r="L178" i="22" s="1"/>
  <c r="I119" i="22"/>
  <c r="L119" i="22" s="1"/>
  <c r="I214" i="22"/>
  <c r="L214" i="22" s="1"/>
  <c r="I204" i="22"/>
  <c r="L204" i="22" s="1"/>
  <c r="I216" i="22"/>
  <c r="L216" i="22" s="1"/>
  <c r="I206" i="22"/>
  <c r="L206" i="22" s="1"/>
  <c r="I185" i="22"/>
  <c r="L185" i="22" s="1"/>
  <c r="I174" i="22"/>
  <c r="L174" i="22" s="1"/>
  <c r="J189" i="22"/>
  <c r="M189" i="22" s="1"/>
  <c r="J187" i="22"/>
  <c r="M187" i="22" s="1"/>
  <c r="J175" i="22"/>
  <c r="M175" i="22" s="1"/>
  <c r="J196" i="22"/>
  <c r="M196" i="22" s="1"/>
  <c r="I194" i="22"/>
  <c r="L194" i="22" s="1"/>
  <c r="I175" i="22"/>
  <c r="L175" i="22" s="1"/>
  <c r="I154" i="22"/>
  <c r="L154" i="22" s="1"/>
  <c r="I183" i="22"/>
  <c r="L183" i="22" s="1"/>
  <c r="I196" i="22"/>
  <c r="L196" i="22" s="1"/>
  <c r="J154" i="22"/>
  <c r="M154" i="22" s="1"/>
  <c r="J141" i="22"/>
  <c r="M141" i="22" s="1"/>
  <c r="J184" i="22"/>
  <c r="M184" i="22" s="1"/>
  <c r="I153" i="22"/>
  <c r="L153" i="22" s="1"/>
  <c r="I140" i="22"/>
  <c r="L140" i="22" s="1"/>
  <c r="I181" i="22"/>
  <c r="L181" i="22" s="1"/>
  <c r="I182" i="22"/>
  <c r="L182" i="22" s="1"/>
  <c r="I180" i="22"/>
  <c r="L180" i="22" s="1"/>
  <c r="I179" i="22"/>
  <c r="L179" i="22" s="1"/>
  <c r="J147" i="22"/>
  <c r="M147" i="22" s="1"/>
  <c r="J160" i="22"/>
  <c r="M160" i="22" s="1"/>
  <c r="J146" i="22"/>
  <c r="M146" i="22" s="1"/>
  <c r="J159" i="22"/>
  <c r="M159" i="22" s="1"/>
  <c r="J140" i="22"/>
  <c r="M140" i="22" s="1"/>
  <c r="J153" i="22"/>
  <c r="M153" i="22" s="1"/>
  <c r="I143" i="22"/>
  <c r="L143" i="22" s="1"/>
  <c r="I156" i="22"/>
  <c r="L156" i="22" s="1"/>
  <c r="J190" i="22"/>
  <c r="M190" i="22" s="1"/>
  <c r="J156" i="22"/>
  <c r="M156" i="22" s="1"/>
  <c r="J143" i="22"/>
  <c r="M143" i="22" s="1"/>
  <c r="J182" i="22"/>
  <c r="M182" i="22" s="1"/>
  <c r="J180" i="22"/>
  <c r="M180" i="22" s="1"/>
  <c r="J179" i="22"/>
  <c r="M179" i="22" s="1"/>
  <c r="J181" i="22"/>
  <c r="M181" i="22" s="1"/>
  <c r="I150" i="22"/>
  <c r="L150" i="22" s="1"/>
  <c r="I137" i="22"/>
  <c r="L137" i="22" s="1"/>
  <c r="I151" i="22"/>
  <c r="L151" i="22" s="1"/>
  <c r="I138" i="22"/>
  <c r="L138" i="22" s="1"/>
  <c r="I139" i="22"/>
  <c r="L139" i="22" s="1"/>
  <c r="I152" i="22"/>
  <c r="L152" i="22" s="1"/>
  <c r="J178" i="22"/>
  <c r="M178" i="22" s="1"/>
  <c r="J137" i="22"/>
  <c r="M137" i="22" s="1"/>
  <c r="J150" i="22"/>
  <c r="M150" i="22" s="1"/>
  <c r="J138" i="22"/>
  <c r="M138" i="22" s="1"/>
  <c r="J151" i="22"/>
  <c r="M151" i="22" s="1"/>
  <c r="J139" i="22"/>
  <c r="M139" i="22" s="1"/>
  <c r="J152" i="22"/>
  <c r="M152" i="22" s="1"/>
  <c r="I120" i="22"/>
  <c r="L120" i="22" s="1"/>
  <c r="I126" i="22"/>
  <c r="L126" i="22" s="1"/>
  <c r="J126" i="22"/>
  <c r="M126" i="22" s="1"/>
  <c r="I108" i="22"/>
  <c r="L108" i="22" s="1"/>
  <c r="I98" i="22"/>
  <c r="L98" i="22" s="1"/>
  <c r="I99" i="22"/>
  <c r="L99" i="22" s="1"/>
  <c r="I109" i="22"/>
  <c r="L109" i="22" s="1"/>
  <c r="I110" i="22"/>
  <c r="L110" i="22" s="1"/>
  <c r="I100" i="22"/>
  <c r="L100" i="22" s="1"/>
  <c r="J127" i="22"/>
  <c r="M127" i="22" s="1"/>
  <c r="I169" i="22"/>
  <c r="L169" i="22" s="1"/>
  <c r="I111" i="22"/>
  <c r="L111" i="22" s="1"/>
  <c r="J114" i="22"/>
  <c r="M114" i="22" s="1"/>
  <c r="J104" i="22"/>
  <c r="M104" i="22" s="1"/>
  <c r="J148" i="22"/>
  <c r="M148" i="22" s="1"/>
  <c r="J113" i="22"/>
  <c r="M113" i="22" s="1"/>
  <c r="J103" i="22"/>
  <c r="M103" i="22" s="1"/>
  <c r="J169" i="22"/>
  <c r="M169" i="22" s="1"/>
  <c r="J118" i="22"/>
  <c r="M118" i="22" s="1"/>
  <c r="J98" i="22"/>
  <c r="M98" i="22" s="1"/>
  <c r="J108" i="22"/>
  <c r="M108" i="22" s="1"/>
  <c r="J119" i="22"/>
  <c r="M119" i="22" s="1"/>
  <c r="J99" i="22"/>
  <c r="M99" i="22" s="1"/>
  <c r="J109" i="22"/>
  <c r="M109" i="22" s="1"/>
  <c r="J100" i="22"/>
  <c r="M100" i="22" s="1"/>
  <c r="J120" i="22"/>
  <c r="M120" i="22" s="1"/>
  <c r="J110" i="22"/>
  <c r="M110" i="22" s="1"/>
  <c r="J116" i="22"/>
  <c r="M116" i="22" s="1"/>
  <c r="J121" i="22"/>
  <c r="M121" i="22" s="1"/>
  <c r="J111" i="22"/>
  <c r="M111" i="22" s="1"/>
  <c r="J106" i="22"/>
  <c r="M106" i="22" s="1"/>
  <c r="I161" i="22"/>
  <c r="L161" i="22" s="1"/>
  <c r="I101" i="22"/>
  <c r="L101" i="22" s="1"/>
  <c r="H406" i="23"/>
  <c r="K406" i="23" s="1"/>
  <c r="J161" i="22"/>
  <c r="M161" i="22" s="1"/>
  <c r="J163" i="22"/>
  <c r="M163" i="22" s="1"/>
  <c r="J95" i="22"/>
  <c r="J101" i="22"/>
  <c r="M101" i="22" s="1"/>
  <c r="J105" i="22"/>
  <c r="M105" i="22" s="1"/>
  <c r="I406" i="23"/>
  <c r="L406" i="23" s="1"/>
  <c r="H432" i="23"/>
  <c r="K432" i="23" s="1"/>
  <c r="H422" i="23"/>
  <c r="K422" i="23" s="1"/>
  <c r="H413" i="23"/>
  <c r="K413" i="23" s="1"/>
  <c r="H403" i="23"/>
  <c r="K403" i="23" s="1"/>
  <c r="I413" i="23"/>
  <c r="L413" i="23" s="1"/>
  <c r="I403" i="23"/>
  <c r="L403" i="23" s="1"/>
  <c r="I432" i="23"/>
  <c r="L432" i="23" s="1"/>
  <c r="I422" i="23"/>
  <c r="L422" i="23" s="1"/>
  <c r="I404" i="23"/>
  <c r="L404" i="23" s="1"/>
  <c r="I433" i="23"/>
  <c r="L433" i="23" s="1"/>
  <c r="I423" i="23"/>
  <c r="L423" i="23" s="1"/>
  <c r="I414" i="23"/>
  <c r="L414" i="23" s="1"/>
  <c r="J59" i="22"/>
  <c r="I60" i="22"/>
  <c r="J61" i="22"/>
  <c r="I59" i="22"/>
  <c r="I61" i="22"/>
  <c r="J60" i="22"/>
  <c r="J57" i="22"/>
  <c r="I57" i="22"/>
  <c r="I416" i="23"/>
  <c r="L416" i="23" s="1"/>
  <c r="H416" i="23"/>
  <c r="K416" i="23" s="1"/>
  <c r="I779" i="23"/>
  <c r="L779" i="23" s="1"/>
  <c r="H779" i="23"/>
  <c r="K779" i="23" s="1"/>
  <c r="H781" i="23"/>
  <c r="K781" i="23" s="1"/>
  <c r="I781" i="23"/>
  <c r="L781" i="23" s="1"/>
  <c r="I782" i="23"/>
  <c r="L782" i="23" s="1"/>
  <c r="H780" i="23"/>
  <c r="K780" i="23" s="1"/>
  <c r="I780" i="23"/>
  <c r="L780" i="23" s="1"/>
  <c r="I778" i="23"/>
  <c r="L778" i="23" s="1"/>
  <c r="H426" i="23"/>
  <c r="K426" i="23" s="1"/>
  <c r="H436" i="23"/>
  <c r="K436" i="23" s="1"/>
  <c r="I425" i="23"/>
  <c r="L425" i="23" s="1"/>
  <c r="H425" i="23"/>
  <c r="K425" i="23" s="1"/>
  <c r="I427" i="23"/>
  <c r="L427" i="23" s="1"/>
  <c r="I424" i="23"/>
  <c r="L424" i="23" s="1"/>
  <c r="I420" i="23"/>
  <c r="L420" i="23" s="1"/>
  <c r="H427" i="23"/>
  <c r="K427" i="23" s="1"/>
  <c r="H424" i="23"/>
  <c r="K424" i="23" s="1"/>
  <c r="I421" i="23"/>
  <c r="L421" i="23" s="1"/>
  <c r="H421" i="23"/>
  <c r="K421" i="23" s="1"/>
  <c r="I426" i="23"/>
  <c r="L426" i="23" s="1"/>
  <c r="I436" i="23"/>
  <c r="L436" i="23" s="1"/>
  <c r="I183" i="20"/>
  <c r="I349" i="20"/>
  <c r="I334" i="20"/>
  <c r="I341" i="20"/>
  <c r="I350" i="20"/>
  <c r="I524" i="20"/>
  <c r="K524" i="20"/>
  <c r="I398" i="20"/>
  <c r="K398" i="20"/>
  <c r="I789" i="20"/>
  <c r="K789" i="20"/>
  <c r="I204" i="20"/>
  <c r="I318" i="20"/>
  <c r="I248" i="20"/>
  <c r="I185" i="20"/>
  <c r="I242" i="20"/>
  <c r="I277" i="20"/>
  <c r="I193" i="20"/>
  <c r="I300" i="20"/>
  <c r="I297" i="20"/>
  <c r="I211" i="20"/>
  <c r="I302" i="20"/>
  <c r="I286" i="20"/>
  <c r="I127" i="20"/>
  <c r="I260" i="20"/>
  <c r="I337" i="20"/>
  <c r="I274" i="20"/>
  <c r="I304" i="20"/>
  <c r="I226" i="20"/>
  <c r="I632" i="20"/>
  <c r="K632" i="20"/>
  <c r="I437" i="20"/>
  <c r="K437" i="20"/>
  <c r="I550" i="20"/>
  <c r="K550" i="20"/>
  <c r="I580" i="20"/>
  <c r="K580" i="20"/>
  <c r="I418" i="20"/>
  <c r="K418" i="20"/>
  <c r="I663" i="20"/>
  <c r="K663" i="20"/>
  <c r="I399" i="20"/>
  <c r="K399" i="20"/>
  <c r="I496" i="20"/>
  <c r="K496" i="20"/>
  <c r="I175" i="20"/>
  <c r="I289" i="20"/>
  <c r="I333" i="20"/>
  <c r="I247" i="20"/>
  <c r="I315" i="20"/>
  <c r="I287" i="20"/>
  <c r="I520" i="20"/>
  <c r="K520" i="20"/>
  <c r="I658" i="20"/>
  <c r="K658" i="20"/>
  <c r="I317" i="20"/>
  <c r="I319" i="20"/>
  <c r="I173" i="20"/>
  <c r="I313" i="20"/>
  <c r="I326" i="20"/>
  <c r="I160" i="20"/>
  <c r="I258" i="20"/>
  <c r="I254" i="20"/>
  <c r="I153" i="20"/>
  <c r="I305" i="20"/>
  <c r="I270" i="20"/>
  <c r="I179" i="20"/>
  <c r="I269" i="20"/>
  <c r="I281" i="20"/>
  <c r="I330" i="20"/>
  <c r="I264" i="20"/>
  <c r="I316" i="20"/>
  <c r="I161" i="20"/>
  <c r="I376" i="20"/>
  <c r="K376" i="20"/>
  <c r="I522" i="20"/>
  <c r="K522" i="20"/>
  <c r="I473" i="20"/>
  <c r="K473" i="20"/>
  <c r="I583" i="20"/>
  <c r="K583" i="20"/>
  <c r="I408" i="20"/>
  <c r="K408" i="20"/>
  <c r="I846" i="20"/>
  <c r="K846" i="20"/>
  <c r="I537" i="20"/>
  <c r="K537" i="20"/>
  <c r="I490" i="20"/>
  <c r="K490" i="20"/>
  <c r="I278" i="20"/>
  <c r="I308" i="20"/>
  <c r="I201" i="20"/>
  <c r="I42" i="20"/>
  <c r="I275" i="20"/>
  <c r="I310" i="20"/>
  <c r="I329" i="20"/>
  <c r="I504" i="20"/>
  <c r="K504" i="20"/>
  <c r="I176" i="20"/>
  <c r="I348" i="20"/>
  <c r="I294" i="20"/>
  <c r="I162" i="20"/>
  <c r="I244" i="20"/>
  <c r="I246" i="20"/>
  <c r="I137" i="20"/>
  <c r="I206" i="20"/>
  <c r="I210" i="20"/>
  <c r="I351" i="20"/>
  <c r="I181" i="20"/>
  <c r="I267" i="20"/>
  <c r="I331" i="20"/>
  <c r="I268" i="20"/>
  <c r="I282" i="20"/>
  <c r="I202" i="20"/>
  <c r="I284" i="20"/>
  <c r="I261" i="20"/>
  <c r="I212" i="20"/>
  <c r="I476" i="20"/>
  <c r="K476" i="20"/>
  <c r="I378" i="20"/>
  <c r="K378" i="20"/>
  <c r="I430" i="20"/>
  <c r="K430" i="20"/>
  <c r="I581" i="20"/>
  <c r="K581" i="20"/>
  <c r="I708" i="20"/>
  <c r="K708" i="20"/>
  <c r="I769" i="20"/>
  <c r="K769" i="20"/>
  <c r="I422" i="20"/>
  <c r="K422" i="20"/>
  <c r="I779" i="20"/>
  <c r="K779" i="20"/>
  <c r="I307" i="20"/>
  <c r="I126" i="20"/>
  <c r="I188" i="20"/>
  <c r="I257" i="20"/>
  <c r="I291" i="20"/>
  <c r="I209" i="20"/>
  <c r="I506" i="20"/>
  <c r="K506" i="20"/>
  <c r="I311" i="20"/>
  <c r="I352" i="20"/>
  <c r="I236" i="20"/>
  <c r="I166" i="20"/>
  <c r="I169" i="20"/>
  <c r="I167" i="20"/>
  <c r="I245" i="20"/>
  <c r="I273" i="20"/>
  <c r="I303" i="20"/>
  <c r="I336" i="20"/>
  <c r="I271" i="20"/>
  <c r="I262" i="20"/>
  <c r="I233" i="20"/>
  <c r="I129" i="20"/>
  <c r="I285" i="20"/>
  <c r="I124" i="20"/>
  <c r="I208" i="20"/>
  <c r="I230" i="20"/>
  <c r="I375" i="20"/>
  <c r="K375" i="20"/>
  <c r="I400" i="20"/>
  <c r="K400" i="20"/>
  <c r="I582" i="20"/>
  <c r="K582" i="20"/>
  <c r="I591" i="20"/>
  <c r="K591" i="20"/>
  <c r="I576" i="20"/>
  <c r="K576" i="20"/>
  <c r="I712" i="20"/>
  <c r="K712" i="20"/>
  <c r="I753" i="20"/>
  <c r="K753" i="20"/>
  <c r="I847" i="20"/>
  <c r="K847" i="20"/>
  <c r="I205" i="20"/>
  <c r="I128" i="20"/>
  <c r="I328" i="20"/>
  <c r="I306" i="20"/>
  <c r="I134" i="20"/>
  <c r="I525" i="20"/>
  <c r="K525" i="20"/>
  <c r="I597" i="20"/>
  <c r="K597" i="20"/>
  <c r="I698" i="20"/>
  <c r="K698" i="20"/>
  <c r="I770" i="20"/>
  <c r="K770" i="20"/>
  <c r="I243" i="20"/>
  <c r="I235" i="20"/>
  <c r="I241" i="20"/>
  <c r="I292" i="20"/>
  <c r="I149" i="20"/>
  <c r="I182" i="20"/>
  <c r="I276" i="20"/>
  <c r="I298" i="20"/>
  <c r="I339" i="20"/>
  <c r="I155" i="20"/>
  <c r="I309" i="20"/>
  <c r="I290" i="20"/>
  <c r="I288" i="20"/>
  <c r="I280" i="20"/>
  <c r="I265" i="20"/>
  <c r="I272" i="20"/>
  <c r="I195" i="20"/>
  <c r="I500" i="20"/>
  <c r="K500" i="20"/>
  <c r="I539" i="20"/>
  <c r="K539" i="20"/>
  <c r="I534" i="20"/>
  <c r="K534" i="20"/>
  <c r="I474" i="20"/>
  <c r="K474" i="20"/>
  <c r="I131" i="20"/>
  <c r="K131" i="20"/>
  <c r="I728" i="20"/>
  <c r="K728" i="20"/>
  <c r="I478" i="20"/>
  <c r="K478" i="20"/>
  <c r="I714" i="20"/>
  <c r="K714" i="20"/>
  <c r="I138" i="20"/>
  <c r="I187" i="20"/>
  <c r="I232" i="20"/>
  <c r="I229" i="20"/>
  <c r="I589" i="20"/>
  <c r="K589" i="20"/>
  <c r="I363" i="20"/>
  <c r="K363" i="20"/>
  <c r="I575" i="20"/>
  <c r="K575" i="20"/>
  <c r="I791" i="20"/>
  <c r="K791" i="20"/>
  <c r="I321" i="20"/>
  <c r="I347" i="20"/>
  <c r="I146" i="20"/>
  <c r="I322" i="20"/>
  <c r="I159" i="20"/>
  <c r="I180" i="20"/>
  <c r="I279" i="20"/>
  <c r="I220" i="20"/>
  <c r="I301" i="20"/>
  <c r="I190" i="20"/>
  <c r="I231" i="20"/>
  <c r="I234" i="20"/>
  <c r="I283" i="20"/>
  <c r="I340" i="20"/>
  <c r="I135" i="20"/>
  <c r="I263" i="20"/>
  <c r="I125" i="20"/>
  <c r="I147" i="20"/>
  <c r="I459" i="20"/>
  <c r="K459" i="20"/>
  <c r="I364" i="20"/>
  <c r="K364" i="20"/>
  <c r="I593" i="20"/>
  <c r="K593" i="20"/>
  <c r="I508" i="20"/>
  <c r="K508" i="20"/>
  <c r="I542" i="20"/>
  <c r="K542" i="20"/>
  <c r="I700" i="20"/>
  <c r="K700" i="20"/>
  <c r="I792" i="20"/>
  <c r="K792" i="20"/>
  <c r="I726" i="20"/>
  <c r="K726" i="20"/>
  <c r="I192" i="20"/>
  <c r="I790" i="20"/>
  <c r="K790" i="20"/>
  <c r="I86" i="22"/>
  <c r="J86" i="22"/>
  <c r="I93" i="22"/>
  <c r="I84" i="22"/>
  <c r="J93" i="22"/>
  <c r="J84" i="22"/>
  <c r="I92" i="22"/>
  <c r="I85" i="22"/>
  <c r="J92" i="22"/>
  <c r="J85" i="22"/>
  <c r="I81" i="22"/>
  <c r="I90" i="22"/>
  <c r="I87" i="22"/>
  <c r="I83" i="22"/>
  <c r="J90" i="22"/>
  <c r="J87" i="22"/>
  <c r="J83" i="22"/>
  <c r="J81" i="22"/>
  <c r="J291" i="20"/>
  <c r="V1283" i="1"/>
  <c r="U1283" i="1"/>
  <c r="V1282" i="1"/>
  <c r="U1282" i="1"/>
  <c r="V1280" i="1"/>
  <c r="U1280" i="1"/>
  <c r="T1200" i="1"/>
  <c r="T1198" i="1"/>
  <c r="T1196" i="1"/>
  <c r="T1195" i="1"/>
  <c r="T1194" i="1"/>
  <c r="T1193" i="1"/>
  <c r="T1192" i="1"/>
  <c r="T1191" i="1"/>
  <c r="T1180" i="1"/>
  <c r="T1178" i="1"/>
  <c r="T1177" i="1"/>
  <c r="T1176" i="1"/>
  <c r="T941" i="1"/>
  <c r="T940" i="1"/>
  <c r="T939" i="1"/>
  <c r="T938" i="1"/>
  <c r="T937" i="1"/>
  <c r="T936" i="1"/>
  <c r="T935" i="1"/>
  <c r="T934" i="1"/>
  <c r="T933" i="1"/>
  <c r="T932" i="1"/>
  <c r="T931" i="1"/>
  <c r="T930" i="1"/>
  <c r="T929" i="1"/>
  <c r="T928" i="1"/>
  <c r="T927" i="1"/>
  <c r="T926" i="1"/>
  <c r="G56" i="31"/>
  <c r="H56" i="31" s="1"/>
  <c r="G57" i="31"/>
  <c r="H57" i="31" s="1"/>
  <c r="G58" i="31"/>
  <c r="H58" i="31" s="1"/>
  <c r="G6" i="31"/>
  <c r="H6" i="31" s="1"/>
  <c r="G7" i="31"/>
  <c r="H7" i="31" s="1"/>
  <c r="G8" i="31"/>
  <c r="H8" i="31" s="1"/>
  <c r="G9" i="31"/>
  <c r="H9" i="31" s="1"/>
  <c r="G10" i="31"/>
  <c r="H10" i="31" s="1"/>
  <c r="G11" i="31"/>
  <c r="H11" i="31" s="1"/>
  <c r="F534" i="1" s="1"/>
  <c r="G12" i="31"/>
  <c r="H12" i="31" s="1"/>
  <c r="G13" i="31"/>
  <c r="H13" i="31" s="1"/>
  <c r="G14" i="31"/>
  <c r="H14" i="31" s="1"/>
  <c r="G15" i="31"/>
  <c r="H15" i="31" s="1"/>
  <c r="G16" i="31"/>
  <c r="H16" i="31" s="1"/>
  <c r="G17" i="31"/>
  <c r="H17" i="31" s="1"/>
  <c r="G18" i="31"/>
  <c r="H18" i="31" s="1"/>
  <c r="G19" i="31"/>
  <c r="H19" i="31" s="1"/>
  <c r="G20" i="31"/>
  <c r="H20" i="31" s="1"/>
  <c r="G21" i="31"/>
  <c r="H21" i="31" s="1"/>
  <c r="G22" i="31"/>
  <c r="H22" i="31" s="1"/>
  <c r="G23" i="31"/>
  <c r="H23" i="31" s="1"/>
  <c r="G24" i="31"/>
  <c r="H24" i="31" s="1"/>
  <c r="G25" i="31"/>
  <c r="H25" i="31" s="1"/>
  <c r="G26" i="31"/>
  <c r="H26" i="31" s="1"/>
  <c r="G27" i="31"/>
  <c r="H27" i="31" s="1"/>
  <c r="G28" i="31"/>
  <c r="H28" i="31" s="1"/>
  <c r="G29" i="31"/>
  <c r="H29" i="31" s="1"/>
  <c r="G30" i="31"/>
  <c r="H30" i="31" s="1"/>
  <c r="G31" i="31"/>
  <c r="H31" i="31" s="1"/>
  <c r="G32" i="31"/>
  <c r="H32" i="31" s="1"/>
  <c r="G33" i="31"/>
  <c r="H33" i="31" s="1"/>
  <c r="F703" i="1" s="1"/>
  <c r="G34" i="31"/>
  <c r="H34" i="31" s="1"/>
  <c r="G35" i="31"/>
  <c r="H35" i="31" s="1"/>
  <c r="G36" i="31"/>
  <c r="H36" i="31" s="1"/>
  <c r="G37" i="31"/>
  <c r="H37" i="31" s="1"/>
  <c r="G38" i="31"/>
  <c r="H38" i="31" s="1"/>
  <c r="G39" i="31"/>
  <c r="H39" i="31" s="1"/>
  <c r="G40" i="31"/>
  <c r="H40" i="31" s="1"/>
  <c r="G41" i="31"/>
  <c r="H41" i="31" s="1"/>
  <c r="H42" i="31"/>
  <c r="G43" i="31"/>
  <c r="H43" i="31" s="1"/>
  <c r="G44" i="31"/>
  <c r="H44" i="31" s="1"/>
  <c r="G45" i="31"/>
  <c r="H45" i="31" s="1"/>
  <c r="G46" i="31"/>
  <c r="H46" i="31" s="1"/>
  <c r="G47" i="31"/>
  <c r="H47" i="31" s="1"/>
  <c r="G48" i="31"/>
  <c r="H48" i="31" s="1"/>
  <c r="G49" i="31"/>
  <c r="H49" i="31" s="1"/>
  <c r="G50" i="31"/>
  <c r="H50" i="31" s="1"/>
  <c r="G51" i="31"/>
  <c r="H51" i="31" s="1"/>
  <c r="G52" i="31"/>
  <c r="H52" i="31" s="1"/>
  <c r="G53" i="31"/>
  <c r="H53" i="31" s="1"/>
  <c r="G54" i="31"/>
  <c r="H54" i="31" s="1"/>
  <c r="G55" i="31"/>
  <c r="H55" i="31" s="1"/>
  <c r="G5" i="31"/>
  <c r="N29" i="34" l="1"/>
  <c r="L48" i="2"/>
  <c r="K718" i="2"/>
  <c r="N71" i="34"/>
  <c r="L43" i="2"/>
  <c r="K290" i="2"/>
  <c r="K53" i="2"/>
  <c r="L23" i="2"/>
  <c r="K23" i="2"/>
  <c r="L84" i="2"/>
  <c r="L615" i="2"/>
  <c r="L127" i="2"/>
  <c r="L81" i="2"/>
  <c r="I6" i="7" s="1"/>
  <c r="L6" i="7" s="1"/>
  <c r="L161" i="2"/>
  <c r="I9" i="7" s="1"/>
  <c r="L9" i="7" s="1"/>
  <c r="L587" i="2"/>
  <c r="I21" i="7" s="1"/>
  <c r="L21" i="7" s="1"/>
  <c r="L650" i="2"/>
  <c r="L676" i="2"/>
  <c r="L18" i="2"/>
  <c r="N70" i="34"/>
  <c r="K743" i="2"/>
  <c r="L802" i="2"/>
  <c r="K48" i="2"/>
  <c r="K8" i="2"/>
  <c r="L164" i="2"/>
  <c r="L721" i="2"/>
  <c r="L58" i="2"/>
  <c r="L428" i="2"/>
  <c r="L658" i="2"/>
  <c r="L342" i="2"/>
  <c r="L726" i="2"/>
  <c r="L862" i="2"/>
  <c r="I30" i="7" s="1"/>
  <c r="L30" i="7" s="1"/>
  <c r="L13" i="2"/>
  <c r="L61" i="2"/>
  <c r="L711" i="2"/>
  <c r="I27" i="7" s="1"/>
  <c r="L27" i="7" s="1"/>
  <c r="K278" i="2"/>
  <c r="L777" i="2"/>
  <c r="L718" i="2"/>
  <c r="L174" i="2"/>
  <c r="I10" i="7" s="1"/>
  <c r="L10" i="7" s="1"/>
  <c r="L212" i="2"/>
  <c r="L272" i="2"/>
  <c r="K38" i="2"/>
  <c r="L543" i="2"/>
  <c r="L1096" i="2"/>
  <c r="G11" i="15" s="1"/>
  <c r="G10" i="15" s="1"/>
  <c r="L943" i="2"/>
  <c r="I31" i="7" s="1"/>
  <c r="L31" i="7" s="1"/>
  <c r="K43" i="2"/>
  <c r="K543" i="2"/>
  <c r="L690" i="2"/>
  <c r="I24" i="7" s="1"/>
  <c r="L24" i="7" s="1"/>
  <c r="L369" i="2"/>
  <c r="L437" i="2"/>
  <c r="L445" i="2"/>
  <c r="L497" i="2"/>
  <c r="L399" i="2"/>
  <c r="L798" i="2"/>
  <c r="L743" i="2"/>
  <c r="L506" i="2"/>
  <c r="L133" i="2"/>
  <c r="L221" i="2"/>
  <c r="K786" i="2"/>
  <c r="L807" i="2"/>
  <c r="L729" i="2"/>
  <c r="L748" i="2"/>
  <c r="M15" i="11"/>
  <c r="E11" i="15" s="1"/>
  <c r="E10" i="15" s="1"/>
  <c r="L552" i="2"/>
  <c r="I116" i="11"/>
  <c r="L116" i="11" s="1"/>
  <c r="I106" i="11"/>
  <c r="L106" i="11" s="1"/>
  <c r="I145" i="11"/>
  <c r="L145" i="11" s="1"/>
  <c r="I158" i="11"/>
  <c r="L158" i="11" s="1"/>
  <c r="O133" i="19"/>
  <c r="P132" i="19"/>
  <c r="O127" i="19"/>
  <c r="P126" i="19"/>
  <c r="O120" i="19"/>
  <c r="O119" i="19"/>
  <c r="O114" i="19"/>
  <c r="O146" i="19"/>
  <c r="P145" i="19"/>
  <c r="P142" i="19"/>
  <c r="P140" i="19"/>
  <c r="O132" i="19"/>
  <c r="O131" i="19"/>
  <c r="O130" i="19"/>
  <c r="P129" i="19"/>
  <c r="O126" i="19"/>
  <c r="P125" i="19"/>
  <c r="O106" i="19"/>
  <c r="P105" i="19"/>
  <c r="P104" i="19"/>
  <c r="P103" i="19"/>
  <c r="P102" i="19"/>
  <c r="P101" i="19"/>
  <c r="P100" i="19"/>
  <c r="O99" i="19"/>
  <c r="O97" i="19"/>
  <c r="P93" i="19"/>
  <c r="P92" i="19"/>
  <c r="P91" i="19"/>
  <c r="O88" i="19"/>
  <c r="O86" i="19"/>
  <c r="P83" i="19"/>
  <c r="P82" i="19"/>
  <c r="P81" i="19"/>
  <c r="O140" i="19"/>
  <c r="Q140" i="19" s="1"/>
  <c r="O139" i="19"/>
  <c r="O138" i="19"/>
  <c r="O137" i="19"/>
  <c r="P136" i="19"/>
  <c r="O129" i="19"/>
  <c r="O125" i="19"/>
  <c r="Q125" i="19" s="1"/>
  <c r="O124" i="19"/>
  <c r="O123" i="19"/>
  <c r="P122" i="19"/>
  <c r="O112" i="19"/>
  <c r="P111" i="19"/>
  <c r="O108" i="19"/>
  <c r="O107" i="19"/>
  <c r="O105" i="19"/>
  <c r="O104" i="19"/>
  <c r="O103" i="19"/>
  <c r="O102" i="19"/>
  <c r="O101" i="19"/>
  <c r="O100" i="19"/>
  <c r="P94" i="19"/>
  <c r="O93" i="19"/>
  <c r="O92" i="19"/>
  <c r="O91" i="19"/>
  <c r="O84" i="19"/>
  <c r="O83" i="19"/>
  <c r="O82" i="19"/>
  <c r="Q82" i="19" s="1"/>
  <c r="O81" i="19"/>
  <c r="Q81" i="19" s="1"/>
  <c r="O80" i="19"/>
  <c r="O79" i="19"/>
  <c r="O78" i="19"/>
  <c r="O77" i="19"/>
  <c r="O76" i="19"/>
  <c r="O75" i="19"/>
  <c r="O113" i="19"/>
  <c r="P99" i="19"/>
  <c r="O94" i="19"/>
  <c r="Q94" i="19" s="1"/>
  <c r="O85" i="19"/>
  <c r="P77" i="19"/>
  <c r="P71" i="19"/>
  <c r="P70" i="19"/>
  <c r="P69" i="19"/>
  <c r="P68" i="19"/>
  <c r="P67" i="19"/>
  <c r="P66" i="19"/>
  <c r="P65" i="19"/>
  <c r="P64" i="19"/>
  <c r="P63" i="19"/>
  <c r="P62" i="19"/>
  <c r="P61" i="19"/>
  <c r="O57" i="19"/>
  <c r="O49" i="19"/>
  <c r="O48" i="19"/>
  <c r="O47" i="19"/>
  <c r="P40" i="19"/>
  <c r="P32" i="19"/>
  <c r="P31" i="19"/>
  <c r="P30" i="19"/>
  <c r="P29" i="19"/>
  <c r="P28" i="19"/>
  <c r="P18" i="19"/>
  <c r="O16" i="19"/>
  <c r="O12" i="19"/>
  <c r="O95" i="19"/>
  <c r="O87" i="19"/>
  <c r="P78" i="19"/>
  <c r="P74" i="19"/>
  <c r="O71" i="19"/>
  <c r="Q71" i="19" s="1"/>
  <c r="O70" i="19"/>
  <c r="O69" i="19"/>
  <c r="O68" i="19"/>
  <c r="O67" i="19"/>
  <c r="O66" i="19"/>
  <c r="Q66" i="19" s="1"/>
  <c r="O65" i="19"/>
  <c r="O64" i="19"/>
  <c r="Q64" i="19" s="1"/>
  <c r="O63" i="19"/>
  <c r="Q63" i="19" s="1"/>
  <c r="O62" i="19"/>
  <c r="O61" i="19"/>
  <c r="O45" i="19"/>
  <c r="O41" i="19"/>
  <c r="O40" i="19"/>
  <c r="P39" i="19"/>
  <c r="P33" i="19"/>
  <c r="O32" i="19"/>
  <c r="Q32" i="19" s="1"/>
  <c r="O31" i="19"/>
  <c r="O30" i="19"/>
  <c r="O29" i="19"/>
  <c r="P26" i="19"/>
  <c r="P24" i="19"/>
  <c r="O17" i="19"/>
  <c r="O13" i="19"/>
  <c r="O10" i="19"/>
  <c r="O7" i="19"/>
  <c r="O136" i="19"/>
  <c r="O135" i="19"/>
  <c r="O134" i="19"/>
  <c r="P133" i="19"/>
  <c r="O111" i="19"/>
  <c r="P110" i="19"/>
  <c r="O109" i="19"/>
  <c r="O96" i="19"/>
  <c r="P79" i="19"/>
  <c r="P75" i="19"/>
  <c r="O74" i="19"/>
  <c r="O59" i="19"/>
  <c r="P55" i="19"/>
  <c r="P54" i="19"/>
  <c r="P53" i="19"/>
  <c r="P52" i="19"/>
  <c r="O42" i="19"/>
  <c r="O39" i="19"/>
  <c r="P38" i="19"/>
  <c r="P37" i="19"/>
  <c r="P36" i="19"/>
  <c r="P35" i="19"/>
  <c r="P34" i="19"/>
  <c r="O33" i="19"/>
  <c r="P22" i="19"/>
  <c r="O14" i="19"/>
  <c r="O8" i="19"/>
  <c r="O122" i="19"/>
  <c r="P121" i="19"/>
  <c r="P80" i="19"/>
  <c r="P76" i="19"/>
  <c r="P57" i="19"/>
  <c r="O56" i="19"/>
  <c r="O55" i="19"/>
  <c r="O54" i="19"/>
  <c r="O53" i="19"/>
  <c r="O52" i="19"/>
  <c r="O50" i="19"/>
  <c r="P49" i="19"/>
  <c r="P48" i="19"/>
  <c r="P47" i="19"/>
  <c r="O46" i="19"/>
  <c r="O43" i="19"/>
  <c r="O38" i="19"/>
  <c r="O37" i="19"/>
  <c r="O36" i="19"/>
  <c r="O35" i="19"/>
  <c r="O34" i="19"/>
  <c r="P20" i="19"/>
  <c r="O15" i="19"/>
  <c r="O11" i="19"/>
  <c r="O9" i="19"/>
  <c r="O6" i="19"/>
  <c r="P8" i="19"/>
  <c r="P25" i="19"/>
  <c r="P59" i="19"/>
  <c r="P10" i="19"/>
  <c r="O20" i="19"/>
  <c r="O51" i="19"/>
  <c r="P95" i="19"/>
  <c r="P19" i="19"/>
  <c r="P130" i="19"/>
  <c r="P15" i="19"/>
  <c r="O25" i="19"/>
  <c r="P46" i="19"/>
  <c r="P107" i="19"/>
  <c r="P86" i="19"/>
  <c r="P106" i="19"/>
  <c r="P144" i="19"/>
  <c r="P96" i="19"/>
  <c r="P120" i="19"/>
  <c r="P135" i="19"/>
  <c r="P137" i="19"/>
  <c r="O128" i="19"/>
  <c r="P138" i="19"/>
  <c r="O145" i="19"/>
  <c r="P14" i="19"/>
  <c r="O27" i="19"/>
  <c r="P84" i="19"/>
  <c r="P13" i="19"/>
  <c r="P27" i="19"/>
  <c r="O58" i="19"/>
  <c r="O21" i="19"/>
  <c r="P58" i="19"/>
  <c r="O143" i="19"/>
  <c r="P6" i="19"/>
  <c r="P21" i="19"/>
  <c r="O26" i="19"/>
  <c r="P50" i="19"/>
  <c r="P123" i="19"/>
  <c r="P88" i="19"/>
  <c r="O118" i="19"/>
  <c r="O110" i="19"/>
  <c r="P141" i="19"/>
  <c r="P109" i="19"/>
  <c r="P139" i="19"/>
  <c r="O18" i="19"/>
  <c r="O28" i="19"/>
  <c r="P112" i="19"/>
  <c r="P17" i="19"/>
  <c r="P41" i="19"/>
  <c r="P87" i="19"/>
  <c r="P131" i="19"/>
  <c r="P12" i="19"/>
  <c r="O22" i="19"/>
  <c r="Q22" i="19" s="1"/>
  <c r="P85" i="19"/>
  <c r="O144" i="19"/>
  <c r="P9" i="19"/>
  <c r="O23" i="19"/>
  <c r="P43" i="19"/>
  <c r="P56" i="19"/>
  <c r="O141" i="19"/>
  <c r="P119" i="19"/>
  <c r="P114" i="19"/>
  <c r="P127" i="19"/>
  <c r="P143" i="19"/>
  <c r="P113" i="19"/>
  <c r="O148" i="19"/>
  <c r="O98" i="19"/>
  <c r="O147" i="19"/>
  <c r="P23" i="19"/>
  <c r="P42" i="19"/>
  <c r="P148" i="19"/>
  <c r="P7" i="19"/>
  <c r="O19" i="19"/>
  <c r="Q19" i="19" s="1"/>
  <c r="P45" i="19"/>
  <c r="O89" i="19"/>
  <c r="P146" i="19"/>
  <c r="P16" i="19"/>
  <c r="O44" i="19"/>
  <c r="P108" i="19"/>
  <c r="P11" i="19"/>
  <c r="O24" i="19"/>
  <c r="P44" i="19"/>
  <c r="O60" i="19"/>
  <c r="P97" i="19"/>
  <c r="O121" i="19"/>
  <c r="O90" i="19"/>
  <c r="P118" i="19"/>
  <c r="P134" i="19"/>
  <c r="P124" i="19"/>
  <c r="O142" i="19"/>
  <c r="P128" i="19"/>
  <c r="P60" i="19"/>
  <c r="P147" i="19"/>
  <c r="P89" i="19"/>
  <c r="P98" i="19"/>
  <c r="P51" i="19"/>
  <c r="P90" i="19"/>
  <c r="N76" i="34"/>
  <c r="N64" i="34"/>
  <c r="L75" i="2"/>
  <c r="L38" i="2"/>
  <c r="L124" i="2"/>
  <c r="L418" i="2"/>
  <c r="L642" i="2"/>
  <c r="L597" i="2"/>
  <c r="L302" i="2"/>
  <c r="L326" i="2"/>
  <c r="I12" i="7" s="1"/>
  <c r="L12" i="7" s="1"/>
  <c r="L335" i="2"/>
  <c r="L733" i="2"/>
  <c r="L90" i="2"/>
  <c r="I7" i="7" s="1"/>
  <c r="L7" i="7" s="1"/>
  <c r="L559" i="2"/>
  <c r="L623" i="2"/>
  <c r="I22" i="7" s="1"/>
  <c r="L22" i="7" s="1"/>
  <c r="L771" i="2"/>
  <c r="L697" i="2"/>
  <c r="I25" i="7" s="1"/>
  <c r="L25" i="7" s="1"/>
  <c r="L385" i="2"/>
  <c r="L360" i="2"/>
  <c r="L786" i="2"/>
  <c r="L573" i="2"/>
  <c r="L568" i="2" s="1"/>
  <c r="M390" i="11"/>
  <c r="L107" i="2"/>
  <c r="I8" i="7" s="1"/>
  <c r="L8" i="7" s="1"/>
  <c r="L238" i="2"/>
  <c r="L826" i="2"/>
  <c r="L521" i="2"/>
  <c r="K783" i="2"/>
  <c r="K798" i="2"/>
  <c r="K559" i="2"/>
  <c r="L761" i="2"/>
  <c r="L605" i="2"/>
  <c r="L453" i="2"/>
  <c r="L632" i="2"/>
  <c r="I23" i="7" s="1"/>
  <c r="L23" i="7" s="1"/>
  <c r="L310" i="2"/>
  <c r="L378" i="2"/>
  <c r="L487" i="2"/>
  <c r="L783" i="2"/>
  <c r="L28" i="2"/>
  <c r="L278" i="2"/>
  <c r="L290" i="2"/>
  <c r="L191" i="2"/>
  <c r="I11" i="7" s="1"/>
  <c r="L11" i="7" s="1"/>
  <c r="L528" i="2"/>
  <c r="L265" i="2"/>
  <c r="H171" i="2"/>
  <c r="K171" i="2" s="1"/>
  <c r="K170" i="2" s="1"/>
  <c r="I146" i="11"/>
  <c r="L146" i="11" s="1"/>
  <c r="I159" i="11"/>
  <c r="L159" i="11" s="1"/>
  <c r="I103" i="11"/>
  <c r="L103" i="11" s="1"/>
  <c r="I113" i="11"/>
  <c r="L113" i="11" s="1"/>
  <c r="L215" i="2"/>
  <c r="L258" i="2"/>
  <c r="L704" i="2"/>
  <c r="I26" i="7" s="1"/>
  <c r="L26" i="7" s="1"/>
  <c r="L478" i="2"/>
  <c r="L68" i="2"/>
  <c r="L409" i="2"/>
  <c r="L579" i="2"/>
  <c r="I20" i="7" s="1"/>
  <c r="L20" i="7" s="1"/>
  <c r="L683" i="2"/>
  <c r="L668" i="2"/>
  <c r="L351" i="2"/>
  <c r="I13" i="7" s="1"/>
  <c r="L13" i="7" s="1"/>
  <c r="L766" i="2"/>
  <c r="L754" i="2"/>
  <c r="L460" i="2"/>
  <c r="K737" i="2"/>
  <c r="L536" i="2"/>
  <c r="L790" i="2"/>
  <c r="L317" i="2"/>
  <c r="L795" i="2"/>
  <c r="L737" i="2"/>
  <c r="L513" i="2"/>
  <c r="L147" i="2"/>
  <c r="L33" i="2"/>
  <c r="L844" i="2"/>
  <c r="I28" i="7" s="1"/>
  <c r="L28" i="7" s="1"/>
  <c r="L469" i="2"/>
  <c r="N66" i="34"/>
  <c r="N65" i="34"/>
  <c r="N78" i="34"/>
  <c r="N77" i="34"/>
  <c r="N18" i="34"/>
  <c r="N16" i="34"/>
  <c r="N11" i="34"/>
  <c r="N69" i="34"/>
  <c r="N63" i="34"/>
  <c r="N72" i="34"/>
  <c r="F1318" i="1"/>
  <c r="H144" i="4" s="1"/>
  <c r="K144" i="4" s="1"/>
  <c r="M148" i="4" s="1"/>
  <c r="F1288" i="1"/>
  <c r="I57" i="34" s="1"/>
  <c r="L57" i="34" s="1"/>
  <c r="N57" i="34" s="1"/>
  <c r="F1287" i="1"/>
  <c r="I56" i="34" s="1"/>
  <c r="L56" i="34" s="1"/>
  <c r="N56" i="34" s="1"/>
  <c r="F1274" i="1"/>
  <c r="I51" i="34" s="1"/>
  <c r="L51" i="34" s="1"/>
  <c r="N51" i="34" s="1"/>
  <c r="F1269" i="1"/>
  <c r="I43" i="34" s="1"/>
  <c r="L43" i="34" s="1"/>
  <c r="N43" i="34" s="1"/>
  <c r="F1271" i="1"/>
  <c r="I45" i="34" s="1"/>
  <c r="L45" i="34" s="1"/>
  <c r="N45" i="34" s="1"/>
  <c r="F1273" i="1"/>
  <c r="I50" i="34" s="1"/>
  <c r="L50" i="34" s="1"/>
  <c r="N50" i="34" s="1"/>
  <c r="F1270" i="1"/>
  <c r="I44" i="34" s="1"/>
  <c r="L44" i="34" s="1"/>
  <c r="N44" i="34" s="1"/>
  <c r="F1281" i="1"/>
  <c r="I55" i="34" s="1"/>
  <c r="L55" i="34" s="1"/>
  <c r="N55" i="34" s="1"/>
  <c r="F1279" i="1"/>
  <c r="I34" i="34" s="1"/>
  <c r="L34" i="34" s="1"/>
  <c r="N34" i="34" s="1"/>
  <c r="F1277" i="1"/>
  <c r="I32" i="34" s="1"/>
  <c r="L32" i="34" s="1"/>
  <c r="N32" i="34" s="1"/>
  <c r="F1276" i="1"/>
  <c r="I31" i="34" s="1"/>
  <c r="L31" i="34" s="1"/>
  <c r="N31" i="34" s="1"/>
  <c r="F1247" i="1"/>
  <c r="F1278" i="1"/>
  <c r="I33" i="34" s="1"/>
  <c r="L33" i="34" s="1"/>
  <c r="N33" i="34" s="1"/>
  <c r="F1286" i="1"/>
  <c r="I75" i="34" s="1"/>
  <c r="L75" i="34" s="1"/>
  <c r="N75" i="34" s="1"/>
  <c r="F1275" i="1"/>
  <c r="I30" i="34" s="1"/>
  <c r="L30" i="34" s="1"/>
  <c r="N30" i="34" s="1"/>
  <c r="F1280" i="1"/>
  <c r="I54" i="34" s="1"/>
  <c r="L54" i="34" s="1"/>
  <c r="N53" i="34"/>
  <c r="N10" i="34"/>
  <c r="M79" i="34"/>
  <c r="N54" i="34"/>
  <c r="O106" i="29"/>
  <c r="P106" i="29"/>
  <c r="O54" i="29"/>
  <c r="O53" i="29"/>
  <c r="O52" i="29"/>
  <c r="P53" i="29"/>
  <c r="P54" i="29"/>
  <c r="P52" i="29"/>
  <c r="I106" i="22"/>
  <c r="L106" i="22" s="1"/>
  <c r="I158" i="22"/>
  <c r="L158" i="22" s="1"/>
  <c r="I113" i="22"/>
  <c r="L113" i="22" s="1"/>
  <c r="I116" i="22"/>
  <c r="L116" i="22" s="1"/>
  <c r="I145" i="22"/>
  <c r="L145" i="22" s="1"/>
  <c r="I146" i="22"/>
  <c r="L146" i="22" s="1"/>
  <c r="I159" i="22"/>
  <c r="L159" i="22" s="1"/>
  <c r="F919" i="1"/>
  <c r="F823" i="1"/>
  <c r="F1324" i="1"/>
  <c r="F437" i="1"/>
  <c r="I103" i="22"/>
  <c r="L103" i="22" s="1"/>
  <c r="F7" i="1"/>
  <c r="H5" i="31"/>
  <c r="F20" i="1"/>
  <c r="I53" i="11" s="1"/>
  <c r="L53" i="11" s="1"/>
  <c r="F19" i="1"/>
  <c r="F290" i="1"/>
  <c r="H1011" i="2" s="1"/>
  <c r="K1011" i="2" s="1"/>
  <c r="F518" i="1"/>
  <c r="F681" i="1"/>
  <c r="F1034" i="1"/>
  <c r="F18" i="1"/>
  <c r="F291" i="1"/>
  <c r="F519" i="1"/>
  <c r="F674" i="1"/>
  <c r="F682" i="1"/>
  <c r="F792" i="1"/>
  <c r="F284" i="1"/>
  <c r="F292" i="1"/>
  <c r="H1009" i="2" s="1"/>
  <c r="K1009" i="2" s="1"/>
  <c r="F300" i="1"/>
  <c r="H1001" i="2" s="1"/>
  <c r="K1001" i="2" s="1"/>
  <c r="F324" i="1"/>
  <c r="F657" i="1"/>
  <c r="F675" i="1"/>
  <c r="F683" i="1"/>
  <c r="F785" i="1"/>
  <c r="F285" i="1"/>
  <c r="F301" i="1"/>
  <c r="F325" i="1"/>
  <c r="H977" i="2" s="1"/>
  <c r="K977" i="2" s="1"/>
  <c r="F676" i="1"/>
  <c r="H534" i="2" s="1"/>
  <c r="K534" i="2" s="1"/>
  <c r="F1029" i="1"/>
  <c r="F1030" i="1"/>
  <c r="F22" i="1"/>
  <c r="F286" i="1"/>
  <c r="F302" i="1"/>
  <c r="F326" i="1"/>
  <c r="F393" i="1"/>
  <c r="F659" i="1"/>
  <c r="F677" i="1"/>
  <c r="F287" i="1"/>
  <c r="F327" i="1"/>
  <c r="H978" i="2" s="1"/>
  <c r="K978" i="2" s="1"/>
  <c r="F515" i="1"/>
  <c r="I121" i="11" s="1"/>
  <c r="L121" i="11" s="1"/>
  <c r="F678" i="1"/>
  <c r="F694" i="1"/>
  <c r="F804" i="1"/>
  <c r="H1062" i="2" s="1"/>
  <c r="K1062" i="2" s="1"/>
  <c r="F1031" i="1"/>
  <c r="F288" i="1"/>
  <c r="H1013" i="2" s="1"/>
  <c r="K1013" i="2" s="1"/>
  <c r="F516" i="1"/>
  <c r="F679" i="1"/>
  <c r="F1032" i="1"/>
  <c r="F289" i="1"/>
  <c r="H1012" i="2" s="1"/>
  <c r="K1012" i="2" s="1"/>
  <c r="F387" i="1"/>
  <c r="F517" i="1"/>
  <c r="F680" i="1"/>
  <c r="F1033" i="1"/>
  <c r="F1339" i="1"/>
  <c r="G36" i="12" s="1"/>
  <c r="J36" i="12" s="1"/>
  <c r="L36" i="12" s="1"/>
  <c r="F1346" i="1"/>
  <c r="G43" i="12" s="1"/>
  <c r="J43" i="12" s="1"/>
  <c r="L43" i="12" s="1"/>
  <c r="F1338" i="1"/>
  <c r="G35" i="12" s="1"/>
  <c r="J35" i="12" s="1"/>
  <c r="L35" i="12" s="1"/>
  <c r="F1358" i="1"/>
  <c r="G54" i="12" s="1"/>
  <c r="J54" i="12" s="1"/>
  <c r="L54" i="12" s="1"/>
  <c r="F1345" i="1"/>
  <c r="G42" i="12" s="1"/>
  <c r="J42" i="12" s="1"/>
  <c r="L42" i="12" s="1"/>
  <c r="F1337" i="1"/>
  <c r="G34" i="12" s="1"/>
  <c r="J34" i="12" s="1"/>
  <c r="L34" i="12" s="1"/>
  <c r="F1311" i="1"/>
  <c r="G7" i="12" s="1"/>
  <c r="J7" i="12" s="1"/>
  <c r="L7" i="12" s="1"/>
  <c r="F1344" i="1"/>
  <c r="G41" i="12" s="1"/>
  <c r="J41" i="12" s="1"/>
  <c r="L41" i="12" s="1"/>
  <c r="F1336" i="1"/>
  <c r="G33" i="12" s="1"/>
  <c r="J33" i="12" s="1"/>
  <c r="L33" i="12" s="1"/>
  <c r="F1343" i="1"/>
  <c r="G40" i="12" s="1"/>
  <c r="J40" i="12" s="1"/>
  <c r="L40" i="12" s="1"/>
  <c r="F1335" i="1"/>
  <c r="G32" i="12" s="1"/>
  <c r="J32" i="12" s="1"/>
  <c r="L32" i="12" s="1"/>
  <c r="F1310" i="1"/>
  <c r="G6" i="12" s="1"/>
  <c r="J6" i="12" s="1"/>
  <c r="F1314" i="1"/>
  <c r="G10" i="12" s="1"/>
  <c r="J10" i="12" s="1"/>
  <c r="L10" i="12" s="1"/>
  <c r="F1342" i="1"/>
  <c r="G39" i="12" s="1"/>
  <c r="J39" i="12" s="1"/>
  <c r="L39" i="12" s="1"/>
  <c r="F1334" i="1"/>
  <c r="G31" i="12" s="1"/>
  <c r="J31" i="12" s="1"/>
  <c r="L31" i="12" s="1"/>
  <c r="F1313" i="1"/>
  <c r="G9" i="12" s="1"/>
  <c r="J9" i="12" s="1"/>
  <c r="L9" i="12" s="1"/>
  <c r="F1341" i="1"/>
  <c r="G38" i="12" s="1"/>
  <c r="J38" i="12" s="1"/>
  <c r="L38" i="12" s="1"/>
  <c r="F1316" i="1"/>
  <c r="G12" i="12" s="1"/>
  <c r="J12" i="12" s="1"/>
  <c r="L12" i="12" s="1"/>
  <c r="F1357" i="1"/>
  <c r="G53" i="12" s="1"/>
  <c r="J53" i="12" s="1"/>
  <c r="L53" i="12" s="1"/>
  <c r="F1340" i="1"/>
  <c r="G37" i="12" s="1"/>
  <c r="J37" i="12" s="1"/>
  <c r="L37" i="12" s="1"/>
  <c r="F1315" i="1"/>
  <c r="G11" i="12" s="1"/>
  <c r="J11" i="12" s="1"/>
  <c r="L11" i="12" s="1"/>
  <c r="F1312" i="1"/>
  <c r="G8" i="12" s="1"/>
  <c r="J8" i="12" s="1"/>
  <c r="L8" i="12" s="1"/>
  <c r="F314" i="1"/>
  <c r="F380" i="1"/>
  <c r="H989" i="2" s="1"/>
  <c r="K989" i="2" s="1"/>
  <c r="F315" i="1"/>
  <c r="F373" i="1"/>
  <c r="F316" i="1"/>
  <c r="H964" i="2" s="1"/>
  <c r="K964" i="2" s="1"/>
  <c r="F374" i="1"/>
  <c r="H983" i="2" s="1"/>
  <c r="K983" i="2" s="1"/>
  <c r="F317" i="1"/>
  <c r="F375" i="1"/>
  <c r="H984" i="2" s="1"/>
  <c r="K984" i="2" s="1"/>
  <c r="F318" i="1"/>
  <c r="F376" i="1"/>
  <c r="H985" i="2" s="1"/>
  <c r="K985" i="2" s="1"/>
  <c r="F319" i="1"/>
  <c r="H965" i="2" s="1"/>
  <c r="K965" i="2" s="1"/>
  <c r="F377" i="1"/>
  <c r="F320" i="1"/>
  <c r="H966" i="2" s="1"/>
  <c r="K966" i="2" s="1"/>
  <c r="F378" i="1"/>
  <c r="H987" i="2" s="1"/>
  <c r="K987" i="2" s="1"/>
  <c r="F313" i="1"/>
  <c r="F321" i="1"/>
  <c r="H967" i="2" s="1"/>
  <c r="K967" i="2" s="1"/>
  <c r="F379" i="1"/>
  <c r="H988" i="2" s="1"/>
  <c r="K988" i="2" s="1"/>
  <c r="F837" i="1"/>
  <c r="F845" i="1"/>
  <c r="F853" i="1"/>
  <c r="F867" i="1"/>
  <c r="F865" i="1"/>
  <c r="F838" i="1"/>
  <c r="F846" i="1"/>
  <c r="F854" i="1"/>
  <c r="F868" i="1"/>
  <c r="F876" i="1"/>
  <c r="F877" i="1"/>
  <c r="F834" i="1"/>
  <c r="I6" i="11" s="1"/>
  <c r="L6" i="11" s="1"/>
  <c r="F842" i="1"/>
  <c r="F850" i="1"/>
  <c r="F864" i="1"/>
  <c r="F872" i="1"/>
  <c r="F851" i="1"/>
  <c r="F831" i="1"/>
  <c r="F835" i="1"/>
  <c r="F839" i="1"/>
  <c r="F843" i="1"/>
  <c r="F847" i="1"/>
  <c r="F873" i="1"/>
  <c r="F832" i="1"/>
  <c r="F840" i="1"/>
  <c r="F848" i="1"/>
  <c r="F862" i="1"/>
  <c r="F870" i="1"/>
  <c r="F871" i="1"/>
  <c r="F869" i="1"/>
  <c r="F836" i="1"/>
  <c r="F844" i="1"/>
  <c r="F852" i="1"/>
  <c r="F866" i="1"/>
  <c r="F874" i="1"/>
  <c r="F861" i="1"/>
  <c r="F833" i="1"/>
  <c r="F841" i="1"/>
  <c r="F849" i="1"/>
  <c r="F863" i="1"/>
  <c r="F875" i="1"/>
  <c r="F929" i="1"/>
  <c r="F937" i="1"/>
  <c r="F953" i="1"/>
  <c r="I278" i="11" s="1"/>
  <c r="L278" i="11" s="1"/>
  <c r="F731" i="1"/>
  <c r="H922" i="2" s="1"/>
  <c r="K922" i="2" s="1"/>
  <c r="F930" i="1"/>
  <c r="F938" i="1"/>
  <c r="F715" i="1"/>
  <c r="F732" i="1"/>
  <c r="H923" i="2" s="1"/>
  <c r="K923" i="2" s="1"/>
  <c r="F931" i="1"/>
  <c r="F939" i="1"/>
  <c r="F932" i="1"/>
  <c r="F940" i="1"/>
  <c r="I13" i="11" s="1"/>
  <c r="L13" i="11" s="1"/>
  <c r="F933" i="1"/>
  <c r="F941" i="1"/>
  <c r="F926" i="1"/>
  <c r="F934" i="1"/>
  <c r="F950" i="1"/>
  <c r="I264" i="11" s="1"/>
  <c r="L264" i="11" s="1"/>
  <c r="F927" i="1"/>
  <c r="F935" i="1"/>
  <c r="F729" i="1"/>
  <c r="H920" i="2" s="1"/>
  <c r="K920" i="2" s="1"/>
  <c r="F928" i="1"/>
  <c r="F936" i="1"/>
  <c r="F1355" i="1"/>
  <c r="G51" i="12" s="1"/>
  <c r="J51" i="12" s="1"/>
  <c r="L51" i="12" s="1"/>
  <c r="F1326" i="1"/>
  <c r="G21" i="12" s="1"/>
  <c r="J21" i="12" s="1"/>
  <c r="L21" i="12" s="1"/>
  <c r="F763" i="1"/>
  <c r="F767" i="1"/>
  <c r="F766" i="1"/>
  <c r="F765" i="1"/>
  <c r="F764" i="1"/>
  <c r="F1370" i="1"/>
  <c r="F1368" i="1"/>
  <c r="G64" i="12" s="1"/>
  <c r="J64" i="12" s="1"/>
  <c r="L64" i="12" s="1"/>
  <c r="F1360" i="1"/>
  <c r="G56" i="12" s="1"/>
  <c r="J56" i="12" s="1"/>
  <c r="L56" i="12" s="1"/>
  <c r="F1356" i="1"/>
  <c r="F1347" i="1"/>
  <c r="G44" i="12" s="1"/>
  <c r="J44" i="12" s="1"/>
  <c r="L44" i="12" s="1"/>
  <c r="F1367" i="1"/>
  <c r="G63" i="12" s="1"/>
  <c r="J63" i="12" s="1"/>
  <c r="L63" i="12" s="1"/>
  <c r="F1359" i="1"/>
  <c r="G55" i="12" s="1"/>
  <c r="J55" i="12" s="1"/>
  <c r="L55" i="12" s="1"/>
  <c r="F1354" i="1"/>
  <c r="F1330" i="1"/>
  <c r="G25" i="12" s="1"/>
  <c r="J25" i="12" s="1"/>
  <c r="L25" i="12" s="1"/>
  <c r="F1321" i="1"/>
  <c r="G17" i="12" s="1"/>
  <c r="J17" i="12" s="1"/>
  <c r="L17" i="12" s="1"/>
  <c r="F1366" i="1"/>
  <c r="G62" i="12" s="1"/>
  <c r="J62" i="12" s="1"/>
  <c r="L62" i="12" s="1"/>
  <c r="F1353" i="1"/>
  <c r="G50" i="12" s="1"/>
  <c r="J50" i="12" s="1"/>
  <c r="L50" i="12" s="1"/>
  <c r="F1329" i="1"/>
  <c r="G24" i="12" s="1"/>
  <c r="J24" i="12" s="1"/>
  <c r="L24" i="12" s="1"/>
  <c r="F1320" i="1"/>
  <c r="G16" i="12" s="1"/>
  <c r="J16" i="12" s="1"/>
  <c r="L16" i="12" s="1"/>
  <c r="F1365" i="1"/>
  <c r="G61" i="12" s="1"/>
  <c r="J61" i="12" s="1"/>
  <c r="L61" i="12" s="1"/>
  <c r="F1352" i="1"/>
  <c r="G49" i="12" s="1"/>
  <c r="J49" i="12" s="1"/>
  <c r="L49" i="12" s="1"/>
  <c r="F1328" i="1"/>
  <c r="G23" i="12" s="1"/>
  <c r="J23" i="12" s="1"/>
  <c r="L23" i="12" s="1"/>
  <c r="F1364" i="1"/>
  <c r="G60" i="12" s="1"/>
  <c r="J60" i="12" s="1"/>
  <c r="L60" i="12" s="1"/>
  <c r="F1351" i="1"/>
  <c r="G48" i="12" s="1"/>
  <c r="J48" i="12" s="1"/>
  <c r="L48" i="12" s="1"/>
  <c r="F1327" i="1"/>
  <c r="G22" i="12" s="1"/>
  <c r="J22" i="12" s="1"/>
  <c r="L22" i="12" s="1"/>
  <c r="F1363" i="1"/>
  <c r="G59" i="12" s="1"/>
  <c r="J59" i="12" s="1"/>
  <c r="L59" i="12" s="1"/>
  <c r="F1350" i="1"/>
  <c r="G47" i="12" s="1"/>
  <c r="J47" i="12" s="1"/>
  <c r="L47" i="12" s="1"/>
  <c r="F1325" i="1"/>
  <c r="F1331" i="1"/>
  <c r="G26" i="12" s="1"/>
  <c r="J26" i="12" s="1"/>
  <c r="L26" i="12" s="1"/>
  <c r="F1362" i="1"/>
  <c r="G58" i="12" s="1"/>
  <c r="J58" i="12" s="1"/>
  <c r="L58" i="12" s="1"/>
  <c r="F1349" i="1"/>
  <c r="G46" i="12" s="1"/>
  <c r="J46" i="12" s="1"/>
  <c r="L46" i="12" s="1"/>
  <c r="F1333" i="1"/>
  <c r="G30" i="12" s="1"/>
  <c r="J30" i="12" s="1"/>
  <c r="L30" i="12" s="1"/>
  <c r="F1323" i="1"/>
  <c r="G19" i="12" s="1"/>
  <c r="J19" i="12" s="1"/>
  <c r="L19" i="12" s="1"/>
  <c r="F1322" i="1"/>
  <c r="G18" i="12" s="1"/>
  <c r="J18" i="12" s="1"/>
  <c r="L18" i="12" s="1"/>
  <c r="F1369" i="1"/>
  <c r="F1361" i="1"/>
  <c r="G57" i="12" s="1"/>
  <c r="F1348" i="1"/>
  <c r="G45" i="12" s="1"/>
  <c r="J45" i="12" s="1"/>
  <c r="L45" i="12" s="1"/>
  <c r="F1332" i="1"/>
  <c r="G29" i="12" s="1"/>
  <c r="J29" i="12" s="1"/>
  <c r="F724" i="1"/>
  <c r="F809" i="1"/>
  <c r="F810" i="1"/>
  <c r="F808" i="1"/>
  <c r="F968" i="1"/>
  <c r="F438" i="1"/>
  <c r="F655" i="1"/>
  <c r="F762" i="1"/>
  <c r="F775" i="1"/>
  <c r="F807" i="1"/>
  <c r="F880" i="1"/>
  <c r="F896" i="1"/>
  <c r="F912" i="1"/>
  <c r="F921" i="1"/>
  <c r="F961" i="1"/>
  <c r="F970" i="1"/>
  <c r="F1041" i="1"/>
  <c r="H972" i="2" s="1"/>
  <c r="K972" i="2" s="1"/>
  <c r="F1048" i="1"/>
  <c r="F1064" i="1"/>
  <c r="F1045" i="1"/>
  <c r="F463" i="1"/>
  <c r="F656" i="1"/>
  <c r="F722" i="1"/>
  <c r="H935" i="2" s="1"/>
  <c r="K935" i="2" s="1"/>
  <c r="F768" i="1"/>
  <c r="F776" i="1"/>
  <c r="F913" i="1"/>
  <c r="F962" i="1"/>
  <c r="F971" i="1"/>
  <c r="F1042" i="1"/>
  <c r="H973" i="2" s="1"/>
  <c r="K973" i="2" s="1"/>
  <c r="F1049" i="1"/>
  <c r="F770" i="1"/>
  <c r="F440" i="1"/>
  <c r="F723" i="1"/>
  <c r="F769" i="1"/>
  <c r="F777" i="1"/>
  <c r="F906" i="1"/>
  <c r="I11" i="11" s="1"/>
  <c r="L11" i="11" s="1"/>
  <c r="F914" i="1"/>
  <c r="F963" i="1"/>
  <c r="H1103" i="2" s="1"/>
  <c r="K1103" i="2" s="1"/>
  <c r="F972" i="1"/>
  <c r="F1035" i="1"/>
  <c r="F1043" i="1"/>
  <c r="F1050" i="1"/>
  <c r="F667" i="1"/>
  <c r="F907" i="1"/>
  <c r="F915" i="1"/>
  <c r="F964" i="1"/>
  <c r="H1104" i="2" s="1"/>
  <c r="K1104" i="2" s="1"/>
  <c r="F973" i="1"/>
  <c r="F1036" i="1"/>
  <c r="F1051" i="1"/>
  <c r="F1037" i="1"/>
  <c r="F758" i="1"/>
  <c r="F771" i="1"/>
  <c r="F908" i="1"/>
  <c r="F916" i="1"/>
  <c r="F965" i="1"/>
  <c r="H1105" i="2" s="1"/>
  <c r="K1105" i="2" s="1"/>
  <c r="F974" i="1"/>
  <c r="F669" i="1"/>
  <c r="H36" i="2" s="1"/>
  <c r="K36" i="2" s="1"/>
  <c r="K33" i="2" s="1"/>
  <c r="F759" i="1"/>
  <c r="F772" i="1"/>
  <c r="F909" i="1"/>
  <c r="F917" i="1"/>
  <c r="F966" i="1"/>
  <c r="H1106" i="2" s="1"/>
  <c r="K1106" i="2" s="1"/>
  <c r="F975" i="1"/>
  <c r="F1007" i="1"/>
  <c r="I12" i="11" s="1"/>
  <c r="L12" i="11" s="1"/>
  <c r="F1038" i="1"/>
  <c r="F1046" i="1"/>
  <c r="F1053" i="1"/>
  <c r="F1061" i="1"/>
  <c r="F695" i="1"/>
  <c r="F760" i="1"/>
  <c r="F773" i="1"/>
  <c r="F805" i="1"/>
  <c r="F910" i="1"/>
  <c r="F918" i="1"/>
  <c r="F967" i="1"/>
  <c r="F976" i="1"/>
  <c r="F1008" i="1"/>
  <c r="I389" i="11" s="1"/>
  <c r="L389" i="11" s="1"/>
  <c r="F1039" i="1"/>
  <c r="H970" i="2" s="1"/>
  <c r="K970" i="2" s="1"/>
  <c r="F1047" i="1"/>
  <c r="F1054" i="1"/>
  <c r="F1062" i="1"/>
  <c r="H1028" i="2" s="1"/>
  <c r="K1028" i="2" s="1"/>
  <c r="F396" i="1"/>
  <c r="F761" i="1"/>
  <c r="F774" i="1"/>
  <c r="F790" i="1"/>
  <c r="F806" i="1"/>
  <c r="I275" i="11" s="1"/>
  <c r="L275" i="11" s="1"/>
  <c r="F911" i="1"/>
  <c r="F920" i="1"/>
  <c r="F960" i="1"/>
  <c r="F969" i="1"/>
  <c r="H1108" i="2" s="1"/>
  <c r="K1108" i="2" s="1"/>
  <c r="F1040" i="1"/>
  <c r="H971" i="2" s="1"/>
  <c r="K971" i="2" s="1"/>
  <c r="F1063" i="1"/>
  <c r="F1044" i="1"/>
  <c r="H974" i="2" s="1"/>
  <c r="K974" i="2" s="1"/>
  <c r="F1060" i="1"/>
  <c r="F537" i="1"/>
  <c r="F554" i="1"/>
  <c r="F557" i="1"/>
  <c r="F542" i="1"/>
  <c r="F705" i="1"/>
  <c r="F704" i="1"/>
  <c r="P75" i="29"/>
  <c r="O75" i="29"/>
  <c r="O19" i="29"/>
  <c r="P19" i="29"/>
  <c r="O23" i="29"/>
  <c r="O20" i="29"/>
  <c r="P20" i="29"/>
  <c r="P23" i="29"/>
  <c r="O21" i="29"/>
  <c r="P21" i="29"/>
  <c r="O61" i="29"/>
  <c r="O47" i="29"/>
  <c r="O58" i="29"/>
  <c r="O55" i="29"/>
  <c r="O49" i="29"/>
  <c r="O60" i="29"/>
  <c r="O59" i="29"/>
  <c r="O57" i="29"/>
  <c r="O51" i="29"/>
  <c r="O62" i="29"/>
  <c r="O48" i="29"/>
  <c r="O45" i="29"/>
  <c r="O50" i="29"/>
  <c r="O46" i="29"/>
  <c r="P59" i="29"/>
  <c r="P60" i="29"/>
  <c r="O44" i="29"/>
  <c r="P44" i="29"/>
  <c r="O56" i="29"/>
  <c r="P57" i="29"/>
  <c r="P55" i="29"/>
  <c r="P62" i="29"/>
  <c r="P48" i="29"/>
  <c r="P47" i="29"/>
  <c r="P50" i="29"/>
  <c r="P49" i="29"/>
  <c r="P58" i="29"/>
  <c r="P51" i="29"/>
  <c r="P61" i="29"/>
  <c r="P45" i="29"/>
  <c r="P56" i="29"/>
  <c r="P46" i="29"/>
  <c r="O109" i="29"/>
  <c r="P146" i="29"/>
  <c r="P139" i="29"/>
  <c r="P135" i="29"/>
  <c r="P131" i="29"/>
  <c r="P126" i="29"/>
  <c r="O119" i="29"/>
  <c r="O13" i="29"/>
  <c r="O34" i="29"/>
  <c r="O42" i="29"/>
  <c r="O69" i="29"/>
  <c r="O81" i="29"/>
  <c r="O93" i="29"/>
  <c r="O102" i="29"/>
  <c r="O113" i="29"/>
  <c r="O111" i="29"/>
  <c r="P145" i="29"/>
  <c r="O139" i="29"/>
  <c r="O135" i="29"/>
  <c r="O131" i="29"/>
  <c r="O126" i="29"/>
  <c r="O118" i="29"/>
  <c r="O14" i="29"/>
  <c r="O35" i="29"/>
  <c r="O43" i="29"/>
  <c r="O70" i="29"/>
  <c r="O84" i="29"/>
  <c r="O94" i="29"/>
  <c r="O103" i="29"/>
  <c r="O114" i="29"/>
  <c r="O108" i="29"/>
  <c r="O97" i="29"/>
  <c r="P144" i="29"/>
  <c r="P138" i="29"/>
  <c r="P134" i="29"/>
  <c r="P130" i="29"/>
  <c r="O125" i="29"/>
  <c r="O7" i="29"/>
  <c r="O15" i="29"/>
  <c r="O36" i="29"/>
  <c r="O63" i="29"/>
  <c r="O71" i="29"/>
  <c r="O85" i="29"/>
  <c r="O95" i="29"/>
  <c r="O104" i="29"/>
  <c r="O6" i="29"/>
  <c r="O77" i="29"/>
  <c r="O83" i="29"/>
  <c r="P143" i="29"/>
  <c r="O138" i="29"/>
  <c r="O134" i="29"/>
  <c r="O130" i="29"/>
  <c r="O124" i="29"/>
  <c r="O8" i="29"/>
  <c r="O16" i="29"/>
  <c r="O37" i="29"/>
  <c r="O64" i="29"/>
  <c r="O76" i="29"/>
  <c r="O86" i="29"/>
  <c r="O96" i="29"/>
  <c r="O105" i="29"/>
  <c r="O87" i="29"/>
  <c r="O32" i="29"/>
  <c r="P142" i="29"/>
  <c r="P137" i="29"/>
  <c r="P133" i="29"/>
  <c r="P129" i="29"/>
  <c r="O123" i="29"/>
  <c r="O9" i="29"/>
  <c r="O17" i="29"/>
  <c r="O38" i="29"/>
  <c r="O65" i="29"/>
  <c r="O91" i="29"/>
  <c r="O31" i="29"/>
  <c r="O74" i="29"/>
  <c r="O137" i="29"/>
  <c r="O133" i="29"/>
  <c r="O129" i="29"/>
  <c r="O122" i="29"/>
  <c r="O10" i="29"/>
  <c r="O29" i="29"/>
  <c r="O39" i="29"/>
  <c r="O66" i="29"/>
  <c r="O78" i="29"/>
  <c r="O88" i="29"/>
  <c r="O99" i="29"/>
  <c r="O110" i="29"/>
  <c r="O67" i="29"/>
  <c r="O100" i="29"/>
  <c r="P31" i="29"/>
  <c r="P148" i="29"/>
  <c r="P140" i="29"/>
  <c r="P136" i="29"/>
  <c r="P132" i="29"/>
  <c r="P127" i="29"/>
  <c r="O121" i="29"/>
  <c r="O11" i="29"/>
  <c r="O30" i="29"/>
  <c r="O40" i="29"/>
  <c r="O79" i="29"/>
  <c r="P147" i="29"/>
  <c r="O140" i="29"/>
  <c r="O136" i="29"/>
  <c r="O132" i="29"/>
  <c r="O127" i="29"/>
  <c r="O120" i="29"/>
  <c r="O12" i="29"/>
  <c r="O33" i="29"/>
  <c r="O41" i="29"/>
  <c r="O68" i="29"/>
  <c r="O80" i="29"/>
  <c r="O92" i="29"/>
  <c r="O101" i="29"/>
  <c r="O112" i="29"/>
  <c r="O98" i="29"/>
  <c r="P9" i="29"/>
  <c r="P17" i="29"/>
  <c r="P36" i="29"/>
  <c r="P71" i="29"/>
  <c r="P74" i="29"/>
  <c r="P70" i="29"/>
  <c r="P109" i="29"/>
  <c r="P10" i="29"/>
  <c r="P25" i="29"/>
  <c r="P37" i="29"/>
  <c r="P76" i="29"/>
  <c r="P81" i="29"/>
  <c r="P97" i="29"/>
  <c r="P11" i="29"/>
  <c r="P26" i="29"/>
  <c r="P38" i="29"/>
  <c r="P77" i="29"/>
  <c r="O82" i="29"/>
  <c r="P12" i="29"/>
  <c r="P28" i="29"/>
  <c r="P39" i="29"/>
  <c r="P13" i="29"/>
  <c r="P29" i="29"/>
  <c r="P40" i="29"/>
  <c r="P78" i="29"/>
  <c r="P79" i="29"/>
  <c r="P32" i="29"/>
  <c r="P82" i="29"/>
  <c r="P14" i="29"/>
  <c r="P33" i="29"/>
  <c r="P41" i="29"/>
  <c r="P80" i="29"/>
  <c r="P83" i="29"/>
  <c r="P7" i="29"/>
  <c r="P15" i="29"/>
  <c r="P34" i="29"/>
  <c r="P42" i="29"/>
  <c r="P69" i="29"/>
  <c r="P30" i="29"/>
  <c r="P8" i="29"/>
  <c r="P16" i="29"/>
  <c r="P35" i="29"/>
  <c r="P43" i="29"/>
  <c r="P100" i="29"/>
  <c r="P110" i="29"/>
  <c r="P101" i="29"/>
  <c r="P64" i="29"/>
  <c r="O28" i="29"/>
  <c r="O18" i="29"/>
  <c r="P88" i="29"/>
  <c r="P111" i="29"/>
  <c r="P114" i="29"/>
  <c r="O27" i="29"/>
  <c r="P99" i="29"/>
  <c r="P66" i="29"/>
  <c r="P91" i="29"/>
  <c r="P103" i="29"/>
  <c r="O26" i="29"/>
  <c r="P67" i="29"/>
  <c r="P105" i="29"/>
  <c r="P104" i="29"/>
  <c r="P94" i="29"/>
  <c r="P113" i="29"/>
  <c r="O25" i="29"/>
  <c r="P27" i="29"/>
  <c r="P112" i="29"/>
  <c r="P108" i="29"/>
  <c r="P96" i="29"/>
  <c r="P95" i="29"/>
  <c r="P84" i="29"/>
  <c r="P102" i="29"/>
  <c r="P24" i="29"/>
  <c r="P68" i="29"/>
  <c r="P98" i="29"/>
  <c r="P86" i="29"/>
  <c r="P85" i="29"/>
  <c r="P63" i="29"/>
  <c r="P93" i="29"/>
  <c r="P22" i="29"/>
  <c r="P87" i="29"/>
  <c r="P65" i="29"/>
  <c r="P18" i="29"/>
  <c r="O24" i="29"/>
  <c r="P92" i="29"/>
  <c r="P6" i="29"/>
  <c r="O22" i="29"/>
  <c r="O144" i="29"/>
  <c r="O143" i="29"/>
  <c r="O142" i="29"/>
  <c r="O148" i="29"/>
  <c r="O147" i="29"/>
  <c r="O146" i="29"/>
  <c r="O145" i="29"/>
  <c r="L777" i="23"/>
  <c r="L418" i="23"/>
  <c r="I119" i="20"/>
  <c r="I200" i="20"/>
  <c r="I295" i="20"/>
  <c r="I252" i="20"/>
  <c r="I256" i="20"/>
  <c r="I253" i="20"/>
  <c r="I255" i="20"/>
  <c r="I203" i="20"/>
  <c r="I299" i="20"/>
  <c r="I296" i="20"/>
  <c r="F672" i="1"/>
  <c r="F663" i="1"/>
  <c r="H31" i="2" s="1"/>
  <c r="K31" i="2" s="1"/>
  <c r="K28" i="2" s="1"/>
  <c r="J71" i="20"/>
  <c r="J243" i="20"/>
  <c r="J47" i="20"/>
  <c r="J103" i="20"/>
  <c r="J251" i="20"/>
  <c r="J245" i="20"/>
  <c r="J13" i="20"/>
  <c r="J277" i="20"/>
  <c r="J93" i="20"/>
  <c r="J317" i="20"/>
  <c r="J344" i="20"/>
  <c r="J281" i="20"/>
  <c r="J286" i="20"/>
  <c r="J79" i="20"/>
  <c r="J29" i="20"/>
  <c r="J60" i="20"/>
  <c r="J96" i="20"/>
  <c r="J203" i="20"/>
  <c r="J59" i="20"/>
  <c r="J81" i="20"/>
  <c r="J263" i="20"/>
  <c r="J91" i="20"/>
  <c r="J256" i="20"/>
  <c r="J229" i="20"/>
  <c r="J10" i="20"/>
  <c r="J20" i="20"/>
  <c r="J84" i="20"/>
  <c r="J49" i="20"/>
  <c r="J305" i="20"/>
  <c r="J8" i="20"/>
  <c r="J32" i="20"/>
  <c r="J274" i="20"/>
  <c r="J241" i="20"/>
  <c r="J333" i="20"/>
  <c r="J99" i="20"/>
  <c r="J194" i="20"/>
  <c r="J82" i="20"/>
  <c r="J259" i="20"/>
  <c r="J42" i="20"/>
  <c r="J301" i="20"/>
  <c r="J234" i="20"/>
  <c r="J106" i="20"/>
  <c r="J284" i="20"/>
  <c r="J80" i="20"/>
  <c r="J265" i="20"/>
  <c r="J242" i="20"/>
  <c r="J308" i="20"/>
  <c r="J352" i="20"/>
  <c r="J180" i="20"/>
  <c r="J321" i="20"/>
  <c r="J118" i="20"/>
  <c r="J310" i="20"/>
  <c r="J88" i="20"/>
  <c r="J315" i="20"/>
  <c r="J157" i="20"/>
  <c r="J155" i="20"/>
  <c r="J261" i="20"/>
  <c r="J69" i="20"/>
  <c r="J41" i="20"/>
  <c r="J219" i="20"/>
  <c r="J233" i="20"/>
  <c r="J325" i="20"/>
  <c r="J77" i="20"/>
  <c r="J209" i="20"/>
  <c r="J24" i="20"/>
  <c r="J223" i="20"/>
  <c r="J39" i="20"/>
  <c r="J231" i="20"/>
  <c r="J298" i="20"/>
  <c r="J90" i="20"/>
  <c r="J326" i="20"/>
  <c r="J336" i="20"/>
  <c r="J45" i="20"/>
  <c r="J19" i="20"/>
  <c r="J249" i="20"/>
  <c r="J62" i="20"/>
  <c r="J275" i="20"/>
  <c r="J98" i="20"/>
  <c r="J61" i="20"/>
  <c r="J264" i="20"/>
  <c r="J237" i="20"/>
  <c r="J217" i="20"/>
  <c r="J117" i="20"/>
  <c r="J199" i="20"/>
  <c r="J235" i="20"/>
  <c r="J26" i="20"/>
  <c r="J307" i="20"/>
  <c r="J178" i="20"/>
  <c r="J187" i="20"/>
  <c r="J253" i="20"/>
  <c r="J142" i="20"/>
  <c r="J279" i="20"/>
  <c r="J288" i="20"/>
  <c r="J46" i="20"/>
  <c r="J232" i="20"/>
  <c r="J105" i="20"/>
  <c r="J197" i="20"/>
  <c r="J153" i="20"/>
  <c r="J287" i="20"/>
  <c r="J168" i="20"/>
  <c r="J320" i="20"/>
  <c r="J21" i="20"/>
  <c r="J167" i="20"/>
  <c r="J280" i="20"/>
  <c r="J146" i="20"/>
  <c r="J262" i="20"/>
  <c r="J173" i="20"/>
  <c r="J248" i="20"/>
  <c r="J72" i="20"/>
  <c r="J190" i="20"/>
  <c r="J239" i="20"/>
  <c r="J192" i="20"/>
  <c r="J267" i="20"/>
  <c r="J257" i="20"/>
  <c r="J296" i="20"/>
  <c r="J112" i="20"/>
  <c r="J144" i="20"/>
  <c r="J76" i="20"/>
  <c r="J266" i="20"/>
  <c r="J246" i="20"/>
  <c r="J75" i="20"/>
  <c r="J166" i="20"/>
  <c r="J312" i="20"/>
  <c r="J282" i="20"/>
  <c r="J327" i="20"/>
  <c r="J57" i="20"/>
  <c r="J34" i="20"/>
  <c r="J293" i="20"/>
  <c r="J271" i="20"/>
  <c r="J116" i="20"/>
  <c r="J16" i="20"/>
  <c r="J346" i="20"/>
  <c r="J68" i="20"/>
  <c r="J107" i="20"/>
  <c r="J28" i="20"/>
  <c r="J302" i="20"/>
  <c r="J303" i="20"/>
  <c r="J30" i="20"/>
  <c r="J196" i="20"/>
  <c r="J165" i="20"/>
  <c r="J25" i="20"/>
  <c r="J314" i="20"/>
  <c r="J210" i="20"/>
  <c r="J255" i="20"/>
  <c r="J65" i="20"/>
  <c r="J323" i="20"/>
  <c r="J181" i="20"/>
  <c r="J236" i="20"/>
  <c r="J188" i="20"/>
  <c r="J63" i="20"/>
  <c r="J329" i="20"/>
  <c r="J205" i="20"/>
  <c r="J225" i="20"/>
  <c r="J136" i="20"/>
  <c r="J224" i="20"/>
  <c r="J18" i="20"/>
  <c r="J92" i="20"/>
  <c r="J164" i="20"/>
  <c r="J175" i="20"/>
  <c r="J74" i="20"/>
  <c r="J335" i="20"/>
  <c r="J204" i="20"/>
  <c r="J193" i="20"/>
  <c r="J294" i="20"/>
  <c r="J316" i="20"/>
  <c r="J226" i="20"/>
  <c r="J212" i="20"/>
  <c r="J289" i="20"/>
  <c r="J85" i="20"/>
  <c r="J338" i="20"/>
  <c r="J278" i="20"/>
  <c r="J295" i="20"/>
  <c r="J169" i="20"/>
  <c r="J115" i="20"/>
  <c r="J89" i="20"/>
  <c r="J283" i="20"/>
  <c r="J319" i="20"/>
  <c r="J113" i="20"/>
  <c r="J297" i="20"/>
  <c r="J87" i="20"/>
  <c r="J73" i="20"/>
  <c r="J38" i="20"/>
  <c r="J306" i="20"/>
  <c r="J110" i="20"/>
  <c r="J51" i="20"/>
  <c r="J250" i="20"/>
  <c r="J147" i="20"/>
  <c r="J290" i="20"/>
  <c r="J244" i="20"/>
  <c r="J145" i="20"/>
  <c r="J198" i="20"/>
  <c r="J185" i="20"/>
  <c r="J56" i="20"/>
  <c r="J268" i="20"/>
  <c r="J328" i="20"/>
  <c r="J220" i="20"/>
  <c r="J218" i="20"/>
  <c r="J67" i="20"/>
  <c r="J177" i="20"/>
  <c r="J27" i="20"/>
  <c r="J201" i="20"/>
  <c r="J343" i="20"/>
  <c r="J135" i="20"/>
  <c r="J174" i="20"/>
  <c r="J348" i="20"/>
  <c r="J351" i="20"/>
  <c r="J230" i="20"/>
  <c r="J154" i="20"/>
  <c r="J33" i="20"/>
  <c r="J162" i="20"/>
  <c r="J40" i="20"/>
  <c r="J349" i="20"/>
  <c r="J70" i="20"/>
  <c r="J213" i="20"/>
  <c r="J161" i="20"/>
  <c r="J64" i="20"/>
  <c r="J6" i="20"/>
  <c r="J318" i="20"/>
  <c r="J240" i="20"/>
  <c r="J158" i="20"/>
  <c r="J137" i="20"/>
  <c r="J23" i="20"/>
  <c r="J104" i="20"/>
  <c r="J191" i="20"/>
  <c r="J160" i="20"/>
  <c r="J269" i="20"/>
  <c r="J163" i="20"/>
  <c r="J172" i="20"/>
  <c r="J207" i="20"/>
  <c r="J109" i="20"/>
  <c r="J143" i="20"/>
  <c r="J100" i="20"/>
  <c r="J171" i="20"/>
  <c r="J342" i="20"/>
  <c r="J138" i="20"/>
  <c r="J66" i="20"/>
  <c r="J53" i="20"/>
  <c r="J11" i="20"/>
  <c r="J341" i="20"/>
  <c r="J83" i="20"/>
  <c r="J254" i="20"/>
  <c r="J285" i="20"/>
  <c r="J55" i="20"/>
  <c r="J331" i="20"/>
  <c r="J86" i="20"/>
  <c r="J309" i="20"/>
  <c r="J221" i="20"/>
  <c r="J139" i="20"/>
  <c r="J270" i="20"/>
  <c r="J58" i="20"/>
  <c r="J111" i="20"/>
  <c r="J15" i="20"/>
  <c r="J43" i="20"/>
  <c r="J101" i="20"/>
  <c r="J313" i="20"/>
  <c r="J31" i="20"/>
  <c r="J179" i="20"/>
  <c r="J292" i="20"/>
  <c r="J350" i="20"/>
  <c r="J273" i="20"/>
  <c r="J37" i="20"/>
  <c r="J228" i="20"/>
  <c r="J156" i="20"/>
  <c r="J183" i="20"/>
  <c r="J260" i="20"/>
  <c r="J48" i="20"/>
  <c r="J149" i="20"/>
  <c r="J108" i="20"/>
  <c r="J276" i="20"/>
  <c r="J35" i="20"/>
  <c r="J206" i="20"/>
  <c r="J7" i="20"/>
  <c r="J337" i="20"/>
  <c r="J176" i="20"/>
  <c r="J141" i="20"/>
  <c r="J208" i="20"/>
  <c r="J54" i="20"/>
  <c r="J95" i="20"/>
  <c r="J330" i="20"/>
  <c r="J300" i="20"/>
  <c r="J340" i="20"/>
  <c r="J345" i="20"/>
  <c r="J97" i="20"/>
  <c r="J324" i="20"/>
  <c r="J102" i="20"/>
  <c r="J258" i="20"/>
  <c r="J252" i="20"/>
  <c r="J332" i="20"/>
  <c r="J247" i="20"/>
  <c r="J114" i="20"/>
  <c r="J17" i="20"/>
  <c r="J186" i="20"/>
  <c r="J94" i="20"/>
  <c r="J52" i="20"/>
  <c r="J334" i="20"/>
  <c r="J36" i="20"/>
  <c r="J238" i="20"/>
  <c r="J311" i="20"/>
  <c r="J200" i="20"/>
  <c r="J322" i="20"/>
  <c r="J44" i="20"/>
  <c r="J222" i="20"/>
  <c r="J189" i="20"/>
  <c r="J22" i="20"/>
  <c r="J184" i="20"/>
  <c r="J347" i="20"/>
  <c r="J211" i="20"/>
  <c r="J227" i="20"/>
  <c r="J170" i="20"/>
  <c r="J140" i="20"/>
  <c r="J195" i="20"/>
  <c r="J50" i="20"/>
  <c r="J14" i="20"/>
  <c r="J9" i="20"/>
  <c r="J272" i="20"/>
  <c r="J148" i="20"/>
  <c r="J202" i="20"/>
  <c r="J304" i="20"/>
  <c r="J78" i="20"/>
  <c r="J182" i="20"/>
  <c r="J299" i="20"/>
  <c r="J12" i="20"/>
  <c r="J339" i="20"/>
  <c r="J159" i="20"/>
  <c r="I24" i="11" l="1"/>
  <c r="L24" i="11" s="1"/>
  <c r="Q121" i="19"/>
  <c r="Q30" i="19"/>
  <c r="Q61" i="19"/>
  <c r="Q69" i="19"/>
  <c r="Q126" i="19"/>
  <c r="Q67" i="19"/>
  <c r="Q29" i="19"/>
  <c r="Q68" i="19"/>
  <c r="Q31" i="19"/>
  <c r="Q62" i="19"/>
  <c r="Q70" i="19"/>
  <c r="Q65" i="19"/>
  <c r="Q83" i="19"/>
  <c r="G12" i="8"/>
  <c r="G11" i="8" s="1"/>
  <c r="G13" i="38"/>
  <c r="G12" i="38" s="1"/>
  <c r="Q89" i="19"/>
  <c r="Q142" i="19"/>
  <c r="Q28" i="19"/>
  <c r="Q111" i="19"/>
  <c r="Q102" i="19"/>
  <c r="Q132" i="19"/>
  <c r="Q26" i="19"/>
  <c r="Q145" i="19"/>
  <c r="Q25" i="19"/>
  <c r="Q34" i="19"/>
  <c r="Q38" i="19"/>
  <c r="Q53" i="19"/>
  <c r="Q24" i="19"/>
  <c r="Q18" i="19"/>
  <c r="Q110" i="19"/>
  <c r="Q138" i="19"/>
  <c r="Q56" i="19"/>
  <c r="Q143" i="19"/>
  <c r="Q37" i="19"/>
  <c r="Q52" i="19"/>
  <c r="Q136" i="19"/>
  <c r="Q93" i="19"/>
  <c r="Q129" i="19"/>
  <c r="Q141" i="19"/>
  <c r="Q118" i="19"/>
  <c r="Q33" i="19"/>
  <c r="Q96" i="19"/>
  <c r="Q40" i="19"/>
  <c r="Q87" i="19"/>
  <c r="Q76" i="19"/>
  <c r="Q80" i="19"/>
  <c r="Q84" i="19"/>
  <c r="Q103" i="19"/>
  <c r="Q123" i="19"/>
  <c r="Q86" i="19"/>
  <c r="Q35" i="19"/>
  <c r="Q54" i="19"/>
  <c r="Q74" i="19"/>
  <c r="Q91" i="19"/>
  <c r="Q6" i="19"/>
  <c r="Q42" i="19"/>
  <c r="Q17" i="19"/>
  <c r="Q85" i="19"/>
  <c r="Q75" i="19"/>
  <c r="Q107" i="19"/>
  <c r="I32" i="7"/>
  <c r="L32" i="7" s="1"/>
  <c r="L33" i="7" s="1"/>
  <c r="E13" i="38" s="1"/>
  <c r="H986" i="2"/>
  <c r="K986" i="2" s="1"/>
  <c r="H782" i="2"/>
  <c r="K782" i="2" s="1"/>
  <c r="H776" i="2"/>
  <c r="K776" i="2" s="1"/>
  <c r="H411" i="2"/>
  <c r="K411" i="2" s="1"/>
  <c r="H430" i="2"/>
  <c r="K430" i="2" s="1"/>
  <c r="H420" i="2"/>
  <c r="K420" i="2" s="1"/>
  <c r="H400" i="2"/>
  <c r="K400" i="2" s="1"/>
  <c r="I46" i="11"/>
  <c r="L46" i="11" s="1"/>
  <c r="H216" i="2"/>
  <c r="K216" i="2" s="1"/>
  <c r="H165" i="2"/>
  <c r="K165" i="2" s="1"/>
  <c r="H128" i="2"/>
  <c r="K128" i="2" s="1"/>
  <c r="H259" i="2"/>
  <c r="K259" i="2" s="1"/>
  <c r="H76" i="2"/>
  <c r="K76" i="2" s="1"/>
  <c r="H85" i="2"/>
  <c r="K85" i="2" s="1"/>
  <c r="H62" i="2"/>
  <c r="K62" i="2" s="1"/>
  <c r="I34" i="11"/>
  <c r="L34" i="11" s="1"/>
  <c r="I148" i="11"/>
  <c r="L148" i="11" s="1"/>
  <c r="I135" i="11"/>
  <c r="L135" i="11" s="1"/>
  <c r="I128" i="11"/>
  <c r="L128" i="11" s="1"/>
  <c r="Q23" i="19"/>
  <c r="Q16" i="19"/>
  <c r="Q47" i="19"/>
  <c r="Q79" i="19"/>
  <c r="Q139" i="19"/>
  <c r="Q146" i="19"/>
  <c r="I31" i="11"/>
  <c r="L31" i="11" s="1"/>
  <c r="I21" i="11"/>
  <c r="L21" i="11" s="1"/>
  <c r="H1099" i="2"/>
  <c r="K1099" i="2" s="1"/>
  <c r="I9" i="11"/>
  <c r="L9" i="11" s="1"/>
  <c r="L29" i="12"/>
  <c r="H298" i="2"/>
  <c r="K298" i="2" s="1"/>
  <c r="I144" i="11"/>
  <c r="L144" i="11" s="1"/>
  <c r="H106" i="2"/>
  <c r="K106" i="2" s="1"/>
  <c r="I157" i="11"/>
  <c r="L157" i="11" s="1"/>
  <c r="H123" i="2"/>
  <c r="K123" i="2" s="1"/>
  <c r="I105" i="11"/>
  <c r="L105" i="11" s="1"/>
  <c r="I115" i="11"/>
  <c r="L115" i="11" s="1"/>
  <c r="H708" i="2"/>
  <c r="K708" i="2" s="1"/>
  <c r="H700" i="2"/>
  <c r="K700" i="2" s="1"/>
  <c r="H213" i="2"/>
  <c r="K213" i="2" s="1"/>
  <c r="H296" i="2"/>
  <c r="K296" i="2" s="1"/>
  <c r="H269" i="2"/>
  <c r="K269" i="2" s="1"/>
  <c r="H227" i="2"/>
  <c r="K227" i="2" s="1"/>
  <c r="H154" i="2"/>
  <c r="K154" i="2" s="1"/>
  <c r="H125" i="2"/>
  <c r="K125" i="2" s="1"/>
  <c r="H113" i="2"/>
  <c r="K113" i="2" s="1"/>
  <c r="H87" i="2"/>
  <c r="K87" i="2" s="1"/>
  <c r="H78" i="2"/>
  <c r="K78" i="2" s="1"/>
  <c r="H72" i="2"/>
  <c r="K72" i="2" s="1"/>
  <c r="H218" i="2"/>
  <c r="K218" i="2" s="1"/>
  <c r="H130" i="2"/>
  <c r="K130" i="2" s="1"/>
  <c r="H140" i="2"/>
  <c r="K140" i="2" s="1"/>
  <c r="H96" i="2"/>
  <c r="K96" i="2" s="1"/>
  <c r="H244" i="2"/>
  <c r="K244" i="2" s="1"/>
  <c r="H162" i="2"/>
  <c r="I36" i="11"/>
  <c r="L36" i="11" s="1"/>
  <c r="H59" i="2"/>
  <c r="K59" i="2" s="1"/>
  <c r="H82" i="2"/>
  <c r="K82" i="2" s="1"/>
  <c r="H275" i="2"/>
  <c r="K275" i="2" s="1"/>
  <c r="H693" i="2"/>
  <c r="K693" i="2" s="1"/>
  <c r="H715" i="2"/>
  <c r="K715" i="2" s="1"/>
  <c r="H180" i="2"/>
  <c r="K180" i="2" s="1"/>
  <c r="H198" i="2"/>
  <c r="K198" i="2" s="1"/>
  <c r="H262" i="2"/>
  <c r="K262" i="2" s="1"/>
  <c r="H65" i="2"/>
  <c r="K65" i="2" s="1"/>
  <c r="H167" i="2"/>
  <c r="K167" i="2" s="1"/>
  <c r="I324" i="11"/>
  <c r="L324" i="11" s="1"/>
  <c r="I345" i="11"/>
  <c r="L345" i="11" s="1"/>
  <c r="I366" i="11"/>
  <c r="L366" i="11" s="1"/>
  <c r="I387" i="11"/>
  <c r="L387" i="11" s="1"/>
  <c r="H1107" i="2"/>
  <c r="K1107" i="2" s="1"/>
  <c r="I10" i="11"/>
  <c r="L10" i="11" s="1"/>
  <c r="H16" i="2"/>
  <c r="K16" i="2" s="1"/>
  <c r="K13" i="2" s="1"/>
  <c r="H21" i="2"/>
  <c r="K21" i="2" s="1"/>
  <c r="K18" i="2" s="1"/>
  <c r="H1097" i="2"/>
  <c r="K1097" i="2" s="1"/>
  <c r="I7" i="11"/>
  <c r="L7" i="11" s="1"/>
  <c r="H382" i="2"/>
  <c r="K382" i="2" s="1"/>
  <c r="H366" i="2"/>
  <c r="K366" i="2" s="1"/>
  <c r="H332" i="2"/>
  <c r="K332" i="2" s="1"/>
  <c r="H357" i="2"/>
  <c r="K357" i="2" s="1"/>
  <c r="H323" i="2"/>
  <c r="K323" i="2" s="1"/>
  <c r="H314" i="2"/>
  <c r="K314" i="2" s="1"/>
  <c r="H394" i="2"/>
  <c r="K394" i="2" s="1"/>
  <c r="H375" i="2"/>
  <c r="K375" i="2" s="1"/>
  <c r="H348" i="2"/>
  <c r="K348" i="2" s="1"/>
  <c r="H339" i="2"/>
  <c r="K339" i="2" s="1"/>
  <c r="H851" i="2"/>
  <c r="K851" i="2" s="1"/>
  <c r="H389" i="2"/>
  <c r="K389" i="2" s="1"/>
  <c r="I177" i="11"/>
  <c r="L177" i="11" s="1"/>
  <c r="I254" i="11"/>
  <c r="L254" i="11" s="1"/>
  <c r="H963" i="2"/>
  <c r="K963" i="2" s="1"/>
  <c r="H725" i="2"/>
  <c r="K725" i="2" s="1"/>
  <c r="K721" i="2" s="1"/>
  <c r="H848" i="2"/>
  <c r="K848" i="2" s="1"/>
  <c r="H388" i="2"/>
  <c r="K388" i="2" s="1"/>
  <c r="H320" i="2"/>
  <c r="K320" i="2" s="1"/>
  <c r="H354" i="2"/>
  <c r="K354" i="2" s="1"/>
  <c r="I251" i="11"/>
  <c r="L251" i="11" s="1"/>
  <c r="H730" i="2"/>
  <c r="K730" i="2" s="1"/>
  <c r="K729" i="2" s="1"/>
  <c r="H727" i="2"/>
  <c r="K727" i="2" s="1"/>
  <c r="K726" i="2" s="1"/>
  <c r="H734" i="2"/>
  <c r="K734" i="2" s="1"/>
  <c r="K733" i="2" s="1"/>
  <c r="I202" i="11"/>
  <c r="L202" i="11" s="1"/>
  <c r="I301" i="11"/>
  <c r="L301" i="11" s="1"/>
  <c r="I291" i="11"/>
  <c r="L291" i="11" s="1"/>
  <c r="I223" i="11"/>
  <c r="L223" i="11" s="1"/>
  <c r="I212" i="11"/>
  <c r="L212" i="11" s="1"/>
  <c r="H641" i="2"/>
  <c r="K641" i="2" s="1"/>
  <c r="H667" i="2"/>
  <c r="K667" i="2" s="1"/>
  <c r="H596" i="2"/>
  <c r="K596" i="2" s="1"/>
  <c r="H614" i="2"/>
  <c r="K614" i="2" s="1"/>
  <c r="H976" i="2"/>
  <c r="K976" i="2" s="1"/>
  <c r="I299" i="11"/>
  <c r="L299" i="11" s="1"/>
  <c r="I287" i="11"/>
  <c r="L287" i="11" s="1"/>
  <c r="H1002" i="2"/>
  <c r="K1002" i="2" s="1"/>
  <c r="H767" i="2"/>
  <c r="K767" i="2" s="1"/>
  <c r="K766" i="2" s="1"/>
  <c r="H762" i="2"/>
  <c r="K762" i="2" s="1"/>
  <c r="K761" i="2" s="1"/>
  <c r="H541" i="2"/>
  <c r="K541" i="2" s="1"/>
  <c r="K536" i="2" s="1"/>
  <c r="H511" i="2"/>
  <c r="K511" i="2" s="1"/>
  <c r="K506" i="2" s="1"/>
  <c r="H557" i="2"/>
  <c r="K557" i="2" s="1"/>
  <c r="K552" i="2" s="1"/>
  <c r="H451" i="2"/>
  <c r="K451" i="2" s="1"/>
  <c r="H443" i="2"/>
  <c r="K443" i="2" s="1"/>
  <c r="H526" i="2"/>
  <c r="K526" i="2" s="1"/>
  <c r="H467" i="2"/>
  <c r="K467" i="2" s="1"/>
  <c r="K460" i="2" s="1"/>
  <c r="H476" i="2"/>
  <c r="K476" i="2" s="1"/>
  <c r="H458" i="2"/>
  <c r="K458" i="2" s="1"/>
  <c r="K453" i="2" s="1"/>
  <c r="I238" i="11"/>
  <c r="L238" i="11" s="1"/>
  <c r="I231" i="11"/>
  <c r="L231" i="11" s="1"/>
  <c r="I224" i="11"/>
  <c r="L224" i="11" s="1"/>
  <c r="I245" i="11"/>
  <c r="L245" i="11" s="1"/>
  <c r="I207" i="11"/>
  <c r="L207" i="11" s="1"/>
  <c r="I217" i="11"/>
  <c r="L217" i="11" s="1"/>
  <c r="I70" i="11"/>
  <c r="L70" i="11" s="1"/>
  <c r="I197" i="11"/>
  <c r="L197" i="11" s="1"/>
  <c r="I95" i="11"/>
  <c r="L95" i="11" s="1"/>
  <c r="H429" i="2"/>
  <c r="K429" i="2" s="1"/>
  <c r="H410" i="2"/>
  <c r="K410" i="2" s="1"/>
  <c r="H419" i="2"/>
  <c r="K419" i="2" s="1"/>
  <c r="Q147" i="19"/>
  <c r="Q9" i="19"/>
  <c r="Q122" i="19"/>
  <c r="Q59" i="19"/>
  <c r="Q7" i="19"/>
  <c r="Q48" i="19"/>
  <c r="Q108" i="19"/>
  <c r="Q114" i="19"/>
  <c r="Q127" i="19"/>
  <c r="H297" i="2"/>
  <c r="K297" i="2" s="1"/>
  <c r="H289" i="2"/>
  <c r="K289" i="2" s="1"/>
  <c r="H160" i="2"/>
  <c r="K160" i="2" s="1"/>
  <c r="H237" i="2"/>
  <c r="K237" i="2" s="1"/>
  <c r="H211" i="2"/>
  <c r="K211" i="2" s="1"/>
  <c r="H146" i="2"/>
  <c r="K146" i="2" s="1"/>
  <c r="H190" i="2"/>
  <c r="K190" i="2" s="1"/>
  <c r="H257" i="2"/>
  <c r="K257" i="2" s="1"/>
  <c r="H857" i="2"/>
  <c r="K857" i="2" s="1"/>
  <c r="H396" i="2"/>
  <c r="K396" i="2" s="1"/>
  <c r="I260" i="11"/>
  <c r="L260" i="11" s="1"/>
  <c r="H861" i="2"/>
  <c r="K861" i="2" s="1"/>
  <c r="H843" i="2"/>
  <c r="K843" i="2" s="1"/>
  <c r="H824" i="2"/>
  <c r="K824" i="2" s="1"/>
  <c r="I304" i="11"/>
  <c r="L304" i="11" s="1"/>
  <c r="I294" i="11"/>
  <c r="L294" i="11" s="1"/>
  <c r="I346" i="11"/>
  <c r="L346" i="11" s="1"/>
  <c r="I367" i="11"/>
  <c r="L367" i="11" s="1"/>
  <c r="I325" i="11"/>
  <c r="L325" i="11" s="1"/>
  <c r="I388" i="11"/>
  <c r="L388" i="11" s="1"/>
  <c r="H1021" i="2"/>
  <c r="K1021" i="2" s="1"/>
  <c r="H834" i="2"/>
  <c r="K834" i="2" s="1"/>
  <c r="H815" i="2"/>
  <c r="K815" i="2" s="1"/>
  <c r="K709" i="2"/>
  <c r="K701" i="2"/>
  <c r="K181" i="2"/>
  <c r="H270" i="2"/>
  <c r="K270" i="2" s="1"/>
  <c r="H245" i="2"/>
  <c r="K245" i="2" s="1"/>
  <c r="H219" i="2"/>
  <c r="K219" i="2" s="1"/>
  <c r="H214" i="2"/>
  <c r="K214" i="2" s="1"/>
  <c r="K97" i="2"/>
  <c r="H88" i="2"/>
  <c r="K88" i="2" s="1"/>
  <c r="H79" i="2"/>
  <c r="K79" i="2" s="1"/>
  <c r="I114" i="11"/>
  <c r="L114" i="11" s="1"/>
  <c r="I104" i="11"/>
  <c r="L104" i="11" s="1"/>
  <c r="H155" i="2"/>
  <c r="K155" i="2" s="1"/>
  <c r="H73" i="2"/>
  <c r="K73" i="2" s="1"/>
  <c r="H141" i="2"/>
  <c r="K141" i="2" s="1"/>
  <c r="H131" i="2"/>
  <c r="K131" i="2" s="1"/>
  <c r="H126" i="2"/>
  <c r="K126" i="2" s="1"/>
  <c r="H228" i="2"/>
  <c r="K228" i="2" s="1"/>
  <c r="H199" i="2"/>
  <c r="K199" i="2" s="1"/>
  <c r="K114" i="2"/>
  <c r="I147" i="11"/>
  <c r="L147" i="11" s="1"/>
  <c r="I160" i="11"/>
  <c r="L160" i="11" s="1"/>
  <c r="I37" i="11"/>
  <c r="L37" i="11" s="1"/>
  <c r="K83" i="2"/>
  <c r="H263" i="2"/>
  <c r="K263" i="2" s="1"/>
  <c r="H60" i="2"/>
  <c r="K60" i="2" s="1"/>
  <c r="H168" i="2"/>
  <c r="K168" i="2" s="1"/>
  <c r="H276" i="2"/>
  <c r="K276" i="2" s="1"/>
  <c r="H66" i="2"/>
  <c r="K66" i="2" s="1"/>
  <c r="K694" i="2"/>
  <c r="H716" i="2"/>
  <c r="K716" i="2" s="1"/>
  <c r="H755" i="2"/>
  <c r="K755" i="2" s="1"/>
  <c r="K754" i="2" s="1"/>
  <c r="H749" i="2"/>
  <c r="K749" i="2" s="1"/>
  <c r="K748" i="2" s="1"/>
  <c r="H860" i="2"/>
  <c r="K860" i="2" s="1"/>
  <c r="H842" i="2"/>
  <c r="K842" i="2" s="1"/>
  <c r="H823" i="2"/>
  <c r="K823" i="2" s="1"/>
  <c r="H423" i="2"/>
  <c r="K423" i="2" s="1"/>
  <c r="H404" i="2"/>
  <c r="K404" i="2" s="1"/>
  <c r="H414" i="2"/>
  <c r="K414" i="2" s="1"/>
  <c r="H433" i="2"/>
  <c r="K433" i="2" s="1"/>
  <c r="H856" i="2"/>
  <c r="K856" i="2" s="1"/>
  <c r="I259" i="11"/>
  <c r="L259" i="11" s="1"/>
  <c r="H852" i="2"/>
  <c r="K852" i="2" s="1"/>
  <c r="H391" i="2"/>
  <c r="K391" i="2" s="1"/>
  <c r="I255" i="11"/>
  <c r="L255" i="11" s="1"/>
  <c r="G13" i="12"/>
  <c r="J13" i="12" s="1"/>
  <c r="L13" i="12" s="1"/>
  <c r="G20" i="12"/>
  <c r="J20" i="12" s="1"/>
  <c r="L20" i="12" s="1"/>
  <c r="L6" i="12"/>
  <c r="H504" i="2"/>
  <c r="K504" i="2" s="1"/>
  <c r="K497" i="2" s="1"/>
  <c r="H550" i="2"/>
  <c r="K550" i="2" s="1"/>
  <c r="H519" i="2"/>
  <c r="K519" i="2" s="1"/>
  <c r="K513" i="2" s="1"/>
  <c r="H566" i="2"/>
  <c r="K566" i="2" s="1"/>
  <c r="H494" i="2"/>
  <c r="K494" i="2" s="1"/>
  <c r="H485" i="2"/>
  <c r="K485" i="2" s="1"/>
  <c r="H772" i="2"/>
  <c r="K772" i="2" s="1"/>
  <c r="K771" i="2" s="1"/>
  <c r="H778" i="2"/>
  <c r="K778" i="2" s="1"/>
  <c r="K777" i="2" s="1"/>
  <c r="H395" i="2"/>
  <c r="K395" i="2" s="1"/>
  <c r="H376" i="2"/>
  <c r="K376" i="2" s="1"/>
  <c r="H340" i="2"/>
  <c r="K340" i="2" s="1"/>
  <c r="H307" i="2"/>
  <c r="K307" i="2" s="1"/>
  <c r="K302" i="2" s="1"/>
  <c r="H367" i="2"/>
  <c r="K367" i="2" s="1"/>
  <c r="H383" i="2"/>
  <c r="K383" i="2" s="1"/>
  <c r="K358" i="2"/>
  <c r="H349" i="2"/>
  <c r="K349" i="2" s="1"/>
  <c r="K333" i="2"/>
  <c r="H315" i="2"/>
  <c r="K315" i="2" s="1"/>
  <c r="H324" i="2"/>
  <c r="K324" i="2" s="1"/>
  <c r="H577" i="2"/>
  <c r="K577" i="2" s="1"/>
  <c r="K573" i="2" s="1"/>
  <c r="H571" i="2"/>
  <c r="K571" i="2" s="1"/>
  <c r="H853" i="2"/>
  <c r="K853" i="2" s="1"/>
  <c r="H835" i="2"/>
  <c r="K835" i="2" s="1"/>
  <c r="H816" i="2"/>
  <c r="K816" i="2" s="1"/>
  <c r="I358" i="11"/>
  <c r="I337" i="11"/>
  <c r="I256" i="11"/>
  <c r="L256" i="11" s="1"/>
  <c r="I379" i="11"/>
  <c r="I186" i="11"/>
  <c r="L186" i="11" s="1"/>
  <c r="I316" i="11"/>
  <c r="G52" i="12"/>
  <c r="J52" i="12" s="1"/>
  <c r="L52" i="12" s="1"/>
  <c r="G14" i="12"/>
  <c r="J14" i="12" s="1"/>
  <c r="L14" i="12" s="1"/>
  <c r="Q60" i="19"/>
  <c r="Q98" i="19"/>
  <c r="Q144" i="19"/>
  <c r="Q21" i="19"/>
  <c r="Q51" i="19"/>
  <c r="Q11" i="19"/>
  <c r="Q43" i="19"/>
  <c r="Q8" i="19"/>
  <c r="Q109" i="19"/>
  <c r="Q134" i="19"/>
  <c r="Q10" i="19"/>
  <c r="Q41" i="19"/>
  <c r="Q95" i="19"/>
  <c r="Q49" i="19"/>
  <c r="Q77" i="19"/>
  <c r="Q100" i="19"/>
  <c r="Q104" i="19"/>
  <c r="Q124" i="19"/>
  <c r="Q137" i="19"/>
  <c r="Q88" i="19"/>
  <c r="Q97" i="19"/>
  <c r="Q106" i="19"/>
  <c r="Q130" i="19"/>
  <c r="Q119" i="19"/>
  <c r="H858" i="2"/>
  <c r="K858" i="2" s="1"/>
  <c r="H397" i="2"/>
  <c r="K397" i="2" s="1"/>
  <c r="I261" i="11"/>
  <c r="L261" i="11" s="1"/>
  <c r="H613" i="2"/>
  <c r="K613" i="2" s="1"/>
  <c r="H689" i="2"/>
  <c r="K689" i="2" s="1"/>
  <c r="K683" i="2" s="1"/>
  <c r="H649" i="2"/>
  <c r="K649" i="2" s="1"/>
  <c r="K642" i="2" s="1"/>
  <c r="H640" i="2"/>
  <c r="K640" i="2" s="1"/>
  <c r="H631" i="2"/>
  <c r="K631" i="2" s="1"/>
  <c r="H682" i="2"/>
  <c r="K682" i="2" s="1"/>
  <c r="K676" i="2" s="1"/>
  <c r="H675" i="2"/>
  <c r="K675" i="2" s="1"/>
  <c r="K668" i="2" s="1"/>
  <c r="H666" i="2"/>
  <c r="K666" i="2" s="1"/>
  <c r="H657" i="2"/>
  <c r="K657" i="2" s="1"/>
  <c r="K650" i="2" s="1"/>
  <c r="H630" i="2"/>
  <c r="K630" i="2" s="1"/>
  <c r="H622" i="2"/>
  <c r="K622" i="2" s="1"/>
  <c r="K615" i="2" s="1"/>
  <c r="H586" i="2"/>
  <c r="K586" i="2" s="1"/>
  <c r="K579" i="2" s="1"/>
  <c r="H20" i="7" s="1"/>
  <c r="K20" i="7" s="1"/>
  <c r="M20" i="7" s="1"/>
  <c r="H595" i="2"/>
  <c r="K595" i="2" s="1"/>
  <c r="H604" i="2"/>
  <c r="K604" i="2" s="1"/>
  <c r="K597" i="2" s="1"/>
  <c r="H968" i="2"/>
  <c r="K968" i="2" s="1"/>
  <c r="H969" i="2"/>
  <c r="K969" i="2" s="1"/>
  <c r="I265" i="11"/>
  <c r="L265" i="11" s="1"/>
  <c r="I279" i="11"/>
  <c r="L279" i="11" s="1"/>
  <c r="H939" i="2"/>
  <c r="K939" i="2" s="1"/>
  <c r="H928" i="2"/>
  <c r="K928" i="2" s="1"/>
  <c r="H855" i="2"/>
  <c r="K855" i="2" s="1"/>
  <c r="I258" i="11"/>
  <c r="L258" i="11" s="1"/>
  <c r="I303" i="11"/>
  <c r="L303" i="11" s="1"/>
  <c r="I293" i="11"/>
  <c r="L293" i="11" s="1"/>
  <c r="H975" i="2"/>
  <c r="K975" i="2" s="1"/>
  <c r="I298" i="11"/>
  <c r="L298" i="11" s="1"/>
  <c r="I286" i="11"/>
  <c r="L286" i="11" s="1"/>
  <c r="H1010" i="2"/>
  <c r="K1010" i="2" s="1"/>
  <c r="H792" i="2"/>
  <c r="K792" i="2" s="1"/>
  <c r="K790" i="2" s="1"/>
  <c r="H804" i="2"/>
  <c r="K804" i="2" s="1"/>
  <c r="K802" i="2" s="1"/>
  <c r="Q90" i="19"/>
  <c r="Q44" i="19"/>
  <c r="Q148" i="19"/>
  <c r="Q58" i="19"/>
  <c r="Q27" i="19"/>
  <c r="Q128" i="19"/>
  <c r="Q20" i="19"/>
  <c r="Q15" i="19"/>
  <c r="Q36" i="19"/>
  <c r="Q46" i="19"/>
  <c r="Q50" i="19"/>
  <c r="Q55" i="19"/>
  <c r="Q14" i="19"/>
  <c r="Q39" i="19"/>
  <c r="Q135" i="19"/>
  <c r="Q13" i="19"/>
  <c r="Q45" i="19"/>
  <c r="Q12" i="19"/>
  <c r="Q57" i="19"/>
  <c r="Q113" i="19"/>
  <c r="Q78" i="19"/>
  <c r="Q92" i="19"/>
  <c r="Q101" i="19"/>
  <c r="Q105" i="19"/>
  <c r="Q112" i="19"/>
  <c r="Q99" i="19"/>
  <c r="Q131" i="19"/>
  <c r="Q120" i="19"/>
  <c r="Q133" i="19"/>
  <c r="H858" i="23"/>
  <c r="K858" i="23" s="1"/>
  <c r="H851" i="23"/>
  <c r="K851" i="23" s="1"/>
  <c r="H848" i="23"/>
  <c r="K848" i="23" s="1"/>
  <c r="H855" i="23"/>
  <c r="H857" i="23"/>
  <c r="K857" i="23" s="1"/>
  <c r="H861" i="23"/>
  <c r="K861" i="23" s="1"/>
  <c r="H860" i="23"/>
  <c r="K860" i="23" s="1"/>
  <c r="H856" i="23"/>
  <c r="H852" i="23"/>
  <c r="K852" i="23" s="1"/>
  <c r="H853" i="23"/>
  <c r="K853" i="23" s="1"/>
  <c r="I7" i="34"/>
  <c r="L7" i="34" s="1"/>
  <c r="I19" i="34"/>
  <c r="L19" i="34" s="1"/>
  <c r="N19" i="34" s="1"/>
  <c r="I13" i="34"/>
  <c r="L13" i="34" s="1"/>
  <c r="N13" i="34" s="1"/>
  <c r="I8" i="34"/>
  <c r="L8" i="34" s="1"/>
  <c r="N8" i="34" s="1"/>
  <c r="I20" i="34"/>
  <c r="L20" i="34" s="1"/>
  <c r="N20" i="34" s="1"/>
  <c r="I14" i="34"/>
  <c r="L14" i="34" s="1"/>
  <c r="N14" i="34" s="1"/>
  <c r="Q52" i="29"/>
  <c r="Q106" i="29"/>
  <c r="H1012" i="23"/>
  <c r="K1012" i="23" s="1"/>
  <c r="H1011" i="23"/>
  <c r="K1011" i="23" s="1"/>
  <c r="H1013" i="23"/>
  <c r="K1013" i="23" s="1"/>
  <c r="H1010" i="23"/>
  <c r="K1010" i="23" s="1"/>
  <c r="Q53" i="29"/>
  <c r="Q54" i="29"/>
  <c r="I186" i="22"/>
  <c r="L186" i="22" s="1"/>
  <c r="I128" i="22"/>
  <c r="L128" i="22" s="1"/>
  <c r="I135" i="22"/>
  <c r="L135" i="22" s="1"/>
  <c r="I148" i="22"/>
  <c r="L148" i="22" s="1"/>
  <c r="Q31" i="29"/>
  <c r="Q47" i="29"/>
  <c r="I177" i="22"/>
  <c r="L177" i="22" s="1"/>
  <c r="I212" i="22"/>
  <c r="L212" i="22" s="1"/>
  <c r="I202" i="22"/>
  <c r="L202" i="22" s="1"/>
  <c r="I197" i="22"/>
  <c r="L197" i="22" s="1"/>
  <c r="I217" i="22"/>
  <c r="L217" i="22" s="1"/>
  <c r="I207" i="22"/>
  <c r="L207" i="22" s="1"/>
  <c r="I144" i="22"/>
  <c r="L144" i="22" s="1"/>
  <c r="I157" i="22"/>
  <c r="L157" i="22" s="1"/>
  <c r="I160" i="22"/>
  <c r="L160" i="22" s="1"/>
  <c r="I147" i="22"/>
  <c r="L147" i="22" s="1"/>
  <c r="I104" i="22"/>
  <c r="L104" i="22" s="1"/>
  <c r="I114" i="22"/>
  <c r="L114" i="22" s="1"/>
  <c r="I115" i="22"/>
  <c r="L115" i="22" s="1"/>
  <c r="I105" i="22"/>
  <c r="L105" i="22" s="1"/>
  <c r="I121" i="22"/>
  <c r="L121" i="22" s="1"/>
  <c r="I127" i="22"/>
  <c r="L127" i="22" s="1"/>
  <c r="I163" i="22"/>
  <c r="L163" i="22" s="1"/>
  <c r="I95" i="22"/>
  <c r="H414" i="23"/>
  <c r="K414" i="23" s="1"/>
  <c r="H423" i="23"/>
  <c r="K423" i="23" s="1"/>
  <c r="H433" i="23"/>
  <c r="K433" i="23" s="1"/>
  <c r="H404" i="23"/>
  <c r="K404" i="23" s="1"/>
  <c r="H420" i="23"/>
  <c r="K420" i="23" s="1"/>
  <c r="H150" i="4"/>
  <c r="K150" i="4" s="1"/>
  <c r="M154" i="4" s="1"/>
  <c r="H143" i="4"/>
  <c r="K143" i="4" s="1"/>
  <c r="M147" i="4" s="1"/>
  <c r="Q61" i="29"/>
  <c r="Q55" i="29"/>
  <c r="Q20" i="29"/>
  <c r="Q83" i="29"/>
  <c r="Q21" i="29"/>
  <c r="Q97" i="29"/>
  <c r="Q82" i="29"/>
  <c r="Q46" i="29"/>
  <c r="Q60" i="29"/>
  <c r="H187" i="4"/>
  <c r="H191" i="4"/>
  <c r="K191" i="4" s="1"/>
  <c r="H185" i="4"/>
  <c r="K185" i="4" s="1"/>
  <c r="M189" i="4" s="1"/>
  <c r="H138" i="4"/>
  <c r="K138" i="4" s="1"/>
  <c r="M142" i="4" s="1"/>
  <c r="H169" i="4"/>
  <c r="K169" i="4" s="1"/>
  <c r="M173" i="4" s="1"/>
  <c r="H164" i="4"/>
  <c r="K164" i="4" s="1"/>
  <c r="M168" i="4" s="1"/>
  <c r="H177" i="4"/>
  <c r="K177" i="4" s="1"/>
  <c r="M181" i="4" s="1"/>
  <c r="H146" i="4"/>
  <c r="K146" i="4" s="1"/>
  <c r="M150" i="4" s="1"/>
  <c r="H193" i="4"/>
  <c r="K193" i="4" s="1"/>
  <c r="H141" i="4"/>
  <c r="K141" i="4" s="1"/>
  <c r="M145" i="4" s="1"/>
  <c r="H140" i="4"/>
  <c r="K140" i="4" s="1"/>
  <c r="M144" i="4" s="1"/>
  <c r="H172" i="4"/>
  <c r="K172" i="4" s="1"/>
  <c r="M176" i="4" s="1"/>
  <c r="Q50" i="29"/>
  <c r="Q49" i="29"/>
  <c r="H148" i="4"/>
  <c r="K148" i="4" s="1"/>
  <c r="M152" i="4" s="1"/>
  <c r="H189" i="4"/>
  <c r="K189" i="4" s="1"/>
  <c r="H154" i="4"/>
  <c r="K154" i="4" s="1"/>
  <c r="M158" i="4" s="1"/>
  <c r="H174" i="4"/>
  <c r="K174" i="4" s="1"/>
  <c r="M178" i="4" s="1"/>
  <c r="H167" i="4"/>
  <c r="K167" i="4" s="1"/>
  <c r="M171" i="4" s="1"/>
  <c r="H136" i="4"/>
  <c r="K136" i="4" s="1"/>
  <c r="H184" i="4"/>
  <c r="K184" i="4" s="1"/>
  <c r="M188" i="4" s="1"/>
  <c r="H778" i="23"/>
  <c r="K778" i="23" s="1"/>
  <c r="K777" i="23" s="1"/>
  <c r="H149" i="4"/>
  <c r="K149" i="4" s="1"/>
  <c r="M153" i="4" s="1"/>
  <c r="H152" i="4"/>
  <c r="K152" i="4" s="1"/>
  <c r="M156" i="4" s="1"/>
  <c r="H180" i="4"/>
  <c r="K180" i="4" s="1"/>
  <c r="M184" i="4" s="1"/>
  <c r="H182" i="4"/>
  <c r="K182" i="4" s="1"/>
  <c r="M186" i="4" s="1"/>
  <c r="H183" i="4"/>
  <c r="K183" i="4" s="1"/>
  <c r="M187" i="4" s="1"/>
  <c r="H162" i="4"/>
  <c r="K162" i="4" s="1"/>
  <c r="M166" i="4" s="1"/>
  <c r="H165" i="4"/>
  <c r="K165" i="4" s="1"/>
  <c r="M169" i="4" s="1"/>
  <c r="Q30" i="29"/>
  <c r="Q56" i="29"/>
  <c r="Q48" i="29"/>
  <c r="Q58" i="29"/>
  <c r="Q23" i="29"/>
  <c r="H160" i="4"/>
  <c r="K160" i="4" s="1"/>
  <c r="M164" i="4" s="1"/>
  <c r="H178" i="4"/>
  <c r="K178" i="4" s="1"/>
  <c r="M182" i="4" s="1"/>
  <c r="H192" i="4"/>
  <c r="K192" i="4" s="1"/>
  <c r="H186" i="4"/>
  <c r="K186" i="4" s="1"/>
  <c r="M190" i="4" s="1"/>
  <c r="H151" i="4"/>
  <c r="K151" i="4" s="1"/>
  <c r="M155" i="4" s="1"/>
  <c r="H782" i="23"/>
  <c r="K782" i="23" s="1"/>
  <c r="H142" i="4"/>
  <c r="K142" i="4" s="1"/>
  <c r="M146" i="4" s="1"/>
  <c r="H170" i="4"/>
  <c r="K170" i="4" s="1"/>
  <c r="M174" i="4" s="1"/>
  <c r="H173" i="4"/>
  <c r="K173" i="4" s="1"/>
  <c r="M177" i="4" s="1"/>
  <c r="Q45" i="29"/>
  <c r="Q62" i="29"/>
  <c r="H176" i="4"/>
  <c r="K176" i="4" s="1"/>
  <c r="M180" i="4" s="1"/>
  <c r="H190" i="4"/>
  <c r="K190" i="4" s="1"/>
  <c r="H147" i="4"/>
  <c r="K147" i="4" s="1"/>
  <c r="M151" i="4" s="1"/>
  <c r="H194" i="4"/>
  <c r="K194" i="4" s="1"/>
  <c r="H181" i="4"/>
  <c r="K181" i="4" s="1"/>
  <c r="M185" i="4" s="1"/>
  <c r="H168" i="4"/>
  <c r="K168" i="4" s="1"/>
  <c r="M172" i="4" s="1"/>
  <c r="H163" i="4"/>
  <c r="K163" i="4" s="1"/>
  <c r="M167" i="4" s="1"/>
  <c r="H166" i="4"/>
  <c r="K166" i="4" s="1"/>
  <c r="M170" i="4" s="1"/>
  <c r="Q32" i="29"/>
  <c r="Q109" i="29"/>
  <c r="Q44" i="29"/>
  <c r="Q51" i="29"/>
  <c r="Q19" i="29"/>
  <c r="H159" i="4"/>
  <c r="K159" i="4" s="1"/>
  <c r="H188" i="4"/>
  <c r="K188" i="4" s="1"/>
  <c r="H153" i="4"/>
  <c r="K153" i="4" s="1"/>
  <c r="M157" i="4" s="1"/>
  <c r="H155" i="4"/>
  <c r="K155" i="4" s="1"/>
  <c r="M159" i="4" s="1"/>
  <c r="H139" i="4"/>
  <c r="K139" i="4" s="1"/>
  <c r="M143" i="4" s="1"/>
  <c r="H171" i="4"/>
  <c r="K171" i="4" s="1"/>
  <c r="M175" i="4" s="1"/>
  <c r="H419" i="23"/>
  <c r="K419" i="23" s="1"/>
  <c r="Q59" i="29"/>
  <c r="Q57" i="29"/>
  <c r="Q75" i="29"/>
  <c r="H175" i="4"/>
  <c r="K175" i="4" s="1"/>
  <c r="M179" i="4" s="1"/>
  <c r="H156" i="4"/>
  <c r="K156" i="4" s="1"/>
  <c r="M160" i="4" s="1"/>
  <c r="H179" i="4"/>
  <c r="K179" i="4" s="1"/>
  <c r="M183" i="4" s="1"/>
  <c r="H161" i="4"/>
  <c r="K161" i="4" s="1"/>
  <c r="M165" i="4" s="1"/>
  <c r="H137" i="4"/>
  <c r="K137" i="4" s="1"/>
  <c r="M141" i="4" s="1"/>
  <c r="I133" i="20"/>
  <c r="J5" i="20"/>
  <c r="J646" i="20"/>
  <c r="J539" i="20"/>
  <c r="J383" i="20"/>
  <c r="J576" i="20"/>
  <c r="J850" i="20"/>
  <c r="J787" i="20"/>
  <c r="J669" i="20"/>
  <c r="J554" i="20"/>
  <c r="J654" i="20"/>
  <c r="J394" i="20"/>
  <c r="J695" i="20"/>
  <c r="J763" i="20"/>
  <c r="J485" i="20"/>
  <c r="J865" i="20"/>
  <c r="J851" i="20"/>
  <c r="J690" i="20"/>
  <c r="J829" i="20"/>
  <c r="J872" i="20"/>
  <c r="J378" i="20"/>
  <c r="J464" i="20"/>
  <c r="J128" i="20"/>
  <c r="J414" i="20"/>
  <c r="J359" i="20"/>
  <c r="J658" i="20"/>
  <c r="J704" i="20"/>
  <c r="J434" i="20"/>
  <c r="J707" i="20"/>
  <c r="J479" i="20"/>
  <c r="J600" i="20"/>
  <c r="J649" i="20"/>
  <c r="J495" i="20"/>
  <c r="J482" i="20"/>
  <c r="J791" i="20"/>
  <c r="J571" i="20"/>
  <c r="J693" i="20"/>
  <c r="J381" i="20"/>
  <c r="J366" i="20"/>
  <c r="J570" i="20"/>
  <c r="J602" i="20"/>
  <c r="J620" i="20"/>
  <c r="J688" i="20"/>
  <c r="J874" i="20"/>
  <c r="J514" i="20"/>
  <c r="J433" i="20"/>
  <c r="J510" i="20"/>
  <c r="J815" i="20"/>
  <c r="J129" i="20"/>
  <c r="J808" i="20"/>
  <c r="J785" i="20"/>
  <c r="J504" i="20"/>
  <c r="J816" i="20"/>
  <c r="J493" i="20"/>
  <c r="J643" i="20"/>
  <c r="J824" i="20"/>
  <c r="J801" i="20"/>
  <c r="J637" i="20"/>
  <c r="J546" i="20"/>
  <c r="J752" i="20"/>
  <c r="J440" i="20"/>
  <c r="J864" i="20"/>
  <c r="J430" i="20"/>
  <c r="J732" i="20"/>
  <c r="J871" i="20"/>
  <c r="J125" i="20"/>
  <c r="J731" i="20"/>
  <c r="J786" i="20"/>
  <c r="J776" i="20"/>
  <c r="J590" i="20"/>
  <c r="J563" i="20"/>
  <c r="J703" i="20"/>
  <c r="J131" i="20"/>
  <c r="J615" i="20"/>
  <c r="J860" i="20"/>
  <c r="J766" i="20"/>
  <c r="J593" i="20"/>
  <c r="J501" i="20"/>
  <c r="J630" i="20"/>
  <c r="J836" i="20"/>
  <c r="J519" i="20"/>
  <c r="J523" i="20"/>
  <c r="J518" i="20"/>
  <c r="J549" i="20"/>
  <c r="J817" i="20"/>
  <c r="J491" i="20"/>
  <c r="J121" i="20"/>
  <c r="J370" i="20"/>
  <c r="J842" i="20"/>
  <c r="J474" i="20"/>
  <c r="J572" i="20"/>
  <c r="J597" i="20"/>
  <c r="J417" i="20"/>
  <c r="J848" i="20"/>
  <c r="J595" i="20"/>
  <c r="J476" i="20"/>
  <c r="J521" i="20"/>
  <c r="J762" i="20"/>
  <c r="J487" i="20"/>
  <c r="J705" i="20"/>
  <c r="J708" i="20"/>
  <c r="J739" i="20"/>
  <c r="J714" i="20"/>
  <c r="J122" i="20"/>
  <c r="J692" i="20"/>
  <c r="J562" i="20"/>
  <c r="J770" i="20"/>
  <c r="J522" i="20"/>
  <c r="J721" i="20"/>
  <c r="J412" i="20"/>
  <c r="J579" i="20"/>
  <c r="J717" i="20"/>
  <c r="J769" i="20"/>
  <c r="J404" i="20"/>
  <c r="J814" i="20"/>
  <c r="J759" i="20"/>
  <c r="J845" i="20"/>
  <c r="J856" i="20"/>
  <c r="J745" i="20"/>
  <c r="J740" i="20"/>
  <c r="J711" i="20"/>
  <c r="J825" i="20"/>
  <c r="J632" i="20"/>
  <c r="J777" i="20"/>
  <c r="J866" i="20"/>
  <c r="J638" i="20"/>
  <c r="J371" i="20"/>
  <c r="J659" i="20"/>
  <c r="J379" i="20"/>
  <c r="J459" i="20"/>
  <c r="J662" i="20"/>
  <c r="J553" i="20"/>
  <c r="J420" i="20"/>
  <c r="J667" i="20"/>
  <c r="J134" i="20"/>
  <c r="J435" i="20"/>
  <c r="J755" i="20"/>
  <c r="J410" i="20"/>
  <c r="J876" i="20"/>
  <c r="J610" i="20"/>
  <c r="J542" i="20"/>
  <c r="J559" i="20"/>
  <c r="J716" i="20"/>
  <c r="J437" i="20"/>
  <c r="J722" i="20"/>
  <c r="J754" i="20"/>
  <c r="J409" i="20"/>
  <c r="J725" i="20"/>
  <c r="J120" i="20"/>
  <c r="J765" i="20"/>
  <c r="J683" i="20"/>
  <c r="J625" i="20"/>
  <c r="J794" i="20"/>
  <c r="J492" i="20"/>
  <c r="J841" i="20"/>
  <c r="J689" i="20"/>
  <c r="J633" i="20"/>
  <c r="J607" i="20"/>
  <c r="J444" i="20"/>
  <c r="J126" i="20"/>
  <c r="J835" i="20"/>
  <c r="J756" i="20"/>
  <c r="J380" i="20"/>
  <c r="J621" i="20"/>
  <c r="J555" i="20"/>
  <c r="J682" i="20"/>
  <c r="J753" i="20"/>
  <c r="J503" i="20"/>
  <c r="J540" i="20"/>
  <c r="J395" i="20"/>
  <c r="J660" i="20"/>
  <c r="J634" i="20"/>
  <c r="J676" i="20"/>
  <c r="J372" i="20"/>
  <c r="J868" i="20"/>
  <c r="J771" i="20"/>
  <c r="J374" i="20"/>
  <c r="J803" i="20"/>
  <c r="J697" i="20"/>
  <c r="J664" i="20"/>
  <c r="J679" i="20"/>
  <c r="J439" i="20"/>
  <c r="J496" i="20"/>
  <c r="J399" i="20"/>
  <c r="J360" i="20"/>
  <c r="J502" i="20"/>
  <c r="J422" i="20"/>
  <c r="J820" i="20"/>
  <c r="J384" i="20"/>
  <c r="J123" i="20"/>
  <c r="J565" i="20"/>
  <c r="J588" i="20"/>
  <c r="J535" i="20"/>
  <c r="J767" i="20"/>
  <c r="J388" i="20"/>
  <c r="J622" i="20"/>
  <c r="J509" i="20"/>
  <c r="J840" i="20"/>
  <c r="J832" i="20"/>
  <c r="J685" i="20"/>
  <c r="J709" i="20"/>
  <c r="J586" i="20"/>
  <c r="J604" i="20"/>
  <c r="J789" i="20"/>
  <c r="J724" i="20"/>
  <c r="J393" i="20"/>
  <c r="J674" i="20"/>
  <c r="J362" i="20"/>
  <c r="J443" i="20"/>
  <c r="J619" i="20"/>
  <c r="J751" i="20"/>
  <c r="J574" i="20"/>
  <c r="J758" i="20"/>
  <c r="J355" i="20"/>
  <c r="J564" i="20"/>
  <c r="J389" i="20"/>
  <c r="J804" i="20"/>
  <c r="J591" i="20"/>
  <c r="J490" i="20"/>
  <c r="J472" i="20"/>
  <c r="J733" i="20"/>
  <c r="J127" i="20"/>
  <c r="J489" i="20"/>
  <c r="J445" i="20"/>
  <c r="J473" i="20"/>
  <c r="J718" i="20"/>
  <c r="J441" i="20"/>
  <c r="J779" i="20"/>
  <c r="J397" i="20"/>
  <c r="J743" i="20"/>
  <c r="J635" i="20"/>
  <c r="J710" i="20"/>
  <c r="J447" i="20"/>
  <c r="J452" i="20"/>
  <c r="J363" i="20"/>
  <c r="J541" i="20"/>
  <c r="J421" i="20"/>
  <c r="J629" i="20"/>
  <c r="J356" i="20"/>
  <c r="J376" i="20"/>
  <c r="J418" i="20"/>
  <c r="J852" i="20"/>
  <c r="J463" i="20"/>
  <c r="J466" i="20"/>
  <c r="J774" i="20"/>
  <c r="J385" i="20"/>
  <c r="J516" i="20"/>
  <c r="J639" i="20"/>
  <c r="J429" i="20"/>
  <c r="J867" i="20"/>
  <c r="J424" i="20"/>
  <c r="J401" i="20"/>
  <c r="J653" i="20"/>
  <c r="J494" i="20"/>
  <c r="J636" i="20"/>
  <c r="J382" i="20"/>
  <c r="J657" i="20"/>
  <c r="J415" i="20"/>
  <c r="J471" i="20"/>
  <c r="J813" i="20"/>
  <c r="J423" i="20"/>
  <c r="J453" i="20"/>
  <c r="J392" i="20"/>
  <c r="J416" i="20"/>
  <c r="J589" i="20"/>
  <c r="J536" i="20"/>
  <c r="J761" i="20"/>
  <c r="J500" i="20"/>
  <c r="J736" i="20"/>
  <c r="J603" i="20"/>
  <c r="J862" i="20"/>
  <c r="J581" i="20"/>
  <c r="J727" i="20"/>
  <c r="J827" i="20"/>
  <c r="J726" i="20"/>
  <c r="J798" i="20"/>
  <c r="J548" i="20"/>
  <c r="J608" i="20"/>
  <c r="J468" i="20"/>
  <c r="J486" i="20"/>
  <c r="J377" i="20"/>
  <c r="J839" i="20"/>
  <c r="J712" i="20"/>
  <c r="J713" i="20"/>
  <c r="J661" i="20"/>
  <c r="J612" i="20"/>
  <c r="J428" i="20"/>
  <c r="J365" i="20"/>
  <c r="J626" i="20"/>
  <c r="J361" i="20"/>
  <c r="J738" i="20"/>
  <c r="J681" i="20"/>
  <c r="J624" i="20"/>
  <c r="J605" i="20"/>
  <c r="J364" i="20"/>
  <c r="J645" i="20"/>
  <c r="J680" i="20"/>
  <c r="J357" i="20"/>
  <c r="J793" i="20"/>
  <c r="J854" i="20"/>
  <c r="J846" i="20"/>
  <c r="J782" i="20"/>
  <c r="J475" i="20"/>
  <c r="J566" i="20"/>
  <c r="J677" i="20"/>
  <c r="J853" i="20"/>
  <c r="J748" i="20"/>
  <c r="J844" i="20"/>
  <c r="J611" i="20"/>
  <c r="J861" i="20"/>
  <c r="J783" i="20"/>
  <c r="J812" i="20"/>
  <c r="J623" i="20"/>
  <c r="J691" i="20"/>
  <c r="J442" i="20"/>
  <c r="J663" i="20"/>
  <c r="J569" i="20"/>
  <c r="J809" i="20"/>
  <c r="J436" i="20"/>
  <c r="J130" i="20"/>
  <c r="J877" i="20"/>
  <c r="J609" i="20"/>
  <c r="J818" i="20"/>
  <c r="J513" i="20"/>
  <c r="J701" i="20"/>
  <c r="J737" i="20"/>
  <c r="J465" i="20"/>
  <c r="J526" i="20"/>
  <c r="J838" i="20"/>
  <c r="J527" i="20"/>
  <c r="J367" i="20"/>
  <c r="J532" i="20"/>
  <c r="J413" i="20"/>
  <c r="J358" i="20"/>
  <c r="J354" i="20"/>
  <c r="J757" i="20"/>
  <c r="J822" i="20"/>
  <c r="J788" i="20"/>
  <c r="J773" i="20"/>
  <c r="J556" i="20"/>
  <c r="J455" i="20"/>
  <c r="J617" i="20"/>
  <c r="J810" i="20"/>
  <c r="J533" i="20"/>
  <c r="J805" i="20"/>
  <c r="J406" i="20"/>
  <c r="J863" i="20"/>
  <c r="J618" i="20"/>
  <c r="J582" i="20"/>
  <c r="J369" i="20"/>
  <c r="J561" i="20"/>
  <c r="J720" i="20"/>
  <c r="J402" i="20"/>
  <c r="J729" i="20"/>
  <c r="J580" i="20"/>
  <c r="J400" i="20"/>
  <c r="J802" i="20"/>
  <c r="J528" i="20"/>
  <c r="J470" i="20"/>
  <c r="J550" i="20"/>
  <c r="J747" i="20"/>
  <c r="J488" i="20"/>
  <c r="J696" i="20"/>
  <c r="J857" i="20"/>
  <c r="J391" i="20"/>
  <c r="J806" i="20"/>
  <c r="J728" i="20"/>
  <c r="J833" i="20"/>
  <c r="J498" i="20"/>
  <c r="J673" i="20"/>
  <c r="J668" i="20"/>
  <c r="J665" i="20"/>
  <c r="J460" i="20"/>
  <c r="J596" i="20"/>
  <c r="J672" i="20"/>
  <c r="J784" i="20"/>
  <c r="J511" i="20"/>
  <c r="J648" i="20"/>
  <c r="J483" i="20"/>
  <c r="J594" i="20"/>
  <c r="J469" i="20"/>
  <c r="J353" i="20"/>
  <c r="J456" i="20"/>
  <c r="J480" i="20"/>
  <c r="J525" i="20"/>
  <c r="J670" i="20"/>
  <c r="J627" i="20"/>
  <c r="J843" i="20"/>
  <c r="J719" i="20"/>
  <c r="J534" i="20"/>
  <c r="J560" i="20"/>
  <c r="J655" i="20"/>
  <c r="J687" i="20"/>
  <c r="J427" i="20"/>
  <c r="J405" i="20"/>
  <c r="J530" i="20"/>
  <c r="J834" i="20"/>
  <c r="J694" i="20"/>
  <c r="J577" i="20"/>
  <c r="J499" i="20"/>
  <c r="J390" i="20"/>
  <c r="J869" i="20"/>
  <c r="J650" i="20"/>
  <c r="J875" i="20"/>
  <c r="J543" i="20"/>
  <c r="J780" i="20"/>
  <c r="J606" i="20"/>
  <c r="J790" i="20"/>
  <c r="J656" i="20"/>
  <c r="J826" i="20"/>
  <c r="J601" i="20"/>
  <c r="J551" i="20"/>
  <c r="J552" i="20"/>
  <c r="J529" i="20"/>
  <c r="J859" i="20"/>
  <c r="J821" i="20"/>
  <c r="J768" i="20"/>
  <c r="J598" i="20"/>
  <c r="J684" i="20"/>
  <c r="J828" i="20"/>
  <c r="J614" i="20"/>
  <c r="J477" i="20"/>
  <c r="J730" i="20"/>
  <c r="J831" i="20"/>
  <c r="J837" i="20"/>
  <c r="J403" i="20"/>
  <c r="J537" i="20"/>
  <c r="J462" i="20"/>
  <c r="J446" i="20"/>
  <c r="J792" i="20"/>
  <c r="J775" i="20"/>
  <c r="J651" i="20"/>
  <c r="J387" i="20"/>
  <c r="J505" i="20"/>
  <c r="J855" i="20"/>
  <c r="J772" i="20"/>
  <c r="J419" i="20"/>
  <c r="J746" i="20"/>
  <c r="J652" i="20"/>
  <c r="J666" i="20"/>
  <c r="J411" i="20"/>
  <c r="J507" i="20"/>
  <c r="J531" i="20"/>
  <c r="J858" i="20"/>
  <c r="J398" i="20"/>
  <c r="J538" i="20"/>
  <c r="J750" i="20"/>
  <c r="J819" i="20"/>
  <c r="J778" i="20"/>
  <c r="J647" i="20"/>
  <c r="J585" i="20"/>
  <c r="J640" i="20"/>
  <c r="J795" i="20"/>
  <c r="J478" i="20"/>
  <c r="J438" i="20"/>
  <c r="J799" i="20"/>
  <c r="J781" i="20"/>
  <c r="J124" i="20"/>
  <c r="J631" i="20"/>
  <c r="J450" i="20"/>
  <c r="J678" i="20"/>
  <c r="J520" i="20"/>
  <c r="J461" i="20"/>
  <c r="J698" i="20"/>
  <c r="J849" i="20"/>
  <c r="J873" i="20"/>
  <c r="J481" i="20"/>
  <c r="J426" i="20"/>
  <c r="J557" i="20"/>
  <c r="J644" i="20"/>
  <c r="J734" i="20"/>
  <c r="J578" i="20"/>
  <c r="J797" i="20"/>
  <c r="J796" i="20"/>
  <c r="J524" i="20"/>
  <c r="J735" i="20"/>
  <c r="J425" i="20"/>
  <c r="J545" i="20"/>
  <c r="J515" i="20"/>
  <c r="J431" i="20"/>
  <c r="J742" i="20"/>
  <c r="J508" i="20"/>
  <c r="J723" i="20"/>
  <c r="J547" i="20"/>
  <c r="J675" i="20"/>
  <c r="J706" i="20"/>
  <c r="J616" i="20"/>
  <c r="J686" i="20"/>
  <c r="J800" i="20"/>
  <c r="J592" i="20"/>
  <c r="J432" i="20"/>
  <c r="J811" i="20"/>
  <c r="J715" i="20"/>
  <c r="J448" i="20"/>
  <c r="J760" i="20"/>
  <c r="J517" i="20"/>
  <c r="J558" i="20"/>
  <c r="J457" i="20"/>
  <c r="J408" i="20"/>
  <c r="J741" i="20"/>
  <c r="J764" i="20"/>
  <c r="J599" i="20"/>
  <c r="J702" i="20"/>
  <c r="J830" i="20"/>
  <c r="J870" i="20"/>
  <c r="J568" i="20"/>
  <c r="J628" i="20"/>
  <c r="J449" i="20"/>
  <c r="J587" i="20"/>
  <c r="J671" i="20"/>
  <c r="J744" i="20"/>
  <c r="J407" i="20"/>
  <c r="J512" i="20"/>
  <c r="J132" i="20"/>
  <c r="J642" i="20"/>
  <c r="J467" i="20"/>
  <c r="J583" i="20"/>
  <c r="J567" i="20"/>
  <c r="J749" i="20"/>
  <c r="J484" i="20"/>
  <c r="J699" i="20"/>
  <c r="J396" i="20"/>
  <c r="J506" i="20"/>
  <c r="J451" i="20"/>
  <c r="J373" i="20"/>
  <c r="J454" i="20"/>
  <c r="J807" i="20"/>
  <c r="J368" i="20"/>
  <c r="J573" i="20"/>
  <c r="J497" i="20"/>
  <c r="J700" i="20"/>
  <c r="J575" i="20"/>
  <c r="J641" i="20"/>
  <c r="J823" i="20"/>
  <c r="J386" i="20"/>
  <c r="J584" i="20"/>
  <c r="J375" i="20"/>
  <c r="J458" i="20"/>
  <c r="J544" i="20"/>
  <c r="J613" i="20"/>
  <c r="J847" i="20"/>
  <c r="K107" i="2" l="1"/>
  <c r="K90" i="2"/>
  <c r="K81" i="2"/>
  <c r="E12" i="8"/>
  <c r="E11" i="8" s="1"/>
  <c r="E12" i="38"/>
  <c r="K632" i="2"/>
  <c r="H23" i="7" s="1"/>
  <c r="K23" i="7" s="1"/>
  <c r="M23" i="7" s="1"/>
  <c r="K162" i="2"/>
  <c r="H163" i="2"/>
  <c r="K163" i="2" s="1"/>
  <c r="L15" i="11"/>
  <c r="E9" i="15" s="1"/>
  <c r="E8" i="15" s="1"/>
  <c r="E13" i="15" s="1"/>
  <c r="K658" i="2"/>
  <c r="K623" i="2"/>
  <c r="H22" i="7" s="1"/>
  <c r="K22" i="7" s="1"/>
  <c r="M22" i="7" s="1"/>
  <c r="K862" i="2"/>
  <c r="H30" i="7" s="1"/>
  <c r="K30" i="7" s="1"/>
  <c r="M30" i="7" s="1"/>
  <c r="K568" i="2"/>
  <c r="K605" i="2"/>
  <c r="K317" i="2"/>
  <c r="K61" i="2"/>
  <c r="K58" i="2"/>
  <c r="H7" i="7"/>
  <c r="K7" i="7" s="1"/>
  <c r="M7" i="7" s="1"/>
  <c r="K68" i="2"/>
  <c r="K1096" i="2"/>
  <c r="H32" i="7" s="1"/>
  <c r="K32" i="7" s="1"/>
  <c r="M32" i="7" s="1"/>
  <c r="Q72" i="19"/>
  <c r="Q186" i="19" s="1"/>
  <c r="E11" i="38" s="1"/>
  <c r="Q116" i="19"/>
  <c r="R116" i="19" s="1"/>
  <c r="K428" i="2"/>
  <c r="K310" i="2"/>
  <c r="K360" i="2"/>
  <c r="K174" i="2"/>
  <c r="H10" i="7" s="1"/>
  <c r="K10" i="7" s="1"/>
  <c r="M10" i="7" s="1"/>
  <c r="H6" i="7"/>
  <c r="K6" i="7" s="1"/>
  <c r="M6" i="7" s="1"/>
  <c r="K238" i="2"/>
  <c r="H8" i="7"/>
  <c r="K8" i="7" s="1"/>
  <c r="M8" i="7" s="1"/>
  <c r="K265" i="2"/>
  <c r="K704" i="2"/>
  <c r="H26" i="7" s="1"/>
  <c r="K26" i="7" s="1"/>
  <c r="M26" i="7" s="1"/>
  <c r="J65" i="12"/>
  <c r="K807" i="2"/>
  <c r="Q150" i="19"/>
  <c r="R150" i="19" s="1"/>
  <c r="R117" i="19" s="1"/>
  <c r="K342" i="2"/>
  <c r="K378" i="2"/>
  <c r="K711" i="2"/>
  <c r="H27" i="7" s="1"/>
  <c r="K27" i="7" s="1"/>
  <c r="M27" i="7" s="1"/>
  <c r="K124" i="2"/>
  <c r="K127" i="2"/>
  <c r="K399" i="2"/>
  <c r="K844" i="2"/>
  <c r="H28" i="7" s="1"/>
  <c r="K28" i="7" s="1"/>
  <c r="M28" i="7" s="1"/>
  <c r="K826" i="2"/>
  <c r="K418" i="2"/>
  <c r="K587" i="2"/>
  <c r="H21" i="7" s="1"/>
  <c r="K21" i="7" s="1"/>
  <c r="M21" i="7" s="1"/>
  <c r="K369" i="2"/>
  <c r="K351" i="2"/>
  <c r="H13" i="7" s="1"/>
  <c r="K13" i="7" s="1"/>
  <c r="M13" i="7" s="1"/>
  <c r="K258" i="2"/>
  <c r="K690" i="2"/>
  <c r="H24" i="7" s="1"/>
  <c r="K24" i="7" s="1"/>
  <c r="M24" i="7" s="1"/>
  <c r="K133" i="2"/>
  <c r="K147" i="2"/>
  <c r="K212" i="2"/>
  <c r="K84" i="2"/>
  <c r="K164" i="2"/>
  <c r="J27" i="12"/>
  <c r="K409" i="2"/>
  <c r="K943" i="2"/>
  <c r="H31" i="7" s="1"/>
  <c r="K31" i="7" s="1"/>
  <c r="M31" i="7" s="1"/>
  <c r="K385" i="2"/>
  <c r="K326" i="2"/>
  <c r="H12" i="7" s="1"/>
  <c r="K12" i="7" s="1"/>
  <c r="M12" i="7" s="1"/>
  <c r="K191" i="2"/>
  <c r="H11" i="7" s="1"/>
  <c r="K11" i="7" s="1"/>
  <c r="M11" i="7" s="1"/>
  <c r="K272" i="2"/>
  <c r="K221" i="2"/>
  <c r="K697" i="2"/>
  <c r="H25" i="7" s="1"/>
  <c r="K25" i="7" s="1"/>
  <c r="M25" i="7" s="1"/>
  <c r="K75" i="2"/>
  <c r="K215" i="2"/>
  <c r="N7" i="34"/>
  <c r="L79" i="34"/>
  <c r="N13" i="31" s="1"/>
  <c r="C23" i="26" s="1"/>
  <c r="K418" i="23"/>
  <c r="K195" i="4"/>
  <c r="M163" i="4"/>
  <c r="K157" i="4"/>
  <c r="M161" i="4" s="1"/>
  <c r="M140" i="4"/>
  <c r="J133" i="20"/>
  <c r="J119" i="20"/>
  <c r="J1430" i="20" s="1"/>
  <c r="E1200" i="1"/>
  <c r="F1198" i="1"/>
  <c r="E1180" i="1"/>
  <c r="H65" i="11" s="1"/>
  <c r="K65" i="11" s="1"/>
  <c r="E1178" i="1"/>
  <c r="H66" i="11" s="1"/>
  <c r="K66" i="11" s="1"/>
  <c r="E1177" i="1"/>
  <c r="E1176" i="1"/>
  <c r="H64" i="11" s="1"/>
  <c r="K64" i="11" s="1"/>
  <c r="FE32" i="3"/>
  <c r="FD32" i="3"/>
  <c r="FC32" i="3"/>
  <c r="FB32" i="3"/>
  <c r="FA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J389" i="22"/>
  <c r="I389" i="22"/>
  <c r="H389" i="22"/>
  <c r="F389" i="22"/>
  <c r="E389" i="22"/>
  <c r="D389" i="22"/>
  <c r="J386" i="22"/>
  <c r="I386" i="22"/>
  <c r="H386" i="22"/>
  <c r="F386" i="22"/>
  <c r="E386" i="22"/>
  <c r="D386" i="22"/>
  <c r="J385" i="22"/>
  <c r="I385" i="22"/>
  <c r="H385" i="22"/>
  <c r="F385" i="22"/>
  <c r="E385" i="22"/>
  <c r="D385" i="22"/>
  <c r="J384" i="22"/>
  <c r="I384" i="22"/>
  <c r="H384" i="22"/>
  <c r="F384" i="22"/>
  <c r="E384" i="22"/>
  <c r="D384" i="22"/>
  <c r="O380" i="22"/>
  <c r="J380" i="22"/>
  <c r="M380" i="22" s="1"/>
  <c r="I380" i="22"/>
  <c r="H380" i="22"/>
  <c r="K380" i="22" s="1"/>
  <c r="F380" i="22"/>
  <c r="E380" i="22"/>
  <c r="D380" i="22"/>
  <c r="O379" i="22"/>
  <c r="J379" i="22"/>
  <c r="M379" i="22" s="1"/>
  <c r="I379" i="22"/>
  <c r="H379" i="22"/>
  <c r="K379" i="22" s="1"/>
  <c r="F379" i="22"/>
  <c r="E379" i="22"/>
  <c r="D379" i="22"/>
  <c r="O373" i="22"/>
  <c r="O369" i="22"/>
  <c r="M369" i="22"/>
  <c r="L369" i="22"/>
  <c r="K369" i="22"/>
  <c r="D369" i="22"/>
  <c r="D368" i="22"/>
  <c r="J367" i="22"/>
  <c r="I367" i="22"/>
  <c r="H367" i="22"/>
  <c r="F367" i="22"/>
  <c r="E367" i="22"/>
  <c r="D367" i="22"/>
  <c r="J366" i="22"/>
  <c r="I366" i="22"/>
  <c r="H366" i="22"/>
  <c r="F366" i="22"/>
  <c r="E366" i="22"/>
  <c r="D366" i="22"/>
  <c r="J365" i="22"/>
  <c r="I365" i="22"/>
  <c r="H365" i="22"/>
  <c r="F365" i="22"/>
  <c r="E365" i="22"/>
  <c r="D365" i="22"/>
  <c r="J364" i="22"/>
  <c r="I364" i="22"/>
  <c r="H364" i="22"/>
  <c r="F364" i="22"/>
  <c r="E364" i="22"/>
  <c r="D364" i="22"/>
  <c r="J363" i="22"/>
  <c r="I363" i="22"/>
  <c r="H363" i="22"/>
  <c r="F363" i="22"/>
  <c r="E363" i="22"/>
  <c r="D363" i="22"/>
  <c r="J362" i="22"/>
  <c r="I362" i="22"/>
  <c r="H362" i="22"/>
  <c r="F362" i="22"/>
  <c r="E362" i="22"/>
  <c r="D362" i="22"/>
  <c r="J361" i="22"/>
  <c r="I361" i="22"/>
  <c r="H361" i="22"/>
  <c r="F361" i="22"/>
  <c r="E361" i="22"/>
  <c r="D361" i="22"/>
  <c r="J360" i="22"/>
  <c r="I360" i="22"/>
  <c r="H360" i="22"/>
  <c r="F360" i="22"/>
  <c r="E360" i="22"/>
  <c r="D360" i="22"/>
  <c r="O359" i="22"/>
  <c r="J359" i="22"/>
  <c r="M359" i="22" s="1"/>
  <c r="I359" i="22"/>
  <c r="H359" i="22"/>
  <c r="K359" i="22" s="1"/>
  <c r="F359" i="22"/>
  <c r="E359" i="22"/>
  <c r="D359" i="22"/>
  <c r="O358" i="22"/>
  <c r="J358" i="22"/>
  <c r="M358" i="22" s="1"/>
  <c r="I358" i="22"/>
  <c r="H358" i="22"/>
  <c r="K358" i="22" s="1"/>
  <c r="F358" i="22"/>
  <c r="E358" i="22"/>
  <c r="D358" i="22"/>
  <c r="J357" i="22"/>
  <c r="I357" i="22"/>
  <c r="H357" i="22"/>
  <c r="F357" i="22"/>
  <c r="E357" i="22"/>
  <c r="D357" i="22"/>
  <c r="J356" i="22"/>
  <c r="I356" i="22"/>
  <c r="H356" i="22"/>
  <c r="F356" i="22"/>
  <c r="E356" i="22"/>
  <c r="D356" i="22"/>
  <c r="O351" i="22"/>
  <c r="J351" i="22"/>
  <c r="M351" i="22" s="1"/>
  <c r="I351" i="22"/>
  <c r="L351" i="22" s="1"/>
  <c r="H351" i="22"/>
  <c r="K351" i="22" s="1"/>
  <c r="F351" i="22"/>
  <c r="E351" i="22"/>
  <c r="D351" i="22"/>
  <c r="O348" i="22"/>
  <c r="M348" i="22"/>
  <c r="L348" i="22"/>
  <c r="K348" i="22"/>
  <c r="D348" i="22"/>
  <c r="D347" i="22"/>
  <c r="J346" i="22"/>
  <c r="I346" i="22"/>
  <c r="H346" i="22"/>
  <c r="F346" i="22"/>
  <c r="E346" i="22"/>
  <c r="D346" i="22"/>
  <c r="J345" i="22"/>
  <c r="I345" i="22"/>
  <c r="H345" i="22"/>
  <c r="F345" i="22"/>
  <c r="E345" i="22"/>
  <c r="D345" i="22"/>
  <c r="J344" i="22"/>
  <c r="I344" i="22"/>
  <c r="H344" i="22"/>
  <c r="F344" i="22"/>
  <c r="E344" i="22"/>
  <c r="D344" i="22"/>
  <c r="J343" i="22"/>
  <c r="I343" i="22"/>
  <c r="H343" i="22"/>
  <c r="F343" i="22"/>
  <c r="E343" i="22"/>
  <c r="D343" i="22"/>
  <c r="J342" i="22"/>
  <c r="I342" i="22"/>
  <c r="H342" i="22"/>
  <c r="F342" i="22"/>
  <c r="E342" i="22"/>
  <c r="D342" i="22"/>
  <c r="J341" i="22"/>
  <c r="I341" i="22"/>
  <c r="H341" i="22"/>
  <c r="F341" i="22"/>
  <c r="E341" i="22"/>
  <c r="D341" i="22"/>
  <c r="J340" i="22"/>
  <c r="I340" i="22"/>
  <c r="H340" i="22"/>
  <c r="F340" i="22"/>
  <c r="E340" i="22"/>
  <c r="D340" i="22"/>
  <c r="J339" i="22"/>
  <c r="I339" i="22"/>
  <c r="H339" i="22"/>
  <c r="F339" i="22"/>
  <c r="E339" i="22"/>
  <c r="D339" i="22"/>
  <c r="O338" i="22"/>
  <c r="J338" i="22"/>
  <c r="M338" i="22" s="1"/>
  <c r="I338" i="22"/>
  <c r="H338" i="22"/>
  <c r="K338" i="22" s="1"/>
  <c r="F338" i="22"/>
  <c r="E338" i="22"/>
  <c r="D338" i="22"/>
  <c r="O337" i="22"/>
  <c r="J337" i="22"/>
  <c r="M337" i="22" s="1"/>
  <c r="I337" i="22"/>
  <c r="H337" i="22"/>
  <c r="K337" i="22" s="1"/>
  <c r="F337" i="22"/>
  <c r="E337" i="22"/>
  <c r="D337" i="22"/>
  <c r="J336" i="22"/>
  <c r="I336" i="22"/>
  <c r="H336" i="22"/>
  <c r="F336" i="22"/>
  <c r="E336" i="22"/>
  <c r="D336" i="22"/>
  <c r="J335" i="22"/>
  <c r="I335" i="22"/>
  <c r="H335" i="22"/>
  <c r="F335" i="22"/>
  <c r="E335" i="22"/>
  <c r="D335" i="22"/>
  <c r="O330" i="22"/>
  <c r="J330" i="22"/>
  <c r="M330" i="22" s="1"/>
  <c r="I330" i="22"/>
  <c r="L330" i="22" s="1"/>
  <c r="H330" i="22"/>
  <c r="K330" i="22" s="1"/>
  <c r="F330" i="22"/>
  <c r="E330" i="22"/>
  <c r="D330" i="22"/>
  <c r="O327" i="22"/>
  <c r="M327" i="22"/>
  <c r="L327" i="22"/>
  <c r="K327" i="22"/>
  <c r="D327" i="22"/>
  <c r="D326" i="22"/>
  <c r="J325" i="22"/>
  <c r="I325" i="22"/>
  <c r="H325" i="22"/>
  <c r="F325" i="22"/>
  <c r="E325" i="22"/>
  <c r="D325" i="22"/>
  <c r="J324" i="22"/>
  <c r="I324" i="22"/>
  <c r="H324" i="22"/>
  <c r="F324" i="22"/>
  <c r="E324" i="22"/>
  <c r="D324" i="22"/>
  <c r="J323" i="22"/>
  <c r="I323" i="22"/>
  <c r="H323" i="22"/>
  <c r="F323" i="22"/>
  <c r="D323" i="22"/>
  <c r="J322" i="22"/>
  <c r="I322" i="22"/>
  <c r="H322" i="22"/>
  <c r="F322" i="22"/>
  <c r="E322" i="22"/>
  <c r="D322" i="22"/>
  <c r="J321" i="22"/>
  <c r="I321" i="22"/>
  <c r="H321" i="22"/>
  <c r="F321" i="22"/>
  <c r="E321" i="22"/>
  <c r="D321" i="22"/>
  <c r="J320" i="22"/>
  <c r="I320" i="22"/>
  <c r="H320" i="22"/>
  <c r="F320" i="22"/>
  <c r="E320" i="22"/>
  <c r="D320" i="22"/>
  <c r="J319" i="22"/>
  <c r="I319" i="22"/>
  <c r="H319" i="22"/>
  <c r="F319" i="22"/>
  <c r="E319" i="22"/>
  <c r="D319" i="22"/>
  <c r="J318" i="22"/>
  <c r="I318" i="22"/>
  <c r="H318" i="22"/>
  <c r="F318" i="22"/>
  <c r="E318" i="22"/>
  <c r="D318" i="22"/>
  <c r="O317" i="22"/>
  <c r="J317" i="22"/>
  <c r="M317" i="22" s="1"/>
  <c r="I317" i="22"/>
  <c r="H317" i="22"/>
  <c r="K317" i="22" s="1"/>
  <c r="F317" i="22"/>
  <c r="E317" i="22"/>
  <c r="D317" i="22"/>
  <c r="O316" i="22"/>
  <c r="J316" i="22"/>
  <c r="M316" i="22" s="1"/>
  <c r="I316" i="22"/>
  <c r="H316" i="22"/>
  <c r="K316" i="22" s="1"/>
  <c r="F316" i="22"/>
  <c r="E316" i="22"/>
  <c r="D316" i="22"/>
  <c r="J315" i="22"/>
  <c r="I315" i="22"/>
  <c r="H315" i="22"/>
  <c r="F315" i="22"/>
  <c r="E315" i="22"/>
  <c r="D315" i="22"/>
  <c r="J314" i="22"/>
  <c r="I314" i="22"/>
  <c r="H314" i="22"/>
  <c r="F314" i="22"/>
  <c r="E314" i="22"/>
  <c r="D314" i="22"/>
  <c r="J309" i="22"/>
  <c r="I309" i="22"/>
  <c r="H309" i="22"/>
  <c r="F309" i="22"/>
  <c r="E309" i="22"/>
  <c r="D309" i="22"/>
  <c r="O306" i="22"/>
  <c r="M306" i="22"/>
  <c r="L306" i="22"/>
  <c r="K306" i="22"/>
  <c r="D306" i="22"/>
  <c r="D305" i="22"/>
  <c r="J304" i="22"/>
  <c r="I304" i="22"/>
  <c r="H304" i="22"/>
  <c r="F304" i="22"/>
  <c r="E304" i="22"/>
  <c r="D304" i="22"/>
  <c r="J303" i="22"/>
  <c r="I303" i="22"/>
  <c r="H303" i="22"/>
  <c r="G303" i="22"/>
  <c r="O303" i="22" s="1"/>
  <c r="F303" i="22"/>
  <c r="E303" i="22"/>
  <c r="D303" i="22"/>
  <c r="J302" i="22"/>
  <c r="I302" i="22"/>
  <c r="H302" i="22"/>
  <c r="G302" i="22"/>
  <c r="O302" i="22" s="1"/>
  <c r="F302" i="22"/>
  <c r="E302" i="22"/>
  <c r="D302" i="22"/>
  <c r="O301" i="22"/>
  <c r="J301" i="22"/>
  <c r="M301" i="22" s="1"/>
  <c r="I301" i="22"/>
  <c r="L301" i="22" s="1"/>
  <c r="H301" i="22"/>
  <c r="K301" i="22" s="1"/>
  <c r="F301" i="22"/>
  <c r="E301" i="22"/>
  <c r="D301" i="22"/>
  <c r="J300" i="22"/>
  <c r="I300" i="22"/>
  <c r="H300" i="22"/>
  <c r="F300" i="22"/>
  <c r="E300" i="22"/>
  <c r="D300" i="22"/>
  <c r="J299" i="22"/>
  <c r="I299" i="22"/>
  <c r="H299" i="22"/>
  <c r="F299" i="22"/>
  <c r="E299" i="22"/>
  <c r="D299" i="22"/>
  <c r="J298" i="22"/>
  <c r="I298" i="22"/>
  <c r="H298" i="22"/>
  <c r="F298" i="22"/>
  <c r="E298" i="22"/>
  <c r="D298" i="22"/>
  <c r="J297" i="22"/>
  <c r="I297" i="22"/>
  <c r="H297" i="22"/>
  <c r="F297" i="22"/>
  <c r="E297" i="22"/>
  <c r="D297" i="22"/>
  <c r="O296" i="22"/>
  <c r="M296" i="22"/>
  <c r="L296" i="22"/>
  <c r="K296" i="22"/>
  <c r="D296" i="22"/>
  <c r="D295" i="22"/>
  <c r="J294" i="22"/>
  <c r="I294" i="22"/>
  <c r="H294" i="22"/>
  <c r="F294" i="22"/>
  <c r="E294" i="22"/>
  <c r="D294" i="22"/>
  <c r="J293" i="22"/>
  <c r="I293" i="22"/>
  <c r="H293" i="22"/>
  <c r="G293" i="22"/>
  <c r="O293" i="22" s="1"/>
  <c r="F293" i="22"/>
  <c r="E293" i="22"/>
  <c r="D293" i="22"/>
  <c r="J292" i="22"/>
  <c r="I292" i="22"/>
  <c r="H292" i="22"/>
  <c r="G292" i="22"/>
  <c r="F292" i="22"/>
  <c r="E292" i="22"/>
  <c r="D292" i="22"/>
  <c r="O291" i="22"/>
  <c r="J291" i="22"/>
  <c r="M291" i="22" s="1"/>
  <c r="I291" i="22"/>
  <c r="L291" i="22" s="1"/>
  <c r="H291" i="22"/>
  <c r="K291" i="22" s="1"/>
  <c r="F291" i="22"/>
  <c r="E291" i="22"/>
  <c r="D291" i="22"/>
  <c r="J290" i="22"/>
  <c r="I290" i="22"/>
  <c r="H290" i="22"/>
  <c r="F290" i="22"/>
  <c r="E290" i="22"/>
  <c r="D290" i="22"/>
  <c r="J289" i="22"/>
  <c r="I289" i="22"/>
  <c r="H289" i="22"/>
  <c r="F289" i="22"/>
  <c r="E289" i="22"/>
  <c r="D289" i="22"/>
  <c r="J288" i="22"/>
  <c r="I288" i="22"/>
  <c r="H288" i="22"/>
  <c r="F288" i="22"/>
  <c r="E288" i="22"/>
  <c r="D288" i="22"/>
  <c r="J287" i="22"/>
  <c r="I287" i="22"/>
  <c r="H287" i="22"/>
  <c r="F287" i="22"/>
  <c r="E287" i="22"/>
  <c r="D287" i="22"/>
  <c r="J286" i="22"/>
  <c r="I286" i="22"/>
  <c r="H286" i="22"/>
  <c r="F286" i="22"/>
  <c r="E286" i="22"/>
  <c r="D286" i="22"/>
  <c r="J285" i="22"/>
  <c r="I285" i="22"/>
  <c r="H285" i="22"/>
  <c r="F285" i="22"/>
  <c r="E285" i="22"/>
  <c r="D285" i="22"/>
  <c r="O284" i="22"/>
  <c r="M284" i="22"/>
  <c r="L284" i="22"/>
  <c r="K284" i="22"/>
  <c r="D284" i="22"/>
  <c r="D283" i="22"/>
  <c r="J282" i="22"/>
  <c r="I282" i="22"/>
  <c r="H282" i="22"/>
  <c r="F282" i="22"/>
  <c r="E282" i="22"/>
  <c r="D282" i="22"/>
  <c r="J281" i="22"/>
  <c r="I281" i="22"/>
  <c r="H281" i="22"/>
  <c r="F281" i="22"/>
  <c r="E281" i="22"/>
  <c r="D281" i="22"/>
  <c r="J279" i="22"/>
  <c r="I279" i="22"/>
  <c r="H279" i="22"/>
  <c r="F279" i="22"/>
  <c r="E279" i="22"/>
  <c r="D279" i="22"/>
  <c r="J278" i="22"/>
  <c r="I278" i="22"/>
  <c r="H278" i="22"/>
  <c r="F278" i="22"/>
  <c r="E278" i="22"/>
  <c r="D278" i="22"/>
  <c r="O277" i="22"/>
  <c r="M277" i="22"/>
  <c r="L277" i="22"/>
  <c r="K277" i="22"/>
  <c r="D277" i="22"/>
  <c r="D276" i="22"/>
  <c r="J275" i="22"/>
  <c r="I275" i="22"/>
  <c r="H275" i="22"/>
  <c r="F275" i="22"/>
  <c r="E275" i="22"/>
  <c r="D275" i="22"/>
  <c r="J274" i="22"/>
  <c r="I274" i="22"/>
  <c r="H274" i="22"/>
  <c r="F274" i="22"/>
  <c r="E274" i="22"/>
  <c r="D274" i="22"/>
  <c r="J273" i="22"/>
  <c r="I273" i="22"/>
  <c r="H273" i="22"/>
  <c r="F273" i="22"/>
  <c r="E273" i="22"/>
  <c r="D273" i="22"/>
  <c r="J272" i="22"/>
  <c r="I272" i="22"/>
  <c r="H272" i="22"/>
  <c r="F272" i="22"/>
  <c r="E272" i="22"/>
  <c r="D272" i="22"/>
  <c r="O269" i="22"/>
  <c r="M269" i="22"/>
  <c r="L269" i="22"/>
  <c r="K269" i="22"/>
  <c r="D269" i="22"/>
  <c r="D268" i="22"/>
  <c r="J267" i="22"/>
  <c r="I267" i="22"/>
  <c r="H267" i="22"/>
  <c r="F267" i="22"/>
  <c r="E267" i="22"/>
  <c r="D267" i="22"/>
  <c r="J266" i="22"/>
  <c r="I266" i="22"/>
  <c r="H266" i="22"/>
  <c r="F266" i="22"/>
  <c r="E266" i="22"/>
  <c r="D266" i="22"/>
  <c r="J265" i="22"/>
  <c r="I265" i="22"/>
  <c r="H265" i="22"/>
  <c r="F265" i="22"/>
  <c r="E265" i="22"/>
  <c r="D265" i="22"/>
  <c r="J264" i="22"/>
  <c r="I264" i="22"/>
  <c r="H264" i="22"/>
  <c r="F264" i="22"/>
  <c r="E264" i="22"/>
  <c r="D264" i="22"/>
  <c r="O263" i="22"/>
  <c r="M263" i="22"/>
  <c r="L263" i="22"/>
  <c r="K263" i="22"/>
  <c r="D263" i="22"/>
  <c r="D262" i="22"/>
  <c r="J261" i="22"/>
  <c r="I261" i="22"/>
  <c r="H261" i="22"/>
  <c r="F261" i="22"/>
  <c r="E261" i="22"/>
  <c r="D261" i="22"/>
  <c r="J260" i="22"/>
  <c r="I260" i="22"/>
  <c r="H260" i="22"/>
  <c r="F260" i="22"/>
  <c r="E260" i="22"/>
  <c r="D260" i="22"/>
  <c r="J259" i="22"/>
  <c r="I259" i="22"/>
  <c r="H259" i="22"/>
  <c r="F259" i="22"/>
  <c r="E259" i="22"/>
  <c r="D259" i="22"/>
  <c r="J258" i="22"/>
  <c r="I258" i="22"/>
  <c r="H258" i="22"/>
  <c r="F258" i="22"/>
  <c r="E258" i="22"/>
  <c r="D258" i="22"/>
  <c r="J257" i="22"/>
  <c r="I257" i="22"/>
  <c r="H257" i="22"/>
  <c r="F257" i="22"/>
  <c r="E257" i="22"/>
  <c r="D257" i="22"/>
  <c r="J256" i="22"/>
  <c r="I256" i="22"/>
  <c r="H256" i="22"/>
  <c r="F256" i="22"/>
  <c r="E256" i="22"/>
  <c r="D256" i="22"/>
  <c r="J255" i="22"/>
  <c r="I255" i="22"/>
  <c r="H255" i="22"/>
  <c r="F255" i="22"/>
  <c r="E255" i="22"/>
  <c r="D255" i="22"/>
  <c r="J254" i="22"/>
  <c r="I254" i="22"/>
  <c r="H254" i="22"/>
  <c r="F254" i="22"/>
  <c r="E254" i="22"/>
  <c r="D254" i="22"/>
  <c r="J253" i="22"/>
  <c r="I253" i="22"/>
  <c r="H253" i="22"/>
  <c r="F253" i="22"/>
  <c r="E253" i="22"/>
  <c r="D253" i="22"/>
  <c r="J252" i="22"/>
  <c r="I252" i="22"/>
  <c r="H252" i="22"/>
  <c r="F252" i="22"/>
  <c r="E252" i="22"/>
  <c r="D252" i="22"/>
  <c r="J251" i="22"/>
  <c r="I251" i="22"/>
  <c r="H251" i="22"/>
  <c r="F251" i="22"/>
  <c r="E251" i="22"/>
  <c r="D251" i="22"/>
  <c r="J250" i="22"/>
  <c r="I250" i="22"/>
  <c r="H250" i="22"/>
  <c r="F250" i="22"/>
  <c r="E250" i="22"/>
  <c r="D250" i="22"/>
  <c r="J249" i="22"/>
  <c r="I249" i="22"/>
  <c r="H249" i="22"/>
  <c r="F249" i="22"/>
  <c r="E249" i="22"/>
  <c r="D249" i="22"/>
  <c r="J248" i="22"/>
  <c r="I248" i="22"/>
  <c r="H248" i="22"/>
  <c r="F248" i="22"/>
  <c r="E248" i="22"/>
  <c r="D248" i="22"/>
  <c r="O247" i="22"/>
  <c r="M247" i="22"/>
  <c r="L247" i="22"/>
  <c r="K247" i="22"/>
  <c r="D247" i="22"/>
  <c r="D246" i="22"/>
  <c r="J245" i="22"/>
  <c r="I245" i="22"/>
  <c r="H245" i="22"/>
  <c r="F245" i="22"/>
  <c r="E245" i="22"/>
  <c r="D245" i="22"/>
  <c r="J244" i="22"/>
  <c r="I244" i="22"/>
  <c r="H244" i="22"/>
  <c r="F244" i="22"/>
  <c r="E244" i="22"/>
  <c r="D244" i="22"/>
  <c r="J243" i="22"/>
  <c r="I243" i="22"/>
  <c r="H243" i="22"/>
  <c r="F243" i="22"/>
  <c r="E243" i="22"/>
  <c r="D243" i="22"/>
  <c r="J242" i="22"/>
  <c r="I242" i="22"/>
  <c r="H242" i="22"/>
  <c r="F242" i="22"/>
  <c r="E242" i="22"/>
  <c r="D242" i="22"/>
  <c r="J241" i="22"/>
  <c r="I241" i="22"/>
  <c r="H241" i="22"/>
  <c r="F241" i="22"/>
  <c r="E241" i="22"/>
  <c r="D241" i="22"/>
  <c r="O240" i="22"/>
  <c r="M240" i="22"/>
  <c r="L240" i="22"/>
  <c r="K240" i="22"/>
  <c r="D240" i="22"/>
  <c r="G239" i="22"/>
  <c r="D239" i="22"/>
  <c r="J238" i="22"/>
  <c r="I238" i="22"/>
  <c r="H238" i="22"/>
  <c r="F238" i="22"/>
  <c r="E238" i="22"/>
  <c r="D238" i="22"/>
  <c r="J237" i="22"/>
  <c r="I237" i="22"/>
  <c r="H237" i="22"/>
  <c r="F237" i="22"/>
  <c r="E237" i="22"/>
  <c r="D237" i="22"/>
  <c r="J236" i="22"/>
  <c r="I236" i="22"/>
  <c r="H236" i="22"/>
  <c r="F236" i="22"/>
  <c r="E236" i="22"/>
  <c r="D236" i="22"/>
  <c r="J235" i="22"/>
  <c r="I235" i="22"/>
  <c r="H235" i="22"/>
  <c r="F235" i="22"/>
  <c r="E235" i="22"/>
  <c r="D235" i="22"/>
  <c r="J234" i="22"/>
  <c r="I234" i="22"/>
  <c r="H234" i="22"/>
  <c r="F234" i="22"/>
  <c r="E234" i="22"/>
  <c r="D234" i="22"/>
  <c r="O233" i="22"/>
  <c r="M233" i="22"/>
  <c r="L233" i="22"/>
  <c r="K233" i="22"/>
  <c r="D233" i="22"/>
  <c r="D232" i="22"/>
  <c r="J231" i="22"/>
  <c r="I231" i="22"/>
  <c r="H231" i="22"/>
  <c r="F231" i="22"/>
  <c r="E231" i="22"/>
  <c r="D231" i="22"/>
  <c r="J230" i="22"/>
  <c r="I230" i="22"/>
  <c r="H230" i="22"/>
  <c r="F230" i="22"/>
  <c r="E230" i="22"/>
  <c r="D230" i="22"/>
  <c r="J229" i="22"/>
  <c r="I229" i="22"/>
  <c r="H229" i="22"/>
  <c r="F229" i="22"/>
  <c r="E229" i="22"/>
  <c r="D229" i="22"/>
  <c r="J228" i="22"/>
  <c r="I228" i="22"/>
  <c r="H228" i="22"/>
  <c r="F228" i="22"/>
  <c r="E228" i="22"/>
  <c r="D228" i="22"/>
  <c r="J227" i="22"/>
  <c r="I227" i="22"/>
  <c r="H227" i="22"/>
  <c r="F227" i="22"/>
  <c r="E227" i="22"/>
  <c r="D227" i="22"/>
  <c r="O226" i="22"/>
  <c r="M226" i="22"/>
  <c r="L226" i="22"/>
  <c r="K226" i="22"/>
  <c r="D226" i="22"/>
  <c r="D225" i="22"/>
  <c r="J224" i="22"/>
  <c r="I224" i="22"/>
  <c r="H224" i="22"/>
  <c r="F224" i="22"/>
  <c r="E224" i="22"/>
  <c r="D224" i="22"/>
  <c r="J223" i="22"/>
  <c r="I223" i="22"/>
  <c r="H223" i="22"/>
  <c r="F223" i="22"/>
  <c r="E223" i="22"/>
  <c r="D223" i="22"/>
  <c r="J222" i="22"/>
  <c r="I222" i="22"/>
  <c r="H222" i="22"/>
  <c r="F222" i="22"/>
  <c r="E222" i="22"/>
  <c r="D222" i="22"/>
  <c r="J221" i="22"/>
  <c r="I221" i="22"/>
  <c r="H221" i="22"/>
  <c r="F221" i="22"/>
  <c r="E221" i="22"/>
  <c r="D221" i="22"/>
  <c r="J220" i="22"/>
  <c r="I220" i="22"/>
  <c r="H220" i="22"/>
  <c r="F220" i="22"/>
  <c r="E220" i="22"/>
  <c r="D220" i="22"/>
  <c r="O219" i="22"/>
  <c r="M219" i="22"/>
  <c r="L219" i="22"/>
  <c r="K219" i="22"/>
  <c r="D219" i="22"/>
  <c r="D218" i="22"/>
  <c r="J70" i="22"/>
  <c r="I70" i="22"/>
  <c r="H70" i="22"/>
  <c r="F70" i="22"/>
  <c r="E70" i="22"/>
  <c r="D70" i="22"/>
  <c r="J69" i="22"/>
  <c r="I69" i="22"/>
  <c r="H69" i="22"/>
  <c r="F69" i="22"/>
  <c r="E69" i="22"/>
  <c r="D69" i="22"/>
  <c r="J68" i="22"/>
  <c r="I68" i="22"/>
  <c r="H68" i="22"/>
  <c r="F68" i="22"/>
  <c r="E68" i="22"/>
  <c r="D68" i="22"/>
  <c r="J67" i="22"/>
  <c r="I67" i="22"/>
  <c r="H67" i="22"/>
  <c r="F67" i="22"/>
  <c r="E67" i="22"/>
  <c r="D67" i="22"/>
  <c r="J66" i="22"/>
  <c r="I66" i="22"/>
  <c r="H66" i="22"/>
  <c r="F66" i="22"/>
  <c r="E66" i="22"/>
  <c r="D66" i="22"/>
  <c r="J65" i="22"/>
  <c r="I65" i="22"/>
  <c r="F65" i="22"/>
  <c r="E65" i="22"/>
  <c r="D65" i="22"/>
  <c r="J64" i="22"/>
  <c r="I64" i="22"/>
  <c r="H64" i="22"/>
  <c r="F64" i="22"/>
  <c r="E64" i="22"/>
  <c r="D64" i="22"/>
  <c r="O63" i="22"/>
  <c r="M63" i="22"/>
  <c r="L63" i="22"/>
  <c r="K63" i="22"/>
  <c r="D63" i="22"/>
  <c r="G62" i="22"/>
  <c r="D62" i="22"/>
  <c r="J58" i="22"/>
  <c r="I58" i="22"/>
  <c r="H58" i="22"/>
  <c r="F58" i="22"/>
  <c r="E58" i="22"/>
  <c r="D58" i="22"/>
  <c r="J56" i="22"/>
  <c r="I56" i="22"/>
  <c r="H56" i="22"/>
  <c r="F56" i="22"/>
  <c r="E56" i="22"/>
  <c r="D56" i="22"/>
  <c r="J55" i="22"/>
  <c r="I55" i="22"/>
  <c r="H55" i="22"/>
  <c r="F55" i="22"/>
  <c r="E55" i="22"/>
  <c r="D55" i="22"/>
  <c r="J54" i="22"/>
  <c r="I54" i="22"/>
  <c r="H54" i="22"/>
  <c r="F54" i="22"/>
  <c r="E54" i="22"/>
  <c r="D54" i="22"/>
  <c r="J53" i="22"/>
  <c r="I53" i="22"/>
  <c r="H53" i="22"/>
  <c r="F53" i="22"/>
  <c r="E53" i="22"/>
  <c r="D53" i="22"/>
  <c r="O52" i="22"/>
  <c r="M52" i="22"/>
  <c r="L52" i="22"/>
  <c r="K52" i="22"/>
  <c r="D52" i="22"/>
  <c r="D51" i="22"/>
  <c r="J50" i="22"/>
  <c r="I50" i="22"/>
  <c r="H50" i="22"/>
  <c r="F50" i="22"/>
  <c r="E50" i="22"/>
  <c r="D50" i="22"/>
  <c r="J49" i="22"/>
  <c r="I49" i="22"/>
  <c r="H49" i="22"/>
  <c r="F49" i="22"/>
  <c r="E49" i="22"/>
  <c r="D49" i="22"/>
  <c r="J48" i="22"/>
  <c r="I48" i="22"/>
  <c r="H48" i="22"/>
  <c r="F48" i="22"/>
  <c r="E48" i="22"/>
  <c r="D48" i="22"/>
  <c r="J47" i="22"/>
  <c r="I47" i="22"/>
  <c r="H47" i="22"/>
  <c r="F47" i="22"/>
  <c r="E47" i="22"/>
  <c r="D47" i="22"/>
  <c r="J46" i="22"/>
  <c r="I46" i="22"/>
  <c r="H46" i="22"/>
  <c r="F46" i="22"/>
  <c r="E46" i="22"/>
  <c r="D46" i="22"/>
  <c r="O45" i="22"/>
  <c r="M45" i="22"/>
  <c r="L45" i="22"/>
  <c r="K45" i="22"/>
  <c r="D45" i="22"/>
  <c r="D44" i="22"/>
  <c r="J43" i="22"/>
  <c r="I43" i="22"/>
  <c r="H43" i="22"/>
  <c r="G43" i="22"/>
  <c r="O43" i="22" s="1"/>
  <c r="F43" i="22"/>
  <c r="E43" i="22"/>
  <c r="D43" i="22"/>
  <c r="J42" i="22"/>
  <c r="I42" i="22"/>
  <c r="H42" i="22"/>
  <c r="G42" i="22"/>
  <c r="O42" i="22" s="1"/>
  <c r="F42" i="22"/>
  <c r="E42" i="22"/>
  <c r="D42" i="22"/>
  <c r="J41" i="22"/>
  <c r="I41" i="22"/>
  <c r="H41" i="22"/>
  <c r="G41" i="22"/>
  <c r="F41" i="22"/>
  <c r="E41" i="22"/>
  <c r="D41" i="22"/>
  <c r="J40" i="22"/>
  <c r="I40" i="22"/>
  <c r="H40" i="22"/>
  <c r="G40" i="22"/>
  <c r="F40" i="22"/>
  <c r="E40" i="22"/>
  <c r="D40" i="22"/>
  <c r="O39" i="22"/>
  <c r="M39" i="22"/>
  <c r="L39" i="22"/>
  <c r="K39" i="22"/>
  <c r="D39" i="22"/>
  <c r="O38" i="22"/>
  <c r="M38" i="22"/>
  <c r="L38" i="22"/>
  <c r="K38" i="22"/>
  <c r="D38" i="22"/>
  <c r="C38" i="22"/>
  <c r="J37" i="22"/>
  <c r="I37" i="22"/>
  <c r="H37" i="22"/>
  <c r="F37" i="22"/>
  <c r="E37" i="22"/>
  <c r="D37" i="22"/>
  <c r="J36" i="22"/>
  <c r="I36" i="22"/>
  <c r="H36" i="22"/>
  <c r="F36" i="22"/>
  <c r="E36" i="22"/>
  <c r="D36" i="22"/>
  <c r="J35" i="22"/>
  <c r="I35" i="22"/>
  <c r="H35" i="22"/>
  <c r="F35" i="22"/>
  <c r="E35" i="22"/>
  <c r="D35" i="22"/>
  <c r="J34" i="22"/>
  <c r="I34" i="22"/>
  <c r="H34" i="22"/>
  <c r="F34" i="22"/>
  <c r="E34" i="22"/>
  <c r="D34" i="22"/>
  <c r="O33" i="22"/>
  <c r="M33" i="22"/>
  <c r="L33" i="22"/>
  <c r="K33" i="22"/>
  <c r="D33" i="22"/>
  <c r="D32" i="22"/>
  <c r="O31" i="22"/>
  <c r="J31" i="22"/>
  <c r="M31" i="22" s="1"/>
  <c r="I31" i="22"/>
  <c r="L31" i="22" s="1"/>
  <c r="H31" i="22"/>
  <c r="K31" i="22" s="1"/>
  <c r="F31" i="22"/>
  <c r="E31" i="22"/>
  <c r="D31" i="22"/>
  <c r="O30" i="22"/>
  <c r="J30" i="22"/>
  <c r="M30" i="22" s="1"/>
  <c r="I30" i="22"/>
  <c r="L30" i="22" s="1"/>
  <c r="H30" i="22"/>
  <c r="K30" i="22" s="1"/>
  <c r="F30" i="22"/>
  <c r="E30" i="22"/>
  <c r="D30" i="22"/>
  <c r="J29" i="22"/>
  <c r="I29" i="22"/>
  <c r="H29" i="22"/>
  <c r="F29" i="22"/>
  <c r="E29" i="22"/>
  <c r="D29" i="22"/>
  <c r="O28" i="22"/>
  <c r="M28" i="22"/>
  <c r="L28" i="22"/>
  <c r="K28" i="22"/>
  <c r="D28" i="22"/>
  <c r="D27" i="22"/>
  <c r="J26" i="22"/>
  <c r="I26" i="22"/>
  <c r="H26" i="22"/>
  <c r="F26" i="22"/>
  <c r="E26" i="22"/>
  <c r="D26" i="22"/>
  <c r="J25" i="22"/>
  <c r="I25" i="22"/>
  <c r="H25" i="22"/>
  <c r="F25" i="22"/>
  <c r="E25" i="22"/>
  <c r="D25" i="22"/>
  <c r="O23" i="22"/>
  <c r="M23" i="22"/>
  <c r="L23" i="22"/>
  <c r="K23" i="22"/>
  <c r="D23" i="22"/>
  <c r="D22" i="22"/>
  <c r="J21" i="22"/>
  <c r="I21" i="22"/>
  <c r="H21" i="22"/>
  <c r="F21" i="22"/>
  <c r="E21" i="22"/>
  <c r="D21" i="22"/>
  <c r="J20" i="22"/>
  <c r="I20" i="22"/>
  <c r="H20" i="22"/>
  <c r="F20" i="22"/>
  <c r="E20" i="22"/>
  <c r="D20" i="22"/>
  <c r="J19" i="22"/>
  <c r="I19" i="22"/>
  <c r="H19" i="22"/>
  <c r="F19" i="22"/>
  <c r="E19" i="22"/>
  <c r="D19" i="22"/>
  <c r="O18" i="22"/>
  <c r="M18" i="22"/>
  <c r="L18" i="22"/>
  <c r="K18" i="22"/>
  <c r="D18" i="22"/>
  <c r="D17" i="22"/>
  <c r="O14" i="22"/>
  <c r="J14" i="22"/>
  <c r="M14" i="22" s="1"/>
  <c r="I14" i="22"/>
  <c r="L14" i="22" s="1"/>
  <c r="H14" i="22"/>
  <c r="K14" i="22" s="1"/>
  <c r="E14" i="22"/>
  <c r="D14" i="22"/>
  <c r="G12" i="22"/>
  <c r="O12" i="22" s="1"/>
  <c r="G10" i="22"/>
  <c r="G389" i="22" s="1"/>
  <c r="O389" i="22" s="1"/>
  <c r="J9" i="22"/>
  <c r="I9" i="22"/>
  <c r="H9" i="22"/>
  <c r="F9" i="22"/>
  <c r="E9" i="22"/>
  <c r="D9" i="22"/>
  <c r="J7" i="22"/>
  <c r="I7" i="22"/>
  <c r="H7" i="22"/>
  <c r="F7" i="22"/>
  <c r="E7" i="22"/>
  <c r="D7" i="22"/>
  <c r="G6" i="22"/>
  <c r="G59" i="22" s="1"/>
  <c r="I6" i="22"/>
  <c r="O4" i="22"/>
  <c r="B4" i="22"/>
  <c r="N1120" i="23"/>
  <c r="M1120" i="23"/>
  <c r="I1119" i="23"/>
  <c r="H1119" i="23"/>
  <c r="G1119" i="23"/>
  <c r="F1119" i="23"/>
  <c r="E1119" i="23"/>
  <c r="D1119" i="23"/>
  <c r="C1119" i="23"/>
  <c r="I1118" i="23"/>
  <c r="H1118" i="23"/>
  <c r="G1118" i="23"/>
  <c r="F1118" i="23"/>
  <c r="N1118" i="23" s="1"/>
  <c r="E1118" i="23"/>
  <c r="D1118" i="23"/>
  <c r="C1118" i="23"/>
  <c r="I1117" i="23"/>
  <c r="H1117" i="23"/>
  <c r="G1117" i="23"/>
  <c r="F1117" i="23"/>
  <c r="M1117" i="23" s="1"/>
  <c r="E1117" i="23"/>
  <c r="D1117" i="23"/>
  <c r="C1117" i="23"/>
  <c r="I1116" i="23"/>
  <c r="H1116" i="23"/>
  <c r="G1116" i="23"/>
  <c r="F1116" i="23"/>
  <c r="N1116" i="23" s="1"/>
  <c r="E1116" i="23"/>
  <c r="D1116" i="23"/>
  <c r="C1116" i="23"/>
  <c r="I1115" i="23"/>
  <c r="H1115" i="23"/>
  <c r="G1115" i="23"/>
  <c r="F1115" i="23"/>
  <c r="N1115" i="23" s="1"/>
  <c r="E1115" i="23"/>
  <c r="D1115" i="23"/>
  <c r="C1115" i="23"/>
  <c r="I1114" i="23"/>
  <c r="H1114" i="23"/>
  <c r="G1114" i="23"/>
  <c r="F1114" i="23"/>
  <c r="N1114" i="23" s="1"/>
  <c r="E1114" i="23"/>
  <c r="D1114" i="23"/>
  <c r="C1114" i="23"/>
  <c r="I1113" i="23"/>
  <c r="H1113" i="23"/>
  <c r="G1113" i="23"/>
  <c r="F1113" i="23"/>
  <c r="N1113" i="23" s="1"/>
  <c r="E1113" i="23"/>
  <c r="D1113" i="23"/>
  <c r="C1113" i="23"/>
  <c r="I1112" i="23"/>
  <c r="H1112" i="23"/>
  <c r="G1112" i="23"/>
  <c r="F1112" i="23"/>
  <c r="N1112" i="23" s="1"/>
  <c r="E1112" i="23"/>
  <c r="D1112" i="23"/>
  <c r="C1112" i="23"/>
  <c r="I1111" i="23"/>
  <c r="H1111" i="23"/>
  <c r="G1111" i="23"/>
  <c r="F1111" i="23"/>
  <c r="N1111" i="23" s="1"/>
  <c r="E1111" i="23"/>
  <c r="D1111" i="23"/>
  <c r="C1111" i="23"/>
  <c r="I1110" i="23"/>
  <c r="H1110" i="23"/>
  <c r="G1110" i="23"/>
  <c r="F1110" i="23"/>
  <c r="N1110" i="23" s="1"/>
  <c r="E1110" i="23"/>
  <c r="D1110" i="23"/>
  <c r="C1110" i="23"/>
  <c r="I1109" i="23"/>
  <c r="H1109" i="23"/>
  <c r="G1109" i="23"/>
  <c r="F1109" i="23"/>
  <c r="N1109" i="23" s="1"/>
  <c r="E1109" i="23"/>
  <c r="D1109" i="23"/>
  <c r="C1109" i="23"/>
  <c r="I1108" i="23"/>
  <c r="H1108" i="23"/>
  <c r="G1108" i="23"/>
  <c r="F1108" i="23"/>
  <c r="N1108" i="23" s="1"/>
  <c r="E1108" i="23"/>
  <c r="D1108" i="23"/>
  <c r="C1108" i="23"/>
  <c r="I1107" i="23"/>
  <c r="H1107" i="23"/>
  <c r="G1107" i="23"/>
  <c r="F1107" i="23"/>
  <c r="N1107" i="23" s="1"/>
  <c r="E1107" i="23"/>
  <c r="D1107" i="23"/>
  <c r="C1107" i="23"/>
  <c r="I1106" i="23"/>
  <c r="H1106" i="23"/>
  <c r="G1106" i="23"/>
  <c r="F1106" i="23"/>
  <c r="N1106" i="23" s="1"/>
  <c r="E1106" i="23"/>
  <c r="D1106" i="23"/>
  <c r="C1106" i="23"/>
  <c r="I1105" i="23"/>
  <c r="H1105" i="23"/>
  <c r="G1105" i="23"/>
  <c r="F1105" i="23"/>
  <c r="N1105" i="23" s="1"/>
  <c r="E1105" i="23"/>
  <c r="D1105" i="23"/>
  <c r="C1105" i="23"/>
  <c r="I1104" i="23"/>
  <c r="H1104" i="23"/>
  <c r="G1104" i="23"/>
  <c r="F1104" i="23"/>
  <c r="N1104" i="23" s="1"/>
  <c r="E1104" i="23"/>
  <c r="D1104" i="23"/>
  <c r="C1104" i="23"/>
  <c r="I1103" i="23"/>
  <c r="H1103" i="23"/>
  <c r="G1103" i="23"/>
  <c r="F1103" i="23"/>
  <c r="N1103" i="23" s="1"/>
  <c r="E1103" i="23"/>
  <c r="D1103" i="23"/>
  <c r="C1103" i="23"/>
  <c r="I1102" i="23"/>
  <c r="H1102" i="23"/>
  <c r="G1102" i="23"/>
  <c r="F1102" i="23"/>
  <c r="N1102" i="23" s="1"/>
  <c r="E1102" i="23"/>
  <c r="D1102" i="23"/>
  <c r="C1102" i="23"/>
  <c r="I1101" i="23"/>
  <c r="H1101" i="23"/>
  <c r="G1101" i="23"/>
  <c r="F1101" i="23"/>
  <c r="N1101" i="23" s="1"/>
  <c r="E1101" i="23"/>
  <c r="D1101" i="23"/>
  <c r="C1101" i="23"/>
  <c r="I1100" i="23"/>
  <c r="H1100" i="23"/>
  <c r="G1100" i="23"/>
  <c r="F1100" i="23"/>
  <c r="N1100" i="23" s="1"/>
  <c r="E1100" i="23"/>
  <c r="D1100" i="23"/>
  <c r="C1100" i="23"/>
  <c r="I1099" i="23"/>
  <c r="H1099" i="23"/>
  <c r="G1099" i="23"/>
  <c r="F1099" i="23"/>
  <c r="N1099" i="23" s="1"/>
  <c r="E1099" i="23"/>
  <c r="D1099" i="23"/>
  <c r="C1099" i="23"/>
  <c r="I1098" i="23"/>
  <c r="H1098" i="23"/>
  <c r="G1098" i="23"/>
  <c r="F1098" i="23"/>
  <c r="N1098" i="23" s="1"/>
  <c r="E1098" i="23"/>
  <c r="D1098" i="23"/>
  <c r="C1098" i="23"/>
  <c r="I1097" i="23"/>
  <c r="H1097" i="23"/>
  <c r="G1097" i="23"/>
  <c r="F1097" i="23"/>
  <c r="N1097" i="23" s="1"/>
  <c r="E1097" i="23"/>
  <c r="D1097" i="23"/>
  <c r="C1097" i="23"/>
  <c r="N1096" i="23"/>
  <c r="I1095" i="23"/>
  <c r="H1095" i="23"/>
  <c r="G1095" i="23"/>
  <c r="F1095" i="23"/>
  <c r="N1095" i="23" s="1"/>
  <c r="D1095" i="23"/>
  <c r="C1095" i="23"/>
  <c r="I1094" i="23"/>
  <c r="H1094" i="23"/>
  <c r="G1094" i="23"/>
  <c r="F1094" i="23"/>
  <c r="N1094" i="23" s="1"/>
  <c r="E1094" i="23"/>
  <c r="D1094" i="23"/>
  <c r="C1094" i="23"/>
  <c r="I1093" i="23"/>
  <c r="H1093" i="23"/>
  <c r="G1093" i="23"/>
  <c r="F1093" i="23"/>
  <c r="N1093" i="23" s="1"/>
  <c r="E1093" i="23"/>
  <c r="D1093" i="23"/>
  <c r="C1093" i="23"/>
  <c r="I1092" i="23"/>
  <c r="H1092" i="23"/>
  <c r="G1092" i="23"/>
  <c r="F1092" i="23"/>
  <c r="N1092" i="23" s="1"/>
  <c r="E1092" i="23"/>
  <c r="D1092" i="23"/>
  <c r="C1092" i="23"/>
  <c r="I1091" i="23"/>
  <c r="H1091" i="23"/>
  <c r="G1091" i="23"/>
  <c r="F1091" i="23"/>
  <c r="N1091" i="23" s="1"/>
  <c r="E1091" i="23"/>
  <c r="D1091" i="23"/>
  <c r="C1091" i="23"/>
  <c r="I1090" i="23"/>
  <c r="H1090" i="23"/>
  <c r="G1090" i="23"/>
  <c r="F1090" i="23"/>
  <c r="N1090" i="23" s="1"/>
  <c r="E1090" i="23"/>
  <c r="D1090" i="23"/>
  <c r="C1090" i="23"/>
  <c r="I1089" i="23"/>
  <c r="H1089" i="23"/>
  <c r="G1089" i="23"/>
  <c r="F1089" i="23"/>
  <c r="N1089" i="23" s="1"/>
  <c r="E1089" i="23"/>
  <c r="D1089" i="23"/>
  <c r="C1089" i="23"/>
  <c r="I1088" i="23"/>
  <c r="H1088" i="23"/>
  <c r="G1088" i="23"/>
  <c r="F1088" i="23"/>
  <c r="N1088" i="23" s="1"/>
  <c r="E1088" i="23"/>
  <c r="D1088" i="23"/>
  <c r="C1088" i="23"/>
  <c r="I1087" i="23"/>
  <c r="H1087" i="23"/>
  <c r="G1087" i="23"/>
  <c r="F1087" i="23"/>
  <c r="N1087" i="23" s="1"/>
  <c r="E1087" i="23"/>
  <c r="D1087" i="23"/>
  <c r="C1087" i="23"/>
  <c r="I1086" i="23"/>
  <c r="H1086" i="23"/>
  <c r="G1086" i="23"/>
  <c r="F1086" i="23"/>
  <c r="N1086" i="23" s="1"/>
  <c r="E1086" i="23"/>
  <c r="D1086" i="23"/>
  <c r="C1086" i="23"/>
  <c r="I1085" i="23"/>
  <c r="H1085" i="23"/>
  <c r="G1085" i="23"/>
  <c r="F1085" i="23"/>
  <c r="N1085" i="23" s="1"/>
  <c r="E1085" i="23"/>
  <c r="D1085" i="23"/>
  <c r="C1085" i="23"/>
  <c r="I1084" i="23"/>
  <c r="H1084" i="23"/>
  <c r="G1084" i="23"/>
  <c r="F1084" i="23"/>
  <c r="N1084" i="23" s="1"/>
  <c r="E1084" i="23"/>
  <c r="D1084" i="23"/>
  <c r="C1084" i="23"/>
  <c r="I1083" i="23"/>
  <c r="H1083" i="23"/>
  <c r="G1083" i="23"/>
  <c r="F1083" i="23"/>
  <c r="N1083" i="23" s="1"/>
  <c r="E1083" i="23"/>
  <c r="D1083" i="23"/>
  <c r="C1083" i="23"/>
  <c r="I1082" i="23"/>
  <c r="H1082" i="23"/>
  <c r="G1082" i="23"/>
  <c r="F1082" i="23"/>
  <c r="N1082" i="23" s="1"/>
  <c r="E1082" i="23"/>
  <c r="D1082" i="23"/>
  <c r="C1082" i="23"/>
  <c r="I1081" i="23"/>
  <c r="H1081" i="23"/>
  <c r="G1081" i="23"/>
  <c r="F1081" i="23"/>
  <c r="N1081" i="23" s="1"/>
  <c r="E1081" i="23"/>
  <c r="D1081" i="23"/>
  <c r="C1081" i="23"/>
  <c r="I1080" i="23"/>
  <c r="H1080" i="23"/>
  <c r="G1080" i="23"/>
  <c r="F1080" i="23"/>
  <c r="N1080" i="23" s="1"/>
  <c r="E1080" i="23"/>
  <c r="D1080" i="23"/>
  <c r="C1080" i="23"/>
  <c r="I1079" i="23"/>
  <c r="H1079" i="23"/>
  <c r="G1079" i="23"/>
  <c r="F1079" i="23"/>
  <c r="N1079" i="23" s="1"/>
  <c r="E1079" i="23"/>
  <c r="D1079" i="23"/>
  <c r="C1079" i="23"/>
  <c r="I1076" i="23"/>
  <c r="H1076" i="23"/>
  <c r="G1076" i="23"/>
  <c r="F1076" i="23"/>
  <c r="N1076" i="23" s="1"/>
  <c r="E1076" i="23"/>
  <c r="D1076" i="23"/>
  <c r="C1076" i="23"/>
  <c r="I1078" i="23"/>
  <c r="H1078" i="23"/>
  <c r="G1078" i="23"/>
  <c r="F1078" i="23"/>
  <c r="N1078" i="23" s="1"/>
  <c r="E1078" i="23"/>
  <c r="D1078" i="23"/>
  <c r="C1078" i="23"/>
  <c r="I1077" i="23"/>
  <c r="H1077" i="23"/>
  <c r="G1077" i="23"/>
  <c r="F1077" i="23"/>
  <c r="N1077" i="23" s="1"/>
  <c r="E1077" i="23"/>
  <c r="D1077" i="23"/>
  <c r="C1077" i="23"/>
  <c r="I1075" i="23"/>
  <c r="H1075" i="23"/>
  <c r="G1075" i="23"/>
  <c r="F1075" i="23"/>
  <c r="N1075" i="23" s="1"/>
  <c r="E1075" i="23"/>
  <c r="D1075" i="23"/>
  <c r="C1075" i="23"/>
  <c r="I1074" i="23"/>
  <c r="H1074" i="23"/>
  <c r="G1074" i="23"/>
  <c r="F1074" i="23"/>
  <c r="N1074" i="23" s="1"/>
  <c r="E1074" i="23"/>
  <c r="D1074" i="23"/>
  <c r="C1074" i="23"/>
  <c r="I1073" i="23"/>
  <c r="H1073" i="23"/>
  <c r="G1073" i="23"/>
  <c r="F1073" i="23"/>
  <c r="N1073" i="23" s="1"/>
  <c r="E1073" i="23"/>
  <c r="D1073" i="23"/>
  <c r="C1073" i="23"/>
  <c r="I1072" i="23"/>
  <c r="H1072" i="23"/>
  <c r="G1072" i="23"/>
  <c r="F1072" i="23"/>
  <c r="N1072" i="23" s="1"/>
  <c r="E1072" i="23"/>
  <c r="D1072" i="23"/>
  <c r="C1072" i="23"/>
  <c r="I1071" i="23"/>
  <c r="H1071" i="23"/>
  <c r="G1071" i="23"/>
  <c r="F1071" i="23"/>
  <c r="N1071" i="23" s="1"/>
  <c r="E1071" i="23"/>
  <c r="D1071" i="23"/>
  <c r="C1071" i="23"/>
  <c r="I1070" i="23"/>
  <c r="H1070" i="23"/>
  <c r="G1070" i="23"/>
  <c r="F1070" i="23"/>
  <c r="N1070" i="23" s="1"/>
  <c r="E1070" i="23"/>
  <c r="D1070" i="23"/>
  <c r="C1070" i="23"/>
  <c r="I1069" i="23"/>
  <c r="H1069" i="23"/>
  <c r="G1069" i="23"/>
  <c r="F1069" i="23"/>
  <c r="N1069" i="23" s="1"/>
  <c r="E1069" i="23"/>
  <c r="D1069" i="23"/>
  <c r="C1069" i="23"/>
  <c r="I1068" i="23"/>
  <c r="H1068" i="23"/>
  <c r="G1068" i="23"/>
  <c r="F1068" i="23"/>
  <c r="N1068" i="23" s="1"/>
  <c r="E1068" i="23"/>
  <c r="D1068" i="23"/>
  <c r="C1068" i="23"/>
  <c r="I1067" i="23"/>
  <c r="H1067" i="23"/>
  <c r="G1067" i="23"/>
  <c r="F1067" i="23"/>
  <c r="N1067" i="23" s="1"/>
  <c r="E1067" i="23"/>
  <c r="D1067" i="23"/>
  <c r="C1067" i="23"/>
  <c r="I1066" i="23"/>
  <c r="H1066" i="23"/>
  <c r="G1066" i="23"/>
  <c r="F1066" i="23"/>
  <c r="N1066" i="23" s="1"/>
  <c r="E1066" i="23"/>
  <c r="D1066" i="23"/>
  <c r="C1066" i="23"/>
  <c r="I1065" i="23"/>
  <c r="H1065" i="23"/>
  <c r="G1065" i="23"/>
  <c r="F1065" i="23"/>
  <c r="N1065" i="23" s="1"/>
  <c r="E1065" i="23"/>
  <c r="D1065" i="23"/>
  <c r="C1065" i="23"/>
  <c r="I1064" i="23"/>
  <c r="H1064" i="23"/>
  <c r="G1064" i="23"/>
  <c r="F1064" i="23"/>
  <c r="N1064" i="23" s="1"/>
  <c r="E1064" i="23"/>
  <c r="D1064" i="23"/>
  <c r="C1064" i="23"/>
  <c r="I1063" i="23"/>
  <c r="H1063" i="23"/>
  <c r="G1063" i="23"/>
  <c r="F1063" i="23"/>
  <c r="N1063" i="23" s="1"/>
  <c r="E1063" i="23"/>
  <c r="D1063" i="23"/>
  <c r="C1063" i="23"/>
  <c r="I1062" i="23"/>
  <c r="H1062" i="23"/>
  <c r="G1062" i="23"/>
  <c r="F1062" i="23"/>
  <c r="N1062" i="23" s="1"/>
  <c r="E1062" i="23"/>
  <c r="D1062" i="23"/>
  <c r="C1062" i="23"/>
  <c r="I1061" i="23"/>
  <c r="H1061" i="23"/>
  <c r="G1061" i="23"/>
  <c r="F1061" i="23"/>
  <c r="N1061" i="23" s="1"/>
  <c r="E1061" i="23"/>
  <c r="D1061" i="23"/>
  <c r="C1061" i="23"/>
  <c r="I1060" i="23"/>
  <c r="H1060" i="23"/>
  <c r="G1060" i="23"/>
  <c r="F1060" i="23"/>
  <c r="N1060" i="23" s="1"/>
  <c r="E1060" i="23"/>
  <c r="D1060" i="23"/>
  <c r="C1060" i="23"/>
  <c r="I1059" i="23"/>
  <c r="H1059" i="23"/>
  <c r="G1059" i="23"/>
  <c r="F1059" i="23"/>
  <c r="N1059" i="23" s="1"/>
  <c r="E1059" i="23"/>
  <c r="D1059" i="23"/>
  <c r="C1059" i="23"/>
  <c r="I1058" i="23"/>
  <c r="H1058" i="23"/>
  <c r="G1058" i="23"/>
  <c r="F1058" i="23"/>
  <c r="N1058" i="23" s="1"/>
  <c r="E1058" i="23"/>
  <c r="D1058" i="23"/>
  <c r="C1058" i="23"/>
  <c r="I1057" i="23"/>
  <c r="H1057" i="23"/>
  <c r="G1057" i="23"/>
  <c r="F1057" i="23"/>
  <c r="N1057" i="23" s="1"/>
  <c r="E1057" i="23"/>
  <c r="D1057" i="23"/>
  <c r="C1057" i="23"/>
  <c r="I1056" i="23"/>
  <c r="H1056" i="23"/>
  <c r="G1056" i="23"/>
  <c r="F1056" i="23"/>
  <c r="N1056" i="23" s="1"/>
  <c r="E1056" i="23"/>
  <c r="D1056" i="23"/>
  <c r="C1056" i="23"/>
  <c r="I1055" i="23"/>
  <c r="H1055" i="23"/>
  <c r="G1055" i="23"/>
  <c r="F1055" i="23"/>
  <c r="N1055" i="23" s="1"/>
  <c r="E1055" i="23"/>
  <c r="D1055" i="23"/>
  <c r="C1055" i="23"/>
  <c r="I1054" i="23"/>
  <c r="H1054" i="23"/>
  <c r="G1054" i="23"/>
  <c r="F1054" i="23"/>
  <c r="N1054" i="23" s="1"/>
  <c r="E1054" i="23"/>
  <c r="D1054" i="23"/>
  <c r="C1054" i="23"/>
  <c r="I1053" i="23"/>
  <c r="H1053" i="23"/>
  <c r="G1053" i="23"/>
  <c r="F1053" i="23"/>
  <c r="N1053" i="23" s="1"/>
  <c r="E1053" i="23"/>
  <c r="D1053" i="23"/>
  <c r="C1053" i="23"/>
  <c r="I1052" i="23"/>
  <c r="H1052" i="23"/>
  <c r="G1052" i="23"/>
  <c r="F1052" i="23"/>
  <c r="M1052" i="23" s="1"/>
  <c r="E1052" i="23"/>
  <c r="D1052" i="23"/>
  <c r="C1052" i="23"/>
  <c r="I1051" i="23"/>
  <c r="H1051" i="23"/>
  <c r="G1051" i="23"/>
  <c r="F1051" i="23"/>
  <c r="N1051" i="23" s="1"/>
  <c r="E1051" i="23"/>
  <c r="D1051" i="23"/>
  <c r="C1051" i="23"/>
  <c r="I1050" i="23"/>
  <c r="H1050" i="23"/>
  <c r="G1050" i="23"/>
  <c r="F1050" i="23"/>
  <c r="N1050" i="23" s="1"/>
  <c r="E1050" i="23"/>
  <c r="D1050" i="23"/>
  <c r="C1050" i="23"/>
  <c r="I1049" i="23"/>
  <c r="H1049" i="23"/>
  <c r="G1049" i="23"/>
  <c r="F1049" i="23"/>
  <c r="N1049" i="23" s="1"/>
  <c r="E1049" i="23"/>
  <c r="D1049" i="23"/>
  <c r="C1049" i="23"/>
  <c r="I1048" i="23"/>
  <c r="H1048" i="23"/>
  <c r="G1048" i="23"/>
  <c r="F1048" i="23"/>
  <c r="E1048" i="23"/>
  <c r="D1048" i="23"/>
  <c r="C1048" i="23"/>
  <c r="I1047" i="23"/>
  <c r="H1047" i="23"/>
  <c r="G1047" i="23"/>
  <c r="F1047" i="23"/>
  <c r="N1047" i="23" s="1"/>
  <c r="E1047" i="23"/>
  <c r="D1047" i="23"/>
  <c r="C1047" i="23"/>
  <c r="I1046" i="23"/>
  <c r="H1046" i="23"/>
  <c r="G1046" i="23"/>
  <c r="F1046" i="23"/>
  <c r="N1046" i="23" s="1"/>
  <c r="E1046" i="23"/>
  <c r="D1046" i="23"/>
  <c r="C1046" i="23"/>
  <c r="I1045" i="23"/>
  <c r="H1045" i="23"/>
  <c r="G1045" i="23"/>
  <c r="F1045" i="23"/>
  <c r="N1045" i="23" s="1"/>
  <c r="E1045" i="23"/>
  <c r="D1045" i="23"/>
  <c r="C1045" i="23"/>
  <c r="I1044" i="23"/>
  <c r="H1044" i="23"/>
  <c r="G1044" i="23"/>
  <c r="F1044" i="23"/>
  <c r="M1044" i="23" s="1"/>
  <c r="E1044" i="23"/>
  <c r="D1044" i="23"/>
  <c r="C1044" i="23"/>
  <c r="I1043" i="23"/>
  <c r="H1043" i="23"/>
  <c r="G1043" i="23"/>
  <c r="F1043" i="23"/>
  <c r="N1043" i="23" s="1"/>
  <c r="E1043" i="23"/>
  <c r="D1043" i="23"/>
  <c r="C1043" i="23"/>
  <c r="I1042" i="23"/>
  <c r="H1042" i="23"/>
  <c r="G1042" i="23"/>
  <c r="F1042" i="23"/>
  <c r="N1042" i="23" s="1"/>
  <c r="E1042" i="23"/>
  <c r="D1042" i="23"/>
  <c r="C1042" i="23"/>
  <c r="I1041" i="23"/>
  <c r="H1041" i="23"/>
  <c r="G1041" i="23"/>
  <c r="F1041" i="23"/>
  <c r="N1041" i="23" s="1"/>
  <c r="E1041" i="23"/>
  <c r="D1041" i="23"/>
  <c r="C1041" i="23"/>
  <c r="I1040" i="23"/>
  <c r="H1040" i="23"/>
  <c r="G1040" i="23"/>
  <c r="F1040" i="23"/>
  <c r="E1040" i="23"/>
  <c r="D1040" i="23"/>
  <c r="C1040" i="23"/>
  <c r="I1039" i="23"/>
  <c r="H1039" i="23"/>
  <c r="G1039" i="23"/>
  <c r="F1039" i="23"/>
  <c r="N1039" i="23" s="1"/>
  <c r="E1039" i="23"/>
  <c r="D1039" i="23"/>
  <c r="C1039" i="23"/>
  <c r="I1038" i="23"/>
  <c r="H1038" i="23"/>
  <c r="G1038" i="23"/>
  <c r="F1038" i="23"/>
  <c r="N1038" i="23" s="1"/>
  <c r="E1038" i="23"/>
  <c r="D1038" i="23"/>
  <c r="C1038" i="23"/>
  <c r="I1037" i="23"/>
  <c r="H1037" i="23"/>
  <c r="G1037" i="23"/>
  <c r="F1037" i="23"/>
  <c r="N1037" i="23" s="1"/>
  <c r="E1037" i="23"/>
  <c r="D1037" i="23"/>
  <c r="C1037" i="23"/>
  <c r="I1036" i="23"/>
  <c r="H1036" i="23"/>
  <c r="G1036" i="23"/>
  <c r="F1036" i="23"/>
  <c r="M1036" i="23" s="1"/>
  <c r="E1036" i="23"/>
  <c r="D1036" i="23"/>
  <c r="C1036" i="23"/>
  <c r="I1035" i="23"/>
  <c r="H1035" i="23"/>
  <c r="G1035" i="23"/>
  <c r="F1035" i="23"/>
  <c r="N1035" i="23" s="1"/>
  <c r="E1035" i="23"/>
  <c r="D1035" i="23"/>
  <c r="C1035" i="23"/>
  <c r="I1034" i="23"/>
  <c r="H1034" i="23"/>
  <c r="G1034" i="23"/>
  <c r="F1034" i="23"/>
  <c r="N1034" i="23" s="1"/>
  <c r="E1034" i="23"/>
  <c r="D1034" i="23"/>
  <c r="C1034" i="23"/>
  <c r="I1033" i="23"/>
  <c r="H1033" i="23"/>
  <c r="G1033" i="23"/>
  <c r="F1033" i="23"/>
  <c r="N1033" i="23" s="1"/>
  <c r="E1033" i="23"/>
  <c r="D1033" i="23"/>
  <c r="C1033" i="23"/>
  <c r="I1032" i="23"/>
  <c r="H1032" i="23"/>
  <c r="G1032" i="23"/>
  <c r="F1032" i="23"/>
  <c r="E1032" i="23"/>
  <c r="D1032" i="23"/>
  <c r="C1032" i="23"/>
  <c r="I1031" i="23"/>
  <c r="H1031" i="23"/>
  <c r="G1031" i="23"/>
  <c r="F1031" i="23"/>
  <c r="N1031" i="23" s="1"/>
  <c r="E1031" i="23"/>
  <c r="D1031" i="23"/>
  <c r="C1031" i="23"/>
  <c r="I1030" i="23"/>
  <c r="H1030" i="23"/>
  <c r="G1030" i="23"/>
  <c r="F1030" i="23"/>
  <c r="N1030" i="23" s="1"/>
  <c r="E1030" i="23"/>
  <c r="D1030" i="23"/>
  <c r="C1030" i="23"/>
  <c r="I1029" i="23"/>
  <c r="H1029" i="23"/>
  <c r="G1029" i="23"/>
  <c r="F1029" i="23"/>
  <c r="N1029" i="23" s="1"/>
  <c r="E1029" i="23"/>
  <c r="D1029" i="23"/>
  <c r="C1029" i="23"/>
  <c r="I1028" i="23"/>
  <c r="H1028" i="23"/>
  <c r="G1028" i="23"/>
  <c r="F1028" i="23"/>
  <c r="N1028" i="23" s="1"/>
  <c r="E1028" i="23"/>
  <c r="D1028" i="23"/>
  <c r="C1028" i="23"/>
  <c r="I1027" i="23"/>
  <c r="H1027" i="23"/>
  <c r="G1027" i="23"/>
  <c r="F1027" i="23"/>
  <c r="N1027" i="23" s="1"/>
  <c r="E1027" i="23"/>
  <c r="D1027" i="23"/>
  <c r="C1027" i="23"/>
  <c r="I1026" i="23"/>
  <c r="H1026" i="23"/>
  <c r="G1026" i="23"/>
  <c r="F1026" i="23"/>
  <c r="N1026" i="23" s="1"/>
  <c r="E1026" i="23"/>
  <c r="D1026" i="23"/>
  <c r="C1026" i="23"/>
  <c r="I1025" i="23"/>
  <c r="H1025" i="23"/>
  <c r="G1025" i="23"/>
  <c r="F1025" i="23"/>
  <c r="N1025" i="23" s="1"/>
  <c r="E1025" i="23"/>
  <c r="D1025" i="23"/>
  <c r="C1025" i="23"/>
  <c r="I1024" i="23"/>
  <c r="H1024" i="23"/>
  <c r="G1024" i="23"/>
  <c r="F1024" i="23"/>
  <c r="N1024" i="23" s="1"/>
  <c r="E1024" i="23"/>
  <c r="D1024" i="23"/>
  <c r="C1024" i="23"/>
  <c r="I1023" i="23"/>
  <c r="H1023" i="23"/>
  <c r="G1023" i="23"/>
  <c r="F1023" i="23"/>
  <c r="N1023" i="23" s="1"/>
  <c r="E1023" i="23"/>
  <c r="D1023" i="23"/>
  <c r="C1023" i="23"/>
  <c r="I1022" i="23"/>
  <c r="H1022" i="23"/>
  <c r="G1022" i="23"/>
  <c r="F1022" i="23"/>
  <c r="N1022" i="23" s="1"/>
  <c r="E1022" i="23"/>
  <c r="D1022" i="23"/>
  <c r="C1022" i="23"/>
  <c r="I1021" i="23"/>
  <c r="H1021" i="23"/>
  <c r="G1021" i="23"/>
  <c r="F1021" i="23"/>
  <c r="N1021" i="23" s="1"/>
  <c r="E1021" i="23"/>
  <c r="D1021" i="23"/>
  <c r="C1021" i="23"/>
  <c r="I1020" i="23"/>
  <c r="H1020" i="23"/>
  <c r="G1020" i="23"/>
  <c r="F1020" i="23"/>
  <c r="N1020" i="23" s="1"/>
  <c r="E1020" i="23"/>
  <c r="D1020" i="23"/>
  <c r="C1020" i="23"/>
  <c r="I1019" i="23"/>
  <c r="H1019" i="23"/>
  <c r="G1019" i="23"/>
  <c r="F1019" i="23"/>
  <c r="N1019" i="23" s="1"/>
  <c r="E1019" i="23"/>
  <c r="D1019" i="23"/>
  <c r="C1019" i="23"/>
  <c r="I1018" i="23"/>
  <c r="H1018" i="23"/>
  <c r="G1018" i="23"/>
  <c r="F1018" i="23"/>
  <c r="N1018" i="23" s="1"/>
  <c r="E1018" i="23"/>
  <c r="D1018" i="23"/>
  <c r="C1018" i="23"/>
  <c r="N1017" i="23"/>
  <c r="N1016" i="23"/>
  <c r="N1015" i="23"/>
  <c r="N1014" i="23"/>
  <c r="N1013" i="23"/>
  <c r="N1012" i="23"/>
  <c r="N1011" i="23"/>
  <c r="N1010" i="23"/>
  <c r="I1009" i="23"/>
  <c r="H1009" i="23"/>
  <c r="G1009" i="23"/>
  <c r="F1009" i="23"/>
  <c r="N1009" i="23" s="1"/>
  <c r="E1009" i="23"/>
  <c r="D1009" i="23"/>
  <c r="C1009" i="23"/>
  <c r="I1008" i="23"/>
  <c r="H1008" i="23"/>
  <c r="G1008" i="23"/>
  <c r="F1008" i="23"/>
  <c r="N1008" i="23" s="1"/>
  <c r="E1008" i="23"/>
  <c r="D1008" i="23"/>
  <c r="C1008" i="23"/>
  <c r="I1007" i="23"/>
  <c r="H1007" i="23"/>
  <c r="G1007" i="23"/>
  <c r="F1007" i="23"/>
  <c r="N1007" i="23" s="1"/>
  <c r="E1007" i="23"/>
  <c r="D1007" i="23"/>
  <c r="C1007" i="23"/>
  <c r="I1006" i="23"/>
  <c r="H1006" i="23"/>
  <c r="G1006" i="23"/>
  <c r="F1006" i="23"/>
  <c r="N1006" i="23" s="1"/>
  <c r="E1006" i="23"/>
  <c r="D1006" i="23"/>
  <c r="C1006" i="23"/>
  <c r="I1005" i="23"/>
  <c r="H1005" i="23"/>
  <c r="G1005" i="23"/>
  <c r="F1005" i="23"/>
  <c r="N1005" i="23" s="1"/>
  <c r="E1005" i="23"/>
  <c r="D1005" i="23"/>
  <c r="C1005" i="23"/>
  <c r="I1004" i="23"/>
  <c r="H1004" i="23"/>
  <c r="G1004" i="23"/>
  <c r="F1004" i="23"/>
  <c r="N1004" i="23" s="1"/>
  <c r="E1004" i="23"/>
  <c r="D1004" i="23"/>
  <c r="C1004" i="23"/>
  <c r="I1003" i="23"/>
  <c r="H1003" i="23"/>
  <c r="G1003" i="23"/>
  <c r="F1003" i="23"/>
  <c r="N1003" i="23" s="1"/>
  <c r="E1003" i="23"/>
  <c r="D1003" i="23"/>
  <c r="C1003" i="23"/>
  <c r="I1002" i="23"/>
  <c r="H1002" i="23"/>
  <c r="G1002" i="23"/>
  <c r="F1002" i="23"/>
  <c r="N1002" i="23" s="1"/>
  <c r="E1002" i="23"/>
  <c r="D1002" i="23"/>
  <c r="C1002" i="23"/>
  <c r="I1001" i="23"/>
  <c r="H1001" i="23"/>
  <c r="G1001" i="23"/>
  <c r="F1001" i="23"/>
  <c r="N1001" i="23" s="1"/>
  <c r="E1001" i="23"/>
  <c r="D1001" i="23"/>
  <c r="C1001" i="23"/>
  <c r="I1000" i="23"/>
  <c r="H1000" i="23"/>
  <c r="G1000" i="23"/>
  <c r="F1000" i="23"/>
  <c r="N1000" i="23" s="1"/>
  <c r="E1000" i="23"/>
  <c r="D1000" i="23"/>
  <c r="C1000" i="23"/>
  <c r="I999" i="23"/>
  <c r="H999" i="23"/>
  <c r="G999" i="23"/>
  <c r="F999" i="23"/>
  <c r="N999" i="23" s="1"/>
  <c r="E999" i="23"/>
  <c r="D999" i="23"/>
  <c r="C999" i="23"/>
  <c r="I998" i="23"/>
  <c r="H998" i="23"/>
  <c r="G998" i="23"/>
  <c r="F998" i="23"/>
  <c r="E998" i="23"/>
  <c r="D998" i="23"/>
  <c r="C998" i="23"/>
  <c r="I997" i="23"/>
  <c r="H997" i="23"/>
  <c r="G997" i="23"/>
  <c r="F997" i="23"/>
  <c r="N997" i="23" s="1"/>
  <c r="E997" i="23"/>
  <c r="D997" i="23"/>
  <c r="C997" i="23"/>
  <c r="I996" i="23"/>
  <c r="H996" i="23"/>
  <c r="G996" i="23"/>
  <c r="F996" i="23"/>
  <c r="N996" i="23" s="1"/>
  <c r="E996" i="23"/>
  <c r="D996" i="23"/>
  <c r="C996" i="23"/>
  <c r="I995" i="23"/>
  <c r="H995" i="23"/>
  <c r="G995" i="23"/>
  <c r="F995" i="23"/>
  <c r="N995" i="23" s="1"/>
  <c r="E995" i="23"/>
  <c r="D995" i="23"/>
  <c r="C995" i="23"/>
  <c r="I994" i="23"/>
  <c r="H994" i="23"/>
  <c r="G994" i="23"/>
  <c r="F994" i="23"/>
  <c r="N994" i="23" s="1"/>
  <c r="E994" i="23"/>
  <c r="D994" i="23"/>
  <c r="C994" i="23"/>
  <c r="I993" i="23"/>
  <c r="H993" i="23"/>
  <c r="G993" i="23"/>
  <c r="F993" i="23"/>
  <c r="N993" i="23" s="1"/>
  <c r="E993" i="23"/>
  <c r="D993" i="23"/>
  <c r="C993" i="23"/>
  <c r="I992" i="23"/>
  <c r="H992" i="23"/>
  <c r="G992" i="23"/>
  <c r="F992" i="23"/>
  <c r="N992" i="23" s="1"/>
  <c r="E992" i="23"/>
  <c r="D992" i="23"/>
  <c r="C992" i="23"/>
  <c r="I991" i="23"/>
  <c r="H991" i="23"/>
  <c r="G991" i="23"/>
  <c r="F991" i="23"/>
  <c r="N991" i="23" s="1"/>
  <c r="E991" i="23"/>
  <c r="D991" i="23"/>
  <c r="C991" i="23"/>
  <c r="I990" i="23"/>
  <c r="H990" i="23"/>
  <c r="G990" i="23"/>
  <c r="F990" i="23"/>
  <c r="E990" i="23"/>
  <c r="D990" i="23"/>
  <c r="C990" i="23"/>
  <c r="I989" i="23"/>
  <c r="H989" i="23"/>
  <c r="G989" i="23"/>
  <c r="F989" i="23"/>
  <c r="E989" i="23"/>
  <c r="D989" i="23"/>
  <c r="C989" i="23"/>
  <c r="I988" i="23"/>
  <c r="H988" i="23"/>
  <c r="G988" i="23"/>
  <c r="F988" i="23"/>
  <c r="E988" i="23"/>
  <c r="D988" i="23"/>
  <c r="C988" i="23"/>
  <c r="I987" i="23"/>
  <c r="H987" i="23"/>
  <c r="G987" i="23"/>
  <c r="F987" i="23"/>
  <c r="N987" i="23" s="1"/>
  <c r="E987" i="23"/>
  <c r="D987" i="23"/>
  <c r="C987" i="23"/>
  <c r="I986" i="23"/>
  <c r="H986" i="23"/>
  <c r="G986" i="23"/>
  <c r="F986" i="23"/>
  <c r="N986" i="23" s="1"/>
  <c r="E986" i="23"/>
  <c r="D986" i="23"/>
  <c r="C986" i="23"/>
  <c r="I985" i="23"/>
  <c r="H985" i="23"/>
  <c r="G985" i="23"/>
  <c r="F985" i="23"/>
  <c r="N985" i="23" s="1"/>
  <c r="E985" i="23"/>
  <c r="D985" i="23"/>
  <c r="C985" i="23"/>
  <c r="I984" i="23"/>
  <c r="H984" i="23"/>
  <c r="G984" i="23"/>
  <c r="F984" i="23"/>
  <c r="N984" i="23" s="1"/>
  <c r="E984" i="23"/>
  <c r="D984" i="23"/>
  <c r="C984" i="23"/>
  <c r="I983" i="23"/>
  <c r="H983" i="23"/>
  <c r="G983" i="23"/>
  <c r="F983" i="23"/>
  <c r="N983" i="23" s="1"/>
  <c r="E983" i="23"/>
  <c r="D983" i="23"/>
  <c r="C983" i="23"/>
  <c r="I982" i="23"/>
  <c r="H982" i="23"/>
  <c r="G982" i="23"/>
  <c r="F982" i="23"/>
  <c r="E982" i="23"/>
  <c r="D982" i="23"/>
  <c r="C982" i="23"/>
  <c r="I981" i="23"/>
  <c r="H981" i="23"/>
  <c r="G981" i="23"/>
  <c r="F981" i="23"/>
  <c r="E981" i="23"/>
  <c r="D981" i="23"/>
  <c r="C981" i="23"/>
  <c r="I980" i="23"/>
  <c r="H980" i="23"/>
  <c r="G980" i="23"/>
  <c r="F980" i="23"/>
  <c r="E980" i="23"/>
  <c r="D980" i="23"/>
  <c r="C980" i="23"/>
  <c r="I979" i="23"/>
  <c r="H979" i="23"/>
  <c r="G979" i="23"/>
  <c r="F979" i="23"/>
  <c r="N979" i="23" s="1"/>
  <c r="E979" i="23"/>
  <c r="D979" i="23"/>
  <c r="C979" i="23"/>
  <c r="I978" i="23"/>
  <c r="H978" i="23"/>
  <c r="G978" i="23"/>
  <c r="F978" i="23"/>
  <c r="E978" i="23"/>
  <c r="D978" i="23"/>
  <c r="C978" i="23"/>
  <c r="I977" i="23"/>
  <c r="H977" i="23"/>
  <c r="G977" i="23"/>
  <c r="F977" i="23"/>
  <c r="N977" i="23" s="1"/>
  <c r="E977" i="23"/>
  <c r="D977" i="23"/>
  <c r="C977" i="23"/>
  <c r="I976" i="23"/>
  <c r="H976" i="23"/>
  <c r="G976" i="23"/>
  <c r="F976" i="23"/>
  <c r="N976" i="23" s="1"/>
  <c r="E976" i="23"/>
  <c r="D976" i="23"/>
  <c r="C976" i="23"/>
  <c r="I975" i="23"/>
  <c r="H975" i="23"/>
  <c r="G975" i="23"/>
  <c r="F975" i="23"/>
  <c r="N975" i="23" s="1"/>
  <c r="E975" i="23"/>
  <c r="D975" i="23"/>
  <c r="C975" i="23"/>
  <c r="I974" i="23"/>
  <c r="H974" i="23"/>
  <c r="G974" i="23"/>
  <c r="F974" i="23"/>
  <c r="N974" i="23" s="1"/>
  <c r="E974" i="23"/>
  <c r="D974" i="23"/>
  <c r="C974" i="23"/>
  <c r="I973" i="23"/>
  <c r="H973" i="23"/>
  <c r="G973" i="23"/>
  <c r="F973" i="23"/>
  <c r="M973" i="23" s="1"/>
  <c r="E973" i="23"/>
  <c r="D973" i="23"/>
  <c r="C973" i="23"/>
  <c r="I972" i="23"/>
  <c r="H972" i="23"/>
  <c r="G972" i="23"/>
  <c r="F972" i="23"/>
  <c r="E972" i="23"/>
  <c r="D972" i="23"/>
  <c r="C972" i="23"/>
  <c r="I971" i="23"/>
  <c r="H971" i="23"/>
  <c r="G971" i="23"/>
  <c r="F971" i="23"/>
  <c r="M971" i="23" s="1"/>
  <c r="E971" i="23"/>
  <c r="D971" i="23"/>
  <c r="C971" i="23"/>
  <c r="I970" i="23"/>
  <c r="H970" i="23"/>
  <c r="G970" i="23"/>
  <c r="F970" i="23"/>
  <c r="E970" i="23"/>
  <c r="D970" i="23"/>
  <c r="C970" i="23"/>
  <c r="I969" i="23"/>
  <c r="H969" i="23"/>
  <c r="G969" i="23"/>
  <c r="F969" i="23"/>
  <c r="N969" i="23" s="1"/>
  <c r="E969" i="23"/>
  <c r="D969" i="23"/>
  <c r="C969" i="23"/>
  <c r="I968" i="23"/>
  <c r="H968" i="23"/>
  <c r="G968" i="23"/>
  <c r="F968" i="23"/>
  <c r="N968" i="23" s="1"/>
  <c r="E968" i="23"/>
  <c r="D968" i="23"/>
  <c r="C968" i="23"/>
  <c r="I967" i="23"/>
  <c r="H967" i="23"/>
  <c r="G967" i="23"/>
  <c r="F967" i="23"/>
  <c r="N967" i="23" s="1"/>
  <c r="E967" i="23"/>
  <c r="D967" i="23"/>
  <c r="C967" i="23"/>
  <c r="I966" i="23"/>
  <c r="H966" i="23"/>
  <c r="G966" i="23"/>
  <c r="F966" i="23"/>
  <c r="N966" i="23" s="1"/>
  <c r="E966" i="23"/>
  <c r="D966" i="23"/>
  <c r="C966" i="23"/>
  <c r="I965" i="23"/>
  <c r="H965" i="23"/>
  <c r="G965" i="23"/>
  <c r="F965" i="23"/>
  <c r="N965" i="23" s="1"/>
  <c r="E965" i="23"/>
  <c r="D965" i="23"/>
  <c r="C965" i="23"/>
  <c r="I964" i="23"/>
  <c r="H964" i="23"/>
  <c r="G964" i="23"/>
  <c r="F964" i="23"/>
  <c r="N964" i="23" s="1"/>
  <c r="E964" i="23"/>
  <c r="D964" i="23"/>
  <c r="C964" i="23"/>
  <c r="I963" i="23"/>
  <c r="H963" i="23"/>
  <c r="G963" i="23"/>
  <c r="F963" i="23"/>
  <c r="E963" i="23"/>
  <c r="D963" i="23"/>
  <c r="C963" i="23"/>
  <c r="I962" i="23"/>
  <c r="H962" i="23"/>
  <c r="G962" i="23"/>
  <c r="F962" i="23"/>
  <c r="E962" i="23"/>
  <c r="D962" i="23"/>
  <c r="C962" i="23"/>
  <c r="I961" i="23"/>
  <c r="H961" i="23"/>
  <c r="G961" i="23"/>
  <c r="F961" i="23"/>
  <c r="N961" i="23" s="1"/>
  <c r="E961" i="23"/>
  <c r="D961" i="23"/>
  <c r="C961" i="23"/>
  <c r="I960" i="23"/>
  <c r="H960" i="23"/>
  <c r="G960" i="23"/>
  <c r="F960" i="23"/>
  <c r="N960" i="23" s="1"/>
  <c r="E960" i="23"/>
  <c r="D960" i="23"/>
  <c r="C960" i="23"/>
  <c r="I959" i="23"/>
  <c r="H959" i="23"/>
  <c r="G959" i="23"/>
  <c r="F959" i="23"/>
  <c r="N959" i="23" s="1"/>
  <c r="E959" i="23"/>
  <c r="D959" i="23"/>
  <c r="C959" i="23"/>
  <c r="I958" i="23"/>
  <c r="H958" i="23"/>
  <c r="G958" i="23"/>
  <c r="F958" i="23"/>
  <c r="N958" i="23" s="1"/>
  <c r="E958" i="23"/>
  <c r="D958" i="23"/>
  <c r="C958" i="23"/>
  <c r="I957" i="23"/>
  <c r="H957" i="23"/>
  <c r="G957" i="23"/>
  <c r="F957" i="23"/>
  <c r="N957" i="23" s="1"/>
  <c r="E957" i="23"/>
  <c r="D957" i="23"/>
  <c r="C957" i="23"/>
  <c r="I956" i="23"/>
  <c r="H956" i="23"/>
  <c r="G956" i="23"/>
  <c r="F956" i="23"/>
  <c r="N956" i="23" s="1"/>
  <c r="E956" i="23"/>
  <c r="D956" i="23"/>
  <c r="C956" i="23"/>
  <c r="I955" i="23"/>
  <c r="H955" i="23"/>
  <c r="G955" i="23"/>
  <c r="F955" i="23"/>
  <c r="E955" i="23"/>
  <c r="D955" i="23"/>
  <c r="C955" i="23"/>
  <c r="I954" i="23"/>
  <c r="H954" i="23"/>
  <c r="G954" i="23"/>
  <c r="F954" i="23"/>
  <c r="E954" i="23"/>
  <c r="D954" i="23"/>
  <c r="C954" i="23"/>
  <c r="I953" i="23"/>
  <c r="H953" i="23"/>
  <c r="G953" i="23"/>
  <c r="F953" i="23"/>
  <c r="N953" i="23" s="1"/>
  <c r="E953" i="23"/>
  <c r="D953" i="23"/>
  <c r="C953" i="23"/>
  <c r="I952" i="23"/>
  <c r="H952" i="23"/>
  <c r="G952" i="23"/>
  <c r="F952" i="23"/>
  <c r="N952" i="23" s="1"/>
  <c r="E952" i="23"/>
  <c r="D952" i="23"/>
  <c r="C952" i="23"/>
  <c r="I951" i="23"/>
  <c r="H951" i="23"/>
  <c r="G951" i="23"/>
  <c r="F951" i="23"/>
  <c r="N951" i="23" s="1"/>
  <c r="E951" i="23"/>
  <c r="D951" i="23"/>
  <c r="C951" i="23"/>
  <c r="I950" i="23"/>
  <c r="H950" i="23"/>
  <c r="G950" i="23"/>
  <c r="F950" i="23"/>
  <c r="N950" i="23" s="1"/>
  <c r="E950" i="23"/>
  <c r="D950" i="23"/>
  <c r="C950" i="23"/>
  <c r="I949" i="23"/>
  <c r="H949" i="23"/>
  <c r="G949" i="23"/>
  <c r="F949" i="23"/>
  <c r="N949" i="23" s="1"/>
  <c r="E949" i="23"/>
  <c r="D949" i="23"/>
  <c r="C949" i="23"/>
  <c r="I948" i="23"/>
  <c r="H948" i="23"/>
  <c r="G948" i="23"/>
  <c r="F948" i="23"/>
  <c r="N948" i="23" s="1"/>
  <c r="E948" i="23"/>
  <c r="D948" i="23"/>
  <c r="C948" i="23"/>
  <c r="I947" i="23"/>
  <c r="H947" i="23"/>
  <c r="G947" i="23"/>
  <c r="F947" i="23"/>
  <c r="N947" i="23" s="1"/>
  <c r="E947" i="23"/>
  <c r="D947" i="23"/>
  <c r="C947" i="23"/>
  <c r="I946" i="23"/>
  <c r="H946" i="23"/>
  <c r="G946" i="23"/>
  <c r="F946" i="23"/>
  <c r="N946" i="23" s="1"/>
  <c r="E946" i="23"/>
  <c r="D946" i="23"/>
  <c r="C946" i="23"/>
  <c r="I945" i="23"/>
  <c r="H945" i="23"/>
  <c r="G945" i="23"/>
  <c r="F945" i="23"/>
  <c r="N945" i="23" s="1"/>
  <c r="E945" i="23"/>
  <c r="D945" i="23"/>
  <c r="C945" i="23"/>
  <c r="I944" i="23"/>
  <c r="H944" i="23"/>
  <c r="G944" i="23"/>
  <c r="F944" i="23"/>
  <c r="M944" i="23" s="1"/>
  <c r="E944" i="23"/>
  <c r="D944" i="23"/>
  <c r="C944" i="23"/>
  <c r="N943" i="23"/>
  <c r="N942" i="23"/>
  <c r="M942" i="23"/>
  <c r="I942" i="23"/>
  <c r="L942" i="23" s="1"/>
  <c r="H942" i="23"/>
  <c r="K942" i="23" s="1"/>
  <c r="G942" i="23"/>
  <c r="J942" i="23" s="1"/>
  <c r="E942" i="23"/>
  <c r="D942" i="23"/>
  <c r="C942" i="23"/>
  <c r="I941" i="23"/>
  <c r="H941" i="23"/>
  <c r="G941" i="23"/>
  <c r="E941" i="23"/>
  <c r="D941" i="23"/>
  <c r="C941" i="23"/>
  <c r="N940" i="23"/>
  <c r="M940" i="23"/>
  <c r="I940" i="23"/>
  <c r="L940" i="23" s="1"/>
  <c r="H940" i="23"/>
  <c r="K940" i="23" s="1"/>
  <c r="G940" i="23"/>
  <c r="J940" i="23" s="1"/>
  <c r="E940" i="23"/>
  <c r="D940" i="23"/>
  <c r="C940" i="23"/>
  <c r="N939" i="23"/>
  <c r="M939" i="23"/>
  <c r="I939" i="23"/>
  <c r="L939" i="23" s="1"/>
  <c r="H939" i="23"/>
  <c r="K939" i="23" s="1"/>
  <c r="G939" i="23"/>
  <c r="J939" i="23" s="1"/>
  <c r="E939" i="23"/>
  <c r="D939" i="23"/>
  <c r="C939" i="23"/>
  <c r="N938" i="23"/>
  <c r="M938" i="23"/>
  <c r="I938" i="23"/>
  <c r="L938" i="23" s="1"/>
  <c r="H938" i="23"/>
  <c r="K938" i="23" s="1"/>
  <c r="G938" i="23"/>
  <c r="J938" i="23" s="1"/>
  <c r="E938" i="23"/>
  <c r="D938" i="23"/>
  <c r="C938" i="23"/>
  <c r="I937" i="23"/>
  <c r="H937" i="23"/>
  <c r="G937" i="23"/>
  <c r="E937" i="23"/>
  <c r="D937" i="23"/>
  <c r="C937" i="23"/>
  <c r="I936" i="23"/>
  <c r="H936" i="23"/>
  <c r="G936" i="23"/>
  <c r="E936" i="23"/>
  <c r="D936" i="23"/>
  <c r="C936" i="23"/>
  <c r="I935" i="23"/>
  <c r="H935" i="23"/>
  <c r="G935" i="23"/>
  <c r="E935" i="23"/>
  <c r="D935" i="23"/>
  <c r="C935" i="23"/>
  <c r="N934" i="23"/>
  <c r="M934" i="23"/>
  <c r="I934" i="23"/>
  <c r="L934" i="23" s="1"/>
  <c r="H934" i="23"/>
  <c r="K934" i="23" s="1"/>
  <c r="G934" i="23"/>
  <c r="J934" i="23" s="1"/>
  <c r="E934" i="23"/>
  <c r="D934" i="23"/>
  <c r="C934" i="23"/>
  <c r="N933" i="23"/>
  <c r="M933" i="23"/>
  <c r="I933" i="23"/>
  <c r="L933" i="23" s="1"/>
  <c r="H933" i="23"/>
  <c r="K933" i="23" s="1"/>
  <c r="G933" i="23"/>
  <c r="J933" i="23" s="1"/>
  <c r="E933" i="23"/>
  <c r="D933" i="23"/>
  <c r="C933" i="23"/>
  <c r="N932" i="23"/>
  <c r="M932" i="23"/>
  <c r="I932" i="23"/>
  <c r="L932" i="23" s="1"/>
  <c r="H932" i="23"/>
  <c r="K932" i="23" s="1"/>
  <c r="G932" i="23"/>
  <c r="J932" i="23" s="1"/>
  <c r="E932" i="23"/>
  <c r="D932" i="23"/>
  <c r="C932" i="23"/>
  <c r="I931" i="23"/>
  <c r="H931" i="23"/>
  <c r="G931" i="23"/>
  <c r="E931" i="23"/>
  <c r="D931" i="23"/>
  <c r="C931" i="23"/>
  <c r="I930" i="23"/>
  <c r="H930" i="23"/>
  <c r="G930" i="23"/>
  <c r="E930" i="23"/>
  <c r="D930" i="23"/>
  <c r="C930" i="23"/>
  <c r="I929" i="23"/>
  <c r="H929" i="23"/>
  <c r="G929" i="23"/>
  <c r="E929" i="23"/>
  <c r="D929" i="23"/>
  <c r="C929" i="23"/>
  <c r="I928" i="23"/>
  <c r="H928" i="23"/>
  <c r="G928" i="23"/>
  <c r="E928" i="23"/>
  <c r="D928" i="23"/>
  <c r="C928" i="23"/>
  <c r="N927" i="23"/>
  <c r="M927" i="23"/>
  <c r="I927" i="23"/>
  <c r="L927" i="23" s="1"/>
  <c r="H927" i="23"/>
  <c r="K927" i="23" s="1"/>
  <c r="G927" i="23"/>
  <c r="J927" i="23" s="1"/>
  <c r="E927" i="23"/>
  <c r="D927" i="23"/>
  <c r="C927" i="23"/>
  <c r="N926" i="23"/>
  <c r="M926" i="23"/>
  <c r="I926" i="23"/>
  <c r="L926" i="23" s="1"/>
  <c r="H926" i="23"/>
  <c r="K926" i="23" s="1"/>
  <c r="G926" i="23"/>
  <c r="J926" i="23" s="1"/>
  <c r="E926" i="23"/>
  <c r="D926" i="23"/>
  <c r="C926" i="23"/>
  <c r="N925" i="23"/>
  <c r="M925" i="23"/>
  <c r="I925" i="23"/>
  <c r="L925" i="23" s="1"/>
  <c r="H925" i="23"/>
  <c r="K925" i="23" s="1"/>
  <c r="G925" i="23"/>
  <c r="J925" i="23" s="1"/>
  <c r="E925" i="23"/>
  <c r="D925" i="23"/>
  <c r="C925" i="23"/>
  <c r="I924" i="23"/>
  <c r="H924" i="23"/>
  <c r="G924" i="23"/>
  <c r="E924" i="23"/>
  <c r="D924" i="23"/>
  <c r="C924" i="23"/>
  <c r="I923" i="23"/>
  <c r="H923" i="23"/>
  <c r="G923" i="23"/>
  <c r="E923" i="23"/>
  <c r="D923" i="23"/>
  <c r="C923" i="23"/>
  <c r="I922" i="23"/>
  <c r="H922" i="23"/>
  <c r="G922" i="23"/>
  <c r="E922" i="23"/>
  <c r="D922" i="23"/>
  <c r="C922" i="23"/>
  <c r="I921" i="23"/>
  <c r="H921" i="23"/>
  <c r="G921" i="23"/>
  <c r="E921" i="23"/>
  <c r="D921" i="23"/>
  <c r="C921" i="23"/>
  <c r="I920" i="23"/>
  <c r="H920" i="23"/>
  <c r="G920" i="23"/>
  <c r="E920" i="23"/>
  <c r="D920" i="23"/>
  <c r="C920" i="23"/>
  <c r="I919" i="23"/>
  <c r="H919" i="23"/>
  <c r="G919" i="23"/>
  <c r="E919" i="23"/>
  <c r="D919" i="23"/>
  <c r="C919" i="23"/>
  <c r="F919" i="23" s="1"/>
  <c r="N919" i="23" s="1"/>
  <c r="I918" i="23"/>
  <c r="H918" i="23"/>
  <c r="G918" i="23"/>
  <c r="E918" i="23"/>
  <c r="D918" i="23"/>
  <c r="C918" i="23"/>
  <c r="F918" i="23" s="1"/>
  <c r="N918" i="23" s="1"/>
  <c r="I917" i="23"/>
  <c r="H917" i="23"/>
  <c r="G917" i="23"/>
  <c r="E917" i="23"/>
  <c r="D917" i="23"/>
  <c r="C917" i="23"/>
  <c r="F917" i="23" s="1"/>
  <c r="N917" i="23" s="1"/>
  <c r="I916" i="23"/>
  <c r="H916" i="23"/>
  <c r="G916" i="23"/>
  <c r="E916" i="23"/>
  <c r="D916" i="23"/>
  <c r="C916" i="23"/>
  <c r="F916" i="23" s="1"/>
  <c r="I915" i="23"/>
  <c r="H915" i="23"/>
  <c r="G915" i="23"/>
  <c r="E915" i="23"/>
  <c r="D915" i="23"/>
  <c r="C915" i="23"/>
  <c r="F915" i="23" s="1"/>
  <c r="I914" i="23"/>
  <c r="H914" i="23"/>
  <c r="G914" i="23"/>
  <c r="E914" i="23"/>
  <c r="D914" i="23"/>
  <c r="C914" i="23"/>
  <c r="F914" i="23" s="1"/>
  <c r="I913" i="23"/>
  <c r="H913" i="23"/>
  <c r="G913" i="23"/>
  <c r="E913" i="23"/>
  <c r="D913" i="23"/>
  <c r="C913" i="23"/>
  <c r="F913" i="23" s="1"/>
  <c r="I912" i="23"/>
  <c r="H912" i="23"/>
  <c r="G912" i="23"/>
  <c r="E912" i="23"/>
  <c r="D912" i="23"/>
  <c r="C912" i="23"/>
  <c r="F912" i="23" s="1"/>
  <c r="N912" i="23" s="1"/>
  <c r="I911" i="23"/>
  <c r="H911" i="23"/>
  <c r="G911" i="23"/>
  <c r="E911" i="23"/>
  <c r="D911" i="23"/>
  <c r="C911" i="23"/>
  <c r="F911" i="23" s="1"/>
  <c r="N911" i="23" s="1"/>
  <c r="I910" i="23"/>
  <c r="H910" i="23"/>
  <c r="G910" i="23"/>
  <c r="E910" i="23"/>
  <c r="D910" i="23"/>
  <c r="C910" i="23"/>
  <c r="F910" i="23" s="1"/>
  <c r="I909" i="23"/>
  <c r="H909" i="23"/>
  <c r="G909" i="23"/>
  <c r="E909" i="23"/>
  <c r="D909" i="23"/>
  <c r="C909" i="23"/>
  <c r="F909" i="23" s="1"/>
  <c r="I908" i="23"/>
  <c r="H908" i="23"/>
  <c r="G908" i="23"/>
  <c r="E908" i="23"/>
  <c r="D908" i="23"/>
  <c r="C908" i="23"/>
  <c r="F908" i="23" s="1"/>
  <c r="I907" i="23"/>
  <c r="H907" i="23"/>
  <c r="G907" i="23"/>
  <c r="E907" i="23"/>
  <c r="D907" i="23"/>
  <c r="C907" i="23"/>
  <c r="F907" i="23" s="1"/>
  <c r="I906" i="23"/>
  <c r="H906" i="23"/>
  <c r="G906" i="23"/>
  <c r="E906" i="23"/>
  <c r="D906" i="23"/>
  <c r="C906" i="23"/>
  <c r="F906" i="23" s="1"/>
  <c r="I905" i="23"/>
  <c r="H905" i="23"/>
  <c r="G905" i="23"/>
  <c r="E905" i="23"/>
  <c r="D905" i="23"/>
  <c r="C905" i="23"/>
  <c r="F905" i="23" s="1"/>
  <c r="I904" i="23"/>
  <c r="H904" i="23"/>
  <c r="G904" i="23"/>
  <c r="E904" i="23"/>
  <c r="D904" i="23"/>
  <c r="C904" i="23"/>
  <c r="F904" i="23" s="1"/>
  <c r="N904" i="23" s="1"/>
  <c r="I903" i="23"/>
  <c r="H903" i="23"/>
  <c r="G903" i="23"/>
  <c r="E903" i="23"/>
  <c r="D903" i="23"/>
  <c r="C903" i="23"/>
  <c r="F903" i="23" s="1"/>
  <c r="I902" i="23"/>
  <c r="H902" i="23"/>
  <c r="G902" i="23"/>
  <c r="E902" i="23"/>
  <c r="D902" i="23"/>
  <c r="C902" i="23"/>
  <c r="F902" i="23" s="1"/>
  <c r="I901" i="23"/>
  <c r="H901" i="23"/>
  <c r="G901" i="23"/>
  <c r="E901" i="23"/>
  <c r="D901" i="23"/>
  <c r="C901" i="23"/>
  <c r="F901" i="23" s="1"/>
  <c r="I900" i="23"/>
  <c r="H900" i="23"/>
  <c r="G900" i="23"/>
  <c r="E900" i="23"/>
  <c r="D900" i="23"/>
  <c r="C900" i="23"/>
  <c r="F900" i="23" s="1"/>
  <c r="N900" i="23" s="1"/>
  <c r="I899" i="23"/>
  <c r="H899" i="23"/>
  <c r="G899" i="23"/>
  <c r="E899" i="23"/>
  <c r="D899" i="23"/>
  <c r="C899" i="23"/>
  <c r="F899" i="23" s="1"/>
  <c r="N899" i="23" s="1"/>
  <c r="I898" i="23"/>
  <c r="H898" i="23"/>
  <c r="G898" i="23"/>
  <c r="E898" i="23"/>
  <c r="D898" i="23"/>
  <c r="C898" i="23"/>
  <c r="F898" i="23" s="1"/>
  <c r="I897" i="23"/>
  <c r="H897" i="23"/>
  <c r="G897" i="23"/>
  <c r="E897" i="23"/>
  <c r="D897" i="23"/>
  <c r="C897" i="23"/>
  <c r="F897" i="23" s="1"/>
  <c r="I896" i="23"/>
  <c r="H896" i="23"/>
  <c r="G896" i="23"/>
  <c r="E896" i="23"/>
  <c r="D896" i="23"/>
  <c r="C896" i="23"/>
  <c r="F896" i="23" s="1"/>
  <c r="I895" i="23"/>
  <c r="H895" i="23"/>
  <c r="G895" i="23"/>
  <c r="E895" i="23"/>
  <c r="D895" i="23"/>
  <c r="C895" i="23"/>
  <c r="F895" i="23" s="1"/>
  <c r="I894" i="23"/>
  <c r="H894" i="23"/>
  <c r="G894" i="23"/>
  <c r="E894" i="23"/>
  <c r="D894" i="23"/>
  <c r="C894" i="23"/>
  <c r="F894" i="23" s="1"/>
  <c r="I893" i="23"/>
  <c r="H893" i="23"/>
  <c r="G893" i="23"/>
  <c r="E893" i="23"/>
  <c r="D893" i="23"/>
  <c r="C893" i="23"/>
  <c r="F893" i="23" s="1"/>
  <c r="N893" i="23" s="1"/>
  <c r="I892" i="23"/>
  <c r="H892" i="23"/>
  <c r="G892" i="23"/>
  <c r="E892" i="23"/>
  <c r="D892" i="23"/>
  <c r="C892" i="23"/>
  <c r="F892" i="23" s="1"/>
  <c r="I891" i="23"/>
  <c r="H891" i="23"/>
  <c r="G891" i="23"/>
  <c r="E891" i="23"/>
  <c r="D891" i="23"/>
  <c r="C891" i="23"/>
  <c r="F891" i="23" s="1"/>
  <c r="I890" i="23"/>
  <c r="H890" i="23"/>
  <c r="G890" i="23"/>
  <c r="E890" i="23"/>
  <c r="D890" i="23"/>
  <c r="C890" i="23"/>
  <c r="I889" i="23"/>
  <c r="H889" i="23"/>
  <c r="G889" i="23"/>
  <c r="E889" i="23"/>
  <c r="D889" i="23"/>
  <c r="C889" i="23"/>
  <c r="F936" i="23" s="1"/>
  <c r="I888" i="23"/>
  <c r="H888" i="23"/>
  <c r="G888" i="23"/>
  <c r="E888" i="23"/>
  <c r="D888" i="23"/>
  <c r="C888" i="23"/>
  <c r="F937" i="23" s="1"/>
  <c r="I887" i="23"/>
  <c r="H887" i="23"/>
  <c r="G887" i="23"/>
  <c r="E887" i="23"/>
  <c r="D887" i="23"/>
  <c r="C887" i="23"/>
  <c r="F887" i="23" s="1"/>
  <c r="N887" i="23" s="1"/>
  <c r="I886" i="23"/>
  <c r="H886" i="23"/>
  <c r="G886" i="23"/>
  <c r="E886" i="23"/>
  <c r="D886" i="23"/>
  <c r="C886" i="23"/>
  <c r="F886" i="23" s="1"/>
  <c r="I885" i="23"/>
  <c r="H885" i="23"/>
  <c r="G885" i="23"/>
  <c r="E885" i="23"/>
  <c r="D885" i="23"/>
  <c r="C885" i="23"/>
  <c r="F885" i="23" s="1"/>
  <c r="N885" i="23" s="1"/>
  <c r="I884" i="23"/>
  <c r="H884" i="23"/>
  <c r="G884" i="23"/>
  <c r="E884" i="23"/>
  <c r="D884" i="23"/>
  <c r="C884" i="23"/>
  <c r="I883" i="23"/>
  <c r="H883" i="23"/>
  <c r="G883" i="23"/>
  <c r="E883" i="23"/>
  <c r="D883" i="23"/>
  <c r="C883" i="23"/>
  <c r="F883" i="23" s="1"/>
  <c r="I882" i="23"/>
  <c r="H882" i="23"/>
  <c r="G882" i="23"/>
  <c r="E882" i="23"/>
  <c r="D882" i="23"/>
  <c r="C882" i="23"/>
  <c r="F882" i="23" s="1"/>
  <c r="N882" i="23" s="1"/>
  <c r="I881" i="23"/>
  <c r="H881" i="23"/>
  <c r="G881" i="23"/>
  <c r="E881" i="23"/>
  <c r="D881" i="23"/>
  <c r="C881" i="23"/>
  <c r="F881" i="23" s="1"/>
  <c r="I880" i="23"/>
  <c r="H880" i="23"/>
  <c r="G880" i="23"/>
  <c r="E880" i="23"/>
  <c r="D880" i="23"/>
  <c r="C880" i="23"/>
  <c r="F880" i="23" s="1"/>
  <c r="I879" i="23"/>
  <c r="H879" i="23"/>
  <c r="G879" i="23"/>
  <c r="E879" i="23"/>
  <c r="D879" i="23"/>
  <c r="C879" i="23"/>
  <c r="F879" i="23" s="1"/>
  <c r="I878" i="23"/>
  <c r="H878" i="23"/>
  <c r="G878" i="23"/>
  <c r="E878" i="23"/>
  <c r="D878" i="23"/>
  <c r="C878" i="23"/>
  <c r="F878" i="23" s="1"/>
  <c r="I877" i="23"/>
  <c r="H877" i="23"/>
  <c r="G877" i="23"/>
  <c r="E877" i="23"/>
  <c r="D877" i="23"/>
  <c r="C877" i="23"/>
  <c r="F877" i="23" s="1"/>
  <c r="N877" i="23" s="1"/>
  <c r="I876" i="23"/>
  <c r="H876" i="23"/>
  <c r="G876" i="23"/>
  <c r="E876" i="23"/>
  <c r="D876" i="23"/>
  <c r="C876" i="23"/>
  <c r="F876" i="23" s="1"/>
  <c r="I875" i="23"/>
  <c r="H875" i="23"/>
  <c r="G875" i="23"/>
  <c r="E875" i="23"/>
  <c r="D875" i="23"/>
  <c r="C875" i="23"/>
  <c r="F875" i="23" s="1"/>
  <c r="I874" i="23"/>
  <c r="H874" i="23"/>
  <c r="G874" i="23"/>
  <c r="E874" i="23"/>
  <c r="D874" i="23"/>
  <c r="C874" i="23"/>
  <c r="F931" i="23" s="1"/>
  <c r="I873" i="23"/>
  <c r="H873" i="23"/>
  <c r="G873" i="23"/>
  <c r="E873" i="23"/>
  <c r="D873" i="23"/>
  <c r="C873" i="23"/>
  <c r="F930" i="23" s="1"/>
  <c r="I872" i="23"/>
  <c r="H872" i="23"/>
  <c r="G872" i="23"/>
  <c r="E872" i="23"/>
  <c r="D872" i="23"/>
  <c r="C872" i="23"/>
  <c r="F872" i="23" s="1"/>
  <c r="N872" i="23" s="1"/>
  <c r="I871" i="23"/>
  <c r="H871" i="23"/>
  <c r="G871" i="23"/>
  <c r="E871" i="23"/>
  <c r="D871" i="23"/>
  <c r="C871" i="23"/>
  <c r="F929" i="23" s="1"/>
  <c r="I870" i="23"/>
  <c r="H870" i="23"/>
  <c r="G870" i="23"/>
  <c r="E870" i="23"/>
  <c r="D870" i="23"/>
  <c r="C870" i="23"/>
  <c r="F928" i="23" s="1"/>
  <c r="I869" i="23"/>
  <c r="H869" i="23"/>
  <c r="G869" i="23"/>
  <c r="E869" i="23"/>
  <c r="D869" i="23"/>
  <c r="C869" i="23"/>
  <c r="F869" i="23" s="1"/>
  <c r="N869" i="23" s="1"/>
  <c r="I868" i="23"/>
  <c r="H868" i="23"/>
  <c r="G868" i="23"/>
  <c r="E868" i="23"/>
  <c r="D868" i="23"/>
  <c r="C868" i="23"/>
  <c r="F868" i="23" s="1"/>
  <c r="I867" i="23"/>
  <c r="H867" i="23"/>
  <c r="G867" i="23"/>
  <c r="E867" i="23"/>
  <c r="D867" i="23"/>
  <c r="C867" i="23"/>
  <c r="F867" i="23" s="1"/>
  <c r="I866" i="23"/>
  <c r="H866" i="23"/>
  <c r="G866" i="23"/>
  <c r="E866" i="23"/>
  <c r="D866" i="23"/>
  <c r="C866" i="23"/>
  <c r="I865" i="23"/>
  <c r="H865" i="23"/>
  <c r="G865" i="23"/>
  <c r="E865" i="23"/>
  <c r="D865" i="23"/>
  <c r="C865" i="23"/>
  <c r="F865" i="23" s="1"/>
  <c r="I864" i="23"/>
  <c r="H864" i="23"/>
  <c r="G864" i="23"/>
  <c r="E864" i="23"/>
  <c r="D864" i="23"/>
  <c r="C864" i="23"/>
  <c r="F864" i="23" s="1"/>
  <c r="I863" i="23"/>
  <c r="H863" i="23"/>
  <c r="G863" i="23"/>
  <c r="E863" i="23"/>
  <c r="D863" i="23"/>
  <c r="C863" i="23"/>
  <c r="F920" i="23" s="1"/>
  <c r="N862" i="23"/>
  <c r="I843" i="23"/>
  <c r="H843" i="23"/>
  <c r="G843" i="23"/>
  <c r="F843" i="23"/>
  <c r="E843" i="23"/>
  <c r="D843" i="23"/>
  <c r="C843" i="23"/>
  <c r="I842" i="23"/>
  <c r="L842" i="23" s="1"/>
  <c r="H842" i="23"/>
  <c r="K842" i="23" s="1"/>
  <c r="G842" i="23"/>
  <c r="J842" i="23" s="1"/>
  <c r="E842" i="23"/>
  <c r="D842" i="23"/>
  <c r="C842" i="23"/>
  <c r="I841" i="23"/>
  <c r="L841" i="23" s="1"/>
  <c r="H841" i="23"/>
  <c r="K841" i="23" s="1"/>
  <c r="G841" i="23"/>
  <c r="J841" i="23" s="1"/>
  <c r="E841" i="23"/>
  <c r="D841" i="23"/>
  <c r="C841" i="23"/>
  <c r="I840" i="23"/>
  <c r="L840" i="23" s="1"/>
  <c r="H840" i="23"/>
  <c r="K840" i="23" s="1"/>
  <c r="G840" i="23"/>
  <c r="J840" i="23" s="1"/>
  <c r="E840" i="23"/>
  <c r="D840" i="23"/>
  <c r="C840" i="23"/>
  <c r="I839" i="23"/>
  <c r="L839" i="23" s="1"/>
  <c r="H839" i="23"/>
  <c r="K839" i="23" s="1"/>
  <c r="G839" i="23"/>
  <c r="J839" i="23" s="1"/>
  <c r="E839" i="23"/>
  <c r="D839" i="23"/>
  <c r="C839" i="23"/>
  <c r="I838" i="23"/>
  <c r="L838" i="23" s="1"/>
  <c r="H838" i="23"/>
  <c r="K838" i="23" s="1"/>
  <c r="G838" i="23"/>
  <c r="J838" i="23" s="1"/>
  <c r="E838" i="23"/>
  <c r="D838" i="23"/>
  <c r="C838" i="23"/>
  <c r="I837" i="23"/>
  <c r="L837" i="23" s="1"/>
  <c r="H837" i="23"/>
  <c r="K837" i="23" s="1"/>
  <c r="G837" i="23"/>
  <c r="J837" i="23" s="1"/>
  <c r="E837" i="23"/>
  <c r="D837" i="23"/>
  <c r="C837" i="23"/>
  <c r="I836" i="23"/>
  <c r="L836" i="23" s="1"/>
  <c r="H836" i="23"/>
  <c r="K836" i="23" s="1"/>
  <c r="G836" i="23"/>
  <c r="J836" i="23" s="1"/>
  <c r="E836" i="23"/>
  <c r="D836" i="23"/>
  <c r="C836" i="23"/>
  <c r="I835" i="23"/>
  <c r="L835" i="23" s="1"/>
  <c r="H835" i="23"/>
  <c r="K835" i="23" s="1"/>
  <c r="G835" i="23"/>
  <c r="J835" i="23" s="1"/>
  <c r="E835" i="23"/>
  <c r="D835" i="23"/>
  <c r="C835" i="23"/>
  <c r="I834" i="23"/>
  <c r="L834" i="23" s="1"/>
  <c r="H834" i="23"/>
  <c r="K834" i="23" s="1"/>
  <c r="G834" i="23"/>
  <c r="J834" i="23" s="1"/>
  <c r="E834" i="23"/>
  <c r="D834" i="23"/>
  <c r="C834" i="23"/>
  <c r="I833" i="23"/>
  <c r="L833" i="23" s="1"/>
  <c r="H833" i="23"/>
  <c r="K833" i="23" s="1"/>
  <c r="G833" i="23"/>
  <c r="J833" i="23" s="1"/>
  <c r="E833" i="23"/>
  <c r="D833" i="23"/>
  <c r="C833" i="23"/>
  <c r="I832" i="23"/>
  <c r="H832" i="23"/>
  <c r="G832" i="23"/>
  <c r="F832" i="23"/>
  <c r="E832" i="23"/>
  <c r="D832" i="23"/>
  <c r="C832" i="23"/>
  <c r="I831" i="23"/>
  <c r="H831" i="23"/>
  <c r="G831" i="23"/>
  <c r="F831" i="23"/>
  <c r="E831" i="23"/>
  <c r="D831" i="23"/>
  <c r="C831" i="23"/>
  <c r="I830" i="23"/>
  <c r="L830" i="23" s="1"/>
  <c r="H830" i="23"/>
  <c r="K830" i="23" s="1"/>
  <c r="G830" i="23"/>
  <c r="J830" i="23" s="1"/>
  <c r="E830" i="23"/>
  <c r="D830" i="23"/>
  <c r="C830" i="23"/>
  <c r="I829" i="23"/>
  <c r="L829" i="23" s="1"/>
  <c r="H829" i="23"/>
  <c r="K829" i="23" s="1"/>
  <c r="G829" i="23"/>
  <c r="J829" i="23" s="1"/>
  <c r="E829" i="23"/>
  <c r="D829" i="23"/>
  <c r="C829" i="23"/>
  <c r="I828" i="23"/>
  <c r="L828" i="23" s="1"/>
  <c r="H828" i="23"/>
  <c r="K828" i="23" s="1"/>
  <c r="G828" i="23"/>
  <c r="J828" i="23" s="1"/>
  <c r="E828" i="23"/>
  <c r="D828" i="23"/>
  <c r="C828" i="23"/>
  <c r="I827" i="23"/>
  <c r="L827" i="23" s="1"/>
  <c r="H827" i="23"/>
  <c r="K827" i="23" s="1"/>
  <c r="G827" i="23"/>
  <c r="J827" i="23" s="1"/>
  <c r="E827" i="23"/>
  <c r="D827" i="23"/>
  <c r="C827" i="23"/>
  <c r="N826" i="23"/>
  <c r="M826" i="23"/>
  <c r="M825" i="23"/>
  <c r="I825" i="23"/>
  <c r="L825" i="23" s="1"/>
  <c r="H825" i="23"/>
  <c r="K825" i="23" s="1"/>
  <c r="G825" i="23"/>
  <c r="J825" i="23" s="1"/>
  <c r="E825" i="23"/>
  <c r="D825" i="23"/>
  <c r="C825" i="23"/>
  <c r="I824" i="23"/>
  <c r="H824" i="23"/>
  <c r="G824" i="23"/>
  <c r="F824" i="23"/>
  <c r="E824" i="23"/>
  <c r="D824" i="23"/>
  <c r="C824" i="23"/>
  <c r="I823" i="23"/>
  <c r="L823" i="23" s="1"/>
  <c r="H823" i="23"/>
  <c r="K823" i="23" s="1"/>
  <c r="G823" i="23"/>
  <c r="J823" i="23" s="1"/>
  <c r="E823" i="23"/>
  <c r="D823" i="23"/>
  <c r="C823" i="23"/>
  <c r="I822" i="23"/>
  <c r="L822" i="23" s="1"/>
  <c r="H822" i="23"/>
  <c r="K822" i="23" s="1"/>
  <c r="G822" i="23"/>
  <c r="J822" i="23" s="1"/>
  <c r="E822" i="23"/>
  <c r="D822" i="23"/>
  <c r="C822" i="23"/>
  <c r="I821" i="23"/>
  <c r="L821" i="23" s="1"/>
  <c r="H821" i="23"/>
  <c r="K821" i="23" s="1"/>
  <c r="G821" i="23"/>
  <c r="J821" i="23" s="1"/>
  <c r="E821" i="23"/>
  <c r="D821" i="23"/>
  <c r="C821" i="23"/>
  <c r="I820" i="23"/>
  <c r="L820" i="23" s="1"/>
  <c r="H820" i="23"/>
  <c r="K820" i="23" s="1"/>
  <c r="G820" i="23"/>
  <c r="J820" i="23" s="1"/>
  <c r="E820" i="23"/>
  <c r="D820" i="23"/>
  <c r="C820" i="23"/>
  <c r="I819" i="23"/>
  <c r="L819" i="23" s="1"/>
  <c r="H819" i="23"/>
  <c r="K819" i="23" s="1"/>
  <c r="G819" i="23"/>
  <c r="J819" i="23" s="1"/>
  <c r="E819" i="23"/>
  <c r="D819" i="23"/>
  <c r="C819" i="23"/>
  <c r="I818" i="23"/>
  <c r="L818" i="23" s="1"/>
  <c r="H818" i="23"/>
  <c r="K818" i="23" s="1"/>
  <c r="G818" i="23"/>
  <c r="J818" i="23" s="1"/>
  <c r="E818" i="23"/>
  <c r="D818" i="23"/>
  <c r="C818" i="23"/>
  <c r="I817" i="23"/>
  <c r="L817" i="23" s="1"/>
  <c r="H817" i="23"/>
  <c r="K817" i="23" s="1"/>
  <c r="G817" i="23"/>
  <c r="J817" i="23" s="1"/>
  <c r="E817" i="23"/>
  <c r="D817" i="23"/>
  <c r="C817" i="23"/>
  <c r="I816" i="23"/>
  <c r="L816" i="23" s="1"/>
  <c r="H816" i="23"/>
  <c r="K816" i="23" s="1"/>
  <c r="G816" i="23"/>
  <c r="J816" i="23" s="1"/>
  <c r="E816" i="23"/>
  <c r="D816" i="23"/>
  <c r="C816" i="23"/>
  <c r="I815" i="23"/>
  <c r="L815" i="23" s="1"/>
  <c r="H815" i="23"/>
  <c r="K815" i="23" s="1"/>
  <c r="G815" i="23"/>
  <c r="J815" i="23" s="1"/>
  <c r="E815" i="23"/>
  <c r="D815" i="23"/>
  <c r="C815" i="23"/>
  <c r="I814" i="23"/>
  <c r="L814" i="23" s="1"/>
  <c r="H814" i="23"/>
  <c r="K814" i="23" s="1"/>
  <c r="G814" i="23"/>
  <c r="J814" i="23" s="1"/>
  <c r="E814" i="23"/>
  <c r="D814" i="23"/>
  <c r="C814" i="23"/>
  <c r="I813" i="23"/>
  <c r="H813" i="23"/>
  <c r="G813" i="23"/>
  <c r="F813" i="23"/>
  <c r="E813" i="23"/>
  <c r="D813" i="23"/>
  <c r="C813" i="23"/>
  <c r="I812" i="23"/>
  <c r="H812" i="23"/>
  <c r="G812" i="23"/>
  <c r="F812" i="23"/>
  <c r="E812" i="23"/>
  <c r="D812" i="23"/>
  <c r="C812" i="23"/>
  <c r="I811" i="23"/>
  <c r="L811" i="23" s="1"/>
  <c r="H811" i="23"/>
  <c r="K811" i="23" s="1"/>
  <c r="G811" i="23"/>
  <c r="J811" i="23" s="1"/>
  <c r="E811" i="23"/>
  <c r="D811" i="23"/>
  <c r="C811" i="23"/>
  <c r="I810" i="23"/>
  <c r="L810" i="23" s="1"/>
  <c r="H810" i="23"/>
  <c r="K810" i="23" s="1"/>
  <c r="G810" i="23"/>
  <c r="J810" i="23" s="1"/>
  <c r="E810" i="23"/>
  <c r="D810" i="23"/>
  <c r="C810" i="23"/>
  <c r="I809" i="23"/>
  <c r="L809" i="23" s="1"/>
  <c r="H809" i="23"/>
  <c r="K809" i="23" s="1"/>
  <c r="G809" i="23"/>
  <c r="J809" i="23" s="1"/>
  <c r="E809" i="23"/>
  <c r="D809" i="23"/>
  <c r="C809" i="23"/>
  <c r="I808" i="23"/>
  <c r="L808" i="23" s="1"/>
  <c r="H808" i="23"/>
  <c r="K808" i="23" s="1"/>
  <c r="G808" i="23"/>
  <c r="J808" i="23" s="1"/>
  <c r="E808" i="23"/>
  <c r="D808" i="23"/>
  <c r="C808" i="23"/>
  <c r="N807" i="23"/>
  <c r="M807" i="23"/>
  <c r="M814" i="23" s="1"/>
  <c r="I806" i="23"/>
  <c r="L806" i="23" s="1"/>
  <c r="H806" i="23"/>
  <c r="K806" i="23" s="1"/>
  <c r="G806" i="23"/>
  <c r="J806" i="23" s="1"/>
  <c r="E806" i="23"/>
  <c r="D806" i="23"/>
  <c r="C806" i="23"/>
  <c r="I805" i="23"/>
  <c r="L805" i="23" s="1"/>
  <c r="H805" i="23"/>
  <c r="K805" i="23" s="1"/>
  <c r="G805" i="23"/>
  <c r="J805" i="23" s="1"/>
  <c r="E805" i="23"/>
  <c r="D805" i="23"/>
  <c r="C805" i="23"/>
  <c r="I804" i="23"/>
  <c r="L804" i="23" s="1"/>
  <c r="H804" i="23"/>
  <c r="K804" i="23" s="1"/>
  <c r="G804" i="23"/>
  <c r="J804" i="23" s="1"/>
  <c r="E804" i="23"/>
  <c r="D804" i="23"/>
  <c r="C804" i="23"/>
  <c r="M803" i="23"/>
  <c r="I803" i="23"/>
  <c r="L803" i="23" s="1"/>
  <c r="H803" i="23"/>
  <c r="K803" i="23" s="1"/>
  <c r="G803" i="23"/>
  <c r="J803" i="23" s="1"/>
  <c r="E803" i="23"/>
  <c r="D803" i="23"/>
  <c r="C803" i="23"/>
  <c r="N802" i="23"/>
  <c r="M802" i="23"/>
  <c r="M806" i="23" s="1"/>
  <c r="I801" i="23"/>
  <c r="L801" i="23" s="1"/>
  <c r="H801" i="23"/>
  <c r="K801" i="23" s="1"/>
  <c r="G801" i="23"/>
  <c r="J801" i="23" s="1"/>
  <c r="E801" i="23"/>
  <c r="D801" i="23"/>
  <c r="C801" i="23"/>
  <c r="I800" i="23"/>
  <c r="L800" i="23" s="1"/>
  <c r="H800" i="23"/>
  <c r="K800" i="23" s="1"/>
  <c r="G800" i="23"/>
  <c r="J800" i="23" s="1"/>
  <c r="E800" i="23"/>
  <c r="D800" i="23"/>
  <c r="C800" i="23"/>
  <c r="I799" i="23"/>
  <c r="L799" i="23" s="1"/>
  <c r="H799" i="23"/>
  <c r="K799" i="23" s="1"/>
  <c r="G799" i="23"/>
  <c r="J799" i="23" s="1"/>
  <c r="E799" i="23"/>
  <c r="D799" i="23"/>
  <c r="C799" i="23"/>
  <c r="N798" i="23"/>
  <c r="M798" i="23"/>
  <c r="M799" i="23" s="1"/>
  <c r="I797" i="23"/>
  <c r="L797" i="23" s="1"/>
  <c r="H797" i="23"/>
  <c r="K797" i="23" s="1"/>
  <c r="G797" i="23"/>
  <c r="J797" i="23" s="1"/>
  <c r="E797" i="23"/>
  <c r="D797" i="23"/>
  <c r="C797" i="23"/>
  <c r="I796" i="23"/>
  <c r="L796" i="23" s="1"/>
  <c r="H796" i="23"/>
  <c r="K796" i="23" s="1"/>
  <c r="G796" i="23"/>
  <c r="J796" i="23" s="1"/>
  <c r="E796" i="23"/>
  <c r="D796" i="23"/>
  <c r="C796" i="23"/>
  <c r="N795" i="23"/>
  <c r="M795" i="23"/>
  <c r="M797" i="23" s="1"/>
  <c r="I794" i="23"/>
  <c r="L794" i="23" s="1"/>
  <c r="H794" i="23"/>
  <c r="K794" i="23" s="1"/>
  <c r="G794" i="23"/>
  <c r="J794" i="23" s="1"/>
  <c r="E794" i="23"/>
  <c r="D794" i="23"/>
  <c r="C794" i="23"/>
  <c r="I793" i="23"/>
  <c r="L793" i="23" s="1"/>
  <c r="H793" i="23"/>
  <c r="K793" i="23" s="1"/>
  <c r="G793" i="23"/>
  <c r="J793" i="23" s="1"/>
  <c r="E793" i="23"/>
  <c r="D793" i="23"/>
  <c r="C793" i="23"/>
  <c r="I792" i="23"/>
  <c r="L792" i="23" s="1"/>
  <c r="H792" i="23"/>
  <c r="K792" i="23" s="1"/>
  <c r="G792" i="23"/>
  <c r="J792" i="23" s="1"/>
  <c r="E792" i="23"/>
  <c r="D792" i="23"/>
  <c r="C792" i="23"/>
  <c r="M791" i="23"/>
  <c r="I791" i="23"/>
  <c r="L791" i="23" s="1"/>
  <c r="H791" i="23"/>
  <c r="K791" i="23" s="1"/>
  <c r="G791" i="23"/>
  <c r="J791" i="23" s="1"/>
  <c r="E791" i="23"/>
  <c r="D791" i="23"/>
  <c r="C791" i="23"/>
  <c r="N790" i="23"/>
  <c r="M790" i="23"/>
  <c r="M793" i="23" s="1"/>
  <c r="I789" i="23"/>
  <c r="L789" i="23" s="1"/>
  <c r="H789" i="23"/>
  <c r="K789" i="23" s="1"/>
  <c r="G789" i="23"/>
  <c r="J789" i="23" s="1"/>
  <c r="E789" i="23"/>
  <c r="D789" i="23"/>
  <c r="C789" i="23"/>
  <c r="I788" i="23"/>
  <c r="L788" i="23" s="1"/>
  <c r="H788" i="23"/>
  <c r="K788" i="23" s="1"/>
  <c r="G788" i="23"/>
  <c r="J788" i="23" s="1"/>
  <c r="E788" i="23"/>
  <c r="D788" i="23"/>
  <c r="C788" i="23"/>
  <c r="I787" i="23"/>
  <c r="L787" i="23" s="1"/>
  <c r="H787" i="23"/>
  <c r="K787" i="23" s="1"/>
  <c r="G787" i="23"/>
  <c r="J787" i="23" s="1"/>
  <c r="E787" i="23"/>
  <c r="D787" i="23"/>
  <c r="C787" i="23"/>
  <c r="N786" i="23"/>
  <c r="M786" i="23"/>
  <c r="M787" i="23" s="1"/>
  <c r="I785" i="23"/>
  <c r="L785" i="23" s="1"/>
  <c r="H785" i="23"/>
  <c r="K785" i="23" s="1"/>
  <c r="G785" i="23"/>
  <c r="J785" i="23" s="1"/>
  <c r="E785" i="23"/>
  <c r="D785" i="23"/>
  <c r="C785" i="23"/>
  <c r="I784" i="23"/>
  <c r="L784" i="23" s="1"/>
  <c r="H784" i="23"/>
  <c r="K784" i="23" s="1"/>
  <c r="G784" i="23"/>
  <c r="J784" i="23" s="1"/>
  <c r="E784" i="23"/>
  <c r="D784" i="23"/>
  <c r="C784" i="23"/>
  <c r="N783" i="23"/>
  <c r="M783" i="23"/>
  <c r="M785" i="23" s="1"/>
  <c r="I776" i="23"/>
  <c r="L776" i="23" s="1"/>
  <c r="H776" i="23"/>
  <c r="K776" i="23" s="1"/>
  <c r="G776" i="23"/>
  <c r="J776" i="23" s="1"/>
  <c r="E776" i="23"/>
  <c r="D776" i="23"/>
  <c r="C776" i="23"/>
  <c r="I775" i="23"/>
  <c r="L775" i="23" s="1"/>
  <c r="H775" i="23"/>
  <c r="K775" i="23" s="1"/>
  <c r="G775" i="23"/>
  <c r="J775" i="23" s="1"/>
  <c r="E775" i="23"/>
  <c r="D775" i="23"/>
  <c r="C775" i="23"/>
  <c r="I774" i="23"/>
  <c r="L774" i="23" s="1"/>
  <c r="H774" i="23"/>
  <c r="K774" i="23" s="1"/>
  <c r="G774" i="23"/>
  <c r="J774" i="23" s="1"/>
  <c r="E774" i="23"/>
  <c r="D774" i="23"/>
  <c r="C774" i="23"/>
  <c r="I773" i="23"/>
  <c r="L773" i="23" s="1"/>
  <c r="H773" i="23"/>
  <c r="K773" i="23" s="1"/>
  <c r="G773" i="23"/>
  <c r="J773" i="23" s="1"/>
  <c r="E773" i="23"/>
  <c r="D773" i="23"/>
  <c r="C773" i="23"/>
  <c r="I772" i="23"/>
  <c r="L772" i="23" s="1"/>
  <c r="H772" i="23"/>
  <c r="K772" i="23" s="1"/>
  <c r="G772" i="23"/>
  <c r="J772" i="23" s="1"/>
  <c r="E772" i="23"/>
  <c r="D772" i="23"/>
  <c r="C772" i="23"/>
  <c r="N771" i="23"/>
  <c r="M771" i="23"/>
  <c r="I770" i="23"/>
  <c r="L770" i="23" s="1"/>
  <c r="H770" i="23"/>
  <c r="K770" i="23" s="1"/>
  <c r="G770" i="23"/>
  <c r="J770" i="23" s="1"/>
  <c r="E770" i="23"/>
  <c r="D770" i="23"/>
  <c r="C770" i="23"/>
  <c r="I769" i="23"/>
  <c r="L769" i="23" s="1"/>
  <c r="H769" i="23"/>
  <c r="K769" i="23" s="1"/>
  <c r="G769" i="23"/>
  <c r="J769" i="23" s="1"/>
  <c r="E769" i="23"/>
  <c r="D769" i="23"/>
  <c r="C769" i="23"/>
  <c r="I768" i="23"/>
  <c r="L768" i="23" s="1"/>
  <c r="H768" i="23"/>
  <c r="K768" i="23" s="1"/>
  <c r="G768" i="23"/>
  <c r="J768" i="23" s="1"/>
  <c r="E768" i="23"/>
  <c r="D768" i="23"/>
  <c r="C768" i="23"/>
  <c r="I767" i="23"/>
  <c r="L767" i="23" s="1"/>
  <c r="H767" i="23"/>
  <c r="K767" i="23" s="1"/>
  <c r="G767" i="23"/>
  <c r="J767" i="23" s="1"/>
  <c r="E767" i="23"/>
  <c r="D767" i="23"/>
  <c r="C767" i="23"/>
  <c r="N766" i="23"/>
  <c r="M766" i="23"/>
  <c r="I765" i="23"/>
  <c r="L765" i="23" s="1"/>
  <c r="H765" i="23"/>
  <c r="K765" i="23" s="1"/>
  <c r="G765" i="23"/>
  <c r="J765" i="23" s="1"/>
  <c r="E765" i="23"/>
  <c r="D765" i="23"/>
  <c r="C765" i="23"/>
  <c r="I764" i="23"/>
  <c r="L764" i="23" s="1"/>
  <c r="H764" i="23"/>
  <c r="K764" i="23" s="1"/>
  <c r="G764" i="23"/>
  <c r="J764" i="23" s="1"/>
  <c r="E764" i="23"/>
  <c r="D764" i="23"/>
  <c r="C764" i="23"/>
  <c r="I763" i="23"/>
  <c r="L763" i="23" s="1"/>
  <c r="H763" i="23"/>
  <c r="K763" i="23" s="1"/>
  <c r="G763" i="23"/>
  <c r="J763" i="23" s="1"/>
  <c r="E763" i="23"/>
  <c r="D763" i="23"/>
  <c r="C763" i="23"/>
  <c r="I762" i="23"/>
  <c r="L762" i="23" s="1"/>
  <c r="H762" i="23"/>
  <c r="K762" i="23" s="1"/>
  <c r="G762" i="23"/>
  <c r="J762" i="23" s="1"/>
  <c r="E762" i="23"/>
  <c r="D762" i="23"/>
  <c r="C762" i="23"/>
  <c r="N761" i="23"/>
  <c r="N765" i="23" s="1"/>
  <c r="M761" i="23"/>
  <c r="M763" i="23" s="1"/>
  <c r="I760" i="23"/>
  <c r="L760" i="23" s="1"/>
  <c r="H760" i="23"/>
  <c r="K760" i="23" s="1"/>
  <c r="G760" i="23"/>
  <c r="J760" i="23" s="1"/>
  <c r="E760" i="23"/>
  <c r="D760" i="23"/>
  <c r="C760" i="23"/>
  <c r="I759" i="23"/>
  <c r="L759" i="23" s="1"/>
  <c r="H759" i="23"/>
  <c r="K759" i="23" s="1"/>
  <c r="G759" i="23"/>
  <c r="J759" i="23" s="1"/>
  <c r="E759" i="23"/>
  <c r="D759" i="23"/>
  <c r="C759" i="23"/>
  <c r="M758" i="23"/>
  <c r="I758" i="23"/>
  <c r="L758" i="23" s="1"/>
  <c r="H758" i="23"/>
  <c r="K758" i="23" s="1"/>
  <c r="G758" i="23"/>
  <c r="J758" i="23" s="1"/>
  <c r="E758" i="23"/>
  <c r="D758" i="23"/>
  <c r="C758" i="23"/>
  <c r="I757" i="23"/>
  <c r="L757" i="23" s="1"/>
  <c r="H757" i="23"/>
  <c r="K757" i="23" s="1"/>
  <c r="G757" i="23"/>
  <c r="J757" i="23" s="1"/>
  <c r="E757" i="23"/>
  <c r="D757" i="23"/>
  <c r="C757" i="23"/>
  <c r="I756" i="23"/>
  <c r="L756" i="23" s="1"/>
  <c r="H756" i="23"/>
  <c r="K756" i="23" s="1"/>
  <c r="G756" i="23"/>
  <c r="J756" i="23" s="1"/>
  <c r="E756" i="23"/>
  <c r="D756" i="23"/>
  <c r="C756" i="23"/>
  <c r="I755" i="23"/>
  <c r="L755" i="23" s="1"/>
  <c r="H755" i="23"/>
  <c r="K755" i="23" s="1"/>
  <c r="G755" i="23"/>
  <c r="J755" i="23" s="1"/>
  <c r="E755" i="23"/>
  <c r="D755" i="23"/>
  <c r="C755" i="23"/>
  <c r="N754" i="23"/>
  <c r="M754" i="23"/>
  <c r="M759" i="23" s="1"/>
  <c r="I753" i="23"/>
  <c r="L753" i="23" s="1"/>
  <c r="H753" i="23"/>
  <c r="K753" i="23" s="1"/>
  <c r="G753" i="23"/>
  <c r="J753" i="23" s="1"/>
  <c r="E753" i="23"/>
  <c r="D753" i="23"/>
  <c r="C753" i="23"/>
  <c r="M752" i="23"/>
  <c r="I752" i="23"/>
  <c r="L752" i="23" s="1"/>
  <c r="H752" i="23"/>
  <c r="K752" i="23" s="1"/>
  <c r="G752" i="23"/>
  <c r="J752" i="23" s="1"/>
  <c r="E752" i="23"/>
  <c r="D752" i="23"/>
  <c r="C752" i="23"/>
  <c r="I751" i="23"/>
  <c r="L751" i="23" s="1"/>
  <c r="H751" i="23"/>
  <c r="K751" i="23" s="1"/>
  <c r="G751" i="23"/>
  <c r="J751" i="23" s="1"/>
  <c r="E751" i="23"/>
  <c r="D751" i="23"/>
  <c r="C751" i="23"/>
  <c r="I750" i="23"/>
  <c r="L750" i="23" s="1"/>
  <c r="H750" i="23"/>
  <c r="K750" i="23" s="1"/>
  <c r="G750" i="23"/>
  <c r="J750" i="23" s="1"/>
  <c r="E750" i="23"/>
  <c r="D750" i="23"/>
  <c r="C750" i="23"/>
  <c r="I749" i="23"/>
  <c r="L749" i="23" s="1"/>
  <c r="H749" i="23"/>
  <c r="K749" i="23" s="1"/>
  <c r="G749" i="23"/>
  <c r="J749" i="23" s="1"/>
  <c r="E749" i="23"/>
  <c r="D749" i="23"/>
  <c r="C749" i="23"/>
  <c r="N748" i="23"/>
  <c r="M748" i="23"/>
  <c r="M751" i="23" s="1"/>
  <c r="I747" i="23"/>
  <c r="L747" i="23" s="1"/>
  <c r="H747" i="23"/>
  <c r="K747" i="23" s="1"/>
  <c r="G747" i="23"/>
  <c r="J747" i="23" s="1"/>
  <c r="E747" i="23"/>
  <c r="D747" i="23"/>
  <c r="C747" i="23"/>
  <c r="I746" i="23"/>
  <c r="L746" i="23" s="1"/>
  <c r="H746" i="23"/>
  <c r="K746" i="23" s="1"/>
  <c r="G746" i="23"/>
  <c r="J746" i="23" s="1"/>
  <c r="E746" i="23"/>
  <c r="D746" i="23"/>
  <c r="C746" i="23"/>
  <c r="I745" i="23"/>
  <c r="L745" i="23" s="1"/>
  <c r="H745" i="23"/>
  <c r="K745" i="23" s="1"/>
  <c r="G745" i="23"/>
  <c r="J745" i="23" s="1"/>
  <c r="E745" i="23"/>
  <c r="D745" i="23"/>
  <c r="C745" i="23"/>
  <c r="I744" i="23"/>
  <c r="L744" i="23" s="1"/>
  <c r="H744" i="23"/>
  <c r="K744" i="23" s="1"/>
  <c r="G744" i="23"/>
  <c r="J744" i="23" s="1"/>
  <c r="E744" i="23"/>
  <c r="D744" i="23"/>
  <c r="C744" i="23"/>
  <c r="N743" i="23"/>
  <c r="N747" i="23" s="1"/>
  <c r="M743" i="23"/>
  <c r="M747" i="23" s="1"/>
  <c r="I742" i="23"/>
  <c r="L742" i="23" s="1"/>
  <c r="H742" i="23"/>
  <c r="K742" i="23" s="1"/>
  <c r="G742" i="23"/>
  <c r="J742" i="23" s="1"/>
  <c r="E742" i="23"/>
  <c r="D742" i="23"/>
  <c r="C742" i="23"/>
  <c r="I741" i="23"/>
  <c r="L741" i="23" s="1"/>
  <c r="H741" i="23"/>
  <c r="K741" i="23" s="1"/>
  <c r="G741" i="23"/>
  <c r="J741" i="23" s="1"/>
  <c r="E741" i="23"/>
  <c r="D741" i="23"/>
  <c r="C741" i="23"/>
  <c r="I740" i="23"/>
  <c r="L740" i="23" s="1"/>
  <c r="H740" i="23"/>
  <c r="K740" i="23" s="1"/>
  <c r="G740" i="23"/>
  <c r="J740" i="23" s="1"/>
  <c r="E740" i="23"/>
  <c r="D740" i="23"/>
  <c r="C740" i="23"/>
  <c r="I739" i="23"/>
  <c r="L739" i="23" s="1"/>
  <c r="H739" i="23"/>
  <c r="K739" i="23" s="1"/>
  <c r="G739" i="23"/>
  <c r="J739" i="23" s="1"/>
  <c r="E739" i="23"/>
  <c r="D739" i="23"/>
  <c r="C739" i="23"/>
  <c r="I738" i="23"/>
  <c r="L738" i="23" s="1"/>
  <c r="H738" i="23"/>
  <c r="K738" i="23" s="1"/>
  <c r="G738" i="23"/>
  <c r="J738" i="23" s="1"/>
  <c r="E738" i="23"/>
  <c r="D738" i="23"/>
  <c r="C738" i="23"/>
  <c r="N737" i="23"/>
  <c r="M737" i="23"/>
  <c r="M740" i="23" s="1"/>
  <c r="I736" i="23"/>
  <c r="L736" i="23" s="1"/>
  <c r="H736" i="23"/>
  <c r="K736" i="23" s="1"/>
  <c r="G736" i="23"/>
  <c r="J736" i="23" s="1"/>
  <c r="E736" i="23"/>
  <c r="D736" i="23"/>
  <c r="C736" i="23"/>
  <c r="I735" i="23"/>
  <c r="L735" i="23" s="1"/>
  <c r="H735" i="23"/>
  <c r="K735" i="23" s="1"/>
  <c r="G735" i="23"/>
  <c r="J735" i="23" s="1"/>
  <c r="E735" i="23"/>
  <c r="D735" i="23"/>
  <c r="C735" i="23"/>
  <c r="I734" i="23"/>
  <c r="L734" i="23" s="1"/>
  <c r="H734" i="23"/>
  <c r="K734" i="23" s="1"/>
  <c r="G734" i="23"/>
  <c r="J734" i="23" s="1"/>
  <c r="E734" i="23"/>
  <c r="D734" i="23"/>
  <c r="C734" i="23"/>
  <c r="N733" i="23"/>
  <c r="N736" i="23" s="1"/>
  <c r="M733" i="23"/>
  <c r="I732" i="23"/>
  <c r="L732" i="23" s="1"/>
  <c r="H732" i="23"/>
  <c r="K732" i="23" s="1"/>
  <c r="G732" i="23"/>
  <c r="J732" i="23" s="1"/>
  <c r="E732" i="23"/>
  <c r="D732" i="23"/>
  <c r="C732" i="23"/>
  <c r="I731" i="23"/>
  <c r="L731" i="23" s="1"/>
  <c r="H731" i="23"/>
  <c r="K731" i="23" s="1"/>
  <c r="G731" i="23"/>
  <c r="J731" i="23" s="1"/>
  <c r="E731" i="23"/>
  <c r="D731" i="23"/>
  <c r="C731" i="23"/>
  <c r="I730" i="23"/>
  <c r="L730" i="23" s="1"/>
  <c r="H730" i="23"/>
  <c r="K730" i="23" s="1"/>
  <c r="G730" i="23"/>
  <c r="J730" i="23" s="1"/>
  <c r="E730" i="23"/>
  <c r="D730" i="23"/>
  <c r="C730" i="23"/>
  <c r="N729" i="23"/>
  <c r="M729" i="23"/>
  <c r="M732" i="23" s="1"/>
  <c r="I728" i="23"/>
  <c r="L728" i="23" s="1"/>
  <c r="H728" i="23"/>
  <c r="K728" i="23" s="1"/>
  <c r="G728" i="23"/>
  <c r="J728" i="23" s="1"/>
  <c r="E728" i="23"/>
  <c r="D728" i="23"/>
  <c r="C728" i="23"/>
  <c r="I727" i="23"/>
  <c r="L727" i="23" s="1"/>
  <c r="H727" i="23"/>
  <c r="K727" i="23" s="1"/>
  <c r="G727" i="23"/>
  <c r="J727" i="23" s="1"/>
  <c r="E727" i="23"/>
  <c r="D727" i="23"/>
  <c r="C727" i="23"/>
  <c r="N726" i="23"/>
  <c r="M726" i="23"/>
  <c r="M727" i="23" s="1"/>
  <c r="I725" i="23"/>
  <c r="L725" i="23" s="1"/>
  <c r="H725" i="23"/>
  <c r="K725" i="23" s="1"/>
  <c r="G725" i="23"/>
  <c r="J725" i="23" s="1"/>
  <c r="E725" i="23"/>
  <c r="D725" i="23"/>
  <c r="C725" i="23"/>
  <c r="I724" i="23"/>
  <c r="L724" i="23" s="1"/>
  <c r="H724" i="23"/>
  <c r="K724" i="23" s="1"/>
  <c r="G724" i="23"/>
  <c r="J724" i="23" s="1"/>
  <c r="E724" i="23"/>
  <c r="D724" i="23"/>
  <c r="C724" i="23"/>
  <c r="I723" i="23"/>
  <c r="L723" i="23" s="1"/>
  <c r="H723" i="23"/>
  <c r="K723" i="23" s="1"/>
  <c r="G723" i="23"/>
  <c r="J723" i="23" s="1"/>
  <c r="E723" i="23"/>
  <c r="D723" i="23"/>
  <c r="C723" i="23"/>
  <c r="I722" i="23"/>
  <c r="L722" i="23" s="1"/>
  <c r="H722" i="23"/>
  <c r="K722" i="23" s="1"/>
  <c r="G722" i="23"/>
  <c r="J722" i="23" s="1"/>
  <c r="E722" i="23"/>
  <c r="D722" i="23"/>
  <c r="C722" i="23"/>
  <c r="N721" i="23"/>
  <c r="N725" i="23" s="1"/>
  <c r="M721" i="23"/>
  <c r="M724" i="23" s="1"/>
  <c r="I720" i="23"/>
  <c r="L720" i="23" s="1"/>
  <c r="H720" i="23"/>
  <c r="K720" i="23" s="1"/>
  <c r="G720" i="23"/>
  <c r="J720" i="23" s="1"/>
  <c r="E720" i="23"/>
  <c r="D720" i="23"/>
  <c r="C720" i="23"/>
  <c r="I719" i="23"/>
  <c r="L719" i="23" s="1"/>
  <c r="H719" i="23"/>
  <c r="K719" i="23" s="1"/>
  <c r="G719" i="23"/>
  <c r="J719" i="23" s="1"/>
  <c r="E719" i="23"/>
  <c r="D719" i="23"/>
  <c r="C719" i="23"/>
  <c r="N718" i="23"/>
  <c r="M718" i="23"/>
  <c r="M720" i="23" s="1"/>
  <c r="M717" i="23"/>
  <c r="I717" i="23"/>
  <c r="L717" i="23" s="1"/>
  <c r="H717" i="23"/>
  <c r="K717" i="23" s="1"/>
  <c r="G717" i="23"/>
  <c r="J717" i="23" s="1"/>
  <c r="E717" i="23"/>
  <c r="D717" i="23"/>
  <c r="C717" i="23"/>
  <c r="B716" i="23"/>
  <c r="E716" i="23" s="1"/>
  <c r="B715" i="23"/>
  <c r="D715" i="23" s="1"/>
  <c r="M714" i="23"/>
  <c r="I714" i="23"/>
  <c r="L714" i="23" s="1"/>
  <c r="H714" i="23"/>
  <c r="K714" i="23" s="1"/>
  <c r="G714" i="23"/>
  <c r="J714" i="23" s="1"/>
  <c r="E714" i="23"/>
  <c r="D714" i="23"/>
  <c r="C714" i="23"/>
  <c r="I713" i="23"/>
  <c r="L713" i="23" s="1"/>
  <c r="H713" i="23"/>
  <c r="K713" i="23" s="1"/>
  <c r="G713" i="23"/>
  <c r="J713" i="23" s="1"/>
  <c r="E713" i="23"/>
  <c r="D713" i="23"/>
  <c r="C713" i="23"/>
  <c r="I712" i="23"/>
  <c r="L712" i="23" s="1"/>
  <c r="H712" i="23"/>
  <c r="K712" i="23" s="1"/>
  <c r="G712" i="23"/>
  <c r="J712" i="23" s="1"/>
  <c r="E712" i="23"/>
  <c r="D712" i="23"/>
  <c r="C712" i="23"/>
  <c r="N711" i="23"/>
  <c r="N717" i="23" s="1"/>
  <c r="M711" i="23"/>
  <c r="M715" i="23" s="1"/>
  <c r="M710" i="23"/>
  <c r="I710" i="23"/>
  <c r="L710" i="23" s="1"/>
  <c r="H710" i="23"/>
  <c r="K710" i="23" s="1"/>
  <c r="G710" i="23"/>
  <c r="J710" i="23" s="1"/>
  <c r="E710" i="23"/>
  <c r="D710" i="23"/>
  <c r="C710" i="23"/>
  <c r="B709" i="23"/>
  <c r="B708" i="23"/>
  <c r="E708" i="23" s="1"/>
  <c r="M707" i="23"/>
  <c r="I707" i="23"/>
  <c r="L707" i="23" s="1"/>
  <c r="H707" i="23"/>
  <c r="K707" i="23" s="1"/>
  <c r="G707" i="23"/>
  <c r="J707" i="23" s="1"/>
  <c r="E707" i="23"/>
  <c r="D707" i="23"/>
  <c r="C707" i="23"/>
  <c r="I706" i="23"/>
  <c r="L706" i="23" s="1"/>
  <c r="H706" i="23"/>
  <c r="K706" i="23" s="1"/>
  <c r="G706" i="23"/>
  <c r="J706" i="23" s="1"/>
  <c r="E706" i="23"/>
  <c r="D706" i="23"/>
  <c r="C706" i="23"/>
  <c r="I705" i="23"/>
  <c r="L705" i="23" s="1"/>
  <c r="H705" i="23"/>
  <c r="K705" i="23" s="1"/>
  <c r="G705" i="23"/>
  <c r="J705" i="23" s="1"/>
  <c r="E705" i="23"/>
  <c r="D705" i="23"/>
  <c r="C705" i="23"/>
  <c r="N704" i="23"/>
  <c r="N710" i="23" s="1"/>
  <c r="M704" i="23"/>
  <c r="M705" i="23" s="1"/>
  <c r="M703" i="23"/>
  <c r="I703" i="23"/>
  <c r="L703" i="23" s="1"/>
  <c r="H703" i="23"/>
  <c r="K703" i="23" s="1"/>
  <c r="G703" i="23"/>
  <c r="J703" i="23" s="1"/>
  <c r="E703" i="23"/>
  <c r="D703" i="23"/>
  <c r="C703" i="23"/>
  <c r="M702" i="23"/>
  <c r="I702" i="23"/>
  <c r="L702" i="23" s="1"/>
  <c r="H702" i="23"/>
  <c r="K702" i="23" s="1"/>
  <c r="G702" i="23"/>
  <c r="J702" i="23" s="1"/>
  <c r="E702" i="23"/>
  <c r="D702" i="23"/>
  <c r="C702" i="23"/>
  <c r="B701" i="23"/>
  <c r="H701" i="23" s="1"/>
  <c r="K701" i="23" s="1"/>
  <c r="B700" i="23"/>
  <c r="H700" i="23" s="1"/>
  <c r="K700" i="23" s="1"/>
  <c r="I699" i="23"/>
  <c r="L699" i="23" s="1"/>
  <c r="H699" i="23"/>
  <c r="K699" i="23" s="1"/>
  <c r="G699" i="23"/>
  <c r="J699" i="23" s="1"/>
  <c r="E699" i="23"/>
  <c r="D699" i="23"/>
  <c r="C699" i="23"/>
  <c r="I698" i="23"/>
  <c r="L698" i="23" s="1"/>
  <c r="H698" i="23"/>
  <c r="K698" i="23" s="1"/>
  <c r="G698" i="23"/>
  <c r="J698" i="23" s="1"/>
  <c r="E698" i="23"/>
  <c r="D698" i="23"/>
  <c r="C698" i="23"/>
  <c r="N697" i="23"/>
  <c r="M697" i="23"/>
  <c r="M696" i="23"/>
  <c r="I696" i="23"/>
  <c r="L696" i="23" s="1"/>
  <c r="H696" i="23"/>
  <c r="K696" i="23" s="1"/>
  <c r="G696" i="23"/>
  <c r="J696" i="23" s="1"/>
  <c r="E696" i="23"/>
  <c r="D696" i="23"/>
  <c r="C696" i="23"/>
  <c r="M695" i="23"/>
  <c r="I695" i="23"/>
  <c r="L695" i="23" s="1"/>
  <c r="H695" i="23"/>
  <c r="K695" i="23" s="1"/>
  <c r="G695" i="23"/>
  <c r="J695" i="23" s="1"/>
  <c r="E695" i="23"/>
  <c r="D695" i="23"/>
  <c r="C695" i="23"/>
  <c r="B694" i="23"/>
  <c r="C694" i="23" s="1"/>
  <c r="B693" i="23"/>
  <c r="I692" i="23"/>
  <c r="L692" i="23" s="1"/>
  <c r="H692" i="23"/>
  <c r="K692" i="23" s="1"/>
  <c r="G692" i="23"/>
  <c r="J692" i="23" s="1"/>
  <c r="E692" i="23"/>
  <c r="D692" i="23"/>
  <c r="C692" i="23"/>
  <c r="I691" i="23"/>
  <c r="L691" i="23" s="1"/>
  <c r="H691" i="23"/>
  <c r="K691" i="23" s="1"/>
  <c r="G691" i="23"/>
  <c r="J691" i="23" s="1"/>
  <c r="E691" i="23"/>
  <c r="D691" i="23"/>
  <c r="C691" i="23"/>
  <c r="N690" i="23"/>
  <c r="N696" i="23" s="1"/>
  <c r="M690" i="23"/>
  <c r="M694" i="23" s="1"/>
  <c r="I689" i="23"/>
  <c r="L689" i="23" s="1"/>
  <c r="H689" i="23"/>
  <c r="K689" i="23" s="1"/>
  <c r="G689" i="23"/>
  <c r="J689" i="23" s="1"/>
  <c r="E689" i="23"/>
  <c r="D689" i="23"/>
  <c r="C689" i="23"/>
  <c r="I688" i="23"/>
  <c r="L688" i="23" s="1"/>
  <c r="H688" i="23"/>
  <c r="K688" i="23" s="1"/>
  <c r="G688" i="23"/>
  <c r="J688" i="23" s="1"/>
  <c r="E688" i="23"/>
  <c r="D688" i="23"/>
  <c r="C688" i="23"/>
  <c r="I687" i="23"/>
  <c r="L687" i="23" s="1"/>
  <c r="H687" i="23"/>
  <c r="K687" i="23" s="1"/>
  <c r="G687" i="23"/>
  <c r="J687" i="23" s="1"/>
  <c r="E687" i="23"/>
  <c r="D687" i="23"/>
  <c r="C687" i="23"/>
  <c r="I686" i="23"/>
  <c r="L686" i="23" s="1"/>
  <c r="H686" i="23"/>
  <c r="K686" i="23" s="1"/>
  <c r="G686" i="23"/>
  <c r="J686" i="23" s="1"/>
  <c r="E686" i="23"/>
  <c r="D686" i="23"/>
  <c r="C686" i="23"/>
  <c r="I685" i="23"/>
  <c r="L685" i="23" s="1"/>
  <c r="H685" i="23"/>
  <c r="K685" i="23" s="1"/>
  <c r="G685" i="23"/>
  <c r="J685" i="23" s="1"/>
  <c r="E685" i="23"/>
  <c r="D685" i="23"/>
  <c r="C685" i="23"/>
  <c r="I684" i="23"/>
  <c r="L684" i="23" s="1"/>
  <c r="H684" i="23"/>
  <c r="K684" i="23" s="1"/>
  <c r="G684" i="23"/>
  <c r="J684" i="23" s="1"/>
  <c r="E684" i="23"/>
  <c r="D684" i="23"/>
  <c r="C684" i="23"/>
  <c r="N683" i="23"/>
  <c r="M683" i="23"/>
  <c r="M689" i="23" s="1"/>
  <c r="I682" i="23"/>
  <c r="L682" i="23" s="1"/>
  <c r="H682" i="23"/>
  <c r="K682" i="23" s="1"/>
  <c r="G682" i="23"/>
  <c r="J682" i="23" s="1"/>
  <c r="E682" i="23"/>
  <c r="D682" i="23"/>
  <c r="C682" i="23"/>
  <c r="I681" i="23"/>
  <c r="L681" i="23" s="1"/>
  <c r="H681" i="23"/>
  <c r="K681" i="23" s="1"/>
  <c r="G681" i="23"/>
  <c r="J681" i="23" s="1"/>
  <c r="E681" i="23"/>
  <c r="D681" i="23"/>
  <c r="C681" i="23"/>
  <c r="I680" i="23"/>
  <c r="L680" i="23" s="1"/>
  <c r="H680" i="23"/>
  <c r="K680" i="23" s="1"/>
  <c r="G680" i="23"/>
  <c r="J680" i="23" s="1"/>
  <c r="E680" i="23"/>
  <c r="D680" i="23"/>
  <c r="C680" i="23"/>
  <c r="I679" i="23"/>
  <c r="L679" i="23" s="1"/>
  <c r="H679" i="23"/>
  <c r="K679" i="23" s="1"/>
  <c r="G679" i="23"/>
  <c r="J679" i="23" s="1"/>
  <c r="E679" i="23"/>
  <c r="D679" i="23"/>
  <c r="C679" i="23"/>
  <c r="I678" i="23"/>
  <c r="L678" i="23" s="1"/>
  <c r="H678" i="23"/>
  <c r="K678" i="23" s="1"/>
  <c r="G678" i="23"/>
  <c r="J678" i="23" s="1"/>
  <c r="E678" i="23"/>
  <c r="D678" i="23"/>
  <c r="C678" i="23"/>
  <c r="I677" i="23"/>
  <c r="L677" i="23" s="1"/>
  <c r="H677" i="23"/>
  <c r="K677" i="23" s="1"/>
  <c r="G677" i="23"/>
  <c r="J677" i="23" s="1"/>
  <c r="E677" i="23"/>
  <c r="D677" i="23"/>
  <c r="C677" i="23"/>
  <c r="N676" i="23"/>
  <c r="M676" i="23"/>
  <c r="M679" i="23" s="1"/>
  <c r="I675" i="23"/>
  <c r="L675" i="23" s="1"/>
  <c r="H675" i="23"/>
  <c r="K675" i="23" s="1"/>
  <c r="G675" i="23"/>
  <c r="J675" i="23" s="1"/>
  <c r="E675" i="23"/>
  <c r="D675" i="23"/>
  <c r="C675" i="23"/>
  <c r="I674" i="23"/>
  <c r="L674" i="23" s="1"/>
  <c r="H674" i="23"/>
  <c r="K674" i="23" s="1"/>
  <c r="G674" i="23"/>
  <c r="J674" i="23" s="1"/>
  <c r="E674" i="23"/>
  <c r="D674" i="23"/>
  <c r="C674" i="23"/>
  <c r="I673" i="23"/>
  <c r="L673" i="23" s="1"/>
  <c r="H673" i="23"/>
  <c r="K673" i="23" s="1"/>
  <c r="G673" i="23"/>
  <c r="J673" i="23" s="1"/>
  <c r="E673" i="23"/>
  <c r="D673" i="23"/>
  <c r="C673" i="23"/>
  <c r="I672" i="23"/>
  <c r="L672" i="23" s="1"/>
  <c r="H672" i="23"/>
  <c r="K672" i="23" s="1"/>
  <c r="G672" i="23"/>
  <c r="J672" i="23" s="1"/>
  <c r="E672" i="23"/>
  <c r="D672" i="23"/>
  <c r="C672" i="23"/>
  <c r="I671" i="23"/>
  <c r="L671" i="23" s="1"/>
  <c r="H671" i="23"/>
  <c r="K671" i="23" s="1"/>
  <c r="G671" i="23"/>
  <c r="J671" i="23" s="1"/>
  <c r="E671" i="23"/>
  <c r="D671" i="23"/>
  <c r="C671" i="23"/>
  <c r="I670" i="23"/>
  <c r="L670" i="23" s="1"/>
  <c r="H670" i="23"/>
  <c r="K670" i="23" s="1"/>
  <c r="G670" i="23"/>
  <c r="J670" i="23" s="1"/>
  <c r="E670" i="23"/>
  <c r="D670" i="23"/>
  <c r="C670" i="23"/>
  <c r="I669" i="23"/>
  <c r="L669" i="23" s="1"/>
  <c r="H669" i="23"/>
  <c r="K669" i="23" s="1"/>
  <c r="G669" i="23"/>
  <c r="J669" i="23" s="1"/>
  <c r="E669" i="23"/>
  <c r="D669" i="23"/>
  <c r="C669" i="23"/>
  <c r="N668" i="23"/>
  <c r="M668" i="23"/>
  <c r="M673" i="23" s="1"/>
  <c r="I667" i="23"/>
  <c r="L667" i="23" s="1"/>
  <c r="H667" i="23"/>
  <c r="K667" i="23" s="1"/>
  <c r="G667" i="23"/>
  <c r="J667" i="23" s="1"/>
  <c r="E667" i="23"/>
  <c r="D667" i="23"/>
  <c r="C667" i="23"/>
  <c r="I666" i="23"/>
  <c r="L666" i="23" s="1"/>
  <c r="H666" i="23"/>
  <c r="K666" i="23" s="1"/>
  <c r="G666" i="23"/>
  <c r="J666" i="23" s="1"/>
  <c r="E666" i="23"/>
  <c r="D666" i="23"/>
  <c r="C666" i="23"/>
  <c r="I665" i="23"/>
  <c r="L665" i="23" s="1"/>
  <c r="H665" i="23"/>
  <c r="K665" i="23" s="1"/>
  <c r="G665" i="23"/>
  <c r="J665" i="23" s="1"/>
  <c r="E665" i="23"/>
  <c r="D665" i="23"/>
  <c r="C665" i="23"/>
  <c r="I664" i="23"/>
  <c r="L664" i="23" s="1"/>
  <c r="H664" i="23"/>
  <c r="K664" i="23" s="1"/>
  <c r="G664" i="23"/>
  <c r="J664" i="23" s="1"/>
  <c r="E664" i="23"/>
  <c r="D664" i="23"/>
  <c r="C664" i="23"/>
  <c r="I663" i="23"/>
  <c r="L663" i="23" s="1"/>
  <c r="H663" i="23"/>
  <c r="K663" i="23" s="1"/>
  <c r="G663" i="23"/>
  <c r="J663" i="23" s="1"/>
  <c r="E663" i="23"/>
  <c r="D663" i="23"/>
  <c r="C663" i="23"/>
  <c r="I662" i="23"/>
  <c r="L662" i="23" s="1"/>
  <c r="H662" i="23"/>
  <c r="K662" i="23" s="1"/>
  <c r="G662" i="23"/>
  <c r="J662" i="23" s="1"/>
  <c r="E662" i="23"/>
  <c r="D662" i="23"/>
  <c r="C662" i="23"/>
  <c r="I661" i="23"/>
  <c r="L661" i="23" s="1"/>
  <c r="H661" i="23"/>
  <c r="K661" i="23" s="1"/>
  <c r="G661" i="23"/>
  <c r="J661" i="23" s="1"/>
  <c r="E661" i="23"/>
  <c r="D661" i="23"/>
  <c r="C661" i="23"/>
  <c r="I660" i="23"/>
  <c r="L660" i="23" s="1"/>
  <c r="H660" i="23"/>
  <c r="K660" i="23" s="1"/>
  <c r="G660" i="23"/>
  <c r="J660" i="23" s="1"/>
  <c r="E660" i="23"/>
  <c r="D660" i="23"/>
  <c r="C660" i="23"/>
  <c r="I659" i="23"/>
  <c r="L659" i="23" s="1"/>
  <c r="H659" i="23"/>
  <c r="K659" i="23" s="1"/>
  <c r="G659" i="23"/>
  <c r="J659" i="23" s="1"/>
  <c r="E659" i="23"/>
  <c r="D659" i="23"/>
  <c r="C659" i="23"/>
  <c r="N658" i="23"/>
  <c r="M658" i="23"/>
  <c r="M666" i="23" s="1"/>
  <c r="I657" i="23"/>
  <c r="H657" i="23"/>
  <c r="G657" i="23"/>
  <c r="F657" i="23"/>
  <c r="E657" i="23"/>
  <c r="D657" i="23"/>
  <c r="C657" i="23"/>
  <c r="I656" i="23"/>
  <c r="L656" i="23" s="1"/>
  <c r="H656" i="23"/>
  <c r="K656" i="23" s="1"/>
  <c r="G656" i="23"/>
  <c r="J656" i="23" s="1"/>
  <c r="E656" i="23"/>
  <c r="D656" i="23"/>
  <c r="C656" i="23"/>
  <c r="I655" i="23"/>
  <c r="L655" i="23" s="1"/>
  <c r="H655" i="23"/>
  <c r="K655" i="23" s="1"/>
  <c r="G655" i="23"/>
  <c r="J655" i="23" s="1"/>
  <c r="E655" i="23"/>
  <c r="D655" i="23"/>
  <c r="C655" i="23"/>
  <c r="I654" i="23"/>
  <c r="L654" i="23" s="1"/>
  <c r="H654" i="23"/>
  <c r="K654" i="23" s="1"/>
  <c r="G654" i="23"/>
  <c r="J654" i="23" s="1"/>
  <c r="E654" i="23"/>
  <c r="D654" i="23"/>
  <c r="C654" i="23"/>
  <c r="I653" i="23"/>
  <c r="L653" i="23" s="1"/>
  <c r="H653" i="23"/>
  <c r="K653" i="23" s="1"/>
  <c r="G653" i="23"/>
  <c r="J653" i="23" s="1"/>
  <c r="E653" i="23"/>
  <c r="D653" i="23"/>
  <c r="C653" i="23"/>
  <c r="I652" i="23"/>
  <c r="L652" i="23" s="1"/>
  <c r="H652" i="23"/>
  <c r="K652" i="23" s="1"/>
  <c r="G652" i="23"/>
  <c r="J652" i="23" s="1"/>
  <c r="E652" i="23"/>
  <c r="D652" i="23"/>
  <c r="C652" i="23"/>
  <c r="I651" i="23"/>
  <c r="L651" i="23" s="1"/>
  <c r="H651" i="23"/>
  <c r="K651" i="23" s="1"/>
  <c r="G651" i="23"/>
  <c r="J651" i="23" s="1"/>
  <c r="E651" i="23"/>
  <c r="D651" i="23"/>
  <c r="C651" i="23"/>
  <c r="N650" i="23"/>
  <c r="N657" i="23" s="1"/>
  <c r="M650" i="23"/>
  <c r="M651" i="23" s="1"/>
  <c r="I649" i="23"/>
  <c r="L649" i="23" s="1"/>
  <c r="H649" i="23"/>
  <c r="K649" i="23" s="1"/>
  <c r="G649" i="23"/>
  <c r="J649" i="23" s="1"/>
  <c r="E649" i="23"/>
  <c r="D649" i="23"/>
  <c r="C649" i="23"/>
  <c r="I648" i="23"/>
  <c r="L648" i="23" s="1"/>
  <c r="H648" i="23"/>
  <c r="K648" i="23" s="1"/>
  <c r="G648" i="23"/>
  <c r="J648" i="23" s="1"/>
  <c r="E648" i="23"/>
  <c r="D648" i="23"/>
  <c r="C648" i="23"/>
  <c r="I647" i="23"/>
  <c r="L647" i="23" s="1"/>
  <c r="H647" i="23"/>
  <c r="K647" i="23" s="1"/>
  <c r="G647" i="23"/>
  <c r="J647" i="23" s="1"/>
  <c r="E647" i="23"/>
  <c r="D647" i="23"/>
  <c r="C647" i="23"/>
  <c r="I646" i="23"/>
  <c r="L646" i="23" s="1"/>
  <c r="H646" i="23"/>
  <c r="K646" i="23" s="1"/>
  <c r="G646" i="23"/>
  <c r="J646" i="23" s="1"/>
  <c r="E646" i="23"/>
  <c r="D646" i="23"/>
  <c r="C646" i="23"/>
  <c r="I645" i="23"/>
  <c r="L645" i="23" s="1"/>
  <c r="H645" i="23"/>
  <c r="K645" i="23" s="1"/>
  <c r="G645" i="23"/>
  <c r="J645" i="23" s="1"/>
  <c r="E645" i="23"/>
  <c r="D645" i="23"/>
  <c r="C645" i="23"/>
  <c r="I644" i="23"/>
  <c r="L644" i="23" s="1"/>
  <c r="H644" i="23"/>
  <c r="K644" i="23" s="1"/>
  <c r="G644" i="23"/>
  <c r="J644" i="23" s="1"/>
  <c r="E644" i="23"/>
  <c r="D644" i="23"/>
  <c r="C644" i="23"/>
  <c r="I643" i="23"/>
  <c r="L643" i="23" s="1"/>
  <c r="H643" i="23"/>
  <c r="K643" i="23" s="1"/>
  <c r="G643" i="23"/>
  <c r="J643" i="23" s="1"/>
  <c r="E643" i="23"/>
  <c r="D643" i="23"/>
  <c r="C643" i="23"/>
  <c r="N642" i="23"/>
  <c r="N649" i="23" s="1"/>
  <c r="M642" i="23"/>
  <c r="M649" i="23" s="1"/>
  <c r="I641" i="23"/>
  <c r="L641" i="23" s="1"/>
  <c r="H641" i="23"/>
  <c r="K641" i="23" s="1"/>
  <c r="G641" i="23"/>
  <c r="J641" i="23" s="1"/>
  <c r="E641" i="23"/>
  <c r="D641" i="23"/>
  <c r="C641" i="23"/>
  <c r="I640" i="23"/>
  <c r="L640" i="23" s="1"/>
  <c r="H640" i="23"/>
  <c r="K640" i="23" s="1"/>
  <c r="G640" i="23"/>
  <c r="J640" i="23" s="1"/>
  <c r="E640" i="23"/>
  <c r="D640" i="23"/>
  <c r="C640" i="23"/>
  <c r="I639" i="23"/>
  <c r="L639" i="23" s="1"/>
  <c r="H639" i="23"/>
  <c r="K639" i="23" s="1"/>
  <c r="G639" i="23"/>
  <c r="J639" i="23" s="1"/>
  <c r="E639" i="23"/>
  <c r="D639" i="23"/>
  <c r="C639" i="23"/>
  <c r="I638" i="23"/>
  <c r="L638" i="23" s="1"/>
  <c r="H638" i="23"/>
  <c r="K638" i="23" s="1"/>
  <c r="G638" i="23"/>
  <c r="J638" i="23" s="1"/>
  <c r="E638" i="23"/>
  <c r="D638" i="23"/>
  <c r="C638" i="23"/>
  <c r="I637" i="23"/>
  <c r="L637" i="23" s="1"/>
  <c r="H637" i="23"/>
  <c r="K637" i="23" s="1"/>
  <c r="G637" i="23"/>
  <c r="J637" i="23" s="1"/>
  <c r="E637" i="23"/>
  <c r="D637" i="23"/>
  <c r="C637" i="23"/>
  <c r="I636" i="23"/>
  <c r="H636" i="23"/>
  <c r="G636" i="23"/>
  <c r="E636" i="23"/>
  <c r="C636" i="23"/>
  <c r="I635" i="23"/>
  <c r="L635" i="23" s="1"/>
  <c r="H635" i="23"/>
  <c r="K635" i="23" s="1"/>
  <c r="G635" i="23"/>
  <c r="J635" i="23" s="1"/>
  <c r="E635" i="23"/>
  <c r="D635" i="23"/>
  <c r="C635" i="23"/>
  <c r="I634" i="23"/>
  <c r="L634" i="23" s="1"/>
  <c r="H634" i="23"/>
  <c r="K634" i="23" s="1"/>
  <c r="G634" i="23"/>
  <c r="J634" i="23" s="1"/>
  <c r="E634" i="23"/>
  <c r="D634" i="23"/>
  <c r="C634" i="23"/>
  <c r="I633" i="23"/>
  <c r="L633" i="23" s="1"/>
  <c r="H633" i="23"/>
  <c r="K633" i="23" s="1"/>
  <c r="G633" i="23"/>
  <c r="J633" i="23" s="1"/>
  <c r="E633" i="23"/>
  <c r="D633" i="23"/>
  <c r="C633" i="23"/>
  <c r="N632" i="23"/>
  <c r="M632" i="23"/>
  <c r="M639" i="23" s="1"/>
  <c r="M631" i="23"/>
  <c r="I631" i="23"/>
  <c r="L631" i="23" s="1"/>
  <c r="H631" i="23"/>
  <c r="K631" i="23" s="1"/>
  <c r="G631" i="23"/>
  <c r="J631" i="23" s="1"/>
  <c r="E631" i="23"/>
  <c r="D631" i="23"/>
  <c r="C631" i="23"/>
  <c r="I630" i="23"/>
  <c r="H630" i="23"/>
  <c r="G630" i="23"/>
  <c r="F630" i="23"/>
  <c r="E630" i="23"/>
  <c r="D630" i="23"/>
  <c r="C630" i="23"/>
  <c r="I629" i="23"/>
  <c r="L629" i="23" s="1"/>
  <c r="H629" i="23"/>
  <c r="K629" i="23" s="1"/>
  <c r="G629" i="23"/>
  <c r="J629" i="23" s="1"/>
  <c r="E629" i="23"/>
  <c r="D629" i="23"/>
  <c r="C629" i="23"/>
  <c r="I628" i="23"/>
  <c r="L628" i="23" s="1"/>
  <c r="H628" i="23"/>
  <c r="K628" i="23" s="1"/>
  <c r="G628" i="23"/>
  <c r="J628" i="23" s="1"/>
  <c r="E628" i="23"/>
  <c r="D628" i="23"/>
  <c r="C628" i="23"/>
  <c r="I627" i="23"/>
  <c r="H627" i="23"/>
  <c r="G627" i="23"/>
  <c r="E627" i="23"/>
  <c r="C627" i="23"/>
  <c r="I626" i="23"/>
  <c r="L626" i="23" s="1"/>
  <c r="H626" i="23"/>
  <c r="K626" i="23" s="1"/>
  <c r="G626" i="23"/>
  <c r="J626" i="23" s="1"/>
  <c r="E626" i="23"/>
  <c r="D626" i="23"/>
  <c r="C626" i="23"/>
  <c r="I625" i="23"/>
  <c r="L625" i="23" s="1"/>
  <c r="H625" i="23"/>
  <c r="K625" i="23" s="1"/>
  <c r="G625" i="23"/>
  <c r="J625" i="23" s="1"/>
  <c r="E625" i="23"/>
  <c r="D625" i="23"/>
  <c r="C625" i="23"/>
  <c r="I624" i="23"/>
  <c r="L624" i="23" s="1"/>
  <c r="H624" i="23"/>
  <c r="K624" i="23" s="1"/>
  <c r="G624" i="23"/>
  <c r="J624" i="23" s="1"/>
  <c r="E624" i="23"/>
  <c r="D624" i="23"/>
  <c r="C624" i="23"/>
  <c r="N623" i="23"/>
  <c r="N631" i="23" s="1"/>
  <c r="M623" i="23"/>
  <c r="M626" i="23" s="1"/>
  <c r="I622" i="23"/>
  <c r="H622" i="23"/>
  <c r="G622" i="23"/>
  <c r="F622" i="23"/>
  <c r="E622" i="23"/>
  <c r="D622" i="23"/>
  <c r="C622" i="23"/>
  <c r="I621" i="23"/>
  <c r="L621" i="23" s="1"/>
  <c r="H621" i="23"/>
  <c r="K621" i="23" s="1"/>
  <c r="G621" i="23"/>
  <c r="J621" i="23" s="1"/>
  <c r="E621" i="23"/>
  <c r="D621" i="23"/>
  <c r="C621" i="23"/>
  <c r="I620" i="23"/>
  <c r="L620" i="23" s="1"/>
  <c r="H620" i="23"/>
  <c r="K620" i="23" s="1"/>
  <c r="G620" i="23"/>
  <c r="J620" i="23" s="1"/>
  <c r="E620" i="23"/>
  <c r="D620" i="23"/>
  <c r="C620" i="23"/>
  <c r="I619" i="23"/>
  <c r="L619" i="23" s="1"/>
  <c r="H619" i="23"/>
  <c r="K619" i="23" s="1"/>
  <c r="G619" i="23"/>
  <c r="J619" i="23" s="1"/>
  <c r="E619" i="23"/>
  <c r="D619" i="23"/>
  <c r="C619" i="23"/>
  <c r="I618" i="23"/>
  <c r="L618" i="23" s="1"/>
  <c r="H618" i="23"/>
  <c r="K618" i="23" s="1"/>
  <c r="G618" i="23"/>
  <c r="J618" i="23" s="1"/>
  <c r="E618" i="23"/>
  <c r="D618" i="23"/>
  <c r="C618" i="23"/>
  <c r="I617" i="23"/>
  <c r="L617" i="23" s="1"/>
  <c r="H617" i="23"/>
  <c r="K617" i="23" s="1"/>
  <c r="G617" i="23"/>
  <c r="J617" i="23" s="1"/>
  <c r="E617" i="23"/>
  <c r="D617" i="23"/>
  <c r="C617" i="23"/>
  <c r="I616" i="23"/>
  <c r="L616" i="23" s="1"/>
  <c r="H616" i="23"/>
  <c r="K616" i="23" s="1"/>
  <c r="G616" i="23"/>
  <c r="J616" i="23" s="1"/>
  <c r="E616" i="23"/>
  <c r="D616" i="23"/>
  <c r="C616" i="23"/>
  <c r="N615" i="23"/>
  <c r="M615" i="23"/>
  <c r="M620" i="23" s="1"/>
  <c r="I614" i="23"/>
  <c r="H614" i="23"/>
  <c r="G614" i="23"/>
  <c r="E614" i="23"/>
  <c r="D614" i="23"/>
  <c r="C614" i="23"/>
  <c r="I613" i="23"/>
  <c r="H613" i="23"/>
  <c r="G613" i="23"/>
  <c r="F613" i="23"/>
  <c r="E613" i="23"/>
  <c r="D613" i="23"/>
  <c r="C613" i="23"/>
  <c r="I612" i="23"/>
  <c r="L612" i="23" s="1"/>
  <c r="H612" i="23"/>
  <c r="K612" i="23" s="1"/>
  <c r="G612" i="23"/>
  <c r="J612" i="23" s="1"/>
  <c r="E612" i="23"/>
  <c r="D612" i="23"/>
  <c r="C612" i="23"/>
  <c r="I611" i="23"/>
  <c r="L611" i="23" s="1"/>
  <c r="H611" i="23"/>
  <c r="K611" i="23" s="1"/>
  <c r="G611" i="23"/>
  <c r="J611" i="23" s="1"/>
  <c r="E611" i="23"/>
  <c r="D611" i="23"/>
  <c r="C611" i="23"/>
  <c r="I610" i="23"/>
  <c r="L610" i="23" s="1"/>
  <c r="H610" i="23"/>
  <c r="K610" i="23" s="1"/>
  <c r="G610" i="23"/>
  <c r="J610" i="23" s="1"/>
  <c r="E610" i="23"/>
  <c r="D610" i="23"/>
  <c r="C610" i="23"/>
  <c r="I609" i="23"/>
  <c r="L609" i="23" s="1"/>
  <c r="H609" i="23"/>
  <c r="K609" i="23" s="1"/>
  <c r="G609" i="23"/>
  <c r="J609" i="23" s="1"/>
  <c r="E609" i="23"/>
  <c r="D609" i="23"/>
  <c r="C609" i="23"/>
  <c r="I608" i="23"/>
  <c r="L608" i="23" s="1"/>
  <c r="H608" i="23"/>
  <c r="K608" i="23" s="1"/>
  <c r="G608" i="23"/>
  <c r="J608" i="23" s="1"/>
  <c r="E608" i="23"/>
  <c r="D608" i="23"/>
  <c r="C608" i="23"/>
  <c r="I607" i="23"/>
  <c r="L607" i="23" s="1"/>
  <c r="H607" i="23"/>
  <c r="K607" i="23" s="1"/>
  <c r="G607" i="23"/>
  <c r="J607" i="23" s="1"/>
  <c r="E607" i="23"/>
  <c r="D607" i="23"/>
  <c r="C607" i="23"/>
  <c r="I606" i="23"/>
  <c r="L606" i="23" s="1"/>
  <c r="H606" i="23"/>
  <c r="K606" i="23" s="1"/>
  <c r="G606" i="23"/>
  <c r="J606" i="23" s="1"/>
  <c r="E606" i="23"/>
  <c r="D606" i="23"/>
  <c r="C606" i="23"/>
  <c r="N605" i="23"/>
  <c r="M605" i="23"/>
  <c r="M606" i="23" s="1"/>
  <c r="I604" i="23"/>
  <c r="H604" i="23"/>
  <c r="G604" i="23"/>
  <c r="F604" i="23"/>
  <c r="F614" i="23" s="1"/>
  <c r="E604" i="23"/>
  <c r="D604" i="23"/>
  <c r="C604" i="23"/>
  <c r="I603" i="23"/>
  <c r="L603" i="23" s="1"/>
  <c r="H603" i="23"/>
  <c r="K603" i="23" s="1"/>
  <c r="G603" i="23"/>
  <c r="J603" i="23" s="1"/>
  <c r="E603" i="23"/>
  <c r="D603" i="23"/>
  <c r="C603" i="23"/>
  <c r="I602" i="23"/>
  <c r="L602" i="23" s="1"/>
  <c r="H602" i="23"/>
  <c r="K602" i="23" s="1"/>
  <c r="G602" i="23"/>
  <c r="J602" i="23" s="1"/>
  <c r="E602" i="23"/>
  <c r="D602" i="23"/>
  <c r="C602" i="23"/>
  <c r="I601" i="23"/>
  <c r="L601" i="23" s="1"/>
  <c r="H601" i="23"/>
  <c r="K601" i="23" s="1"/>
  <c r="G601" i="23"/>
  <c r="J601" i="23" s="1"/>
  <c r="E601" i="23"/>
  <c r="D601" i="23"/>
  <c r="C601" i="23"/>
  <c r="I600" i="23"/>
  <c r="L600" i="23" s="1"/>
  <c r="H600" i="23"/>
  <c r="K600" i="23" s="1"/>
  <c r="G600" i="23"/>
  <c r="J600" i="23" s="1"/>
  <c r="E600" i="23"/>
  <c r="D600" i="23"/>
  <c r="C600" i="23"/>
  <c r="I599" i="23"/>
  <c r="L599" i="23" s="1"/>
  <c r="H599" i="23"/>
  <c r="K599" i="23" s="1"/>
  <c r="G599" i="23"/>
  <c r="J599" i="23" s="1"/>
  <c r="E599" i="23"/>
  <c r="D599" i="23"/>
  <c r="C599" i="23"/>
  <c r="I598" i="23"/>
  <c r="L598" i="23" s="1"/>
  <c r="H598" i="23"/>
  <c r="K598" i="23" s="1"/>
  <c r="G598" i="23"/>
  <c r="J598" i="23" s="1"/>
  <c r="E598" i="23"/>
  <c r="D598" i="23"/>
  <c r="C598" i="23"/>
  <c r="N597" i="23"/>
  <c r="M597" i="23"/>
  <c r="M601" i="23" s="1"/>
  <c r="I596" i="23"/>
  <c r="H596" i="23"/>
  <c r="G596" i="23"/>
  <c r="E596" i="23"/>
  <c r="D596" i="23"/>
  <c r="C596" i="23"/>
  <c r="I595" i="23"/>
  <c r="H595" i="23"/>
  <c r="G595" i="23"/>
  <c r="F595" i="23"/>
  <c r="E595" i="23"/>
  <c r="D595" i="23"/>
  <c r="C595" i="23"/>
  <c r="I594" i="23"/>
  <c r="L594" i="23" s="1"/>
  <c r="H594" i="23"/>
  <c r="K594" i="23" s="1"/>
  <c r="G594" i="23"/>
  <c r="J594" i="23" s="1"/>
  <c r="E594" i="23"/>
  <c r="D594" i="23"/>
  <c r="C594" i="23"/>
  <c r="I593" i="23"/>
  <c r="L593" i="23" s="1"/>
  <c r="H593" i="23"/>
  <c r="K593" i="23" s="1"/>
  <c r="G593" i="23"/>
  <c r="J593" i="23" s="1"/>
  <c r="E593" i="23"/>
  <c r="D593" i="23"/>
  <c r="C593" i="23"/>
  <c r="I592" i="23"/>
  <c r="L592" i="23" s="1"/>
  <c r="H592" i="23"/>
  <c r="K592" i="23" s="1"/>
  <c r="G592" i="23"/>
  <c r="J592" i="23" s="1"/>
  <c r="E592" i="23"/>
  <c r="D592" i="23"/>
  <c r="C592" i="23"/>
  <c r="I591" i="23"/>
  <c r="L591" i="23" s="1"/>
  <c r="H591" i="23"/>
  <c r="K591" i="23" s="1"/>
  <c r="G591" i="23"/>
  <c r="J591" i="23" s="1"/>
  <c r="E591" i="23"/>
  <c r="D591" i="23"/>
  <c r="C591" i="23"/>
  <c r="I590" i="23"/>
  <c r="L590" i="23" s="1"/>
  <c r="H590" i="23"/>
  <c r="K590" i="23" s="1"/>
  <c r="G590" i="23"/>
  <c r="J590" i="23" s="1"/>
  <c r="E590" i="23"/>
  <c r="D590" i="23"/>
  <c r="C590" i="23"/>
  <c r="I589" i="23"/>
  <c r="L589" i="23" s="1"/>
  <c r="H589" i="23"/>
  <c r="K589" i="23" s="1"/>
  <c r="G589" i="23"/>
  <c r="J589" i="23" s="1"/>
  <c r="E589" i="23"/>
  <c r="D589" i="23"/>
  <c r="C589" i="23"/>
  <c r="I588" i="23"/>
  <c r="L588" i="23" s="1"/>
  <c r="H588" i="23"/>
  <c r="K588" i="23" s="1"/>
  <c r="G588" i="23"/>
  <c r="J588" i="23" s="1"/>
  <c r="E588" i="23"/>
  <c r="D588" i="23"/>
  <c r="C588" i="23"/>
  <c r="N587" i="23"/>
  <c r="M587" i="23"/>
  <c r="M592" i="23" s="1"/>
  <c r="I586" i="23"/>
  <c r="H586" i="23"/>
  <c r="G586" i="23"/>
  <c r="F586" i="23"/>
  <c r="F596" i="23" s="1"/>
  <c r="E586" i="23"/>
  <c r="D586" i="23"/>
  <c r="C586" i="23"/>
  <c r="I585" i="23"/>
  <c r="L585" i="23" s="1"/>
  <c r="H585" i="23"/>
  <c r="K585" i="23" s="1"/>
  <c r="G585" i="23"/>
  <c r="J585" i="23" s="1"/>
  <c r="E585" i="23"/>
  <c r="D585" i="23"/>
  <c r="C585" i="23"/>
  <c r="I584" i="23"/>
  <c r="L584" i="23" s="1"/>
  <c r="H584" i="23"/>
  <c r="K584" i="23" s="1"/>
  <c r="G584" i="23"/>
  <c r="J584" i="23" s="1"/>
  <c r="E584" i="23"/>
  <c r="D584" i="23"/>
  <c r="C584" i="23"/>
  <c r="I583" i="23"/>
  <c r="H583" i="23"/>
  <c r="G583" i="23"/>
  <c r="E583" i="23"/>
  <c r="D583" i="23"/>
  <c r="C583" i="23"/>
  <c r="I582" i="23"/>
  <c r="L582" i="23" s="1"/>
  <c r="H582" i="23"/>
  <c r="K582" i="23" s="1"/>
  <c r="G582" i="23"/>
  <c r="J582" i="23" s="1"/>
  <c r="E582" i="23"/>
  <c r="D582" i="23"/>
  <c r="C582" i="23"/>
  <c r="I581" i="23"/>
  <c r="L581" i="23" s="1"/>
  <c r="H581" i="23"/>
  <c r="K581" i="23" s="1"/>
  <c r="G581" i="23"/>
  <c r="J581" i="23" s="1"/>
  <c r="E581" i="23"/>
  <c r="D581" i="23"/>
  <c r="C581" i="23"/>
  <c r="I580" i="23"/>
  <c r="L580" i="23" s="1"/>
  <c r="H580" i="23"/>
  <c r="K580" i="23" s="1"/>
  <c r="G580" i="23"/>
  <c r="J580" i="23" s="1"/>
  <c r="E580" i="23"/>
  <c r="D580" i="23"/>
  <c r="C580" i="23"/>
  <c r="N579" i="23"/>
  <c r="M579" i="23"/>
  <c r="M585" i="23" s="1"/>
  <c r="M578" i="23"/>
  <c r="I578" i="23"/>
  <c r="L578" i="23" s="1"/>
  <c r="H578" i="23"/>
  <c r="K578" i="23" s="1"/>
  <c r="G578" i="23"/>
  <c r="J578" i="23" s="1"/>
  <c r="E578" i="23"/>
  <c r="D578" i="23"/>
  <c r="C578" i="23"/>
  <c r="I577" i="23"/>
  <c r="L577" i="23" s="1"/>
  <c r="H577" i="23"/>
  <c r="K577" i="23" s="1"/>
  <c r="G577" i="23"/>
  <c r="J577" i="23" s="1"/>
  <c r="E577" i="23"/>
  <c r="D577" i="23"/>
  <c r="C577" i="23"/>
  <c r="I576" i="23"/>
  <c r="L576" i="23" s="1"/>
  <c r="H576" i="23"/>
  <c r="K576" i="23" s="1"/>
  <c r="G576" i="23"/>
  <c r="J576" i="23" s="1"/>
  <c r="E576" i="23"/>
  <c r="D576" i="23"/>
  <c r="C576" i="23"/>
  <c r="I575" i="23"/>
  <c r="L575" i="23" s="1"/>
  <c r="H575" i="23"/>
  <c r="K575" i="23" s="1"/>
  <c r="G575" i="23"/>
  <c r="J575" i="23" s="1"/>
  <c r="E575" i="23"/>
  <c r="D575" i="23"/>
  <c r="C575" i="23"/>
  <c r="I574" i="23"/>
  <c r="H574" i="23"/>
  <c r="G574" i="23"/>
  <c r="F574" i="23"/>
  <c r="E574" i="23"/>
  <c r="D574" i="23"/>
  <c r="C574" i="23"/>
  <c r="N573" i="23"/>
  <c r="M573" i="23"/>
  <c r="M575" i="23" s="1"/>
  <c r="M572" i="23"/>
  <c r="I572" i="23"/>
  <c r="L572" i="23" s="1"/>
  <c r="H572" i="23"/>
  <c r="K572" i="23" s="1"/>
  <c r="G572" i="23"/>
  <c r="J572" i="23" s="1"/>
  <c r="E572" i="23"/>
  <c r="D572" i="23"/>
  <c r="C572" i="23"/>
  <c r="I571" i="23"/>
  <c r="L571" i="23" s="1"/>
  <c r="H571" i="23"/>
  <c r="K571" i="23" s="1"/>
  <c r="G571" i="23"/>
  <c r="J571" i="23" s="1"/>
  <c r="E571" i="23"/>
  <c r="D571" i="23"/>
  <c r="C571" i="23"/>
  <c r="I570" i="23"/>
  <c r="L570" i="23" s="1"/>
  <c r="H570" i="23"/>
  <c r="K570" i="23" s="1"/>
  <c r="G570" i="23"/>
  <c r="J570" i="23" s="1"/>
  <c r="E570" i="23"/>
  <c r="D570" i="23"/>
  <c r="C570" i="23"/>
  <c r="I569" i="23"/>
  <c r="H569" i="23"/>
  <c r="G569" i="23"/>
  <c r="F569" i="23"/>
  <c r="E569" i="23"/>
  <c r="D569" i="23"/>
  <c r="C569" i="23"/>
  <c r="N568" i="23"/>
  <c r="N572" i="23" s="1"/>
  <c r="M568" i="23"/>
  <c r="M571" i="23" s="1"/>
  <c r="M567" i="23"/>
  <c r="I567" i="23"/>
  <c r="L567" i="23" s="1"/>
  <c r="H567" i="23"/>
  <c r="K567" i="23" s="1"/>
  <c r="G567" i="23"/>
  <c r="J567" i="23" s="1"/>
  <c r="E567" i="23"/>
  <c r="D567" i="23"/>
  <c r="C567" i="23"/>
  <c r="I566" i="23"/>
  <c r="L566" i="23" s="1"/>
  <c r="H566" i="23"/>
  <c r="K566" i="23" s="1"/>
  <c r="G566" i="23"/>
  <c r="J566" i="23" s="1"/>
  <c r="E566" i="23"/>
  <c r="D566" i="23"/>
  <c r="C566" i="23"/>
  <c r="I565" i="23"/>
  <c r="L565" i="23" s="1"/>
  <c r="H565" i="23"/>
  <c r="K565" i="23" s="1"/>
  <c r="G565" i="23"/>
  <c r="J565" i="23" s="1"/>
  <c r="E565" i="23"/>
  <c r="D565" i="23"/>
  <c r="C565" i="23"/>
  <c r="I564" i="23"/>
  <c r="L564" i="23" s="1"/>
  <c r="H564" i="23"/>
  <c r="K564" i="23" s="1"/>
  <c r="G564" i="23"/>
  <c r="J564" i="23" s="1"/>
  <c r="E564" i="23"/>
  <c r="D564" i="23"/>
  <c r="C564" i="23"/>
  <c r="I563" i="23"/>
  <c r="L563" i="23" s="1"/>
  <c r="H563" i="23"/>
  <c r="K563" i="23" s="1"/>
  <c r="G563" i="23"/>
  <c r="J563" i="23" s="1"/>
  <c r="E563" i="23"/>
  <c r="D563" i="23"/>
  <c r="C563" i="23"/>
  <c r="I562" i="23"/>
  <c r="L562" i="23" s="1"/>
  <c r="H562" i="23"/>
  <c r="K562" i="23" s="1"/>
  <c r="G562" i="23"/>
  <c r="J562" i="23" s="1"/>
  <c r="E562" i="23"/>
  <c r="D562" i="23"/>
  <c r="C562" i="23"/>
  <c r="I561" i="23"/>
  <c r="H561" i="23"/>
  <c r="G561" i="23"/>
  <c r="E561" i="23"/>
  <c r="D561" i="23"/>
  <c r="C561" i="23"/>
  <c r="I560" i="23"/>
  <c r="H560" i="23"/>
  <c r="G560" i="23"/>
  <c r="E560" i="23"/>
  <c r="D560" i="23"/>
  <c r="C560" i="23"/>
  <c r="N559" i="23"/>
  <c r="N567" i="23" s="1"/>
  <c r="M559" i="23"/>
  <c r="M565" i="23" s="1"/>
  <c r="M558" i="23"/>
  <c r="I558" i="23"/>
  <c r="L558" i="23" s="1"/>
  <c r="H558" i="23"/>
  <c r="K558" i="23" s="1"/>
  <c r="G558" i="23"/>
  <c r="J558" i="23" s="1"/>
  <c r="E558" i="23"/>
  <c r="D558" i="23"/>
  <c r="C558" i="23"/>
  <c r="I557" i="23"/>
  <c r="L557" i="23" s="1"/>
  <c r="H557" i="23"/>
  <c r="K557" i="23" s="1"/>
  <c r="G557" i="23"/>
  <c r="J557" i="23" s="1"/>
  <c r="E557" i="23"/>
  <c r="D557" i="23"/>
  <c r="C557" i="23"/>
  <c r="I556" i="23"/>
  <c r="L556" i="23" s="1"/>
  <c r="H556" i="23"/>
  <c r="K556" i="23" s="1"/>
  <c r="G556" i="23"/>
  <c r="J556" i="23" s="1"/>
  <c r="E556" i="23"/>
  <c r="D556" i="23"/>
  <c r="C556" i="23"/>
  <c r="I555" i="23"/>
  <c r="L555" i="23" s="1"/>
  <c r="H555" i="23"/>
  <c r="K555" i="23" s="1"/>
  <c r="G555" i="23"/>
  <c r="J555" i="23" s="1"/>
  <c r="E555" i="23"/>
  <c r="D555" i="23"/>
  <c r="C555" i="23"/>
  <c r="I554" i="23"/>
  <c r="H554" i="23"/>
  <c r="G554" i="23"/>
  <c r="E554" i="23"/>
  <c r="D554" i="23"/>
  <c r="C554" i="23"/>
  <c r="I553" i="23"/>
  <c r="H553" i="23"/>
  <c r="G553" i="23"/>
  <c r="E553" i="23"/>
  <c r="D553" i="23"/>
  <c r="C553" i="23"/>
  <c r="N552" i="23"/>
  <c r="N558" i="23" s="1"/>
  <c r="M552" i="23"/>
  <c r="M555" i="23" s="1"/>
  <c r="M551" i="23"/>
  <c r="I551" i="23"/>
  <c r="L551" i="23" s="1"/>
  <c r="H551" i="23"/>
  <c r="K551" i="23" s="1"/>
  <c r="G551" i="23"/>
  <c r="J551" i="23" s="1"/>
  <c r="E551" i="23"/>
  <c r="D551" i="23"/>
  <c r="C551" i="23"/>
  <c r="I550" i="23"/>
  <c r="L550" i="23" s="1"/>
  <c r="H550" i="23"/>
  <c r="K550" i="23" s="1"/>
  <c r="G550" i="23"/>
  <c r="J550" i="23" s="1"/>
  <c r="E550" i="23"/>
  <c r="D550" i="23"/>
  <c r="C550" i="23"/>
  <c r="I549" i="23"/>
  <c r="L549" i="23" s="1"/>
  <c r="H549" i="23"/>
  <c r="K549" i="23" s="1"/>
  <c r="G549" i="23"/>
  <c r="J549" i="23" s="1"/>
  <c r="E549" i="23"/>
  <c r="D549" i="23"/>
  <c r="C549" i="23"/>
  <c r="I548" i="23"/>
  <c r="L548" i="23" s="1"/>
  <c r="H548" i="23"/>
  <c r="K548" i="23" s="1"/>
  <c r="G548" i="23"/>
  <c r="J548" i="23" s="1"/>
  <c r="E548" i="23"/>
  <c r="D548" i="23"/>
  <c r="C548" i="23"/>
  <c r="I547" i="23"/>
  <c r="L547" i="23" s="1"/>
  <c r="H547" i="23"/>
  <c r="K547" i="23" s="1"/>
  <c r="G547" i="23"/>
  <c r="J547" i="23" s="1"/>
  <c r="E547" i="23"/>
  <c r="D547" i="23"/>
  <c r="C547" i="23"/>
  <c r="I546" i="23"/>
  <c r="H546" i="23"/>
  <c r="G546" i="23"/>
  <c r="E546" i="23"/>
  <c r="D546" i="23"/>
  <c r="C546" i="23"/>
  <c r="I545" i="23"/>
  <c r="H545" i="23"/>
  <c r="G545" i="23"/>
  <c r="E545" i="23"/>
  <c r="D545" i="23"/>
  <c r="C545" i="23"/>
  <c r="I544" i="23"/>
  <c r="H544" i="23"/>
  <c r="G544" i="23"/>
  <c r="E544" i="23"/>
  <c r="D544" i="23"/>
  <c r="C544" i="23"/>
  <c r="N543" i="23"/>
  <c r="N551" i="23" s="1"/>
  <c r="M543" i="23"/>
  <c r="M548" i="23" s="1"/>
  <c r="M542" i="23"/>
  <c r="I542" i="23"/>
  <c r="L542" i="23" s="1"/>
  <c r="H542" i="23"/>
  <c r="K542" i="23" s="1"/>
  <c r="G542" i="23"/>
  <c r="J542" i="23" s="1"/>
  <c r="E542" i="23"/>
  <c r="D542" i="23"/>
  <c r="C542" i="23"/>
  <c r="I541" i="23"/>
  <c r="L541" i="23" s="1"/>
  <c r="H541" i="23"/>
  <c r="K541" i="23" s="1"/>
  <c r="G541" i="23"/>
  <c r="J541" i="23" s="1"/>
  <c r="E541" i="23"/>
  <c r="D541" i="23"/>
  <c r="C541" i="23"/>
  <c r="I540" i="23"/>
  <c r="L540" i="23" s="1"/>
  <c r="H540" i="23"/>
  <c r="K540" i="23" s="1"/>
  <c r="G540" i="23"/>
  <c r="J540" i="23" s="1"/>
  <c r="E540" i="23"/>
  <c r="D540" i="23"/>
  <c r="C540" i="23"/>
  <c r="I539" i="23"/>
  <c r="L539" i="23" s="1"/>
  <c r="H539" i="23"/>
  <c r="K539" i="23" s="1"/>
  <c r="G539" i="23"/>
  <c r="J539" i="23" s="1"/>
  <c r="E539" i="23"/>
  <c r="D539" i="23"/>
  <c r="C539" i="23"/>
  <c r="I538" i="23"/>
  <c r="H538" i="23"/>
  <c r="G538" i="23"/>
  <c r="E538" i="23"/>
  <c r="D538" i="23"/>
  <c r="C538" i="23"/>
  <c r="I537" i="23"/>
  <c r="H537" i="23"/>
  <c r="G537" i="23"/>
  <c r="E537" i="23"/>
  <c r="D537" i="23"/>
  <c r="C537" i="23"/>
  <c r="N536" i="23"/>
  <c r="N542" i="23" s="1"/>
  <c r="M536" i="23"/>
  <c r="M539" i="23" s="1"/>
  <c r="M535" i="23"/>
  <c r="I535" i="23"/>
  <c r="L535" i="23" s="1"/>
  <c r="H535" i="23"/>
  <c r="K535" i="23" s="1"/>
  <c r="G535" i="23"/>
  <c r="J535" i="23" s="1"/>
  <c r="E535" i="23"/>
  <c r="D535" i="23"/>
  <c r="C535" i="23"/>
  <c r="I534" i="23"/>
  <c r="L534" i="23" s="1"/>
  <c r="H534" i="23"/>
  <c r="K534" i="23" s="1"/>
  <c r="G534" i="23"/>
  <c r="J534" i="23" s="1"/>
  <c r="E534" i="23"/>
  <c r="D534" i="23"/>
  <c r="C534" i="23"/>
  <c r="I533" i="23"/>
  <c r="L533" i="23" s="1"/>
  <c r="H533" i="23"/>
  <c r="K533" i="23" s="1"/>
  <c r="G533" i="23"/>
  <c r="J533" i="23" s="1"/>
  <c r="E533" i="23"/>
  <c r="D533" i="23"/>
  <c r="C533" i="23"/>
  <c r="I532" i="23"/>
  <c r="L532" i="23" s="1"/>
  <c r="H532" i="23"/>
  <c r="K532" i="23" s="1"/>
  <c r="G532" i="23"/>
  <c r="J532" i="23" s="1"/>
  <c r="E532" i="23"/>
  <c r="D532" i="23"/>
  <c r="C532" i="23"/>
  <c r="I531" i="23"/>
  <c r="L531" i="23" s="1"/>
  <c r="H531" i="23"/>
  <c r="K531" i="23" s="1"/>
  <c r="G531" i="23"/>
  <c r="J531" i="23" s="1"/>
  <c r="E531" i="23"/>
  <c r="D531" i="23"/>
  <c r="C531" i="23"/>
  <c r="I530" i="23"/>
  <c r="H530" i="23"/>
  <c r="G530" i="23"/>
  <c r="E530" i="23"/>
  <c r="D530" i="23"/>
  <c r="C530" i="23"/>
  <c r="I529" i="23"/>
  <c r="H529" i="23"/>
  <c r="G529" i="23"/>
  <c r="E529" i="23"/>
  <c r="D529" i="23"/>
  <c r="C529" i="23"/>
  <c r="N528" i="23"/>
  <c r="M528" i="23"/>
  <c r="M527" i="23"/>
  <c r="I527" i="23"/>
  <c r="L527" i="23" s="1"/>
  <c r="H527" i="23"/>
  <c r="K527" i="23" s="1"/>
  <c r="G527" i="23"/>
  <c r="J527" i="23" s="1"/>
  <c r="E527" i="23"/>
  <c r="D527" i="23"/>
  <c r="C527" i="23"/>
  <c r="I526" i="23"/>
  <c r="L526" i="23" s="1"/>
  <c r="H526" i="23"/>
  <c r="K526" i="23" s="1"/>
  <c r="G526" i="23"/>
  <c r="J526" i="23" s="1"/>
  <c r="E526" i="23"/>
  <c r="D526" i="23"/>
  <c r="C526" i="23"/>
  <c r="I525" i="23"/>
  <c r="L525" i="23" s="1"/>
  <c r="H525" i="23"/>
  <c r="K525" i="23" s="1"/>
  <c r="G525" i="23"/>
  <c r="J525" i="23" s="1"/>
  <c r="E525" i="23"/>
  <c r="D525" i="23"/>
  <c r="C525" i="23"/>
  <c r="I524" i="23"/>
  <c r="L524" i="23" s="1"/>
  <c r="H524" i="23"/>
  <c r="K524" i="23" s="1"/>
  <c r="G524" i="23"/>
  <c r="J524" i="23" s="1"/>
  <c r="E524" i="23"/>
  <c r="D524" i="23"/>
  <c r="C524" i="23"/>
  <c r="I523" i="23"/>
  <c r="H523" i="23"/>
  <c r="G523" i="23"/>
  <c r="E523" i="23"/>
  <c r="D523" i="23"/>
  <c r="C523" i="23"/>
  <c r="I522" i="23"/>
  <c r="H522" i="23"/>
  <c r="G522" i="23"/>
  <c r="E522" i="23"/>
  <c r="D522" i="23"/>
  <c r="C522" i="23"/>
  <c r="N521" i="23"/>
  <c r="N527" i="23" s="1"/>
  <c r="M521" i="23"/>
  <c r="M525" i="23" s="1"/>
  <c r="M520" i="23"/>
  <c r="I520" i="23"/>
  <c r="L520" i="23" s="1"/>
  <c r="H520" i="23"/>
  <c r="K520" i="23" s="1"/>
  <c r="G520" i="23"/>
  <c r="J520" i="23" s="1"/>
  <c r="E520" i="23"/>
  <c r="D520" i="23"/>
  <c r="C520" i="23"/>
  <c r="I519" i="23"/>
  <c r="L519" i="23" s="1"/>
  <c r="H519" i="23"/>
  <c r="K519" i="23" s="1"/>
  <c r="G519" i="23"/>
  <c r="J519" i="23" s="1"/>
  <c r="E519" i="23"/>
  <c r="D519" i="23"/>
  <c r="C519" i="23"/>
  <c r="I518" i="23"/>
  <c r="L518" i="23" s="1"/>
  <c r="H518" i="23"/>
  <c r="K518" i="23" s="1"/>
  <c r="G518" i="23"/>
  <c r="J518" i="23" s="1"/>
  <c r="E518" i="23"/>
  <c r="D518" i="23"/>
  <c r="C518" i="23"/>
  <c r="I517" i="23"/>
  <c r="L517" i="23" s="1"/>
  <c r="H517" i="23"/>
  <c r="K517" i="23" s="1"/>
  <c r="G517" i="23"/>
  <c r="J517" i="23" s="1"/>
  <c r="E517" i="23"/>
  <c r="D517" i="23"/>
  <c r="C517" i="23"/>
  <c r="I516" i="23"/>
  <c r="L516" i="23" s="1"/>
  <c r="H516" i="23"/>
  <c r="K516" i="23" s="1"/>
  <c r="G516" i="23"/>
  <c r="J516" i="23" s="1"/>
  <c r="E516" i="23"/>
  <c r="D516" i="23"/>
  <c r="C516" i="23"/>
  <c r="I515" i="23"/>
  <c r="H515" i="23"/>
  <c r="G515" i="23"/>
  <c r="F515" i="23"/>
  <c r="E515" i="23"/>
  <c r="D515" i="23"/>
  <c r="C515" i="23"/>
  <c r="I514" i="23"/>
  <c r="H514" i="23"/>
  <c r="G514" i="23"/>
  <c r="F514" i="23"/>
  <c r="E514" i="23"/>
  <c r="D514" i="23"/>
  <c r="C514" i="23"/>
  <c r="N513" i="23"/>
  <c r="M513" i="23"/>
  <c r="M512" i="23"/>
  <c r="I512" i="23"/>
  <c r="L512" i="23" s="1"/>
  <c r="H512" i="23"/>
  <c r="K512" i="23" s="1"/>
  <c r="G512" i="23"/>
  <c r="J512" i="23" s="1"/>
  <c r="E512" i="23"/>
  <c r="D512" i="23"/>
  <c r="C512" i="23"/>
  <c r="I511" i="23"/>
  <c r="L511" i="23" s="1"/>
  <c r="H511" i="23"/>
  <c r="K511" i="23" s="1"/>
  <c r="G511" i="23"/>
  <c r="J511" i="23" s="1"/>
  <c r="E511" i="23"/>
  <c r="D511" i="23"/>
  <c r="C511" i="23"/>
  <c r="I510" i="23"/>
  <c r="L510" i="23" s="1"/>
  <c r="H510" i="23"/>
  <c r="K510" i="23" s="1"/>
  <c r="G510" i="23"/>
  <c r="J510" i="23" s="1"/>
  <c r="E510" i="23"/>
  <c r="D510" i="23"/>
  <c r="C510" i="23"/>
  <c r="I509" i="23"/>
  <c r="L509" i="23" s="1"/>
  <c r="H509" i="23"/>
  <c r="K509" i="23" s="1"/>
  <c r="G509" i="23"/>
  <c r="J509" i="23" s="1"/>
  <c r="E509" i="23"/>
  <c r="D509" i="23"/>
  <c r="C509" i="23"/>
  <c r="I508" i="23"/>
  <c r="H508" i="23"/>
  <c r="G508" i="23"/>
  <c r="F508" i="23"/>
  <c r="E508" i="23"/>
  <c r="D508" i="23"/>
  <c r="C508" i="23"/>
  <c r="I507" i="23"/>
  <c r="H507" i="23"/>
  <c r="G507" i="23"/>
  <c r="F507" i="23"/>
  <c r="E507" i="23"/>
  <c r="D507" i="23"/>
  <c r="C507" i="23"/>
  <c r="N506" i="23"/>
  <c r="N512" i="23" s="1"/>
  <c r="M506" i="23"/>
  <c r="M510" i="23" s="1"/>
  <c r="M505" i="23"/>
  <c r="I505" i="23"/>
  <c r="L505" i="23" s="1"/>
  <c r="H505" i="23"/>
  <c r="K505" i="23" s="1"/>
  <c r="G505" i="23"/>
  <c r="J505" i="23" s="1"/>
  <c r="E505" i="23"/>
  <c r="D505" i="23"/>
  <c r="C505" i="23"/>
  <c r="I504" i="23"/>
  <c r="L504" i="23" s="1"/>
  <c r="H504" i="23"/>
  <c r="K504" i="23" s="1"/>
  <c r="G504" i="23"/>
  <c r="J504" i="23" s="1"/>
  <c r="E504" i="23"/>
  <c r="D504" i="23"/>
  <c r="C504" i="23"/>
  <c r="I503" i="23"/>
  <c r="L503" i="23" s="1"/>
  <c r="H503" i="23"/>
  <c r="K503" i="23" s="1"/>
  <c r="G503" i="23"/>
  <c r="J503" i="23" s="1"/>
  <c r="E503" i="23"/>
  <c r="D503" i="23"/>
  <c r="C503" i="23"/>
  <c r="I502" i="23"/>
  <c r="L502" i="23" s="1"/>
  <c r="H502" i="23"/>
  <c r="K502" i="23" s="1"/>
  <c r="G502" i="23"/>
  <c r="J502" i="23" s="1"/>
  <c r="E502" i="23"/>
  <c r="D502" i="23"/>
  <c r="C502" i="23"/>
  <c r="I501" i="23"/>
  <c r="L501" i="23" s="1"/>
  <c r="H501" i="23"/>
  <c r="K501" i="23" s="1"/>
  <c r="G501" i="23"/>
  <c r="J501" i="23" s="1"/>
  <c r="E501" i="23"/>
  <c r="D501" i="23"/>
  <c r="C501" i="23"/>
  <c r="I500" i="23"/>
  <c r="L500" i="23" s="1"/>
  <c r="H500" i="23"/>
  <c r="K500" i="23" s="1"/>
  <c r="G500" i="23"/>
  <c r="J500" i="23" s="1"/>
  <c r="E500" i="23"/>
  <c r="D500" i="23"/>
  <c r="C500" i="23"/>
  <c r="I499" i="23"/>
  <c r="H499" i="23"/>
  <c r="G499" i="23"/>
  <c r="E499" i="23"/>
  <c r="D499" i="23"/>
  <c r="C499" i="23"/>
  <c r="I498" i="23"/>
  <c r="H498" i="23"/>
  <c r="G498" i="23"/>
  <c r="E498" i="23"/>
  <c r="D498" i="23"/>
  <c r="C498" i="23"/>
  <c r="N497" i="23"/>
  <c r="N505" i="23" s="1"/>
  <c r="M497" i="23"/>
  <c r="M496" i="23"/>
  <c r="L496" i="23"/>
  <c r="K496" i="23"/>
  <c r="J496" i="23"/>
  <c r="M495" i="23"/>
  <c r="I495" i="23"/>
  <c r="L495" i="23" s="1"/>
  <c r="H495" i="23"/>
  <c r="K495" i="23" s="1"/>
  <c r="G495" i="23"/>
  <c r="J495" i="23" s="1"/>
  <c r="E495" i="23"/>
  <c r="D495" i="23"/>
  <c r="C495" i="23"/>
  <c r="I494" i="23"/>
  <c r="L494" i="23" s="1"/>
  <c r="H494" i="23"/>
  <c r="K494" i="23" s="1"/>
  <c r="G494" i="23"/>
  <c r="J494" i="23" s="1"/>
  <c r="E494" i="23"/>
  <c r="D494" i="23"/>
  <c r="C494" i="23"/>
  <c r="I493" i="23"/>
  <c r="L493" i="23" s="1"/>
  <c r="H493" i="23"/>
  <c r="K493" i="23" s="1"/>
  <c r="G493" i="23"/>
  <c r="J493" i="23" s="1"/>
  <c r="E493" i="23"/>
  <c r="D493" i="23"/>
  <c r="C493" i="23"/>
  <c r="I492" i="23"/>
  <c r="L492" i="23" s="1"/>
  <c r="H492" i="23"/>
  <c r="K492" i="23" s="1"/>
  <c r="G492" i="23"/>
  <c r="J492" i="23" s="1"/>
  <c r="E492" i="23"/>
  <c r="D492" i="23"/>
  <c r="C492" i="23"/>
  <c r="I491" i="23"/>
  <c r="L491" i="23" s="1"/>
  <c r="H491" i="23"/>
  <c r="K491" i="23" s="1"/>
  <c r="G491" i="23"/>
  <c r="J491" i="23" s="1"/>
  <c r="E491" i="23"/>
  <c r="D491" i="23"/>
  <c r="C491" i="23"/>
  <c r="I490" i="23"/>
  <c r="L490" i="23" s="1"/>
  <c r="H490" i="23"/>
  <c r="K490" i="23" s="1"/>
  <c r="G490" i="23"/>
  <c r="J490" i="23" s="1"/>
  <c r="E490" i="23"/>
  <c r="D490" i="23"/>
  <c r="C490" i="23"/>
  <c r="I489" i="23"/>
  <c r="H489" i="23"/>
  <c r="G489" i="23"/>
  <c r="E489" i="23"/>
  <c r="D489" i="23"/>
  <c r="C489" i="23"/>
  <c r="I488" i="23"/>
  <c r="H488" i="23"/>
  <c r="G488" i="23"/>
  <c r="E488" i="23"/>
  <c r="D488" i="23"/>
  <c r="C488" i="23"/>
  <c r="N487" i="23"/>
  <c r="N495" i="23" s="1"/>
  <c r="M487" i="23"/>
  <c r="M492" i="23" s="1"/>
  <c r="M486" i="23"/>
  <c r="I486" i="23"/>
  <c r="L486" i="23" s="1"/>
  <c r="H486" i="23"/>
  <c r="K486" i="23" s="1"/>
  <c r="G486" i="23"/>
  <c r="J486" i="23" s="1"/>
  <c r="E486" i="23"/>
  <c r="D486" i="23"/>
  <c r="C486" i="23"/>
  <c r="I485" i="23"/>
  <c r="L485" i="23" s="1"/>
  <c r="H485" i="23"/>
  <c r="K485" i="23" s="1"/>
  <c r="G485" i="23"/>
  <c r="J485" i="23" s="1"/>
  <c r="E485" i="23"/>
  <c r="D485" i="23"/>
  <c r="C485" i="23"/>
  <c r="I484" i="23"/>
  <c r="L484" i="23" s="1"/>
  <c r="H484" i="23"/>
  <c r="K484" i="23" s="1"/>
  <c r="G484" i="23"/>
  <c r="J484" i="23" s="1"/>
  <c r="E484" i="23"/>
  <c r="D484" i="23"/>
  <c r="C484" i="23"/>
  <c r="I483" i="23"/>
  <c r="L483" i="23" s="1"/>
  <c r="H483" i="23"/>
  <c r="K483" i="23" s="1"/>
  <c r="G483" i="23"/>
  <c r="J483" i="23" s="1"/>
  <c r="E483" i="23"/>
  <c r="D483" i="23"/>
  <c r="C483" i="23"/>
  <c r="I482" i="23"/>
  <c r="L482" i="23" s="1"/>
  <c r="H482" i="23"/>
  <c r="K482" i="23" s="1"/>
  <c r="G482" i="23"/>
  <c r="J482" i="23" s="1"/>
  <c r="E482" i="23"/>
  <c r="D482" i="23"/>
  <c r="C482" i="23"/>
  <c r="I481" i="23"/>
  <c r="L481" i="23" s="1"/>
  <c r="H481" i="23"/>
  <c r="K481" i="23" s="1"/>
  <c r="G481" i="23"/>
  <c r="J481" i="23" s="1"/>
  <c r="E481" i="23"/>
  <c r="D481" i="23"/>
  <c r="C481" i="23"/>
  <c r="I480" i="23"/>
  <c r="H480" i="23"/>
  <c r="G480" i="23"/>
  <c r="E480" i="23"/>
  <c r="D480" i="23"/>
  <c r="C480" i="23"/>
  <c r="I479" i="23"/>
  <c r="H479" i="23"/>
  <c r="G479" i="23"/>
  <c r="E479" i="23"/>
  <c r="D479" i="23"/>
  <c r="C479" i="23"/>
  <c r="N478" i="23"/>
  <c r="N486" i="23" s="1"/>
  <c r="M478" i="23"/>
  <c r="M485" i="23" s="1"/>
  <c r="M477" i="23"/>
  <c r="I477" i="23"/>
  <c r="L477" i="23" s="1"/>
  <c r="H477" i="23"/>
  <c r="K477" i="23" s="1"/>
  <c r="G477" i="23"/>
  <c r="J477" i="23" s="1"/>
  <c r="E477" i="23"/>
  <c r="D477" i="23"/>
  <c r="C477" i="23"/>
  <c r="I476" i="23"/>
  <c r="L476" i="23" s="1"/>
  <c r="H476" i="23"/>
  <c r="K476" i="23" s="1"/>
  <c r="G476" i="23"/>
  <c r="J476" i="23" s="1"/>
  <c r="E476" i="23"/>
  <c r="D476" i="23"/>
  <c r="C476" i="23"/>
  <c r="I475" i="23"/>
  <c r="L475" i="23" s="1"/>
  <c r="H475" i="23"/>
  <c r="K475" i="23" s="1"/>
  <c r="G475" i="23"/>
  <c r="J475" i="23" s="1"/>
  <c r="E475" i="23"/>
  <c r="D475" i="23"/>
  <c r="C475" i="23"/>
  <c r="I474" i="23"/>
  <c r="L474" i="23" s="1"/>
  <c r="H474" i="23"/>
  <c r="K474" i="23" s="1"/>
  <c r="G474" i="23"/>
  <c r="J474" i="23" s="1"/>
  <c r="E474" i="23"/>
  <c r="D474" i="23"/>
  <c r="C474" i="23"/>
  <c r="M473" i="23"/>
  <c r="I473" i="23"/>
  <c r="L473" i="23" s="1"/>
  <c r="H473" i="23"/>
  <c r="K473" i="23" s="1"/>
  <c r="G473" i="23"/>
  <c r="J473" i="23" s="1"/>
  <c r="E473" i="23"/>
  <c r="D473" i="23"/>
  <c r="C473" i="23"/>
  <c r="M472" i="23"/>
  <c r="I472" i="23"/>
  <c r="L472" i="23" s="1"/>
  <c r="H472" i="23"/>
  <c r="K472" i="23" s="1"/>
  <c r="G472" i="23"/>
  <c r="J472" i="23" s="1"/>
  <c r="E472" i="23"/>
  <c r="D472" i="23"/>
  <c r="C472" i="23"/>
  <c r="I471" i="23"/>
  <c r="H471" i="23"/>
  <c r="G471" i="23"/>
  <c r="E471" i="23"/>
  <c r="D471" i="23"/>
  <c r="C471" i="23"/>
  <c r="I470" i="23"/>
  <c r="H470" i="23"/>
  <c r="G470" i="23"/>
  <c r="E470" i="23"/>
  <c r="D470" i="23"/>
  <c r="C470" i="23"/>
  <c r="N469" i="23"/>
  <c r="N477" i="23" s="1"/>
  <c r="M469" i="23"/>
  <c r="M474" i="23" s="1"/>
  <c r="M468" i="23"/>
  <c r="I468" i="23"/>
  <c r="L468" i="23" s="1"/>
  <c r="H468" i="23"/>
  <c r="K468" i="23" s="1"/>
  <c r="G468" i="23"/>
  <c r="J468" i="23" s="1"/>
  <c r="E468" i="23"/>
  <c r="D468" i="23"/>
  <c r="C468" i="23"/>
  <c r="I467" i="23"/>
  <c r="L467" i="23" s="1"/>
  <c r="H467" i="23"/>
  <c r="K467" i="23" s="1"/>
  <c r="G467" i="23"/>
  <c r="J467" i="23" s="1"/>
  <c r="E467" i="23"/>
  <c r="D467" i="23"/>
  <c r="C467" i="23"/>
  <c r="I466" i="23"/>
  <c r="L466" i="23" s="1"/>
  <c r="H466" i="23"/>
  <c r="K466" i="23" s="1"/>
  <c r="G466" i="23"/>
  <c r="J466" i="23" s="1"/>
  <c r="E466" i="23"/>
  <c r="D466" i="23"/>
  <c r="C466" i="23"/>
  <c r="I465" i="23"/>
  <c r="L465" i="23" s="1"/>
  <c r="H465" i="23"/>
  <c r="K465" i="23" s="1"/>
  <c r="G465" i="23"/>
  <c r="J465" i="23" s="1"/>
  <c r="E465" i="23"/>
  <c r="D465" i="23"/>
  <c r="C465" i="23"/>
  <c r="I464" i="23"/>
  <c r="L464" i="23" s="1"/>
  <c r="H464" i="23"/>
  <c r="K464" i="23" s="1"/>
  <c r="G464" i="23"/>
  <c r="J464" i="23" s="1"/>
  <c r="E464" i="23"/>
  <c r="D464" i="23"/>
  <c r="C464" i="23"/>
  <c r="I463" i="23"/>
  <c r="L463" i="23" s="1"/>
  <c r="H463" i="23"/>
  <c r="K463" i="23" s="1"/>
  <c r="G463" i="23"/>
  <c r="J463" i="23" s="1"/>
  <c r="E463" i="23"/>
  <c r="D463" i="23"/>
  <c r="C463" i="23"/>
  <c r="I462" i="23"/>
  <c r="H462" i="23"/>
  <c r="G462" i="23"/>
  <c r="E462" i="23"/>
  <c r="D462" i="23"/>
  <c r="C462" i="23"/>
  <c r="I461" i="23"/>
  <c r="H461" i="23"/>
  <c r="G461" i="23"/>
  <c r="E461" i="23"/>
  <c r="D461" i="23"/>
  <c r="C461" i="23"/>
  <c r="N460" i="23"/>
  <c r="N468" i="23" s="1"/>
  <c r="M460" i="23"/>
  <c r="M465" i="23" s="1"/>
  <c r="M459" i="23"/>
  <c r="I459" i="23"/>
  <c r="L459" i="23" s="1"/>
  <c r="H459" i="23"/>
  <c r="K459" i="23" s="1"/>
  <c r="G459" i="23"/>
  <c r="J459" i="23" s="1"/>
  <c r="E459" i="23"/>
  <c r="D459" i="23"/>
  <c r="C459" i="23"/>
  <c r="I458" i="23"/>
  <c r="L458" i="23" s="1"/>
  <c r="H458" i="23"/>
  <c r="K458" i="23" s="1"/>
  <c r="G458" i="23"/>
  <c r="J458" i="23" s="1"/>
  <c r="E458" i="23"/>
  <c r="D458" i="23"/>
  <c r="C458" i="23"/>
  <c r="I457" i="23"/>
  <c r="L457" i="23" s="1"/>
  <c r="H457" i="23"/>
  <c r="K457" i="23" s="1"/>
  <c r="G457" i="23"/>
  <c r="J457" i="23" s="1"/>
  <c r="E457" i="23"/>
  <c r="D457" i="23"/>
  <c r="C457" i="23"/>
  <c r="I456" i="23"/>
  <c r="L456" i="23" s="1"/>
  <c r="H456" i="23"/>
  <c r="K456" i="23" s="1"/>
  <c r="G456" i="23"/>
  <c r="J456" i="23" s="1"/>
  <c r="E456" i="23"/>
  <c r="D456" i="23"/>
  <c r="C456" i="23"/>
  <c r="I455" i="23"/>
  <c r="H455" i="23"/>
  <c r="G455" i="23"/>
  <c r="E455" i="23"/>
  <c r="D455" i="23"/>
  <c r="C455" i="23"/>
  <c r="I454" i="23"/>
  <c r="H454" i="23"/>
  <c r="G454" i="23"/>
  <c r="E454" i="23"/>
  <c r="D454" i="23"/>
  <c r="C454" i="23"/>
  <c r="N453" i="23"/>
  <c r="N459" i="23" s="1"/>
  <c r="M453" i="23"/>
  <c r="M452" i="23"/>
  <c r="I452" i="23"/>
  <c r="L452" i="23" s="1"/>
  <c r="H452" i="23"/>
  <c r="K452" i="23" s="1"/>
  <c r="G452" i="23"/>
  <c r="J452" i="23" s="1"/>
  <c r="E452" i="23"/>
  <c r="D452" i="23"/>
  <c r="C452" i="23"/>
  <c r="I451" i="23"/>
  <c r="L451" i="23" s="1"/>
  <c r="H451" i="23"/>
  <c r="K451" i="23" s="1"/>
  <c r="G451" i="23"/>
  <c r="J451" i="23" s="1"/>
  <c r="E451" i="23"/>
  <c r="D451" i="23"/>
  <c r="C451" i="23"/>
  <c r="I450" i="23"/>
  <c r="L450" i="23" s="1"/>
  <c r="H450" i="23"/>
  <c r="K450" i="23" s="1"/>
  <c r="G450" i="23"/>
  <c r="J450" i="23" s="1"/>
  <c r="E450" i="23"/>
  <c r="D450" i="23"/>
  <c r="C450" i="23"/>
  <c r="I449" i="23"/>
  <c r="L449" i="23" s="1"/>
  <c r="H449" i="23"/>
  <c r="K449" i="23" s="1"/>
  <c r="G449" i="23"/>
  <c r="J449" i="23" s="1"/>
  <c r="E449" i="23"/>
  <c r="D449" i="23"/>
  <c r="C449" i="23"/>
  <c r="I448" i="23"/>
  <c r="L448" i="23" s="1"/>
  <c r="H448" i="23"/>
  <c r="K448" i="23" s="1"/>
  <c r="G448" i="23"/>
  <c r="J448" i="23" s="1"/>
  <c r="E448" i="23"/>
  <c r="D448" i="23"/>
  <c r="C448" i="23"/>
  <c r="I447" i="23"/>
  <c r="H447" i="23"/>
  <c r="G447" i="23"/>
  <c r="E447" i="23"/>
  <c r="D447" i="23"/>
  <c r="C447" i="23"/>
  <c r="I446" i="23"/>
  <c r="H446" i="23"/>
  <c r="G446" i="23"/>
  <c r="E446" i="23"/>
  <c r="D446" i="23"/>
  <c r="C446" i="23"/>
  <c r="N445" i="23"/>
  <c r="M445" i="23"/>
  <c r="M449" i="23" s="1"/>
  <c r="M444" i="23"/>
  <c r="I444" i="23"/>
  <c r="L444" i="23" s="1"/>
  <c r="H444" i="23"/>
  <c r="K444" i="23" s="1"/>
  <c r="G444" i="23"/>
  <c r="J444" i="23" s="1"/>
  <c r="E444" i="23"/>
  <c r="D444" i="23"/>
  <c r="C444" i="23"/>
  <c r="I443" i="23"/>
  <c r="L443" i="23" s="1"/>
  <c r="H443" i="23"/>
  <c r="K443" i="23" s="1"/>
  <c r="G443" i="23"/>
  <c r="J443" i="23" s="1"/>
  <c r="E443" i="23"/>
  <c r="D443" i="23"/>
  <c r="C443" i="23"/>
  <c r="I442" i="23"/>
  <c r="L442" i="23" s="1"/>
  <c r="H442" i="23"/>
  <c r="K442" i="23" s="1"/>
  <c r="G442" i="23"/>
  <c r="J442" i="23" s="1"/>
  <c r="E442" i="23"/>
  <c r="D442" i="23"/>
  <c r="C442" i="23"/>
  <c r="I441" i="23"/>
  <c r="L441" i="23" s="1"/>
  <c r="H441" i="23"/>
  <c r="K441" i="23" s="1"/>
  <c r="G441" i="23"/>
  <c r="J441" i="23" s="1"/>
  <c r="E441" i="23"/>
  <c r="D441" i="23"/>
  <c r="C441" i="23"/>
  <c r="I440" i="23"/>
  <c r="L440" i="23" s="1"/>
  <c r="H440" i="23"/>
  <c r="K440" i="23" s="1"/>
  <c r="G440" i="23"/>
  <c r="J440" i="23" s="1"/>
  <c r="E440" i="23"/>
  <c r="D440" i="23"/>
  <c r="C440" i="23"/>
  <c r="I439" i="23"/>
  <c r="H439" i="23"/>
  <c r="G439" i="23"/>
  <c r="E439" i="23"/>
  <c r="D439" i="23"/>
  <c r="C439" i="23"/>
  <c r="I438" i="23"/>
  <c r="H438" i="23"/>
  <c r="G438" i="23"/>
  <c r="E438" i="23"/>
  <c r="D438" i="23"/>
  <c r="C438" i="23"/>
  <c r="N437" i="23"/>
  <c r="M437" i="23"/>
  <c r="M442" i="23" s="1"/>
  <c r="I435" i="23"/>
  <c r="L435" i="23" s="1"/>
  <c r="H435" i="23"/>
  <c r="K435" i="23" s="1"/>
  <c r="G435" i="23"/>
  <c r="J435" i="23" s="1"/>
  <c r="E435" i="23"/>
  <c r="D435" i="23"/>
  <c r="C435" i="23"/>
  <c r="I434" i="23"/>
  <c r="L434" i="23" s="1"/>
  <c r="H434" i="23"/>
  <c r="K434" i="23" s="1"/>
  <c r="G434" i="23"/>
  <c r="J434" i="23" s="1"/>
  <c r="E434" i="23"/>
  <c r="D434" i="23"/>
  <c r="C434" i="23"/>
  <c r="I431" i="23"/>
  <c r="H431" i="23"/>
  <c r="G431" i="23"/>
  <c r="E431" i="23"/>
  <c r="D431" i="23"/>
  <c r="C431" i="23"/>
  <c r="I430" i="23"/>
  <c r="L430" i="23" s="1"/>
  <c r="H430" i="23"/>
  <c r="K430" i="23" s="1"/>
  <c r="G430" i="23"/>
  <c r="J430" i="23" s="1"/>
  <c r="E430" i="23"/>
  <c r="D430" i="23"/>
  <c r="C430" i="23"/>
  <c r="I429" i="23"/>
  <c r="L429" i="23" s="1"/>
  <c r="H429" i="23"/>
  <c r="K429" i="23" s="1"/>
  <c r="G429" i="23"/>
  <c r="J429" i="23" s="1"/>
  <c r="E429" i="23"/>
  <c r="D429" i="23"/>
  <c r="C429" i="23"/>
  <c r="N428" i="23"/>
  <c r="M428" i="23"/>
  <c r="I417" i="23"/>
  <c r="L417" i="23" s="1"/>
  <c r="H417" i="23"/>
  <c r="K417" i="23" s="1"/>
  <c r="G417" i="23"/>
  <c r="J417" i="23" s="1"/>
  <c r="E417" i="23"/>
  <c r="D417" i="23"/>
  <c r="C417" i="23"/>
  <c r="I415" i="23"/>
  <c r="L415" i="23" s="1"/>
  <c r="H415" i="23"/>
  <c r="K415" i="23" s="1"/>
  <c r="G415" i="23"/>
  <c r="J415" i="23" s="1"/>
  <c r="E415" i="23"/>
  <c r="D415" i="23"/>
  <c r="C415" i="23"/>
  <c r="I412" i="23"/>
  <c r="H412" i="23"/>
  <c r="G412" i="23"/>
  <c r="E412" i="23"/>
  <c r="D412" i="23"/>
  <c r="C412" i="23"/>
  <c r="I411" i="23"/>
  <c r="L411" i="23" s="1"/>
  <c r="H411" i="23"/>
  <c r="K411" i="23" s="1"/>
  <c r="G411" i="23"/>
  <c r="J411" i="23" s="1"/>
  <c r="E411" i="23"/>
  <c r="D411" i="23"/>
  <c r="C411" i="23"/>
  <c r="I410" i="23"/>
  <c r="L410" i="23" s="1"/>
  <c r="H410" i="23"/>
  <c r="K410" i="23" s="1"/>
  <c r="G410" i="23"/>
  <c r="J410" i="23" s="1"/>
  <c r="E410" i="23"/>
  <c r="D410" i="23"/>
  <c r="C410" i="23"/>
  <c r="N409" i="23"/>
  <c r="N414" i="23" s="1"/>
  <c r="M409" i="23"/>
  <c r="M414" i="23" s="1"/>
  <c r="I408" i="23"/>
  <c r="L408" i="23" s="1"/>
  <c r="H408" i="23"/>
  <c r="K408" i="23" s="1"/>
  <c r="G408" i="23"/>
  <c r="J408" i="23" s="1"/>
  <c r="E408" i="23"/>
  <c r="D408" i="23"/>
  <c r="C408" i="23"/>
  <c r="I407" i="23"/>
  <c r="L407" i="23" s="1"/>
  <c r="H407" i="23"/>
  <c r="K407" i="23" s="1"/>
  <c r="G407" i="23"/>
  <c r="J407" i="23" s="1"/>
  <c r="E407" i="23"/>
  <c r="D407" i="23"/>
  <c r="C407" i="23"/>
  <c r="I405" i="23"/>
  <c r="L405" i="23" s="1"/>
  <c r="H405" i="23"/>
  <c r="K405" i="23" s="1"/>
  <c r="G405" i="23"/>
  <c r="J405" i="23" s="1"/>
  <c r="E405" i="23"/>
  <c r="D405" i="23"/>
  <c r="C405" i="23"/>
  <c r="I402" i="23"/>
  <c r="L402" i="23" s="1"/>
  <c r="H402" i="23"/>
  <c r="K402" i="23" s="1"/>
  <c r="G402" i="23"/>
  <c r="J402" i="23" s="1"/>
  <c r="E402" i="23"/>
  <c r="D402" i="23"/>
  <c r="C402" i="23"/>
  <c r="I401" i="23"/>
  <c r="L401" i="23" s="1"/>
  <c r="H401" i="23"/>
  <c r="K401" i="23" s="1"/>
  <c r="G401" i="23"/>
  <c r="J401" i="23" s="1"/>
  <c r="E401" i="23"/>
  <c r="D401" i="23"/>
  <c r="C401" i="23"/>
  <c r="I400" i="23"/>
  <c r="L400" i="23" s="1"/>
  <c r="H400" i="23"/>
  <c r="K400" i="23" s="1"/>
  <c r="G400" i="23"/>
  <c r="J400" i="23" s="1"/>
  <c r="E400" i="23"/>
  <c r="D400" i="23"/>
  <c r="C400" i="23"/>
  <c r="N399" i="23"/>
  <c r="N404" i="23" s="1"/>
  <c r="M399" i="23"/>
  <c r="M404" i="23" s="1"/>
  <c r="M398" i="23"/>
  <c r="I398" i="23"/>
  <c r="L398" i="23" s="1"/>
  <c r="H398" i="23"/>
  <c r="K398" i="23" s="1"/>
  <c r="G398" i="23"/>
  <c r="J398" i="23" s="1"/>
  <c r="E398" i="23"/>
  <c r="D398" i="23"/>
  <c r="C398" i="23"/>
  <c r="I397" i="23"/>
  <c r="H397" i="23"/>
  <c r="G397" i="23"/>
  <c r="F397" i="23"/>
  <c r="E397" i="23"/>
  <c r="D397" i="23"/>
  <c r="C397" i="23"/>
  <c r="I396" i="23"/>
  <c r="L396" i="23" s="1"/>
  <c r="H396" i="23"/>
  <c r="K396" i="23" s="1"/>
  <c r="G396" i="23"/>
  <c r="J396" i="23" s="1"/>
  <c r="E396" i="23"/>
  <c r="D396" i="23"/>
  <c r="C396" i="23"/>
  <c r="I395" i="23"/>
  <c r="H395" i="23"/>
  <c r="G395" i="23"/>
  <c r="F395" i="23"/>
  <c r="E395" i="23"/>
  <c r="D395" i="23"/>
  <c r="C395" i="23"/>
  <c r="I394" i="23"/>
  <c r="H394" i="23"/>
  <c r="G394" i="23"/>
  <c r="E394" i="23"/>
  <c r="D394" i="23"/>
  <c r="C394" i="23"/>
  <c r="I393" i="23"/>
  <c r="L393" i="23" s="1"/>
  <c r="H393" i="23"/>
  <c r="K393" i="23" s="1"/>
  <c r="G393" i="23"/>
  <c r="J393" i="23" s="1"/>
  <c r="E393" i="23"/>
  <c r="D393" i="23"/>
  <c r="C393" i="23"/>
  <c r="I392" i="23"/>
  <c r="L392" i="23" s="1"/>
  <c r="H392" i="23"/>
  <c r="K392" i="23" s="1"/>
  <c r="G392" i="23"/>
  <c r="J392" i="23" s="1"/>
  <c r="E392" i="23"/>
  <c r="D392" i="23"/>
  <c r="C392" i="23"/>
  <c r="I391" i="23"/>
  <c r="L391" i="23" s="1"/>
  <c r="H391" i="23"/>
  <c r="K391" i="23" s="1"/>
  <c r="G391" i="23"/>
  <c r="J391" i="23" s="1"/>
  <c r="E391" i="23"/>
  <c r="D391" i="23"/>
  <c r="C391" i="23"/>
  <c r="I390" i="23"/>
  <c r="L390" i="23" s="1"/>
  <c r="H390" i="23"/>
  <c r="K390" i="23" s="1"/>
  <c r="G390" i="23"/>
  <c r="J390" i="23" s="1"/>
  <c r="E390" i="23"/>
  <c r="D390" i="23"/>
  <c r="C390" i="23"/>
  <c r="I389" i="23"/>
  <c r="L389" i="23" s="1"/>
  <c r="H389" i="23"/>
  <c r="K389" i="23" s="1"/>
  <c r="G389" i="23"/>
  <c r="J389" i="23" s="1"/>
  <c r="E389" i="23"/>
  <c r="D389" i="23"/>
  <c r="C389" i="23"/>
  <c r="I388" i="23"/>
  <c r="L388" i="23" s="1"/>
  <c r="H388" i="23"/>
  <c r="K388" i="23" s="1"/>
  <c r="G388" i="23"/>
  <c r="J388" i="23" s="1"/>
  <c r="E388" i="23"/>
  <c r="D388" i="23"/>
  <c r="C388" i="23"/>
  <c r="I387" i="23"/>
  <c r="L387" i="23" s="1"/>
  <c r="H387" i="23"/>
  <c r="K387" i="23" s="1"/>
  <c r="G387" i="23"/>
  <c r="J387" i="23" s="1"/>
  <c r="E387" i="23"/>
  <c r="D387" i="23"/>
  <c r="C387" i="23"/>
  <c r="I386" i="23"/>
  <c r="H386" i="23"/>
  <c r="G386" i="23"/>
  <c r="F386" i="23"/>
  <c r="F394" i="23" s="1"/>
  <c r="E386" i="23"/>
  <c r="D386" i="23"/>
  <c r="C386" i="23"/>
  <c r="N385" i="23"/>
  <c r="M385" i="23"/>
  <c r="M396" i="23" s="1"/>
  <c r="I384" i="23"/>
  <c r="L384" i="23" s="1"/>
  <c r="H384" i="23"/>
  <c r="K384" i="23" s="1"/>
  <c r="G384" i="23"/>
  <c r="J384" i="23" s="1"/>
  <c r="E384" i="23"/>
  <c r="D384" i="23"/>
  <c r="C384" i="23"/>
  <c r="I383" i="23"/>
  <c r="L383" i="23" s="1"/>
  <c r="H383" i="23"/>
  <c r="K383" i="23" s="1"/>
  <c r="G383" i="23"/>
  <c r="J383" i="23" s="1"/>
  <c r="E383" i="23"/>
  <c r="D383" i="23"/>
  <c r="C383" i="23"/>
  <c r="I382" i="23"/>
  <c r="H382" i="23"/>
  <c r="G382" i="23"/>
  <c r="E382" i="23"/>
  <c r="D382" i="23"/>
  <c r="C382" i="23"/>
  <c r="I381" i="23"/>
  <c r="L381" i="23" s="1"/>
  <c r="H381" i="23"/>
  <c r="K381" i="23" s="1"/>
  <c r="G381" i="23"/>
  <c r="J381" i="23" s="1"/>
  <c r="E381" i="23"/>
  <c r="D381" i="23"/>
  <c r="C381" i="23"/>
  <c r="I380" i="23"/>
  <c r="L380" i="23" s="1"/>
  <c r="H380" i="23"/>
  <c r="K380" i="23" s="1"/>
  <c r="G380" i="23"/>
  <c r="J380" i="23" s="1"/>
  <c r="E380" i="23"/>
  <c r="D380" i="23"/>
  <c r="C380" i="23"/>
  <c r="I379" i="23"/>
  <c r="H379" i="23"/>
  <c r="G379" i="23"/>
  <c r="F379" i="23"/>
  <c r="F382" i="23" s="1"/>
  <c r="E379" i="23"/>
  <c r="D379" i="23"/>
  <c r="C379" i="23"/>
  <c r="N378" i="23"/>
  <c r="M378" i="23"/>
  <c r="M384" i="23" s="1"/>
  <c r="M377" i="23"/>
  <c r="I377" i="23"/>
  <c r="L377" i="23" s="1"/>
  <c r="H377" i="23"/>
  <c r="K377" i="23" s="1"/>
  <c r="G377" i="23"/>
  <c r="J377" i="23" s="1"/>
  <c r="E377" i="23"/>
  <c r="D377" i="23"/>
  <c r="C377" i="23"/>
  <c r="I376" i="23"/>
  <c r="L376" i="23" s="1"/>
  <c r="H376" i="23"/>
  <c r="K376" i="23" s="1"/>
  <c r="G376" i="23"/>
  <c r="J376" i="23" s="1"/>
  <c r="E376" i="23"/>
  <c r="D376" i="23"/>
  <c r="C376" i="23"/>
  <c r="I375" i="23"/>
  <c r="H375" i="23"/>
  <c r="G375" i="23"/>
  <c r="E375" i="23"/>
  <c r="D375" i="23"/>
  <c r="C375" i="23"/>
  <c r="I374" i="23"/>
  <c r="L374" i="23" s="1"/>
  <c r="H374" i="23"/>
  <c r="K374" i="23" s="1"/>
  <c r="G374" i="23"/>
  <c r="J374" i="23" s="1"/>
  <c r="E374" i="23"/>
  <c r="D374" i="23"/>
  <c r="C374" i="23"/>
  <c r="I373" i="23"/>
  <c r="L373" i="23" s="1"/>
  <c r="H373" i="23"/>
  <c r="K373" i="23" s="1"/>
  <c r="G373" i="23"/>
  <c r="J373" i="23" s="1"/>
  <c r="E373" i="23"/>
  <c r="D373" i="23"/>
  <c r="C373" i="23"/>
  <c r="I372" i="23"/>
  <c r="L372" i="23" s="1"/>
  <c r="H372" i="23"/>
  <c r="K372" i="23" s="1"/>
  <c r="G372" i="23"/>
  <c r="J372" i="23" s="1"/>
  <c r="E372" i="23"/>
  <c r="D372" i="23"/>
  <c r="C372" i="23"/>
  <c r="I371" i="23"/>
  <c r="L371" i="23" s="1"/>
  <c r="H371" i="23"/>
  <c r="K371" i="23" s="1"/>
  <c r="G371" i="23"/>
  <c r="J371" i="23" s="1"/>
  <c r="E371" i="23"/>
  <c r="D371" i="23"/>
  <c r="C371" i="23"/>
  <c r="I370" i="23"/>
  <c r="H370" i="23"/>
  <c r="G370" i="23"/>
  <c r="F370" i="23"/>
  <c r="F375" i="23" s="1"/>
  <c r="E370" i="23"/>
  <c r="D370" i="23"/>
  <c r="C370" i="23"/>
  <c r="N369" i="23"/>
  <c r="N377" i="23" s="1"/>
  <c r="M369" i="23"/>
  <c r="M372" i="23" s="1"/>
  <c r="I368" i="23"/>
  <c r="L368" i="23" s="1"/>
  <c r="H368" i="23"/>
  <c r="K368" i="23" s="1"/>
  <c r="G368" i="23"/>
  <c r="J368" i="23" s="1"/>
  <c r="E368" i="23"/>
  <c r="D368" i="23"/>
  <c r="C368" i="23"/>
  <c r="I367" i="23"/>
  <c r="H367" i="23"/>
  <c r="G367" i="23"/>
  <c r="F367" i="23"/>
  <c r="E367" i="23"/>
  <c r="D367" i="23"/>
  <c r="C367" i="23"/>
  <c r="I366" i="23"/>
  <c r="H366" i="23"/>
  <c r="G366" i="23"/>
  <c r="E366" i="23"/>
  <c r="D366" i="23"/>
  <c r="C366" i="23"/>
  <c r="I365" i="23"/>
  <c r="L365" i="23" s="1"/>
  <c r="H365" i="23"/>
  <c r="K365" i="23" s="1"/>
  <c r="G365" i="23"/>
  <c r="J365" i="23" s="1"/>
  <c r="E365" i="23"/>
  <c r="D365" i="23"/>
  <c r="C365" i="23"/>
  <c r="I364" i="23"/>
  <c r="L364" i="23" s="1"/>
  <c r="H364" i="23"/>
  <c r="K364" i="23" s="1"/>
  <c r="G364" i="23"/>
  <c r="J364" i="23" s="1"/>
  <c r="E364" i="23"/>
  <c r="D364" i="23"/>
  <c r="C364" i="23"/>
  <c r="I363" i="23"/>
  <c r="L363" i="23" s="1"/>
  <c r="H363" i="23"/>
  <c r="K363" i="23" s="1"/>
  <c r="G363" i="23"/>
  <c r="J363" i="23" s="1"/>
  <c r="E363" i="23"/>
  <c r="D363" i="23"/>
  <c r="C363" i="23"/>
  <c r="I362" i="23"/>
  <c r="L362" i="23" s="1"/>
  <c r="H362" i="23"/>
  <c r="K362" i="23" s="1"/>
  <c r="G362" i="23"/>
  <c r="J362" i="23" s="1"/>
  <c r="E362" i="23"/>
  <c r="D362" i="23"/>
  <c r="C362" i="23"/>
  <c r="I361" i="23"/>
  <c r="H361" i="23"/>
  <c r="G361" i="23"/>
  <c r="F361" i="23"/>
  <c r="F366" i="23" s="1"/>
  <c r="E361" i="23"/>
  <c r="D361" i="23"/>
  <c r="C361" i="23"/>
  <c r="N360" i="23"/>
  <c r="N368" i="23" s="1"/>
  <c r="M360" i="23"/>
  <c r="M362" i="23" s="1"/>
  <c r="M359" i="23"/>
  <c r="I359" i="23"/>
  <c r="L359" i="23" s="1"/>
  <c r="H359" i="23"/>
  <c r="K359" i="23" s="1"/>
  <c r="G359" i="23"/>
  <c r="J359" i="23" s="1"/>
  <c r="E359" i="23"/>
  <c r="D359" i="23"/>
  <c r="C359" i="23"/>
  <c r="I358" i="23"/>
  <c r="H358" i="23"/>
  <c r="G358" i="23"/>
  <c r="F358" i="23"/>
  <c r="E358" i="23"/>
  <c r="D358" i="23"/>
  <c r="C358" i="23"/>
  <c r="I357" i="23"/>
  <c r="H357" i="23"/>
  <c r="G357" i="23"/>
  <c r="E357" i="23"/>
  <c r="D357" i="23"/>
  <c r="C357" i="23"/>
  <c r="M356" i="23"/>
  <c r="I356" i="23"/>
  <c r="L356" i="23" s="1"/>
  <c r="H356" i="23"/>
  <c r="K356" i="23" s="1"/>
  <c r="G356" i="23"/>
  <c r="J356" i="23" s="1"/>
  <c r="E356" i="23"/>
  <c r="D356" i="23"/>
  <c r="C356" i="23"/>
  <c r="M355" i="23"/>
  <c r="I355" i="23"/>
  <c r="L355" i="23" s="1"/>
  <c r="H355" i="23"/>
  <c r="K355" i="23" s="1"/>
  <c r="G355" i="23"/>
  <c r="J355" i="23" s="1"/>
  <c r="E355" i="23"/>
  <c r="D355" i="23"/>
  <c r="C355" i="23"/>
  <c r="I354" i="23"/>
  <c r="L354" i="23" s="1"/>
  <c r="H354" i="23"/>
  <c r="K354" i="23" s="1"/>
  <c r="G354" i="23"/>
  <c r="J354" i="23" s="1"/>
  <c r="E354" i="23"/>
  <c r="D354" i="23"/>
  <c r="C354" i="23"/>
  <c r="I353" i="23"/>
  <c r="L353" i="23" s="1"/>
  <c r="H353" i="23"/>
  <c r="K353" i="23" s="1"/>
  <c r="G353" i="23"/>
  <c r="J353" i="23" s="1"/>
  <c r="E353" i="23"/>
  <c r="D353" i="23"/>
  <c r="C353" i="23"/>
  <c r="I352" i="23"/>
  <c r="H352" i="23"/>
  <c r="G352" i="23"/>
  <c r="F352" i="23"/>
  <c r="F357" i="23" s="1"/>
  <c r="E352" i="23"/>
  <c r="D352" i="23"/>
  <c r="C352" i="23"/>
  <c r="N351" i="23"/>
  <c r="N359" i="23" s="1"/>
  <c r="M351" i="23"/>
  <c r="M353" i="23" s="1"/>
  <c r="M350" i="23"/>
  <c r="I350" i="23"/>
  <c r="L350" i="23" s="1"/>
  <c r="H350" i="23"/>
  <c r="K350" i="23" s="1"/>
  <c r="G350" i="23"/>
  <c r="J350" i="23" s="1"/>
  <c r="E350" i="23"/>
  <c r="D350" i="23"/>
  <c r="C350" i="23"/>
  <c r="I349" i="23"/>
  <c r="H349" i="23"/>
  <c r="G349" i="23"/>
  <c r="F349" i="23"/>
  <c r="E349" i="23"/>
  <c r="D349" i="23"/>
  <c r="C349" i="23"/>
  <c r="I348" i="23"/>
  <c r="H348" i="23"/>
  <c r="G348" i="23"/>
  <c r="E348" i="23"/>
  <c r="D348" i="23"/>
  <c r="C348" i="23"/>
  <c r="I347" i="23"/>
  <c r="L347" i="23" s="1"/>
  <c r="H347" i="23"/>
  <c r="K347" i="23" s="1"/>
  <c r="G347" i="23"/>
  <c r="J347" i="23" s="1"/>
  <c r="E347" i="23"/>
  <c r="D347" i="23"/>
  <c r="C347" i="23"/>
  <c r="I346" i="23"/>
  <c r="L346" i="23" s="1"/>
  <c r="H346" i="23"/>
  <c r="K346" i="23" s="1"/>
  <c r="G346" i="23"/>
  <c r="J346" i="23" s="1"/>
  <c r="E346" i="23"/>
  <c r="D346" i="23"/>
  <c r="C346" i="23"/>
  <c r="I345" i="23"/>
  <c r="L345" i="23" s="1"/>
  <c r="H345" i="23"/>
  <c r="K345" i="23" s="1"/>
  <c r="G345" i="23"/>
  <c r="J345" i="23" s="1"/>
  <c r="E345" i="23"/>
  <c r="D345" i="23"/>
  <c r="C345" i="23"/>
  <c r="I344" i="23"/>
  <c r="L344" i="23" s="1"/>
  <c r="H344" i="23"/>
  <c r="K344" i="23" s="1"/>
  <c r="G344" i="23"/>
  <c r="J344" i="23" s="1"/>
  <c r="E344" i="23"/>
  <c r="D344" i="23"/>
  <c r="C344" i="23"/>
  <c r="I343" i="23"/>
  <c r="H343" i="23"/>
  <c r="G343" i="23"/>
  <c r="F343" i="23"/>
  <c r="F348" i="23" s="1"/>
  <c r="E343" i="23"/>
  <c r="D343" i="23"/>
  <c r="C343" i="23"/>
  <c r="N342" i="23"/>
  <c r="N350" i="23" s="1"/>
  <c r="M342" i="23"/>
  <c r="M345" i="23" s="1"/>
  <c r="M341" i="23"/>
  <c r="I341" i="23"/>
  <c r="L341" i="23" s="1"/>
  <c r="H341" i="23"/>
  <c r="K341" i="23" s="1"/>
  <c r="G341" i="23"/>
  <c r="J341" i="23" s="1"/>
  <c r="E341" i="23"/>
  <c r="D341" i="23"/>
  <c r="C341" i="23"/>
  <c r="I340" i="23"/>
  <c r="L340" i="23" s="1"/>
  <c r="H340" i="23"/>
  <c r="K340" i="23" s="1"/>
  <c r="G340" i="23"/>
  <c r="J340" i="23" s="1"/>
  <c r="E340" i="23"/>
  <c r="D340" i="23"/>
  <c r="C340" i="23"/>
  <c r="I339" i="23"/>
  <c r="H339" i="23"/>
  <c r="G339" i="23"/>
  <c r="E339" i="23"/>
  <c r="D339" i="23"/>
  <c r="C339" i="23"/>
  <c r="I338" i="23"/>
  <c r="L338" i="23" s="1"/>
  <c r="H338" i="23"/>
  <c r="K338" i="23" s="1"/>
  <c r="G338" i="23"/>
  <c r="J338" i="23" s="1"/>
  <c r="E338" i="23"/>
  <c r="D338" i="23"/>
  <c r="C338" i="23"/>
  <c r="I337" i="23"/>
  <c r="L337" i="23" s="1"/>
  <c r="H337" i="23"/>
  <c r="K337" i="23" s="1"/>
  <c r="G337" i="23"/>
  <c r="J337" i="23" s="1"/>
  <c r="E337" i="23"/>
  <c r="D337" i="23"/>
  <c r="C337" i="23"/>
  <c r="I336" i="23"/>
  <c r="H336" i="23"/>
  <c r="G336" i="23"/>
  <c r="F336" i="23"/>
  <c r="F339" i="23" s="1"/>
  <c r="E336" i="23"/>
  <c r="D336" i="23"/>
  <c r="C336" i="23"/>
  <c r="N335" i="23"/>
  <c r="N341" i="23" s="1"/>
  <c r="M335" i="23"/>
  <c r="M334" i="23"/>
  <c r="I334" i="23"/>
  <c r="L334" i="23" s="1"/>
  <c r="H334" i="23"/>
  <c r="K334" i="23" s="1"/>
  <c r="G334" i="23"/>
  <c r="J334" i="23" s="1"/>
  <c r="E334" i="23"/>
  <c r="D334" i="23"/>
  <c r="C334" i="23"/>
  <c r="I333" i="23"/>
  <c r="L333" i="23" s="1"/>
  <c r="H333" i="23"/>
  <c r="K333" i="23" s="1"/>
  <c r="G333" i="23"/>
  <c r="J333" i="23" s="1"/>
  <c r="E333" i="23"/>
  <c r="D333" i="23"/>
  <c r="C333" i="23"/>
  <c r="I332" i="23"/>
  <c r="H332" i="23"/>
  <c r="G332" i="23"/>
  <c r="E332" i="23"/>
  <c r="D332" i="23"/>
  <c r="C332" i="23"/>
  <c r="I331" i="23"/>
  <c r="L331" i="23" s="1"/>
  <c r="H331" i="23"/>
  <c r="K331" i="23" s="1"/>
  <c r="G331" i="23"/>
  <c r="J331" i="23" s="1"/>
  <c r="E331" i="23"/>
  <c r="D331" i="23"/>
  <c r="C331" i="23"/>
  <c r="I330" i="23"/>
  <c r="L330" i="23" s="1"/>
  <c r="H330" i="23"/>
  <c r="K330" i="23" s="1"/>
  <c r="G330" i="23"/>
  <c r="J330" i="23" s="1"/>
  <c r="E330" i="23"/>
  <c r="D330" i="23"/>
  <c r="C330" i="23"/>
  <c r="I329" i="23"/>
  <c r="L329" i="23" s="1"/>
  <c r="H329" i="23"/>
  <c r="K329" i="23" s="1"/>
  <c r="G329" i="23"/>
  <c r="J329" i="23" s="1"/>
  <c r="E329" i="23"/>
  <c r="D329" i="23"/>
  <c r="C329" i="23"/>
  <c r="I328" i="23"/>
  <c r="L328" i="23" s="1"/>
  <c r="H328" i="23"/>
  <c r="K328" i="23" s="1"/>
  <c r="G328" i="23"/>
  <c r="J328" i="23" s="1"/>
  <c r="E328" i="23"/>
  <c r="D328" i="23"/>
  <c r="C328" i="23"/>
  <c r="I327" i="23"/>
  <c r="H327" i="23"/>
  <c r="G327" i="23"/>
  <c r="F327" i="23"/>
  <c r="F332" i="23" s="1"/>
  <c r="E327" i="23"/>
  <c r="D327" i="23"/>
  <c r="C327" i="23"/>
  <c r="N326" i="23"/>
  <c r="N334" i="23" s="1"/>
  <c r="M326" i="23"/>
  <c r="M328" i="23" s="1"/>
  <c r="M325" i="23"/>
  <c r="I325" i="23"/>
  <c r="L325" i="23" s="1"/>
  <c r="H325" i="23"/>
  <c r="K325" i="23" s="1"/>
  <c r="G325" i="23"/>
  <c r="D1131" i="23" s="1"/>
  <c r="E325" i="23"/>
  <c r="D325" i="23"/>
  <c r="C325" i="23"/>
  <c r="I324" i="23"/>
  <c r="L324" i="23" s="1"/>
  <c r="H324" i="23"/>
  <c r="K324" i="23" s="1"/>
  <c r="G324" i="23"/>
  <c r="J324" i="23" s="1"/>
  <c r="E324" i="23"/>
  <c r="D324" i="23"/>
  <c r="C324" i="23"/>
  <c r="I323" i="23"/>
  <c r="H323" i="23"/>
  <c r="G323" i="23"/>
  <c r="E323" i="23"/>
  <c r="D323" i="23"/>
  <c r="C323" i="23"/>
  <c r="I322" i="23"/>
  <c r="L322" i="23" s="1"/>
  <c r="H322" i="23"/>
  <c r="K322" i="23" s="1"/>
  <c r="G322" i="23"/>
  <c r="J322" i="23" s="1"/>
  <c r="E322" i="23"/>
  <c r="D322" i="23"/>
  <c r="C322" i="23"/>
  <c r="I321" i="23"/>
  <c r="L321" i="23" s="1"/>
  <c r="H321" i="23"/>
  <c r="K321" i="23" s="1"/>
  <c r="G321" i="23"/>
  <c r="J321" i="23" s="1"/>
  <c r="E321" i="23"/>
  <c r="D321" i="23"/>
  <c r="C321" i="23"/>
  <c r="I320" i="23"/>
  <c r="L320" i="23" s="1"/>
  <c r="H320" i="23"/>
  <c r="K320" i="23" s="1"/>
  <c r="G320" i="23"/>
  <c r="J320" i="23" s="1"/>
  <c r="E320" i="23"/>
  <c r="D320" i="23"/>
  <c r="C320" i="23"/>
  <c r="I319" i="23"/>
  <c r="L319" i="23" s="1"/>
  <c r="H319" i="23"/>
  <c r="K319" i="23" s="1"/>
  <c r="G319" i="23"/>
  <c r="J319" i="23" s="1"/>
  <c r="E319" i="23"/>
  <c r="D319" i="23"/>
  <c r="C319" i="23"/>
  <c r="I318" i="23"/>
  <c r="H318" i="23"/>
  <c r="G318" i="23"/>
  <c r="F318" i="23"/>
  <c r="E318" i="23"/>
  <c r="D318" i="23"/>
  <c r="C318" i="23"/>
  <c r="N317" i="23"/>
  <c r="N325" i="23" s="1"/>
  <c r="M317" i="23"/>
  <c r="I316" i="23"/>
  <c r="L316" i="23" s="1"/>
  <c r="H316" i="23"/>
  <c r="K316" i="23" s="1"/>
  <c r="G316" i="23"/>
  <c r="J316" i="23" s="1"/>
  <c r="E316" i="23"/>
  <c r="D316" i="23"/>
  <c r="C316" i="23"/>
  <c r="I315" i="23"/>
  <c r="L315" i="23" s="1"/>
  <c r="H315" i="23"/>
  <c r="K315" i="23" s="1"/>
  <c r="G315" i="23"/>
  <c r="J315" i="23" s="1"/>
  <c r="E315" i="23"/>
  <c r="D315" i="23"/>
  <c r="C315" i="23"/>
  <c r="I314" i="23"/>
  <c r="H314" i="23"/>
  <c r="G314" i="23"/>
  <c r="E314" i="23"/>
  <c r="D314" i="23"/>
  <c r="C314" i="23"/>
  <c r="I313" i="23"/>
  <c r="L313" i="23" s="1"/>
  <c r="H313" i="23"/>
  <c r="K313" i="23" s="1"/>
  <c r="G313" i="23"/>
  <c r="J313" i="23" s="1"/>
  <c r="E313" i="23"/>
  <c r="D313" i="23"/>
  <c r="C313" i="23"/>
  <c r="I312" i="23"/>
  <c r="L312" i="23" s="1"/>
  <c r="H312" i="23"/>
  <c r="K312" i="23" s="1"/>
  <c r="G312" i="23"/>
  <c r="J312" i="23" s="1"/>
  <c r="E312" i="23"/>
  <c r="D312" i="23"/>
  <c r="C312" i="23"/>
  <c r="I311" i="23"/>
  <c r="H311" i="23"/>
  <c r="G311" i="23"/>
  <c r="F311" i="23"/>
  <c r="F314" i="23" s="1"/>
  <c r="E311" i="23"/>
  <c r="D311" i="23"/>
  <c r="C311" i="23"/>
  <c r="N310" i="23"/>
  <c r="N316" i="23" s="1"/>
  <c r="M310" i="23"/>
  <c r="M316" i="23" s="1"/>
  <c r="M309" i="23"/>
  <c r="I309" i="23"/>
  <c r="L309" i="23" s="1"/>
  <c r="H309" i="23"/>
  <c r="K309" i="23" s="1"/>
  <c r="G309" i="23"/>
  <c r="J309" i="23" s="1"/>
  <c r="E309" i="23"/>
  <c r="D309" i="23"/>
  <c r="C309" i="23"/>
  <c r="M308" i="23"/>
  <c r="I308" i="23"/>
  <c r="L308" i="23" s="1"/>
  <c r="H308" i="23"/>
  <c r="K308" i="23" s="1"/>
  <c r="G308" i="23"/>
  <c r="J308" i="23" s="1"/>
  <c r="E308" i="23"/>
  <c r="D308" i="23"/>
  <c r="C308" i="23"/>
  <c r="I307" i="23"/>
  <c r="L307" i="23" s="1"/>
  <c r="H307" i="23"/>
  <c r="K307" i="23" s="1"/>
  <c r="G307" i="23"/>
  <c r="J307" i="23" s="1"/>
  <c r="E307" i="23"/>
  <c r="D307" i="23"/>
  <c r="C307" i="23"/>
  <c r="I306" i="23"/>
  <c r="L306" i="23" s="1"/>
  <c r="H306" i="23"/>
  <c r="K306" i="23" s="1"/>
  <c r="G306" i="23"/>
  <c r="J306" i="23" s="1"/>
  <c r="E306" i="23"/>
  <c r="D306" i="23"/>
  <c r="C306" i="23"/>
  <c r="I305" i="23"/>
  <c r="L305" i="23" s="1"/>
  <c r="H305" i="23"/>
  <c r="K305" i="23" s="1"/>
  <c r="G305" i="23"/>
  <c r="J305" i="23" s="1"/>
  <c r="E305" i="23"/>
  <c r="D305" i="23"/>
  <c r="C305" i="23"/>
  <c r="I304" i="23"/>
  <c r="L304" i="23" s="1"/>
  <c r="H304" i="23"/>
  <c r="K304" i="23" s="1"/>
  <c r="G304" i="23"/>
  <c r="J304" i="23" s="1"/>
  <c r="E304" i="23"/>
  <c r="D304" i="23"/>
  <c r="C304" i="23"/>
  <c r="I303" i="23"/>
  <c r="H303" i="23"/>
  <c r="G303" i="23"/>
  <c r="F303" i="23"/>
  <c r="E303" i="23"/>
  <c r="D303" i="23"/>
  <c r="C303" i="23"/>
  <c r="N302" i="23"/>
  <c r="M302" i="23"/>
  <c r="M306" i="23" s="1"/>
  <c r="I301" i="23"/>
  <c r="H301" i="23"/>
  <c r="G301" i="23"/>
  <c r="E301" i="23"/>
  <c r="D301" i="23"/>
  <c r="C301" i="23"/>
  <c r="I300" i="23"/>
  <c r="L300" i="23" s="1"/>
  <c r="H300" i="23"/>
  <c r="K300" i="23" s="1"/>
  <c r="G300" i="23"/>
  <c r="J300" i="23" s="1"/>
  <c r="E300" i="23"/>
  <c r="D300" i="23"/>
  <c r="C300" i="23"/>
  <c r="I299" i="23"/>
  <c r="L299" i="23" s="1"/>
  <c r="H299" i="23"/>
  <c r="K299" i="23" s="1"/>
  <c r="G299" i="23"/>
  <c r="J299" i="23" s="1"/>
  <c r="E299" i="23"/>
  <c r="D299" i="23"/>
  <c r="C299" i="23"/>
  <c r="I298" i="23"/>
  <c r="L298" i="23" s="1"/>
  <c r="H298" i="23"/>
  <c r="K298" i="23" s="1"/>
  <c r="G298" i="23"/>
  <c r="J298" i="23" s="1"/>
  <c r="E298" i="23"/>
  <c r="D298" i="23"/>
  <c r="C298" i="23"/>
  <c r="I297" i="23"/>
  <c r="L297" i="23" s="1"/>
  <c r="H297" i="23"/>
  <c r="K297" i="23" s="1"/>
  <c r="G297" i="23"/>
  <c r="J297" i="23" s="1"/>
  <c r="E297" i="23"/>
  <c r="D297" i="23"/>
  <c r="C297" i="23"/>
  <c r="I296" i="23"/>
  <c r="L296" i="23" s="1"/>
  <c r="H296" i="23"/>
  <c r="K296" i="23" s="1"/>
  <c r="G296" i="23"/>
  <c r="J296" i="23" s="1"/>
  <c r="E296" i="23"/>
  <c r="D296" i="23"/>
  <c r="C296" i="23"/>
  <c r="I295" i="23"/>
  <c r="L295" i="23" s="1"/>
  <c r="H295" i="23"/>
  <c r="K295" i="23" s="1"/>
  <c r="G295" i="23"/>
  <c r="J295" i="23" s="1"/>
  <c r="E295" i="23"/>
  <c r="D295" i="23"/>
  <c r="C295" i="23"/>
  <c r="I294" i="23"/>
  <c r="L294" i="23" s="1"/>
  <c r="H294" i="23"/>
  <c r="K294" i="23" s="1"/>
  <c r="G294" i="23"/>
  <c r="J294" i="23" s="1"/>
  <c r="E294" i="23"/>
  <c r="D294" i="23"/>
  <c r="C294" i="23"/>
  <c r="I293" i="23"/>
  <c r="H293" i="23"/>
  <c r="G293" i="23"/>
  <c r="E293" i="23"/>
  <c r="D293" i="23"/>
  <c r="C293" i="23"/>
  <c r="I292" i="23"/>
  <c r="H292" i="23"/>
  <c r="G292" i="23"/>
  <c r="E292" i="23"/>
  <c r="D292" i="23"/>
  <c r="C292" i="23"/>
  <c r="I291" i="23"/>
  <c r="H291" i="23"/>
  <c r="G291" i="23"/>
  <c r="E291" i="23"/>
  <c r="D291" i="23"/>
  <c r="C291" i="23"/>
  <c r="N290" i="23"/>
  <c r="N309" i="23" s="1"/>
  <c r="M290" i="23"/>
  <c r="M300" i="23" s="1"/>
  <c r="I289" i="23"/>
  <c r="L289" i="23" s="1"/>
  <c r="H289" i="23"/>
  <c r="K289" i="23" s="1"/>
  <c r="G289" i="23"/>
  <c r="J289" i="23" s="1"/>
  <c r="E289" i="23"/>
  <c r="D289" i="23"/>
  <c r="C289" i="23"/>
  <c r="I288" i="23"/>
  <c r="L288" i="23" s="1"/>
  <c r="H288" i="23"/>
  <c r="K288" i="23" s="1"/>
  <c r="G288" i="23"/>
  <c r="J288" i="23" s="1"/>
  <c r="E288" i="23"/>
  <c r="D288" i="23"/>
  <c r="C288" i="23"/>
  <c r="I287" i="23"/>
  <c r="L287" i="23" s="1"/>
  <c r="H287" i="23"/>
  <c r="K287" i="23" s="1"/>
  <c r="G287" i="23"/>
  <c r="J287" i="23" s="1"/>
  <c r="E287" i="23"/>
  <c r="D287" i="23"/>
  <c r="C287" i="23"/>
  <c r="I286" i="23"/>
  <c r="H286" i="23"/>
  <c r="G286" i="23"/>
  <c r="E286" i="23"/>
  <c r="D286" i="23"/>
  <c r="C286" i="23"/>
  <c r="I285" i="23"/>
  <c r="L285" i="23" s="1"/>
  <c r="H285" i="23"/>
  <c r="K285" i="23" s="1"/>
  <c r="G285" i="23"/>
  <c r="J285" i="23" s="1"/>
  <c r="E285" i="23"/>
  <c r="D285" i="23"/>
  <c r="C285" i="23"/>
  <c r="I284" i="23"/>
  <c r="L284" i="23" s="1"/>
  <c r="H284" i="23"/>
  <c r="K284" i="23" s="1"/>
  <c r="G284" i="23"/>
  <c r="J284" i="23" s="1"/>
  <c r="E284" i="23"/>
  <c r="D284" i="23"/>
  <c r="C284" i="23"/>
  <c r="I283" i="23"/>
  <c r="L283" i="23" s="1"/>
  <c r="H283" i="23"/>
  <c r="K283" i="23" s="1"/>
  <c r="G283" i="23"/>
  <c r="J283" i="23" s="1"/>
  <c r="E283" i="23"/>
  <c r="D283" i="23"/>
  <c r="C283" i="23"/>
  <c r="I282" i="23"/>
  <c r="L282" i="23" s="1"/>
  <c r="H282" i="23"/>
  <c r="K282" i="23" s="1"/>
  <c r="G282" i="23"/>
  <c r="J282" i="23" s="1"/>
  <c r="E282" i="23"/>
  <c r="D282" i="23"/>
  <c r="C282" i="23"/>
  <c r="I281" i="23"/>
  <c r="L281" i="23" s="1"/>
  <c r="H281" i="23"/>
  <c r="K281" i="23" s="1"/>
  <c r="G281" i="23"/>
  <c r="J281" i="23" s="1"/>
  <c r="E281" i="23"/>
  <c r="D281" i="23"/>
  <c r="C281" i="23"/>
  <c r="I280" i="23"/>
  <c r="L280" i="23" s="1"/>
  <c r="H280" i="23"/>
  <c r="K280" i="23" s="1"/>
  <c r="G280" i="23"/>
  <c r="J280" i="23" s="1"/>
  <c r="E280" i="23"/>
  <c r="D280" i="23"/>
  <c r="C280" i="23"/>
  <c r="I279" i="23"/>
  <c r="L279" i="23" s="1"/>
  <c r="H279" i="23"/>
  <c r="K279" i="23" s="1"/>
  <c r="G279" i="23"/>
  <c r="J279" i="23" s="1"/>
  <c r="E279" i="23"/>
  <c r="D279" i="23"/>
  <c r="C279" i="23"/>
  <c r="N278" i="23"/>
  <c r="M278" i="23"/>
  <c r="M288" i="23" s="1"/>
  <c r="I277" i="23"/>
  <c r="H277" i="23"/>
  <c r="G277" i="23"/>
  <c r="F277" i="23"/>
  <c r="E277" i="23"/>
  <c r="D277" i="23"/>
  <c r="C277" i="23"/>
  <c r="B276" i="23"/>
  <c r="C276" i="23" s="1"/>
  <c r="B275" i="23"/>
  <c r="H275" i="23" s="1"/>
  <c r="K275" i="23" s="1"/>
  <c r="I274" i="23"/>
  <c r="L274" i="23" s="1"/>
  <c r="H274" i="23"/>
  <c r="K274" i="23" s="1"/>
  <c r="G274" i="23"/>
  <c r="J274" i="23" s="1"/>
  <c r="E274" i="23"/>
  <c r="D274" i="23"/>
  <c r="C274" i="23"/>
  <c r="I273" i="23"/>
  <c r="L273" i="23" s="1"/>
  <c r="H273" i="23"/>
  <c r="K273" i="23" s="1"/>
  <c r="G273" i="23"/>
  <c r="J273" i="23" s="1"/>
  <c r="E273" i="23"/>
  <c r="D273" i="23"/>
  <c r="C273" i="23"/>
  <c r="N272" i="23"/>
  <c r="M272" i="23"/>
  <c r="I271" i="23"/>
  <c r="H271" i="23"/>
  <c r="G271" i="23"/>
  <c r="F271" i="23"/>
  <c r="E271" i="23"/>
  <c r="D271" i="23"/>
  <c r="C271" i="23"/>
  <c r="B270" i="23"/>
  <c r="E270" i="23" s="1"/>
  <c r="B269" i="23"/>
  <c r="I269" i="23" s="1"/>
  <c r="L269" i="23" s="1"/>
  <c r="I268" i="23"/>
  <c r="L268" i="23" s="1"/>
  <c r="H268" i="23"/>
  <c r="K268" i="23" s="1"/>
  <c r="G268" i="23"/>
  <c r="J268" i="23" s="1"/>
  <c r="E268" i="23"/>
  <c r="D268" i="23"/>
  <c r="C268" i="23"/>
  <c r="I267" i="23"/>
  <c r="L267" i="23" s="1"/>
  <c r="H267" i="23"/>
  <c r="K267" i="23" s="1"/>
  <c r="G267" i="23"/>
  <c r="J267" i="23" s="1"/>
  <c r="E267" i="23"/>
  <c r="D267" i="23"/>
  <c r="C267" i="23"/>
  <c r="I266" i="23"/>
  <c r="L266" i="23" s="1"/>
  <c r="H266" i="23"/>
  <c r="K266" i="23" s="1"/>
  <c r="G266" i="23"/>
  <c r="J266" i="23" s="1"/>
  <c r="E266" i="23"/>
  <c r="D266" i="23"/>
  <c r="C266" i="23"/>
  <c r="N265" i="23"/>
  <c r="N271" i="23" s="1"/>
  <c r="M265" i="23"/>
  <c r="M267" i="23" s="1"/>
  <c r="I264" i="23"/>
  <c r="H264" i="23"/>
  <c r="G264" i="23"/>
  <c r="F264" i="23"/>
  <c r="E264" i="23"/>
  <c r="D264" i="23"/>
  <c r="C264" i="23"/>
  <c r="B263" i="23"/>
  <c r="D263" i="23" s="1"/>
  <c r="B262" i="23"/>
  <c r="I262" i="23" s="1"/>
  <c r="L262" i="23" s="1"/>
  <c r="I261" i="23"/>
  <c r="L261" i="23" s="1"/>
  <c r="H261" i="23"/>
  <c r="K261" i="23" s="1"/>
  <c r="G261" i="23"/>
  <c r="J261" i="23" s="1"/>
  <c r="E261" i="23"/>
  <c r="D261" i="23"/>
  <c r="C261" i="23"/>
  <c r="I260" i="23"/>
  <c r="L260" i="23" s="1"/>
  <c r="H260" i="23"/>
  <c r="K260" i="23" s="1"/>
  <c r="G260" i="23"/>
  <c r="J260" i="23" s="1"/>
  <c r="E260" i="23"/>
  <c r="D260" i="23"/>
  <c r="C260" i="23"/>
  <c r="I259" i="23"/>
  <c r="L259" i="23" s="1"/>
  <c r="H259" i="23"/>
  <c r="K259" i="23" s="1"/>
  <c r="G259" i="23"/>
  <c r="J259" i="23" s="1"/>
  <c r="E259" i="23"/>
  <c r="D259" i="23"/>
  <c r="C259" i="23"/>
  <c r="N258" i="23"/>
  <c r="M258" i="23"/>
  <c r="M261" i="23" s="1"/>
  <c r="I257" i="23"/>
  <c r="L257" i="23" s="1"/>
  <c r="H257" i="23"/>
  <c r="K257" i="23" s="1"/>
  <c r="G257" i="23"/>
  <c r="J257" i="23" s="1"/>
  <c r="E257" i="23"/>
  <c r="D257" i="23"/>
  <c r="C257" i="23"/>
  <c r="I256" i="23"/>
  <c r="H256" i="23"/>
  <c r="G256" i="23"/>
  <c r="F256" i="23"/>
  <c r="E256" i="23"/>
  <c r="D256" i="23"/>
  <c r="C256" i="23"/>
  <c r="M255" i="23"/>
  <c r="I255" i="23"/>
  <c r="L255" i="23" s="1"/>
  <c r="H255" i="23"/>
  <c r="K255" i="23" s="1"/>
  <c r="G255" i="23"/>
  <c r="J255" i="23" s="1"/>
  <c r="E255" i="23"/>
  <c r="D255" i="23"/>
  <c r="C255" i="23"/>
  <c r="M254" i="23"/>
  <c r="I254" i="23"/>
  <c r="L254" i="23" s="1"/>
  <c r="H254" i="23"/>
  <c r="K254" i="23" s="1"/>
  <c r="G254" i="23"/>
  <c r="J254" i="23" s="1"/>
  <c r="E254" i="23"/>
  <c r="D254" i="23"/>
  <c r="C254" i="23"/>
  <c r="M253" i="23"/>
  <c r="I253" i="23"/>
  <c r="L253" i="23" s="1"/>
  <c r="H253" i="23"/>
  <c r="K253" i="23" s="1"/>
  <c r="G253" i="23"/>
  <c r="J253" i="23" s="1"/>
  <c r="E253" i="23"/>
  <c r="D253" i="23"/>
  <c r="C253" i="23"/>
  <c r="M252" i="23"/>
  <c r="I252" i="23"/>
  <c r="L252" i="23" s="1"/>
  <c r="H252" i="23"/>
  <c r="K252" i="23" s="1"/>
  <c r="G252" i="23"/>
  <c r="J252" i="23" s="1"/>
  <c r="E252" i="23"/>
  <c r="D252" i="23"/>
  <c r="C252" i="23"/>
  <c r="M251" i="23"/>
  <c r="I251" i="23"/>
  <c r="L251" i="23" s="1"/>
  <c r="H251" i="23"/>
  <c r="K251" i="23" s="1"/>
  <c r="G251" i="23"/>
  <c r="J251" i="23" s="1"/>
  <c r="E251" i="23"/>
  <c r="D251" i="23"/>
  <c r="C251" i="23"/>
  <c r="M250" i="23"/>
  <c r="I250" i="23"/>
  <c r="L250" i="23" s="1"/>
  <c r="H250" i="23"/>
  <c r="K250" i="23" s="1"/>
  <c r="G250" i="23"/>
  <c r="J250" i="23" s="1"/>
  <c r="E250" i="23"/>
  <c r="D250" i="23"/>
  <c r="C250" i="23"/>
  <c r="M249" i="23"/>
  <c r="I249" i="23"/>
  <c r="L249" i="23" s="1"/>
  <c r="H249" i="23"/>
  <c r="K249" i="23" s="1"/>
  <c r="G249" i="23"/>
  <c r="J249" i="23" s="1"/>
  <c r="E249" i="23"/>
  <c r="D249" i="23"/>
  <c r="C249" i="23"/>
  <c r="I248" i="23"/>
  <c r="L248" i="23" s="1"/>
  <c r="H248" i="23"/>
  <c r="K248" i="23" s="1"/>
  <c r="G248" i="23"/>
  <c r="J248" i="23" s="1"/>
  <c r="E248" i="23"/>
  <c r="D248" i="23"/>
  <c r="C248" i="23"/>
  <c r="I247" i="23"/>
  <c r="L247" i="23" s="1"/>
  <c r="H247" i="23"/>
  <c r="K247" i="23" s="1"/>
  <c r="G247" i="23"/>
  <c r="J247" i="23" s="1"/>
  <c r="E247" i="23"/>
  <c r="D247" i="23"/>
  <c r="C247" i="23"/>
  <c r="I246" i="23"/>
  <c r="L246" i="23" s="1"/>
  <c r="H246" i="23"/>
  <c r="K246" i="23" s="1"/>
  <c r="G246" i="23"/>
  <c r="J246" i="23" s="1"/>
  <c r="E246" i="23"/>
  <c r="D246" i="23"/>
  <c r="C246" i="23"/>
  <c r="M245" i="23"/>
  <c r="I245" i="23"/>
  <c r="L245" i="23" s="1"/>
  <c r="H245" i="23"/>
  <c r="K245" i="23" s="1"/>
  <c r="G245" i="23"/>
  <c r="J245" i="23" s="1"/>
  <c r="E245" i="23"/>
  <c r="D245" i="23"/>
  <c r="C245" i="23"/>
  <c r="I244" i="23"/>
  <c r="L244" i="23" s="1"/>
  <c r="H244" i="23"/>
  <c r="K244" i="23" s="1"/>
  <c r="G244" i="23"/>
  <c r="J244" i="23" s="1"/>
  <c r="E244" i="23"/>
  <c r="D244" i="23"/>
  <c r="C244" i="23"/>
  <c r="I243" i="23"/>
  <c r="L243" i="23" s="1"/>
  <c r="H243" i="23"/>
  <c r="K243" i="23" s="1"/>
  <c r="G243" i="23"/>
  <c r="J243" i="23" s="1"/>
  <c r="E243" i="23"/>
  <c r="D243" i="23"/>
  <c r="C243" i="23"/>
  <c r="I242" i="23"/>
  <c r="L242" i="23" s="1"/>
  <c r="H242" i="23"/>
  <c r="K242" i="23" s="1"/>
  <c r="G242" i="23"/>
  <c r="J242" i="23" s="1"/>
  <c r="E242" i="23"/>
  <c r="D242" i="23"/>
  <c r="C242" i="23"/>
  <c r="I241" i="23"/>
  <c r="L241" i="23" s="1"/>
  <c r="H241" i="23"/>
  <c r="K241" i="23" s="1"/>
  <c r="G241" i="23"/>
  <c r="J241" i="23" s="1"/>
  <c r="E241" i="23"/>
  <c r="D241" i="23"/>
  <c r="C241" i="23"/>
  <c r="I240" i="23"/>
  <c r="L240" i="23" s="1"/>
  <c r="H240" i="23"/>
  <c r="K240" i="23" s="1"/>
  <c r="G240" i="23"/>
  <c r="J240" i="23" s="1"/>
  <c r="E240" i="23"/>
  <c r="D240" i="23"/>
  <c r="C240" i="23"/>
  <c r="I239" i="23"/>
  <c r="L239" i="23" s="1"/>
  <c r="H239" i="23"/>
  <c r="K239" i="23" s="1"/>
  <c r="G239" i="23"/>
  <c r="J239" i="23" s="1"/>
  <c r="E239" i="23"/>
  <c r="D239" i="23"/>
  <c r="C239" i="23"/>
  <c r="N238" i="23"/>
  <c r="N257" i="23" s="1"/>
  <c r="M238" i="23"/>
  <c r="M246" i="23" s="1"/>
  <c r="I237" i="23"/>
  <c r="L237" i="23" s="1"/>
  <c r="H237" i="23"/>
  <c r="K237" i="23" s="1"/>
  <c r="G237" i="23"/>
  <c r="J237" i="23" s="1"/>
  <c r="E237" i="23"/>
  <c r="D237" i="23"/>
  <c r="C237" i="23"/>
  <c r="I236" i="23"/>
  <c r="H236" i="23"/>
  <c r="G236" i="23"/>
  <c r="F236" i="23"/>
  <c r="E236" i="23"/>
  <c r="D236" i="23"/>
  <c r="C236" i="23"/>
  <c r="M235" i="23"/>
  <c r="I235" i="23"/>
  <c r="L235" i="23" s="1"/>
  <c r="H235" i="23"/>
  <c r="K235" i="23" s="1"/>
  <c r="G235" i="23"/>
  <c r="J235" i="23" s="1"/>
  <c r="E235" i="23"/>
  <c r="D235" i="23"/>
  <c r="C235" i="23"/>
  <c r="M234" i="23"/>
  <c r="I234" i="23"/>
  <c r="L234" i="23" s="1"/>
  <c r="H234" i="23"/>
  <c r="K234" i="23" s="1"/>
  <c r="G234" i="23"/>
  <c r="J234" i="23" s="1"/>
  <c r="E234" i="23"/>
  <c r="D234" i="23"/>
  <c r="C234" i="23"/>
  <c r="M233" i="23"/>
  <c r="I233" i="23"/>
  <c r="L233" i="23" s="1"/>
  <c r="H233" i="23"/>
  <c r="K233" i="23" s="1"/>
  <c r="G233" i="23"/>
  <c r="J233" i="23" s="1"/>
  <c r="E233" i="23"/>
  <c r="D233" i="23"/>
  <c r="C233" i="23"/>
  <c r="M232" i="23"/>
  <c r="I232" i="23"/>
  <c r="L232" i="23" s="1"/>
  <c r="H232" i="23"/>
  <c r="K232" i="23" s="1"/>
  <c r="G232" i="23"/>
  <c r="J232" i="23" s="1"/>
  <c r="E232" i="23"/>
  <c r="D232" i="23"/>
  <c r="C232" i="23"/>
  <c r="M231" i="23"/>
  <c r="I231" i="23"/>
  <c r="L231" i="23" s="1"/>
  <c r="H231" i="23"/>
  <c r="K231" i="23" s="1"/>
  <c r="G231" i="23"/>
  <c r="J231" i="23" s="1"/>
  <c r="E231" i="23"/>
  <c r="D231" i="23"/>
  <c r="C231" i="23"/>
  <c r="M230" i="23"/>
  <c r="I230" i="23"/>
  <c r="L230" i="23" s="1"/>
  <c r="H230" i="23"/>
  <c r="K230" i="23" s="1"/>
  <c r="G230" i="23"/>
  <c r="J230" i="23" s="1"/>
  <c r="E230" i="23"/>
  <c r="D230" i="23"/>
  <c r="C230" i="23"/>
  <c r="M229" i="23"/>
  <c r="I229" i="23"/>
  <c r="L229" i="23" s="1"/>
  <c r="H229" i="23"/>
  <c r="K229" i="23" s="1"/>
  <c r="G229" i="23"/>
  <c r="J229" i="23" s="1"/>
  <c r="E229" i="23"/>
  <c r="D229" i="23"/>
  <c r="C229" i="23"/>
  <c r="M228" i="23"/>
  <c r="I228" i="23"/>
  <c r="L228" i="23" s="1"/>
  <c r="H228" i="23"/>
  <c r="K228" i="23" s="1"/>
  <c r="G228" i="23"/>
  <c r="J228" i="23" s="1"/>
  <c r="E228" i="23"/>
  <c r="D228" i="23"/>
  <c r="C228" i="23"/>
  <c r="I227" i="23"/>
  <c r="L227" i="23" s="1"/>
  <c r="H227" i="23"/>
  <c r="K227" i="23" s="1"/>
  <c r="G227" i="23"/>
  <c r="J227" i="23" s="1"/>
  <c r="E227" i="23"/>
  <c r="D227" i="23"/>
  <c r="C227" i="23"/>
  <c r="I226" i="23"/>
  <c r="L226" i="23" s="1"/>
  <c r="H226" i="23"/>
  <c r="K226" i="23" s="1"/>
  <c r="G226" i="23"/>
  <c r="J226" i="23" s="1"/>
  <c r="E226" i="23"/>
  <c r="D226" i="23"/>
  <c r="C226" i="23"/>
  <c r="I225" i="23"/>
  <c r="L225" i="23" s="1"/>
  <c r="H225" i="23"/>
  <c r="K225" i="23" s="1"/>
  <c r="G225" i="23"/>
  <c r="J225" i="23" s="1"/>
  <c r="E225" i="23"/>
  <c r="D225" i="23"/>
  <c r="C225" i="23"/>
  <c r="I224" i="23"/>
  <c r="L224" i="23" s="1"/>
  <c r="H224" i="23"/>
  <c r="K224" i="23" s="1"/>
  <c r="G224" i="23"/>
  <c r="J224" i="23" s="1"/>
  <c r="E224" i="23"/>
  <c r="D224" i="23"/>
  <c r="C224" i="23"/>
  <c r="I223" i="23"/>
  <c r="L223" i="23" s="1"/>
  <c r="H223" i="23"/>
  <c r="K223" i="23" s="1"/>
  <c r="G223" i="23"/>
  <c r="J223" i="23" s="1"/>
  <c r="E223" i="23"/>
  <c r="D223" i="23"/>
  <c r="C223" i="23"/>
  <c r="I222" i="23"/>
  <c r="L222" i="23" s="1"/>
  <c r="H222" i="23"/>
  <c r="K222" i="23" s="1"/>
  <c r="G222" i="23"/>
  <c r="J222" i="23" s="1"/>
  <c r="E222" i="23"/>
  <c r="D222" i="23"/>
  <c r="C222" i="23"/>
  <c r="N221" i="23"/>
  <c r="N237" i="23" s="1"/>
  <c r="M221" i="23"/>
  <c r="M226" i="23" s="1"/>
  <c r="M220" i="23"/>
  <c r="I220" i="23"/>
  <c r="L220" i="23" s="1"/>
  <c r="H220" i="23"/>
  <c r="K220" i="23" s="1"/>
  <c r="G220" i="23"/>
  <c r="J220" i="23" s="1"/>
  <c r="E220" i="23"/>
  <c r="D220" i="23"/>
  <c r="C220" i="23"/>
  <c r="B219" i="23"/>
  <c r="G219" i="23" s="1"/>
  <c r="J219" i="23" s="1"/>
  <c r="B218" i="23"/>
  <c r="I217" i="23"/>
  <c r="L217" i="23" s="1"/>
  <c r="H217" i="23"/>
  <c r="K217" i="23" s="1"/>
  <c r="G217" i="23"/>
  <c r="J217" i="23" s="1"/>
  <c r="E217" i="23"/>
  <c r="D217" i="23"/>
  <c r="C217" i="23"/>
  <c r="I216" i="23"/>
  <c r="L216" i="23" s="1"/>
  <c r="H216" i="23"/>
  <c r="K216" i="23" s="1"/>
  <c r="G216" i="23"/>
  <c r="J216" i="23" s="1"/>
  <c r="E216" i="23"/>
  <c r="D216" i="23"/>
  <c r="C216" i="23"/>
  <c r="N215" i="23"/>
  <c r="N220" i="23" s="1"/>
  <c r="M215" i="23"/>
  <c r="I214" i="23"/>
  <c r="L214" i="23" s="1"/>
  <c r="H214" i="23"/>
  <c r="K214" i="23" s="1"/>
  <c r="G214" i="23"/>
  <c r="J214" i="23" s="1"/>
  <c r="E214" i="23"/>
  <c r="D214" i="23"/>
  <c r="C214" i="23"/>
  <c r="I213" i="23"/>
  <c r="L213" i="23" s="1"/>
  <c r="H213" i="23"/>
  <c r="K213" i="23" s="1"/>
  <c r="G213" i="23"/>
  <c r="J213" i="23" s="1"/>
  <c r="E213" i="23"/>
  <c r="D213" i="23"/>
  <c r="C213" i="23"/>
  <c r="N212" i="23"/>
  <c r="N214" i="23" s="1"/>
  <c r="M212" i="23"/>
  <c r="M214" i="23" s="1"/>
  <c r="I211" i="23"/>
  <c r="L211" i="23" s="1"/>
  <c r="H211" i="23"/>
  <c r="K211" i="23" s="1"/>
  <c r="G211" i="23"/>
  <c r="J211" i="23" s="1"/>
  <c r="E211" i="23"/>
  <c r="D211" i="23"/>
  <c r="C211" i="23"/>
  <c r="I210" i="23"/>
  <c r="H210" i="23"/>
  <c r="G210" i="23"/>
  <c r="F210" i="23"/>
  <c r="E210" i="23"/>
  <c r="D210" i="23"/>
  <c r="C210" i="23"/>
  <c r="M209" i="23"/>
  <c r="I209" i="23"/>
  <c r="L209" i="23" s="1"/>
  <c r="H209" i="23"/>
  <c r="K209" i="23" s="1"/>
  <c r="G209" i="23"/>
  <c r="J209" i="23" s="1"/>
  <c r="E209" i="23"/>
  <c r="D209" i="23"/>
  <c r="C209" i="23"/>
  <c r="M208" i="23"/>
  <c r="I208" i="23"/>
  <c r="L208" i="23" s="1"/>
  <c r="H208" i="23"/>
  <c r="K208" i="23" s="1"/>
  <c r="G208" i="23"/>
  <c r="J208" i="23" s="1"/>
  <c r="E208" i="23"/>
  <c r="D208" i="23"/>
  <c r="C208" i="23"/>
  <c r="M207" i="23"/>
  <c r="I207" i="23"/>
  <c r="L207" i="23" s="1"/>
  <c r="H207" i="23"/>
  <c r="K207" i="23" s="1"/>
  <c r="G207" i="23"/>
  <c r="J207" i="23" s="1"/>
  <c r="E207" i="23"/>
  <c r="D207" i="23"/>
  <c r="C207" i="23"/>
  <c r="M206" i="23"/>
  <c r="I206" i="23"/>
  <c r="L206" i="23" s="1"/>
  <c r="H206" i="23"/>
  <c r="K206" i="23" s="1"/>
  <c r="G206" i="23"/>
  <c r="J206" i="23" s="1"/>
  <c r="E206" i="23"/>
  <c r="D206" i="23"/>
  <c r="C206" i="23"/>
  <c r="M205" i="23"/>
  <c r="I205" i="23"/>
  <c r="L205" i="23" s="1"/>
  <c r="H205" i="23"/>
  <c r="K205" i="23" s="1"/>
  <c r="G205" i="23"/>
  <c r="J205" i="23" s="1"/>
  <c r="E205" i="23"/>
  <c r="D205" i="23"/>
  <c r="C205" i="23"/>
  <c r="M204" i="23"/>
  <c r="I204" i="23"/>
  <c r="L204" i="23" s="1"/>
  <c r="H204" i="23"/>
  <c r="K204" i="23" s="1"/>
  <c r="G204" i="23"/>
  <c r="J204" i="23" s="1"/>
  <c r="E204" i="23"/>
  <c r="D204" i="23"/>
  <c r="C204" i="23"/>
  <c r="M203" i="23"/>
  <c r="I203" i="23"/>
  <c r="L203" i="23" s="1"/>
  <c r="H203" i="23"/>
  <c r="K203" i="23" s="1"/>
  <c r="G203" i="23"/>
  <c r="J203" i="23" s="1"/>
  <c r="E203" i="23"/>
  <c r="D203" i="23"/>
  <c r="C203" i="23"/>
  <c r="I202" i="23"/>
  <c r="L202" i="23" s="1"/>
  <c r="H202" i="23"/>
  <c r="K202" i="23" s="1"/>
  <c r="G202" i="23"/>
  <c r="J202" i="23" s="1"/>
  <c r="E202" i="23"/>
  <c r="D202" i="23"/>
  <c r="C202" i="23"/>
  <c r="I201" i="23"/>
  <c r="L201" i="23" s="1"/>
  <c r="H201" i="23"/>
  <c r="K201" i="23" s="1"/>
  <c r="G201" i="23"/>
  <c r="J201" i="23" s="1"/>
  <c r="E201" i="23"/>
  <c r="D201" i="23"/>
  <c r="C201" i="23"/>
  <c r="I200" i="23"/>
  <c r="L200" i="23" s="1"/>
  <c r="H200" i="23"/>
  <c r="K200" i="23" s="1"/>
  <c r="G200" i="23"/>
  <c r="J200" i="23" s="1"/>
  <c r="E200" i="23"/>
  <c r="D200" i="23"/>
  <c r="C200" i="23"/>
  <c r="I199" i="23"/>
  <c r="L199" i="23" s="1"/>
  <c r="H199" i="23"/>
  <c r="K199" i="23" s="1"/>
  <c r="G199" i="23"/>
  <c r="J199" i="23" s="1"/>
  <c r="E199" i="23"/>
  <c r="D199" i="23"/>
  <c r="C199" i="23"/>
  <c r="B198" i="23"/>
  <c r="D198" i="23" s="1"/>
  <c r="M197" i="23"/>
  <c r="I197" i="23"/>
  <c r="L197" i="23" s="1"/>
  <c r="H197" i="23"/>
  <c r="K197" i="23" s="1"/>
  <c r="G197" i="23"/>
  <c r="J197" i="23" s="1"/>
  <c r="E197" i="23"/>
  <c r="D197" i="23"/>
  <c r="C197" i="23"/>
  <c r="M196" i="23"/>
  <c r="I196" i="23"/>
  <c r="L196" i="23" s="1"/>
  <c r="H196" i="23"/>
  <c r="K196" i="23" s="1"/>
  <c r="G196" i="23"/>
  <c r="J196" i="23" s="1"/>
  <c r="E196" i="23"/>
  <c r="D196" i="23"/>
  <c r="C196" i="23"/>
  <c r="I195" i="23"/>
  <c r="L195" i="23" s="1"/>
  <c r="H195" i="23"/>
  <c r="K195" i="23" s="1"/>
  <c r="G195" i="23"/>
  <c r="J195" i="23" s="1"/>
  <c r="E195" i="23"/>
  <c r="D195" i="23"/>
  <c r="C195" i="23"/>
  <c r="I194" i="23"/>
  <c r="L194" i="23" s="1"/>
  <c r="H194" i="23"/>
  <c r="K194" i="23" s="1"/>
  <c r="G194" i="23"/>
  <c r="J194" i="23" s="1"/>
  <c r="E194" i="23"/>
  <c r="D194" i="23"/>
  <c r="C194" i="23"/>
  <c r="I193" i="23"/>
  <c r="L193" i="23" s="1"/>
  <c r="H193" i="23"/>
  <c r="K193" i="23" s="1"/>
  <c r="G193" i="23"/>
  <c r="J193" i="23" s="1"/>
  <c r="E193" i="23"/>
  <c r="D193" i="23"/>
  <c r="C193" i="23"/>
  <c r="I192" i="23"/>
  <c r="L192" i="23" s="1"/>
  <c r="H192" i="23"/>
  <c r="K192" i="23" s="1"/>
  <c r="G192" i="23"/>
  <c r="J192" i="23" s="1"/>
  <c r="E192" i="23"/>
  <c r="D192" i="23"/>
  <c r="C192" i="23"/>
  <c r="N191" i="23"/>
  <c r="M191" i="23"/>
  <c r="M202" i="23" s="1"/>
  <c r="I190" i="23"/>
  <c r="L190" i="23" s="1"/>
  <c r="H190" i="23"/>
  <c r="K190" i="23" s="1"/>
  <c r="G190" i="23"/>
  <c r="J190" i="23" s="1"/>
  <c r="E190" i="23"/>
  <c r="D190" i="23"/>
  <c r="C190" i="23"/>
  <c r="I189" i="23"/>
  <c r="H189" i="23"/>
  <c r="G189" i="23"/>
  <c r="F189" i="23"/>
  <c r="E189" i="23"/>
  <c r="D189" i="23"/>
  <c r="C189" i="23"/>
  <c r="M188" i="23"/>
  <c r="I188" i="23"/>
  <c r="L188" i="23" s="1"/>
  <c r="H188" i="23"/>
  <c r="K188" i="23" s="1"/>
  <c r="G188" i="23"/>
  <c r="J188" i="23" s="1"/>
  <c r="E188" i="23"/>
  <c r="D188" i="23"/>
  <c r="C188" i="23"/>
  <c r="M187" i="23"/>
  <c r="I187" i="23"/>
  <c r="L187" i="23" s="1"/>
  <c r="H187" i="23"/>
  <c r="K187" i="23" s="1"/>
  <c r="G187" i="23"/>
  <c r="J187" i="23" s="1"/>
  <c r="E187" i="23"/>
  <c r="D187" i="23"/>
  <c r="C187" i="23"/>
  <c r="M186" i="23"/>
  <c r="I186" i="23"/>
  <c r="L186" i="23" s="1"/>
  <c r="H186" i="23"/>
  <c r="K186" i="23" s="1"/>
  <c r="G186" i="23"/>
  <c r="J186" i="23" s="1"/>
  <c r="E186" i="23"/>
  <c r="D186" i="23"/>
  <c r="C186" i="23"/>
  <c r="M185" i="23"/>
  <c r="I185" i="23"/>
  <c r="L185" i="23" s="1"/>
  <c r="H185" i="23"/>
  <c r="K185" i="23" s="1"/>
  <c r="G185" i="23"/>
  <c r="J185" i="23" s="1"/>
  <c r="E185" i="23"/>
  <c r="D185" i="23"/>
  <c r="C185" i="23"/>
  <c r="M184" i="23"/>
  <c r="I184" i="23"/>
  <c r="L184" i="23" s="1"/>
  <c r="H184" i="23"/>
  <c r="K184" i="23" s="1"/>
  <c r="G184" i="23"/>
  <c r="J184" i="23" s="1"/>
  <c r="E184" i="23"/>
  <c r="D184" i="23"/>
  <c r="C184" i="23"/>
  <c r="M183" i="23"/>
  <c r="I183" i="23"/>
  <c r="L183" i="23" s="1"/>
  <c r="H183" i="23"/>
  <c r="K183" i="23" s="1"/>
  <c r="G183" i="23"/>
  <c r="J183" i="23" s="1"/>
  <c r="E183" i="23"/>
  <c r="D183" i="23"/>
  <c r="C183" i="23"/>
  <c r="M182" i="23"/>
  <c r="I182" i="23"/>
  <c r="L182" i="23" s="1"/>
  <c r="H182" i="23"/>
  <c r="K182" i="23" s="1"/>
  <c r="G182" i="23"/>
  <c r="J182" i="23" s="1"/>
  <c r="E182" i="23"/>
  <c r="D182" i="23"/>
  <c r="C182" i="23"/>
  <c r="I181" i="23"/>
  <c r="L181" i="23" s="1"/>
  <c r="H181" i="23"/>
  <c r="K181" i="23" s="1"/>
  <c r="G181" i="23"/>
  <c r="J181" i="23" s="1"/>
  <c r="E181" i="23"/>
  <c r="D181" i="23"/>
  <c r="C181" i="23"/>
  <c r="B180" i="23"/>
  <c r="I179" i="23"/>
  <c r="L179" i="23" s="1"/>
  <c r="H179" i="23"/>
  <c r="K179" i="23" s="1"/>
  <c r="G179" i="23"/>
  <c r="J179" i="23" s="1"/>
  <c r="E179" i="23"/>
  <c r="D179" i="23"/>
  <c r="C179" i="23"/>
  <c r="M178" i="23"/>
  <c r="I178" i="23"/>
  <c r="L178" i="23" s="1"/>
  <c r="H178" i="23"/>
  <c r="K178" i="23" s="1"/>
  <c r="G178" i="23"/>
  <c r="J178" i="23" s="1"/>
  <c r="E178" i="23"/>
  <c r="D178" i="23"/>
  <c r="C178" i="23"/>
  <c r="I177" i="23"/>
  <c r="L177" i="23" s="1"/>
  <c r="H177" i="23"/>
  <c r="K177" i="23" s="1"/>
  <c r="G177" i="23"/>
  <c r="J177" i="23" s="1"/>
  <c r="E177" i="23"/>
  <c r="D177" i="23"/>
  <c r="C177" i="23"/>
  <c r="I176" i="23"/>
  <c r="L176" i="23" s="1"/>
  <c r="H176" i="23"/>
  <c r="K176" i="23" s="1"/>
  <c r="G176" i="23"/>
  <c r="J176" i="23" s="1"/>
  <c r="E176" i="23"/>
  <c r="D176" i="23"/>
  <c r="C176" i="23"/>
  <c r="I175" i="23"/>
  <c r="L175" i="23" s="1"/>
  <c r="H175" i="23"/>
  <c r="K175" i="23" s="1"/>
  <c r="G175" i="23"/>
  <c r="J175" i="23" s="1"/>
  <c r="E175" i="23"/>
  <c r="D175" i="23"/>
  <c r="C175" i="23"/>
  <c r="N174" i="23"/>
  <c r="N190" i="23" s="1"/>
  <c r="M174" i="23"/>
  <c r="M175" i="23" s="1"/>
  <c r="I173" i="23"/>
  <c r="L173" i="23" s="1"/>
  <c r="H173" i="23"/>
  <c r="K173" i="23" s="1"/>
  <c r="G173" i="23"/>
  <c r="J173" i="23" s="1"/>
  <c r="E173" i="23"/>
  <c r="D173" i="23"/>
  <c r="C173" i="23"/>
  <c r="I172" i="23"/>
  <c r="L172" i="23" s="1"/>
  <c r="H172" i="23"/>
  <c r="K172" i="23" s="1"/>
  <c r="G172" i="23"/>
  <c r="J172" i="23" s="1"/>
  <c r="E172" i="23"/>
  <c r="D172" i="23"/>
  <c r="C172" i="23"/>
  <c r="I171" i="23"/>
  <c r="L171" i="23" s="1"/>
  <c r="H171" i="23"/>
  <c r="K171" i="23" s="1"/>
  <c r="G171" i="23"/>
  <c r="J171" i="23" s="1"/>
  <c r="E171" i="23"/>
  <c r="D171" i="23"/>
  <c r="C171" i="23"/>
  <c r="N170" i="23"/>
  <c r="M170" i="23"/>
  <c r="M171" i="23" s="1"/>
  <c r="I169" i="23"/>
  <c r="H169" i="23"/>
  <c r="G169" i="23"/>
  <c r="F169" i="23"/>
  <c r="E169" i="23"/>
  <c r="D169" i="23"/>
  <c r="C169" i="23"/>
  <c r="B168" i="23"/>
  <c r="E168" i="23" s="1"/>
  <c r="B167" i="23"/>
  <c r="C167" i="23" s="1"/>
  <c r="I166" i="23"/>
  <c r="L166" i="23" s="1"/>
  <c r="H166" i="23"/>
  <c r="K166" i="23" s="1"/>
  <c r="G166" i="23"/>
  <c r="J166" i="23" s="1"/>
  <c r="E166" i="23"/>
  <c r="D166" i="23"/>
  <c r="C166" i="23"/>
  <c r="I165" i="23"/>
  <c r="L165" i="23" s="1"/>
  <c r="H165" i="23"/>
  <c r="K165" i="23" s="1"/>
  <c r="G165" i="23"/>
  <c r="J165" i="23" s="1"/>
  <c r="E165" i="23"/>
  <c r="D165" i="23"/>
  <c r="C165" i="23"/>
  <c r="N164" i="23"/>
  <c r="M164" i="23"/>
  <c r="M168" i="23" s="1"/>
  <c r="B163" i="23"/>
  <c r="I163" i="23" s="1"/>
  <c r="L163" i="23" s="1"/>
  <c r="B162" i="23"/>
  <c r="G162" i="23" s="1"/>
  <c r="J162" i="23" s="1"/>
  <c r="N161" i="23"/>
  <c r="N163" i="23" s="1"/>
  <c r="M161" i="23"/>
  <c r="M162" i="23" s="1"/>
  <c r="I160" i="23"/>
  <c r="L160" i="23" s="1"/>
  <c r="H160" i="23"/>
  <c r="K160" i="23" s="1"/>
  <c r="G160" i="23"/>
  <c r="J160" i="23" s="1"/>
  <c r="E160" i="23"/>
  <c r="D160" i="23"/>
  <c r="C160" i="23"/>
  <c r="I159" i="23"/>
  <c r="H159" i="23"/>
  <c r="G159" i="23"/>
  <c r="F159" i="23"/>
  <c r="E159" i="23"/>
  <c r="D159" i="23"/>
  <c r="C159" i="23"/>
  <c r="I158" i="23"/>
  <c r="H158" i="23"/>
  <c r="G158" i="23"/>
  <c r="F158" i="23"/>
  <c r="E158" i="23"/>
  <c r="D158" i="23"/>
  <c r="C158" i="23"/>
  <c r="I157" i="23"/>
  <c r="H157" i="23"/>
  <c r="G157" i="23"/>
  <c r="F157" i="23"/>
  <c r="M157" i="23" s="1"/>
  <c r="E157" i="23"/>
  <c r="D157" i="23"/>
  <c r="C157" i="23"/>
  <c r="I156" i="23"/>
  <c r="H156" i="23"/>
  <c r="G156" i="23"/>
  <c r="F156" i="23"/>
  <c r="E156" i="23"/>
  <c r="D156" i="23"/>
  <c r="C156" i="23"/>
  <c r="I155" i="23"/>
  <c r="L155" i="23" s="1"/>
  <c r="H155" i="23"/>
  <c r="K155" i="23" s="1"/>
  <c r="G155" i="23"/>
  <c r="J155" i="23" s="1"/>
  <c r="E155" i="23"/>
  <c r="D155" i="23"/>
  <c r="C155" i="23"/>
  <c r="I154" i="23"/>
  <c r="L154" i="23" s="1"/>
  <c r="H154" i="23"/>
  <c r="K154" i="23" s="1"/>
  <c r="G154" i="23"/>
  <c r="J154" i="23" s="1"/>
  <c r="E154" i="23"/>
  <c r="D154" i="23"/>
  <c r="C154" i="23"/>
  <c r="M153" i="23"/>
  <c r="I153" i="23"/>
  <c r="L153" i="23" s="1"/>
  <c r="H153" i="23"/>
  <c r="K153" i="23" s="1"/>
  <c r="G153" i="23"/>
  <c r="J153" i="23" s="1"/>
  <c r="E153" i="23"/>
  <c r="D153" i="23"/>
  <c r="C153" i="23"/>
  <c r="I152" i="23"/>
  <c r="L152" i="23" s="1"/>
  <c r="H152" i="23"/>
  <c r="K152" i="23" s="1"/>
  <c r="G152" i="23"/>
  <c r="J152" i="23" s="1"/>
  <c r="E152" i="23"/>
  <c r="D152" i="23"/>
  <c r="C152" i="23"/>
  <c r="I151" i="23"/>
  <c r="L151" i="23" s="1"/>
  <c r="H151" i="23"/>
  <c r="K151" i="23" s="1"/>
  <c r="G151" i="23"/>
  <c r="J151" i="23" s="1"/>
  <c r="E151" i="23"/>
  <c r="D151" i="23"/>
  <c r="C151" i="23"/>
  <c r="I150" i="23"/>
  <c r="L150" i="23" s="1"/>
  <c r="H150" i="23"/>
  <c r="K150" i="23" s="1"/>
  <c r="G150" i="23"/>
  <c r="J150" i="23" s="1"/>
  <c r="E150" i="23"/>
  <c r="D150" i="23"/>
  <c r="C150" i="23"/>
  <c r="I149" i="23"/>
  <c r="L149" i="23" s="1"/>
  <c r="H149" i="23"/>
  <c r="K149" i="23" s="1"/>
  <c r="G149" i="23"/>
  <c r="J149" i="23" s="1"/>
  <c r="E149" i="23"/>
  <c r="D149" i="23"/>
  <c r="C149" i="23"/>
  <c r="I148" i="23"/>
  <c r="L148" i="23" s="1"/>
  <c r="H148" i="23"/>
  <c r="K148" i="23" s="1"/>
  <c r="G148" i="23"/>
  <c r="J148" i="23" s="1"/>
  <c r="E148" i="23"/>
  <c r="D148" i="23"/>
  <c r="C148" i="23"/>
  <c r="N147" i="23"/>
  <c r="M147" i="23"/>
  <c r="I146" i="23"/>
  <c r="L146" i="23" s="1"/>
  <c r="H146" i="23"/>
  <c r="K146" i="23" s="1"/>
  <c r="G146" i="23"/>
  <c r="J146" i="23" s="1"/>
  <c r="E146" i="23"/>
  <c r="D146" i="23"/>
  <c r="C146" i="23"/>
  <c r="I145" i="23"/>
  <c r="H145" i="23"/>
  <c r="G145" i="23"/>
  <c r="F145" i="23"/>
  <c r="E145" i="23"/>
  <c r="D145" i="23"/>
  <c r="C145" i="23"/>
  <c r="I144" i="23"/>
  <c r="H144" i="23"/>
  <c r="G144" i="23"/>
  <c r="F144" i="23"/>
  <c r="E144" i="23"/>
  <c r="D144" i="23"/>
  <c r="C144" i="23"/>
  <c r="I143" i="23"/>
  <c r="H143" i="23"/>
  <c r="G143" i="23"/>
  <c r="F143" i="23"/>
  <c r="M143" i="23" s="1"/>
  <c r="E143" i="23"/>
  <c r="D143" i="23"/>
  <c r="C143" i="23"/>
  <c r="I142" i="23"/>
  <c r="H142" i="23"/>
  <c r="G142" i="23"/>
  <c r="F142" i="23"/>
  <c r="M142" i="23" s="1"/>
  <c r="E142" i="23"/>
  <c r="D142" i="23"/>
  <c r="C142" i="23"/>
  <c r="I141" i="23"/>
  <c r="L141" i="23" s="1"/>
  <c r="H141" i="23"/>
  <c r="K141" i="23" s="1"/>
  <c r="G141" i="23"/>
  <c r="J141" i="23" s="1"/>
  <c r="E141" i="23"/>
  <c r="D141" i="23"/>
  <c r="C141" i="23"/>
  <c r="I140" i="23"/>
  <c r="L140" i="23" s="1"/>
  <c r="H140" i="23"/>
  <c r="K140" i="23" s="1"/>
  <c r="G140" i="23"/>
  <c r="J140" i="23" s="1"/>
  <c r="E140" i="23"/>
  <c r="D140" i="23"/>
  <c r="C140" i="23"/>
  <c r="M139" i="23"/>
  <c r="I139" i="23"/>
  <c r="L139" i="23" s="1"/>
  <c r="H139" i="23"/>
  <c r="K139" i="23" s="1"/>
  <c r="G139" i="23"/>
  <c r="J139" i="23" s="1"/>
  <c r="E139" i="23"/>
  <c r="D139" i="23"/>
  <c r="C139" i="23"/>
  <c r="I138" i="23"/>
  <c r="L138" i="23" s="1"/>
  <c r="H138" i="23"/>
  <c r="K138" i="23" s="1"/>
  <c r="G138" i="23"/>
  <c r="J138" i="23" s="1"/>
  <c r="E138" i="23"/>
  <c r="D138" i="23"/>
  <c r="C138" i="23"/>
  <c r="I137" i="23"/>
  <c r="L137" i="23" s="1"/>
  <c r="H137" i="23"/>
  <c r="K137" i="23" s="1"/>
  <c r="G137" i="23"/>
  <c r="J137" i="23" s="1"/>
  <c r="E137" i="23"/>
  <c r="D137" i="23"/>
  <c r="C137" i="23"/>
  <c r="I136" i="23"/>
  <c r="L136" i="23" s="1"/>
  <c r="H136" i="23"/>
  <c r="K136" i="23" s="1"/>
  <c r="G136" i="23"/>
  <c r="J136" i="23" s="1"/>
  <c r="E136" i="23"/>
  <c r="D136" i="23"/>
  <c r="C136" i="23"/>
  <c r="I135" i="23"/>
  <c r="L135" i="23" s="1"/>
  <c r="H135" i="23"/>
  <c r="K135" i="23" s="1"/>
  <c r="G135" i="23"/>
  <c r="J135" i="23" s="1"/>
  <c r="E135" i="23"/>
  <c r="D135" i="23"/>
  <c r="C135" i="23"/>
  <c r="I134" i="23"/>
  <c r="L134" i="23" s="1"/>
  <c r="H134" i="23"/>
  <c r="K134" i="23" s="1"/>
  <c r="G134" i="23"/>
  <c r="J134" i="23" s="1"/>
  <c r="E134" i="23"/>
  <c r="D134" i="23"/>
  <c r="C134" i="23"/>
  <c r="N133" i="23"/>
  <c r="M133" i="23"/>
  <c r="M141" i="23" s="1"/>
  <c r="M132" i="23"/>
  <c r="I132" i="23"/>
  <c r="L132" i="23" s="1"/>
  <c r="H132" i="23"/>
  <c r="K132" i="23" s="1"/>
  <c r="G132" i="23"/>
  <c r="J132" i="23" s="1"/>
  <c r="E132" i="23"/>
  <c r="D132" i="23"/>
  <c r="C132" i="23"/>
  <c r="B131" i="23"/>
  <c r="I131" i="23" s="1"/>
  <c r="L131" i="23" s="1"/>
  <c r="B130" i="23"/>
  <c r="E130" i="23" s="1"/>
  <c r="I129" i="23"/>
  <c r="L129" i="23" s="1"/>
  <c r="H129" i="23"/>
  <c r="K129" i="23" s="1"/>
  <c r="G129" i="23"/>
  <c r="J129" i="23" s="1"/>
  <c r="E129" i="23"/>
  <c r="D129" i="23"/>
  <c r="C129" i="23"/>
  <c r="I128" i="23"/>
  <c r="L128" i="23" s="1"/>
  <c r="H128" i="23"/>
  <c r="K128" i="23" s="1"/>
  <c r="G128" i="23"/>
  <c r="J128" i="23" s="1"/>
  <c r="E128" i="23"/>
  <c r="D128" i="23"/>
  <c r="C128" i="23"/>
  <c r="N127" i="23"/>
  <c r="M127" i="23"/>
  <c r="M128" i="23" s="1"/>
  <c r="I126" i="23"/>
  <c r="L126" i="23" s="1"/>
  <c r="H126" i="23"/>
  <c r="K126" i="23" s="1"/>
  <c r="G126" i="23"/>
  <c r="J126" i="23" s="1"/>
  <c r="E126" i="23"/>
  <c r="D126" i="23"/>
  <c r="C126" i="23"/>
  <c r="I125" i="23"/>
  <c r="L125" i="23" s="1"/>
  <c r="H125" i="23"/>
  <c r="K125" i="23" s="1"/>
  <c r="G125" i="23"/>
  <c r="J125" i="23" s="1"/>
  <c r="E125" i="23"/>
  <c r="D125" i="23"/>
  <c r="C125" i="23"/>
  <c r="N124" i="23"/>
  <c r="M124" i="23"/>
  <c r="M126" i="23" s="1"/>
  <c r="I123" i="23"/>
  <c r="L123" i="23" s="1"/>
  <c r="H123" i="23"/>
  <c r="K123" i="23" s="1"/>
  <c r="G123" i="23"/>
  <c r="J123" i="23" s="1"/>
  <c r="E123" i="23"/>
  <c r="D123" i="23"/>
  <c r="C123" i="23"/>
  <c r="M122" i="23"/>
  <c r="I122" i="23"/>
  <c r="L122" i="23" s="1"/>
  <c r="H122" i="23"/>
  <c r="K122" i="23" s="1"/>
  <c r="G122" i="23"/>
  <c r="J122" i="23" s="1"/>
  <c r="E122" i="23"/>
  <c r="D122" i="23"/>
  <c r="C122" i="23"/>
  <c r="I121" i="23"/>
  <c r="H121" i="23"/>
  <c r="G121" i="23"/>
  <c r="E121" i="23"/>
  <c r="D121" i="23"/>
  <c r="C121" i="23"/>
  <c r="I120" i="23"/>
  <c r="H120" i="23"/>
  <c r="G120" i="23"/>
  <c r="E120" i="23"/>
  <c r="D120" i="23"/>
  <c r="C120" i="23"/>
  <c r="I119" i="23"/>
  <c r="H119" i="23"/>
  <c r="G119" i="23"/>
  <c r="E119" i="23"/>
  <c r="D119" i="23"/>
  <c r="C119" i="23"/>
  <c r="I118" i="23"/>
  <c r="H118" i="23"/>
  <c r="G118" i="23"/>
  <c r="F118" i="23"/>
  <c r="E118" i="23"/>
  <c r="D118" i="23"/>
  <c r="C118" i="23"/>
  <c r="I117" i="23"/>
  <c r="H117" i="23"/>
  <c r="G117" i="23"/>
  <c r="E117" i="23"/>
  <c r="D117" i="23"/>
  <c r="C117" i="23"/>
  <c r="I116" i="23"/>
  <c r="H116" i="23"/>
  <c r="G116" i="23"/>
  <c r="E116" i="23"/>
  <c r="D116" i="23"/>
  <c r="C116" i="23"/>
  <c r="I115" i="23"/>
  <c r="H115" i="23"/>
  <c r="G115" i="23"/>
  <c r="E115" i="23"/>
  <c r="D115" i="23"/>
  <c r="C115" i="23"/>
  <c r="I114" i="23"/>
  <c r="L114" i="23" s="1"/>
  <c r="H114" i="23"/>
  <c r="K114" i="23" s="1"/>
  <c r="G114" i="23"/>
  <c r="J114" i="23" s="1"/>
  <c r="E114" i="23"/>
  <c r="D114" i="23"/>
  <c r="C114" i="23"/>
  <c r="I113" i="23"/>
  <c r="L113" i="23" s="1"/>
  <c r="H113" i="23"/>
  <c r="K113" i="23" s="1"/>
  <c r="G113" i="23"/>
  <c r="J113" i="23" s="1"/>
  <c r="E113" i="23"/>
  <c r="D113" i="23"/>
  <c r="C113" i="23"/>
  <c r="M112" i="23"/>
  <c r="I112" i="23"/>
  <c r="L112" i="23" s="1"/>
  <c r="H112" i="23"/>
  <c r="K112" i="23" s="1"/>
  <c r="G112" i="23"/>
  <c r="J112" i="23" s="1"/>
  <c r="E112" i="23"/>
  <c r="D112" i="23"/>
  <c r="C112" i="23"/>
  <c r="M111" i="23"/>
  <c r="I111" i="23"/>
  <c r="L111" i="23" s="1"/>
  <c r="H111" i="23"/>
  <c r="K111" i="23" s="1"/>
  <c r="G111" i="23"/>
  <c r="J111" i="23" s="1"/>
  <c r="E111" i="23"/>
  <c r="D111" i="23"/>
  <c r="C111" i="23"/>
  <c r="I110" i="23"/>
  <c r="H110" i="23"/>
  <c r="G110" i="23"/>
  <c r="E110" i="23"/>
  <c r="D110" i="23"/>
  <c r="C110" i="23"/>
  <c r="I109" i="23"/>
  <c r="H109" i="23"/>
  <c r="G109" i="23"/>
  <c r="E109" i="23"/>
  <c r="D109" i="23"/>
  <c r="C109" i="23"/>
  <c r="I108" i="23"/>
  <c r="H108" i="23"/>
  <c r="G108" i="23"/>
  <c r="E108" i="23"/>
  <c r="D108" i="23"/>
  <c r="C108" i="23"/>
  <c r="N107" i="23"/>
  <c r="N123" i="23" s="1"/>
  <c r="M107" i="23"/>
  <c r="I106" i="23"/>
  <c r="L106" i="23" s="1"/>
  <c r="H106" i="23"/>
  <c r="K106" i="23" s="1"/>
  <c r="G106" i="23"/>
  <c r="J106" i="23" s="1"/>
  <c r="E106" i="23"/>
  <c r="D106" i="23"/>
  <c r="C106" i="23"/>
  <c r="M105" i="23"/>
  <c r="I105" i="23"/>
  <c r="L105" i="23" s="1"/>
  <c r="H105" i="23"/>
  <c r="K105" i="23" s="1"/>
  <c r="G105" i="23"/>
  <c r="J105" i="23" s="1"/>
  <c r="E105" i="23"/>
  <c r="D105" i="23"/>
  <c r="C105" i="23"/>
  <c r="I104" i="23"/>
  <c r="H104" i="23"/>
  <c r="G104" i="23"/>
  <c r="E104" i="23"/>
  <c r="D104" i="23"/>
  <c r="C104" i="23"/>
  <c r="I103" i="23"/>
  <c r="H103" i="23"/>
  <c r="G103" i="23"/>
  <c r="E103" i="23"/>
  <c r="D103" i="23"/>
  <c r="C103" i="23"/>
  <c r="I102" i="23"/>
  <c r="H102" i="23"/>
  <c r="G102" i="23"/>
  <c r="E102" i="23"/>
  <c r="D102" i="23"/>
  <c r="C102" i="23"/>
  <c r="I101" i="23"/>
  <c r="H101" i="23"/>
  <c r="G101" i="23"/>
  <c r="F101" i="23"/>
  <c r="E101" i="23"/>
  <c r="D101" i="23"/>
  <c r="C101" i="23"/>
  <c r="I100" i="23"/>
  <c r="H100" i="23"/>
  <c r="G100" i="23"/>
  <c r="E100" i="23"/>
  <c r="D100" i="23"/>
  <c r="C100" i="23"/>
  <c r="I99" i="23"/>
  <c r="H99" i="23"/>
  <c r="G99" i="23"/>
  <c r="E99" i="23"/>
  <c r="D99" i="23"/>
  <c r="C99" i="23"/>
  <c r="I98" i="23"/>
  <c r="H98" i="23"/>
  <c r="G98" i="23"/>
  <c r="E98" i="23"/>
  <c r="D98" i="23"/>
  <c r="C98" i="23"/>
  <c r="I97" i="23"/>
  <c r="L97" i="23" s="1"/>
  <c r="H97" i="23"/>
  <c r="K97" i="23" s="1"/>
  <c r="G97" i="23"/>
  <c r="J97" i="23" s="1"/>
  <c r="E97" i="23"/>
  <c r="D97" i="23"/>
  <c r="C97" i="23"/>
  <c r="I96" i="23"/>
  <c r="L96" i="23" s="1"/>
  <c r="H96" i="23"/>
  <c r="K96" i="23" s="1"/>
  <c r="G96" i="23"/>
  <c r="J96" i="23" s="1"/>
  <c r="E96" i="23"/>
  <c r="D96" i="23"/>
  <c r="C96" i="23"/>
  <c r="M95" i="23"/>
  <c r="I95" i="23"/>
  <c r="L95" i="23" s="1"/>
  <c r="H95" i="23"/>
  <c r="K95" i="23" s="1"/>
  <c r="G95" i="23"/>
  <c r="J95" i="23" s="1"/>
  <c r="E95" i="23"/>
  <c r="D95" i="23"/>
  <c r="C95" i="23"/>
  <c r="M94" i="23"/>
  <c r="I94" i="23"/>
  <c r="L94" i="23" s="1"/>
  <c r="H94" i="23"/>
  <c r="K94" i="23" s="1"/>
  <c r="G94" i="23"/>
  <c r="J94" i="23" s="1"/>
  <c r="E94" i="23"/>
  <c r="D94" i="23"/>
  <c r="C94" i="23"/>
  <c r="I93" i="23"/>
  <c r="H93" i="23"/>
  <c r="G93" i="23"/>
  <c r="F93" i="23"/>
  <c r="E93" i="23"/>
  <c r="D93" i="23"/>
  <c r="C93" i="23"/>
  <c r="I92" i="23"/>
  <c r="H92" i="23"/>
  <c r="G92" i="23"/>
  <c r="F92" i="23"/>
  <c r="F99" i="23" s="1"/>
  <c r="E92" i="23"/>
  <c r="D92" i="23"/>
  <c r="C92" i="23"/>
  <c r="I91" i="23"/>
  <c r="H91" i="23"/>
  <c r="G91" i="23"/>
  <c r="F91" i="23"/>
  <c r="E91" i="23"/>
  <c r="D91" i="23"/>
  <c r="C91" i="23"/>
  <c r="N90" i="23"/>
  <c r="N106" i="23" s="1"/>
  <c r="M90" i="23"/>
  <c r="M97" i="23" s="1"/>
  <c r="M89" i="23"/>
  <c r="I89" i="23"/>
  <c r="L89" i="23" s="1"/>
  <c r="H89" i="23"/>
  <c r="K89" i="23" s="1"/>
  <c r="G89" i="23"/>
  <c r="J89" i="23" s="1"/>
  <c r="E89" i="23"/>
  <c r="D89" i="23"/>
  <c r="C89" i="23"/>
  <c r="B88" i="23"/>
  <c r="I88" i="23" s="1"/>
  <c r="L88" i="23" s="1"/>
  <c r="B87" i="23"/>
  <c r="D87" i="23" s="1"/>
  <c r="I86" i="23"/>
  <c r="L86" i="23" s="1"/>
  <c r="H86" i="23"/>
  <c r="K86" i="23" s="1"/>
  <c r="G86" i="23"/>
  <c r="J86" i="23" s="1"/>
  <c r="E86" i="23"/>
  <c r="D86" i="23"/>
  <c r="C86" i="23"/>
  <c r="I85" i="23"/>
  <c r="L85" i="23" s="1"/>
  <c r="H85" i="23"/>
  <c r="K85" i="23" s="1"/>
  <c r="G85" i="23"/>
  <c r="J85" i="23" s="1"/>
  <c r="E85" i="23"/>
  <c r="D85" i="23"/>
  <c r="C85" i="23"/>
  <c r="N84" i="23"/>
  <c r="M84" i="23"/>
  <c r="M87" i="23" s="1"/>
  <c r="B83" i="23"/>
  <c r="C83" i="23" s="1"/>
  <c r="B82" i="23"/>
  <c r="N81" i="23"/>
  <c r="M81" i="23"/>
  <c r="M82" i="23" s="1"/>
  <c r="I80" i="23"/>
  <c r="H80" i="23"/>
  <c r="G80" i="23"/>
  <c r="F80" i="23"/>
  <c r="E80" i="23"/>
  <c r="D80" i="23"/>
  <c r="C80" i="23"/>
  <c r="B79" i="23"/>
  <c r="D79" i="23" s="1"/>
  <c r="B78" i="23"/>
  <c r="I78" i="23" s="1"/>
  <c r="L78" i="23" s="1"/>
  <c r="I77" i="23"/>
  <c r="L77" i="23" s="1"/>
  <c r="H77" i="23"/>
  <c r="K77" i="23" s="1"/>
  <c r="G77" i="23"/>
  <c r="J77" i="23" s="1"/>
  <c r="E77" i="23"/>
  <c r="D77" i="23"/>
  <c r="C77" i="23"/>
  <c r="I76" i="23"/>
  <c r="L76" i="23" s="1"/>
  <c r="H76" i="23"/>
  <c r="K76" i="23" s="1"/>
  <c r="G76" i="23"/>
  <c r="J76" i="23" s="1"/>
  <c r="E76" i="23"/>
  <c r="D76" i="23"/>
  <c r="C76" i="23"/>
  <c r="N75" i="23"/>
  <c r="M75" i="23"/>
  <c r="M79" i="23" s="1"/>
  <c r="I74" i="23"/>
  <c r="L74" i="23" s="1"/>
  <c r="H74" i="23"/>
  <c r="K74" i="23" s="1"/>
  <c r="G74" i="23"/>
  <c r="J74" i="23" s="1"/>
  <c r="E74" i="23"/>
  <c r="D74" i="23"/>
  <c r="C74" i="23"/>
  <c r="B73" i="23"/>
  <c r="B72" i="23"/>
  <c r="G72" i="23" s="1"/>
  <c r="J72" i="23" s="1"/>
  <c r="I71" i="23"/>
  <c r="L71" i="23" s="1"/>
  <c r="H71" i="23"/>
  <c r="K71" i="23" s="1"/>
  <c r="G71" i="23"/>
  <c r="J71" i="23" s="1"/>
  <c r="E71" i="23"/>
  <c r="D71" i="23"/>
  <c r="C71" i="23"/>
  <c r="I70" i="23"/>
  <c r="L70" i="23" s="1"/>
  <c r="H70" i="23"/>
  <c r="K70" i="23" s="1"/>
  <c r="G70" i="23"/>
  <c r="J70" i="23" s="1"/>
  <c r="E70" i="23"/>
  <c r="D70" i="23"/>
  <c r="C70" i="23"/>
  <c r="I69" i="23"/>
  <c r="L69" i="23" s="1"/>
  <c r="H69" i="23"/>
  <c r="K69" i="23" s="1"/>
  <c r="G69" i="23"/>
  <c r="J69" i="23" s="1"/>
  <c r="E69" i="23"/>
  <c r="D69" i="23"/>
  <c r="C69" i="23"/>
  <c r="N68" i="23"/>
  <c r="N74" i="23" s="1"/>
  <c r="M68" i="23"/>
  <c r="I67" i="23"/>
  <c r="L67" i="23" s="1"/>
  <c r="H67" i="23"/>
  <c r="K67" i="23" s="1"/>
  <c r="G67" i="23"/>
  <c r="J67" i="23" s="1"/>
  <c r="E67" i="23"/>
  <c r="D67" i="23"/>
  <c r="C67" i="23"/>
  <c r="B66" i="23"/>
  <c r="C66" i="23" s="1"/>
  <c r="B65" i="23"/>
  <c r="I64" i="23"/>
  <c r="L64" i="23" s="1"/>
  <c r="H64" i="23"/>
  <c r="K64" i="23" s="1"/>
  <c r="G64" i="23"/>
  <c r="J64" i="23" s="1"/>
  <c r="E64" i="23"/>
  <c r="D64" i="23"/>
  <c r="C64" i="23"/>
  <c r="I63" i="23"/>
  <c r="L63" i="23" s="1"/>
  <c r="H63" i="23"/>
  <c r="K63" i="23" s="1"/>
  <c r="G63" i="23"/>
  <c r="J63" i="23" s="1"/>
  <c r="E63" i="23"/>
  <c r="D63" i="23"/>
  <c r="C63" i="23"/>
  <c r="I62" i="23"/>
  <c r="L62" i="23" s="1"/>
  <c r="H62" i="23"/>
  <c r="K62" i="23" s="1"/>
  <c r="G62" i="23"/>
  <c r="J62" i="23" s="1"/>
  <c r="E62" i="23"/>
  <c r="D62" i="23"/>
  <c r="C62" i="23"/>
  <c r="N61" i="23"/>
  <c r="M61" i="23"/>
  <c r="M67" i="23" s="1"/>
  <c r="B60" i="23"/>
  <c r="B59" i="23"/>
  <c r="N58" i="23"/>
  <c r="N60" i="23" s="1"/>
  <c r="M58" i="23"/>
  <c r="M59" i="23" s="1"/>
  <c r="I57" i="23"/>
  <c r="L57" i="23" s="1"/>
  <c r="H57" i="23"/>
  <c r="K57" i="23" s="1"/>
  <c r="G57" i="23"/>
  <c r="J57" i="23" s="1"/>
  <c r="E57" i="23"/>
  <c r="D57" i="23"/>
  <c r="C57" i="23"/>
  <c r="I56" i="23"/>
  <c r="L56" i="23" s="1"/>
  <c r="H56" i="23"/>
  <c r="K56" i="23" s="1"/>
  <c r="G56" i="23"/>
  <c r="J56" i="23" s="1"/>
  <c r="E56" i="23"/>
  <c r="D56" i="23"/>
  <c r="C56" i="23"/>
  <c r="I55" i="23"/>
  <c r="L55" i="23" s="1"/>
  <c r="H55" i="23"/>
  <c r="K55" i="23" s="1"/>
  <c r="G55" i="23"/>
  <c r="J55" i="23" s="1"/>
  <c r="E55" i="23"/>
  <c r="D55" i="23"/>
  <c r="C55" i="23"/>
  <c r="I54" i="23"/>
  <c r="L54" i="23" s="1"/>
  <c r="H54" i="23"/>
  <c r="K54" i="23" s="1"/>
  <c r="G54" i="23"/>
  <c r="J54" i="23" s="1"/>
  <c r="E54" i="23"/>
  <c r="D54" i="23"/>
  <c r="C54" i="23"/>
  <c r="N53" i="23"/>
  <c r="M53" i="23"/>
  <c r="M55" i="23" s="1"/>
  <c r="M52" i="23"/>
  <c r="I52" i="23"/>
  <c r="L52" i="23" s="1"/>
  <c r="H52" i="23"/>
  <c r="K52" i="23" s="1"/>
  <c r="G52" i="23"/>
  <c r="J52" i="23" s="1"/>
  <c r="E52" i="23"/>
  <c r="D52" i="23"/>
  <c r="C52" i="23"/>
  <c r="I51" i="23"/>
  <c r="L51" i="23" s="1"/>
  <c r="H51" i="23"/>
  <c r="K51" i="23" s="1"/>
  <c r="G51" i="23"/>
  <c r="J51" i="23" s="1"/>
  <c r="E51" i="23"/>
  <c r="D51" i="23"/>
  <c r="C51" i="23"/>
  <c r="I50" i="23"/>
  <c r="L50" i="23" s="1"/>
  <c r="H50" i="23"/>
  <c r="K50" i="23" s="1"/>
  <c r="G50" i="23"/>
  <c r="J50" i="23" s="1"/>
  <c r="E50" i="23"/>
  <c r="D50" i="23"/>
  <c r="C50" i="23"/>
  <c r="I49" i="23"/>
  <c r="L49" i="23" s="1"/>
  <c r="H49" i="23"/>
  <c r="K49" i="23" s="1"/>
  <c r="G49" i="23"/>
  <c r="J49" i="23" s="1"/>
  <c r="E49" i="23"/>
  <c r="D49" i="23"/>
  <c r="C49" i="23"/>
  <c r="N48" i="23"/>
  <c r="N52" i="23" s="1"/>
  <c r="M48" i="23"/>
  <c r="M47" i="23"/>
  <c r="I47" i="23"/>
  <c r="L47" i="23" s="1"/>
  <c r="H47" i="23"/>
  <c r="K47" i="23" s="1"/>
  <c r="G47" i="23"/>
  <c r="J47" i="23" s="1"/>
  <c r="E47" i="23"/>
  <c r="D47" i="23"/>
  <c r="C47" i="23"/>
  <c r="I46" i="23"/>
  <c r="L46" i="23" s="1"/>
  <c r="H46" i="23"/>
  <c r="K46" i="23" s="1"/>
  <c r="G46" i="23"/>
  <c r="J46" i="23" s="1"/>
  <c r="E46" i="23"/>
  <c r="D46" i="23"/>
  <c r="C46" i="23"/>
  <c r="I45" i="23"/>
  <c r="L45" i="23" s="1"/>
  <c r="H45" i="23"/>
  <c r="K45" i="23" s="1"/>
  <c r="G45" i="23"/>
  <c r="J45" i="23" s="1"/>
  <c r="E45" i="23"/>
  <c r="D45" i="23"/>
  <c r="C45" i="23"/>
  <c r="I44" i="23"/>
  <c r="L44" i="23" s="1"/>
  <c r="H44" i="23"/>
  <c r="K44" i="23" s="1"/>
  <c r="G44" i="23"/>
  <c r="J44" i="23" s="1"/>
  <c r="E44" i="23"/>
  <c r="D44" i="23"/>
  <c r="C44" i="23"/>
  <c r="N43" i="23"/>
  <c r="M43" i="23"/>
  <c r="M46" i="23" s="1"/>
  <c r="M42" i="23"/>
  <c r="I42" i="23"/>
  <c r="L42" i="23" s="1"/>
  <c r="H42" i="23"/>
  <c r="K42" i="23" s="1"/>
  <c r="G42" i="23"/>
  <c r="J42" i="23" s="1"/>
  <c r="E42" i="23"/>
  <c r="D42" i="23"/>
  <c r="C42" i="23"/>
  <c r="I41" i="23"/>
  <c r="L41" i="23" s="1"/>
  <c r="H41" i="23"/>
  <c r="K41" i="23" s="1"/>
  <c r="G41" i="23"/>
  <c r="J41" i="23" s="1"/>
  <c r="E41" i="23"/>
  <c r="D41" i="23"/>
  <c r="C41" i="23"/>
  <c r="I40" i="23"/>
  <c r="L40" i="23" s="1"/>
  <c r="H40" i="23"/>
  <c r="K40" i="23" s="1"/>
  <c r="G40" i="23"/>
  <c r="J40" i="23" s="1"/>
  <c r="E40" i="23"/>
  <c r="D40" i="23"/>
  <c r="C40" i="23"/>
  <c r="I39" i="23"/>
  <c r="L39" i="23" s="1"/>
  <c r="H39" i="23"/>
  <c r="K39" i="23" s="1"/>
  <c r="G39" i="23"/>
  <c r="J39" i="23" s="1"/>
  <c r="E39" i="23"/>
  <c r="D39" i="23"/>
  <c r="C39" i="23"/>
  <c r="N38" i="23"/>
  <c r="N42" i="23" s="1"/>
  <c r="M38" i="23"/>
  <c r="M39" i="23" s="1"/>
  <c r="I37" i="23"/>
  <c r="H37" i="23"/>
  <c r="G37" i="23"/>
  <c r="F37" i="23"/>
  <c r="M37" i="23" s="1"/>
  <c r="E37" i="23"/>
  <c r="D37" i="23"/>
  <c r="C37" i="23"/>
  <c r="I36" i="23"/>
  <c r="L36" i="23" s="1"/>
  <c r="H36" i="23"/>
  <c r="K36" i="23" s="1"/>
  <c r="G36" i="23"/>
  <c r="J36" i="23" s="1"/>
  <c r="E36" i="23"/>
  <c r="D36" i="23"/>
  <c r="C36" i="23"/>
  <c r="I35" i="23"/>
  <c r="L35" i="23" s="1"/>
  <c r="H35" i="23"/>
  <c r="K35" i="23" s="1"/>
  <c r="G35" i="23"/>
  <c r="J35" i="23" s="1"/>
  <c r="E35" i="23"/>
  <c r="D35" i="23"/>
  <c r="C35" i="23"/>
  <c r="I34" i="23"/>
  <c r="L34" i="23" s="1"/>
  <c r="H34" i="23"/>
  <c r="K34" i="23" s="1"/>
  <c r="G34" i="23"/>
  <c r="J34" i="23" s="1"/>
  <c r="E34" i="23"/>
  <c r="D34" i="23"/>
  <c r="C34" i="23"/>
  <c r="N33" i="23"/>
  <c r="M33" i="23"/>
  <c r="M35" i="23" s="1"/>
  <c r="I32" i="23"/>
  <c r="H32" i="23"/>
  <c r="G32" i="23"/>
  <c r="F32" i="23"/>
  <c r="M32" i="23" s="1"/>
  <c r="E32" i="23"/>
  <c r="D32" i="23"/>
  <c r="C32" i="23"/>
  <c r="I31" i="23"/>
  <c r="L31" i="23" s="1"/>
  <c r="H31" i="23"/>
  <c r="K31" i="23" s="1"/>
  <c r="G31" i="23"/>
  <c r="J31" i="23" s="1"/>
  <c r="E31" i="23"/>
  <c r="D31" i="23"/>
  <c r="C31" i="23"/>
  <c r="I30" i="23"/>
  <c r="L30" i="23" s="1"/>
  <c r="H30" i="23"/>
  <c r="K30" i="23" s="1"/>
  <c r="G30" i="23"/>
  <c r="J30" i="23" s="1"/>
  <c r="E30" i="23"/>
  <c r="D30" i="23"/>
  <c r="C30" i="23"/>
  <c r="I29" i="23"/>
  <c r="L29" i="23" s="1"/>
  <c r="H29" i="23"/>
  <c r="K29" i="23" s="1"/>
  <c r="G29" i="23"/>
  <c r="J29" i="23" s="1"/>
  <c r="E29" i="23"/>
  <c r="D29" i="23"/>
  <c r="C29" i="23"/>
  <c r="N28" i="23"/>
  <c r="M28" i="23"/>
  <c r="M31" i="23" s="1"/>
  <c r="M27" i="23"/>
  <c r="I27" i="23"/>
  <c r="L27" i="23" s="1"/>
  <c r="H27" i="23"/>
  <c r="K27" i="23" s="1"/>
  <c r="G27" i="23"/>
  <c r="J27" i="23" s="1"/>
  <c r="E27" i="23"/>
  <c r="D27" i="23"/>
  <c r="C27" i="23"/>
  <c r="I26" i="23"/>
  <c r="L26" i="23" s="1"/>
  <c r="H26" i="23"/>
  <c r="K26" i="23" s="1"/>
  <c r="G26" i="23"/>
  <c r="J26" i="23" s="1"/>
  <c r="E26" i="23"/>
  <c r="D26" i="23"/>
  <c r="C26" i="23"/>
  <c r="I25" i="23"/>
  <c r="L25" i="23" s="1"/>
  <c r="H25" i="23"/>
  <c r="K25" i="23" s="1"/>
  <c r="G25" i="23"/>
  <c r="J25" i="23" s="1"/>
  <c r="E25" i="23"/>
  <c r="D25" i="23"/>
  <c r="C25" i="23"/>
  <c r="I24" i="23"/>
  <c r="L24" i="23" s="1"/>
  <c r="H24" i="23"/>
  <c r="K24" i="23" s="1"/>
  <c r="G24" i="23"/>
  <c r="J24" i="23" s="1"/>
  <c r="E24" i="23"/>
  <c r="D24" i="23"/>
  <c r="C24" i="23"/>
  <c r="N23" i="23"/>
  <c r="N27" i="23" s="1"/>
  <c r="M23" i="23"/>
  <c r="M25" i="23" s="1"/>
  <c r="M22" i="23"/>
  <c r="I22" i="23"/>
  <c r="L22" i="23" s="1"/>
  <c r="H22" i="23"/>
  <c r="K22" i="23" s="1"/>
  <c r="G22" i="23"/>
  <c r="J22" i="23" s="1"/>
  <c r="E22" i="23"/>
  <c r="D22" i="23"/>
  <c r="C22" i="23"/>
  <c r="I21" i="23"/>
  <c r="L21" i="23" s="1"/>
  <c r="H21" i="23"/>
  <c r="K21" i="23" s="1"/>
  <c r="G21" i="23"/>
  <c r="J21" i="23" s="1"/>
  <c r="E21" i="23"/>
  <c r="D21" i="23"/>
  <c r="C21" i="23"/>
  <c r="M20" i="23"/>
  <c r="I20" i="23"/>
  <c r="L20" i="23" s="1"/>
  <c r="H20" i="23"/>
  <c r="K20" i="23" s="1"/>
  <c r="G20" i="23"/>
  <c r="J20" i="23" s="1"/>
  <c r="E20" i="23"/>
  <c r="D20" i="23"/>
  <c r="C20" i="23"/>
  <c r="I19" i="23"/>
  <c r="L19" i="23" s="1"/>
  <c r="H19" i="23"/>
  <c r="K19" i="23" s="1"/>
  <c r="G19" i="23"/>
  <c r="J19" i="23" s="1"/>
  <c r="E19" i="23"/>
  <c r="D19" i="23"/>
  <c r="C19" i="23"/>
  <c r="N18" i="23"/>
  <c r="N22" i="23" s="1"/>
  <c r="M18" i="23"/>
  <c r="M19" i="23" s="1"/>
  <c r="I17" i="23"/>
  <c r="L17" i="23" s="1"/>
  <c r="H17" i="23"/>
  <c r="K17" i="23" s="1"/>
  <c r="G17" i="23"/>
  <c r="J17" i="23" s="1"/>
  <c r="E17" i="23"/>
  <c r="D17" i="23"/>
  <c r="C17" i="23"/>
  <c r="I16" i="23"/>
  <c r="L16" i="23" s="1"/>
  <c r="H16" i="23"/>
  <c r="K16" i="23" s="1"/>
  <c r="G16" i="23"/>
  <c r="J16" i="23" s="1"/>
  <c r="E16" i="23"/>
  <c r="D16" i="23"/>
  <c r="C16" i="23"/>
  <c r="I15" i="23"/>
  <c r="L15" i="23" s="1"/>
  <c r="H15" i="23"/>
  <c r="K15" i="23" s="1"/>
  <c r="G15" i="23"/>
  <c r="J15" i="23" s="1"/>
  <c r="E15" i="23"/>
  <c r="D15" i="23"/>
  <c r="C15" i="23"/>
  <c r="I14" i="23"/>
  <c r="L14" i="23" s="1"/>
  <c r="H14" i="23"/>
  <c r="K14" i="23" s="1"/>
  <c r="G14" i="23"/>
  <c r="J14" i="23" s="1"/>
  <c r="E14" i="23"/>
  <c r="D14" i="23"/>
  <c r="C14" i="23"/>
  <c r="N13" i="23"/>
  <c r="M13" i="23"/>
  <c r="M17" i="23" s="1"/>
  <c r="I12" i="23"/>
  <c r="L12" i="23" s="1"/>
  <c r="H12" i="23"/>
  <c r="K12" i="23" s="1"/>
  <c r="G12" i="23"/>
  <c r="J12" i="23" s="1"/>
  <c r="E12" i="23"/>
  <c r="D12" i="23"/>
  <c r="C12" i="23"/>
  <c r="I11" i="23"/>
  <c r="L11" i="23" s="1"/>
  <c r="H11" i="23"/>
  <c r="K11" i="23" s="1"/>
  <c r="G11" i="23"/>
  <c r="J11" i="23" s="1"/>
  <c r="E11" i="23"/>
  <c r="D11" i="23"/>
  <c r="C11" i="23"/>
  <c r="I10" i="23"/>
  <c r="L10" i="23" s="1"/>
  <c r="H10" i="23"/>
  <c r="K10" i="23" s="1"/>
  <c r="G10" i="23"/>
  <c r="J10" i="23" s="1"/>
  <c r="E10" i="23"/>
  <c r="D10" i="23"/>
  <c r="C10" i="23"/>
  <c r="I9" i="23"/>
  <c r="L9" i="23" s="1"/>
  <c r="H9" i="23"/>
  <c r="K9" i="23" s="1"/>
  <c r="G9" i="23"/>
  <c r="J9" i="23" s="1"/>
  <c r="E9" i="23"/>
  <c r="D9" i="23"/>
  <c r="C9" i="23"/>
  <c r="N8" i="23"/>
  <c r="N12" i="23" s="1"/>
  <c r="M8" i="23"/>
  <c r="M11" i="23" s="1"/>
  <c r="C184" i="29"/>
  <c r="K183" i="29"/>
  <c r="Q183" i="29" s="1"/>
  <c r="C183" i="29"/>
  <c r="K182" i="29"/>
  <c r="Q182" i="29" s="1"/>
  <c r="C182" i="29"/>
  <c r="K181" i="29"/>
  <c r="Q181" i="29" s="1"/>
  <c r="R181" i="29" s="1"/>
  <c r="K180" i="29"/>
  <c r="Q180" i="29" s="1"/>
  <c r="R180" i="29" s="1"/>
  <c r="C180" i="29"/>
  <c r="K179" i="29"/>
  <c r="Q179" i="29" s="1"/>
  <c r="R179" i="29" s="1"/>
  <c r="C179" i="29"/>
  <c r="K178" i="29"/>
  <c r="Q178" i="29" s="1"/>
  <c r="C178" i="29"/>
  <c r="K177" i="29"/>
  <c r="Q177" i="29" s="1"/>
  <c r="R177" i="29" s="1"/>
  <c r="C177" i="29"/>
  <c r="R148" i="29"/>
  <c r="K148" i="29"/>
  <c r="Q148" i="29" s="1"/>
  <c r="C148" i="29"/>
  <c r="R147" i="29"/>
  <c r="K147" i="29"/>
  <c r="Q147" i="29" s="1"/>
  <c r="R146" i="29"/>
  <c r="K146" i="29"/>
  <c r="Q146" i="29" s="1"/>
  <c r="R145" i="29"/>
  <c r="K145" i="29"/>
  <c r="Q145" i="29" s="1"/>
  <c r="R144" i="29"/>
  <c r="K144" i="29"/>
  <c r="Q144" i="29" s="1"/>
  <c r="R143" i="29"/>
  <c r="K143" i="29"/>
  <c r="Q143" i="29" s="1"/>
  <c r="C143" i="29"/>
  <c r="R142" i="29"/>
  <c r="K142" i="29"/>
  <c r="Q142" i="29" s="1"/>
  <c r="C142" i="29"/>
  <c r="R141" i="29"/>
  <c r="K141" i="29"/>
  <c r="I141" i="29"/>
  <c r="M141" i="29" s="1"/>
  <c r="P141" i="29" s="1"/>
  <c r="C141" i="29"/>
  <c r="R140" i="29"/>
  <c r="K140" i="29"/>
  <c r="Q140" i="29" s="1"/>
  <c r="C140" i="29"/>
  <c r="R139" i="29"/>
  <c r="K139" i="29"/>
  <c r="Q139" i="29" s="1"/>
  <c r="C139" i="29"/>
  <c r="R138" i="29"/>
  <c r="K138" i="29"/>
  <c r="Q138" i="29" s="1"/>
  <c r="C138" i="29"/>
  <c r="R137" i="29"/>
  <c r="K137" i="29"/>
  <c r="Q137" i="29" s="1"/>
  <c r="C137" i="29"/>
  <c r="R136" i="29"/>
  <c r="K136" i="29"/>
  <c r="Q136" i="29" s="1"/>
  <c r="C136" i="29"/>
  <c r="R135" i="29"/>
  <c r="K135" i="29"/>
  <c r="Q135" i="29" s="1"/>
  <c r="C135" i="29"/>
  <c r="R134" i="29"/>
  <c r="K134" i="29"/>
  <c r="Q134" i="29" s="1"/>
  <c r="C134" i="29"/>
  <c r="R133" i="29"/>
  <c r="K133" i="29"/>
  <c r="Q133" i="29" s="1"/>
  <c r="C133" i="29"/>
  <c r="R132" i="29"/>
  <c r="K132" i="29"/>
  <c r="Q132" i="29" s="1"/>
  <c r="C132" i="29"/>
  <c r="R131" i="29"/>
  <c r="K131" i="29"/>
  <c r="Q131" i="29" s="1"/>
  <c r="C131" i="29"/>
  <c r="R130" i="29"/>
  <c r="K130" i="29"/>
  <c r="Q130" i="29" s="1"/>
  <c r="C130" i="29"/>
  <c r="R129" i="29"/>
  <c r="K129" i="29"/>
  <c r="Q129" i="29" s="1"/>
  <c r="C129" i="29"/>
  <c r="R128" i="29"/>
  <c r="K128" i="29"/>
  <c r="I128" i="29"/>
  <c r="M128" i="29" s="1"/>
  <c r="C128" i="29"/>
  <c r="R127" i="29"/>
  <c r="K127" i="29"/>
  <c r="Q127" i="29" s="1"/>
  <c r="C127" i="29"/>
  <c r="R126" i="29"/>
  <c r="K126" i="29"/>
  <c r="Q126" i="29" s="1"/>
  <c r="C126" i="29"/>
  <c r="R125" i="29"/>
  <c r="K125" i="29"/>
  <c r="C125" i="29"/>
  <c r="R124" i="29"/>
  <c r="K124" i="29"/>
  <c r="C124" i="29"/>
  <c r="R123" i="29"/>
  <c r="K123" i="29"/>
  <c r="C123" i="29"/>
  <c r="R122" i="29"/>
  <c r="K122" i="29"/>
  <c r="C122" i="29"/>
  <c r="R121" i="29"/>
  <c r="K121" i="29"/>
  <c r="C121" i="29"/>
  <c r="R120" i="29"/>
  <c r="K120" i="29"/>
  <c r="C120" i="29"/>
  <c r="R119" i="29"/>
  <c r="K119" i="29"/>
  <c r="C119" i="29"/>
  <c r="R118" i="29"/>
  <c r="N118" i="29"/>
  <c r="K118" i="29"/>
  <c r="C118" i="29"/>
  <c r="I90" i="29"/>
  <c r="I89" i="29"/>
  <c r="G6" i="29"/>
  <c r="C52" i="29" s="1"/>
  <c r="D352" i="20"/>
  <c r="C352" i="20"/>
  <c r="D351" i="20"/>
  <c r="C351" i="20"/>
  <c r="D350" i="20"/>
  <c r="C350" i="20"/>
  <c r="D349" i="20"/>
  <c r="C349" i="20"/>
  <c r="D348" i="20"/>
  <c r="C348" i="20"/>
  <c r="D347" i="20"/>
  <c r="C347" i="20"/>
  <c r="D346" i="20"/>
  <c r="C346" i="20"/>
  <c r="D345" i="20"/>
  <c r="C345" i="20"/>
  <c r="D344" i="20"/>
  <c r="C344" i="20"/>
  <c r="D343" i="20"/>
  <c r="C343" i="20"/>
  <c r="D342" i="20"/>
  <c r="C342" i="20"/>
  <c r="D341" i="20"/>
  <c r="C341" i="20"/>
  <c r="D340" i="20"/>
  <c r="C340" i="20"/>
  <c r="D339" i="20"/>
  <c r="C339" i="20"/>
  <c r="D338" i="20"/>
  <c r="C338" i="20"/>
  <c r="D337" i="20"/>
  <c r="C337" i="20"/>
  <c r="D336" i="20"/>
  <c r="C336" i="20"/>
  <c r="D335" i="20"/>
  <c r="C335" i="20"/>
  <c r="D334" i="20"/>
  <c r="C334" i="20"/>
  <c r="D333" i="20"/>
  <c r="C333" i="20"/>
  <c r="D332" i="20"/>
  <c r="C332" i="20"/>
  <c r="D331" i="20"/>
  <c r="C331" i="20"/>
  <c r="D330" i="20"/>
  <c r="C330" i="20"/>
  <c r="D329" i="20"/>
  <c r="C329" i="20"/>
  <c r="D328" i="20"/>
  <c r="C328" i="20"/>
  <c r="D327" i="20"/>
  <c r="C327" i="20"/>
  <c r="D326" i="20"/>
  <c r="C326" i="20"/>
  <c r="D325" i="20"/>
  <c r="C325" i="20"/>
  <c r="D324" i="20"/>
  <c r="C324" i="20"/>
  <c r="D323" i="20"/>
  <c r="C323" i="20"/>
  <c r="D322" i="20"/>
  <c r="C322" i="20"/>
  <c r="D321" i="20"/>
  <c r="C321" i="20"/>
  <c r="D320" i="20"/>
  <c r="C320" i="20"/>
  <c r="D319" i="20"/>
  <c r="C319" i="20"/>
  <c r="D318" i="20"/>
  <c r="C318" i="20"/>
  <c r="D317" i="20"/>
  <c r="C317" i="20"/>
  <c r="D316" i="20"/>
  <c r="C316" i="20"/>
  <c r="D315" i="20"/>
  <c r="C315" i="20"/>
  <c r="D314" i="20"/>
  <c r="C314" i="20"/>
  <c r="D313" i="20"/>
  <c r="C313" i="20"/>
  <c r="D312" i="20"/>
  <c r="C312" i="20"/>
  <c r="D311" i="20"/>
  <c r="C311" i="20"/>
  <c r="D310" i="20"/>
  <c r="C310" i="20"/>
  <c r="D309" i="20"/>
  <c r="C309" i="20"/>
  <c r="D308" i="20"/>
  <c r="C308" i="20"/>
  <c r="D307" i="20"/>
  <c r="C307" i="20"/>
  <c r="D306" i="20"/>
  <c r="C306" i="20"/>
  <c r="D305" i="20"/>
  <c r="C305" i="20"/>
  <c r="D304" i="20"/>
  <c r="C304" i="20"/>
  <c r="D303" i="20"/>
  <c r="C303" i="20"/>
  <c r="D302" i="20"/>
  <c r="C302" i="20"/>
  <c r="D301" i="20"/>
  <c r="C301" i="20"/>
  <c r="D300" i="20"/>
  <c r="C300" i="20"/>
  <c r="D299" i="20"/>
  <c r="C299" i="20"/>
  <c r="D298" i="20"/>
  <c r="C298" i="20"/>
  <c r="D297" i="20"/>
  <c r="C297" i="20"/>
  <c r="D296" i="20"/>
  <c r="C296" i="20"/>
  <c r="D295" i="20"/>
  <c r="C295" i="20"/>
  <c r="D294" i="20"/>
  <c r="C294" i="20"/>
  <c r="D293" i="20"/>
  <c r="C293" i="20"/>
  <c r="D292" i="20"/>
  <c r="C292" i="20"/>
  <c r="D291" i="20"/>
  <c r="C291" i="20"/>
  <c r="D290" i="20"/>
  <c r="C290" i="20"/>
  <c r="D289" i="20"/>
  <c r="C289" i="20"/>
  <c r="D288" i="20"/>
  <c r="C288" i="20"/>
  <c r="D287" i="20"/>
  <c r="C287" i="20"/>
  <c r="D286" i="20"/>
  <c r="C286" i="20"/>
  <c r="D285" i="20"/>
  <c r="C285" i="20"/>
  <c r="D284" i="20"/>
  <c r="C284" i="20"/>
  <c r="D283" i="20"/>
  <c r="C283" i="20"/>
  <c r="D282" i="20"/>
  <c r="C282" i="20"/>
  <c r="D281" i="20"/>
  <c r="C281" i="20"/>
  <c r="D280" i="20"/>
  <c r="C280" i="20"/>
  <c r="D279" i="20"/>
  <c r="C279" i="20"/>
  <c r="D278" i="20"/>
  <c r="C278" i="20"/>
  <c r="D277" i="20"/>
  <c r="C277" i="20"/>
  <c r="D276" i="20"/>
  <c r="C276" i="20"/>
  <c r="D275" i="20"/>
  <c r="C275" i="20"/>
  <c r="D274" i="20"/>
  <c r="C274" i="20"/>
  <c r="D273" i="20"/>
  <c r="C273" i="20"/>
  <c r="D272" i="20"/>
  <c r="C272" i="20"/>
  <c r="D271" i="20"/>
  <c r="C271" i="20"/>
  <c r="D270" i="20"/>
  <c r="C270" i="20"/>
  <c r="D269" i="20"/>
  <c r="C269" i="20"/>
  <c r="D268" i="20"/>
  <c r="C268" i="20"/>
  <c r="D267" i="20"/>
  <c r="C267" i="20"/>
  <c r="D266" i="20"/>
  <c r="C266" i="20"/>
  <c r="D265" i="20"/>
  <c r="C265" i="20"/>
  <c r="D264" i="20"/>
  <c r="C264" i="20"/>
  <c r="D263" i="20"/>
  <c r="C263" i="20"/>
  <c r="D262" i="20"/>
  <c r="C262" i="20"/>
  <c r="D261" i="20"/>
  <c r="C261" i="20"/>
  <c r="D260" i="20"/>
  <c r="C260" i="20"/>
  <c r="D259" i="20"/>
  <c r="C259" i="20"/>
  <c r="D258" i="20"/>
  <c r="C258" i="20"/>
  <c r="D257" i="20"/>
  <c r="C257" i="20"/>
  <c r="D256" i="20"/>
  <c r="D255" i="20"/>
  <c r="C255" i="20"/>
  <c r="D254" i="20"/>
  <c r="C254" i="20"/>
  <c r="D253" i="20"/>
  <c r="C253" i="20"/>
  <c r="D252" i="20"/>
  <c r="C252" i="20"/>
  <c r="D251" i="20"/>
  <c r="C251" i="20"/>
  <c r="D250" i="20"/>
  <c r="C250" i="20"/>
  <c r="D249" i="20"/>
  <c r="C249" i="20"/>
  <c r="D248" i="20"/>
  <c r="C248" i="20"/>
  <c r="D247" i="20"/>
  <c r="C247" i="20"/>
  <c r="D246" i="20"/>
  <c r="C246" i="20"/>
  <c r="D245" i="20"/>
  <c r="C245" i="20"/>
  <c r="D244" i="20"/>
  <c r="C244" i="20"/>
  <c r="D243" i="20"/>
  <c r="C243" i="20"/>
  <c r="D242" i="20"/>
  <c r="C242" i="20"/>
  <c r="D241" i="20"/>
  <c r="C241" i="20"/>
  <c r="D240" i="20"/>
  <c r="C240" i="20"/>
  <c r="D239" i="20"/>
  <c r="C239" i="20"/>
  <c r="D238" i="20"/>
  <c r="C238" i="20"/>
  <c r="D237" i="20"/>
  <c r="C237" i="20"/>
  <c r="D236" i="20"/>
  <c r="C236" i="20"/>
  <c r="D235" i="20"/>
  <c r="C235" i="20"/>
  <c r="D234" i="20"/>
  <c r="C234" i="20"/>
  <c r="D233" i="20"/>
  <c r="C233" i="20"/>
  <c r="D232" i="20"/>
  <c r="C232" i="20"/>
  <c r="D231" i="20"/>
  <c r="C231" i="20"/>
  <c r="D230" i="20"/>
  <c r="C230" i="20"/>
  <c r="D229" i="20"/>
  <c r="C229" i="20"/>
  <c r="D228" i="20"/>
  <c r="C228" i="20"/>
  <c r="D227" i="20"/>
  <c r="C227" i="20"/>
  <c r="D226" i="20"/>
  <c r="C226" i="20"/>
  <c r="D225" i="20"/>
  <c r="C225" i="20"/>
  <c r="D224" i="20"/>
  <c r="C224" i="20"/>
  <c r="D223" i="20"/>
  <c r="C223" i="20"/>
  <c r="D222" i="20"/>
  <c r="C222" i="20"/>
  <c r="D221" i="20"/>
  <c r="C221" i="20"/>
  <c r="D220" i="20"/>
  <c r="C220" i="20"/>
  <c r="D219" i="20"/>
  <c r="C219" i="20"/>
  <c r="D218" i="20"/>
  <c r="C218" i="20"/>
  <c r="D217" i="20"/>
  <c r="C217" i="20"/>
  <c r="D213" i="20"/>
  <c r="C213" i="20"/>
  <c r="D212" i="20"/>
  <c r="C212" i="20"/>
  <c r="D211" i="20"/>
  <c r="C211" i="20"/>
  <c r="D210" i="20"/>
  <c r="C210" i="20"/>
  <c r="D209" i="20"/>
  <c r="C209" i="20"/>
  <c r="D208" i="20"/>
  <c r="C208" i="20"/>
  <c r="D207" i="20"/>
  <c r="C207" i="20"/>
  <c r="D206" i="20"/>
  <c r="C206" i="20"/>
  <c r="D205" i="20"/>
  <c r="C205" i="20"/>
  <c r="D204" i="20"/>
  <c r="C204" i="20"/>
  <c r="D203" i="20"/>
  <c r="C203" i="20"/>
  <c r="D202" i="20"/>
  <c r="C202" i="20"/>
  <c r="D201" i="20"/>
  <c r="C201" i="20"/>
  <c r="D200" i="20"/>
  <c r="C200" i="20"/>
  <c r="D199" i="20"/>
  <c r="C199" i="20"/>
  <c r="D198" i="20"/>
  <c r="C198" i="20"/>
  <c r="D197" i="20"/>
  <c r="C197" i="20"/>
  <c r="D196" i="20"/>
  <c r="C196" i="20"/>
  <c r="D195" i="20"/>
  <c r="C195" i="20"/>
  <c r="D194" i="20"/>
  <c r="C194" i="20"/>
  <c r="D193" i="20"/>
  <c r="C193" i="20"/>
  <c r="D192" i="20"/>
  <c r="C192" i="20"/>
  <c r="D191" i="20"/>
  <c r="C191" i="20"/>
  <c r="D190" i="20"/>
  <c r="C190" i="20"/>
  <c r="D189" i="20"/>
  <c r="C189" i="20"/>
  <c r="D188" i="20"/>
  <c r="C188" i="20"/>
  <c r="D187" i="20"/>
  <c r="C187" i="20"/>
  <c r="D186" i="20"/>
  <c r="C186" i="20"/>
  <c r="D185" i="20"/>
  <c r="C185" i="20"/>
  <c r="D184" i="20"/>
  <c r="C184" i="20"/>
  <c r="D183" i="20"/>
  <c r="C183" i="20"/>
  <c r="D182" i="20"/>
  <c r="C182" i="20"/>
  <c r="D181" i="20"/>
  <c r="C181" i="20"/>
  <c r="D180" i="20"/>
  <c r="C180" i="20"/>
  <c r="D179" i="20"/>
  <c r="C179" i="20"/>
  <c r="D178" i="20"/>
  <c r="C178" i="20"/>
  <c r="D177" i="20"/>
  <c r="C177" i="20"/>
  <c r="D176" i="20"/>
  <c r="C176" i="20"/>
  <c r="D175" i="20"/>
  <c r="C175" i="20"/>
  <c r="D174" i="20"/>
  <c r="C174" i="20"/>
  <c r="D173" i="20"/>
  <c r="C173" i="20"/>
  <c r="D172" i="20"/>
  <c r="C172" i="20"/>
  <c r="D171" i="20"/>
  <c r="C171" i="20"/>
  <c r="D170" i="20"/>
  <c r="C170" i="20"/>
  <c r="D169" i="20"/>
  <c r="C169" i="20"/>
  <c r="D168" i="20"/>
  <c r="C168" i="20"/>
  <c r="D167" i="20"/>
  <c r="C167" i="20"/>
  <c r="D166" i="20"/>
  <c r="C166" i="20"/>
  <c r="D165" i="20"/>
  <c r="C165" i="20"/>
  <c r="D164" i="20"/>
  <c r="C164" i="20"/>
  <c r="D163" i="20"/>
  <c r="C163" i="20"/>
  <c r="D162" i="20"/>
  <c r="C162" i="20"/>
  <c r="D161" i="20"/>
  <c r="C161" i="20"/>
  <c r="D160" i="20"/>
  <c r="C160" i="20"/>
  <c r="D159" i="20"/>
  <c r="C159" i="20"/>
  <c r="D158" i="20"/>
  <c r="C158" i="20"/>
  <c r="D157" i="20"/>
  <c r="C157" i="20"/>
  <c r="D156" i="20"/>
  <c r="C156" i="20"/>
  <c r="D155" i="20"/>
  <c r="C155" i="20"/>
  <c r="D154" i="20"/>
  <c r="C154" i="20"/>
  <c r="D153" i="20"/>
  <c r="C153" i="20"/>
  <c r="D149" i="20"/>
  <c r="C149" i="20"/>
  <c r="D148" i="20"/>
  <c r="C148" i="20"/>
  <c r="D147" i="20"/>
  <c r="C147" i="20"/>
  <c r="D146" i="20"/>
  <c r="C146" i="20"/>
  <c r="D145" i="20"/>
  <c r="C145" i="20"/>
  <c r="D144" i="20"/>
  <c r="C144" i="20"/>
  <c r="D143" i="20"/>
  <c r="C143" i="20"/>
  <c r="D142" i="20"/>
  <c r="C142" i="20"/>
  <c r="D141" i="20"/>
  <c r="C141" i="20"/>
  <c r="D140" i="20"/>
  <c r="C140" i="20"/>
  <c r="D139" i="20"/>
  <c r="C139" i="20"/>
  <c r="D138" i="20"/>
  <c r="C138" i="20"/>
  <c r="D137" i="20"/>
  <c r="C137" i="20"/>
  <c r="D136" i="20"/>
  <c r="C136" i="20"/>
  <c r="D135" i="20"/>
  <c r="C135" i="20"/>
  <c r="D134" i="20"/>
  <c r="C134" i="20"/>
  <c r="D129" i="20"/>
  <c r="C129" i="20"/>
  <c r="D128" i="20"/>
  <c r="C128" i="20"/>
  <c r="D127" i="20"/>
  <c r="C127" i="20"/>
  <c r="D126" i="20"/>
  <c r="C126" i="20"/>
  <c r="D125" i="20"/>
  <c r="C125" i="20"/>
  <c r="D124" i="20"/>
  <c r="C124" i="20"/>
  <c r="D123" i="20"/>
  <c r="C123" i="20"/>
  <c r="D122" i="20"/>
  <c r="C122" i="20"/>
  <c r="D121" i="20"/>
  <c r="C121" i="20"/>
  <c r="D120" i="20"/>
  <c r="C120" i="20"/>
  <c r="D75" i="20"/>
  <c r="C75" i="20"/>
  <c r="D58" i="20"/>
  <c r="C58" i="20"/>
  <c r="D57" i="20"/>
  <c r="C57" i="20"/>
  <c r="D56" i="20"/>
  <c r="C56" i="20"/>
  <c r="D55" i="20"/>
  <c r="C55" i="20"/>
  <c r="D54" i="20"/>
  <c r="C54" i="20"/>
  <c r="D53" i="20"/>
  <c r="C53" i="20"/>
  <c r="D52" i="20"/>
  <c r="C52" i="20"/>
  <c r="D51" i="20"/>
  <c r="C51" i="20"/>
  <c r="D50" i="20"/>
  <c r="C50" i="20"/>
  <c r="D49" i="20"/>
  <c r="C49" i="20"/>
  <c r="D48" i="20"/>
  <c r="C48" i="20"/>
  <c r="D47" i="20"/>
  <c r="C47" i="20"/>
  <c r="D46" i="20"/>
  <c r="C46" i="20"/>
  <c r="D45" i="20"/>
  <c r="C45" i="20"/>
  <c r="D44" i="20"/>
  <c r="C44" i="20"/>
  <c r="D43" i="20"/>
  <c r="C43" i="20"/>
  <c r="D42" i="20"/>
  <c r="C42" i="20"/>
  <c r="D41" i="20"/>
  <c r="C41" i="20"/>
  <c r="D40" i="20"/>
  <c r="C40" i="20"/>
  <c r="D39" i="20"/>
  <c r="C39" i="20"/>
  <c r="D38" i="20"/>
  <c r="C38" i="20"/>
  <c r="D37" i="20"/>
  <c r="C37" i="20"/>
  <c r="D36" i="20"/>
  <c r="C36" i="20"/>
  <c r="D35" i="20"/>
  <c r="C35" i="20"/>
  <c r="D34" i="20"/>
  <c r="C34" i="20"/>
  <c r="D33" i="20"/>
  <c r="C33" i="20"/>
  <c r="D32" i="20"/>
  <c r="C32" i="20"/>
  <c r="D31" i="20"/>
  <c r="C31" i="20"/>
  <c r="D30" i="20"/>
  <c r="C30" i="20"/>
  <c r="D29" i="20"/>
  <c r="C29" i="20"/>
  <c r="D28" i="20"/>
  <c r="C28" i="20"/>
  <c r="D27" i="20"/>
  <c r="C27" i="20"/>
  <c r="D26" i="20"/>
  <c r="C26" i="20"/>
  <c r="D25" i="20"/>
  <c r="C25" i="20"/>
  <c r="D24" i="20"/>
  <c r="C24" i="20"/>
  <c r="D23" i="20"/>
  <c r="C23" i="20"/>
  <c r="D22" i="20"/>
  <c r="C22" i="20"/>
  <c r="D21" i="20"/>
  <c r="C21" i="20"/>
  <c r="D20" i="20"/>
  <c r="C20" i="20"/>
  <c r="D19" i="20"/>
  <c r="C19" i="20"/>
  <c r="D18" i="20"/>
  <c r="C18" i="20"/>
  <c r="D17" i="20"/>
  <c r="C17" i="20"/>
  <c r="D16" i="20"/>
  <c r="C16" i="20"/>
  <c r="D15" i="20"/>
  <c r="C15" i="20"/>
  <c r="D14" i="20"/>
  <c r="C14" i="20"/>
  <c r="D13" i="20"/>
  <c r="C13" i="20"/>
  <c r="D12" i="20"/>
  <c r="C12" i="20"/>
  <c r="D11" i="20"/>
  <c r="C11" i="20"/>
  <c r="D10" i="20"/>
  <c r="C10" i="20"/>
  <c r="D9" i="20"/>
  <c r="C9" i="20"/>
  <c r="D8" i="20"/>
  <c r="C8" i="20"/>
  <c r="D7" i="20"/>
  <c r="C7" i="20"/>
  <c r="D6" i="20"/>
  <c r="C6" i="20"/>
  <c r="K161" i="2" l="1"/>
  <c r="H9" i="7" s="1"/>
  <c r="K9" i="7" s="1"/>
  <c r="M9" i="7" s="1"/>
  <c r="E12" i="15"/>
  <c r="E5" i="15" s="1"/>
  <c r="E14" i="15" s="1"/>
  <c r="E15" i="15" s="1"/>
  <c r="E16" i="15" s="1"/>
  <c r="D24" i="37" s="1"/>
  <c r="F24" i="37" s="1"/>
  <c r="G24" i="37" s="1"/>
  <c r="H24" i="37" s="1"/>
  <c r="K390" i="11"/>
  <c r="G9" i="15"/>
  <c r="G8" i="15" s="1"/>
  <c r="G12" i="15" s="1"/>
  <c r="G5" i="15" s="1"/>
  <c r="R72" i="19"/>
  <c r="Q188" i="19"/>
  <c r="G11" i="38" s="1"/>
  <c r="H489" i="2"/>
  <c r="K489" i="2" s="1"/>
  <c r="K487" i="2" s="1"/>
  <c r="H523" i="2"/>
  <c r="K523" i="2" s="1"/>
  <c r="K521" i="2" s="1"/>
  <c r="H447" i="2"/>
  <c r="K447" i="2" s="1"/>
  <c r="K445" i="2" s="1"/>
  <c r="H439" i="2"/>
  <c r="K439" i="2" s="1"/>
  <c r="K437" i="2" s="1"/>
  <c r="H530" i="2"/>
  <c r="K530" i="2" s="1"/>
  <c r="K528" i="2" s="1"/>
  <c r="H480" i="2"/>
  <c r="K480" i="2" s="1"/>
  <c r="K478" i="2" s="1"/>
  <c r="H471" i="2"/>
  <c r="K471" i="2" s="1"/>
  <c r="K469" i="2" s="1"/>
  <c r="I201" i="11"/>
  <c r="L201" i="11" s="1"/>
  <c r="I211" i="11"/>
  <c r="L211" i="11" s="1"/>
  <c r="G9" i="16"/>
  <c r="G8" i="16" s="1"/>
  <c r="L27" i="12"/>
  <c r="E9" i="16"/>
  <c r="E8" i="16" s="1"/>
  <c r="L65" i="12"/>
  <c r="E10" i="8"/>
  <c r="R186" i="19"/>
  <c r="C15" i="14"/>
  <c r="B15" i="14"/>
  <c r="N16" i="31"/>
  <c r="C26" i="26" s="1"/>
  <c r="F845" i="23"/>
  <c r="F846" i="23"/>
  <c r="N846" i="23" s="1"/>
  <c r="F849" i="23"/>
  <c r="N849" i="23" s="1"/>
  <c r="M836" i="23"/>
  <c r="N860" i="23"/>
  <c r="N852" i="23"/>
  <c r="N857" i="23"/>
  <c r="N853" i="23"/>
  <c r="N847" i="23"/>
  <c r="N848" i="23"/>
  <c r="N851" i="23"/>
  <c r="N858" i="23"/>
  <c r="N854" i="23"/>
  <c r="N859" i="23"/>
  <c r="N845" i="23"/>
  <c r="N850" i="23"/>
  <c r="N861" i="23"/>
  <c r="E389" i="4"/>
  <c r="N79" i="34"/>
  <c r="C49" i="29"/>
  <c r="C59" i="29"/>
  <c r="C106" i="29"/>
  <c r="C45" i="29"/>
  <c r="C60" i="29"/>
  <c r="C53" i="29"/>
  <c r="I201" i="22"/>
  <c r="L201" i="22" s="1"/>
  <c r="I211" i="22"/>
  <c r="L211" i="22" s="1"/>
  <c r="C30" i="29"/>
  <c r="C55" i="29"/>
  <c r="G347" i="22"/>
  <c r="B13" i="22"/>
  <c r="B2" i="22"/>
  <c r="G11" i="22"/>
  <c r="M433" i="23"/>
  <c r="M432" i="23"/>
  <c r="N436" i="23"/>
  <c r="N433" i="23"/>
  <c r="N432" i="23"/>
  <c r="M411" i="23"/>
  <c r="M412" i="23"/>
  <c r="M413" i="23"/>
  <c r="M415" i="23"/>
  <c r="M416" i="23"/>
  <c r="M417" i="23"/>
  <c r="N416" i="23"/>
  <c r="N413" i="23"/>
  <c r="N406" i="23"/>
  <c r="M403" i="23"/>
  <c r="M406" i="23"/>
  <c r="N408" i="23"/>
  <c r="N403" i="23"/>
  <c r="H65" i="22"/>
  <c r="D233" i="4"/>
  <c r="E233" i="4"/>
  <c r="D22" i="6"/>
  <c r="D23" i="6" s="1"/>
  <c r="C21" i="29"/>
  <c r="C23" i="29"/>
  <c r="C58" i="29"/>
  <c r="C20" i="29"/>
  <c r="G68" i="22"/>
  <c r="M68" i="22" s="1"/>
  <c r="G67" i="22"/>
  <c r="K67" i="22" s="1"/>
  <c r="G66" i="22"/>
  <c r="G65" i="22"/>
  <c r="O65" i="22" s="1"/>
  <c r="G69" i="22"/>
  <c r="O69" i="22" s="1"/>
  <c r="G64" i="22"/>
  <c r="O6" i="22"/>
  <c r="G51" i="22"/>
  <c r="G22" i="22"/>
  <c r="M410" i="23"/>
  <c r="M430" i="23"/>
  <c r="M431" i="23"/>
  <c r="M434" i="23"/>
  <c r="M435" i="23"/>
  <c r="M436" i="23"/>
  <c r="M429" i="23"/>
  <c r="O231" i="22"/>
  <c r="M229" i="22"/>
  <c r="O222" i="22"/>
  <c r="K224" i="22"/>
  <c r="M774" i="23"/>
  <c r="M776" i="23"/>
  <c r="M775" i="23"/>
  <c r="M773" i="23"/>
  <c r="M772" i="23"/>
  <c r="F935" i="23"/>
  <c r="L935" i="23" s="1"/>
  <c r="F922" i="23"/>
  <c r="N922" i="23" s="1"/>
  <c r="F923" i="23"/>
  <c r="N923" i="23" s="1"/>
  <c r="F866" i="23"/>
  <c r="N866" i="23" s="1"/>
  <c r="M299" i="23"/>
  <c r="C51" i="29"/>
  <c r="C31" i="29"/>
  <c r="C44" i="29"/>
  <c r="C46" i="29"/>
  <c r="P119" i="29"/>
  <c r="P121" i="29"/>
  <c r="P123" i="29"/>
  <c r="P125" i="29"/>
  <c r="O128" i="29"/>
  <c r="O141" i="29"/>
  <c r="C62" i="29"/>
  <c r="C75" i="29"/>
  <c r="P128" i="29"/>
  <c r="P118" i="29"/>
  <c r="P120" i="29"/>
  <c r="P122" i="29"/>
  <c r="P124" i="29"/>
  <c r="Q124" i="29" s="1"/>
  <c r="C19" i="29"/>
  <c r="C56" i="29"/>
  <c r="N782" i="23"/>
  <c r="N779" i="23"/>
  <c r="N781" i="23"/>
  <c r="N778" i="23"/>
  <c r="N780" i="23"/>
  <c r="M782" i="23"/>
  <c r="M779" i="23"/>
  <c r="M781" i="23"/>
  <c r="M778" i="23"/>
  <c r="M780" i="23"/>
  <c r="N32" i="23"/>
  <c r="N37" i="23"/>
  <c r="G92" i="22"/>
  <c r="J1433" i="20"/>
  <c r="N4" i="6"/>
  <c r="N12" i="6"/>
  <c r="N20" i="6"/>
  <c r="N28" i="6"/>
  <c r="N36" i="6"/>
  <c r="N44" i="6"/>
  <c r="N52" i="6"/>
  <c r="N60" i="6"/>
  <c r="N68" i="6"/>
  <c r="N76" i="6"/>
  <c r="N84" i="6"/>
  <c r="L17" i="6"/>
  <c r="L25" i="6"/>
  <c r="L33" i="6"/>
  <c r="L41" i="6"/>
  <c r="L49" i="6"/>
  <c r="L57" i="6"/>
  <c r="L65" i="6"/>
  <c r="L73" i="6"/>
  <c r="L81" i="6"/>
  <c r="L7" i="6"/>
  <c r="V8" i="6"/>
  <c r="V16" i="6"/>
  <c r="V24" i="6"/>
  <c r="V32" i="6"/>
  <c r="V40" i="6"/>
  <c r="V48" i="6"/>
  <c r="V56" i="6"/>
  <c r="V64" i="6"/>
  <c r="V72" i="6"/>
  <c r="V80" i="6"/>
  <c r="V88" i="6"/>
  <c r="V96" i="6"/>
  <c r="V104" i="6"/>
  <c r="V112" i="6"/>
  <c r="V120" i="6"/>
  <c r="V128" i="6"/>
  <c r="V136" i="6"/>
  <c r="V144" i="6"/>
  <c r="V152" i="6"/>
  <c r="V160" i="6"/>
  <c r="V168" i="6"/>
  <c r="V176" i="6"/>
  <c r="V184" i="6"/>
  <c r="V192" i="6"/>
  <c r="V200" i="6"/>
  <c r="V208" i="6"/>
  <c r="V216" i="6"/>
  <c r="V224" i="6"/>
  <c r="V232" i="6"/>
  <c r="V240" i="6"/>
  <c r="V248" i="6"/>
  <c r="V256" i="6"/>
  <c r="V264" i="6"/>
  <c r="V272" i="6"/>
  <c r="V280" i="6"/>
  <c r="V288" i="6"/>
  <c r="V296" i="6"/>
  <c r="V304" i="6"/>
  <c r="V312" i="6"/>
  <c r="V320" i="6"/>
  <c r="V328" i="6"/>
  <c r="V336" i="6"/>
  <c r="V344" i="6"/>
  <c r="V352" i="6"/>
  <c r="V360" i="6"/>
  <c r="V368" i="6"/>
  <c r="V376" i="6"/>
  <c r="V384" i="6"/>
  <c r="V392" i="6"/>
  <c r="V400" i="6"/>
  <c r="V408" i="6"/>
  <c r="V416" i="6"/>
  <c r="V424" i="6"/>
  <c r="V432" i="6"/>
  <c r="V440" i="6"/>
  <c r="V448" i="6"/>
  <c r="V456" i="6"/>
  <c r="V464" i="6"/>
  <c r="V472" i="6"/>
  <c r="V480" i="6"/>
  <c r="V488" i="6"/>
  <c r="V496" i="6"/>
  <c r="V504" i="6"/>
  <c r="V512" i="6"/>
  <c r="N5" i="6"/>
  <c r="N13" i="6"/>
  <c r="N21" i="6"/>
  <c r="N29" i="6"/>
  <c r="N37" i="6"/>
  <c r="N45" i="6"/>
  <c r="N53" i="6"/>
  <c r="N61" i="6"/>
  <c r="N69" i="6"/>
  <c r="N77" i="6"/>
  <c r="N3" i="6"/>
  <c r="L18" i="6"/>
  <c r="L26" i="6"/>
  <c r="L34" i="6"/>
  <c r="L42" i="6"/>
  <c r="L50" i="6"/>
  <c r="L58" i="6"/>
  <c r="L66" i="6"/>
  <c r="L74" i="6"/>
  <c r="L82" i="6"/>
  <c r="L8" i="6"/>
  <c r="V9" i="6"/>
  <c r="V17" i="6"/>
  <c r="V25" i="6"/>
  <c r="V33" i="6"/>
  <c r="V41" i="6"/>
  <c r="V49" i="6"/>
  <c r="V57" i="6"/>
  <c r="V65" i="6"/>
  <c r="V73" i="6"/>
  <c r="V81" i="6"/>
  <c r="V89" i="6"/>
  <c r="V97" i="6"/>
  <c r="V105" i="6"/>
  <c r="V113" i="6"/>
  <c r="V121" i="6"/>
  <c r="V129" i="6"/>
  <c r="V137" i="6"/>
  <c r="V145" i="6"/>
  <c r="V153" i="6"/>
  <c r="V161" i="6"/>
  <c r="V169" i="6"/>
  <c r="V177" i="6"/>
  <c r="V185" i="6"/>
  <c r="V193" i="6"/>
  <c r="V201" i="6"/>
  <c r="V209" i="6"/>
  <c r="V217" i="6"/>
  <c r="V225" i="6"/>
  <c r="V233" i="6"/>
  <c r="V241" i="6"/>
  <c r="V249" i="6"/>
  <c r="V257" i="6"/>
  <c r="V265" i="6"/>
  <c r="V273" i="6"/>
  <c r="V281" i="6"/>
  <c r="V289" i="6"/>
  <c r="V297" i="6"/>
  <c r="V305" i="6"/>
  <c r="V313" i="6"/>
  <c r="V321" i="6"/>
  <c r="V329" i="6"/>
  <c r="V337" i="6"/>
  <c r="V345" i="6"/>
  <c r="V353" i="6"/>
  <c r="V361" i="6"/>
  <c r="V369" i="6"/>
  <c r="V377" i="6"/>
  <c r="V385" i="6"/>
  <c r="V393" i="6"/>
  <c r="V401" i="6"/>
  <c r="V409" i="6"/>
  <c r="V417" i="6"/>
  <c r="V425" i="6"/>
  <c r="V433" i="6"/>
  <c r="V441" i="6"/>
  <c r="V449" i="6"/>
  <c r="V457" i="6"/>
  <c r="V465" i="6"/>
  <c r="V473" i="6"/>
  <c r="V481" i="6"/>
  <c r="V489" i="6"/>
  <c r="V497" i="6"/>
  <c r="V505" i="6"/>
  <c r="V513" i="6"/>
  <c r="N6" i="6"/>
  <c r="N14" i="6"/>
  <c r="N22" i="6"/>
  <c r="N30" i="6"/>
  <c r="N38" i="6"/>
  <c r="N46" i="6"/>
  <c r="N54" i="6"/>
  <c r="N62" i="6"/>
  <c r="N70" i="6"/>
  <c r="N78" i="6"/>
  <c r="L11" i="6"/>
  <c r="L19" i="6"/>
  <c r="L27" i="6"/>
  <c r="L35" i="6"/>
  <c r="L43" i="6"/>
  <c r="L51" i="6"/>
  <c r="L59" i="6"/>
  <c r="L67" i="6"/>
  <c r="L75" i="6"/>
  <c r="L83" i="6"/>
  <c r="L9" i="6"/>
  <c r="V10" i="6"/>
  <c r="V18" i="6"/>
  <c r="V26" i="6"/>
  <c r="V34" i="6"/>
  <c r="V42" i="6"/>
  <c r="V50" i="6"/>
  <c r="V58" i="6"/>
  <c r="V66" i="6"/>
  <c r="V74" i="6"/>
  <c r="V82" i="6"/>
  <c r="V90" i="6"/>
  <c r="V98" i="6"/>
  <c r="V106" i="6"/>
  <c r="V114" i="6"/>
  <c r="V122" i="6"/>
  <c r="V130" i="6"/>
  <c r="V138" i="6"/>
  <c r="V146" i="6"/>
  <c r="V154" i="6"/>
  <c r="V162" i="6"/>
  <c r="V170" i="6"/>
  <c r="V178" i="6"/>
  <c r="V186" i="6"/>
  <c r="V194" i="6"/>
  <c r="V202" i="6"/>
  <c r="V210" i="6"/>
  <c r="V218" i="6"/>
  <c r="V226" i="6"/>
  <c r="V234" i="6"/>
  <c r="V242" i="6"/>
  <c r="V250" i="6"/>
  <c r="V258" i="6"/>
  <c r="V266" i="6"/>
  <c r="V274" i="6"/>
  <c r="V282" i="6"/>
  <c r="V290" i="6"/>
  <c r="V298" i="6"/>
  <c r="V306" i="6"/>
  <c r="V314" i="6"/>
  <c r="V322" i="6"/>
  <c r="V330" i="6"/>
  <c r="V338" i="6"/>
  <c r="V346" i="6"/>
  <c r="V354" i="6"/>
  <c r="V362" i="6"/>
  <c r="V370" i="6"/>
  <c r="V378" i="6"/>
  <c r="V386" i="6"/>
  <c r="V394" i="6"/>
  <c r="V402" i="6"/>
  <c r="V410" i="6"/>
  <c r="N7" i="6"/>
  <c r="N15" i="6"/>
  <c r="N23" i="6"/>
  <c r="N31" i="6"/>
  <c r="N39" i="6"/>
  <c r="N47" i="6"/>
  <c r="N55" i="6"/>
  <c r="N63" i="6"/>
  <c r="N71" i="6"/>
  <c r="N79" i="6"/>
  <c r="L12" i="6"/>
  <c r="L20" i="6"/>
  <c r="L28" i="6"/>
  <c r="L36" i="6"/>
  <c r="L44" i="6"/>
  <c r="L52" i="6"/>
  <c r="L60" i="6"/>
  <c r="L68" i="6"/>
  <c r="L76" i="6"/>
  <c r="L84" i="6"/>
  <c r="L10" i="6"/>
  <c r="V11" i="6"/>
  <c r="V19" i="6"/>
  <c r="V27" i="6"/>
  <c r="V35" i="6"/>
  <c r="V43" i="6"/>
  <c r="V51" i="6"/>
  <c r="V59" i="6"/>
  <c r="V67" i="6"/>
  <c r="V75" i="6"/>
  <c r="V83" i="6"/>
  <c r="V91" i="6"/>
  <c r="V99" i="6"/>
  <c r="V107" i="6"/>
  <c r="V115" i="6"/>
  <c r="V123" i="6"/>
  <c r="V131" i="6"/>
  <c r="V139" i="6"/>
  <c r="V147" i="6"/>
  <c r="V155" i="6"/>
  <c r="V163" i="6"/>
  <c r="V171" i="6"/>
  <c r="V179" i="6"/>
  <c r="V187" i="6"/>
  <c r="V195" i="6"/>
  <c r="V203" i="6"/>
  <c r="V211" i="6"/>
  <c r="V219" i="6"/>
  <c r="V227" i="6"/>
  <c r="V235" i="6"/>
  <c r="V243" i="6"/>
  <c r="V251" i="6"/>
  <c r="V259" i="6"/>
  <c r="V267" i="6"/>
  <c r="V275" i="6"/>
  <c r="V283" i="6"/>
  <c r="V291" i="6"/>
  <c r="V299" i="6"/>
  <c r="V307" i="6"/>
  <c r="V315" i="6"/>
  <c r="V323" i="6"/>
  <c r="V331" i="6"/>
  <c r="V339" i="6"/>
  <c r="V347" i="6"/>
  <c r="V355" i="6"/>
  <c r="V363" i="6"/>
  <c r="V371" i="6"/>
  <c r="V379" i="6"/>
  <c r="V387" i="6"/>
  <c r="V395" i="6"/>
  <c r="V403" i="6"/>
  <c r="V411" i="6"/>
  <c r="V419" i="6"/>
  <c r="V427" i="6"/>
  <c r="V435" i="6"/>
  <c r="V443" i="6"/>
  <c r="V451" i="6"/>
  <c r="V459" i="6"/>
  <c r="V467" i="6"/>
  <c r="V475" i="6"/>
  <c r="V483" i="6"/>
  <c r="V491" i="6"/>
  <c r="V499" i="6"/>
  <c r="V507" i="6"/>
  <c r="V515" i="6"/>
  <c r="N8" i="6"/>
  <c r="N16" i="6"/>
  <c r="N24" i="6"/>
  <c r="N32" i="6"/>
  <c r="N40" i="6"/>
  <c r="N48" i="6"/>
  <c r="N56" i="6"/>
  <c r="N64" i="6"/>
  <c r="N72" i="6"/>
  <c r="N80" i="6"/>
  <c r="L13" i="6"/>
  <c r="L21" i="6"/>
  <c r="L29" i="6"/>
  <c r="L37" i="6"/>
  <c r="L45" i="6"/>
  <c r="L53" i="6"/>
  <c r="L61" i="6"/>
  <c r="L69" i="6"/>
  <c r="L77" i="6"/>
  <c r="L3" i="6"/>
  <c r="V4" i="6"/>
  <c r="V12" i="6"/>
  <c r="V20" i="6"/>
  <c r="V28" i="6"/>
  <c r="V36" i="6"/>
  <c r="V44" i="6"/>
  <c r="V52" i="6"/>
  <c r="V60" i="6"/>
  <c r="V68" i="6"/>
  <c r="V76" i="6"/>
  <c r="V84" i="6"/>
  <c r="V92" i="6"/>
  <c r="V100" i="6"/>
  <c r="V108" i="6"/>
  <c r="V116" i="6"/>
  <c r="V124" i="6"/>
  <c r="V132" i="6"/>
  <c r="V140" i="6"/>
  <c r="V148" i="6"/>
  <c r="V156" i="6"/>
  <c r="V164" i="6"/>
  <c r="V172" i="6"/>
  <c r="V180" i="6"/>
  <c r="V188" i="6"/>
  <c r="V196" i="6"/>
  <c r="V204" i="6"/>
  <c r="V212" i="6"/>
  <c r="V220" i="6"/>
  <c r="V228" i="6"/>
  <c r="V236" i="6"/>
  <c r="V244" i="6"/>
  <c r="V252" i="6"/>
  <c r="V260" i="6"/>
  <c r="V268" i="6"/>
  <c r="V276" i="6"/>
  <c r="V284" i="6"/>
  <c r="V292" i="6"/>
  <c r="V300" i="6"/>
  <c r="V308" i="6"/>
  <c r="V316" i="6"/>
  <c r="V324" i="6"/>
  <c r="V332" i="6"/>
  <c r="V340" i="6"/>
  <c r="V348" i="6"/>
  <c r="V356" i="6"/>
  <c r="V364" i="6"/>
  <c r="V372" i="6"/>
  <c r="V380" i="6"/>
  <c r="V388" i="6"/>
  <c r="V396" i="6"/>
  <c r="V404" i="6"/>
  <c r="V412" i="6"/>
  <c r="V420" i="6"/>
  <c r="V428" i="6"/>
  <c r="V436" i="6"/>
  <c r="V444" i="6"/>
  <c r="V452" i="6"/>
  <c r="V460" i="6"/>
  <c r="V468" i="6"/>
  <c r="V476" i="6"/>
  <c r="V484" i="6"/>
  <c r="V492" i="6"/>
  <c r="V500" i="6"/>
  <c r="V508" i="6"/>
  <c r="V516" i="6"/>
  <c r="N9" i="6"/>
  <c r="N17" i="6"/>
  <c r="N25" i="6"/>
  <c r="N33" i="6"/>
  <c r="N41" i="6"/>
  <c r="N49" i="6"/>
  <c r="N57" i="6"/>
  <c r="N65" i="6"/>
  <c r="N73" i="6"/>
  <c r="N81" i="6"/>
  <c r="L14" i="6"/>
  <c r="L22" i="6"/>
  <c r="L30" i="6"/>
  <c r="L38" i="6"/>
  <c r="L46" i="6"/>
  <c r="L54" i="6"/>
  <c r="L62" i="6"/>
  <c r="L70" i="6"/>
  <c r="L78" i="6"/>
  <c r="L4" i="6"/>
  <c r="V5" i="6"/>
  <c r="V13" i="6"/>
  <c r="V21" i="6"/>
  <c r="V29" i="6"/>
  <c r="V37" i="6"/>
  <c r="V45" i="6"/>
  <c r="V53" i="6"/>
  <c r="V61" i="6"/>
  <c r="V69" i="6"/>
  <c r="V77" i="6"/>
  <c r="V85" i="6"/>
  <c r="V93" i="6"/>
  <c r="V101" i="6"/>
  <c r="V109" i="6"/>
  <c r="V117" i="6"/>
  <c r="V125" i="6"/>
  <c r="V133" i="6"/>
  <c r="V141" i="6"/>
  <c r="V149" i="6"/>
  <c r="V157" i="6"/>
  <c r="V165" i="6"/>
  <c r="V173" i="6"/>
  <c r="V181" i="6"/>
  <c r="V189" i="6"/>
  <c r="V197" i="6"/>
  <c r="V205" i="6"/>
  <c r="V213" i="6"/>
  <c r="V221" i="6"/>
  <c r="V229" i="6"/>
  <c r="V237" i="6"/>
  <c r="V245" i="6"/>
  <c r="V253" i="6"/>
  <c r="V261" i="6"/>
  <c r="V269" i="6"/>
  <c r="V277" i="6"/>
  <c r="V285" i="6"/>
  <c r="V293" i="6"/>
  <c r="V301" i="6"/>
  <c r="V309" i="6"/>
  <c r="V317" i="6"/>
  <c r="V325" i="6"/>
  <c r="V333" i="6"/>
  <c r="V341" i="6"/>
  <c r="V349" i="6"/>
  <c r="V357" i="6"/>
  <c r="V365" i="6"/>
  <c r="V373" i="6"/>
  <c r="V381" i="6"/>
  <c r="V389" i="6"/>
  <c r="V397" i="6"/>
  <c r="V405" i="6"/>
  <c r="V413" i="6"/>
  <c r="V421" i="6"/>
  <c r="V429" i="6"/>
  <c r="V437" i="6"/>
  <c r="V445" i="6"/>
  <c r="V453" i="6"/>
  <c r="V461" i="6"/>
  <c r="V469" i="6"/>
  <c r="V477" i="6"/>
  <c r="V485" i="6"/>
  <c r="V493" i="6"/>
  <c r="V501" i="6"/>
  <c r="V509" i="6"/>
  <c r="V517" i="6"/>
  <c r="N10" i="6"/>
  <c r="N18" i="6"/>
  <c r="N26" i="6"/>
  <c r="N34" i="6"/>
  <c r="N42" i="6"/>
  <c r="N50" i="6"/>
  <c r="N58" i="6"/>
  <c r="N66" i="6"/>
  <c r="N74" i="6"/>
  <c r="N82" i="6"/>
  <c r="L15" i="6"/>
  <c r="L23" i="6"/>
  <c r="L31" i="6"/>
  <c r="L39" i="6"/>
  <c r="L47" i="6"/>
  <c r="L55" i="6"/>
  <c r="L63" i="6"/>
  <c r="L71" i="6"/>
  <c r="L79" i="6"/>
  <c r="L5" i="6"/>
  <c r="V6" i="6"/>
  <c r="V14" i="6"/>
  <c r="V22" i="6"/>
  <c r="V30" i="6"/>
  <c r="V38" i="6"/>
  <c r="V46" i="6"/>
  <c r="V54" i="6"/>
  <c r="V62" i="6"/>
  <c r="V70" i="6"/>
  <c r="V78" i="6"/>
  <c r="V86" i="6"/>
  <c r="V94" i="6"/>
  <c r="V102" i="6"/>
  <c r="V110" i="6"/>
  <c r="V118" i="6"/>
  <c r="V126" i="6"/>
  <c r="V134" i="6"/>
  <c r="V142" i="6"/>
  <c r="V150" i="6"/>
  <c r="V158" i="6"/>
  <c r="V166" i="6"/>
  <c r="V174" i="6"/>
  <c r="V182" i="6"/>
  <c r="V190" i="6"/>
  <c r="V198" i="6"/>
  <c r="V206" i="6"/>
  <c r="V214" i="6"/>
  <c r="V222" i="6"/>
  <c r="V230" i="6"/>
  <c r="V238" i="6"/>
  <c r="V246" i="6"/>
  <c r="V254" i="6"/>
  <c r="V262" i="6"/>
  <c r="V270" i="6"/>
  <c r="V278" i="6"/>
  <c r="V286" i="6"/>
  <c r="V294" i="6"/>
  <c r="N11" i="6"/>
  <c r="N75" i="6"/>
  <c r="L64" i="6"/>
  <c r="V39" i="6"/>
  <c r="V103" i="6"/>
  <c r="V167" i="6"/>
  <c r="V231" i="6"/>
  <c r="V295" i="6"/>
  <c r="V327" i="6"/>
  <c r="V359" i="6"/>
  <c r="V391" i="6"/>
  <c r="V422" i="6"/>
  <c r="V442" i="6"/>
  <c r="V463" i="6"/>
  <c r="V486" i="6"/>
  <c r="V506" i="6"/>
  <c r="V522" i="6"/>
  <c r="V530" i="6"/>
  <c r="V538" i="6"/>
  <c r="V546" i="6"/>
  <c r="V554" i="6"/>
  <c r="V562" i="6"/>
  <c r="V570" i="6"/>
  <c r="V578" i="6"/>
  <c r="V586" i="6"/>
  <c r="V594" i="6"/>
  <c r="V602" i="6"/>
  <c r="V610" i="6"/>
  <c r="V618" i="6"/>
  <c r="V626" i="6"/>
  <c r="V634" i="6"/>
  <c r="V642" i="6"/>
  <c r="V650" i="6"/>
  <c r="V658" i="6"/>
  <c r="V666" i="6"/>
  <c r="V674" i="6"/>
  <c r="V682" i="6"/>
  <c r="V690" i="6"/>
  <c r="V698" i="6"/>
  <c r="V706" i="6"/>
  <c r="V714" i="6"/>
  <c r="V722" i="6"/>
  <c r="V730" i="6"/>
  <c r="V738" i="6"/>
  <c r="V746" i="6"/>
  <c r="V754" i="6"/>
  <c r="V762" i="6"/>
  <c r="V770" i="6"/>
  <c r="V778" i="6"/>
  <c r="V786" i="6"/>
  <c r="V794" i="6"/>
  <c r="V802" i="6"/>
  <c r="V810" i="6"/>
  <c r="V818" i="6"/>
  <c r="V826" i="6"/>
  <c r="V834" i="6"/>
  <c r="V842" i="6"/>
  <c r="V850" i="6"/>
  <c r="V858" i="6"/>
  <c r="V866" i="6"/>
  <c r="V874" i="6"/>
  <c r="V882" i="6"/>
  <c r="V890" i="6"/>
  <c r="V898" i="6"/>
  <c r="V906" i="6"/>
  <c r="V914" i="6"/>
  <c r="V922" i="6"/>
  <c r="V930" i="6"/>
  <c r="V938" i="6"/>
  <c r="V946" i="6"/>
  <c r="V954" i="6"/>
  <c r="V962" i="6"/>
  <c r="V970" i="6"/>
  <c r="V978" i="6"/>
  <c r="V986" i="6"/>
  <c r="V994" i="6"/>
  <c r="V1002" i="6"/>
  <c r="V1010" i="6"/>
  <c r="V1018" i="6"/>
  <c r="N19" i="6"/>
  <c r="N83" i="6"/>
  <c r="L72" i="6"/>
  <c r="V47" i="6"/>
  <c r="V111" i="6"/>
  <c r="V175" i="6"/>
  <c r="V239" i="6"/>
  <c r="V302" i="6"/>
  <c r="V334" i="6"/>
  <c r="V366" i="6"/>
  <c r="V398" i="6"/>
  <c r="V423" i="6"/>
  <c r="V446" i="6"/>
  <c r="V466" i="6"/>
  <c r="V487" i="6"/>
  <c r="V510" i="6"/>
  <c r="V523" i="6"/>
  <c r="V531" i="6"/>
  <c r="V539" i="6"/>
  <c r="V547" i="6"/>
  <c r="V555" i="6"/>
  <c r="V563" i="6"/>
  <c r="V571" i="6"/>
  <c r="V579" i="6"/>
  <c r="V587" i="6"/>
  <c r="V595" i="6"/>
  <c r="V603" i="6"/>
  <c r="V611" i="6"/>
  <c r="V619" i="6"/>
  <c r="V627" i="6"/>
  <c r="V635" i="6"/>
  <c r="V643" i="6"/>
  <c r="V651" i="6"/>
  <c r="V659" i="6"/>
  <c r="V667" i="6"/>
  <c r="V675" i="6"/>
  <c r="V683" i="6"/>
  <c r="V691" i="6"/>
  <c r="V699" i="6"/>
  <c r="V707" i="6"/>
  <c r="V715" i="6"/>
  <c r="V723" i="6"/>
  <c r="V731" i="6"/>
  <c r="V739" i="6"/>
  <c r="V747" i="6"/>
  <c r="V755" i="6"/>
  <c r="V763" i="6"/>
  <c r="V771" i="6"/>
  <c r="V779" i="6"/>
  <c r="V787" i="6"/>
  <c r="V795" i="6"/>
  <c r="V803" i="6"/>
  <c r="V811" i="6"/>
  <c r="V819" i="6"/>
  <c r="V827" i="6"/>
  <c r="V835" i="6"/>
  <c r="V843" i="6"/>
  <c r="V851" i="6"/>
  <c r="V859" i="6"/>
  <c r="V867" i="6"/>
  <c r="V875" i="6"/>
  <c r="V883" i="6"/>
  <c r="V891" i="6"/>
  <c r="V899" i="6"/>
  <c r="V907" i="6"/>
  <c r="V915" i="6"/>
  <c r="V923" i="6"/>
  <c r="V931" i="6"/>
  <c r="V939" i="6"/>
  <c r="V947" i="6"/>
  <c r="V955" i="6"/>
  <c r="V963" i="6"/>
  <c r="V971" i="6"/>
  <c r="V979" i="6"/>
  <c r="V987" i="6"/>
  <c r="V995" i="6"/>
  <c r="V1003" i="6"/>
  <c r="V1011" i="6"/>
  <c r="N27" i="6"/>
  <c r="L16" i="6"/>
  <c r="L80" i="6"/>
  <c r="V55" i="6"/>
  <c r="V119" i="6"/>
  <c r="V183" i="6"/>
  <c r="V247" i="6"/>
  <c r="V303" i="6"/>
  <c r="V335" i="6"/>
  <c r="V367" i="6"/>
  <c r="V399" i="6"/>
  <c r="V426" i="6"/>
  <c r="V447" i="6"/>
  <c r="V470" i="6"/>
  <c r="V490" i="6"/>
  <c r="V511" i="6"/>
  <c r="V524" i="6"/>
  <c r="V532" i="6"/>
  <c r="V540" i="6"/>
  <c r="V548" i="6"/>
  <c r="V556" i="6"/>
  <c r="V564" i="6"/>
  <c r="V572" i="6"/>
  <c r="V580" i="6"/>
  <c r="V588" i="6"/>
  <c r="V596" i="6"/>
  <c r="V604" i="6"/>
  <c r="V612" i="6"/>
  <c r="V620" i="6"/>
  <c r="V628" i="6"/>
  <c r="V636" i="6"/>
  <c r="V644" i="6"/>
  <c r="V652" i="6"/>
  <c r="V660" i="6"/>
  <c r="V668" i="6"/>
  <c r="V676" i="6"/>
  <c r="V684" i="6"/>
  <c r="V692" i="6"/>
  <c r="V700" i="6"/>
  <c r="V708" i="6"/>
  <c r="V716" i="6"/>
  <c r="V724" i="6"/>
  <c r="V732" i="6"/>
  <c r="V740" i="6"/>
  <c r="V748" i="6"/>
  <c r="V756" i="6"/>
  <c r="V764" i="6"/>
  <c r="V772" i="6"/>
  <c r="V780" i="6"/>
  <c r="V788" i="6"/>
  <c r="V796" i="6"/>
  <c r="V804" i="6"/>
  <c r="V812" i="6"/>
  <c r="V820" i="6"/>
  <c r="V828" i="6"/>
  <c r="V836" i="6"/>
  <c r="V844" i="6"/>
  <c r="V852" i="6"/>
  <c r="V860" i="6"/>
  <c r="V868" i="6"/>
  <c r="V876" i="6"/>
  <c r="V884" i="6"/>
  <c r="V892" i="6"/>
  <c r="V900" i="6"/>
  <c r="V908" i="6"/>
  <c r="V916" i="6"/>
  <c r="V924" i="6"/>
  <c r="V932" i="6"/>
  <c r="V940" i="6"/>
  <c r="V948" i="6"/>
  <c r="V956" i="6"/>
  <c r="V964" i="6"/>
  <c r="V972" i="6"/>
  <c r="V980" i="6"/>
  <c r="V988" i="6"/>
  <c r="V996" i="6"/>
  <c r="V1004" i="6"/>
  <c r="V1012" i="6"/>
  <c r="V1020" i="6"/>
  <c r="V1028" i="6"/>
  <c r="V1036" i="6"/>
  <c r="V1044" i="6"/>
  <c r="V1052" i="6"/>
  <c r="V1060" i="6"/>
  <c r="V1068" i="6"/>
  <c r="N35" i="6"/>
  <c r="L24" i="6"/>
  <c r="L6" i="6"/>
  <c r="V63" i="6"/>
  <c r="V127" i="6"/>
  <c r="V191" i="6"/>
  <c r="V255" i="6"/>
  <c r="V310" i="6"/>
  <c r="V342" i="6"/>
  <c r="V374" i="6"/>
  <c r="V406" i="6"/>
  <c r="V430" i="6"/>
  <c r="V450" i="6"/>
  <c r="V471" i="6"/>
  <c r="V494" i="6"/>
  <c r="V514" i="6"/>
  <c r="V525" i="6"/>
  <c r="V533" i="6"/>
  <c r="V541" i="6"/>
  <c r="V549" i="6"/>
  <c r="V557" i="6"/>
  <c r="V565" i="6"/>
  <c r="V573" i="6"/>
  <c r="V581" i="6"/>
  <c r="V589" i="6"/>
  <c r="V597" i="6"/>
  <c r="V605" i="6"/>
  <c r="V613" i="6"/>
  <c r="V621" i="6"/>
  <c r="V629" i="6"/>
  <c r="V637" i="6"/>
  <c r="V645" i="6"/>
  <c r="V653" i="6"/>
  <c r="V661" i="6"/>
  <c r="V669" i="6"/>
  <c r="V677" i="6"/>
  <c r="V685" i="6"/>
  <c r="V693" i="6"/>
  <c r="V701" i="6"/>
  <c r="V709" i="6"/>
  <c r="V717" i="6"/>
  <c r="V725" i="6"/>
  <c r="V733" i="6"/>
  <c r="V741" i="6"/>
  <c r="V749" i="6"/>
  <c r="V757" i="6"/>
  <c r="V765" i="6"/>
  <c r="V773" i="6"/>
  <c r="V781" i="6"/>
  <c r="V789" i="6"/>
  <c r="V797" i="6"/>
  <c r="V805" i="6"/>
  <c r="V813" i="6"/>
  <c r="V821" i="6"/>
  <c r="V829" i="6"/>
  <c r="V837" i="6"/>
  <c r="V845" i="6"/>
  <c r="V853" i="6"/>
  <c r="V861" i="6"/>
  <c r="V869" i="6"/>
  <c r="V877" i="6"/>
  <c r="V885" i="6"/>
  <c r="V893" i="6"/>
  <c r="V901" i="6"/>
  <c r="V909" i="6"/>
  <c r="V917" i="6"/>
  <c r="V925" i="6"/>
  <c r="V933" i="6"/>
  <c r="V941" i="6"/>
  <c r="V949" i="6"/>
  <c r="V957" i="6"/>
  <c r="V965" i="6"/>
  <c r="V973" i="6"/>
  <c r="V981" i="6"/>
  <c r="V989" i="6"/>
  <c r="V997" i="6"/>
  <c r="V1005" i="6"/>
  <c r="V1013" i="6"/>
  <c r="V1021" i="6"/>
  <c r="V1029" i="6"/>
  <c r="V1037" i="6"/>
  <c r="V1045" i="6"/>
  <c r="V1053" i="6"/>
  <c r="V1061" i="6"/>
  <c r="V1069" i="6"/>
  <c r="N43" i="6"/>
  <c r="L32" i="6"/>
  <c r="V7" i="6"/>
  <c r="V71" i="6"/>
  <c r="V135" i="6"/>
  <c r="V199" i="6"/>
  <c r="V263" i="6"/>
  <c r="V311" i="6"/>
  <c r="V343" i="6"/>
  <c r="V375" i="6"/>
  <c r="V407" i="6"/>
  <c r="V431" i="6"/>
  <c r="V454" i="6"/>
  <c r="V474" i="6"/>
  <c r="V495" i="6"/>
  <c r="V518" i="6"/>
  <c r="V526" i="6"/>
  <c r="V534" i="6"/>
  <c r="V542" i="6"/>
  <c r="V550" i="6"/>
  <c r="V558" i="6"/>
  <c r="V566" i="6"/>
  <c r="V574" i="6"/>
  <c r="V582" i="6"/>
  <c r="V590" i="6"/>
  <c r="V598" i="6"/>
  <c r="V606" i="6"/>
  <c r="V614" i="6"/>
  <c r="V622" i="6"/>
  <c r="V630" i="6"/>
  <c r="V638" i="6"/>
  <c r="V646" i="6"/>
  <c r="V654" i="6"/>
  <c r="V662" i="6"/>
  <c r="V670" i="6"/>
  <c r="V678" i="6"/>
  <c r="V686" i="6"/>
  <c r="V694" i="6"/>
  <c r="V702" i="6"/>
  <c r="V710" i="6"/>
  <c r="V718" i="6"/>
  <c r="V726" i="6"/>
  <c r="V734" i="6"/>
  <c r="V742" i="6"/>
  <c r="V750" i="6"/>
  <c r="V758" i="6"/>
  <c r="V766" i="6"/>
  <c r="V774" i="6"/>
  <c r="V782" i="6"/>
  <c r="V790" i="6"/>
  <c r="V798" i="6"/>
  <c r="V806" i="6"/>
  <c r="V814" i="6"/>
  <c r="V822" i="6"/>
  <c r="V830" i="6"/>
  <c r="V838" i="6"/>
  <c r="V846" i="6"/>
  <c r="V854" i="6"/>
  <c r="V862" i="6"/>
  <c r="V870" i="6"/>
  <c r="V878" i="6"/>
  <c r="V886" i="6"/>
  <c r="V894" i="6"/>
  <c r="V902" i="6"/>
  <c r="V910" i="6"/>
  <c r="V918" i="6"/>
  <c r="V926" i="6"/>
  <c r="V934" i="6"/>
  <c r="V942" i="6"/>
  <c r="V950" i="6"/>
  <c r="V958" i="6"/>
  <c r="V966" i="6"/>
  <c r="V974" i="6"/>
  <c r="V982" i="6"/>
  <c r="V990" i="6"/>
  <c r="V998" i="6"/>
  <c r="V1006" i="6"/>
  <c r="V1014" i="6"/>
  <c r="N51" i="6"/>
  <c r="L40" i="6"/>
  <c r="V15" i="6"/>
  <c r="V79" i="6"/>
  <c r="V143" i="6"/>
  <c r="V207" i="6"/>
  <c r="V271" i="6"/>
  <c r="V318" i="6"/>
  <c r="V350" i="6"/>
  <c r="V382" i="6"/>
  <c r="V414" i="6"/>
  <c r="V434" i="6"/>
  <c r="V455" i="6"/>
  <c r="V478" i="6"/>
  <c r="V498" i="6"/>
  <c r="V519" i="6"/>
  <c r="V527" i="6"/>
  <c r="V535" i="6"/>
  <c r="V543" i="6"/>
  <c r="V551" i="6"/>
  <c r="V559" i="6"/>
  <c r="V567" i="6"/>
  <c r="V575" i="6"/>
  <c r="V583" i="6"/>
  <c r="V591" i="6"/>
  <c r="V599" i="6"/>
  <c r="V607" i="6"/>
  <c r="V615" i="6"/>
  <c r="V623" i="6"/>
  <c r="V631" i="6"/>
  <c r="V639" i="6"/>
  <c r="V647" i="6"/>
  <c r="V655" i="6"/>
  <c r="V663" i="6"/>
  <c r="V671" i="6"/>
  <c r="V679" i="6"/>
  <c r="V687" i="6"/>
  <c r="V695" i="6"/>
  <c r="V703" i="6"/>
  <c r="V711" i="6"/>
  <c r="V719" i="6"/>
  <c r="V727" i="6"/>
  <c r="V735" i="6"/>
  <c r="V743" i="6"/>
  <c r="V751" i="6"/>
  <c r="V759" i="6"/>
  <c r="V767" i="6"/>
  <c r="V775" i="6"/>
  <c r="V783" i="6"/>
  <c r="V791" i="6"/>
  <c r="V799" i="6"/>
  <c r="V807" i="6"/>
  <c r="V815" i="6"/>
  <c r="V823" i="6"/>
  <c r="V831" i="6"/>
  <c r="V839" i="6"/>
  <c r="V847" i="6"/>
  <c r="V855" i="6"/>
  <c r="V863" i="6"/>
  <c r="V871" i="6"/>
  <c r="V879" i="6"/>
  <c r="V887" i="6"/>
  <c r="V895" i="6"/>
  <c r="V903" i="6"/>
  <c r="V911" i="6"/>
  <c r="V919" i="6"/>
  <c r="V927" i="6"/>
  <c r="V935" i="6"/>
  <c r="V943" i="6"/>
  <c r="V951" i="6"/>
  <c r="V959" i="6"/>
  <c r="V967" i="6"/>
  <c r="V975" i="6"/>
  <c r="V983" i="6"/>
  <c r="V991" i="6"/>
  <c r="V999" i="6"/>
  <c r="V1007" i="6"/>
  <c r="N59" i="6"/>
  <c r="L48" i="6"/>
  <c r="V23" i="6"/>
  <c r="V87" i="6"/>
  <c r="V151" i="6"/>
  <c r="V215" i="6"/>
  <c r="V279" i="6"/>
  <c r="V319" i="6"/>
  <c r="V351" i="6"/>
  <c r="V383" i="6"/>
  <c r="V415" i="6"/>
  <c r="V438" i="6"/>
  <c r="V458" i="6"/>
  <c r="V479" i="6"/>
  <c r="V502" i="6"/>
  <c r="V520" i="6"/>
  <c r="V528" i="6"/>
  <c r="V536" i="6"/>
  <c r="V544" i="6"/>
  <c r="V552" i="6"/>
  <c r="V560" i="6"/>
  <c r="V568" i="6"/>
  <c r="V576" i="6"/>
  <c r="V584" i="6"/>
  <c r="V592" i="6"/>
  <c r="V600" i="6"/>
  <c r="V608" i="6"/>
  <c r="V616" i="6"/>
  <c r="V624" i="6"/>
  <c r="V632" i="6"/>
  <c r="V640" i="6"/>
  <c r="V648" i="6"/>
  <c r="V656" i="6"/>
  <c r="V664" i="6"/>
  <c r="V672" i="6"/>
  <c r="V680" i="6"/>
  <c r="V688" i="6"/>
  <c r="V696" i="6"/>
  <c r="V704" i="6"/>
  <c r="V712" i="6"/>
  <c r="V720" i="6"/>
  <c r="V728" i="6"/>
  <c r="V736" i="6"/>
  <c r="V744" i="6"/>
  <c r="V752" i="6"/>
  <c r="V760" i="6"/>
  <c r="V768" i="6"/>
  <c r="V776" i="6"/>
  <c r="V784" i="6"/>
  <c r="V792" i="6"/>
  <c r="V800" i="6"/>
  <c r="V808" i="6"/>
  <c r="V816" i="6"/>
  <c r="V824" i="6"/>
  <c r="V832" i="6"/>
  <c r="V840" i="6"/>
  <c r="V848" i="6"/>
  <c r="V856" i="6"/>
  <c r="V864" i="6"/>
  <c r="V872" i="6"/>
  <c r="V880" i="6"/>
  <c r="V888" i="6"/>
  <c r="V896" i="6"/>
  <c r="V904" i="6"/>
  <c r="V912" i="6"/>
  <c r="V920" i="6"/>
  <c r="V928" i="6"/>
  <c r="V936" i="6"/>
  <c r="V944" i="6"/>
  <c r="V952" i="6"/>
  <c r="V960" i="6"/>
  <c r="V968" i="6"/>
  <c r="V976" i="6"/>
  <c r="V984" i="6"/>
  <c r="V992" i="6"/>
  <c r="V1000" i="6"/>
  <c r="V1008" i="6"/>
  <c r="V1016" i="6"/>
  <c r="V1024" i="6"/>
  <c r="V1032" i="6"/>
  <c r="V1040" i="6"/>
  <c r="V1048" i="6"/>
  <c r="V1056" i="6"/>
  <c r="V1064" i="6"/>
  <c r="V1072" i="6"/>
  <c r="N67" i="6"/>
  <c r="V358" i="6"/>
  <c r="V529" i="6"/>
  <c r="V593" i="6"/>
  <c r="V657" i="6"/>
  <c r="V721" i="6"/>
  <c r="V785" i="6"/>
  <c r="V849" i="6"/>
  <c r="V913" i="6"/>
  <c r="V977" i="6"/>
  <c r="V1022" i="6"/>
  <c r="V1034" i="6"/>
  <c r="V1047" i="6"/>
  <c r="V1059" i="6"/>
  <c r="V1073" i="6"/>
  <c r="V1081" i="6"/>
  <c r="V1089" i="6"/>
  <c r="V1097" i="6"/>
  <c r="V1105" i="6"/>
  <c r="V1113" i="6"/>
  <c r="V1121" i="6"/>
  <c r="V1129" i="6"/>
  <c r="V1137" i="6"/>
  <c r="V1145" i="6"/>
  <c r="V1153" i="6"/>
  <c r="V1161" i="6"/>
  <c r="V1169" i="6"/>
  <c r="V1177" i="6"/>
  <c r="V1185" i="6"/>
  <c r="V1193" i="6"/>
  <c r="V1201" i="6"/>
  <c r="V1209" i="6"/>
  <c r="V1217" i="6"/>
  <c r="V1225" i="6"/>
  <c r="V1233" i="6"/>
  <c r="V1241" i="6"/>
  <c r="V1249" i="6"/>
  <c r="V1257" i="6"/>
  <c r="V1265" i="6"/>
  <c r="V1273" i="6"/>
  <c r="V1281" i="6"/>
  <c r="V1289" i="6"/>
  <c r="V1297" i="6"/>
  <c r="V1305" i="6"/>
  <c r="V1313" i="6"/>
  <c r="V1321" i="6"/>
  <c r="V1329" i="6"/>
  <c r="V1337" i="6"/>
  <c r="V1345" i="6"/>
  <c r="V1353" i="6"/>
  <c r="V1361" i="6"/>
  <c r="V1369" i="6"/>
  <c r="V1377" i="6"/>
  <c r="V1385" i="6"/>
  <c r="W9" i="6"/>
  <c r="W17" i="6"/>
  <c r="W25" i="6"/>
  <c r="W33" i="6"/>
  <c r="W41" i="6"/>
  <c r="W49" i="6"/>
  <c r="W57" i="6"/>
  <c r="W65" i="6"/>
  <c r="W73" i="6"/>
  <c r="W81" i="6"/>
  <c r="W89" i="6"/>
  <c r="W97" i="6"/>
  <c r="W105" i="6"/>
  <c r="W113" i="6"/>
  <c r="W121" i="6"/>
  <c r="W129" i="6"/>
  <c r="W137" i="6"/>
  <c r="W145" i="6"/>
  <c r="W153" i="6"/>
  <c r="W161" i="6"/>
  <c r="W169" i="6"/>
  <c r="W177" i="6"/>
  <c r="W185" i="6"/>
  <c r="W193" i="6"/>
  <c r="W201" i="6"/>
  <c r="W209" i="6"/>
  <c r="L56" i="6"/>
  <c r="V390" i="6"/>
  <c r="V537" i="6"/>
  <c r="V601" i="6"/>
  <c r="V665" i="6"/>
  <c r="V729" i="6"/>
  <c r="V793" i="6"/>
  <c r="V857" i="6"/>
  <c r="V921" i="6"/>
  <c r="V985" i="6"/>
  <c r="V1023" i="6"/>
  <c r="V1035" i="6"/>
  <c r="V1049" i="6"/>
  <c r="V1062" i="6"/>
  <c r="V1074" i="6"/>
  <c r="V1082" i="6"/>
  <c r="V1090" i="6"/>
  <c r="V1098" i="6"/>
  <c r="V1106" i="6"/>
  <c r="V1114" i="6"/>
  <c r="V1122" i="6"/>
  <c r="V1130" i="6"/>
  <c r="V1138" i="6"/>
  <c r="V1146" i="6"/>
  <c r="V1154" i="6"/>
  <c r="V1162" i="6"/>
  <c r="V1170" i="6"/>
  <c r="V1178" i="6"/>
  <c r="V1186" i="6"/>
  <c r="V1194" i="6"/>
  <c r="V1202" i="6"/>
  <c r="V1210" i="6"/>
  <c r="V1218" i="6"/>
  <c r="V1226" i="6"/>
  <c r="V1234" i="6"/>
  <c r="V1242" i="6"/>
  <c r="V1250" i="6"/>
  <c r="V1258" i="6"/>
  <c r="V1266" i="6"/>
  <c r="V1274" i="6"/>
  <c r="V1282" i="6"/>
  <c r="V1290" i="6"/>
  <c r="V1298" i="6"/>
  <c r="V1306" i="6"/>
  <c r="V1314" i="6"/>
  <c r="V1322" i="6"/>
  <c r="V1330" i="6"/>
  <c r="V1338" i="6"/>
  <c r="V1346" i="6"/>
  <c r="V1354" i="6"/>
  <c r="V1362" i="6"/>
  <c r="V1370" i="6"/>
  <c r="V1378" i="6"/>
  <c r="V1386" i="6"/>
  <c r="W10" i="6"/>
  <c r="W18" i="6"/>
  <c r="W26" i="6"/>
  <c r="W34" i="6"/>
  <c r="W42" i="6"/>
  <c r="W50" i="6"/>
  <c r="W58" i="6"/>
  <c r="W66" i="6"/>
  <c r="W74" i="6"/>
  <c r="W82" i="6"/>
  <c r="W90" i="6"/>
  <c r="W98" i="6"/>
  <c r="W106" i="6"/>
  <c r="W114" i="6"/>
  <c r="W122" i="6"/>
  <c r="W130" i="6"/>
  <c r="W138" i="6"/>
  <c r="W146" i="6"/>
  <c r="W154" i="6"/>
  <c r="W162" i="6"/>
  <c r="W170" i="6"/>
  <c r="W178" i="6"/>
  <c r="W186" i="6"/>
  <c r="W194" i="6"/>
  <c r="V31" i="6"/>
  <c r="V418" i="6"/>
  <c r="V545" i="6"/>
  <c r="V609" i="6"/>
  <c r="V673" i="6"/>
  <c r="V737" i="6"/>
  <c r="V801" i="6"/>
  <c r="V865" i="6"/>
  <c r="V929" i="6"/>
  <c r="V993" i="6"/>
  <c r="V1025" i="6"/>
  <c r="V1038" i="6"/>
  <c r="V1050" i="6"/>
  <c r="V1063" i="6"/>
  <c r="V1075" i="6"/>
  <c r="V1083" i="6"/>
  <c r="V1091" i="6"/>
  <c r="V1099" i="6"/>
  <c r="V1107" i="6"/>
  <c r="V1115" i="6"/>
  <c r="V1123" i="6"/>
  <c r="V1131" i="6"/>
  <c r="V1139" i="6"/>
  <c r="V1147" i="6"/>
  <c r="V1155" i="6"/>
  <c r="V1163" i="6"/>
  <c r="V1171" i="6"/>
  <c r="V1179" i="6"/>
  <c r="V1187" i="6"/>
  <c r="V1195" i="6"/>
  <c r="V1203" i="6"/>
  <c r="V1211" i="6"/>
  <c r="V1219" i="6"/>
  <c r="V1227" i="6"/>
  <c r="V1235" i="6"/>
  <c r="V1243" i="6"/>
  <c r="V1251" i="6"/>
  <c r="V1259" i="6"/>
  <c r="V1267" i="6"/>
  <c r="V1275" i="6"/>
  <c r="V1283" i="6"/>
  <c r="V1291" i="6"/>
  <c r="V1299" i="6"/>
  <c r="V1307" i="6"/>
  <c r="V1315" i="6"/>
  <c r="V1323" i="6"/>
  <c r="V1331" i="6"/>
  <c r="V1339" i="6"/>
  <c r="V1347" i="6"/>
  <c r="V1355" i="6"/>
  <c r="V1363" i="6"/>
  <c r="V1371" i="6"/>
  <c r="V1379" i="6"/>
  <c r="V3" i="6"/>
  <c r="W11" i="6"/>
  <c r="W19" i="6"/>
  <c r="W27" i="6"/>
  <c r="W35" i="6"/>
  <c r="W43" i="6"/>
  <c r="W51" i="6"/>
  <c r="W59" i="6"/>
  <c r="W67" i="6"/>
  <c r="W75" i="6"/>
  <c r="W83" i="6"/>
  <c r="W91" i="6"/>
  <c r="W99" i="6"/>
  <c r="W107" i="6"/>
  <c r="W115" i="6"/>
  <c r="W123" i="6"/>
  <c r="W131" i="6"/>
  <c r="W139" i="6"/>
  <c r="W147" i="6"/>
  <c r="W155" i="6"/>
  <c r="W163" i="6"/>
  <c r="W171" i="6"/>
  <c r="W179" i="6"/>
  <c r="W187" i="6"/>
  <c r="W195" i="6"/>
  <c r="W203" i="6"/>
  <c r="W211" i="6"/>
  <c r="W219" i="6"/>
  <c r="W227" i="6"/>
  <c r="W235" i="6"/>
  <c r="W243" i="6"/>
  <c r="W251" i="6"/>
  <c r="V95" i="6"/>
  <c r="V439" i="6"/>
  <c r="V553" i="6"/>
  <c r="V617" i="6"/>
  <c r="V681" i="6"/>
  <c r="V745" i="6"/>
  <c r="V809" i="6"/>
  <c r="V873" i="6"/>
  <c r="V937" i="6"/>
  <c r="V1001" i="6"/>
  <c r="V1026" i="6"/>
  <c r="V1039" i="6"/>
  <c r="V1051" i="6"/>
  <c r="V1065" i="6"/>
  <c r="V1076" i="6"/>
  <c r="V1084" i="6"/>
  <c r="V1092" i="6"/>
  <c r="V1100" i="6"/>
  <c r="V1108" i="6"/>
  <c r="V1116" i="6"/>
  <c r="V1124" i="6"/>
  <c r="V1132" i="6"/>
  <c r="V1140" i="6"/>
  <c r="V1148" i="6"/>
  <c r="V1156" i="6"/>
  <c r="V1164" i="6"/>
  <c r="V1172" i="6"/>
  <c r="V1180" i="6"/>
  <c r="V1188" i="6"/>
  <c r="V1196" i="6"/>
  <c r="V1204" i="6"/>
  <c r="V1212" i="6"/>
  <c r="V1220" i="6"/>
  <c r="V1228" i="6"/>
  <c r="V1236" i="6"/>
  <c r="V1244" i="6"/>
  <c r="V1252" i="6"/>
  <c r="V1260" i="6"/>
  <c r="V1268" i="6"/>
  <c r="V1276" i="6"/>
  <c r="V1284" i="6"/>
  <c r="V1292" i="6"/>
  <c r="V1300" i="6"/>
  <c r="V1308" i="6"/>
  <c r="V1316" i="6"/>
  <c r="V1324" i="6"/>
  <c r="V1332" i="6"/>
  <c r="V1340" i="6"/>
  <c r="V1348" i="6"/>
  <c r="V1356" i="6"/>
  <c r="V1364" i="6"/>
  <c r="V1372" i="6"/>
  <c r="V1380" i="6"/>
  <c r="W4" i="6"/>
  <c r="W12" i="6"/>
  <c r="W20" i="6"/>
  <c r="W28" i="6"/>
  <c r="W36" i="6"/>
  <c r="W44" i="6"/>
  <c r="W52" i="6"/>
  <c r="W60" i="6"/>
  <c r="W68" i="6"/>
  <c r="W76" i="6"/>
  <c r="W84" i="6"/>
  <c r="W92" i="6"/>
  <c r="W100" i="6"/>
  <c r="W108" i="6"/>
  <c r="W116" i="6"/>
  <c r="W124" i="6"/>
  <c r="W132" i="6"/>
  <c r="W140" i="6"/>
  <c r="W148" i="6"/>
  <c r="W156" i="6"/>
  <c r="W164" i="6"/>
  <c r="W172" i="6"/>
  <c r="W180" i="6"/>
  <c r="W188" i="6"/>
  <c r="W196" i="6"/>
  <c r="W204" i="6"/>
  <c r="W212" i="6"/>
  <c r="W220" i="6"/>
  <c r="W228" i="6"/>
  <c r="W236" i="6"/>
  <c r="W244" i="6"/>
  <c r="W252" i="6"/>
  <c r="W260" i="6"/>
  <c r="W268" i="6"/>
  <c r="W276" i="6"/>
  <c r="V159" i="6"/>
  <c r="V462" i="6"/>
  <c r="V561" i="6"/>
  <c r="V625" i="6"/>
  <c r="V689" i="6"/>
  <c r="V753" i="6"/>
  <c r="V817" i="6"/>
  <c r="V881" i="6"/>
  <c r="V945" i="6"/>
  <c r="V1009" i="6"/>
  <c r="V1027" i="6"/>
  <c r="V1041" i="6"/>
  <c r="V1054" i="6"/>
  <c r="V1066" i="6"/>
  <c r="V1077" i="6"/>
  <c r="V1085" i="6"/>
  <c r="V1093" i="6"/>
  <c r="V1101" i="6"/>
  <c r="V1109" i="6"/>
  <c r="V1117" i="6"/>
  <c r="V1125" i="6"/>
  <c r="V1133" i="6"/>
  <c r="V1141" i="6"/>
  <c r="V1149" i="6"/>
  <c r="V1157" i="6"/>
  <c r="V1165" i="6"/>
  <c r="V1173" i="6"/>
  <c r="V1181" i="6"/>
  <c r="V1189" i="6"/>
  <c r="V1197" i="6"/>
  <c r="V1205" i="6"/>
  <c r="V1213" i="6"/>
  <c r="V1221" i="6"/>
  <c r="V1229" i="6"/>
  <c r="V1237" i="6"/>
  <c r="V1245" i="6"/>
  <c r="V1253" i="6"/>
  <c r="V1261" i="6"/>
  <c r="V1269" i="6"/>
  <c r="V1277" i="6"/>
  <c r="V1285" i="6"/>
  <c r="V1293" i="6"/>
  <c r="V1301" i="6"/>
  <c r="V1309" i="6"/>
  <c r="V1317" i="6"/>
  <c r="V1325" i="6"/>
  <c r="V1333" i="6"/>
  <c r="V1341" i="6"/>
  <c r="V1349" i="6"/>
  <c r="V1357" i="6"/>
  <c r="V1365" i="6"/>
  <c r="V1373" i="6"/>
  <c r="V1381" i="6"/>
  <c r="W5" i="6"/>
  <c r="W13" i="6"/>
  <c r="W21" i="6"/>
  <c r="W29" i="6"/>
  <c r="W37" i="6"/>
  <c r="W45" i="6"/>
  <c r="W53" i="6"/>
  <c r="W61" i="6"/>
  <c r="W69" i="6"/>
  <c r="W77" i="6"/>
  <c r="W85" i="6"/>
  <c r="W93" i="6"/>
  <c r="W101" i="6"/>
  <c r="W109" i="6"/>
  <c r="W117" i="6"/>
  <c r="W125" i="6"/>
  <c r="W133" i="6"/>
  <c r="W141" i="6"/>
  <c r="W149" i="6"/>
  <c r="W157" i="6"/>
  <c r="W165" i="6"/>
  <c r="W173" i="6"/>
  <c r="W181" i="6"/>
  <c r="W189" i="6"/>
  <c r="W197" i="6"/>
  <c r="W205" i="6"/>
  <c r="W213" i="6"/>
  <c r="V223" i="6"/>
  <c r="V482" i="6"/>
  <c r="V569" i="6"/>
  <c r="V633" i="6"/>
  <c r="V697" i="6"/>
  <c r="V761" i="6"/>
  <c r="V825" i="6"/>
  <c r="V889" i="6"/>
  <c r="V953" i="6"/>
  <c r="V1015" i="6"/>
  <c r="V1030" i="6"/>
  <c r="V1042" i="6"/>
  <c r="V1055" i="6"/>
  <c r="V1067" i="6"/>
  <c r="V1078" i="6"/>
  <c r="V1086" i="6"/>
  <c r="V1094" i="6"/>
  <c r="V1102" i="6"/>
  <c r="V1110" i="6"/>
  <c r="V1118" i="6"/>
  <c r="V1126" i="6"/>
  <c r="V1134" i="6"/>
  <c r="V1142" i="6"/>
  <c r="V1150" i="6"/>
  <c r="V1158" i="6"/>
  <c r="V1166" i="6"/>
  <c r="V1174" i="6"/>
  <c r="V1182" i="6"/>
  <c r="V1190" i="6"/>
  <c r="V1198" i="6"/>
  <c r="V1206" i="6"/>
  <c r="V1214" i="6"/>
  <c r="V1222" i="6"/>
  <c r="V1230" i="6"/>
  <c r="V1238" i="6"/>
  <c r="V1246" i="6"/>
  <c r="V1254" i="6"/>
  <c r="V1262" i="6"/>
  <c r="V1270" i="6"/>
  <c r="V1278" i="6"/>
  <c r="V1286" i="6"/>
  <c r="V1294" i="6"/>
  <c r="V1302" i="6"/>
  <c r="V1310" i="6"/>
  <c r="V1318" i="6"/>
  <c r="V1326" i="6"/>
  <c r="V1334" i="6"/>
  <c r="V1342" i="6"/>
  <c r="V1350" i="6"/>
  <c r="V1358" i="6"/>
  <c r="V1366" i="6"/>
  <c r="V1374" i="6"/>
  <c r="V1382" i="6"/>
  <c r="W6" i="6"/>
  <c r="W14" i="6"/>
  <c r="W22" i="6"/>
  <c r="W30" i="6"/>
  <c r="W38" i="6"/>
  <c r="W46" i="6"/>
  <c r="W54" i="6"/>
  <c r="W62" i="6"/>
  <c r="W70" i="6"/>
  <c r="W78" i="6"/>
  <c r="W86" i="6"/>
  <c r="W94" i="6"/>
  <c r="W102" i="6"/>
  <c r="W110" i="6"/>
  <c r="W118" i="6"/>
  <c r="W126" i="6"/>
  <c r="W134" i="6"/>
  <c r="W142" i="6"/>
  <c r="W150" i="6"/>
  <c r="W158" i="6"/>
  <c r="W166" i="6"/>
  <c r="W174" i="6"/>
  <c r="W182" i="6"/>
  <c r="W190" i="6"/>
  <c r="W198" i="6"/>
  <c r="W206" i="6"/>
  <c r="V287" i="6"/>
  <c r="V503" i="6"/>
  <c r="V577" i="6"/>
  <c r="V641" i="6"/>
  <c r="V705" i="6"/>
  <c r="V769" i="6"/>
  <c r="V833" i="6"/>
  <c r="V897" i="6"/>
  <c r="V961" i="6"/>
  <c r="V1017" i="6"/>
  <c r="V1031" i="6"/>
  <c r="V1043" i="6"/>
  <c r="V1057" i="6"/>
  <c r="V1070" i="6"/>
  <c r="V1079" i="6"/>
  <c r="V1087" i="6"/>
  <c r="V1095" i="6"/>
  <c r="V1103" i="6"/>
  <c r="V1111" i="6"/>
  <c r="V1119" i="6"/>
  <c r="V1127" i="6"/>
  <c r="V1135" i="6"/>
  <c r="V1143" i="6"/>
  <c r="V1151" i="6"/>
  <c r="V1159" i="6"/>
  <c r="V1167" i="6"/>
  <c r="V1175" i="6"/>
  <c r="V1183" i="6"/>
  <c r="V1191" i="6"/>
  <c r="V1199" i="6"/>
  <c r="V1207" i="6"/>
  <c r="V1215" i="6"/>
  <c r="V1223" i="6"/>
  <c r="V1231" i="6"/>
  <c r="V1239" i="6"/>
  <c r="V1247" i="6"/>
  <c r="V1255" i="6"/>
  <c r="V1263" i="6"/>
  <c r="V1271" i="6"/>
  <c r="V1279" i="6"/>
  <c r="V1287" i="6"/>
  <c r="V1295" i="6"/>
  <c r="V1303" i="6"/>
  <c r="V1311" i="6"/>
  <c r="V1319" i="6"/>
  <c r="V1327" i="6"/>
  <c r="V1335" i="6"/>
  <c r="V1343" i="6"/>
  <c r="V1351" i="6"/>
  <c r="V1359" i="6"/>
  <c r="V1367" i="6"/>
  <c r="V1375" i="6"/>
  <c r="V1383" i="6"/>
  <c r="W7" i="6"/>
  <c r="W15" i="6"/>
  <c r="W23" i="6"/>
  <c r="W31" i="6"/>
  <c r="W39" i="6"/>
  <c r="W47" i="6"/>
  <c r="W55" i="6"/>
  <c r="W63" i="6"/>
  <c r="W71" i="6"/>
  <c r="W79" i="6"/>
  <c r="W87" i="6"/>
  <c r="W95" i="6"/>
  <c r="W103" i="6"/>
  <c r="W111" i="6"/>
  <c r="W119" i="6"/>
  <c r="W127" i="6"/>
  <c r="W135" i="6"/>
  <c r="V326" i="6"/>
  <c r="V969" i="6"/>
  <c r="V1096" i="6"/>
  <c r="V1160" i="6"/>
  <c r="V1224" i="6"/>
  <c r="V1288" i="6"/>
  <c r="V1352" i="6"/>
  <c r="W32" i="6"/>
  <c r="W96" i="6"/>
  <c r="W151" i="6"/>
  <c r="W183" i="6"/>
  <c r="W208" i="6"/>
  <c r="W222" i="6"/>
  <c r="W232" i="6"/>
  <c r="W242" i="6"/>
  <c r="W254" i="6"/>
  <c r="W263" i="6"/>
  <c r="W272"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489" i="6"/>
  <c r="W497" i="6"/>
  <c r="W505" i="6"/>
  <c r="W513" i="6"/>
  <c r="W521" i="6"/>
  <c r="W529" i="6"/>
  <c r="W537" i="6"/>
  <c r="W545" i="6"/>
  <c r="W553" i="6"/>
  <c r="W561" i="6"/>
  <c r="W569" i="6"/>
  <c r="W577" i="6"/>
  <c r="W585" i="6"/>
  <c r="W593" i="6"/>
  <c r="W601" i="6"/>
  <c r="W609" i="6"/>
  <c r="W617" i="6"/>
  <c r="W625" i="6"/>
  <c r="W633" i="6"/>
  <c r="W641" i="6"/>
  <c r="W649" i="6"/>
  <c r="W657" i="6"/>
  <c r="W665" i="6"/>
  <c r="W673" i="6"/>
  <c r="W681" i="6"/>
  <c r="W689" i="6"/>
  <c r="W697" i="6"/>
  <c r="W705" i="6"/>
  <c r="W713" i="6"/>
  <c r="W721" i="6"/>
  <c r="W729" i="6"/>
  <c r="W737" i="6"/>
  <c r="W745" i="6"/>
  <c r="W753" i="6"/>
  <c r="W761" i="6"/>
  <c r="W769" i="6"/>
  <c r="W777" i="6"/>
  <c r="V521" i="6"/>
  <c r="V1019" i="6"/>
  <c r="V1104" i="6"/>
  <c r="V1168" i="6"/>
  <c r="V1232" i="6"/>
  <c r="V1296" i="6"/>
  <c r="V1360" i="6"/>
  <c r="W40" i="6"/>
  <c r="W104" i="6"/>
  <c r="W152" i="6"/>
  <c r="W184" i="6"/>
  <c r="W210" i="6"/>
  <c r="W223" i="6"/>
  <c r="W233" i="6"/>
  <c r="W245" i="6"/>
  <c r="W255" i="6"/>
  <c r="W264" i="6"/>
  <c r="W273"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W490" i="6"/>
  <c r="W498" i="6"/>
  <c r="W506" i="6"/>
  <c r="W514" i="6"/>
  <c r="W522" i="6"/>
  <c r="W530" i="6"/>
  <c r="W538" i="6"/>
  <c r="W546" i="6"/>
  <c r="W554" i="6"/>
  <c r="W562" i="6"/>
  <c r="W570" i="6"/>
  <c r="W578" i="6"/>
  <c r="W586" i="6"/>
  <c r="W594" i="6"/>
  <c r="W602" i="6"/>
  <c r="W610" i="6"/>
  <c r="W618" i="6"/>
  <c r="W626" i="6"/>
  <c r="W634" i="6"/>
  <c r="W642" i="6"/>
  <c r="W650" i="6"/>
  <c r="W658" i="6"/>
  <c r="W666" i="6"/>
  <c r="W674" i="6"/>
  <c r="W682" i="6"/>
  <c r="W690" i="6"/>
  <c r="W698" i="6"/>
  <c r="W706" i="6"/>
  <c r="W714" i="6"/>
  <c r="W722" i="6"/>
  <c r="W730" i="6"/>
  <c r="W738" i="6"/>
  <c r="W746" i="6"/>
  <c r="W754" i="6"/>
  <c r="W762" i="6"/>
  <c r="W770" i="6"/>
  <c r="W778" i="6"/>
  <c r="W786" i="6"/>
  <c r="W794" i="6"/>
  <c r="W802" i="6"/>
  <c r="V585" i="6"/>
  <c r="V1033" i="6"/>
  <c r="V1112" i="6"/>
  <c r="V1176" i="6"/>
  <c r="V1240" i="6"/>
  <c r="V1304" i="6"/>
  <c r="V1368" i="6"/>
  <c r="W48" i="6"/>
  <c r="W112" i="6"/>
  <c r="W159" i="6"/>
  <c r="W191" i="6"/>
  <c r="W214" i="6"/>
  <c r="W224" i="6"/>
  <c r="W234" i="6"/>
  <c r="W246" i="6"/>
  <c r="W256" i="6"/>
  <c r="W265" i="6"/>
  <c r="W274"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491" i="6"/>
  <c r="W499" i="6"/>
  <c r="W507" i="6"/>
  <c r="W515" i="6"/>
  <c r="W523" i="6"/>
  <c r="W531" i="6"/>
  <c r="W539" i="6"/>
  <c r="W547" i="6"/>
  <c r="W555" i="6"/>
  <c r="W563" i="6"/>
  <c r="W571" i="6"/>
  <c r="W579" i="6"/>
  <c r="W587" i="6"/>
  <c r="W595" i="6"/>
  <c r="W603" i="6"/>
  <c r="W611" i="6"/>
  <c r="W619" i="6"/>
  <c r="W627" i="6"/>
  <c r="W635" i="6"/>
  <c r="W643" i="6"/>
  <c r="W651" i="6"/>
  <c r="W659" i="6"/>
  <c r="W667" i="6"/>
  <c r="W675" i="6"/>
  <c r="W683" i="6"/>
  <c r="W691" i="6"/>
  <c r="W699" i="6"/>
  <c r="W707" i="6"/>
  <c r="W715" i="6"/>
  <c r="W723" i="6"/>
  <c r="W731" i="6"/>
  <c r="W739" i="6"/>
  <c r="W747" i="6"/>
  <c r="W755" i="6"/>
  <c r="W763" i="6"/>
  <c r="W771" i="6"/>
  <c r="W779" i="6"/>
  <c r="W787" i="6"/>
  <c r="W795" i="6"/>
  <c r="W803" i="6"/>
  <c r="W811" i="6"/>
  <c r="W819" i="6"/>
  <c r="V649" i="6"/>
  <c r="V1046" i="6"/>
  <c r="V1120" i="6"/>
  <c r="V1184" i="6"/>
  <c r="V1248" i="6"/>
  <c r="V1312" i="6"/>
  <c r="V1376" i="6"/>
  <c r="W56" i="6"/>
  <c r="W120" i="6"/>
  <c r="W160" i="6"/>
  <c r="W192" i="6"/>
  <c r="W215" i="6"/>
  <c r="W225" i="6"/>
  <c r="W237" i="6"/>
  <c r="W247" i="6"/>
  <c r="W257" i="6"/>
  <c r="W266" i="6"/>
  <c r="W275"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492" i="6"/>
  <c r="W500" i="6"/>
  <c r="W508" i="6"/>
  <c r="W516" i="6"/>
  <c r="W524" i="6"/>
  <c r="W532" i="6"/>
  <c r="W540" i="6"/>
  <c r="W548" i="6"/>
  <c r="W556" i="6"/>
  <c r="W564" i="6"/>
  <c r="W572" i="6"/>
  <c r="W580" i="6"/>
  <c r="W588" i="6"/>
  <c r="W596" i="6"/>
  <c r="W604" i="6"/>
  <c r="W612" i="6"/>
  <c r="W620" i="6"/>
  <c r="W628" i="6"/>
  <c r="W636" i="6"/>
  <c r="W644" i="6"/>
  <c r="W652" i="6"/>
  <c r="W660" i="6"/>
  <c r="W668" i="6"/>
  <c r="W676" i="6"/>
  <c r="W684" i="6"/>
  <c r="W692" i="6"/>
  <c r="W700" i="6"/>
  <c r="W708" i="6"/>
  <c r="W716" i="6"/>
  <c r="W724" i="6"/>
  <c r="W732" i="6"/>
  <c r="W740" i="6"/>
  <c r="W748" i="6"/>
  <c r="W756" i="6"/>
  <c r="W764" i="6"/>
  <c r="W772" i="6"/>
  <c r="W780" i="6"/>
  <c r="W788" i="6"/>
  <c r="W796" i="6"/>
  <c r="W804" i="6"/>
  <c r="W812" i="6"/>
  <c r="W820" i="6"/>
  <c r="W828" i="6"/>
  <c r="W836" i="6"/>
  <c r="W844" i="6"/>
  <c r="W852" i="6"/>
  <c r="W860" i="6"/>
  <c r="W868" i="6"/>
  <c r="V713" i="6"/>
  <c r="V1058" i="6"/>
  <c r="V1128" i="6"/>
  <c r="V1192" i="6"/>
  <c r="V1256" i="6"/>
  <c r="V1320" i="6"/>
  <c r="V1384" i="6"/>
  <c r="W64" i="6"/>
  <c r="W128" i="6"/>
  <c r="W167" i="6"/>
  <c r="W199" i="6"/>
  <c r="W216" i="6"/>
  <c r="W226" i="6"/>
  <c r="W238" i="6"/>
  <c r="W248" i="6"/>
  <c r="W258" i="6"/>
  <c r="W267"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493" i="6"/>
  <c r="W501" i="6"/>
  <c r="W509" i="6"/>
  <c r="W517" i="6"/>
  <c r="W525" i="6"/>
  <c r="W533" i="6"/>
  <c r="W541" i="6"/>
  <c r="W549" i="6"/>
  <c r="W557" i="6"/>
  <c r="W565" i="6"/>
  <c r="W573" i="6"/>
  <c r="W581" i="6"/>
  <c r="W589" i="6"/>
  <c r="W597" i="6"/>
  <c r="W605" i="6"/>
  <c r="W613" i="6"/>
  <c r="W621" i="6"/>
  <c r="W629" i="6"/>
  <c r="W637" i="6"/>
  <c r="W645" i="6"/>
  <c r="W653" i="6"/>
  <c r="W661" i="6"/>
  <c r="W669" i="6"/>
  <c r="W677" i="6"/>
  <c r="W685" i="6"/>
  <c r="W693" i="6"/>
  <c r="W701" i="6"/>
  <c r="W709" i="6"/>
  <c r="W717" i="6"/>
  <c r="W725" i="6"/>
  <c r="W733" i="6"/>
  <c r="W741" i="6"/>
  <c r="W749" i="6"/>
  <c r="W757" i="6"/>
  <c r="W765" i="6"/>
  <c r="W773" i="6"/>
  <c r="W781" i="6"/>
  <c r="V777" i="6"/>
  <c r="V1071" i="6"/>
  <c r="V1136" i="6"/>
  <c r="V1200" i="6"/>
  <c r="V1264" i="6"/>
  <c r="V1328" i="6"/>
  <c r="W8" i="6"/>
  <c r="W72" i="6"/>
  <c r="W136" i="6"/>
  <c r="W168" i="6"/>
  <c r="W200" i="6"/>
  <c r="W217" i="6"/>
  <c r="W229" i="6"/>
  <c r="W239" i="6"/>
  <c r="W249" i="6"/>
  <c r="W259" i="6"/>
  <c r="W269"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494" i="6"/>
  <c r="W502" i="6"/>
  <c r="W510" i="6"/>
  <c r="W518" i="6"/>
  <c r="W526" i="6"/>
  <c r="W534" i="6"/>
  <c r="W542" i="6"/>
  <c r="W550" i="6"/>
  <c r="W558" i="6"/>
  <c r="W566" i="6"/>
  <c r="W574" i="6"/>
  <c r="W582" i="6"/>
  <c r="W590" i="6"/>
  <c r="W598" i="6"/>
  <c r="W606" i="6"/>
  <c r="W614" i="6"/>
  <c r="W622" i="6"/>
  <c r="W630" i="6"/>
  <c r="W638" i="6"/>
  <c r="W646" i="6"/>
  <c r="W654" i="6"/>
  <c r="W662" i="6"/>
  <c r="W670" i="6"/>
  <c r="W678" i="6"/>
  <c r="W686" i="6"/>
  <c r="W694" i="6"/>
  <c r="W702" i="6"/>
  <c r="W710" i="6"/>
  <c r="W718" i="6"/>
  <c r="W726" i="6"/>
  <c r="W734" i="6"/>
  <c r="W742" i="6"/>
  <c r="W750" i="6"/>
  <c r="W758" i="6"/>
  <c r="W766" i="6"/>
  <c r="W774" i="6"/>
  <c r="W782" i="6"/>
  <c r="W790" i="6"/>
  <c r="W798" i="6"/>
  <c r="V841" i="6"/>
  <c r="V1080" i="6"/>
  <c r="V1144" i="6"/>
  <c r="V1208" i="6"/>
  <c r="V1272" i="6"/>
  <c r="V1336" i="6"/>
  <c r="W16" i="6"/>
  <c r="W80" i="6"/>
  <c r="W143" i="6"/>
  <c r="W175" i="6"/>
  <c r="W202" i="6"/>
  <c r="W218" i="6"/>
  <c r="W230" i="6"/>
  <c r="W240" i="6"/>
  <c r="W250" i="6"/>
  <c r="W261" i="6"/>
  <c r="W270"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495" i="6"/>
  <c r="W503" i="6"/>
  <c r="W511" i="6"/>
  <c r="W519" i="6"/>
  <c r="W527" i="6"/>
  <c r="W535" i="6"/>
  <c r="W543" i="6"/>
  <c r="W551" i="6"/>
  <c r="W559" i="6"/>
  <c r="W567" i="6"/>
  <c r="W575" i="6"/>
  <c r="W583" i="6"/>
  <c r="W591" i="6"/>
  <c r="W599" i="6"/>
  <c r="W607" i="6"/>
  <c r="W615" i="6"/>
  <c r="W623" i="6"/>
  <c r="W631" i="6"/>
  <c r="W639" i="6"/>
  <c r="W647" i="6"/>
  <c r="W655" i="6"/>
  <c r="W663" i="6"/>
  <c r="W671" i="6"/>
  <c r="W679" i="6"/>
  <c r="W687" i="6"/>
  <c r="W695" i="6"/>
  <c r="W703" i="6"/>
  <c r="W711" i="6"/>
  <c r="W719" i="6"/>
  <c r="W727" i="6"/>
  <c r="W735" i="6"/>
  <c r="W743" i="6"/>
  <c r="W751" i="6"/>
  <c r="W759" i="6"/>
  <c r="W767" i="6"/>
  <c r="W775" i="6"/>
  <c r="W783" i="6"/>
  <c r="W791" i="6"/>
  <c r="W799" i="6"/>
  <c r="W807" i="6"/>
  <c r="W815" i="6"/>
  <c r="V905" i="6"/>
  <c r="W144" i="6"/>
  <c r="W271" i="6"/>
  <c r="W336" i="6"/>
  <c r="W400" i="6"/>
  <c r="W464" i="6"/>
  <c r="W528" i="6"/>
  <c r="W592" i="6"/>
  <c r="W656" i="6"/>
  <c r="W720" i="6"/>
  <c r="W784" i="6"/>
  <c r="W805" i="6"/>
  <c r="W817" i="6"/>
  <c r="W827" i="6"/>
  <c r="W837" i="6"/>
  <c r="W846" i="6"/>
  <c r="W855" i="6"/>
  <c r="W864" i="6"/>
  <c r="W873" i="6"/>
  <c r="W881" i="6"/>
  <c r="W889" i="6"/>
  <c r="W897" i="6"/>
  <c r="W905" i="6"/>
  <c r="W913" i="6"/>
  <c r="W921" i="6"/>
  <c r="W929" i="6"/>
  <c r="W937" i="6"/>
  <c r="W945" i="6"/>
  <c r="W953" i="6"/>
  <c r="W961" i="6"/>
  <c r="W969" i="6"/>
  <c r="W977" i="6"/>
  <c r="W985" i="6"/>
  <c r="W993" i="6"/>
  <c r="W1001" i="6"/>
  <c r="W1009" i="6"/>
  <c r="W1017" i="6"/>
  <c r="W1025" i="6"/>
  <c r="W1033" i="6"/>
  <c r="W1041" i="6"/>
  <c r="W1049" i="6"/>
  <c r="W1057" i="6"/>
  <c r="W1065" i="6"/>
  <c r="W1073" i="6"/>
  <c r="W1081" i="6"/>
  <c r="W1089" i="6"/>
  <c r="W1097" i="6"/>
  <c r="W1105" i="6"/>
  <c r="W1113" i="6"/>
  <c r="W1121" i="6"/>
  <c r="W1129" i="6"/>
  <c r="W1137" i="6"/>
  <c r="W1145" i="6"/>
  <c r="W1153" i="6"/>
  <c r="W1161" i="6"/>
  <c r="W1169" i="6"/>
  <c r="W1177" i="6"/>
  <c r="W1185" i="6"/>
  <c r="W1193" i="6"/>
  <c r="W1201" i="6"/>
  <c r="W1209" i="6"/>
  <c r="W1217" i="6"/>
  <c r="W1225" i="6"/>
  <c r="W1233" i="6"/>
  <c r="W1241" i="6"/>
  <c r="W1249" i="6"/>
  <c r="W1257" i="6"/>
  <c r="W1265" i="6"/>
  <c r="W1273" i="6"/>
  <c r="W1281" i="6"/>
  <c r="W1289" i="6"/>
  <c r="W1297" i="6"/>
  <c r="W1305" i="6"/>
  <c r="W1313" i="6"/>
  <c r="W1321" i="6"/>
  <c r="W1329" i="6"/>
  <c r="W1337" i="6"/>
  <c r="W1345" i="6"/>
  <c r="W1353" i="6"/>
  <c r="W1361" i="6"/>
  <c r="W1369" i="6"/>
  <c r="W1377" i="6"/>
  <c r="W1385" i="6"/>
  <c r="AC9" i="6"/>
  <c r="AC17" i="6"/>
  <c r="V1088" i="6"/>
  <c r="W176" i="6"/>
  <c r="W280" i="6"/>
  <c r="W344" i="6"/>
  <c r="W408" i="6"/>
  <c r="W472" i="6"/>
  <c r="W536" i="6"/>
  <c r="W600" i="6"/>
  <c r="W664" i="6"/>
  <c r="W728" i="6"/>
  <c r="W785" i="6"/>
  <c r="W806" i="6"/>
  <c r="W818" i="6"/>
  <c r="W829" i="6"/>
  <c r="W838" i="6"/>
  <c r="W847" i="6"/>
  <c r="W856" i="6"/>
  <c r="W865" i="6"/>
  <c r="W874" i="6"/>
  <c r="W882" i="6"/>
  <c r="W890" i="6"/>
  <c r="W898" i="6"/>
  <c r="W906" i="6"/>
  <c r="W914" i="6"/>
  <c r="W922" i="6"/>
  <c r="W930" i="6"/>
  <c r="W938" i="6"/>
  <c r="W946" i="6"/>
  <c r="W954" i="6"/>
  <c r="W962" i="6"/>
  <c r="W970" i="6"/>
  <c r="W978" i="6"/>
  <c r="W986" i="6"/>
  <c r="W994" i="6"/>
  <c r="W1002" i="6"/>
  <c r="W1010" i="6"/>
  <c r="W1018" i="6"/>
  <c r="W1026" i="6"/>
  <c r="W1034" i="6"/>
  <c r="W1042" i="6"/>
  <c r="W1050" i="6"/>
  <c r="W1058" i="6"/>
  <c r="W1066" i="6"/>
  <c r="W1074" i="6"/>
  <c r="W1082" i="6"/>
  <c r="W1090" i="6"/>
  <c r="W1098" i="6"/>
  <c r="W1106" i="6"/>
  <c r="W1114" i="6"/>
  <c r="W1122" i="6"/>
  <c r="W1130" i="6"/>
  <c r="W1138" i="6"/>
  <c r="W1146" i="6"/>
  <c r="W1154" i="6"/>
  <c r="W1162" i="6"/>
  <c r="W1170" i="6"/>
  <c r="W1178" i="6"/>
  <c r="W1186" i="6"/>
  <c r="W1194" i="6"/>
  <c r="W1202" i="6"/>
  <c r="W1210" i="6"/>
  <c r="W1218" i="6"/>
  <c r="W1226" i="6"/>
  <c r="W1234" i="6"/>
  <c r="W1242" i="6"/>
  <c r="W1250" i="6"/>
  <c r="W1258" i="6"/>
  <c r="W1266" i="6"/>
  <c r="W1274" i="6"/>
  <c r="W1282" i="6"/>
  <c r="W1290" i="6"/>
  <c r="W1298" i="6"/>
  <c r="W1306" i="6"/>
  <c r="W1314" i="6"/>
  <c r="W1322" i="6"/>
  <c r="W1330" i="6"/>
  <c r="W1338" i="6"/>
  <c r="W1346" i="6"/>
  <c r="W1354" i="6"/>
  <c r="W1362" i="6"/>
  <c r="W1370" i="6"/>
  <c r="W1378" i="6"/>
  <c r="W1386" i="6"/>
  <c r="AC10" i="6"/>
  <c r="AC18" i="6"/>
  <c r="V1152" i="6"/>
  <c r="W207" i="6"/>
  <c r="W288" i="6"/>
  <c r="W352" i="6"/>
  <c r="W416" i="6"/>
  <c r="W480" i="6"/>
  <c r="W544" i="6"/>
  <c r="W608" i="6"/>
  <c r="W672" i="6"/>
  <c r="W736" i="6"/>
  <c r="W789" i="6"/>
  <c r="W808" i="6"/>
  <c r="W821" i="6"/>
  <c r="W830" i="6"/>
  <c r="W839" i="6"/>
  <c r="W848" i="6"/>
  <c r="W857" i="6"/>
  <c r="W866" i="6"/>
  <c r="W875" i="6"/>
  <c r="W883" i="6"/>
  <c r="W891" i="6"/>
  <c r="W899" i="6"/>
  <c r="W907" i="6"/>
  <c r="W915" i="6"/>
  <c r="W923" i="6"/>
  <c r="W931" i="6"/>
  <c r="W939" i="6"/>
  <c r="W947" i="6"/>
  <c r="W955" i="6"/>
  <c r="W963" i="6"/>
  <c r="W971" i="6"/>
  <c r="W979" i="6"/>
  <c r="W987" i="6"/>
  <c r="W995" i="6"/>
  <c r="W1003" i="6"/>
  <c r="W1011" i="6"/>
  <c r="W1019" i="6"/>
  <c r="W1027" i="6"/>
  <c r="W1035" i="6"/>
  <c r="W1043" i="6"/>
  <c r="W1051" i="6"/>
  <c r="W1059" i="6"/>
  <c r="W1067" i="6"/>
  <c r="W1075" i="6"/>
  <c r="W1083" i="6"/>
  <c r="W1091" i="6"/>
  <c r="W1099" i="6"/>
  <c r="W1107" i="6"/>
  <c r="W1115" i="6"/>
  <c r="W1123" i="6"/>
  <c r="W1131" i="6"/>
  <c r="W1139" i="6"/>
  <c r="W1147" i="6"/>
  <c r="W1155" i="6"/>
  <c r="W1163" i="6"/>
  <c r="W1171" i="6"/>
  <c r="W1179" i="6"/>
  <c r="W1187" i="6"/>
  <c r="W1195" i="6"/>
  <c r="W1203" i="6"/>
  <c r="W1211" i="6"/>
  <c r="W1219" i="6"/>
  <c r="W1227" i="6"/>
  <c r="W1235" i="6"/>
  <c r="W1243" i="6"/>
  <c r="W1251" i="6"/>
  <c r="W1259" i="6"/>
  <c r="W1267" i="6"/>
  <c r="W1275" i="6"/>
  <c r="W1283" i="6"/>
  <c r="W1291" i="6"/>
  <c r="W1299" i="6"/>
  <c r="W1307" i="6"/>
  <c r="W1315" i="6"/>
  <c r="W1323" i="6"/>
  <c r="W1331" i="6"/>
  <c r="V1216" i="6"/>
  <c r="W221" i="6"/>
  <c r="W296" i="6"/>
  <c r="W360" i="6"/>
  <c r="W424" i="6"/>
  <c r="W488" i="6"/>
  <c r="W552" i="6"/>
  <c r="W616" i="6"/>
  <c r="W680" i="6"/>
  <c r="W744" i="6"/>
  <c r="W792" i="6"/>
  <c r="W809" i="6"/>
  <c r="W822" i="6"/>
  <c r="W831" i="6"/>
  <c r="W840" i="6"/>
  <c r="W849" i="6"/>
  <c r="W858" i="6"/>
  <c r="W867" i="6"/>
  <c r="W876" i="6"/>
  <c r="W884" i="6"/>
  <c r="W892" i="6"/>
  <c r="W900" i="6"/>
  <c r="W908" i="6"/>
  <c r="W916" i="6"/>
  <c r="W924" i="6"/>
  <c r="W932" i="6"/>
  <c r="W940" i="6"/>
  <c r="W948" i="6"/>
  <c r="W956" i="6"/>
  <c r="W964" i="6"/>
  <c r="W972" i="6"/>
  <c r="W980" i="6"/>
  <c r="W988" i="6"/>
  <c r="W996" i="6"/>
  <c r="W1004" i="6"/>
  <c r="W1012" i="6"/>
  <c r="W1020" i="6"/>
  <c r="W1028" i="6"/>
  <c r="W1036" i="6"/>
  <c r="W1044" i="6"/>
  <c r="W1052" i="6"/>
  <c r="W1060" i="6"/>
  <c r="W1068" i="6"/>
  <c r="W1076" i="6"/>
  <c r="W1084" i="6"/>
  <c r="W1092" i="6"/>
  <c r="W1100" i="6"/>
  <c r="W1108" i="6"/>
  <c r="W1116" i="6"/>
  <c r="W1124" i="6"/>
  <c r="W1132" i="6"/>
  <c r="W1140" i="6"/>
  <c r="W1148" i="6"/>
  <c r="W1156" i="6"/>
  <c r="W1164" i="6"/>
  <c r="W1172" i="6"/>
  <c r="W1180" i="6"/>
  <c r="W1188" i="6"/>
  <c r="W1196" i="6"/>
  <c r="W1204" i="6"/>
  <c r="W1212" i="6"/>
  <c r="W1220" i="6"/>
  <c r="W1228" i="6"/>
  <c r="W1236" i="6"/>
  <c r="W1244" i="6"/>
  <c r="W1252" i="6"/>
  <c r="W1260" i="6"/>
  <c r="W1268" i="6"/>
  <c r="W1276" i="6"/>
  <c r="W1284" i="6"/>
  <c r="W1292" i="6"/>
  <c r="W1300" i="6"/>
  <c r="W1308" i="6"/>
  <c r="W1316" i="6"/>
  <c r="W1324" i="6"/>
  <c r="W1332" i="6"/>
  <c r="W1340" i="6"/>
  <c r="W1348" i="6"/>
  <c r="W1356" i="6"/>
  <c r="W1364" i="6"/>
  <c r="W1372" i="6"/>
  <c r="W1380" i="6"/>
  <c r="AC4" i="6"/>
  <c r="AC12" i="6"/>
  <c r="AC20" i="6"/>
  <c r="AC28" i="6"/>
  <c r="AC36" i="6"/>
  <c r="AC44" i="6"/>
  <c r="AC52" i="6"/>
  <c r="AC60" i="6"/>
  <c r="AC68" i="6"/>
  <c r="AC76" i="6"/>
  <c r="AC84" i="6"/>
  <c r="AC92" i="6"/>
  <c r="AC100" i="6"/>
  <c r="AC108" i="6"/>
  <c r="AC116" i="6"/>
  <c r="AC124" i="6"/>
  <c r="AC132" i="6"/>
  <c r="V1280" i="6"/>
  <c r="W231" i="6"/>
  <c r="W304" i="6"/>
  <c r="W368" i="6"/>
  <c r="W432" i="6"/>
  <c r="W496" i="6"/>
  <c r="W560" i="6"/>
  <c r="W624" i="6"/>
  <c r="W688" i="6"/>
  <c r="W752" i="6"/>
  <c r="W793" i="6"/>
  <c r="W810" i="6"/>
  <c r="W823" i="6"/>
  <c r="W832" i="6"/>
  <c r="W841" i="6"/>
  <c r="W850" i="6"/>
  <c r="W859" i="6"/>
  <c r="W869" i="6"/>
  <c r="W877" i="6"/>
  <c r="W885" i="6"/>
  <c r="W893" i="6"/>
  <c r="W901" i="6"/>
  <c r="W909" i="6"/>
  <c r="W917" i="6"/>
  <c r="W925" i="6"/>
  <c r="W933" i="6"/>
  <c r="W941" i="6"/>
  <c r="W949" i="6"/>
  <c r="W957" i="6"/>
  <c r="W965" i="6"/>
  <c r="W973" i="6"/>
  <c r="W981" i="6"/>
  <c r="W989" i="6"/>
  <c r="W997" i="6"/>
  <c r="W1005" i="6"/>
  <c r="W1013" i="6"/>
  <c r="W1021" i="6"/>
  <c r="W1029" i="6"/>
  <c r="W1037" i="6"/>
  <c r="W1045" i="6"/>
  <c r="W1053" i="6"/>
  <c r="W1061" i="6"/>
  <c r="W1069" i="6"/>
  <c r="W1077" i="6"/>
  <c r="W1085" i="6"/>
  <c r="W1093" i="6"/>
  <c r="W1101" i="6"/>
  <c r="W1109" i="6"/>
  <c r="W1117" i="6"/>
  <c r="W1125" i="6"/>
  <c r="W1133" i="6"/>
  <c r="W1141" i="6"/>
  <c r="W1149" i="6"/>
  <c r="W1157" i="6"/>
  <c r="W1165" i="6"/>
  <c r="W1173" i="6"/>
  <c r="W1181" i="6"/>
  <c r="W1189" i="6"/>
  <c r="W1197" i="6"/>
  <c r="W1205" i="6"/>
  <c r="W1213" i="6"/>
  <c r="W1221" i="6"/>
  <c r="W1229" i="6"/>
  <c r="W1237" i="6"/>
  <c r="W1245" i="6"/>
  <c r="W1253" i="6"/>
  <c r="W1261" i="6"/>
  <c r="W1269" i="6"/>
  <c r="W1277" i="6"/>
  <c r="W1285" i="6"/>
  <c r="W1293" i="6"/>
  <c r="W1301" i="6"/>
  <c r="W1309" i="6"/>
  <c r="W1317" i="6"/>
  <c r="W1325" i="6"/>
  <c r="W1333" i="6"/>
  <c r="W1341" i="6"/>
  <c r="W1349" i="6"/>
  <c r="W1357" i="6"/>
  <c r="W1365" i="6"/>
  <c r="W1373" i="6"/>
  <c r="W1381" i="6"/>
  <c r="AC5" i="6"/>
  <c r="AC13" i="6"/>
  <c r="AC21" i="6"/>
  <c r="V1344" i="6"/>
  <c r="W241" i="6"/>
  <c r="W312" i="6"/>
  <c r="W376" i="6"/>
  <c r="W440" i="6"/>
  <c r="W504" i="6"/>
  <c r="W568" i="6"/>
  <c r="W632" i="6"/>
  <c r="W696" i="6"/>
  <c r="W760" i="6"/>
  <c r="W797" i="6"/>
  <c r="W813" i="6"/>
  <c r="W824" i="6"/>
  <c r="W833" i="6"/>
  <c r="W842" i="6"/>
  <c r="W851" i="6"/>
  <c r="W861" i="6"/>
  <c r="W870" i="6"/>
  <c r="W878" i="6"/>
  <c r="W886" i="6"/>
  <c r="W894" i="6"/>
  <c r="W902" i="6"/>
  <c r="W910" i="6"/>
  <c r="W918" i="6"/>
  <c r="W926" i="6"/>
  <c r="W934" i="6"/>
  <c r="W942" i="6"/>
  <c r="W950" i="6"/>
  <c r="W958" i="6"/>
  <c r="W966" i="6"/>
  <c r="W974" i="6"/>
  <c r="W982" i="6"/>
  <c r="W990" i="6"/>
  <c r="W998" i="6"/>
  <c r="W1006" i="6"/>
  <c r="W1014" i="6"/>
  <c r="W1022" i="6"/>
  <c r="W1030" i="6"/>
  <c r="W1038" i="6"/>
  <c r="W1046" i="6"/>
  <c r="W1054" i="6"/>
  <c r="W1062" i="6"/>
  <c r="W1070" i="6"/>
  <c r="W1078" i="6"/>
  <c r="W1086" i="6"/>
  <c r="W1094" i="6"/>
  <c r="W1102" i="6"/>
  <c r="W1110" i="6"/>
  <c r="W1118" i="6"/>
  <c r="W1126" i="6"/>
  <c r="W1134" i="6"/>
  <c r="W1142" i="6"/>
  <c r="W1150" i="6"/>
  <c r="W1158" i="6"/>
  <c r="W1166" i="6"/>
  <c r="W1174" i="6"/>
  <c r="W1182" i="6"/>
  <c r="W1190" i="6"/>
  <c r="W1198" i="6"/>
  <c r="W1206" i="6"/>
  <c r="W1214" i="6"/>
  <c r="W1222" i="6"/>
  <c r="W1230" i="6"/>
  <c r="W1238" i="6"/>
  <c r="W1246" i="6"/>
  <c r="W1254" i="6"/>
  <c r="W1262" i="6"/>
  <c r="W1270" i="6"/>
  <c r="W1278" i="6"/>
  <c r="W1286" i="6"/>
  <c r="W1294" i="6"/>
  <c r="W1302" i="6"/>
  <c r="W1310" i="6"/>
  <c r="W1318" i="6"/>
  <c r="W1326" i="6"/>
  <c r="W1334" i="6"/>
  <c r="W1342" i="6"/>
  <c r="W24" i="6"/>
  <c r="W253" i="6"/>
  <c r="W320" i="6"/>
  <c r="W384" i="6"/>
  <c r="W448" i="6"/>
  <c r="W512" i="6"/>
  <c r="W576" i="6"/>
  <c r="W640" i="6"/>
  <c r="W704" i="6"/>
  <c r="W768" i="6"/>
  <c r="W800" i="6"/>
  <c r="W814" i="6"/>
  <c r="W825" i="6"/>
  <c r="W834" i="6"/>
  <c r="W843" i="6"/>
  <c r="W853" i="6"/>
  <c r="W862" i="6"/>
  <c r="W871" i="6"/>
  <c r="W879" i="6"/>
  <c r="W887" i="6"/>
  <c r="W895" i="6"/>
  <c r="W903" i="6"/>
  <c r="W911" i="6"/>
  <c r="W919" i="6"/>
  <c r="W927" i="6"/>
  <c r="W935" i="6"/>
  <c r="W943" i="6"/>
  <c r="W951" i="6"/>
  <c r="W959" i="6"/>
  <c r="W967" i="6"/>
  <c r="W975" i="6"/>
  <c r="W983" i="6"/>
  <c r="W991" i="6"/>
  <c r="W999" i="6"/>
  <c r="W1007" i="6"/>
  <c r="W1015" i="6"/>
  <c r="W1023" i="6"/>
  <c r="W1031" i="6"/>
  <c r="W1039" i="6"/>
  <c r="W1047" i="6"/>
  <c r="W1055" i="6"/>
  <c r="W1063" i="6"/>
  <c r="W1071" i="6"/>
  <c r="W1079" i="6"/>
  <c r="W1087" i="6"/>
  <c r="W88" i="6"/>
  <c r="W712" i="6"/>
  <c r="W863" i="6"/>
  <c r="W928" i="6"/>
  <c r="W992" i="6"/>
  <c r="W1056" i="6"/>
  <c r="W1104" i="6"/>
  <c r="W1136" i="6"/>
  <c r="W1168" i="6"/>
  <c r="W262" i="6"/>
  <c r="W776" i="6"/>
  <c r="W872" i="6"/>
  <c r="W936" i="6"/>
  <c r="W1000" i="6"/>
  <c r="W1064" i="6"/>
  <c r="W1111" i="6"/>
  <c r="W1143" i="6"/>
  <c r="W1175" i="6"/>
  <c r="W1207" i="6"/>
  <c r="W1239" i="6"/>
  <c r="W1271" i="6"/>
  <c r="W1303" i="6"/>
  <c r="W1335" i="6"/>
  <c r="W1352" i="6"/>
  <c r="W1368" i="6"/>
  <c r="W1384" i="6"/>
  <c r="AC16" i="6"/>
  <c r="AC29" i="6"/>
  <c r="AC38" i="6"/>
  <c r="AC47" i="6"/>
  <c r="AC56" i="6"/>
  <c r="AC65" i="6"/>
  <c r="AC74" i="6"/>
  <c r="AC83" i="6"/>
  <c r="AC93" i="6"/>
  <c r="AC102" i="6"/>
  <c r="AC111" i="6"/>
  <c r="AC120" i="6"/>
  <c r="AC129" i="6"/>
  <c r="AC138" i="6"/>
  <c r="AC146" i="6"/>
  <c r="AC154" i="6"/>
  <c r="AC162" i="6"/>
  <c r="AC170" i="6"/>
  <c r="AC178" i="6"/>
  <c r="AC186" i="6"/>
  <c r="AC194" i="6"/>
  <c r="AC202" i="6"/>
  <c r="AC210" i="6"/>
  <c r="AC218" i="6"/>
  <c r="AC226" i="6"/>
  <c r="AC234" i="6"/>
  <c r="AC242" i="6"/>
  <c r="AC250" i="6"/>
  <c r="AC258" i="6"/>
  <c r="AC266" i="6"/>
  <c r="AC274" i="6"/>
  <c r="AC282" i="6"/>
  <c r="AC290" i="6"/>
  <c r="AC298" i="6"/>
  <c r="AC306" i="6"/>
  <c r="AC314" i="6"/>
  <c r="AC322" i="6"/>
  <c r="AC330" i="6"/>
  <c r="AC338" i="6"/>
  <c r="AC346" i="6"/>
  <c r="AC354" i="6"/>
  <c r="AC362" i="6"/>
  <c r="AC370" i="6"/>
  <c r="AC378" i="6"/>
  <c r="AC386" i="6"/>
  <c r="AC394" i="6"/>
  <c r="AC402" i="6"/>
  <c r="AC410" i="6"/>
  <c r="AC418" i="6"/>
  <c r="AC426" i="6"/>
  <c r="AC434" i="6"/>
  <c r="AC442" i="6"/>
  <c r="AC450" i="6"/>
  <c r="AC458" i="6"/>
  <c r="AC466" i="6"/>
  <c r="AC474" i="6"/>
  <c r="AC482" i="6"/>
  <c r="AC490" i="6"/>
  <c r="AC498" i="6"/>
  <c r="AC506" i="6"/>
  <c r="AC514" i="6"/>
  <c r="AC522" i="6"/>
  <c r="AC530" i="6"/>
  <c r="AC538" i="6"/>
  <c r="AC546" i="6"/>
  <c r="AC554" i="6"/>
  <c r="AC562" i="6"/>
  <c r="AC570" i="6"/>
  <c r="AC578" i="6"/>
  <c r="W328" i="6"/>
  <c r="W801" i="6"/>
  <c r="W880" i="6"/>
  <c r="W944" i="6"/>
  <c r="W1008" i="6"/>
  <c r="W1072" i="6"/>
  <c r="W1112" i="6"/>
  <c r="W1144" i="6"/>
  <c r="W1176" i="6"/>
  <c r="W1208" i="6"/>
  <c r="W1240" i="6"/>
  <c r="W1272" i="6"/>
  <c r="W1304" i="6"/>
  <c r="W1336" i="6"/>
  <c r="W1355" i="6"/>
  <c r="W1371" i="6"/>
  <c r="W3" i="6"/>
  <c r="AC19" i="6"/>
  <c r="AC30" i="6"/>
  <c r="AC39" i="6"/>
  <c r="AC48" i="6"/>
  <c r="AC57" i="6"/>
  <c r="AC66" i="6"/>
  <c r="AC75" i="6"/>
  <c r="AC85" i="6"/>
  <c r="AC94" i="6"/>
  <c r="AC103" i="6"/>
  <c r="AC112" i="6"/>
  <c r="AC121" i="6"/>
  <c r="AC130" i="6"/>
  <c r="AC139" i="6"/>
  <c r="AC147" i="6"/>
  <c r="AC155" i="6"/>
  <c r="AC163" i="6"/>
  <c r="AC171" i="6"/>
  <c r="AC179" i="6"/>
  <c r="AC187" i="6"/>
  <c r="AC195" i="6"/>
  <c r="AC203" i="6"/>
  <c r="AC211" i="6"/>
  <c r="AC219" i="6"/>
  <c r="AC227" i="6"/>
  <c r="AC235" i="6"/>
  <c r="AC243" i="6"/>
  <c r="AC251" i="6"/>
  <c r="AC259" i="6"/>
  <c r="AC267" i="6"/>
  <c r="AC275" i="6"/>
  <c r="AC283" i="6"/>
  <c r="AC291" i="6"/>
  <c r="AC299" i="6"/>
  <c r="AC307" i="6"/>
  <c r="AC315" i="6"/>
  <c r="AC323" i="6"/>
  <c r="AC331" i="6"/>
  <c r="AC339" i="6"/>
  <c r="AC347" i="6"/>
  <c r="AC355" i="6"/>
  <c r="AC363" i="6"/>
  <c r="AC371" i="6"/>
  <c r="AC379" i="6"/>
  <c r="AC387" i="6"/>
  <c r="AC395" i="6"/>
  <c r="AC403" i="6"/>
  <c r="AC411" i="6"/>
  <c r="AC419" i="6"/>
  <c r="AC427" i="6"/>
  <c r="AC435" i="6"/>
  <c r="AC443" i="6"/>
  <c r="AC451" i="6"/>
  <c r="AC459" i="6"/>
  <c r="AC467" i="6"/>
  <c r="AC475" i="6"/>
  <c r="AC483" i="6"/>
  <c r="AC491" i="6"/>
  <c r="AC499" i="6"/>
  <c r="AC507" i="6"/>
  <c r="AC515" i="6"/>
  <c r="AC523" i="6"/>
  <c r="AC531" i="6"/>
  <c r="AC539" i="6"/>
  <c r="AC547" i="6"/>
  <c r="AC555" i="6"/>
  <c r="AC563" i="6"/>
  <c r="AC571" i="6"/>
  <c r="AC579" i="6"/>
  <c r="AC587" i="6"/>
  <c r="AC595" i="6"/>
  <c r="AC603" i="6"/>
  <c r="AC611" i="6"/>
  <c r="W392" i="6"/>
  <c r="W816" i="6"/>
  <c r="W888" i="6"/>
  <c r="W952" i="6"/>
  <c r="W1016" i="6"/>
  <c r="W1080" i="6"/>
  <c r="W1119" i="6"/>
  <c r="W1151" i="6"/>
  <c r="W1183" i="6"/>
  <c r="W1215" i="6"/>
  <c r="W1247" i="6"/>
  <c r="W1279" i="6"/>
  <c r="W1311" i="6"/>
  <c r="W1339" i="6"/>
  <c r="W1358" i="6"/>
  <c r="W1374" i="6"/>
  <c r="AC6" i="6"/>
  <c r="AC22" i="6"/>
  <c r="AC31" i="6"/>
  <c r="AC40" i="6"/>
  <c r="AC49" i="6"/>
  <c r="AC58" i="6"/>
  <c r="AC67" i="6"/>
  <c r="AC77" i="6"/>
  <c r="AC86" i="6"/>
  <c r="AC95" i="6"/>
  <c r="AC104" i="6"/>
  <c r="AC113" i="6"/>
  <c r="AC122" i="6"/>
  <c r="AC131" i="6"/>
  <c r="AC140" i="6"/>
  <c r="AC148" i="6"/>
  <c r="AC156" i="6"/>
  <c r="AC164" i="6"/>
  <c r="AC172" i="6"/>
  <c r="AC180" i="6"/>
  <c r="AC188" i="6"/>
  <c r="AC196" i="6"/>
  <c r="AC204" i="6"/>
  <c r="AC212" i="6"/>
  <c r="AC220" i="6"/>
  <c r="AC228" i="6"/>
  <c r="AC236" i="6"/>
  <c r="AC244" i="6"/>
  <c r="AC252" i="6"/>
  <c r="AC260" i="6"/>
  <c r="AC268" i="6"/>
  <c r="AC276" i="6"/>
  <c r="AC284" i="6"/>
  <c r="AC292" i="6"/>
  <c r="AC300" i="6"/>
  <c r="AC308" i="6"/>
  <c r="AC316" i="6"/>
  <c r="AC324" i="6"/>
  <c r="AC332" i="6"/>
  <c r="AC340" i="6"/>
  <c r="AC348" i="6"/>
  <c r="AC356" i="6"/>
  <c r="AC364" i="6"/>
  <c r="AC372" i="6"/>
  <c r="AC380" i="6"/>
  <c r="AC388" i="6"/>
  <c r="AC396" i="6"/>
  <c r="AC404" i="6"/>
  <c r="AC412" i="6"/>
  <c r="AC420" i="6"/>
  <c r="AC428" i="6"/>
  <c r="AC436" i="6"/>
  <c r="AC444" i="6"/>
  <c r="AC452" i="6"/>
  <c r="AC460" i="6"/>
  <c r="AC468" i="6"/>
  <c r="AC476" i="6"/>
  <c r="AC484" i="6"/>
  <c r="AC492" i="6"/>
  <c r="AC500" i="6"/>
  <c r="AC508" i="6"/>
  <c r="AC516" i="6"/>
  <c r="AC524" i="6"/>
  <c r="AC532" i="6"/>
  <c r="AC540" i="6"/>
  <c r="AC548" i="6"/>
  <c r="AC556" i="6"/>
  <c r="AC564" i="6"/>
  <c r="AC572" i="6"/>
  <c r="AC580" i="6"/>
  <c r="AC588" i="6"/>
  <c r="AC596" i="6"/>
  <c r="AC604" i="6"/>
  <c r="AC612" i="6"/>
  <c r="AC620" i="6"/>
  <c r="AC628" i="6"/>
  <c r="AC636" i="6"/>
  <c r="W456" i="6"/>
  <c r="W826" i="6"/>
  <c r="W896" i="6"/>
  <c r="W960" i="6"/>
  <c r="W1024" i="6"/>
  <c r="W1088" i="6"/>
  <c r="W1120" i="6"/>
  <c r="W1152" i="6"/>
  <c r="W1184" i="6"/>
  <c r="W1216" i="6"/>
  <c r="W1248" i="6"/>
  <c r="W1280" i="6"/>
  <c r="W1312" i="6"/>
  <c r="W1343" i="6"/>
  <c r="W1359" i="6"/>
  <c r="W1375" i="6"/>
  <c r="AC7" i="6"/>
  <c r="AC23" i="6"/>
  <c r="AC32" i="6"/>
  <c r="AC41" i="6"/>
  <c r="AC50" i="6"/>
  <c r="AC59" i="6"/>
  <c r="AC69" i="6"/>
  <c r="AC78" i="6"/>
  <c r="AC87" i="6"/>
  <c r="AC96" i="6"/>
  <c r="AC105" i="6"/>
  <c r="AC114" i="6"/>
  <c r="AC123" i="6"/>
  <c r="AC133" i="6"/>
  <c r="AC141" i="6"/>
  <c r="AC149" i="6"/>
  <c r="AC157" i="6"/>
  <c r="AC165" i="6"/>
  <c r="AC173" i="6"/>
  <c r="AC181" i="6"/>
  <c r="AC189" i="6"/>
  <c r="AC197" i="6"/>
  <c r="AC205" i="6"/>
  <c r="AC213" i="6"/>
  <c r="AC221" i="6"/>
  <c r="AC229" i="6"/>
  <c r="AC237" i="6"/>
  <c r="AC245" i="6"/>
  <c r="AC253" i="6"/>
  <c r="AC261" i="6"/>
  <c r="AC269" i="6"/>
  <c r="AC277" i="6"/>
  <c r="AC285" i="6"/>
  <c r="AC293" i="6"/>
  <c r="AC301" i="6"/>
  <c r="AC309" i="6"/>
  <c r="AC317" i="6"/>
  <c r="AC325" i="6"/>
  <c r="AC333" i="6"/>
  <c r="AC341" i="6"/>
  <c r="AC349" i="6"/>
  <c r="AC357" i="6"/>
  <c r="AC365" i="6"/>
  <c r="AC373" i="6"/>
  <c r="AC381" i="6"/>
  <c r="AC389" i="6"/>
  <c r="AC397" i="6"/>
  <c r="AC405" i="6"/>
  <c r="AC413" i="6"/>
  <c r="AC421" i="6"/>
  <c r="AC429" i="6"/>
  <c r="AC437" i="6"/>
  <c r="AC445" i="6"/>
  <c r="AC453" i="6"/>
  <c r="AC461" i="6"/>
  <c r="AC469" i="6"/>
  <c r="AC477" i="6"/>
  <c r="AC485" i="6"/>
  <c r="AC493" i="6"/>
  <c r="AC501" i="6"/>
  <c r="AC509" i="6"/>
  <c r="AC517" i="6"/>
  <c r="AC525" i="6"/>
  <c r="AC533" i="6"/>
  <c r="AC541" i="6"/>
  <c r="AC549" i="6"/>
  <c r="AC557" i="6"/>
  <c r="AC565" i="6"/>
  <c r="W520" i="6"/>
  <c r="W835" i="6"/>
  <c r="W904" i="6"/>
  <c r="W968" i="6"/>
  <c r="W1032" i="6"/>
  <c r="W1095" i="6"/>
  <c r="W1127" i="6"/>
  <c r="W1159" i="6"/>
  <c r="W1191" i="6"/>
  <c r="W1223" i="6"/>
  <c r="W1255" i="6"/>
  <c r="W1287" i="6"/>
  <c r="W1319" i="6"/>
  <c r="W1344" i="6"/>
  <c r="W1360" i="6"/>
  <c r="W1376" i="6"/>
  <c r="AC8" i="6"/>
  <c r="AC24" i="6"/>
  <c r="AC33" i="6"/>
  <c r="AC42" i="6"/>
  <c r="AC51" i="6"/>
  <c r="AC61" i="6"/>
  <c r="AC70" i="6"/>
  <c r="AC79" i="6"/>
  <c r="AC88" i="6"/>
  <c r="AC97" i="6"/>
  <c r="AC106" i="6"/>
  <c r="AC115" i="6"/>
  <c r="AC125" i="6"/>
  <c r="AC134" i="6"/>
  <c r="AC142" i="6"/>
  <c r="AC150" i="6"/>
  <c r="AC158" i="6"/>
  <c r="AC166" i="6"/>
  <c r="AC174" i="6"/>
  <c r="AC182" i="6"/>
  <c r="AC190" i="6"/>
  <c r="AC198" i="6"/>
  <c r="AC206" i="6"/>
  <c r="AC214" i="6"/>
  <c r="AC222" i="6"/>
  <c r="AC230" i="6"/>
  <c r="AC238" i="6"/>
  <c r="AC246" i="6"/>
  <c r="AC254" i="6"/>
  <c r="AC262" i="6"/>
  <c r="AC270" i="6"/>
  <c r="AC278" i="6"/>
  <c r="AC286" i="6"/>
  <c r="AC294" i="6"/>
  <c r="AC302" i="6"/>
  <c r="AC310" i="6"/>
  <c r="AC318" i="6"/>
  <c r="AC326" i="6"/>
  <c r="AC334" i="6"/>
  <c r="AC342" i="6"/>
  <c r="AC350" i="6"/>
  <c r="AC358" i="6"/>
  <c r="AC366" i="6"/>
  <c r="AC374" i="6"/>
  <c r="AC382" i="6"/>
  <c r="AC390" i="6"/>
  <c r="AC398" i="6"/>
  <c r="AC406" i="6"/>
  <c r="AC414" i="6"/>
  <c r="AC422" i="6"/>
  <c r="AC430" i="6"/>
  <c r="AC438" i="6"/>
  <c r="AC446" i="6"/>
  <c r="AC454" i="6"/>
  <c r="AC462" i="6"/>
  <c r="AC470" i="6"/>
  <c r="AC478" i="6"/>
  <c r="AC486" i="6"/>
  <c r="AC494" i="6"/>
  <c r="AC502" i="6"/>
  <c r="AC510" i="6"/>
  <c r="AC518" i="6"/>
  <c r="AC526" i="6"/>
  <c r="AC534" i="6"/>
  <c r="AC542" i="6"/>
  <c r="AC550" i="6"/>
  <c r="AC558" i="6"/>
  <c r="AC566" i="6"/>
  <c r="AC574" i="6"/>
  <c r="W584" i="6"/>
  <c r="W845" i="6"/>
  <c r="W912" i="6"/>
  <c r="W976" i="6"/>
  <c r="W1040" i="6"/>
  <c r="W1096" i="6"/>
  <c r="W1128" i="6"/>
  <c r="W1160" i="6"/>
  <c r="W1192" i="6"/>
  <c r="W1224" i="6"/>
  <c r="W1256" i="6"/>
  <c r="W1288" i="6"/>
  <c r="W1320" i="6"/>
  <c r="W1347" i="6"/>
  <c r="W1363" i="6"/>
  <c r="W1379" i="6"/>
  <c r="AC11" i="6"/>
  <c r="AC25" i="6"/>
  <c r="AC34" i="6"/>
  <c r="AC43" i="6"/>
  <c r="AC53" i="6"/>
  <c r="AC62" i="6"/>
  <c r="AC71" i="6"/>
  <c r="AC80" i="6"/>
  <c r="AC89" i="6"/>
  <c r="AC98" i="6"/>
  <c r="AC107" i="6"/>
  <c r="AC117" i="6"/>
  <c r="AC126" i="6"/>
  <c r="AC135" i="6"/>
  <c r="AC143" i="6"/>
  <c r="AC151" i="6"/>
  <c r="AC159" i="6"/>
  <c r="AC167" i="6"/>
  <c r="AC175" i="6"/>
  <c r="AC183" i="6"/>
  <c r="AC191" i="6"/>
  <c r="AC199" i="6"/>
  <c r="AC207" i="6"/>
  <c r="AC215" i="6"/>
  <c r="AC223" i="6"/>
  <c r="AC231" i="6"/>
  <c r="AC239" i="6"/>
  <c r="AC247" i="6"/>
  <c r="AC255" i="6"/>
  <c r="AC263" i="6"/>
  <c r="AC271" i="6"/>
  <c r="AC279" i="6"/>
  <c r="AC287" i="6"/>
  <c r="AC295" i="6"/>
  <c r="AC303" i="6"/>
  <c r="AC311" i="6"/>
  <c r="AC319" i="6"/>
  <c r="AC327" i="6"/>
  <c r="AC335" i="6"/>
  <c r="AC343" i="6"/>
  <c r="AC351" i="6"/>
  <c r="AC359" i="6"/>
  <c r="AC367" i="6"/>
  <c r="AC375" i="6"/>
  <c r="AC383" i="6"/>
  <c r="AC391" i="6"/>
  <c r="AC399" i="6"/>
  <c r="AC407" i="6"/>
  <c r="AC415" i="6"/>
  <c r="AC423" i="6"/>
  <c r="AC431" i="6"/>
  <c r="AC439" i="6"/>
  <c r="W648" i="6"/>
  <c r="W854" i="6"/>
  <c r="W920" i="6"/>
  <c r="W984" i="6"/>
  <c r="W1048" i="6"/>
  <c r="W1103" i="6"/>
  <c r="W1135" i="6"/>
  <c r="W1167" i="6"/>
  <c r="W1199" i="6"/>
  <c r="W1231" i="6"/>
  <c r="W1263" i="6"/>
  <c r="W1295" i="6"/>
  <c r="W1327" i="6"/>
  <c r="W1350" i="6"/>
  <c r="W1366" i="6"/>
  <c r="W1382" i="6"/>
  <c r="AC14" i="6"/>
  <c r="AC26" i="6"/>
  <c r="AC35" i="6"/>
  <c r="AC45" i="6"/>
  <c r="AC54" i="6"/>
  <c r="AC63" i="6"/>
  <c r="AC72" i="6"/>
  <c r="AC81" i="6"/>
  <c r="AC90" i="6"/>
  <c r="AC99" i="6"/>
  <c r="AC109" i="6"/>
  <c r="AC118" i="6"/>
  <c r="AC127" i="6"/>
  <c r="AC136" i="6"/>
  <c r="AC144" i="6"/>
  <c r="AC152" i="6"/>
  <c r="AC160" i="6"/>
  <c r="AC168" i="6"/>
  <c r="AC176" i="6"/>
  <c r="AC184" i="6"/>
  <c r="AC192" i="6"/>
  <c r="AC200" i="6"/>
  <c r="AC208" i="6"/>
  <c r="AC216" i="6"/>
  <c r="AC224" i="6"/>
  <c r="AC232" i="6"/>
  <c r="AC240" i="6"/>
  <c r="AC248" i="6"/>
  <c r="AC256" i="6"/>
  <c r="AC264" i="6"/>
  <c r="AC272" i="6"/>
  <c r="AC280" i="6"/>
  <c r="AC288" i="6"/>
  <c r="W1232" i="6"/>
  <c r="AC27" i="6"/>
  <c r="AC101" i="6"/>
  <c r="AC169" i="6"/>
  <c r="AC233" i="6"/>
  <c r="AC296" i="6"/>
  <c r="AC328" i="6"/>
  <c r="AC360" i="6"/>
  <c r="AC392" i="6"/>
  <c r="AC424" i="6"/>
  <c r="AC449" i="6"/>
  <c r="AC472" i="6"/>
  <c r="AC495" i="6"/>
  <c r="AC513" i="6"/>
  <c r="AC536" i="6"/>
  <c r="AC559" i="6"/>
  <c r="AC576" i="6"/>
  <c r="AC589" i="6"/>
  <c r="AC599" i="6"/>
  <c r="AC609" i="6"/>
  <c r="AC619" i="6"/>
  <c r="AC629" i="6"/>
  <c r="AC638" i="6"/>
  <c r="AC646" i="6"/>
  <c r="AC654" i="6"/>
  <c r="AC662" i="6"/>
  <c r="AC670" i="6"/>
  <c r="AC678" i="6"/>
  <c r="AC686" i="6"/>
  <c r="AC694" i="6"/>
  <c r="AC702" i="6"/>
  <c r="AC710" i="6"/>
  <c r="AC718" i="6"/>
  <c r="AC726" i="6"/>
  <c r="AC734" i="6"/>
  <c r="AC742" i="6"/>
  <c r="AC750" i="6"/>
  <c r="AC758" i="6"/>
  <c r="AC766" i="6"/>
  <c r="AC774" i="6"/>
  <c r="AC782" i="6"/>
  <c r="AC790" i="6"/>
  <c r="AC798" i="6"/>
  <c r="AC806" i="6"/>
  <c r="AC814" i="6"/>
  <c r="AC822" i="6"/>
  <c r="AC830" i="6"/>
  <c r="AC838" i="6"/>
  <c r="AC846" i="6"/>
  <c r="AC854" i="6"/>
  <c r="AC862" i="6"/>
  <c r="AC870" i="6"/>
  <c r="AC878" i="6"/>
  <c r="AC886" i="6"/>
  <c r="AC894" i="6"/>
  <c r="AC902" i="6"/>
  <c r="AC910" i="6"/>
  <c r="AC918" i="6"/>
  <c r="AC926" i="6"/>
  <c r="AC934" i="6"/>
  <c r="AC942" i="6"/>
  <c r="AC950" i="6"/>
  <c r="AC958" i="6"/>
  <c r="AC966" i="6"/>
  <c r="AC974" i="6"/>
  <c r="AC982" i="6"/>
  <c r="AC990" i="6"/>
  <c r="AC998" i="6"/>
  <c r="AC1006" i="6"/>
  <c r="AC1014" i="6"/>
  <c r="AC1022" i="6"/>
  <c r="AC1030" i="6"/>
  <c r="AC1038" i="6"/>
  <c r="AC1046" i="6"/>
  <c r="AC1054" i="6"/>
  <c r="AC1062" i="6"/>
  <c r="AC1070" i="6"/>
  <c r="AC1078" i="6"/>
  <c r="AC1086" i="6"/>
  <c r="AC1094" i="6"/>
  <c r="AC1102" i="6"/>
  <c r="AC1110" i="6"/>
  <c r="AC1118" i="6"/>
  <c r="AC1126" i="6"/>
  <c r="AC1134" i="6"/>
  <c r="AC1142" i="6"/>
  <c r="W1264" i="6"/>
  <c r="AC37" i="6"/>
  <c r="AC110" i="6"/>
  <c r="AC177" i="6"/>
  <c r="AC241" i="6"/>
  <c r="AC297" i="6"/>
  <c r="AC329" i="6"/>
  <c r="AC361" i="6"/>
  <c r="AC393" i="6"/>
  <c r="AC425" i="6"/>
  <c r="AC455" i="6"/>
  <c r="AC473" i="6"/>
  <c r="AC496" i="6"/>
  <c r="AC519" i="6"/>
  <c r="AC537" i="6"/>
  <c r="AC560" i="6"/>
  <c r="AC577" i="6"/>
  <c r="AC590" i="6"/>
  <c r="AC600" i="6"/>
  <c r="AC610" i="6"/>
  <c r="AC621" i="6"/>
  <c r="AC630" i="6"/>
  <c r="AC639" i="6"/>
  <c r="AC647" i="6"/>
  <c r="AC655" i="6"/>
  <c r="AC663" i="6"/>
  <c r="AC671" i="6"/>
  <c r="AC679" i="6"/>
  <c r="AC687" i="6"/>
  <c r="AC695" i="6"/>
  <c r="AC703" i="6"/>
  <c r="AC711" i="6"/>
  <c r="AC719" i="6"/>
  <c r="AC727" i="6"/>
  <c r="AC735" i="6"/>
  <c r="AC743" i="6"/>
  <c r="AC751" i="6"/>
  <c r="AC759" i="6"/>
  <c r="AC767" i="6"/>
  <c r="AC775" i="6"/>
  <c r="AC783" i="6"/>
  <c r="AC791" i="6"/>
  <c r="AC799" i="6"/>
  <c r="AC807" i="6"/>
  <c r="AC815" i="6"/>
  <c r="AC823" i="6"/>
  <c r="AC831" i="6"/>
  <c r="AC839" i="6"/>
  <c r="AC847" i="6"/>
  <c r="AC855" i="6"/>
  <c r="AC863" i="6"/>
  <c r="AC871" i="6"/>
  <c r="AC879" i="6"/>
  <c r="AC887" i="6"/>
  <c r="AC895" i="6"/>
  <c r="AC903" i="6"/>
  <c r="AC911" i="6"/>
  <c r="AC919" i="6"/>
  <c r="AC927" i="6"/>
  <c r="AC935" i="6"/>
  <c r="AC943" i="6"/>
  <c r="AC951" i="6"/>
  <c r="AC959" i="6"/>
  <c r="AC967" i="6"/>
  <c r="AC975" i="6"/>
  <c r="AC983" i="6"/>
  <c r="AC991" i="6"/>
  <c r="AC999" i="6"/>
  <c r="AC1007" i="6"/>
  <c r="AC1015" i="6"/>
  <c r="AC1023" i="6"/>
  <c r="AC1031" i="6"/>
  <c r="AC1039" i="6"/>
  <c r="AC1047" i="6"/>
  <c r="AC1055" i="6"/>
  <c r="AC1063" i="6"/>
  <c r="AC1071" i="6"/>
  <c r="AC1079" i="6"/>
  <c r="AC1087" i="6"/>
  <c r="AC1095" i="6"/>
  <c r="AC1103" i="6"/>
  <c r="AC1111" i="6"/>
  <c r="AC1119" i="6"/>
  <c r="AC1127" i="6"/>
  <c r="AC1135" i="6"/>
  <c r="AC1143" i="6"/>
  <c r="AC1151" i="6"/>
  <c r="AC1159" i="6"/>
  <c r="AC1167" i="6"/>
  <c r="AC1175" i="6"/>
  <c r="AC1183" i="6"/>
  <c r="AC1191" i="6"/>
  <c r="AC1199" i="6"/>
  <c r="AC1207" i="6"/>
  <c r="AC1215" i="6"/>
  <c r="W1296" i="6"/>
  <c r="AC46" i="6"/>
  <c r="AC119" i="6"/>
  <c r="AC185" i="6"/>
  <c r="AC249" i="6"/>
  <c r="AC304" i="6"/>
  <c r="AC336" i="6"/>
  <c r="AC368" i="6"/>
  <c r="AC400" i="6"/>
  <c r="AC432" i="6"/>
  <c r="AC456" i="6"/>
  <c r="AC479" i="6"/>
  <c r="AC497" i="6"/>
  <c r="AC520" i="6"/>
  <c r="AC543" i="6"/>
  <c r="AC561" i="6"/>
  <c r="AC581" i="6"/>
  <c r="AC591" i="6"/>
  <c r="AC601" i="6"/>
  <c r="AC613" i="6"/>
  <c r="AC622" i="6"/>
  <c r="AC631" i="6"/>
  <c r="AC640" i="6"/>
  <c r="AC648" i="6"/>
  <c r="AC656" i="6"/>
  <c r="AC664" i="6"/>
  <c r="AC672" i="6"/>
  <c r="AC680" i="6"/>
  <c r="AC688" i="6"/>
  <c r="AC696" i="6"/>
  <c r="AC704" i="6"/>
  <c r="AC712" i="6"/>
  <c r="AC720" i="6"/>
  <c r="AC728" i="6"/>
  <c r="AC736" i="6"/>
  <c r="AC744" i="6"/>
  <c r="AC752" i="6"/>
  <c r="AC760" i="6"/>
  <c r="AC768" i="6"/>
  <c r="AC776" i="6"/>
  <c r="AC784" i="6"/>
  <c r="AC792" i="6"/>
  <c r="AC800" i="6"/>
  <c r="AC808" i="6"/>
  <c r="AC816" i="6"/>
  <c r="AC824" i="6"/>
  <c r="AC832" i="6"/>
  <c r="AC840" i="6"/>
  <c r="AC848" i="6"/>
  <c r="AC856" i="6"/>
  <c r="AC864" i="6"/>
  <c r="AC872" i="6"/>
  <c r="AC880" i="6"/>
  <c r="AC888" i="6"/>
  <c r="AC896" i="6"/>
  <c r="AC904" i="6"/>
  <c r="AC912" i="6"/>
  <c r="AC920" i="6"/>
  <c r="AC928" i="6"/>
  <c r="AC936" i="6"/>
  <c r="AC944" i="6"/>
  <c r="AC952" i="6"/>
  <c r="AC960" i="6"/>
  <c r="AC968" i="6"/>
  <c r="AC976" i="6"/>
  <c r="AC984" i="6"/>
  <c r="AC992" i="6"/>
  <c r="AC1000" i="6"/>
  <c r="AC1008" i="6"/>
  <c r="AC1016" i="6"/>
  <c r="AC1024" i="6"/>
  <c r="AC1032" i="6"/>
  <c r="AC1040" i="6"/>
  <c r="AC1048" i="6"/>
  <c r="AC1056" i="6"/>
  <c r="AC1064" i="6"/>
  <c r="AC1072" i="6"/>
  <c r="AC1080" i="6"/>
  <c r="AC1088" i="6"/>
  <c r="AC1096" i="6"/>
  <c r="AC1104" i="6"/>
  <c r="AC1112" i="6"/>
  <c r="AC1120" i="6"/>
  <c r="AC1128" i="6"/>
  <c r="AC1136" i="6"/>
  <c r="AC1144" i="6"/>
  <c r="W1328" i="6"/>
  <c r="AC55" i="6"/>
  <c r="AC128" i="6"/>
  <c r="AC193" i="6"/>
  <c r="AC257" i="6"/>
  <c r="AC305" i="6"/>
  <c r="AC337" i="6"/>
  <c r="AC369" i="6"/>
  <c r="AC401" i="6"/>
  <c r="AC433" i="6"/>
  <c r="AC457" i="6"/>
  <c r="AC480" i="6"/>
  <c r="AC503" i="6"/>
  <c r="AC521" i="6"/>
  <c r="AC544" i="6"/>
  <c r="AC567" i="6"/>
  <c r="AC582" i="6"/>
  <c r="AC592" i="6"/>
  <c r="AC602" i="6"/>
  <c r="AC614" i="6"/>
  <c r="AC623" i="6"/>
  <c r="AC632" i="6"/>
  <c r="AC641" i="6"/>
  <c r="AC649" i="6"/>
  <c r="AC657" i="6"/>
  <c r="AC665" i="6"/>
  <c r="AC673" i="6"/>
  <c r="AC681" i="6"/>
  <c r="AC689" i="6"/>
  <c r="AC697" i="6"/>
  <c r="AC705" i="6"/>
  <c r="AC713" i="6"/>
  <c r="AC721" i="6"/>
  <c r="AC729" i="6"/>
  <c r="AC737" i="6"/>
  <c r="AC745" i="6"/>
  <c r="AC753" i="6"/>
  <c r="AC761" i="6"/>
  <c r="AC769" i="6"/>
  <c r="AC777" i="6"/>
  <c r="AC785" i="6"/>
  <c r="AC793" i="6"/>
  <c r="AC801" i="6"/>
  <c r="AC809" i="6"/>
  <c r="AC817" i="6"/>
  <c r="AC825" i="6"/>
  <c r="AC833" i="6"/>
  <c r="AC841" i="6"/>
  <c r="AC849" i="6"/>
  <c r="AC857" i="6"/>
  <c r="AC865" i="6"/>
  <c r="AC873" i="6"/>
  <c r="AC881" i="6"/>
  <c r="AC889" i="6"/>
  <c r="AC897" i="6"/>
  <c r="AC905" i="6"/>
  <c r="AC913" i="6"/>
  <c r="AC921" i="6"/>
  <c r="AC929" i="6"/>
  <c r="AC937" i="6"/>
  <c r="AC945" i="6"/>
  <c r="AC953" i="6"/>
  <c r="AC961" i="6"/>
  <c r="AC969" i="6"/>
  <c r="AC977" i="6"/>
  <c r="AC985" i="6"/>
  <c r="AC993" i="6"/>
  <c r="AC1001" i="6"/>
  <c r="AC1009" i="6"/>
  <c r="AC1017" i="6"/>
  <c r="AC1025" i="6"/>
  <c r="AC1033" i="6"/>
  <c r="AC1041" i="6"/>
  <c r="AC1049" i="6"/>
  <c r="AC1057" i="6"/>
  <c r="AC1065" i="6"/>
  <c r="AC1073" i="6"/>
  <c r="AC1081" i="6"/>
  <c r="AC1089" i="6"/>
  <c r="AC1097" i="6"/>
  <c r="AC1105" i="6"/>
  <c r="W1351" i="6"/>
  <c r="AC64" i="6"/>
  <c r="AC137" i="6"/>
  <c r="AC201" i="6"/>
  <c r="AC265" i="6"/>
  <c r="AC312" i="6"/>
  <c r="AC344" i="6"/>
  <c r="AC376" i="6"/>
  <c r="AC408" i="6"/>
  <c r="AC440" i="6"/>
  <c r="AC463" i="6"/>
  <c r="AC481" i="6"/>
  <c r="AC504" i="6"/>
  <c r="AC527" i="6"/>
  <c r="AC545" i="6"/>
  <c r="AC568" i="6"/>
  <c r="AC583" i="6"/>
  <c r="AC593" i="6"/>
  <c r="AC605" i="6"/>
  <c r="AC615" i="6"/>
  <c r="AC624" i="6"/>
  <c r="AC633" i="6"/>
  <c r="AC642" i="6"/>
  <c r="AC650" i="6"/>
  <c r="AC658" i="6"/>
  <c r="AC666" i="6"/>
  <c r="AC674" i="6"/>
  <c r="AC682" i="6"/>
  <c r="AC690" i="6"/>
  <c r="AC698" i="6"/>
  <c r="AC706" i="6"/>
  <c r="AC714" i="6"/>
  <c r="AC722" i="6"/>
  <c r="AC730" i="6"/>
  <c r="AC738" i="6"/>
  <c r="AC746" i="6"/>
  <c r="AC754" i="6"/>
  <c r="AC762" i="6"/>
  <c r="AC770" i="6"/>
  <c r="AC778" i="6"/>
  <c r="AC786" i="6"/>
  <c r="AC794" i="6"/>
  <c r="AC802" i="6"/>
  <c r="AC810" i="6"/>
  <c r="AC818" i="6"/>
  <c r="AC826" i="6"/>
  <c r="AC834" i="6"/>
  <c r="AC842" i="6"/>
  <c r="AC850" i="6"/>
  <c r="AC858" i="6"/>
  <c r="AC866" i="6"/>
  <c r="AC874" i="6"/>
  <c r="AC882" i="6"/>
  <c r="AC890" i="6"/>
  <c r="AC898" i="6"/>
  <c r="AC906" i="6"/>
  <c r="AC914" i="6"/>
  <c r="AC922" i="6"/>
  <c r="AC930" i="6"/>
  <c r="AC938" i="6"/>
  <c r="AC946" i="6"/>
  <c r="AC954" i="6"/>
  <c r="AC962" i="6"/>
  <c r="AC970" i="6"/>
  <c r="AC978" i="6"/>
  <c r="AC986" i="6"/>
  <c r="AC994" i="6"/>
  <c r="AC1002" i="6"/>
  <c r="AC1010" i="6"/>
  <c r="AC1018" i="6"/>
  <c r="AC1026" i="6"/>
  <c r="AC1034" i="6"/>
  <c r="AC1042" i="6"/>
  <c r="AC1050" i="6"/>
  <c r="AC1058" i="6"/>
  <c r="AC1066" i="6"/>
  <c r="AC1074" i="6"/>
  <c r="AC1082" i="6"/>
  <c r="AC1090" i="6"/>
  <c r="AC1098" i="6"/>
  <c r="AC1106" i="6"/>
  <c r="AC1114" i="6"/>
  <c r="AC1122" i="6"/>
  <c r="AC1130" i="6"/>
  <c r="AC1138" i="6"/>
  <c r="AC1146" i="6"/>
  <c r="W1367" i="6"/>
  <c r="AC73" i="6"/>
  <c r="AC145" i="6"/>
  <c r="AC209" i="6"/>
  <c r="AC273" i="6"/>
  <c r="AC313" i="6"/>
  <c r="AC345" i="6"/>
  <c r="AC377" i="6"/>
  <c r="AC409" i="6"/>
  <c r="AC441" i="6"/>
  <c r="AC464" i="6"/>
  <c r="AC487" i="6"/>
  <c r="AC505" i="6"/>
  <c r="AC528" i="6"/>
  <c r="AC551" i="6"/>
  <c r="AC569" i="6"/>
  <c r="AC584" i="6"/>
  <c r="AC594" i="6"/>
  <c r="AC606" i="6"/>
  <c r="AC616" i="6"/>
  <c r="AC625" i="6"/>
  <c r="AC634" i="6"/>
  <c r="AC643" i="6"/>
  <c r="AC651" i="6"/>
  <c r="AC659" i="6"/>
  <c r="AC667" i="6"/>
  <c r="AC675" i="6"/>
  <c r="AC683" i="6"/>
  <c r="AC691" i="6"/>
  <c r="AC699" i="6"/>
  <c r="AC707" i="6"/>
  <c r="AC715" i="6"/>
  <c r="AC723" i="6"/>
  <c r="AC731" i="6"/>
  <c r="AC739" i="6"/>
  <c r="AC747" i="6"/>
  <c r="AC755" i="6"/>
  <c r="AC763" i="6"/>
  <c r="AC771" i="6"/>
  <c r="AC779" i="6"/>
  <c r="AC787" i="6"/>
  <c r="AC795" i="6"/>
  <c r="AC803" i="6"/>
  <c r="AC811" i="6"/>
  <c r="AC819" i="6"/>
  <c r="AC827" i="6"/>
  <c r="AC835" i="6"/>
  <c r="AC843" i="6"/>
  <c r="AC851" i="6"/>
  <c r="AC859" i="6"/>
  <c r="AC867" i="6"/>
  <c r="AC875" i="6"/>
  <c r="AC883" i="6"/>
  <c r="AC891" i="6"/>
  <c r="AC899" i="6"/>
  <c r="AC907" i="6"/>
  <c r="AC915" i="6"/>
  <c r="AC923" i="6"/>
  <c r="AC931" i="6"/>
  <c r="AC939" i="6"/>
  <c r="AC947" i="6"/>
  <c r="AC955" i="6"/>
  <c r="AC963" i="6"/>
  <c r="AC971" i="6"/>
  <c r="AC979" i="6"/>
  <c r="AC987" i="6"/>
  <c r="AC995" i="6"/>
  <c r="AC1003" i="6"/>
  <c r="AC1011" i="6"/>
  <c r="AC1019" i="6"/>
  <c r="AC1027" i="6"/>
  <c r="AC1035" i="6"/>
  <c r="AC1043" i="6"/>
  <c r="AC1051" i="6"/>
  <c r="AC1059" i="6"/>
  <c r="AC1067" i="6"/>
  <c r="AC1075" i="6"/>
  <c r="AC1083" i="6"/>
  <c r="AC1091" i="6"/>
  <c r="AC1099" i="6"/>
  <c r="AC1107" i="6"/>
  <c r="AC1115" i="6"/>
  <c r="AC1123" i="6"/>
  <c r="AC1131" i="6"/>
  <c r="AC1139" i="6"/>
  <c r="AC1147" i="6"/>
  <c r="AC1155" i="6"/>
  <c r="AC1163" i="6"/>
  <c r="AC1171" i="6"/>
  <c r="AC1179" i="6"/>
  <c r="AC1187" i="6"/>
  <c r="AC1195" i="6"/>
  <c r="AC1203" i="6"/>
  <c r="AC1211" i="6"/>
  <c r="AC1219" i="6"/>
  <c r="W1383" i="6"/>
  <c r="AC82" i="6"/>
  <c r="AC153" i="6"/>
  <c r="AC217" i="6"/>
  <c r="AC281" i="6"/>
  <c r="AC320" i="6"/>
  <c r="AC352" i="6"/>
  <c r="AC384" i="6"/>
  <c r="AC416" i="6"/>
  <c r="AC447" i="6"/>
  <c r="AC465" i="6"/>
  <c r="AC488" i="6"/>
  <c r="AC511" i="6"/>
  <c r="AC529" i="6"/>
  <c r="AC552" i="6"/>
  <c r="AC573" i="6"/>
  <c r="AC585" i="6"/>
  <c r="AC597" i="6"/>
  <c r="AC607" i="6"/>
  <c r="AC617" i="6"/>
  <c r="AC626" i="6"/>
  <c r="AC635" i="6"/>
  <c r="AC644" i="6"/>
  <c r="AC652" i="6"/>
  <c r="AC660" i="6"/>
  <c r="AC668" i="6"/>
  <c r="AC676" i="6"/>
  <c r="AC684" i="6"/>
  <c r="AC692" i="6"/>
  <c r="AC700" i="6"/>
  <c r="AC708" i="6"/>
  <c r="AC716" i="6"/>
  <c r="AC724" i="6"/>
  <c r="AC732" i="6"/>
  <c r="AC740" i="6"/>
  <c r="AC748" i="6"/>
  <c r="AC756" i="6"/>
  <c r="AC764" i="6"/>
  <c r="AC772" i="6"/>
  <c r="AC780" i="6"/>
  <c r="AC788" i="6"/>
  <c r="AC796" i="6"/>
  <c r="AC804" i="6"/>
  <c r="AC812" i="6"/>
  <c r="AC820" i="6"/>
  <c r="AC828" i="6"/>
  <c r="AC836" i="6"/>
  <c r="AC844" i="6"/>
  <c r="AC852" i="6"/>
  <c r="AC860" i="6"/>
  <c r="AC868" i="6"/>
  <c r="AC876" i="6"/>
  <c r="AC884" i="6"/>
  <c r="AC892" i="6"/>
  <c r="AC900" i="6"/>
  <c r="AC908" i="6"/>
  <c r="AC916" i="6"/>
  <c r="AC924" i="6"/>
  <c r="AC932" i="6"/>
  <c r="AC940" i="6"/>
  <c r="AC948" i="6"/>
  <c r="AC956" i="6"/>
  <c r="AC964" i="6"/>
  <c r="AC972" i="6"/>
  <c r="AC980" i="6"/>
  <c r="AC988" i="6"/>
  <c r="AC996" i="6"/>
  <c r="AC1004" i="6"/>
  <c r="AC1012" i="6"/>
  <c r="AC1020" i="6"/>
  <c r="AC1028" i="6"/>
  <c r="AC1036" i="6"/>
  <c r="AC1044" i="6"/>
  <c r="AC1052" i="6"/>
  <c r="AC1060" i="6"/>
  <c r="AC1068" i="6"/>
  <c r="AC1076" i="6"/>
  <c r="AC1084" i="6"/>
  <c r="AC1092" i="6"/>
  <c r="AC1100" i="6"/>
  <c r="AC1108" i="6"/>
  <c r="AC1116" i="6"/>
  <c r="AC1124" i="6"/>
  <c r="AC1132" i="6"/>
  <c r="AC1140" i="6"/>
  <c r="W1200" i="6"/>
  <c r="AC385" i="6"/>
  <c r="AC575" i="6"/>
  <c r="AC653" i="6"/>
  <c r="AC717" i="6"/>
  <c r="AC781" i="6"/>
  <c r="AC845" i="6"/>
  <c r="AC909" i="6"/>
  <c r="AC973" i="6"/>
  <c r="AC1037" i="6"/>
  <c r="AC1101" i="6"/>
  <c r="AC1137" i="6"/>
  <c r="AC1154" i="6"/>
  <c r="AC1165" i="6"/>
  <c r="AC1176" i="6"/>
  <c r="AC1186" i="6"/>
  <c r="AC1197" i="6"/>
  <c r="AC1208" i="6"/>
  <c r="AC1218" i="6"/>
  <c r="AC1227" i="6"/>
  <c r="AC1235" i="6"/>
  <c r="AC1243" i="6"/>
  <c r="AC1251" i="6"/>
  <c r="AC1259" i="6"/>
  <c r="AC1267" i="6"/>
  <c r="AC1275" i="6"/>
  <c r="AC1283" i="6"/>
  <c r="AC1291" i="6"/>
  <c r="AC1299" i="6"/>
  <c r="AC1307" i="6"/>
  <c r="AC1315" i="6"/>
  <c r="AC1323" i="6"/>
  <c r="AC1331" i="6"/>
  <c r="AC1339" i="6"/>
  <c r="AC1347" i="6"/>
  <c r="AC1355" i="6"/>
  <c r="AC1363" i="6"/>
  <c r="AC1371" i="6"/>
  <c r="AC1379" i="6"/>
  <c r="AC3" i="6"/>
  <c r="AC15" i="6"/>
  <c r="AC417" i="6"/>
  <c r="AC586" i="6"/>
  <c r="AC661" i="6"/>
  <c r="AC725" i="6"/>
  <c r="AC789" i="6"/>
  <c r="AC853" i="6"/>
  <c r="AC917" i="6"/>
  <c r="AC981" i="6"/>
  <c r="AC1045" i="6"/>
  <c r="AC1109" i="6"/>
  <c r="AC1141" i="6"/>
  <c r="AC1156" i="6"/>
  <c r="AC1166" i="6"/>
  <c r="AC1177" i="6"/>
  <c r="AC1188" i="6"/>
  <c r="AC1198" i="6"/>
  <c r="AC1209" i="6"/>
  <c r="AC1220" i="6"/>
  <c r="AC1228" i="6"/>
  <c r="AC1236" i="6"/>
  <c r="AC1244" i="6"/>
  <c r="AC1252" i="6"/>
  <c r="AC1260" i="6"/>
  <c r="AC1268" i="6"/>
  <c r="AC1276" i="6"/>
  <c r="AC1284" i="6"/>
  <c r="AC1292" i="6"/>
  <c r="AC1300" i="6"/>
  <c r="AC1308" i="6"/>
  <c r="AC1316" i="6"/>
  <c r="AC1324" i="6"/>
  <c r="AC1332" i="6"/>
  <c r="AC1340" i="6"/>
  <c r="AC1348" i="6"/>
  <c r="AC1356" i="6"/>
  <c r="AC1364" i="6"/>
  <c r="AC1372" i="6"/>
  <c r="AC1380" i="6"/>
  <c r="Z4" i="6"/>
  <c r="Z12" i="6"/>
  <c r="Z20" i="6"/>
  <c r="Z28" i="6"/>
  <c r="Z36" i="6"/>
  <c r="Z44" i="6"/>
  <c r="Z52" i="6"/>
  <c r="Z60" i="6"/>
  <c r="Z68" i="6"/>
  <c r="Z76" i="6"/>
  <c r="Z84" i="6"/>
  <c r="Z92" i="6"/>
  <c r="Z100" i="6"/>
  <c r="Z108" i="6"/>
  <c r="Z116" i="6"/>
  <c r="Z124" i="6"/>
  <c r="Z132" i="6"/>
  <c r="Z140" i="6"/>
  <c r="Z148" i="6"/>
  <c r="Z156" i="6"/>
  <c r="Z164" i="6"/>
  <c r="Z172" i="6"/>
  <c r="Z180" i="6"/>
  <c r="Z188" i="6"/>
  <c r="Z196" i="6"/>
  <c r="Z204" i="6"/>
  <c r="Z212" i="6"/>
  <c r="Z220" i="6"/>
  <c r="Z228" i="6"/>
  <c r="Z236" i="6"/>
  <c r="Z244" i="6"/>
  <c r="Z252" i="6"/>
  <c r="Z260" i="6"/>
  <c r="Z268" i="6"/>
  <c r="Z276" i="6"/>
  <c r="Z284" i="6"/>
  <c r="Z292" i="6"/>
  <c r="Z300" i="6"/>
  <c r="Z308" i="6"/>
  <c r="Z316" i="6"/>
  <c r="Z324" i="6"/>
  <c r="Z332" i="6"/>
  <c r="Z340" i="6"/>
  <c r="Z348" i="6"/>
  <c r="Z356" i="6"/>
  <c r="Z364" i="6"/>
  <c r="Z372" i="6"/>
  <c r="Z380" i="6"/>
  <c r="Z388" i="6"/>
  <c r="Z396" i="6"/>
  <c r="Z404" i="6"/>
  <c r="Z412" i="6"/>
  <c r="Z420" i="6"/>
  <c r="Z428" i="6"/>
  <c r="Z436" i="6"/>
  <c r="Z444" i="6"/>
  <c r="Z452" i="6"/>
  <c r="Z460" i="6"/>
  <c r="Z468" i="6"/>
  <c r="Z476" i="6"/>
  <c r="Z484" i="6"/>
  <c r="Z492" i="6"/>
  <c r="Z500" i="6"/>
  <c r="Z508" i="6"/>
  <c r="Z516" i="6"/>
  <c r="Z524" i="6"/>
  <c r="Z532" i="6"/>
  <c r="Z540" i="6"/>
  <c r="Z548" i="6"/>
  <c r="Z556" i="6"/>
  <c r="Z564" i="6"/>
  <c r="Z572" i="6"/>
  <c r="Z580" i="6"/>
  <c r="Z588" i="6"/>
  <c r="Z596" i="6"/>
  <c r="Z604" i="6"/>
  <c r="Z612" i="6"/>
  <c r="Z620" i="6"/>
  <c r="Z628" i="6"/>
  <c r="Z636" i="6"/>
  <c r="Z644" i="6"/>
  <c r="Z652" i="6"/>
  <c r="Z660" i="6"/>
  <c r="Z668" i="6"/>
  <c r="Z676" i="6"/>
  <c r="Z684" i="6"/>
  <c r="Z692" i="6"/>
  <c r="Z700" i="6"/>
  <c r="Z708" i="6"/>
  <c r="Z716" i="6"/>
  <c r="Z724" i="6"/>
  <c r="Z732" i="6"/>
  <c r="Z740" i="6"/>
  <c r="Z748" i="6"/>
  <c r="Z756" i="6"/>
  <c r="Z764" i="6"/>
  <c r="Z772" i="6"/>
  <c r="Z780" i="6"/>
  <c r="Z788" i="6"/>
  <c r="Z796" i="6"/>
  <c r="Z804" i="6"/>
  <c r="Z812" i="6"/>
  <c r="Z820" i="6"/>
  <c r="Z828" i="6"/>
  <c r="Z836" i="6"/>
  <c r="Z844" i="6"/>
  <c r="Z852" i="6"/>
  <c r="Z860" i="6"/>
  <c r="Z868" i="6"/>
  <c r="Z876" i="6"/>
  <c r="Z884" i="6"/>
  <c r="AC91" i="6"/>
  <c r="AC448" i="6"/>
  <c r="AC598" i="6"/>
  <c r="AC669" i="6"/>
  <c r="AC733" i="6"/>
  <c r="AC797" i="6"/>
  <c r="AC861" i="6"/>
  <c r="AC925" i="6"/>
  <c r="AC989" i="6"/>
  <c r="AC1053" i="6"/>
  <c r="AC1113" i="6"/>
  <c r="AC1145" i="6"/>
  <c r="AC1157" i="6"/>
  <c r="AC1168" i="6"/>
  <c r="AC1178" i="6"/>
  <c r="AC1189" i="6"/>
  <c r="AC1200" i="6"/>
  <c r="AC1210" i="6"/>
  <c r="AC1221" i="6"/>
  <c r="AC1229" i="6"/>
  <c r="AC1237" i="6"/>
  <c r="AC1245" i="6"/>
  <c r="AC1253" i="6"/>
  <c r="AC1261" i="6"/>
  <c r="AC1269" i="6"/>
  <c r="AC1277" i="6"/>
  <c r="AC1285" i="6"/>
  <c r="AC1293" i="6"/>
  <c r="AC1301" i="6"/>
  <c r="AC1309" i="6"/>
  <c r="AC1317" i="6"/>
  <c r="AC1325" i="6"/>
  <c r="AC1333" i="6"/>
  <c r="AC1341" i="6"/>
  <c r="AC1349" i="6"/>
  <c r="AC1357" i="6"/>
  <c r="AC1365" i="6"/>
  <c r="AC1373" i="6"/>
  <c r="AC1381" i="6"/>
  <c r="Z5" i="6"/>
  <c r="Z13" i="6"/>
  <c r="Z21" i="6"/>
  <c r="Z29" i="6"/>
  <c r="Z37" i="6"/>
  <c r="Z45" i="6"/>
  <c r="Z53" i="6"/>
  <c r="Z61" i="6"/>
  <c r="Z69" i="6"/>
  <c r="Z77" i="6"/>
  <c r="Z85" i="6"/>
  <c r="Z93" i="6"/>
  <c r="Z101" i="6"/>
  <c r="Z109" i="6"/>
  <c r="Z117" i="6"/>
  <c r="Z125" i="6"/>
  <c r="Z133" i="6"/>
  <c r="Z141" i="6"/>
  <c r="Z149" i="6"/>
  <c r="Z157" i="6"/>
  <c r="Z165" i="6"/>
  <c r="Z173" i="6"/>
  <c r="Z181" i="6"/>
  <c r="Z189" i="6"/>
  <c r="Z197" i="6"/>
  <c r="Z205" i="6"/>
  <c r="Z213" i="6"/>
  <c r="Z221" i="6"/>
  <c r="Z229" i="6"/>
  <c r="Z237" i="6"/>
  <c r="Z245" i="6"/>
  <c r="Z253" i="6"/>
  <c r="Z261" i="6"/>
  <c r="Z269" i="6"/>
  <c r="Z277" i="6"/>
  <c r="Z285" i="6"/>
  <c r="Z293" i="6"/>
  <c r="Z301" i="6"/>
  <c r="Z309" i="6"/>
  <c r="Z317" i="6"/>
  <c r="Z325" i="6"/>
  <c r="Z333" i="6"/>
  <c r="Z341" i="6"/>
  <c r="Z349" i="6"/>
  <c r="Z357" i="6"/>
  <c r="Z365" i="6"/>
  <c r="Z373" i="6"/>
  <c r="Z381" i="6"/>
  <c r="Z389" i="6"/>
  <c r="Z397" i="6"/>
  <c r="Z405" i="6"/>
  <c r="Z413" i="6"/>
  <c r="Z421" i="6"/>
  <c r="Z429" i="6"/>
  <c r="Z437" i="6"/>
  <c r="Z445" i="6"/>
  <c r="Z453" i="6"/>
  <c r="Z461" i="6"/>
  <c r="Z469" i="6"/>
  <c r="Z477" i="6"/>
  <c r="Z485" i="6"/>
  <c r="Z493" i="6"/>
  <c r="Z501" i="6"/>
  <c r="Z509" i="6"/>
  <c r="Z517" i="6"/>
  <c r="Z525" i="6"/>
  <c r="Z533" i="6"/>
  <c r="Z541" i="6"/>
  <c r="Z549" i="6"/>
  <c r="Z557" i="6"/>
  <c r="Z565" i="6"/>
  <c r="Z573" i="6"/>
  <c r="Z581" i="6"/>
  <c r="Z589" i="6"/>
  <c r="Z597" i="6"/>
  <c r="Z605" i="6"/>
  <c r="Z613" i="6"/>
  <c r="Z621" i="6"/>
  <c r="Z629" i="6"/>
  <c r="Z637" i="6"/>
  <c r="Z645" i="6"/>
  <c r="Z653" i="6"/>
  <c r="Z661" i="6"/>
  <c r="Z669" i="6"/>
  <c r="Z677" i="6"/>
  <c r="Z685" i="6"/>
  <c r="Z693" i="6"/>
  <c r="Z701" i="6"/>
  <c r="Z709" i="6"/>
  <c r="Z717" i="6"/>
  <c r="Z725" i="6"/>
  <c r="Z733" i="6"/>
  <c r="Z741" i="6"/>
  <c r="Z749" i="6"/>
  <c r="Z757" i="6"/>
  <c r="Z765" i="6"/>
  <c r="Z773" i="6"/>
  <c r="Z781" i="6"/>
  <c r="Z789" i="6"/>
  <c r="Z797" i="6"/>
  <c r="Z805" i="6"/>
  <c r="Z813" i="6"/>
  <c r="Z821" i="6"/>
  <c r="Z829" i="6"/>
  <c r="Z837" i="6"/>
  <c r="Z845" i="6"/>
  <c r="Z853" i="6"/>
  <c r="Z861" i="6"/>
  <c r="Z869" i="6"/>
  <c r="Z877" i="6"/>
  <c r="Z885" i="6"/>
  <c r="Z893" i="6"/>
  <c r="Z901" i="6"/>
  <c r="Z909" i="6"/>
  <c r="Z917" i="6"/>
  <c r="Z925" i="6"/>
  <c r="Z933" i="6"/>
  <c r="Z941" i="6"/>
  <c r="Z949" i="6"/>
  <c r="Z957" i="6"/>
  <c r="Z965" i="6"/>
  <c r="Z973" i="6"/>
  <c r="Z981" i="6"/>
  <c r="Z989" i="6"/>
  <c r="Z997" i="6"/>
  <c r="Z1005" i="6"/>
  <c r="Z1013" i="6"/>
  <c r="Z1021" i="6"/>
  <c r="Z1029" i="6"/>
  <c r="Z1037" i="6"/>
  <c r="Z1045" i="6"/>
  <c r="AC161" i="6"/>
  <c r="AC471" i="6"/>
  <c r="AC608" i="6"/>
  <c r="AC677" i="6"/>
  <c r="AC741" i="6"/>
  <c r="AC805" i="6"/>
  <c r="AC869" i="6"/>
  <c r="AC933" i="6"/>
  <c r="AC997" i="6"/>
  <c r="AC1061" i="6"/>
  <c r="AC1117" i="6"/>
  <c r="AC1148" i="6"/>
  <c r="AC1158" i="6"/>
  <c r="AC1169" i="6"/>
  <c r="AC1180" i="6"/>
  <c r="AC1190" i="6"/>
  <c r="AC1201" i="6"/>
  <c r="AC1212" i="6"/>
  <c r="AC1222" i="6"/>
  <c r="AC1230" i="6"/>
  <c r="AC1238" i="6"/>
  <c r="AC1246" i="6"/>
  <c r="AC1254" i="6"/>
  <c r="AC1262" i="6"/>
  <c r="AC1270" i="6"/>
  <c r="AC1278" i="6"/>
  <c r="AC1286" i="6"/>
  <c r="AC1294" i="6"/>
  <c r="AC1302" i="6"/>
  <c r="AC1310" i="6"/>
  <c r="AC1318" i="6"/>
  <c r="AC1326" i="6"/>
  <c r="AC1334" i="6"/>
  <c r="AC1342" i="6"/>
  <c r="AC1350" i="6"/>
  <c r="AC1358" i="6"/>
  <c r="AC1366" i="6"/>
  <c r="AC1374" i="6"/>
  <c r="AC1382" i="6"/>
  <c r="Z6" i="6"/>
  <c r="Z14" i="6"/>
  <c r="Z22" i="6"/>
  <c r="Z30" i="6"/>
  <c r="Z38" i="6"/>
  <c r="Z46" i="6"/>
  <c r="Z54" i="6"/>
  <c r="Z62" i="6"/>
  <c r="Z70" i="6"/>
  <c r="Z78" i="6"/>
  <c r="Z86" i="6"/>
  <c r="Z94" i="6"/>
  <c r="Z102" i="6"/>
  <c r="Z110" i="6"/>
  <c r="Z118" i="6"/>
  <c r="Z126" i="6"/>
  <c r="Z134" i="6"/>
  <c r="Z142" i="6"/>
  <c r="Z150" i="6"/>
  <c r="Z158" i="6"/>
  <c r="Z166" i="6"/>
  <c r="Z174" i="6"/>
  <c r="Z182" i="6"/>
  <c r="Z190" i="6"/>
  <c r="Z198" i="6"/>
  <c r="Z206" i="6"/>
  <c r="Z214" i="6"/>
  <c r="Z222" i="6"/>
  <c r="Z230" i="6"/>
  <c r="Z238" i="6"/>
  <c r="Z246" i="6"/>
  <c r="Z254" i="6"/>
  <c r="Z262" i="6"/>
  <c r="Z270" i="6"/>
  <c r="Z278" i="6"/>
  <c r="Z286" i="6"/>
  <c r="Z294" i="6"/>
  <c r="Z302" i="6"/>
  <c r="Z310" i="6"/>
  <c r="Z318" i="6"/>
  <c r="Z326" i="6"/>
  <c r="Z334" i="6"/>
  <c r="Z342" i="6"/>
  <c r="Z350" i="6"/>
  <c r="Z358" i="6"/>
  <c r="Z366" i="6"/>
  <c r="Z374" i="6"/>
  <c r="Z382" i="6"/>
  <c r="Z390" i="6"/>
  <c r="Z398" i="6"/>
  <c r="Z406" i="6"/>
  <c r="Z414" i="6"/>
  <c r="Z422" i="6"/>
  <c r="Z430" i="6"/>
  <c r="Z438" i="6"/>
  <c r="Z446" i="6"/>
  <c r="Z454" i="6"/>
  <c r="Z462" i="6"/>
  <c r="Z470" i="6"/>
  <c r="Z478" i="6"/>
  <c r="Z486" i="6"/>
  <c r="Z494" i="6"/>
  <c r="Z502" i="6"/>
  <c r="Z510" i="6"/>
  <c r="Z518" i="6"/>
  <c r="Z526" i="6"/>
  <c r="Z534" i="6"/>
  <c r="Z542" i="6"/>
  <c r="Z550" i="6"/>
  <c r="Z558" i="6"/>
  <c r="Z566" i="6"/>
  <c r="Z574" i="6"/>
  <c r="Z582" i="6"/>
  <c r="Z590" i="6"/>
  <c r="Z598" i="6"/>
  <c r="Z606" i="6"/>
  <c r="Z614" i="6"/>
  <c r="Z622" i="6"/>
  <c r="Z630" i="6"/>
  <c r="Z638" i="6"/>
  <c r="Z646" i="6"/>
  <c r="Z654" i="6"/>
  <c r="Z662" i="6"/>
  <c r="Z670" i="6"/>
  <c r="Z678" i="6"/>
  <c r="Z686" i="6"/>
  <c r="Z694" i="6"/>
  <c r="Z702" i="6"/>
  <c r="Z710" i="6"/>
  <c r="Z718" i="6"/>
  <c r="Z726" i="6"/>
  <c r="Z734" i="6"/>
  <c r="Z742" i="6"/>
  <c r="Z750" i="6"/>
  <c r="Z758" i="6"/>
  <c r="Z766" i="6"/>
  <c r="Z774" i="6"/>
  <c r="Z782" i="6"/>
  <c r="Z790" i="6"/>
  <c r="Z798" i="6"/>
  <c r="Z806" i="6"/>
  <c r="Z814" i="6"/>
  <c r="Z822" i="6"/>
  <c r="Z830" i="6"/>
  <c r="Z838" i="6"/>
  <c r="Z846" i="6"/>
  <c r="Z854" i="6"/>
  <c r="Z862" i="6"/>
  <c r="Z870" i="6"/>
  <c r="Z878" i="6"/>
  <c r="Z886" i="6"/>
  <c r="AC225" i="6"/>
  <c r="AC489" i="6"/>
  <c r="AC618" i="6"/>
  <c r="AC685" i="6"/>
  <c r="AC749" i="6"/>
  <c r="AC813" i="6"/>
  <c r="AC877" i="6"/>
  <c r="AC941" i="6"/>
  <c r="AC1005" i="6"/>
  <c r="AC1069" i="6"/>
  <c r="AC1121" i="6"/>
  <c r="AC1149" i="6"/>
  <c r="AC1160" i="6"/>
  <c r="AC1170" i="6"/>
  <c r="AC1181" i="6"/>
  <c r="AC1192" i="6"/>
  <c r="AC1202" i="6"/>
  <c r="AC1213" i="6"/>
  <c r="AC1223" i="6"/>
  <c r="AC1231" i="6"/>
  <c r="AC1239" i="6"/>
  <c r="AC1247" i="6"/>
  <c r="AC1255" i="6"/>
  <c r="AC1263" i="6"/>
  <c r="AC1271" i="6"/>
  <c r="AC1279" i="6"/>
  <c r="AC1287" i="6"/>
  <c r="AC1295" i="6"/>
  <c r="AC1303" i="6"/>
  <c r="AC1311" i="6"/>
  <c r="AC1319" i="6"/>
  <c r="AC1327" i="6"/>
  <c r="AC1335" i="6"/>
  <c r="AC1343" i="6"/>
  <c r="AC1351" i="6"/>
  <c r="AC1359" i="6"/>
  <c r="AC1367" i="6"/>
  <c r="AC1375" i="6"/>
  <c r="AC1383" i="6"/>
  <c r="AC289" i="6"/>
  <c r="AC512" i="6"/>
  <c r="AC627" i="6"/>
  <c r="AC693" i="6"/>
  <c r="AC757" i="6"/>
  <c r="AC821" i="6"/>
  <c r="AC885" i="6"/>
  <c r="AC949" i="6"/>
  <c r="AC1013" i="6"/>
  <c r="AC1077" i="6"/>
  <c r="AC1125" i="6"/>
  <c r="AC1150" i="6"/>
  <c r="AC1161" i="6"/>
  <c r="AC1172" i="6"/>
  <c r="AC1182" i="6"/>
  <c r="AC1193" i="6"/>
  <c r="AC1204" i="6"/>
  <c r="AC1214" i="6"/>
  <c r="AC1224" i="6"/>
  <c r="AC1232" i="6"/>
  <c r="AC1240" i="6"/>
  <c r="AC1248" i="6"/>
  <c r="AC1256" i="6"/>
  <c r="AC1264" i="6"/>
  <c r="AC1272" i="6"/>
  <c r="AC1280" i="6"/>
  <c r="AC1288" i="6"/>
  <c r="AC1296" i="6"/>
  <c r="AC1304" i="6"/>
  <c r="AC1312" i="6"/>
  <c r="AC1320" i="6"/>
  <c r="AC1328" i="6"/>
  <c r="AC1336" i="6"/>
  <c r="AC1344" i="6"/>
  <c r="AC1352" i="6"/>
  <c r="AC1360" i="6"/>
  <c r="AC1368" i="6"/>
  <c r="AC1376" i="6"/>
  <c r="AC1384" i="6"/>
  <c r="AC321" i="6"/>
  <c r="AC535" i="6"/>
  <c r="AC637" i="6"/>
  <c r="AC701" i="6"/>
  <c r="AC765" i="6"/>
  <c r="AC829" i="6"/>
  <c r="AC893" i="6"/>
  <c r="AC957" i="6"/>
  <c r="AC1021" i="6"/>
  <c r="AC1085" i="6"/>
  <c r="AC1129" i="6"/>
  <c r="AC1152" i="6"/>
  <c r="AC1162" i="6"/>
  <c r="AC1173" i="6"/>
  <c r="AC1184" i="6"/>
  <c r="AC1194" i="6"/>
  <c r="AC1205" i="6"/>
  <c r="AC1216" i="6"/>
  <c r="AC1225" i="6"/>
  <c r="AC1233" i="6"/>
  <c r="AC1241" i="6"/>
  <c r="AC1249" i="6"/>
  <c r="AC1257" i="6"/>
  <c r="AC1265" i="6"/>
  <c r="AC1273" i="6"/>
  <c r="AC1281" i="6"/>
  <c r="AC1289" i="6"/>
  <c r="AC1297" i="6"/>
  <c r="AC1305" i="6"/>
  <c r="AC1313" i="6"/>
  <c r="AC1321" i="6"/>
  <c r="AC1329" i="6"/>
  <c r="AC1337" i="6"/>
  <c r="AC1345" i="6"/>
  <c r="AC1353" i="6"/>
  <c r="AC1361" i="6"/>
  <c r="AC1369" i="6"/>
  <c r="AC1377" i="6"/>
  <c r="AC1385" i="6"/>
  <c r="Z9" i="6"/>
  <c r="Z17" i="6"/>
  <c r="Z25" i="6"/>
  <c r="Z33" i="6"/>
  <c r="Z41" i="6"/>
  <c r="Z49" i="6"/>
  <c r="Z57" i="6"/>
  <c r="Z65" i="6"/>
  <c r="Z73" i="6"/>
  <c r="Z81" i="6"/>
  <c r="Z89" i="6"/>
  <c r="Z97" i="6"/>
  <c r="Z105" i="6"/>
  <c r="Z113" i="6"/>
  <c r="Z121" i="6"/>
  <c r="Z129" i="6"/>
  <c r="Z137" i="6"/>
  <c r="Z145" i="6"/>
  <c r="Z153" i="6"/>
  <c r="Z161" i="6"/>
  <c r="Z169" i="6"/>
  <c r="Z177" i="6"/>
  <c r="Z185" i="6"/>
  <c r="Z193" i="6"/>
  <c r="Z201" i="6"/>
  <c r="Z209" i="6"/>
  <c r="Z217" i="6"/>
  <c r="Z225" i="6"/>
  <c r="Z233" i="6"/>
  <c r="Z241" i="6"/>
  <c r="Z249" i="6"/>
  <c r="Z257" i="6"/>
  <c r="Z265" i="6"/>
  <c r="Z273" i="6"/>
  <c r="Z281" i="6"/>
  <c r="Z289" i="6"/>
  <c r="Z297" i="6"/>
  <c r="Z305" i="6"/>
  <c r="Z313" i="6"/>
  <c r="Z321" i="6"/>
  <c r="Z329" i="6"/>
  <c r="Z337" i="6"/>
  <c r="Z345" i="6"/>
  <c r="Z353" i="6"/>
  <c r="Z361" i="6"/>
  <c r="Z369" i="6"/>
  <c r="Z377" i="6"/>
  <c r="Z385" i="6"/>
  <c r="Z393" i="6"/>
  <c r="Z401" i="6"/>
  <c r="Z409" i="6"/>
  <c r="Z417" i="6"/>
  <c r="Z425" i="6"/>
  <c r="Z433" i="6"/>
  <c r="Z441" i="6"/>
  <c r="Z449" i="6"/>
  <c r="Z457" i="6"/>
  <c r="Z465" i="6"/>
  <c r="Z473" i="6"/>
  <c r="Z481" i="6"/>
  <c r="Z489" i="6"/>
  <c r="Z497" i="6"/>
  <c r="Z505" i="6"/>
  <c r="Z513" i="6"/>
  <c r="Z521" i="6"/>
  <c r="Z529" i="6"/>
  <c r="Z537" i="6"/>
  <c r="Z545" i="6"/>
  <c r="Z553" i="6"/>
  <c r="Z561" i="6"/>
  <c r="Z569" i="6"/>
  <c r="Z577" i="6"/>
  <c r="Z585" i="6"/>
  <c r="Z593" i="6"/>
  <c r="Z601" i="6"/>
  <c r="Z609" i="6"/>
  <c r="Z617" i="6"/>
  <c r="Z625" i="6"/>
  <c r="Z633" i="6"/>
  <c r="Z641" i="6"/>
  <c r="Z649" i="6"/>
  <c r="Z657" i="6"/>
  <c r="Z665" i="6"/>
  <c r="Z673" i="6"/>
  <c r="Z681" i="6"/>
  <c r="Z689" i="6"/>
  <c r="Z697" i="6"/>
  <c r="Z705" i="6"/>
  <c r="Z713" i="6"/>
  <c r="Z721" i="6"/>
  <c r="Z729" i="6"/>
  <c r="Z737" i="6"/>
  <c r="Z745" i="6"/>
  <c r="Z753" i="6"/>
  <c r="Z761" i="6"/>
  <c r="Z769" i="6"/>
  <c r="Z777" i="6"/>
  <c r="Z785" i="6"/>
  <c r="Z793" i="6"/>
  <c r="Z801" i="6"/>
  <c r="Z809" i="6"/>
  <c r="Z817" i="6"/>
  <c r="Z825" i="6"/>
  <c r="Z833" i="6"/>
  <c r="Z841" i="6"/>
  <c r="Z849" i="6"/>
  <c r="Z857" i="6"/>
  <c r="Z865" i="6"/>
  <c r="Z873" i="6"/>
  <c r="Z881" i="6"/>
  <c r="Z889" i="6"/>
  <c r="Z897" i="6"/>
  <c r="Z905" i="6"/>
  <c r="Z913" i="6"/>
  <c r="Z921" i="6"/>
  <c r="Z929" i="6"/>
  <c r="Z937" i="6"/>
  <c r="Z945" i="6"/>
  <c r="Z953" i="6"/>
  <c r="Z961" i="6"/>
  <c r="Z969" i="6"/>
  <c r="Z977" i="6"/>
  <c r="Z985" i="6"/>
  <c r="Z993" i="6"/>
  <c r="Z1001" i="6"/>
  <c r="Z1009" i="6"/>
  <c r="Z1017" i="6"/>
  <c r="Z1025" i="6"/>
  <c r="Z1033" i="6"/>
  <c r="Z1041" i="6"/>
  <c r="Z1049" i="6"/>
  <c r="AC353" i="6"/>
  <c r="AC553" i="6"/>
  <c r="AC645" i="6"/>
  <c r="AC709" i="6"/>
  <c r="AC773" i="6"/>
  <c r="AC837" i="6"/>
  <c r="AC901" i="6"/>
  <c r="AC965" i="6"/>
  <c r="AC1029" i="6"/>
  <c r="AC1093" i="6"/>
  <c r="AC1133" i="6"/>
  <c r="AC1153" i="6"/>
  <c r="AC1164" i="6"/>
  <c r="AC1174" i="6"/>
  <c r="AC1185" i="6"/>
  <c r="AC1196" i="6"/>
  <c r="AC1206" i="6"/>
  <c r="AC1217" i="6"/>
  <c r="AC1226" i="6"/>
  <c r="AC1234" i="6"/>
  <c r="AC1242" i="6"/>
  <c r="AC1250" i="6"/>
  <c r="AC1258" i="6"/>
  <c r="AC1266" i="6"/>
  <c r="AC1274" i="6"/>
  <c r="AC1282" i="6"/>
  <c r="AC1290" i="6"/>
  <c r="AC1298" i="6"/>
  <c r="AC1306" i="6"/>
  <c r="AC1314" i="6"/>
  <c r="AC1322" i="6"/>
  <c r="AC1330" i="6"/>
  <c r="AC1338" i="6"/>
  <c r="AC1346" i="6"/>
  <c r="AC1354" i="6"/>
  <c r="AC1362" i="6"/>
  <c r="AC1370" i="6"/>
  <c r="AC1378" i="6"/>
  <c r="AC1386" i="6"/>
  <c r="Z7" i="6"/>
  <c r="Z23" i="6"/>
  <c r="Z39" i="6"/>
  <c r="Z55" i="6"/>
  <c r="Z71" i="6"/>
  <c r="Z87" i="6"/>
  <c r="Z103" i="6"/>
  <c r="Z119" i="6"/>
  <c r="Z135" i="6"/>
  <c r="Z151" i="6"/>
  <c r="Z167" i="6"/>
  <c r="Z183" i="6"/>
  <c r="Z199" i="6"/>
  <c r="Z215" i="6"/>
  <c r="Z231" i="6"/>
  <c r="Z247" i="6"/>
  <c r="Z263" i="6"/>
  <c r="Z279" i="6"/>
  <c r="Z295" i="6"/>
  <c r="Z311" i="6"/>
  <c r="Z327" i="6"/>
  <c r="Z343" i="6"/>
  <c r="Z359" i="6"/>
  <c r="Z375" i="6"/>
  <c r="Z391" i="6"/>
  <c r="Z407" i="6"/>
  <c r="Z423" i="6"/>
  <c r="Z439" i="6"/>
  <c r="Z455" i="6"/>
  <c r="Z471" i="6"/>
  <c r="Z487" i="6"/>
  <c r="Z503" i="6"/>
  <c r="Z519" i="6"/>
  <c r="Z535" i="6"/>
  <c r="Z551" i="6"/>
  <c r="Z567" i="6"/>
  <c r="Z583" i="6"/>
  <c r="Z599" i="6"/>
  <c r="Z615" i="6"/>
  <c r="Z631" i="6"/>
  <c r="Z647" i="6"/>
  <c r="Z663" i="6"/>
  <c r="Z679" i="6"/>
  <c r="Z695" i="6"/>
  <c r="Z711" i="6"/>
  <c r="Z727" i="6"/>
  <c r="Z743" i="6"/>
  <c r="Z759" i="6"/>
  <c r="Z775" i="6"/>
  <c r="Z791" i="6"/>
  <c r="Z807" i="6"/>
  <c r="Z823" i="6"/>
  <c r="Z839" i="6"/>
  <c r="Z855" i="6"/>
  <c r="Z871" i="6"/>
  <c r="Z887" i="6"/>
  <c r="Z898" i="6"/>
  <c r="Z908" i="6"/>
  <c r="Z919" i="6"/>
  <c r="Z930" i="6"/>
  <c r="Z940" i="6"/>
  <c r="Z951" i="6"/>
  <c r="Z962" i="6"/>
  <c r="Z972" i="6"/>
  <c r="Z983" i="6"/>
  <c r="Z994" i="6"/>
  <c r="Z1004" i="6"/>
  <c r="Z1015" i="6"/>
  <c r="Z1026" i="6"/>
  <c r="Z1036" i="6"/>
  <c r="Z1047" i="6"/>
  <c r="Z1056" i="6"/>
  <c r="Z1064" i="6"/>
  <c r="Z1072" i="6"/>
  <c r="Z1080" i="6"/>
  <c r="Z1088" i="6"/>
  <c r="Z1096" i="6"/>
  <c r="Z1104" i="6"/>
  <c r="Z1112" i="6"/>
  <c r="Z1120" i="6"/>
  <c r="Z1128" i="6"/>
  <c r="Z1136" i="6"/>
  <c r="Z1144" i="6"/>
  <c r="Z1152" i="6"/>
  <c r="Z1160" i="6"/>
  <c r="Z1168" i="6"/>
  <c r="Z1176" i="6"/>
  <c r="Z1184" i="6"/>
  <c r="Z1192" i="6"/>
  <c r="Z1200" i="6"/>
  <c r="Z1208" i="6"/>
  <c r="Z1216" i="6"/>
  <c r="Z1224" i="6"/>
  <c r="Z1232" i="6"/>
  <c r="Z1240" i="6"/>
  <c r="Z1248" i="6"/>
  <c r="Z1256" i="6"/>
  <c r="Z1264" i="6"/>
  <c r="Z1272" i="6"/>
  <c r="Z1280" i="6"/>
  <c r="Z1288" i="6"/>
  <c r="Z1296" i="6"/>
  <c r="Z1304" i="6"/>
  <c r="Z1312" i="6"/>
  <c r="Z1320" i="6"/>
  <c r="Z1328" i="6"/>
  <c r="Z1336" i="6"/>
  <c r="Z1344" i="6"/>
  <c r="Z1352" i="6"/>
  <c r="Z1360" i="6"/>
  <c r="Z1368" i="6"/>
  <c r="Z1376" i="6"/>
  <c r="Z1384" i="6"/>
  <c r="Z8" i="6"/>
  <c r="Z24" i="6"/>
  <c r="Z40" i="6"/>
  <c r="Z56" i="6"/>
  <c r="Z72" i="6"/>
  <c r="Z88" i="6"/>
  <c r="Z104" i="6"/>
  <c r="Z120" i="6"/>
  <c r="Z136" i="6"/>
  <c r="Z152" i="6"/>
  <c r="Z168" i="6"/>
  <c r="Z184" i="6"/>
  <c r="Z200" i="6"/>
  <c r="Z216" i="6"/>
  <c r="Z232" i="6"/>
  <c r="Z248" i="6"/>
  <c r="Z264" i="6"/>
  <c r="Z280" i="6"/>
  <c r="Z296" i="6"/>
  <c r="Z312" i="6"/>
  <c r="Z328" i="6"/>
  <c r="Z344" i="6"/>
  <c r="Z360" i="6"/>
  <c r="Z376" i="6"/>
  <c r="Z392" i="6"/>
  <c r="Z408" i="6"/>
  <c r="Z424" i="6"/>
  <c r="Z440" i="6"/>
  <c r="Z456" i="6"/>
  <c r="Z472" i="6"/>
  <c r="Z488" i="6"/>
  <c r="Z504" i="6"/>
  <c r="Z520" i="6"/>
  <c r="Z536" i="6"/>
  <c r="Z552" i="6"/>
  <c r="Z568" i="6"/>
  <c r="Z584" i="6"/>
  <c r="Z600" i="6"/>
  <c r="Z616" i="6"/>
  <c r="Z632" i="6"/>
  <c r="Z648" i="6"/>
  <c r="Z664" i="6"/>
  <c r="Z680" i="6"/>
  <c r="Z696" i="6"/>
  <c r="Z712" i="6"/>
  <c r="Z728" i="6"/>
  <c r="Z744" i="6"/>
  <c r="Z760" i="6"/>
  <c r="Z776" i="6"/>
  <c r="Z792" i="6"/>
  <c r="Z808" i="6"/>
  <c r="Z824" i="6"/>
  <c r="Z840" i="6"/>
  <c r="Z856" i="6"/>
  <c r="Z872" i="6"/>
  <c r="Z888" i="6"/>
  <c r="Z899" i="6"/>
  <c r="Z910" i="6"/>
  <c r="Z920" i="6"/>
  <c r="Z931" i="6"/>
  <c r="Z942" i="6"/>
  <c r="Z952" i="6"/>
  <c r="Z963" i="6"/>
  <c r="Z974" i="6"/>
  <c r="Z984" i="6"/>
  <c r="Z995" i="6"/>
  <c r="Z1006" i="6"/>
  <c r="Z1016" i="6"/>
  <c r="Z1027" i="6"/>
  <c r="Z1038" i="6"/>
  <c r="Z1048" i="6"/>
  <c r="Z1057" i="6"/>
  <c r="Z1065" i="6"/>
  <c r="Z1073" i="6"/>
  <c r="Z1081" i="6"/>
  <c r="Z1089" i="6"/>
  <c r="Z1097" i="6"/>
  <c r="Z1105" i="6"/>
  <c r="Z1113" i="6"/>
  <c r="Z1121" i="6"/>
  <c r="Z1129" i="6"/>
  <c r="Z1137" i="6"/>
  <c r="Z1145" i="6"/>
  <c r="Z1153" i="6"/>
  <c r="Z1161" i="6"/>
  <c r="Z1169" i="6"/>
  <c r="Z1177" i="6"/>
  <c r="Z1185" i="6"/>
  <c r="Z1193" i="6"/>
  <c r="Z1201" i="6"/>
  <c r="Z1209" i="6"/>
  <c r="Z1217" i="6"/>
  <c r="Z1225" i="6"/>
  <c r="Z1233" i="6"/>
  <c r="Z1241" i="6"/>
  <c r="Z1249" i="6"/>
  <c r="Z1257" i="6"/>
  <c r="Z1265" i="6"/>
  <c r="Z1273" i="6"/>
  <c r="Z1281" i="6"/>
  <c r="Z1289" i="6"/>
  <c r="Z1297" i="6"/>
  <c r="Z1305" i="6"/>
  <c r="Z1313" i="6"/>
  <c r="Z1321" i="6"/>
  <c r="Z1329" i="6"/>
  <c r="Z1337" i="6"/>
  <c r="Z1345" i="6"/>
  <c r="Z1353" i="6"/>
  <c r="Z1361" i="6"/>
  <c r="Z1369" i="6"/>
  <c r="Z1377" i="6"/>
  <c r="Z1385" i="6"/>
  <c r="Z10" i="6"/>
  <c r="Z26" i="6"/>
  <c r="Z42" i="6"/>
  <c r="Z58" i="6"/>
  <c r="Z74" i="6"/>
  <c r="Z90" i="6"/>
  <c r="Z106" i="6"/>
  <c r="Z122" i="6"/>
  <c r="Z138" i="6"/>
  <c r="Z154" i="6"/>
  <c r="Z170" i="6"/>
  <c r="Z186" i="6"/>
  <c r="Z202" i="6"/>
  <c r="Z218" i="6"/>
  <c r="Z234" i="6"/>
  <c r="Z250" i="6"/>
  <c r="Z266" i="6"/>
  <c r="Z282" i="6"/>
  <c r="Z298" i="6"/>
  <c r="Z314" i="6"/>
  <c r="Z330" i="6"/>
  <c r="Z346" i="6"/>
  <c r="Z362" i="6"/>
  <c r="Z378" i="6"/>
  <c r="Z394" i="6"/>
  <c r="Z410" i="6"/>
  <c r="Z426" i="6"/>
  <c r="Z442" i="6"/>
  <c r="Z458" i="6"/>
  <c r="Z474" i="6"/>
  <c r="Z490" i="6"/>
  <c r="Z506" i="6"/>
  <c r="Z522" i="6"/>
  <c r="Z538" i="6"/>
  <c r="Z554" i="6"/>
  <c r="Z570" i="6"/>
  <c r="Z586" i="6"/>
  <c r="Z602" i="6"/>
  <c r="Z618" i="6"/>
  <c r="Z634" i="6"/>
  <c r="Z650" i="6"/>
  <c r="Z666" i="6"/>
  <c r="Z682" i="6"/>
  <c r="Z698" i="6"/>
  <c r="Z714" i="6"/>
  <c r="Z730" i="6"/>
  <c r="Z746" i="6"/>
  <c r="Z762" i="6"/>
  <c r="Z778" i="6"/>
  <c r="Z794" i="6"/>
  <c r="Z810" i="6"/>
  <c r="Z826" i="6"/>
  <c r="Z842" i="6"/>
  <c r="Z858" i="6"/>
  <c r="Z874" i="6"/>
  <c r="Z890" i="6"/>
  <c r="Z900" i="6"/>
  <c r="Z911" i="6"/>
  <c r="Z922" i="6"/>
  <c r="Z932" i="6"/>
  <c r="Z943" i="6"/>
  <c r="Z954" i="6"/>
  <c r="Z964" i="6"/>
  <c r="Z975" i="6"/>
  <c r="Z986" i="6"/>
  <c r="Z996" i="6"/>
  <c r="Z1007" i="6"/>
  <c r="Z1018" i="6"/>
  <c r="Z1028" i="6"/>
  <c r="Z1039" i="6"/>
  <c r="Z1050" i="6"/>
  <c r="Z1058" i="6"/>
  <c r="Z1066" i="6"/>
  <c r="Z1074" i="6"/>
  <c r="Z1082" i="6"/>
  <c r="Z1090" i="6"/>
  <c r="Z1098" i="6"/>
  <c r="Z1106" i="6"/>
  <c r="Z1114" i="6"/>
  <c r="Z1122" i="6"/>
  <c r="Z1130" i="6"/>
  <c r="Z1138" i="6"/>
  <c r="Z1146" i="6"/>
  <c r="Z1154" i="6"/>
  <c r="Z1162" i="6"/>
  <c r="Z1170" i="6"/>
  <c r="Z1178" i="6"/>
  <c r="Z1186" i="6"/>
  <c r="Z1194" i="6"/>
  <c r="Z1202" i="6"/>
  <c r="Z1210" i="6"/>
  <c r="Z1218" i="6"/>
  <c r="Z1226" i="6"/>
  <c r="Z1234" i="6"/>
  <c r="Z1242" i="6"/>
  <c r="Z1250" i="6"/>
  <c r="Z1258" i="6"/>
  <c r="Z1266" i="6"/>
  <c r="Z1274" i="6"/>
  <c r="Z1282" i="6"/>
  <c r="Z1290" i="6"/>
  <c r="Z1298" i="6"/>
  <c r="Z1306" i="6"/>
  <c r="Z1314" i="6"/>
  <c r="Z1322" i="6"/>
  <c r="Z1330" i="6"/>
  <c r="Z1338" i="6"/>
  <c r="Z1346" i="6"/>
  <c r="Z1354" i="6"/>
  <c r="Z1362" i="6"/>
  <c r="Z1370" i="6"/>
  <c r="Z1378" i="6"/>
  <c r="Z1386" i="6"/>
  <c r="Z15" i="6"/>
  <c r="Z31" i="6"/>
  <c r="Z47" i="6"/>
  <c r="Z63" i="6"/>
  <c r="Z79" i="6"/>
  <c r="Z95" i="6"/>
  <c r="Z111" i="6"/>
  <c r="Z127" i="6"/>
  <c r="Z143" i="6"/>
  <c r="Z159" i="6"/>
  <c r="Z175" i="6"/>
  <c r="Z191" i="6"/>
  <c r="Z207" i="6"/>
  <c r="Z223" i="6"/>
  <c r="Z239" i="6"/>
  <c r="Z255" i="6"/>
  <c r="Z271" i="6"/>
  <c r="Z287" i="6"/>
  <c r="Z303" i="6"/>
  <c r="Z319" i="6"/>
  <c r="Z335" i="6"/>
  <c r="Z351" i="6"/>
  <c r="Z367" i="6"/>
  <c r="Z383" i="6"/>
  <c r="Z399" i="6"/>
  <c r="Z415" i="6"/>
  <c r="Z431" i="6"/>
  <c r="Z447" i="6"/>
  <c r="Z463" i="6"/>
  <c r="Z479" i="6"/>
  <c r="Z495" i="6"/>
  <c r="Z511" i="6"/>
  <c r="Z527" i="6"/>
  <c r="Z543" i="6"/>
  <c r="Z559" i="6"/>
  <c r="Z575" i="6"/>
  <c r="Z591" i="6"/>
  <c r="Z607" i="6"/>
  <c r="Z623" i="6"/>
  <c r="Z639" i="6"/>
  <c r="Z655" i="6"/>
  <c r="Z671" i="6"/>
  <c r="Z687" i="6"/>
  <c r="Z703" i="6"/>
  <c r="Z719" i="6"/>
  <c r="Z735" i="6"/>
  <c r="Z751" i="6"/>
  <c r="Z767" i="6"/>
  <c r="Z783" i="6"/>
  <c r="Z799" i="6"/>
  <c r="Z815" i="6"/>
  <c r="Z831" i="6"/>
  <c r="Z847" i="6"/>
  <c r="Z863" i="6"/>
  <c r="Z879" i="6"/>
  <c r="Z892" i="6"/>
  <c r="Z903" i="6"/>
  <c r="Z914" i="6"/>
  <c r="Z924" i="6"/>
  <c r="Z935" i="6"/>
  <c r="Z946" i="6"/>
  <c r="Z956" i="6"/>
  <c r="Z967" i="6"/>
  <c r="Z978" i="6"/>
  <c r="Z988" i="6"/>
  <c r="Z999" i="6"/>
  <c r="Z1010" i="6"/>
  <c r="Z1020" i="6"/>
  <c r="Z1031" i="6"/>
  <c r="Z1042" i="6"/>
  <c r="Z1052" i="6"/>
  <c r="Z1060" i="6"/>
  <c r="Z1068" i="6"/>
  <c r="Z1076" i="6"/>
  <c r="Z1084" i="6"/>
  <c r="Z1092" i="6"/>
  <c r="Z1100" i="6"/>
  <c r="Z1108" i="6"/>
  <c r="Z1116" i="6"/>
  <c r="Z1124" i="6"/>
  <c r="Z1132" i="6"/>
  <c r="Z1140" i="6"/>
  <c r="Z1148" i="6"/>
  <c r="Z1156" i="6"/>
  <c r="Z1164" i="6"/>
  <c r="Z16" i="6"/>
  <c r="Z32" i="6"/>
  <c r="Z48" i="6"/>
  <c r="Z64" i="6"/>
  <c r="Z80" i="6"/>
  <c r="Z96" i="6"/>
  <c r="Z112" i="6"/>
  <c r="Z128" i="6"/>
  <c r="Z144" i="6"/>
  <c r="Z160" i="6"/>
  <c r="Z176" i="6"/>
  <c r="Z192" i="6"/>
  <c r="Z208" i="6"/>
  <c r="Z224" i="6"/>
  <c r="Z240" i="6"/>
  <c r="Z256" i="6"/>
  <c r="Z272" i="6"/>
  <c r="Z288" i="6"/>
  <c r="Z304" i="6"/>
  <c r="Z320" i="6"/>
  <c r="Z336" i="6"/>
  <c r="Z352" i="6"/>
  <c r="Z368" i="6"/>
  <c r="Z384" i="6"/>
  <c r="Z400" i="6"/>
  <c r="Z416" i="6"/>
  <c r="Z432" i="6"/>
  <c r="Z448" i="6"/>
  <c r="Z464" i="6"/>
  <c r="Z480" i="6"/>
  <c r="Z496" i="6"/>
  <c r="Z512" i="6"/>
  <c r="Z528" i="6"/>
  <c r="Z544" i="6"/>
  <c r="Z560" i="6"/>
  <c r="Z576" i="6"/>
  <c r="Z592" i="6"/>
  <c r="Z608" i="6"/>
  <c r="Z624" i="6"/>
  <c r="Z640" i="6"/>
  <c r="Z656" i="6"/>
  <c r="Z672" i="6"/>
  <c r="Z688" i="6"/>
  <c r="Z704" i="6"/>
  <c r="Z720" i="6"/>
  <c r="Z736" i="6"/>
  <c r="Z752" i="6"/>
  <c r="Z768" i="6"/>
  <c r="Z784" i="6"/>
  <c r="Z800" i="6"/>
  <c r="Z816" i="6"/>
  <c r="Z832" i="6"/>
  <c r="Z848" i="6"/>
  <c r="Z864" i="6"/>
  <c r="Z880" i="6"/>
  <c r="Z894" i="6"/>
  <c r="Z904" i="6"/>
  <c r="Z915" i="6"/>
  <c r="Z926" i="6"/>
  <c r="Z936" i="6"/>
  <c r="Z947" i="6"/>
  <c r="Z958" i="6"/>
  <c r="Z968" i="6"/>
  <c r="Z979" i="6"/>
  <c r="Z990" i="6"/>
  <c r="Z1000" i="6"/>
  <c r="Z1011" i="6"/>
  <c r="Z1022" i="6"/>
  <c r="Z1032" i="6"/>
  <c r="Z1043" i="6"/>
  <c r="Z1053" i="6"/>
  <c r="Z1061" i="6"/>
  <c r="Z1069" i="6"/>
  <c r="Z1077" i="6"/>
  <c r="Z1085" i="6"/>
  <c r="Z1093" i="6"/>
  <c r="Z1101" i="6"/>
  <c r="Z1109" i="6"/>
  <c r="Z1117" i="6"/>
  <c r="Z1125" i="6"/>
  <c r="Z1133" i="6"/>
  <c r="Z1141" i="6"/>
  <c r="Z1149" i="6"/>
  <c r="Z1157" i="6"/>
  <c r="Z1165" i="6"/>
  <c r="Z1173" i="6"/>
  <c r="Z1181" i="6"/>
  <c r="Z1189" i="6"/>
  <c r="Z1197" i="6"/>
  <c r="Z1205" i="6"/>
  <c r="Z1213" i="6"/>
  <c r="Z1221" i="6"/>
  <c r="Z1229" i="6"/>
  <c r="Z1237" i="6"/>
  <c r="Z1245" i="6"/>
  <c r="Z1253" i="6"/>
  <c r="Z1261" i="6"/>
  <c r="Z1269" i="6"/>
  <c r="Z1277" i="6"/>
  <c r="Z1285" i="6"/>
  <c r="Z1293" i="6"/>
  <c r="Z1301" i="6"/>
  <c r="Z1309" i="6"/>
  <c r="Z1317" i="6"/>
  <c r="Z1325" i="6"/>
  <c r="Z1333" i="6"/>
  <c r="Z1341" i="6"/>
  <c r="Z1349" i="6"/>
  <c r="Z1357" i="6"/>
  <c r="Z1365" i="6"/>
  <c r="Z1373" i="6"/>
  <c r="Z1381" i="6"/>
  <c r="Z19" i="6"/>
  <c r="Z35" i="6"/>
  <c r="Z51" i="6"/>
  <c r="Z67" i="6"/>
  <c r="Z83" i="6"/>
  <c r="Z99" i="6"/>
  <c r="Z115" i="6"/>
  <c r="Z131" i="6"/>
  <c r="Z147" i="6"/>
  <c r="Z163" i="6"/>
  <c r="Z179" i="6"/>
  <c r="Z195" i="6"/>
  <c r="Z211" i="6"/>
  <c r="Z227" i="6"/>
  <c r="Z243" i="6"/>
  <c r="Z259" i="6"/>
  <c r="Z275" i="6"/>
  <c r="Z291" i="6"/>
  <c r="Z307" i="6"/>
  <c r="Z323" i="6"/>
  <c r="Z339" i="6"/>
  <c r="Z355" i="6"/>
  <c r="Z371" i="6"/>
  <c r="Z387" i="6"/>
  <c r="Z403" i="6"/>
  <c r="Z419" i="6"/>
  <c r="Z435" i="6"/>
  <c r="Z451" i="6"/>
  <c r="Z467" i="6"/>
  <c r="Z483" i="6"/>
  <c r="Z499" i="6"/>
  <c r="Z515" i="6"/>
  <c r="Z531" i="6"/>
  <c r="Z547" i="6"/>
  <c r="Z563" i="6"/>
  <c r="Z579" i="6"/>
  <c r="Z595" i="6"/>
  <c r="Z611" i="6"/>
  <c r="Z627" i="6"/>
  <c r="Z643" i="6"/>
  <c r="Z659" i="6"/>
  <c r="Z675" i="6"/>
  <c r="Z691" i="6"/>
  <c r="Z707" i="6"/>
  <c r="Z723" i="6"/>
  <c r="Z739" i="6"/>
  <c r="Z755" i="6"/>
  <c r="Z771" i="6"/>
  <c r="Z787" i="6"/>
  <c r="Z803" i="6"/>
  <c r="Z819" i="6"/>
  <c r="Z835" i="6"/>
  <c r="Z851" i="6"/>
  <c r="Z867" i="6"/>
  <c r="Z883" i="6"/>
  <c r="Z896" i="6"/>
  <c r="Z907" i="6"/>
  <c r="Z918" i="6"/>
  <c r="Z928" i="6"/>
  <c r="Z939" i="6"/>
  <c r="Z950" i="6"/>
  <c r="Z960" i="6"/>
  <c r="Z971" i="6"/>
  <c r="Z982" i="6"/>
  <c r="Z992" i="6"/>
  <c r="Z1003" i="6"/>
  <c r="Z1014" i="6"/>
  <c r="Z1024" i="6"/>
  <c r="Z1035" i="6"/>
  <c r="Z1046" i="6"/>
  <c r="Z1055" i="6"/>
  <c r="Z1063" i="6"/>
  <c r="Z1071" i="6"/>
  <c r="Z1079" i="6"/>
  <c r="Z1087" i="6"/>
  <c r="Z1095" i="6"/>
  <c r="Z1103" i="6"/>
  <c r="Z1111" i="6"/>
  <c r="Z1119" i="6"/>
  <c r="Z1127" i="6"/>
  <c r="Z1135" i="6"/>
  <c r="Z1143" i="6"/>
  <c r="Z1151" i="6"/>
  <c r="Z1159" i="6"/>
  <c r="Z1167" i="6"/>
  <c r="Z1175" i="6"/>
  <c r="Z1183" i="6"/>
  <c r="Z1191" i="6"/>
  <c r="Z1199" i="6"/>
  <c r="Z1207" i="6"/>
  <c r="Z1215" i="6"/>
  <c r="Z1223" i="6"/>
  <c r="Z1231" i="6"/>
  <c r="Z1239" i="6"/>
  <c r="Z1247" i="6"/>
  <c r="Z1255" i="6"/>
  <c r="Z1263" i="6"/>
  <c r="Z1271" i="6"/>
  <c r="Z1279" i="6"/>
  <c r="Z1287" i="6"/>
  <c r="Z1295" i="6"/>
  <c r="Z1303" i="6"/>
  <c r="Z1311" i="6"/>
  <c r="Z1319" i="6"/>
  <c r="Z1327" i="6"/>
  <c r="Z1335" i="6"/>
  <c r="Z1343" i="6"/>
  <c r="Z1351" i="6"/>
  <c r="Z1359" i="6"/>
  <c r="Z1367" i="6"/>
  <c r="Z1375" i="6"/>
  <c r="Z1383" i="6"/>
  <c r="Z11" i="6"/>
  <c r="Z75" i="6"/>
  <c r="Z139" i="6"/>
  <c r="Z203" i="6"/>
  <c r="Z267" i="6"/>
  <c r="Z331" i="6"/>
  <c r="Z395" i="6"/>
  <c r="Z459" i="6"/>
  <c r="Z523" i="6"/>
  <c r="Z587" i="6"/>
  <c r="Z651" i="6"/>
  <c r="Z715" i="6"/>
  <c r="Z779" i="6"/>
  <c r="Z843" i="6"/>
  <c r="Z902" i="6"/>
  <c r="Z944" i="6"/>
  <c r="Z987" i="6"/>
  <c r="Z1030" i="6"/>
  <c r="Z1067" i="6"/>
  <c r="Z1099" i="6"/>
  <c r="Z1131" i="6"/>
  <c r="Z1163" i="6"/>
  <c r="Z1187" i="6"/>
  <c r="Z1206" i="6"/>
  <c r="Z1228" i="6"/>
  <c r="Z1251" i="6"/>
  <c r="Z1270" i="6"/>
  <c r="Z1292" i="6"/>
  <c r="Z1315" i="6"/>
  <c r="Z1334" i="6"/>
  <c r="Z1356" i="6"/>
  <c r="Z1379" i="6"/>
  <c r="Z18" i="6"/>
  <c r="Z82" i="6"/>
  <c r="Z146" i="6"/>
  <c r="Z210" i="6"/>
  <c r="Z274" i="6"/>
  <c r="Z338" i="6"/>
  <c r="Z402" i="6"/>
  <c r="Z466" i="6"/>
  <c r="Z530" i="6"/>
  <c r="Z594" i="6"/>
  <c r="Z658" i="6"/>
  <c r="Z722" i="6"/>
  <c r="Z786" i="6"/>
  <c r="Z850" i="6"/>
  <c r="Z906" i="6"/>
  <c r="Z948" i="6"/>
  <c r="Z991" i="6"/>
  <c r="Z1034" i="6"/>
  <c r="Z1070" i="6"/>
  <c r="Z1102" i="6"/>
  <c r="Z1134" i="6"/>
  <c r="Z1166" i="6"/>
  <c r="Z1188" i="6"/>
  <c r="Z1211" i="6"/>
  <c r="Z1230" i="6"/>
  <c r="Z1252" i="6"/>
  <c r="Z1275" i="6"/>
  <c r="Z1294" i="6"/>
  <c r="Z1316" i="6"/>
  <c r="Z1339" i="6"/>
  <c r="Z1358" i="6"/>
  <c r="Z1380" i="6"/>
  <c r="Z27" i="6"/>
  <c r="Z91" i="6"/>
  <c r="Z155" i="6"/>
  <c r="Z219" i="6"/>
  <c r="Z283" i="6"/>
  <c r="Z347" i="6"/>
  <c r="Z411" i="6"/>
  <c r="Z475" i="6"/>
  <c r="Z539" i="6"/>
  <c r="Z603" i="6"/>
  <c r="Z667" i="6"/>
  <c r="Z731" i="6"/>
  <c r="Z795" i="6"/>
  <c r="Z859" i="6"/>
  <c r="Z912" i="6"/>
  <c r="Z955" i="6"/>
  <c r="Z998" i="6"/>
  <c r="Z1040" i="6"/>
  <c r="Z1075" i="6"/>
  <c r="Z1107" i="6"/>
  <c r="Z1139" i="6"/>
  <c r="Z1171" i="6"/>
  <c r="Z1190" i="6"/>
  <c r="Z1212" i="6"/>
  <c r="Z1235" i="6"/>
  <c r="Z1254" i="6"/>
  <c r="Z1276" i="6"/>
  <c r="Z1299" i="6"/>
  <c r="Z1318" i="6"/>
  <c r="Z1340" i="6"/>
  <c r="Z1363" i="6"/>
  <c r="Z1382" i="6"/>
  <c r="Z34" i="6"/>
  <c r="Z98" i="6"/>
  <c r="Z162" i="6"/>
  <c r="Z226" i="6"/>
  <c r="Z290" i="6"/>
  <c r="Z354" i="6"/>
  <c r="Z418" i="6"/>
  <c r="Z482" i="6"/>
  <c r="Z546" i="6"/>
  <c r="Z610" i="6"/>
  <c r="Z674" i="6"/>
  <c r="Z738" i="6"/>
  <c r="Z802" i="6"/>
  <c r="Z866" i="6"/>
  <c r="Z916" i="6"/>
  <c r="Z959" i="6"/>
  <c r="Z1002" i="6"/>
  <c r="Z1044" i="6"/>
  <c r="Z1078" i="6"/>
  <c r="Z1110" i="6"/>
  <c r="Z1142" i="6"/>
  <c r="Z1172" i="6"/>
  <c r="Z1195" i="6"/>
  <c r="Z1214" i="6"/>
  <c r="Z1236" i="6"/>
  <c r="Z1259" i="6"/>
  <c r="Z1278" i="6"/>
  <c r="Z1300" i="6"/>
  <c r="Z1323" i="6"/>
  <c r="Z1342" i="6"/>
  <c r="Z1364" i="6"/>
  <c r="Z3" i="6"/>
  <c r="Z43" i="6"/>
  <c r="Z107" i="6"/>
  <c r="Z171" i="6"/>
  <c r="Z235" i="6"/>
  <c r="Z299" i="6"/>
  <c r="Z363" i="6"/>
  <c r="Z427" i="6"/>
  <c r="Z491" i="6"/>
  <c r="Z555" i="6"/>
  <c r="Z619" i="6"/>
  <c r="Z683" i="6"/>
  <c r="Z747" i="6"/>
  <c r="Z811" i="6"/>
  <c r="Z875" i="6"/>
  <c r="Z923" i="6"/>
  <c r="Z966" i="6"/>
  <c r="Z1008" i="6"/>
  <c r="Z1051" i="6"/>
  <c r="Z1083" i="6"/>
  <c r="Z1115" i="6"/>
  <c r="Z1147" i="6"/>
  <c r="Z1174" i="6"/>
  <c r="Z1196" i="6"/>
  <c r="Z1219" i="6"/>
  <c r="Z1238" i="6"/>
  <c r="Z1260" i="6"/>
  <c r="Z1283" i="6"/>
  <c r="Z1302" i="6"/>
  <c r="Z1324" i="6"/>
  <c r="Z1347" i="6"/>
  <c r="Z1366" i="6"/>
  <c r="Z50" i="6"/>
  <c r="Z114" i="6"/>
  <c r="Z178" i="6"/>
  <c r="Z242" i="6"/>
  <c r="Z306" i="6"/>
  <c r="Z370" i="6"/>
  <c r="Z434" i="6"/>
  <c r="Z498" i="6"/>
  <c r="Z562" i="6"/>
  <c r="Z626" i="6"/>
  <c r="Z690" i="6"/>
  <c r="Z754" i="6"/>
  <c r="Z818" i="6"/>
  <c r="Z882" i="6"/>
  <c r="Z927" i="6"/>
  <c r="Z970" i="6"/>
  <c r="Z1012" i="6"/>
  <c r="Z1054" i="6"/>
  <c r="Z1086" i="6"/>
  <c r="Z1118" i="6"/>
  <c r="Z1150" i="6"/>
  <c r="Z1179" i="6"/>
  <c r="Z1198" i="6"/>
  <c r="Z1220" i="6"/>
  <c r="Z1243" i="6"/>
  <c r="Z1262" i="6"/>
  <c r="Z1284" i="6"/>
  <c r="Z1307" i="6"/>
  <c r="Z1326" i="6"/>
  <c r="Z1348" i="6"/>
  <c r="Z1371" i="6"/>
  <c r="Z59" i="6"/>
  <c r="Z123" i="6"/>
  <c r="Z187" i="6"/>
  <c r="Z251" i="6"/>
  <c r="Z315" i="6"/>
  <c r="Z379" i="6"/>
  <c r="Z443" i="6"/>
  <c r="Z507" i="6"/>
  <c r="Z571" i="6"/>
  <c r="Z635" i="6"/>
  <c r="Z699" i="6"/>
  <c r="Z763" i="6"/>
  <c r="Z827" i="6"/>
  <c r="Z891" i="6"/>
  <c r="Z934" i="6"/>
  <c r="Z976" i="6"/>
  <c r="Z1019" i="6"/>
  <c r="Z1059" i="6"/>
  <c r="Z1091" i="6"/>
  <c r="Z1123" i="6"/>
  <c r="Z1155" i="6"/>
  <c r="Z1180" i="6"/>
  <c r="Z1203" i="6"/>
  <c r="Z1222" i="6"/>
  <c r="Z1244" i="6"/>
  <c r="Z1267" i="6"/>
  <c r="Z1286" i="6"/>
  <c r="Z1308" i="6"/>
  <c r="Z1331" i="6"/>
  <c r="Z1350" i="6"/>
  <c r="Z1372" i="6"/>
  <c r="Z66" i="6"/>
  <c r="Z130" i="6"/>
  <c r="Z194" i="6"/>
  <c r="Z258" i="6"/>
  <c r="Z322" i="6"/>
  <c r="Z386" i="6"/>
  <c r="Z450" i="6"/>
  <c r="Z514" i="6"/>
  <c r="Z578" i="6"/>
  <c r="Z642" i="6"/>
  <c r="Z706" i="6"/>
  <c r="Z770" i="6"/>
  <c r="Z834" i="6"/>
  <c r="Z895" i="6"/>
  <c r="Z938" i="6"/>
  <c r="Z980" i="6"/>
  <c r="Z1023" i="6"/>
  <c r="Z1062" i="6"/>
  <c r="Z1094" i="6"/>
  <c r="Z1126" i="6"/>
  <c r="Z1158" i="6"/>
  <c r="Z1182" i="6"/>
  <c r="Z1204" i="6"/>
  <c r="Z1227" i="6"/>
  <c r="Z1246" i="6"/>
  <c r="Z1268" i="6"/>
  <c r="Z1291" i="6"/>
  <c r="Z1310" i="6"/>
  <c r="Z1332" i="6"/>
  <c r="Z1355" i="6"/>
  <c r="Z1374" i="6"/>
  <c r="G263" i="23"/>
  <c r="J263" i="23" s="1"/>
  <c r="D59" i="23"/>
  <c r="H219" i="23"/>
  <c r="K219" i="23" s="1"/>
  <c r="D163" i="23"/>
  <c r="D131" i="23"/>
  <c r="E694" i="23"/>
  <c r="E263" i="23"/>
  <c r="G694" i="23"/>
  <c r="J694" i="23" s="1"/>
  <c r="I65" i="23"/>
  <c r="L65" i="23" s="1"/>
  <c r="G66" i="23"/>
  <c r="J66" i="23" s="1"/>
  <c r="D83" i="23"/>
  <c r="E83" i="23"/>
  <c r="D262" i="23"/>
  <c r="G708" i="23"/>
  <c r="J708" i="23" s="1"/>
  <c r="G83" i="23"/>
  <c r="J83" i="23" s="1"/>
  <c r="E87" i="23"/>
  <c r="C270" i="23"/>
  <c r="G87" i="23"/>
  <c r="J87" i="23" s="1"/>
  <c r="D270" i="23"/>
  <c r="I72" i="23"/>
  <c r="L72" i="23" s="1"/>
  <c r="G79" i="23"/>
  <c r="J79" i="23" s="1"/>
  <c r="H87" i="23"/>
  <c r="K87" i="23" s="1"/>
  <c r="G163" i="23"/>
  <c r="J163" i="23" s="1"/>
  <c r="J161" i="23" s="1"/>
  <c r="I219" i="23"/>
  <c r="L219" i="23" s="1"/>
  <c r="H270" i="23"/>
  <c r="K270" i="23" s="1"/>
  <c r="H79" i="23"/>
  <c r="K79" i="23" s="1"/>
  <c r="E167" i="23"/>
  <c r="I701" i="23"/>
  <c r="L701" i="23" s="1"/>
  <c r="H708" i="23"/>
  <c r="K708" i="23" s="1"/>
  <c r="H167" i="23"/>
  <c r="K167" i="23" s="1"/>
  <c r="H694" i="23"/>
  <c r="K694" i="23" s="1"/>
  <c r="I708" i="23"/>
  <c r="L708" i="23" s="1"/>
  <c r="H72" i="23"/>
  <c r="K72" i="23" s="1"/>
  <c r="C78" i="23"/>
  <c r="I263" i="23"/>
  <c r="L263" i="23" s="1"/>
  <c r="G270" i="23"/>
  <c r="J270" i="23" s="1"/>
  <c r="I275" i="23"/>
  <c r="L275" i="23" s="1"/>
  <c r="D66" i="23"/>
  <c r="C79" i="23"/>
  <c r="D276" i="23"/>
  <c r="C708" i="23"/>
  <c r="E66" i="23"/>
  <c r="E79" i="23"/>
  <c r="D708" i="23"/>
  <c r="N429" i="23"/>
  <c r="N435" i="23"/>
  <c r="N430" i="23"/>
  <c r="N434" i="23"/>
  <c r="N431" i="23"/>
  <c r="N772" i="23"/>
  <c r="N773" i="23"/>
  <c r="N774" i="23"/>
  <c r="N775" i="23"/>
  <c r="N776" i="23"/>
  <c r="N796" i="23"/>
  <c r="N797" i="23"/>
  <c r="N799" i="23"/>
  <c r="N801" i="23"/>
  <c r="N800" i="23"/>
  <c r="N803" i="23"/>
  <c r="N804" i="23"/>
  <c r="N805" i="23"/>
  <c r="N806" i="23"/>
  <c r="N818" i="23"/>
  <c r="N823" i="23"/>
  <c r="N819" i="23"/>
  <c r="N824" i="23"/>
  <c r="N820" i="23"/>
  <c r="N821" i="23"/>
  <c r="N822" i="23"/>
  <c r="N825" i="23"/>
  <c r="N808" i="23"/>
  <c r="N809" i="23"/>
  <c r="N817" i="23"/>
  <c r="N815" i="23"/>
  <c r="N810" i="23"/>
  <c r="N813" i="23"/>
  <c r="N811" i="23"/>
  <c r="N814" i="23"/>
  <c r="N812" i="23"/>
  <c r="N816" i="23"/>
  <c r="N827" i="23"/>
  <c r="N828" i="23"/>
  <c r="N836" i="23"/>
  <c r="N835" i="23"/>
  <c r="N829" i="23"/>
  <c r="N837" i="23"/>
  <c r="N834" i="23"/>
  <c r="N830" i="23"/>
  <c r="N838" i="23"/>
  <c r="N841" i="23"/>
  <c r="N843" i="23"/>
  <c r="N831" i="23"/>
  <c r="N839" i="23"/>
  <c r="N840" i="23"/>
  <c r="N842" i="23"/>
  <c r="N832" i="23"/>
  <c r="N833" i="23"/>
  <c r="N794" i="23"/>
  <c r="N785" i="23"/>
  <c r="N792" i="23"/>
  <c r="N793" i="23"/>
  <c r="N791" i="23"/>
  <c r="N788" i="23"/>
  <c r="N789" i="23"/>
  <c r="N787" i="23"/>
  <c r="N784" i="23"/>
  <c r="N770" i="23"/>
  <c r="N768" i="23"/>
  <c r="N769" i="23"/>
  <c r="N767" i="23"/>
  <c r="N763" i="23"/>
  <c r="N764" i="23"/>
  <c r="N762" i="23"/>
  <c r="N759" i="23"/>
  <c r="N760" i="23"/>
  <c r="N757" i="23"/>
  <c r="N758" i="23"/>
  <c r="N755" i="23"/>
  <c r="N756" i="23"/>
  <c r="N752" i="23"/>
  <c r="N753" i="23"/>
  <c r="N750" i="23"/>
  <c r="N751" i="23"/>
  <c r="N749" i="23"/>
  <c r="N745" i="23"/>
  <c r="N746" i="23"/>
  <c r="N744" i="23"/>
  <c r="N741" i="23"/>
  <c r="N742" i="23"/>
  <c r="N739" i="23"/>
  <c r="N740" i="23"/>
  <c r="N738" i="23"/>
  <c r="N734" i="23"/>
  <c r="N735" i="23"/>
  <c r="N731" i="23"/>
  <c r="N732" i="23"/>
  <c r="N730" i="23"/>
  <c r="N727" i="23"/>
  <c r="N728" i="23"/>
  <c r="N723" i="23"/>
  <c r="N724" i="23"/>
  <c r="N722" i="23"/>
  <c r="N719" i="23"/>
  <c r="N720" i="23"/>
  <c r="N715" i="23"/>
  <c r="N716" i="23"/>
  <c r="N713" i="23"/>
  <c r="N714" i="23"/>
  <c r="N712" i="23"/>
  <c r="N708" i="23"/>
  <c r="N709" i="23"/>
  <c r="N706" i="23"/>
  <c r="N707" i="23"/>
  <c r="N705" i="23"/>
  <c r="N702" i="23"/>
  <c r="N703" i="23"/>
  <c r="N700" i="23"/>
  <c r="N701" i="23"/>
  <c r="N698" i="23"/>
  <c r="N699" i="23"/>
  <c r="N694" i="23"/>
  <c r="N695" i="23"/>
  <c r="N692" i="23"/>
  <c r="N693" i="23"/>
  <c r="N691" i="23"/>
  <c r="N688" i="23"/>
  <c r="N689" i="23"/>
  <c r="N686" i="23"/>
  <c r="N687" i="23"/>
  <c r="N684" i="23"/>
  <c r="N685" i="23"/>
  <c r="N681" i="23"/>
  <c r="N682" i="23"/>
  <c r="N679" i="23"/>
  <c r="N680" i="23"/>
  <c r="N677" i="23"/>
  <c r="N678" i="23"/>
  <c r="N674" i="23"/>
  <c r="N675" i="23"/>
  <c r="N672" i="23"/>
  <c r="N673" i="23"/>
  <c r="N670" i="23"/>
  <c r="N671" i="23"/>
  <c r="N669" i="23"/>
  <c r="N666" i="23"/>
  <c r="N667" i="23"/>
  <c r="N664" i="23"/>
  <c r="N665" i="23"/>
  <c r="N662" i="23"/>
  <c r="N663" i="23"/>
  <c r="N660" i="23"/>
  <c r="N661" i="23"/>
  <c r="N659" i="23"/>
  <c r="N655" i="23"/>
  <c r="N656" i="23"/>
  <c r="N653" i="23"/>
  <c r="N654" i="23"/>
  <c r="N651" i="23"/>
  <c r="N652" i="23"/>
  <c r="N647" i="23"/>
  <c r="N648" i="23"/>
  <c r="N645" i="23"/>
  <c r="N646" i="23"/>
  <c r="N643" i="23"/>
  <c r="N644" i="23"/>
  <c r="N640" i="23"/>
  <c r="N641" i="23"/>
  <c r="N638" i="23"/>
  <c r="N639" i="23"/>
  <c r="N636" i="23"/>
  <c r="N637" i="23"/>
  <c r="N634" i="23"/>
  <c r="N635" i="23"/>
  <c r="N633" i="23"/>
  <c r="N629" i="23"/>
  <c r="N630" i="23"/>
  <c r="N627" i="23"/>
  <c r="N628" i="23"/>
  <c r="N625" i="23"/>
  <c r="N626" i="23"/>
  <c r="N624" i="23"/>
  <c r="N621" i="23"/>
  <c r="N622" i="23"/>
  <c r="N619" i="23"/>
  <c r="N620" i="23"/>
  <c r="N617" i="23"/>
  <c r="N618" i="23"/>
  <c r="N616" i="23"/>
  <c r="N613" i="23"/>
  <c r="N614" i="23"/>
  <c r="N611" i="23"/>
  <c r="N612" i="23"/>
  <c r="N609" i="23"/>
  <c r="N610" i="23"/>
  <c r="N607" i="23"/>
  <c r="N608" i="23"/>
  <c r="N606" i="23"/>
  <c r="N603" i="23"/>
  <c r="N604" i="23"/>
  <c r="N601" i="23"/>
  <c r="N602" i="23"/>
  <c r="N599" i="23"/>
  <c r="N600" i="23"/>
  <c r="N598" i="23"/>
  <c r="N595" i="23"/>
  <c r="N596" i="23"/>
  <c r="N593" i="23"/>
  <c r="N594" i="23"/>
  <c r="N591" i="23"/>
  <c r="N592" i="23"/>
  <c r="N589" i="23"/>
  <c r="N590" i="23"/>
  <c r="N588" i="23"/>
  <c r="N585" i="23"/>
  <c r="N586" i="23"/>
  <c r="N583" i="23"/>
  <c r="N584" i="23"/>
  <c r="N581" i="23"/>
  <c r="N582" i="23"/>
  <c r="N580" i="23"/>
  <c r="N577" i="23"/>
  <c r="N578" i="23"/>
  <c r="N575" i="23"/>
  <c r="N576" i="23"/>
  <c r="N574" i="23"/>
  <c r="N570" i="23"/>
  <c r="N571" i="23"/>
  <c r="N569" i="23"/>
  <c r="N565" i="23"/>
  <c r="N566" i="23"/>
  <c r="N563" i="23"/>
  <c r="N564" i="23"/>
  <c r="N561" i="23"/>
  <c r="N562" i="23"/>
  <c r="N560" i="23"/>
  <c r="N556" i="23"/>
  <c r="N557" i="23"/>
  <c r="N554" i="23"/>
  <c r="N555" i="23"/>
  <c r="N553" i="23"/>
  <c r="N549" i="23"/>
  <c r="N550" i="23"/>
  <c r="N547" i="23"/>
  <c r="N548" i="23"/>
  <c r="N545" i="23"/>
  <c r="N546" i="23"/>
  <c r="N544" i="23"/>
  <c r="N540" i="23"/>
  <c r="N541" i="23"/>
  <c r="N538" i="23"/>
  <c r="N539" i="23"/>
  <c r="N537" i="23"/>
  <c r="N534" i="23"/>
  <c r="N535" i="23"/>
  <c r="N532" i="23"/>
  <c r="N533" i="23"/>
  <c r="N530" i="23"/>
  <c r="N531" i="23"/>
  <c r="N529" i="23"/>
  <c r="N525" i="23"/>
  <c r="N526" i="23"/>
  <c r="N523" i="23"/>
  <c r="N524" i="23"/>
  <c r="N522" i="23"/>
  <c r="N519" i="23"/>
  <c r="N520" i="23"/>
  <c r="N517" i="23"/>
  <c r="N518" i="23"/>
  <c r="N515" i="23"/>
  <c r="N516" i="23"/>
  <c r="N514" i="23"/>
  <c r="N510" i="23"/>
  <c r="N511" i="23"/>
  <c r="N508" i="23"/>
  <c r="N509" i="23"/>
  <c r="N507" i="23"/>
  <c r="N503" i="23"/>
  <c r="N504" i="23"/>
  <c r="N501" i="23"/>
  <c r="N502" i="23"/>
  <c r="N499" i="23"/>
  <c r="N500" i="23"/>
  <c r="N498" i="23"/>
  <c r="N493" i="23"/>
  <c r="N494" i="23"/>
  <c r="N491" i="23"/>
  <c r="N492" i="23"/>
  <c r="N489" i="23"/>
  <c r="N490" i="23"/>
  <c r="N488" i="23"/>
  <c r="N484" i="23"/>
  <c r="N485" i="23"/>
  <c r="N482" i="23"/>
  <c r="N483" i="23"/>
  <c r="N480" i="23"/>
  <c r="N481" i="23"/>
  <c r="N479" i="23"/>
  <c r="N475" i="23"/>
  <c r="N476" i="23"/>
  <c r="N473" i="23"/>
  <c r="N474" i="23"/>
  <c r="N471" i="23"/>
  <c r="N472" i="23"/>
  <c r="N470" i="23"/>
  <c r="N466" i="23"/>
  <c r="N467" i="23"/>
  <c r="N464" i="23"/>
  <c r="N465" i="23"/>
  <c r="N462" i="23"/>
  <c r="N463" i="23"/>
  <c r="N461" i="23"/>
  <c r="N457" i="23"/>
  <c r="N458" i="23"/>
  <c r="N455" i="23"/>
  <c r="N456" i="23"/>
  <c r="N454" i="23"/>
  <c r="N451" i="23"/>
  <c r="N452" i="23"/>
  <c r="N449" i="23"/>
  <c r="N450" i="23"/>
  <c r="N447" i="23"/>
  <c r="N448" i="23"/>
  <c r="N446" i="23"/>
  <c r="N443" i="23"/>
  <c r="N444" i="23"/>
  <c r="N441" i="23"/>
  <c r="N442" i="23"/>
  <c r="N439" i="23"/>
  <c r="N440" i="23"/>
  <c r="N438" i="23"/>
  <c r="N415" i="23"/>
  <c r="N417" i="23"/>
  <c r="N411" i="23"/>
  <c r="N412" i="23"/>
  <c r="N410" i="23"/>
  <c r="N405" i="23"/>
  <c r="N407" i="23"/>
  <c r="N401" i="23"/>
  <c r="N402" i="23"/>
  <c r="N400" i="23"/>
  <c r="N397" i="23"/>
  <c r="N398" i="23"/>
  <c r="N395" i="23"/>
  <c r="N396" i="23"/>
  <c r="N393" i="23"/>
  <c r="N394" i="23"/>
  <c r="N391" i="23"/>
  <c r="N392" i="23"/>
  <c r="N389" i="23"/>
  <c r="N390" i="23"/>
  <c r="N387" i="23"/>
  <c r="N388" i="23"/>
  <c r="N386" i="23"/>
  <c r="N383" i="23"/>
  <c r="N384" i="23"/>
  <c r="N381" i="23"/>
  <c r="N382" i="23"/>
  <c r="N379" i="23"/>
  <c r="N380" i="23"/>
  <c r="N375" i="23"/>
  <c r="N376" i="23"/>
  <c r="N373" i="23"/>
  <c r="N374" i="23"/>
  <c r="N371" i="23"/>
  <c r="N372" i="23"/>
  <c r="N370" i="23"/>
  <c r="N366" i="23"/>
  <c r="N367" i="23"/>
  <c r="N364" i="23"/>
  <c r="N365" i="23"/>
  <c r="N362" i="23"/>
  <c r="N363" i="23"/>
  <c r="N361" i="23"/>
  <c r="N357" i="23"/>
  <c r="N358" i="23"/>
  <c r="N355" i="23"/>
  <c r="N356" i="23"/>
  <c r="N353" i="23"/>
  <c r="N354" i="23"/>
  <c r="N352" i="23"/>
  <c r="N348" i="23"/>
  <c r="N349" i="23"/>
  <c r="N346" i="23"/>
  <c r="N347" i="23"/>
  <c r="N344" i="23"/>
  <c r="N345" i="23"/>
  <c r="N343" i="23"/>
  <c r="N339" i="23"/>
  <c r="N340" i="23"/>
  <c r="N337" i="23"/>
  <c r="N338" i="23"/>
  <c r="N336" i="23"/>
  <c r="N332" i="23"/>
  <c r="N333" i="23"/>
  <c r="N330" i="23"/>
  <c r="N331" i="23"/>
  <c r="N328" i="23"/>
  <c r="N329" i="23"/>
  <c r="N327" i="23"/>
  <c r="N324" i="23"/>
  <c r="N321" i="23"/>
  <c r="N322" i="23"/>
  <c r="N319" i="23"/>
  <c r="N320" i="23"/>
  <c r="N318" i="23"/>
  <c r="N314" i="23"/>
  <c r="N315" i="23"/>
  <c r="N312" i="23"/>
  <c r="N313" i="23"/>
  <c r="N308" i="23"/>
  <c r="N311" i="23"/>
  <c r="N306" i="23"/>
  <c r="N307" i="23"/>
  <c r="N304" i="23"/>
  <c r="N305" i="23"/>
  <c r="N303" i="23"/>
  <c r="N300" i="23"/>
  <c r="N301" i="23"/>
  <c r="N298" i="23"/>
  <c r="N299" i="23"/>
  <c r="N296" i="23"/>
  <c r="N297" i="23"/>
  <c r="N294" i="23"/>
  <c r="N295" i="23"/>
  <c r="N292" i="23"/>
  <c r="N293" i="23"/>
  <c r="N291" i="23"/>
  <c r="N288" i="23"/>
  <c r="N289" i="23"/>
  <c r="N286" i="23"/>
  <c r="N287" i="23"/>
  <c r="N284" i="23"/>
  <c r="N285" i="23"/>
  <c r="N282" i="23"/>
  <c r="N283" i="23"/>
  <c r="N280" i="23"/>
  <c r="N281" i="23"/>
  <c r="N279" i="23"/>
  <c r="N276" i="23"/>
  <c r="N277" i="23"/>
  <c r="N274" i="23"/>
  <c r="N275" i="23"/>
  <c r="N273" i="23"/>
  <c r="N269" i="23"/>
  <c r="N270" i="23"/>
  <c r="N267" i="23"/>
  <c r="N268" i="23"/>
  <c r="N266" i="23"/>
  <c r="N263" i="23"/>
  <c r="N264" i="23"/>
  <c r="N261" i="23"/>
  <c r="N262" i="23"/>
  <c r="N259" i="23"/>
  <c r="N260" i="23"/>
  <c r="N255" i="23"/>
  <c r="N256" i="23"/>
  <c r="N253" i="23"/>
  <c r="N254" i="23"/>
  <c r="N251" i="23"/>
  <c r="N252" i="23"/>
  <c r="N249" i="23"/>
  <c r="N250" i="23"/>
  <c r="N247" i="23"/>
  <c r="N248" i="23"/>
  <c r="N211" i="23"/>
  <c r="N246" i="23"/>
  <c r="N244" i="23"/>
  <c r="N245" i="23"/>
  <c r="N242" i="23"/>
  <c r="N243" i="23"/>
  <c r="N240" i="23"/>
  <c r="N241" i="23"/>
  <c r="N239" i="23"/>
  <c r="N235" i="23"/>
  <c r="N236" i="23"/>
  <c r="N233" i="23"/>
  <c r="N234" i="23"/>
  <c r="N231" i="23"/>
  <c r="N232" i="23"/>
  <c r="N229" i="23"/>
  <c r="N230" i="23"/>
  <c r="N227" i="23"/>
  <c r="N228" i="23"/>
  <c r="N225" i="23"/>
  <c r="N226" i="23"/>
  <c r="N223" i="23"/>
  <c r="N224" i="23"/>
  <c r="N222" i="23"/>
  <c r="N218" i="23"/>
  <c r="N219" i="23"/>
  <c r="N216" i="23"/>
  <c r="N217" i="23"/>
  <c r="N213" i="23"/>
  <c r="N209" i="23"/>
  <c r="N210" i="23"/>
  <c r="N207" i="23"/>
  <c r="N208" i="23"/>
  <c r="N205" i="23"/>
  <c r="N206" i="23"/>
  <c r="N203" i="23"/>
  <c r="N204" i="23"/>
  <c r="N201" i="23"/>
  <c r="N202" i="23"/>
  <c r="N199" i="23"/>
  <c r="N200" i="23"/>
  <c r="N197" i="23"/>
  <c r="N198" i="23"/>
  <c r="N195" i="23"/>
  <c r="N196" i="23"/>
  <c r="N193" i="23"/>
  <c r="N194" i="23"/>
  <c r="N192" i="23"/>
  <c r="N188" i="23"/>
  <c r="N189" i="23"/>
  <c r="N186" i="23"/>
  <c r="N187" i="23"/>
  <c r="N184" i="23"/>
  <c r="N185" i="23"/>
  <c r="N182" i="23"/>
  <c r="N183" i="23"/>
  <c r="N180" i="23"/>
  <c r="N181" i="23"/>
  <c r="N178" i="23"/>
  <c r="N179" i="23"/>
  <c r="N176" i="23"/>
  <c r="N177" i="23"/>
  <c r="N175" i="23"/>
  <c r="N172" i="23"/>
  <c r="N173" i="23"/>
  <c r="N171" i="23"/>
  <c r="N168" i="23"/>
  <c r="N169" i="23"/>
  <c r="N166" i="23"/>
  <c r="N167" i="23"/>
  <c r="N165" i="23"/>
  <c r="N162" i="23"/>
  <c r="N159" i="23"/>
  <c r="N160" i="23"/>
  <c r="N157" i="23"/>
  <c r="N158" i="23"/>
  <c r="N155" i="23"/>
  <c r="N156" i="23"/>
  <c r="N153" i="23"/>
  <c r="N154" i="23"/>
  <c r="N151" i="23"/>
  <c r="N152" i="23"/>
  <c r="N149" i="23"/>
  <c r="N150" i="23"/>
  <c r="N148" i="23"/>
  <c r="N145" i="23"/>
  <c r="N146" i="23"/>
  <c r="N143" i="23"/>
  <c r="N144" i="23"/>
  <c r="N141" i="23"/>
  <c r="N142" i="23"/>
  <c r="N139" i="23"/>
  <c r="N140" i="23"/>
  <c r="N137" i="23"/>
  <c r="N138" i="23"/>
  <c r="N135" i="23"/>
  <c r="N136" i="23"/>
  <c r="N134" i="23"/>
  <c r="N131" i="23"/>
  <c r="N132" i="23"/>
  <c r="N129" i="23"/>
  <c r="N130" i="23"/>
  <c r="N128" i="23"/>
  <c r="N125" i="23"/>
  <c r="N126" i="23"/>
  <c r="N122" i="23"/>
  <c r="N117" i="23"/>
  <c r="N118" i="23"/>
  <c r="N115" i="23"/>
  <c r="N116" i="23"/>
  <c r="N113" i="23"/>
  <c r="N114" i="23"/>
  <c r="N111" i="23"/>
  <c r="N112" i="23"/>
  <c r="N109" i="23"/>
  <c r="N110" i="23"/>
  <c r="N108" i="23"/>
  <c r="N105" i="23"/>
  <c r="N101" i="23"/>
  <c r="N99" i="23"/>
  <c r="N96" i="23"/>
  <c r="N97" i="23"/>
  <c r="N94" i="23"/>
  <c r="N95" i="23"/>
  <c r="N92" i="23"/>
  <c r="N93" i="23"/>
  <c r="N91" i="23"/>
  <c r="N88" i="23"/>
  <c r="N89" i="23"/>
  <c r="N86" i="23"/>
  <c r="N87" i="23"/>
  <c r="N85" i="23"/>
  <c r="N82" i="23"/>
  <c r="N83" i="23"/>
  <c r="N79" i="23"/>
  <c r="N80" i="23"/>
  <c r="N77" i="23"/>
  <c r="N78" i="23"/>
  <c r="N76" i="23"/>
  <c r="N72" i="23"/>
  <c r="N73" i="23"/>
  <c r="N70" i="23"/>
  <c r="N71" i="23"/>
  <c r="N69" i="23"/>
  <c r="N66" i="23"/>
  <c r="N67" i="23"/>
  <c r="N64" i="23"/>
  <c r="N65" i="23"/>
  <c r="N62" i="23"/>
  <c r="N63" i="23"/>
  <c r="N59" i="23"/>
  <c r="N56" i="23"/>
  <c r="N57" i="23"/>
  <c r="N54" i="23"/>
  <c r="N55" i="23"/>
  <c r="N50" i="23"/>
  <c r="N51" i="23"/>
  <c r="N49" i="23"/>
  <c r="N46" i="23"/>
  <c r="N47" i="23"/>
  <c r="N44" i="23"/>
  <c r="N45" i="23"/>
  <c r="N40" i="23"/>
  <c r="N41" i="23"/>
  <c r="N39" i="23"/>
  <c r="N35" i="23"/>
  <c r="N36" i="23"/>
  <c r="N34" i="23"/>
  <c r="N30" i="23"/>
  <c r="N31" i="23"/>
  <c r="N29" i="23"/>
  <c r="N25" i="23"/>
  <c r="N26" i="23"/>
  <c r="N24" i="23"/>
  <c r="N20" i="23"/>
  <c r="N21" i="23"/>
  <c r="N19" i="23"/>
  <c r="N16" i="23"/>
  <c r="N17" i="23"/>
  <c r="N14" i="23"/>
  <c r="N15" i="23"/>
  <c r="N10" i="23"/>
  <c r="N11" i="23"/>
  <c r="N9" i="23"/>
  <c r="Q118" i="29"/>
  <c r="Q120" i="29"/>
  <c r="Q122" i="29"/>
  <c r="Q119" i="29"/>
  <c r="Q121" i="29"/>
  <c r="Q123" i="29"/>
  <c r="Q125" i="29"/>
  <c r="O90" i="29"/>
  <c r="M90" i="29"/>
  <c r="Q128" i="29"/>
  <c r="Q141" i="29"/>
  <c r="O89" i="29"/>
  <c r="M89" i="29"/>
  <c r="O107" i="29"/>
  <c r="M107" i="29"/>
  <c r="K40" i="29"/>
  <c r="Q40" i="29" s="1"/>
  <c r="C86" i="29"/>
  <c r="C33" i="29"/>
  <c r="R160" i="29"/>
  <c r="K87" i="29"/>
  <c r="Q87" i="29" s="1"/>
  <c r="R93" i="29"/>
  <c r="C78" i="29"/>
  <c r="K18" i="29"/>
  <c r="Q18" i="29" s="1"/>
  <c r="K41" i="29"/>
  <c r="Q41" i="29" s="1"/>
  <c r="K79" i="29"/>
  <c r="Q79" i="29" s="1"/>
  <c r="K11" i="29"/>
  <c r="Q11" i="29" s="1"/>
  <c r="K42" i="29"/>
  <c r="Q42" i="29" s="1"/>
  <c r="K88" i="29"/>
  <c r="Q88" i="29" s="1"/>
  <c r="K94" i="29"/>
  <c r="Q94" i="29" s="1"/>
  <c r="K101" i="29"/>
  <c r="Q101" i="29" s="1"/>
  <c r="C110" i="29"/>
  <c r="K71" i="29"/>
  <c r="Q71" i="29" s="1"/>
  <c r="K17" i="29"/>
  <c r="Q17" i="29" s="1"/>
  <c r="K67" i="29"/>
  <c r="Q67" i="29" s="1"/>
  <c r="C12" i="29"/>
  <c r="C35" i="29"/>
  <c r="K89" i="29"/>
  <c r="R111" i="29"/>
  <c r="C26" i="29"/>
  <c r="R113" i="29"/>
  <c r="R13" i="29"/>
  <c r="R96" i="29"/>
  <c r="K14" i="29"/>
  <c r="Q14" i="29" s="1"/>
  <c r="R90" i="29"/>
  <c r="C104" i="29"/>
  <c r="K15" i="29"/>
  <c r="Q15" i="29" s="1"/>
  <c r="R27" i="29"/>
  <c r="R76" i="29"/>
  <c r="C105" i="29"/>
  <c r="C112" i="29"/>
  <c r="K8" i="29"/>
  <c r="Q8" i="29" s="1"/>
  <c r="R28" i="29"/>
  <c r="K39" i="29"/>
  <c r="Q39" i="29" s="1"/>
  <c r="K66" i="29"/>
  <c r="Q66" i="29" s="1"/>
  <c r="R77" i="29"/>
  <c r="R85" i="29"/>
  <c r="R91" i="29"/>
  <c r="K98" i="29"/>
  <c r="Q98" i="29" s="1"/>
  <c r="R107" i="29"/>
  <c r="R6" i="29"/>
  <c r="R184" i="29"/>
  <c r="J397" i="23"/>
  <c r="J538" i="23"/>
  <c r="L657" i="23"/>
  <c r="L650" i="23" s="1"/>
  <c r="R178" i="29"/>
  <c r="G73" i="23"/>
  <c r="J73" i="23" s="1"/>
  <c r="J68" i="23" s="1"/>
  <c r="I73" i="23"/>
  <c r="L73" i="23" s="1"/>
  <c r="H73" i="23"/>
  <c r="K73" i="23" s="1"/>
  <c r="E73" i="23"/>
  <c r="D73" i="23"/>
  <c r="C73" i="23"/>
  <c r="R183" i="29"/>
  <c r="E59" i="23"/>
  <c r="I59" i="23"/>
  <c r="L59" i="23" s="1"/>
  <c r="H59" i="23"/>
  <c r="K59" i="23" s="1"/>
  <c r="G59" i="23"/>
  <c r="J59" i="23" s="1"/>
  <c r="G19" i="22"/>
  <c r="M19" i="22" s="1"/>
  <c r="G34" i="22"/>
  <c r="K34" i="22" s="1"/>
  <c r="C59" i="23"/>
  <c r="C168" i="23"/>
  <c r="E715" i="23"/>
  <c r="G168" i="23"/>
  <c r="J168" i="23" s="1"/>
  <c r="G130" i="23"/>
  <c r="J130" i="23" s="1"/>
  <c r="I162" i="23"/>
  <c r="L162" i="23" s="1"/>
  <c r="L161" i="23" s="1"/>
  <c r="H168" i="23"/>
  <c r="K168" i="23" s="1"/>
  <c r="C275" i="23"/>
  <c r="E276" i="23"/>
  <c r="I694" i="23"/>
  <c r="L694" i="23" s="1"/>
  <c r="C701" i="23"/>
  <c r="C716" i="23"/>
  <c r="C72" i="23"/>
  <c r="C88" i="23"/>
  <c r="I130" i="23"/>
  <c r="L130" i="23" s="1"/>
  <c r="L127" i="23" s="1"/>
  <c r="I168" i="23"/>
  <c r="L168" i="23" s="1"/>
  <c r="C219" i="23"/>
  <c r="I270" i="23"/>
  <c r="L270" i="23" s="1"/>
  <c r="D275" i="23"/>
  <c r="H276" i="23"/>
  <c r="K276" i="23" s="1"/>
  <c r="J514" i="23"/>
  <c r="J657" i="23"/>
  <c r="J650" i="23" s="1"/>
  <c r="D701" i="23"/>
  <c r="G716" i="23"/>
  <c r="J716" i="23" s="1"/>
  <c r="D72" i="23"/>
  <c r="D219" i="23"/>
  <c r="E275" i="23"/>
  <c r="I276" i="23"/>
  <c r="L276" i="23" s="1"/>
  <c r="E701" i="23"/>
  <c r="H716" i="23"/>
  <c r="K716" i="23" s="1"/>
  <c r="E72" i="23"/>
  <c r="E219" i="23"/>
  <c r="G275" i="23"/>
  <c r="J275" i="23" s="1"/>
  <c r="J438" i="23"/>
  <c r="G701" i="23"/>
  <c r="J701" i="23" s="1"/>
  <c r="I716" i="23"/>
  <c r="L716" i="23" s="1"/>
  <c r="K397" i="23"/>
  <c r="D694" i="23"/>
  <c r="B3" i="22"/>
  <c r="G242" i="22"/>
  <c r="K242" i="22" s="1"/>
  <c r="G241" i="22"/>
  <c r="M241" i="22" s="1"/>
  <c r="G243" i="22"/>
  <c r="L243" i="22" s="1"/>
  <c r="G244" i="22"/>
  <c r="K244" i="22" s="1"/>
  <c r="G245" i="22"/>
  <c r="M245" i="22" s="1"/>
  <c r="M232" i="22"/>
  <c r="K238" i="22"/>
  <c r="O234" i="22"/>
  <c r="M235" i="22"/>
  <c r="M237" i="22"/>
  <c r="L236" i="22"/>
  <c r="O11" i="22"/>
  <c r="G7" i="22"/>
  <c r="J6" i="22"/>
  <c r="M6" i="22" s="1"/>
  <c r="C25" i="29"/>
  <c r="L37" i="23"/>
  <c r="L33" i="23" s="1"/>
  <c r="O230" i="22"/>
  <c r="K43" i="22"/>
  <c r="L311" i="23"/>
  <c r="L293" i="22"/>
  <c r="L32" i="23"/>
  <c r="L28" i="23" s="1"/>
  <c r="J80" i="23"/>
  <c r="J159" i="23"/>
  <c r="J264" i="23"/>
  <c r="J604" i="23"/>
  <c r="J597" i="23" s="1"/>
  <c r="L43" i="22"/>
  <c r="L232" i="22"/>
  <c r="M293" i="22"/>
  <c r="K264" i="23"/>
  <c r="J395" i="23"/>
  <c r="K412" i="23"/>
  <c r="K409" i="23" s="1"/>
  <c r="J471" i="23"/>
  <c r="J545" i="23"/>
  <c r="K395" i="23"/>
  <c r="L92" i="23"/>
  <c r="L303" i="23"/>
  <c r="L302" i="23" s="1"/>
  <c r="J358" i="23"/>
  <c r="J455" i="23"/>
  <c r="J507" i="23"/>
  <c r="L6" i="22"/>
  <c r="K143" i="23"/>
  <c r="L327" i="23"/>
  <c r="K293" i="22"/>
  <c r="K972" i="23"/>
  <c r="L394" i="23"/>
  <c r="K124" i="23"/>
  <c r="L170" i="23"/>
  <c r="K795" i="23"/>
  <c r="K189" i="23"/>
  <c r="L256" i="23"/>
  <c r="L238" i="23" s="1"/>
  <c r="K108" i="23"/>
  <c r="K109" i="23"/>
  <c r="J431" i="23"/>
  <c r="J428" i="23" s="1"/>
  <c r="M515" i="23"/>
  <c r="L157" i="23"/>
  <c r="J560" i="23"/>
  <c r="J110" i="23"/>
  <c r="L395" i="23"/>
  <c r="K455" i="23"/>
  <c r="J498" i="23"/>
  <c r="J529" i="23"/>
  <c r="L636" i="23"/>
  <c r="L632" i="23" s="1"/>
  <c r="K537" i="23"/>
  <c r="L538" i="23"/>
  <c r="L108" i="23"/>
  <c r="L109" i="23"/>
  <c r="L110" i="23"/>
  <c r="L537" i="23"/>
  <c r="K80" i="23"/>
  <c r="J101" i="23"/>
  <c r="L397" i="23"/>
  <c r="J412" i="23"/>
  <c r="J409" i="23" s="1"/>
  <c r="J439" i="23"/>
  <c r="L488" i="23"/>
  <c r="L604" i="23"/>
  <c r="L597" i="23" s="1"/>
  <c r="L726" i="23"/>
  <c r="J748" i="23"/>
  <c r="J831" i="23"/>
  <c r="M225" i="22"/>
  <c r="M239" i="22"/>
  <c r="L246" i="22"/>
  <c r="L303" i="22"/>
  <c r="L80" i="23"/>
  <c r="K349" i="23"/>
  <c r="K62" i="22"/>
  <c r="O239" i="22"/>
  <c r="O246" i="22"/>
  <c r="M303" i="22"/>
  <c r="K32" i="23"/>
  <c r="K28" i="23" s="1"/>
  <c r="L101" i="23"/>
  <c r="K110" i="23"/>
  <c r="K157" i="23"/>
  <c r="M277" i="23"/>
  <c r="J293" i="23"/>
  <c r="K479" i="23"/>
  <c r="J595" i="23"/>
  <c r="L812" i="23"/>
  <c r="K156" i="23"/>
  <c r="L212" i="23"/>
  <c r="K595" i="23"/>
  <c r="K622" i="23"/>
  <c r="K615" i="23" s="1"/>
  <c r="L843" i="23"/>
  <c r="L118" i="23"/>
  <c r="J327" i="23"/>
  <c r="L454" i="23"/>
  <c r="L595" i="23"/>
  <c r="K327" i="23"/>
  <c r="J544" i="23"/>
  <c r="K545" i="23"/>
  <c r="K613" i="23"/>
  <c r="K544" i="23"/>
  <c r="L545" i="23"/>
  <c r="J726" i="23"/>
  <c r="K40" i="22"/>
  <c r="K41" i="22"/>
  <c r="M43" i="22"/>
  <c r="L507" i="23"/>
  <c r="L508" i="23"/>
  <c r="J522" i="23"/>
  <c r="L544" i="23"/>
  <c r="L627" i="23"/>
  <c r="K726" i="23"/>
  <c r="K239" i="22"/>
  <c r="K246" i="22"/>
  <c r="K8" i="23"/>
  <c r="J92" i="23"/>
  <c r="K142" i="23"/>
  <c r="L143" i="23"/>
  <c r="L144" i="23"/>
  <c r="L156" i="23"/>
  <c r="K158" i="23"/>
  <c r="L159" i="23"/>
  <c r="J37" i="23"/>
  <c r="J33" i="23" s="1"/>
  <c r="J91" i="23"/>
  <c r="K118" i="23"/>
  <c r="K37" i="23"/>
  <c r="K33" i="23" s="1"/>
  <c r="K93" i="23"/>
  <c r="K92" i="23"/>
  <c r="M118" i="23"/>
  <c r="L38" i="23"/>
  <c r="J142" i="23"/>
  <c r="J145" i="23"/>
  <c r="L142" i="23"/>
  <c r="K144" i="23"/>
  <c r="L145" i="23"/>
  <c r="J158" i="23"/>
  <c r="K159" i="23"/>
  <c r="K210" i="23"/>
  <c r="L277" i="23"/>
  <c r="L291" i="23"/>
  <c r="J301" i="23"/>
  <c r="J314" i="23"/>
  <c r="J343" i="23"/>
  <c r="L349" i="23"/>
  <c r="K358" i="23"/>
  <c r="J367" i="23"/>
  <c r="L439" i="23"/>
  <c r="J446" i="23"/>
  <c r="L461" i="23"/>
  <c r="J470" i="23"/>
  <c r="K471" i="23"/>
  <c r="L489" i="23"/>
  <c r="L546" i="23"/>
  <c r="K657" i="23"/>
  <c r="K650" i="23" s="1"/>
  <c r="L683" i="23"/>
  <c r="K737" i="23"/>
  <c r="J743" i="23"/>
  <c r="L158" i="23"/>
  <c r="L210" i="23"/>
  <c r="L236" i="23"/>
  <c r="L221" i="23" s="1"/>
  <c r="J277" i="23"/>
  <c r="L286" i="23"/>
  <c r="K301" i="23"/>
  <c r="J303" i="23"/>
  <c r="J302" i="23" s="1"/>
  <c r="L318" i="23"/>
  <c r="J332" i="23"/>
  <c r="K352" i="23"/>
  <c r="L358" i="23"/>
  <c r="K367" i="23"/>
  <c r="K386" i="23"/>
  <c r="K446" i="23"/>
  <c r="L447" i="23"/>
  <c r="J461" i="23"/>
  <c r="K470" i="23"/>
  <c r="L471" i="23"/>
  <c r="L514" i="23"/>
  <c r="L515" i="23"/>
  <c r="J537" i="23"/>
  <c r="L553" i="23"/>
  <c r="L658" i="23"/>
  <c r="K783" i="23"/>
  <c r="L40" i="22"/>
  <c r="M41" i="22"/>
  <c r="M292" i="22"/>
  <c r="J143" i="23"/>
  <c r="J144" i="23"/>
  <c r="K145" i="23"/>
  <c r="M159" i="23"/>
  <c r="L301" i="23"/>
  <c r="K311" i="23"/>
  <c r="L352" i="23"/>
  <c r="L386" i="23"/>
  <c r="K461" i="23"/>
  <c r="L470" i="23"/>
  <c r="L561" i="23"/>
  <c r="K761" i="23"/>
  <c r="L783" i="23"/>
  <c r="L795" i="23"/>
  <c r="M40" i="22"/>
  <c r="K225" i="22"/>
  <c r="K292" i="22"/>
  <c r="K271" i="23"/>
  <c r="K560" i="23"/>
  <c r="L761" i="23"/>
  <c r="J256" i="23"/>
  <c r="J238" i="23" s="1"/>
  <c r="J291" i="23"/>
  <c r="L293" i="23"/>
  <c r="L339" i="23"/>
  <c r="J349" i="23"/>
  <c r="M499" i="23"/>
  <c r="L498" i="23"/>
  <c r="J515" i="23"/>
  <c r="J546" i="23"/>
  <c r="L569" i="23"/>
  <c r="K604" i="23"/>
  <c r="K597" i="23" s="1"/>
  <c r="L613" i="23"/>
  <c r="J771" i="23"/>
  <c r="J802" i="23"/>
  <c r="K42" i="22"/>
  <c r="M302" i="22"/>
  <c r="J348" i="23"/>
  <c r="L382" i="23"/>
  <c r="K480" i="23"/>
  <c r="K489" i="23"/>
  <c r="K546" i="23"/>
  <c r="L718" i="23"/>
  <c r="J798" i="23"/>
  <c r="K13" i="23"/>
  <c r="J53" i="23"/>
  <c r="J48" i="23"/>
  <c r="K48" i="23"/>
  <c r="J124" i="23"/>
  <c r="L13" i="23"/>
  <c r="L23" i="23"/>
  <c r="J32" i="23"/>
  <c r="J28" i="23" s="1"/>
  <c r="J118" i="23"/>
  <c r="L124" i="23"/>
  <c r="L8" i="23"/>
  <c r="K23" i="23"/>
  <c r="L53" i="23"/>
  <c r="J170" i="23"/>
  <c r="J108" i="23"/>
  <c r="J109" i="23"/>
  <c r="K314" i="23"/>
  <c r="J13" i="23"/>
  <c r="J43" i="23"/>
  <c r="J18" i="23"/>
  <c r="K18" i="23"/>
  <c r="J23" i="23"/>
  <c r="L115" i="23"/>
  <c r="L189" i="23"/>
  <c r="K431" i="23"/>
  <c r="K428" i="23" s="1"/>
  <c r="J454" i="23"/>
  <c r="J479" i="23"/>
  <c r="K488" i="23"/>
  <c r="L499" i="23"/>
  <c r="K574" i="23"/>
  <c r="K573" i="23" s="1"/>
  <c r="M189" i="23"/>
  <c r="L431" i="23"/>
  <c r="L428" i="23" s="1"/>
  <c r="L574" i="23"/>
  <c r="L573" i="23" s="1"/>
  <c r="J286" i="23"/>
  <c r="K291" i="23"/>
  <c r="K293" i="23"/>
  <c r="K303" i="23"/>
  <c r="K302" i="23" s="1"/>
  <c r="J311" i="23"/>
  <c r="J318" i="23"/>
  <c r="J352" i="23"/>
  <c r="J357" i="23"/>
  <c r="J386" i="23"/>
  <c r="J447" i="23"/>
  <c r="L455" i="23"/>
  <c r="K498" i="23"/>
  <c r="K499" i="23"/>
  <c r="K514" i="23"/>
  <c r="K538" i="23"/>
  <c r="L560" i="23"/>
  <c r="K569" i="23"/>
  <c r="J642" i="23"/>
  <c r="K277" i="23"/>
  <c r="K292" i="23"/>
  <c r="L314" i="23"/>
  <c r="J339" i="23"/>
  <c r="K357" i="23"/>
  <c r="J366" i="23"/>
  <c r="J375" i="23"/>
  <c r="J382" i="23"/>
  <c r="J189" i="23"/>
  <c r="L264" i="23"/>
  <c r="J271" i="23"/>
  <c r="L292" i="23"/>
  <c r="K343" i="23"/>
  <c r="J361" i="23"/>
  <c r="K366" i="23"/>
  <c r="L367" i="23"/>
  <c r="J370" i="23"/>
  <c r="J462" i="23"/>
  <c r="J156" i="23"/>
  <c r="J157" i="23"/>
  <c r="J236" i="23"/>
  <c r="J221" i="23" s="1"/>
  <c r="K256" i="23"/>
  <c r="K238" i="23" s="1"/>
  <c r="K278" i="23"/>
  <c r="K336" i="23"/>
  <c r="K361" i="23"/>
  <c r="K370" i="23"/>
  <c r="K379" i="23"/>
  <c r="L412" i="23"/>
  <c r="L409" i="23" s="1"/>
  <c r="L438" i="23"/>
  <c r="L446" i="23"/>
  <c r="K462" i="23"/>
  <c r="J488" i="23"/>
  <c r="L271" i="23"/>
  <c r="J325" i="23"/>
  <c r="L336" i="23"/>
  <c r="L343" i="23"/>
  <c r="L379" i="23"/>
  <c r="J399" i="23"/>
  <c r="K439" i="23"/>
  <c r="L462" i="23"/>
  <c r="J480" i="23"/>
  <c r="J489" i="23"/>
  <c r="J530" i="23"/>
  <c r="L361" i="23"/>
  <c r="L370" i="23"/>
  <c r="J394" i="23"/>
  <c r="J574" i="23"/>
  <c r="J573" i="23" s="1"/>
  <c r="J737" i="23"/>
  <c r="L668" i="23"/>
  <c r="K786" i="23"/>
  <c r="K261" i="22"/>
  <c r="J569" i="23"/>
  <c r="J586" i="23"/>
  <c r="J613" i="23"/>
  <c r="J622" i="23"/>
  <c r="J615" i="23" s="1"/>
  <c r="J683" i="23"/>
  <c r="K729" i="23"/>
  <c r="K743" i="23"/>
  <c r="J783" i="23"/>
  <c r="L790" i="23"/>
  <c r="K798" i="23"/>
  <c r="K1119" i="23"/>
  <c r="L41" i="22"/>
  <c r="L225" i="22"/>
  <c r="L292" i="22"/>
  <c r="L729" i="23"/>
  <c r="L733" i="23"/>
  <c r="L748" i="23"/>
  <c r="L802" i="23"/>
  <c r="K260" i="22"/>
  <c r="L586" i="23"/>
  <c r="L622" i="23"/>
  <c r="L615" i="23" s="1"/>
  <c r="L676" i="23"/>
  <c r="J812" i="23"/>
  <c r="J813" i="23"/>
  <c r="L260" i="22"/>
  <c r="K529" i="23"/>
  <c r="K530" i="23"/>
  <c r="J553" i="23"/>
  <c r="J554" i="23"/>
  <c r="J561" i="23"/>
  <c r="J583" i="23"/>
  <c r="J630" i="23"/>
  <c r="L766" i="23"/>
  <c r="K812" i="23"/>
  <c r="K813" i="23"/>
  <c r="K843" i="23"/>
  <c r="L42" i="22"/>
  <c r="L62" i="22"/>
  <c r="K515" i="23"/>
  <c r="L522" i="23"/>
  <c r="L523" i="23"/>
  <c r="M530" i="23"/>
  <c r="L529" i="23"/>
  <c r="L530" i="23"/>
  <c r="K553" i="23"/>
  <c r="K554" i="23"/>
  <c r="K561" i="23"/>
  <c r="K583" i="23"/>
  <c r="K630" i="23"/>
  <c r="J636" i="23"/>
  <c r="J632" i="23" s="1"/>
  <c r="J718" i="23"/>
  <c r="L786" i="23"/>
  <c r="L813" i="23"/>
  <c r="K970" i="23"/>
  <c r="O40" i="22"/>
  <c r="M62" i="22"/>
  <c r="L554" i="23"/>
  <c r="L583" i="23"/>
  <c r="L630" i="23"/>
  <c r="K636" i="23"/>
  <c r="K632" i="23" s="1"/>
  <c r="K718" i="23"/>
  <c r="L832" i="23"/>
  <c r="O41" i="22"/>
  <c r="L1110" i="23"/>
  <c r="K1021" i="23"/>
  <c r="R79" i="29"/>
  <c r="J1086" i="23"/>
  <c r="R88" i="29"/>
  <c r="M96" i="23"/>
  <c r="M106" i="23"/>
  <c r="K33" i="29"/>
  <c r="Q33" i="29" s="1"/>
  <c r="R33" i="29"/>
  <c r="M213" i="23"/>
  <c r="K1030" i="23"/>
  <c r="K1086" i="23"/>
  <c r="K1093" i="23"/>
  <c r="C68" i="29"/>
  <c r="J983" i="23"/>
  <c r="J1082" i="23"/>
  <c r="K983" i="23"/>
  <c r="M985" i="23"/>
  <c r="K986" i="23"/>
  <c r="M987" i="23"/>
  <c r="C27" i="29"/>
  <c r="J1080" i="23"/>
  <c r="M343" i="23"/>
  <c r="K1028" i="23"/>
  <c r="K1029" i="23"/>
  <c r="J1036" i="23"/>
  <c r="J1079" i="23"/>
  <c r="M65" i="23"/>
  <c r="M85" i="23"/>
  <c r="J962" i="23"/>
  <c r="M1082" i="23"/>
  <c r="K964" i="23"/>
  <c r="M1026" i="23"/>
  <c r="L1027" i="23"/>
  <c r="J1028" i="23"/>
  <c r="M1037" i="23"/>
  <c r="L1038" i="23"/>
  <c r="K1053" i="23"/>
  <c r="M1080" i="23"/>
  <c r="K1108" i="23"/>
  <c r="C15" i="29"/>
  <c r="R98" i="29"/>
  <c r="C111" i="29"/>
  <c r="L962" i="23"/>
  <c r="M964" i="23"/>
  <c r="L1008" i="23"/>
  <c r="M1054" i="23"/>
  <c r="M1089" i="23"/>
  <c r="J1103" i="23"/>
  <c r="K90" i="29"/>
  <c r="C28" i="29"/>
  <c r="C41" i="29"/>
  <c r="R89" i="29"/>
  <c r="C94" i="29"/>
  <c r="K96" i="29"/>
  <c r="Q96" i="29" s="1"/>
  <c r="K111" i="29"/>
  <c r="Q111" i="29" s="1"/>
  <c r="M757" i="23"/>
  <c r="J967" i="23"/>
  <c r="J975" i="23"/>
  <c r="K1001" i="23"/>
  <c r="J1025" i="23"/>
  <c r="K1026" i="23"/>
  <c r="M1033" i="23"/>
  <c r="K1050" i="23"/>
  <c r="M1061" i="23"/>
  <c r="L1062" i="23"/>
  <c r="M1063" i="23"/>
  <c r="M1064" i="23"/>
  <c r="K1065" i="23"/>
  <c r="M1078" i="23"/>
  <c r="K1076" i="23"/>
  <c r="M1079" i="23"/>
  <c r="L1080" i="23"/>
  <c r="L1082" i="23"/>
  <c r="M1093" i="23"/>
  <c r="C98" i="29"/>
  <c r="J948" i="23"/>
  <c r="J964" i="23"/>
  <c r="K967" i="23"/>
  <c r="K975" i="23"/>
  <c r="M979" i="23"/>
  <c r="K1000" i="23"/>
  <c r="M1075" i="23"/>
  <c r="M1083" i="23"/>
  <c r="M1084" i="23"/>
  <c r="K1085" i="23"/>
  <c r="L1086" i="23"/>
  <c r="L1088" i="23"/>
  <c r="L1089" i="23"/>
  <c r="M259" i="23"/>
  <c r="M976" i="23"/>
  <c r="L977" i="23"/>
  <c r="K999" i="23"/>
  <c r="L1025" i="23"/>
  <c r="J1026" i="23"/>
  <c r="K1027" i="23"/>
  <c r="M1073" i="23"/>
  <c r="M1086" i="23"/>
  <c r="M1087" i="23"/>
  <c r="M1088" i="23"/>
  <c r="K1089" i="23"/>
  <c r="K1110" i="23"/>
  <c r="K1117" i="23"/>
  <c r="M129" i="23"/>
  <c r="M211" i="23"/>
  <c r="M370" i="23"/>
  <c r="M709" i="23"/>
  <c r="F921" i="23"/>
  <c r="N921" i="23" s="1"/>
  <c r="L1026" i="23"/>
  <c r="K6" i="29"/>
  <c r="Q6" i="29" s="1"/>
  <c r="C87" i="29"/>
  <c r="C89" i="29"/>
  <c r="K112" i="29"/>
  <c r="Q112" i="29" s="1"/>
  <c r="M475" i="23"/>
  <c r="J1104" i="23"/>
  <c r="C67" i="29"/>
  <c r="C85" i="29"/>
  <c r="K1104" i="23"/>
  <c r="M298" i="23"/>
  <c r="J959" i="23"/>
  <c r="J969" i="23"/>
  <c r="J991" i="23"/>
  <c r="K1020" i="23"/>
  <c r="J1083" i="23"/>
  <c r="J1092" i="23"/>
  <c r="R70" i="29"/>
  <c r="R112" i="29"/>
  <c r="K959" i="23"/>
  <c r="J968" i="23"/>
  <c r="K969" i="23"/>
  <c r="K991" i="23"/>
  <c r="M993" i="23"/>
  <c r="K994" i="23"/>
  <c r="M995" i="23"/>
  <c r="J1001" i="23"/>
  <c r="K1043" i="23"/>
  <c r="M1067" i="23"/>
  <c r="R105" i="29"/>
  <c r="R15" i="29"/>
  <c r="C79" i="29"/>
  <c r="R87" i="29"/>
  <c r="C91" i="29"/>
  <c r="K110" i="29"/>
  <c r="Q110" i="29" s="1"/>
  <c r="N907" i="23"/>
  <c r="L907" i="23"/>
  <c r="K34" i="29"/>
  <c r="Q34" i="29" s="1"/>
  <c r="R34" i="29"/>
  <c r="K100" i="29"/>
  <c r="Q100" i="29" s="1"/>
  <c r="C100" i="29"/>
  <c r="R104" i="29"/>
  <c r="K104" i="29"/>
  <c r="Q104" i="29" s="1"/>
  <c r="R24" i="29"/>
  <c r="K24" i="29"/>
  <c r="Q24" i="29" s="1"/>
  <c r="C40" i="29"/>
  <c r="C70" i="29"/>
  <c r="N864" i="23"/>
  <c r="J864" i="23"/>
  <c r="R110" i="29"/>
  <c r="N880" i="23"/>
  <c r="J880" i="23"/>
  <c r="K65" i="29"/>
  <c r="Q65" i="29" s="1"/>
  <c r="C65" i="29"/>
  <c r="K92" i="29"/>
  <c r="Q92" i="29" s="1"/>
  <c r="R92" i="29"/>
  <c r="K37" i="29"/>
  <c r="Q37" i="29" s="1"/>
  <c r="C37" i="29"/>
  <c r="R69" i="29"/>
  <c r="C69" i="29"/>
  <c r="C113" i="29"/>
  <c r="N908" i="23"/>
  <c r="J908" i="23"/>
  <c r="M227" i="23"/>
  <c r="M470" i="23"/>
  <c r="M624" i="23"/>
  <c r="M625" i="23"/>
  <c r="M831" i="23"/>
  <c r="F941" i="23"/>
  <c r="L941" i="23" s="1"/>
  <c r="M946" i="23"/>
  <c r="M948" i="23"/>
  <c r="M949" i="23"/>
  <c r="K950" i="23"/>
  <c r="L951" i="23"/>
  <c r="M952" i="23"/>
  <c r="M953" i="23"/>
  <c r="M969" i="23"/>
  <c r="M975" i="23"/>
  <c r="K976" i="23"/>
  <c r="M984" i="23"/>
  <c r="L985" i="23"/>
  <c r="L986" i="23"/>
  <c r="M992" i="23"/>
  <c r="L993" i="23"/>
  <c r="L994" i="23"/>
  <c r="M1001" i="23"/>
  <c r="M1002" i="23"/>
  <c r="L1003" i="23"/>
  <c r="L1004" i="23"/>
  <c r="K1008" i="23"/>
  <c r="L1009" i="23"/>
  <c r="M1016" i="23"/>
  <c r="L1018" i="23"/>
  <c r="K1033" i="23"/>
  <c r="N1036" i="23"/>
  <c r="L1037" i="23"/>
  <c r="M1041" i="23"/>
  <c r="M1046" i="23"/>
  <c r="K1055" i="23"/>
  <c r="M1056" i="23"/>
  <c r="M1057" i="23"/>
  <c r="K1058" i="23"/>
  <c r="M1059" i="23"/>
  <c r="M1060" i="23"/>
  <c r="K1061" i="23"/>
  <c r="L1063" i="23"/>
  <c r="K1067" i="23"/>
  <c r="M1069" i="23"/>
  <c r="K1070" i="23"/>
  <c r="M1071" i="23"/>
  <c r="M1072" i="23"/>
  <c r="K1073" i="23"/>
  <c r="K1075" i="23"/>
  <c r="M180" i="23"/>
  <c r="M263" i="23"/>
  <c r="J963" i="23"/>
  <c r="J965" i="23"/>
  <c r="M977" i="23"/>
  <c r="J1023" i="23"/>
  <c r="J1045" i="23"/>
  <c r="K1103" i="23"/>
  <c r="M24" i="23"/>
  <c r="M26" i="23"/>
  <c r="M311" i="23"/>
  <c r="M828" i="23"/>
  <c r="K963" i="23"/>
  <c r="K1023" i="23"/>
  <c r="K1045" i="23"/>
  <c r="J1046" i="23"/>
  <c r="J1053" i="23"/>
  <c r="J1054" i="23"/>
  <c r="K1101" i="23"/>
  <c r="L1102" i="23"/>
  <c r="C18" i="29"/>
  <c r="C42" i="29"/>
  <c r="C71" i="29"/>
  <c r="M742" i="23"/>
  <c r="M829" i="23"/>
  <c r="M834" i="23"/>
  <c r="L958" i="23"/>
  <c r="L1023" i="23"/>
  <c r="M1099" i="23"/>
  <c r="J1100" i="23"/>
  <c r="K1102" i="23"/>
  <c r="L1103" i="23"/>
  <c r="L1104" i="23"/>
  <c r="M1116" i="23"/>
  <c r="M172" i="23"/>
  <c r="M173" i="23"/>
  <c r="M200" i="23"/>
  <c r="M314" i="23"/>
  <c r="M643" i="23"/>
  <c r="M644" i="23"/>
  <c r="M801" i="23"/>
  <c r="M839" i="23"/>
  <c r="L869" i="23"/>
  <c r="L885" i="23"/>
  <c r="K946" i="23"/>
  <c r="J949" i="23"/>
  <c r="J952" i="23"/>
  <c r="J953" i="23"/>
  <c r="K958" i="23"/>
  <c r="L965" i="23"/>
  <c r="J981" i="23"/>
  <c r="J985" i="23"/>
  <c r="J989" i="23"/>
  <c r="J993" i="23"/>
  <c r="J997" i="23"/>
  <c r="J1005" i="23"/>
  <c r="J1019" i="23"/>
  <c r="J1037" i="23"/>
  <c r="J1042" i="23"/>
  <c r="L1045" i="23"/>
  <c r="J1047" i="23"/>
  <c r="K1051" i="23"/>
  <c r="J1056" i="23"/>
  <c r="J1057" i="23"/>
  <c r="J1058" i="23"/>
  <c r="J1059" i="23"/>
  <c r="J1060" i="23"/>
  <c r="J1061" i="23"/>
  <c r="J1067" i="23"/>
  <c r="J1071" i="23"/>
  <c r="J1072" i="23"/>
  <c r="J1073" i="23"/>
  <c r="J1075" i="23"/>
  <c r="J1078" i="23"/>
  <c r="J1093" i="23"/>
  <c r="J1094" i="23"/>
  <c r="M1100" i="23"/>
  <c r="M1104" i="23"/>
  <c r="M344" i="23"/>
  <c r="F888" i="23"/>
  <c r="N888" i="23" s="1"/>
  <c r="L899" i="23"/>
  <c r="J900" i="23"/>
  <c r="L948" i="23"/>
  <c r="K949" i="23"/>
  <c r="K953" i="23"/>
  <c r="K956" i="23"/>
  <c r="M958" i="23"/>
  <c r="L959" i="23"/>
  <c r="L961" i="23"/>
  <c r="M965" i="23"/>
  <c r="K966" i="23"/>
  <c r="L967" i="23"/>
  <c r="L968" i="23"/>
  <c r="K974" i="23"/>
  <c r="J977" i="23"/>
  <c r="J979" i="23"/>
  <c r="J980" i="23"/>
  <c r="L983" i="23"/>
  <c r="K985" i="23"/>
  <c r="J987" i="23"/>
  <c r="L991" i="23"/>
  <c r="K993" i="23"/>
  <c r="J995" i="23"/>
  <c r="J996" i="23"/>
  <c r="M999" i="23"/>
  <c r="L1000" i="23"/>
  <c r="K1002" i="23"/>
  <c r="K1003" i="23"/>
  <c r="K1004" i="23"/>
  <c r="J1009" i="23"/>
  <c r="M1014" i="23"/>
  <c r="K1019" i="23"/>
  <c r="J1034" i="23"/>
  <c r="L1036" i="23"/>
  <c r="L1041" i="23"/>
  <c r="M1045" i="23"/>
  <c r="K1046" i="23"/>
  <c r="K1047" i="23"/>
  <c r="J1049" i="23"/>
  <c r="L1051" i="23"/>
  <c r="M1053" i="23"/>
  <c r="K1054" i="23"/>
  <c r="K1056" i="23"/>
  <c r="K1060" i="23"/>
  <c r="J1063" i="23"/>
  <c r="J1064" i="23"/>
  <c r="J1065" i="23"/>
  <c r="J1110" i="23"/>
  <c r="M10" i="23"/>
  <c r="M131" i="23"/>
  <c r="M176" i="23"/>
  <c r="M193" i="23"/>
  <c r="M195" i="23"/>
  <c r="M201" i="23"/>
  <c r="M576" i="23"/>
  <c r="M577" i="23"/>
  <c r="M706" i="23"/>
  <c r="M719" i="23"/>
  <c r="M753" i="23"/>
  <c r="M789" i="23"/>
  <c r="F871" i="23"/>
  <c r="N871" i="23" s="1"/>
  <c r="L946" i="23"/>
  <c r="K948" i="23"/>
  <c r="L952" i="23"/>
  <c r="M959" i="23"/>
  <c r="M967" i="23"/>
  <c r="M968" i="23"/>
  <c r="L969" i="23"/>
  <c r="M974" i="23"/>
  <c r="L975" i="23"/>
  <c r="L976" i="23"/>
  <c r="K977" i="23"/>
  <c r="J978" i="23"/>
  <c r="K979" i="23"/>
  <c r="M983" i="23"/>
  <c r="K984" i="23"/>
  <c r="K987" i="23"/>
  <c r="M991" i="23"/>
  <c r="K992" i="23"/>
  <c r="K995" i="23"/>
  <c r="M1000" i="23"/>
  <c r="L1001" i="23"/>
  <c r="L1002" i="23"/>
  <c r="M1006" i="23"/>
  <c r="L1007" i="23"/>
  <c r="J1008" i="23"/>
  <c r="K1009" i="23"/>
  <c r="J1018" i="23"/>
  <c r="L1019" i="23"/>
  <c r="J1020" i="23"/>
  <c r="J1031" i="23"/>
  <c r="L1033" i="23"/>
  <c r="K1036" i="23"/>
  <c r="K1039" i="23"/>
  <c r="K1041" i="23"/>
  <c r="L1046" i="23"/>
  <c r="L1047" i="23"/>
  <c r="M1051" i="23"/>
  <c r="L1054" i="23"/>
  <c r="L1055" i="23"/>
  <c r="L1059" i="23"/>
  <c r="K1064" i="23"/>
  <c r="J1088" i="23"/>
  <c r="J1089" i="23"/>
  <c r="J1108" i="23"/>
  <c r="C17" i="29"/>
  <c r="R81" i="29"/>
  <c r="C81" i="29"/>
  <c r="C114" i="29"/>
  <c r="R114" i="29"/>
  <c r="K114" i="29"/>
  <c r="Q114" i="29" s="1"/>
  <c r="K25" i="29"/>
  <c r="Q25" i="29" s="1"/>
  <c r="R25" i="29"/>
  <c r="K81" i="29"/>
  <c r="Q81" i="29" s="1"/>
  <c r="R108" i="29"/>
  <c r="C108" i="29"/>
  <c r="K108" i="29"/>
  <c r="Q108" i="29" s="1"/>
  <c r="K64" i="29"/>
  <c r="Q64" i="29" s="1"/>
  <c r="C64" i="29"/>
  <c r="K38" i="29"/>
  <c r="Q38" i="29" s="1"/>
  <c r="C38" i="29"/>
  <c r="K28" i="29"/>
  <c r="Q28" i="29" s="1"/>
  <c r="K43" i="29"/>
  <c r="Q43" i="29" s="1"/>
  <c r="C43" i="29"/>
  <c r="K85" i="29"/>
  <c r="Q85" i="29" s="1"/>
  <c r="R84" i="29"/>
  <c r="K84" i="29"/>
  <c r="Q84" i="29" s="1"/>
  <c r="R10" i="29"/>
  <c r="K10" i="29"/>
  <c r="Q10" i="29" s="1"/>
  <c r="C29" i="29"/>
  <c r="R29" i="29"/>
  <c r="R35" i="29"/>
  <c r="K63" i="29"/>
  <c r="Q63" i="29" s="1"/>
  <c r="C63" i="29"/>
  <c r="K76" i="29"/>
  <c r="Q76" i="29" s="1"/>
  <c r="C93" i="29"/>
  <c r="K16" i="29"/>
  <c r="Q16" i="29" s="1"/>
  <c r="C16" i="29"/>
  <c r="K29" i="29"/>
  <c r="Q29" i="29" s="1"/>
  <c r="K35" i="29"/>
  <c r="Q35" i="29" s="1"/>
  <c r="K93" i="29"/>
  <c r="Q93" i="29" s="1"/>
  <c r="C13" i="29"/>
  <c r="R14" i="29"/>
  <c r="R11" i="29"/>
  <c r="C11" i="29"/>
  <c r="K13" i="29"/>
  <c r="Q13" i="29" s="1"/>
  <c r="K77" i="29"/>
  <c r="Q77" i="29" s="1"/>
  <c r="C77" i="29"/>
  <c r="R100" i="29"/>
  <c r="K36" i="29"/>
  <c r="Q36" i="29" s="1"/>
  <c r="C36" i="29"/>
  <c r="R80" i="29"/>
  <c r="R103" i="29"/>
  <c r="K103" i="29"/>
  <c r="Q103" i="29" s="1"/>
  <c r="K27" i="29"/>
  <c r="Q27" i="29" s="1"/>
  <c r="K91" i="29"/>
  <c r="Q91" i="29" s="1"/>
  <c r="K99" i="29"/>
  <c r="Q99" i="29" s="1"/>
  <c r="R99" i="29"/>
  <c r="K105" i="29"/>
  <c r="Q105" i="29" s="1"/>
  <c r="K113" i="29"/>
  <c r="Q113" i="29" s="1"/>
  <c r="M62" i="23"/>
  <c r="M63" i="23"/>
  <c r="M64" i="23"/>
  <c r="M66" i="23"/>
  <c r="M125" i="23"/>
  <c r="M242" i="23"/>
  <c r="M244" i="23"/>
  <c r="M273" i="23"/>
  <c r="M274" i="23"/>
  <c r="M276" i="23"/>
  <c r="M313" i="23"/>
  <c r="M312" i="23"/>
  <c r="M380" i="23"/>
  <c r="N868" i="23"/>
  <c r="M868" i="23"/>
  <c r="L868" i="23"/>
  <c r="J868" i="23"/>
  <c r="N905" i="23"/>
  <c r="L905" i="23"/>
  <c r="N916" i="23"/>
  <c r="L916" i="23"/>
  <c r="J916" i="23"/>
  <c r="M165" i="23"/>
  <c r="M192" i="23"/>
  <c r="M198" i="23"/>
  <c r="M257" i="23"/>
  <c r="M262" i="23"/>
  <c r="M387" i="23"/>
  <c r="M405" i="23"/>
  <c r="M401" i="23"/>
  <c r="M400" i="23"/>
  <c r="N878" i="23"/>
  <c r="M878" i="23"/>
  <c r="L878" i="23"/>
  <c r="J878" i="23"/>
  <c r="N894" i="23"/>
  <c r="M894" i="23"/>
  <c r="L894" i="23"/>
  <c r="J894" i="23"/>
  <c r="N898" i="23"/>
  <c r="M898" i="23"/>
  <c r="L898" i="23"/>
  <c r="J898" i="23"/>
  <c r="M145" i="23"/>
  <c r="M264" i="23"/>
  <c r="M275" i="23"/>
  <c r="M338" i="23"/>
  <c r="M337" i="23"/>
  <c r="N867" i="23"/>
  <c r="M867" i="23"/>
  <c r="L867" i="23"/>
  <c r="N883" i="23"/>
  <c r="M883" i="23"/>
  <c r="L883" i="23"/>
  <c r="N910" i="23"/>
  <c r="M910" i="23"/>
  <c r="L910" i="23"/>
  <c r="J910" i="23"/>
  <c r="N915" i="23"/>
  <c r="L915" i="23"/>
  <c r="M392" i="23"/>
  <c r="N897" i="23"/>
  <c r="L897" i="23"/>
  <c r="N903" i="23"/>
  <c r="L903" i="23"/>
  <c r="M56" i="23"/>
  <c r="M260" i="23"/>
  <c r="M304" i="23"/>
  <c r="N876" i="23"/>
  <c r="M876" i="23"/>
  <c r="L876" i="23"/>
  <c r="J876" i="23"/>
  <c r="N892" i="23"/>
  <c r="M892" i="23"/>
  <c r="L892" i="23"/>
  <c r="J892" i="23"/>
  <c r="N909" i="23"/>
  <c r="L909" i="23"/>
  <c r="N914" i="23"/>
  <c r="L914" i="23"/>
  <c r="J914" i="23"/>
  <c r="M14" i="23"/>
  <c r="M44" i="23"/>
  <c r="M45" i="23"/>
  <c r="M240" i="23"/>
  <c r="M241" i="23"/>
  <c r="M266" i="23"/>
  <c r="M268" i="23"/>
  <c r="M305" i="23"/>
  <c r="M322" i="23"/>
  <c r="M324" i="23"/>
  <c r="M319" i="23"/>
  <c r="M320" i="23"/>
  <c r="N881" i="23"/>
  <c r="M881" i="23"/>
  <c r="L881" i="23"/>
  <c r="N896" i="23"/>
  <c r="M896" i="23"/>
  <c r="L896" i="23"/>
  <c r="J896" i="23"/>
  <c r="N902" i="23"/>
  <c r="M902" i="23"/>
  <c r="L902" i="23"/>
  <c r="J902" i="23"/>
  <c r="M15" i="23"/>
  <c r="M16" i="23"/>
  <c r="M30" i="23"/>
  <c r="M270" i="23"/>
  <c r="M284" i="23"/>
  <c r="M289" i="23"/>
  <c r="M321" i="23"/>
  <c r="M329" i="23"/>
  <c r="M327" i="23"/>
  <c r="M368" i="23"/>
  <c r="M361" i="23"/>
  <c r="N875" i="23"/>
  <c r="M875" i="23"/>
  <c r="L875" i="23"/>
  <c r="N886" i="23"/>
  <c r="M886" i="23"/>
  <c r="L886" i="23"/>
  <c r="J886" i="23"/>
  <c r="N891" i="23"/>
  <c r="M891" i="23"/>
  <c r="L891" i="23"/>
  <c r="N906" i="23"/>
  <c r="M906" i="23"/>
  <c r="L906" i="23"/>
  <c r="J906" i="23"/>
  <c r="N913" i="23"/>
  <c r="L913" i="23"/>
  <c r="C8" i="29"/>
  <c r="C39" i="29"/>
  <c r="C66" i="29"/>
  <c r="C101" i="29"/>
  <c r="M354" i="23"/>
  <c r="M352" i="23"/>
  <c r="M386" i="23"/>
  <c r="N879" i="23"/>
  <c r="M879" i="23"/>
  <c r="L879" i="23"/>
  <c r="N895" i="23"/>
  <c r="L895" i="23"/>
  <c r="N901" i="23"/>
  <c r="L901" i="23"/>
  <c r="M441" i="23"/>
  <c r="M537" i="23"/>
  <c r="M582" i="23"/>
  <c r="M603" i="23"/>
  <c r="M617" i="23"/>
  <c r="M618" i="23"/>
  <c r="M671" i="23"/>
  <c r="M756" i="23"/>
  <c r="M769" i="23"/>
  <c r="M835" i="23"/>
  <c r="F870" i="23"/>
  <c r="K870" i="23" s="1"/>
  <c r="L872" i="23"/>
  <c r="M877" i="23"/>
  <c r="K879" i="23"/>
  <c r="M882" i="23"/>
  <c r="M893" i="23"/>
  <c r="K895" i="23"/>
  <c r="K896" i="23"/>
  <c r="M900" i="23"/>
  <c r="K903" i="23"/>
  <c r="K904" i="23"/>
  <c r="M908" i="23"/>
  <c r="K911" i="23"/>
  <c r="K912" i="23"/>
  <c r="M947" i="23"/>
  <c r="J951" i="23"/>
  <c r="M957" i="23"/>
  <c r="J961" i="23"/>
  <c r="N962" i="23"/>
  <c r="M962" i="23"/>
  <c r="N963" i="23"/>
  <c r="L963" i="23"/>
  <c r="K968" i="23"/>
  <c r="K971" i="23"/>
  <c r="M544" i="23"/>
  <c r="M731" i="23"/>
  <c r="M745" i="23"/>
  <c r="M784" i="23"/>
  <c r="M805" i="23"/>
  <c r="K864" i="23"/>
  <c r="K865" i="23"/>
  <c r="K869" i="23"/>
  <c r="M872" i="23"/>
  <c r="K880" i="23"/>
  <c r="K885" i="23"/>
  <c r="L949" i="23"/>
  <c r="L950" i="23"/>
  <c r="K951" i="23"/>
  <c r="L960" i="23"/>
  <c r="K961" i="23"/>
  <c r="L970" i="23"/>
  <c r="M488" i="23"/>
  <c r="M490" i="23"/>
  <c r="M604" i="23"/>
  <c r="M654" i="23"/>
  <c r="M713" i="23"/>
  <c r="M749" i="23"/>
  <c r="K875" i="23"/>
  <c r="K886" i="23"/>
  <c r="K891" i="23"/>
  <c r="K897" i="23"/>
  <c r="K898" i="23"/>
  <c r="J904" i="23"/>
  <c r="K905" i="23"/>
  <c r="K906" i="23"/>
  <c r="L911" i="23"/>
  <c r="J912" i="23"/>
  <c r="K913" i="23"/>
  <c r="K914" i="23"/>
  <c r="F924" i="23"/>
  <c r="K924" i="23" s="1"/>
  <c r="N954" i="23"/>
  <c r="M954" i="23"/>
  <c r="N955" i="23"/>
  <c r="L955" i="23"/>
  <c r="K960" i="23"/>
  <c r="N978" i="23"/>
  <c r="M978" i="23"/>
  <c r="N980" i="23"/>
  <c r="M980" i="23"/>
  <c r="N981" i="23"/>
  <c r="L981" i="23"/>
  <c r="N982" i="23"/>
  <c r="M982" i="23"/>
  <c r="M447" i="23"/>
  <c r="M660" i="23"/>
  <c r="M661" i="23"/>
  <c r="K876" i="23"/>
  <c r="K881" i="23"/>
  <c r="K892" i="23"/>
  <c r="L904" i="23"/>
  <c r="L912" i="23"/>
  <c r="K915" i="23"/>
  <c r="K916" i="23"/>
  <c r="M950" i="23"/>
  <c r="J954" i="23"/>
  <c r="J955" i="23"/>
  <c r="J956" i="23"/>
  <c r="M960" i="23"/>
  <c r="N990" i="23"/>
  <c r="K990" i="23"/>
  <c r="M990" i="23"/>
  <c r="N998" i="23"/>
  <c r="K998" i="23"/>
  <c r="M998" i="23"/>
  <c r="L998" i="23"/>
  <c r="M371" i="23"/>
  <c r="M448" i="23"/>
  <c r="M461" i="23"/>
  <c r="M463" i="23"/>
  <c r="M491" i="23"/>
  <c r="M511" i="23"/>
  <c r="M562" i="23"/>
  <c r="M563" i="23"/>
  <c r="M629" i="23"/>
  <c r="M708" i="23"/>
  <c r="M788" i="23"/>
  <c r="M800" i="23"/>
  <c r="L864" i="23"/>
  <c r="M869" i="23"/>
  <c r="L880" i="23"/>
  <c r="K882" i="23"/>
  <c r="M885" i="23"/>
  <c r="K887" i="23"/>
  <c r="K899" i="23"/>
  <c r="K900" i="23"/>
  <c r="M904" i="23"/>
  <c r="K907" i="23"/>
  <c r="K908" i="23"/>
  <c r="M912" i="23"/>
  <c r="K917" i="23"/>
  <c r="K918" i="23"/>
  <c r="K944" i="23"/>
  <c r="K945" i="23"/>
  <c r="J947" i="23"/>
  <c r="M951" i="23"/>
  <c r="K952" i="23"/>
  <c r="K955" i="23"/>
  <c r="J957" i="23"/>
  <c r="M961" i="23"/>
  <c r="K962" i="23"/>
  <c r="M963" i="23"/>
  <c r="N989" i="23"/>
  <c r="M989" i="23"/>
  <c r="L989" i="23"/>
  <c r="M481" i="23"/>
  <c r="M482" i="23"/>
  <c r="M483" i="23"/>
  <c r="M564" i="23"/>
  <c r="M566" i="23"/>
  <c r="M598" i="23"/>
  <c r="M599" i="23"/>
  <c r="M728" i="23"/>
  <c r="M764" i="23"/>
  <c r="M864" i="23"/>
  <c r="K872" i="23"/>
  <c r="F873" i="23"/>
  <c r="K873" i="23" s="1"/>
  <c r="K877" i="23"/>
  <c r="M880" i="23"/>
  <c r="F884" i="23"/>
  <c r="K884" i="23" s="1"/>
  <c r="F889" i="23"/>
  <c r="K889" i="23" s="1"/>
  <c r="K893" i="23"/>
  <c r="K919" i="23"/>
  <c r="J946" i="23"/>
  <c r="K947" i="23"/>
  <c r="L953" i="23"/>
  <c r="L954" i="23"/>
  <c r="L966" i="23"/>
  <c r="L978" i="23"/>
  <c r="N988" i="23"/>
  <c r="M988" i="23"/>
  <c r="K988" i="23"/>
  <c r="M464" i="23"/>
  <c r="M493" i="23"/>
  <c r="M494" i="23"/>
  <c r="M526" i="23"/>
  <c r="M680" i="23"/>
  <c r="M730" i="23"/>
  <c r="M744" i="23"/>
  <c r="F863" i="23"/>
  <c r="K863" i="23" s="1"/>
  <c r="K867" i="23"/>
  <c r="F874" i="23"/>
  <c r="K874" i="23" s="1"/>
  <c r="K878" i="23"/>
  <c r="J882" i="23"/>
  <c r="K883" i="23"/>
  <c r="L887" i="23"/>
  <c r="F890" i="23"/>
  <c r="K894" i="23"/>
  <c r="K901" i="23"/>
  <c r="K902" i="23"/>
  <c r="K909" i="23"/>
  <c r="K910" i="23"/>
  <c r="L917" i="23"/>
  <c r="J918" i="23"/>
  <c r="J944" i="23"/>
  <c r="K954" i="23"/>
  <c r="M955" i="23"/>
  <c r="N970" i="23"/>
  <c r="M970" i="23"/>
  <c r="N971" i="23"/>
  <c r="L971" i="23"/>
  <c r="N972" i="23"/>
  <c r="M972" i="23"/>
  <c r="N973" i="23"/>
  <c r="L973" i="23"/>
  <c r="K978" i="23"/>
  <c r="K980" i="23"/>
  <c r="M981" i="23"/>
  <c r="K982" i="23"/>
  <c r="J988" i="23"/>
  <c r="M466" i="23"/>
  <c r="M467" i="23"/>
  <c r="M712" i="23"/>
  <c r="M804" i="23"/>
  <c r="M808" i="23"/>
  <c r="K868" i="23"/>
  <c r="J872" i="23"/>
  <c r="L877" i="23"/>
  <c r="L882" i="23"/>
  <c r="M887" i="23"/>
  <c r="L893" i="23"/>
  <c r="L900" i="23"/>
  <c r="L908" i="23"/>
  <c r="L918" i="23"/>
  <c r="L919" i="23"/>
  <c r="L947" i="23"/>
  <c r="J950" i="23"/>
  <c r="M956" i="23"/>
  <c r="L957" i="23"/>
  <c r="J960" i="23"/>
  <c r="M966" i="23"/>
  <c r="J970" i="23"/>
  <c r="J971" i="23"/>
  <c r="J972" i="23"/>
  <c r="J973" i="23"/>
  <c r="L984" i="23"/>
  <c r="J986" i="23"/>
  <c r="L992" i="23"/>
  <c r="J994" i="23"/>
  <c r="L999" i="23"/>
  <c r="J1002" i="23"/>
  <c r="J1003" i="23"/>
  <c r="L1006" i="23"/>
  <c r="K1018" i="23"/>
  <c r="M1022" i="23"/>
  <c r="K1024" i="23"/>
  <c r="K1025" i="23"/>
  <c r="J1027" i="23"/>
  <c r="M1035" i="23"/>
  <c r="N1044" i="23"/>
  <c r="N1052" i="23"/>
  <c r="L1053" i="23"/>
  <c r="J1055" i="23"/>
  <c r="M1058" i="23"/>
  <c r="K1059" i="23"/>
  <c r="L1060" i="23"/>
  <c r="L1061" i="23"/>
  <c r="L1066" i="23"/>
  <c r="L1067" i="23"/>
  <c r="K1068" i="23"/>
  <c r="J1070" i="23"/>
  <c r="L1074" i="23"/>
  <c r="L1075" i="23"/>
  <c r="K1077" i="23"/>
  <c r="J1076" i="23"/>
  <c r="M1081" i="23"/>
  <c r="K1082" i="23"/>
  <c r="J1084" i="23"/>
  <c r="J1085" i="23"/>
  <c r="L1091" i="23"/>
  <c r="L1092" i="23"/>
  <c r="L1093" i="23"/>
  <c r="L1094" i="23"/>
  <c r="L1095" i="23"/>
  <c r="K1098" i="23"/>
  <c r="L1100" i="23"/>
  <c r="M1112" i="23"/>
  <c r="K1113" i="23"/>
  <c r="K1114" i="23"/>
  <c r="K1115" i="23"/>
  <c r="L1116" i="23"/>
  <c r="L1118" i="23"/>
  <c r="L1024" i="23"/>
  <c r="M1066" i="23"/>
  <c r="L1068" i="23"/>
  <c r="L1069" i="23"/>
  <c r="M1074" i="23"/>
  <c r="L1077" i="23"/>
  <c r="L1078" i="23"/>
  <c r="L1083" i="23"/>
  <c r="K1084" i="23"/>
  <c r="M1091" i="23"/>
  <c r="M1095" i="23"/>
  <c r="L1098" i="23"/>
  <c r="M1113" i="23"/>
  <c r="L1114" i="23"/>
  <c r="J1021" i="23"/>
  <c r="M1024" i="23"/>
  <c r="J1029" i="23"/>
  <c r="K1038" i="23"/>
  <c r="J1039" i="23"/>
  <c r="L1049" i="23"/>
  <c r="K1062" i="23"/>
  <c r="M1068" i="23"/>
  <c r="K1069" i="23"/>
  <c r="M1077" i="23"/>
  <c r="K1078" i="23"/>
  <c r="K1083" i="23"/>
  <c r="L1084" i="23"/>
  <c r="L1085" i="23"/>
  <c r="J1087" i="23"/>
  <c r="K1097" i="23"/>
  <c r="K1100" i="23"/>
  <c r="L1101" i="23"/>
  <c r="J1102" i="23"/>
  <c r="J1105" i="23"/>
  <c r="M1114" i="23"/>
  <c r="L956" i="23"/>
  <c r="K957" i="23"/>
  <c r="J958" i="23"/>
  <c r="L964" i="23"/>
  <c r="K965" i="23"/>
  <c r="J966" i="23"/>
  <c r="L972" i="23"/>
  <c r="K973" i="23"/>
  <c r="J974" i="23"/>
  <c r="L979" i="23"/>
  <c r="L980" i="23"/>
  <c r="K981" i="23"/>
  <c r="J982" i="23"/>
  <c r="M986" i="23"/>
  <c r="L987" i="23"/>
  <c r="L988" i="23"/>
  <c r="K989" i="23"/>
  <c r="J990" i="23"/>
  <c r="M994" i="23"/>
  <c r="L995" i="23"/>
  <c r="L996" i="23"/>
  <c r="K997" i="23"/>
  <c r="J998" i="23"/>
  <c r="M1003" i="23"/>
  <c r="J1004" i="23"/>
  <c r="K1005" i="23"/>
  <c r="M1008" i="23"/>
  <c r="M1018" i="23"/>
  <c r="L1020" i="23"/>
  <c r="L1028" i="23"/>
  <c r="L1029" i="23"/>
  <c r="J1030" i="23"/>
  <c r="K1031" i="23"/>
  <c r="L1032" i="23"/>
  <c r="J1033" i="23"/>
  <c r="K1034" i="23"/>
  <c r="K1035" i="23"/>
  <c r="M1038" i="23"/>
  <c r="L1039" i="23"/>
  <c r="L1040" i="23"/>
  <c r="J1041" i="23"/>
  <c r="K1042" i="23"/>
  <c r="J1044" i="23"/>
  <c r="M1047" i="23"/>
  <c r="K1049" i="23"/>
  <c r="J1051" i="23"/>
  <c r="J1052" i="23"/>
  <c r="M1055" i="23"/>
  <c r="L1056" i="23"/>
  <c r="L1057" i="23"/>
  <c r="M1062" i="23"/>
  <c r="K1063" i="23"/>
  <c r="J1066" i="23"/>
  <c r="L1070" i="23"/>
  <c r="L1071" i="23"/>
  <c r="K1072" i="23"/>
  <c r="J1074" i="23"/>
  <c r="L1076" i="23"/>
  <c r="L1079" i="23"/>
  <c r="K1080" i="23"/>
  <c r="J1081" i="23"/>
  <c r="M1085" i="23"/>
  <c r="L1087" i="23"/>
  <c r="K1088" i="23"/>
  <c r="J1090" i="23"/>
  <c r="J1091" i="23"/>
  <c r="J1095" i="23"/>
  <c r="M1102" i="23"/>
  <c r="L1105" i="23"/>
  <c r="J1106" i="23"/>
  <c r="J1107" i="23"/>
  <c r="J1111" i="23"/>
  <c r="J1112" i="23"/>
  <c r="K996" i="23"/>
  <c r="M1010" i="23"/>
  <c r="M1020" i="23"/>
  <c r="L1021" i="23"/>
  <c r="J1022" i="23"/>
  <c r="M1028" i="23"/>
  <c r="L1030" i="23"/>
  <c r="L1031" i="23"/>
  <c r="M1039" i="23"/>
  <c r="J1043" i="23"/>
  <c r="M1049" i="23"/>
  <c r="K1057" i="23"/>
  <c r="L1064" i="23"/>
  <c r="L1065" i="23"/>
  <c r="M1070" i="23"/>
  <c r="K1071" i="23"/>
  <c r="L1072" i="23"/>
  <c r="L1073" i="23"/>
  <c r="M1076" i="23"/>
  <c r="K1079" i="23"/>
  <c r="K1087" i="23"/>
  <c r="K1090" i="23"/>
  <c r="K1105" i="23"/>
  <c r="K1106" i="23"/>
  <c r="K1107" i="23"/>
  <c r="L1108" i="23"/>
  <c r="K1109" i="23"/>
  <c r="K1111" i="23"/>
  <c r="K1112" i="23"/>
  <c r="J1113" i="23"/>
  <c r="J1118" i="23"/>
  <c r="L974" i="23"/>
  <c r="J976" i="23"/>
  <c r="L982" i="23"/>
  <c r="J984" i="23"/>
  <c r="L990" i="23"/>
  <c r="J992" i="23"/>
  <c r="M996" i="23"/>
  <c r="L997" i="23"/>
  <c r="J999" i="23"/>
  <c r="J1000" i="23"/>
  <c r="M1004" i="23"/>
  <c r="L1005" i="23"/>
  <c r="J1006" i="23"/>
  <c r="J1007" i="23"/>
  <c r="M1012" i="23"/>
  <c r="K1022" i="23"/>
  <c r="M1030" i="23"/>
  <c r="L1034" i="23"/>
  <c r="J1035" i="23"/>
  <c r="L1043" i="23"/>
  <c r="L1044" i="23"/>
  <c r="L1052" i="23"/>
  <c r="L1081" i="23"/>
  <c r="L1090" i="23"/>
  <c r="J1099" i="23"/>
  <c r="M1105" i="23"/>
  <c r="L1106" i="23"/>
  <c r="L1109" i="23"/>
  <c r="J1116" i="23"/>
  <c r="K1118" i="23"/>
  <c r="M997" i="23"/>
  <c r="K1006" i="23"/>
  <c r="K1007" i="23"/>
  <c r="L1022" i="23"/>
  <c r="J1024" i="23"/>
  <c r="L1035" i="23"/>
  <c r="K1037" i="23"/>
  <c r="J1038" i="23"/>
  <c r="M1043" i="23"/>
  <c r="K1044" i="23"/>
  <c r="K1052" i="23"/>
  <c r="L1058" i="23"/>
  <c r="J1062" i="23"/>
  <c r="M1065" i="23"/>
  <c r="K1066" i="23"/>
  <c r="J1068" i="23"/>
  <c r="J1069" i="23"/>
  <c r="K1074" i="23"/>
  <c r="J1077" i="23"/>
  <c r="K1081" i="23"/>
  <c r="M1090" i="23"/>
  <c r="K1091" i="23"/>
  <c r="K1092" i="23"/>
  <c r="K1094" i="23"/>
  <c r="K1095" i="23"/>
  <c r="J1097" i="23"/>
  <c r="J1098" i="23"/>
  <c r="K1099" i="23"/>
  <c r="M1106" i="23"/>
  <c r="M1108" i="23"/>
  <c r="M1110" i="23"/>
  <c r="L1111" i="23"/>
  <c r="L1112" i="23"/>
  <c r="L1113" i="23"/>
  <c r="J1114" i="23"/>
  <c r="J1115" i="23"/>
  <c r="K1116" i="23"/>
  <c r="J13" i="22"/>
  <c r="I13" i="22"/>
  <c r="H13" i="22"/>
  <c r="G13" i="22"/>
  <c r="G268" i="22" s="1"/>
  <c r="B270" i="22" s="1"/>
  <c r="F13" i="22"/>
  <c r="E13" i="22"/>
  <c r="D13" i="22"/>
  <c r="K102" i="29"/>
  <c r="Q102" i="29" s="1"/>
  <c r="C102" i="29"/>
  <c r="R102" i="29"/>
  <c r="K7" i="29"/>
  <c r="Q7" i="29" s="1"/>
  <c r="R7" i="29"/>
  <c r="C7" i="29"/>
  <c r="K9" i="29"/>
  <c r="Q9" i="29" s="1"/>
  <c r="C9" i="29"/>
  <c r="R9" i="29"/>
  <c r="R182" i="29"/>
  <c r="K74" i="29"/>
  <c r="Q74" i="29" s="1"/>
  <c r="C74" i="29"/>
  <c r="R74" i="29"/>
  <c r="K95" i="29"/>
  <c r="Q95" i="29" s="1"/>
  <c r="C95" i="29"/>
  <c r="R95" i="29"/>
  <c r="K22" i="29"/>
  <c r="Q22" i="29" s="1"/>
  <c r="C22" i="29"/>
  <c r="R22" i="29"/>
  <c r="L117" i="23"/>
  <c r="M135" i="23"/>
  <c r="M140" i="23"/>
  <c r="M137" i="23"/>
  <c r="M146" i="23"/>
  <c r="M134" i="23"/>
  <c r="M136" i="23"/>
  <c r="M138" i="23"/>
  <c r="K169" i="23"/>
  <c r="C6" i="29"/>
  <c r="R8" i="29"/>
  <c r="C10" i="29"/>
  <c r="K12" i="29"/>
  <c r="Q12" i="29" s="1"/>
  <c r="R18" i="29"/>
  <c r="C24" i="29"/>
  <c r="K26" i="29"/>
  <c r="Q26" i="29" s="1"/>
  <c r="R71" i="29"/>
  <c r="C76" i="29"/>
  <c r="K78" i="29"/>
  <c r="Q78" i="29" s="1"/>
  <c r="C84" i="29"/>
  <c r="K86" i="29"/>
  <c r="Q86" i="29" s="1"/>
  <c r="R94" i="29"/>
  <c r="C96" i="29"/>
  <c r="R101" i="29"/>
  <c r="C103" i="29"/>
  <c r="M21" i="23"/>
  <c r="H65" i="23"/>
  <c r="K65" i="23" s="1"/>
  <c r="G65" i="23"/>
  <c r="J65" i="23" s="1"/>
  <c r="E65" i="23"/>
  <c r="D65" i="23"/>
  <c r="C65" i="23"/>
  <c r="F119" i="23"/>
  <c r="L119" i="23" s="1"/>
  <c r="M115" i="23"/>
  <c r="K115" i="23"/>
  <c r="K116" i="23"/>
  <c r="F120" i="23"/>
  <c r="J120" i="23" s="1"/>
  <c r="L116" i="23"/>
  <c r="J115" i="23"/>
  <c r="K170" i="23"/>
  <c r="R16" i="29"/>
  <c r="R17" i="29"/>
  <c r="R36" i="29"/>
  <c r="R37" i="29"/>
  <c r="R38" i="29"/>
  <c r="R39" i="29"/>
  <c r="R40" i="29"/>
  <c r="R41" i="29"/>
  <c r="R42" i="29"/>
  <c r="R43" i="29"/>
  <c r="R63" i="29"/>
  <c r="R64" i="29"/>
  <c r="R65" i="29"/>
  <c r="R66" i="29"/>
  <c r="R67" i="29"/>
  <c r="R68" i="29"/>
  <c r="K107" i="29"/>
  <c r="M50" i="23"/>
  <c r="M49" i="23"/>
  <c r="M51" i="23"/>
  <c r="I60" i="23"/>
  <c r="L60" i="23" s="1"/>
  <c r="H60" i="23"/>
  <c r="K60" i="23" s="1"/>
  <c r="G60" i="23"/>
  <c r="J60" i="23" s="1"/>
  <c r="E60" i="23"/>
  <c r="C60" i="23"/>
  <c r="F98" i="23"/>
  <c r="K98" i="23" s="1"/>
  <c r="M91" i="23"/>
  <c r="L91" i="23"/>
  <c r="J99" i="23"/>
  <c r="F103" i="23"/>
  <c r="N103" i="23" s="1"/>
  <c r="M99" i="23"/>
  <c r="K99" i="23"/>
  <c r="M116" i="23"/>
  <c r="D60" i="23"/>
  <c r="M70" i="23"/>
  <c r="M72" i="23"/>
  <c r="M74" i="23"/>
  <c r="M69" i="23"/>
  <c r="M73" i="23"/>
  <c r="M71" i="23"/>
  <c r="F121" i="23"/>
  <c r="J121" i="23" s="1"/>
  <c r="M117" i="23"/>
  <c r="K117" i="23"/>
  <c r="M29" i="23"/>
  <c r="L48" i="23"/>
  <c r="K91" i="23"/>
  <c r="F100" i="23"/>
  <c r="K100" i="23" s="1"/>
  <c r="M93" i="23"/>
  <c r="L93" i="23"/>
  <c r="M113" i="23"/>
  <c r="M110" i="23"/>
  <c r="M108" i="23"/>
  <c r="M123" i="23"/>
  <c r="M163" i="23"/>
  <c r="E180" i="23"/>
  <c r="I180" i="23"/>
  <c r="L180" i="23" s="1"/>
  <c r="H180" i="23"/>
  <c r="K180" i="23" s="1"/>
  <c r="G180" i="23"/>
  <c r="J180" i="23" s="1"/>
  <c r="D180" i="23"/>
  <c r="C180" i="23"/>
  <c r="R12" i="29"/>
  <c r="C14" i="29"/>
  <c r="R26" i="29"/>
  <c r="C34" i="29"/>
  <c r="K68" i="29"/>
  <c r="Q68" i="29" s="1"/>
  <c r="K69" i="29"/>
  <c r="Q69" i="29" s="1"/>
  <c r="K70" i="29"/>
  <c r="Q70" i="29" s="1"/>
  <c r="R78" i="29"/>
  <c r="C80" i="29"/>
  <c r="R86" i="29"/>
  <c r="C88" i="29"/>
  <c r="C90" i="29"/>
  <c r="C92" i="29"/>
  <c r="C99" i="29"/>
  <c r="J8" i="23"/>
  <c r="M12" i="23"/>
  <c r="K38" i="23"/>
  <c r="K43" i="23"/>
  <c r="M60" i="23"/>
  <c r="M83" i="23"/>
  <c r="J93" i="23"/>
  <c r="M114" i="23"/>
  <c r="L18" i="23"/>
  <c r="L43" i="23"/>
  <c r="H82" i="23"/>
  <c r="K82" i="23" s="1"/>
  <c r="G82" i="23"/>
  <c r="J82" i="23" s="1"/>
  <c r="E82" i="23"/>
  <c r="D82" i="23"/>
  <c r="C82" i="23"/>
  <c r="J117" i="23"/>
  <c r="L169" i="23"/>
  <c r="M169" i="23"/>
  <c r="K80" i="29"/>
  <c r="Q80" i="29" s="1"/>
  <c r="C107" i="29"/>
  <c r="M9" i="23"/>
  <c r="M34" i="23"/>
  <c r="M36" i="23"/>
  <c r="M41" i="23"/>
  <c r="M40" i="23"/>
  <c r="J38" i="23"/>
  <c r="K53" i="23"/>
  <c r="I82" i="23"/>
  <c r="L82" i="23" s="1"/>
  <c r="L99" i="23"/>
  <c r="M109" i="23"/>
  <c r="J116" i="23"/>
  <c r="M149" i="23"/>
  <c r="M154" i="23"/>
  <c r="M151" i="23"/>
  <c r="M160" i="23"/>
  <c r="M148" i="23"/>
  <c r="M150" i="23"/>
  <c r="M152" i="23"/>
  <c r="M155" i="23"/>
  <c r="J169" i="23"/>
  <c r="K101" i="23"/>
  <c r="H130" i="23"/>
  <c r="K130" i="23" s="1"/>
  <c r="C131" i="23"/>
  <c r="H162" i="23"/>
  <c r="K162" i="23" s="1"/>
  <c r="C163" i="23"/>
  <c r="D167" i="23"/>
  <c r="M167" i="23"/>
  <c r="M179" i="23"/>
  <c r="K212" i="23"/>
  <c r="M332" i="23"/>
  <c r="L332" i="23"/>
  <c r="K375" i="23"/>
  <c r="H66" i="23"/>
  <c r="K66" i="23" s="1"/>
  <c r="D78" i="23"/>
  <c r="M78" i="23"/>
  <c r="I79" i="23"/>
  <c r="L79" i="23" s="1"/>
  <c r="M80" i="23"/>
  <c r="H83" i="23"/>
  <c r="K83" i="23" s="1"/>
  <c r="M86" i="23"/>
  <c r="I87" i="23"/>
  <c r="L87" i="23" s="1"/>
  <c r="L84" i="23" s="1"/>
  <c r="D88" i="23"/>
  <c r="M88" i="23"/>
  <c r="M92" i="23"/>
  <c r="M101" i="23"/>
  <c r="E131" i="23"/>
  <c r="E163" i="23"/>
  <c r="G167" i="23"/>
  <c r="J167" i="23" s="1"/>
  <c r="M181" i="23"/>
  <c r="M190" i="23"/>
  <c r="M375" i="23"/>
  <c r="L375" i="23"/>
  <c r="M54" i="23"/>
  <c r="I66" i="23"/>
  <c r="L66" i="23" s="1"/>
  <c r="M76" i="23"/>
  <c r="E78" i="23"/>
  <c r="I83" i="23"/>
  <c r="L83" i="23" s="1"/>
  <c r="E88" i="23"/>
  <c r="G131" i="23"/>
  <c r="J131" i="23" s="1"/>
  <c r="M177" i="23"/>
  <c r="M219" i="23"/>
  <c r="M217" i="23"/>
  <c r="M216" i="23"/>
  <c r="M218" i="23"/>
  <c r="J278" i="23"/>
  <c r="M57" i="23"/>
  <c r="G78" i="23"/>
  <c r="J78" i="23" s="1"/>
  <c r="G88" i="23"/>
  <c r="J88" i="23" s="1"/>
  <c r="C130" i="23"/>
  <c r="H131" i="23"/>
  <c r="K131" i="23" s="1"/>
  <c r="C162" i="23"/>
  <c r="H163" i="23"/>
  <c r="K163" i="23" s="1"/>
  <c r="M166" i="23"/>
  <c r="I167" i="23"/>
  <c r="L167" i="23" s="1"/>
  <c r="D168" i="23"/>
  <c r="I218" i="23"/>
  <c r="L218" i="23" s="1"/>
  <c r="H218" i="23"/>
  <c r="K218" i="23" s="1"/>
  <c r="G218" i="23"/>
  <c r="J218" i="23" s="1"/>
  <c r="J215" i="23" s="1"/>
  <c r="E218" i="23"/>
  <c r="D218" i="23"/>
  <c r="C218" i="23"/>
  <c r="L278" i="23"/>
  <c r="K332" i="23"/>
  <c r="K348" i="23"/>
  <c r="M357" i="23"/>
  <c r="L357" i="23"/>
  <c r="M366" i="23"/>
  <c r="L366" i="23"/>
  <c r="K399" i="23"/>
  <c r="H78" i="23"/>
  <c r="K78" i="23" s="1"/>
  <c r="C87" i="23"/>
  <c r="H88" i="23"/>
  <c r="K88" i="23" s="1"/>
  <c r="D130" i="23"/>
  <c r="M130" i="23"/>
  <c r="M144" i="23"/>
  <c r="M156" i="23"/>
  <c r="M158" i="23"/>
  <c r="D162" i="23"/>
  <c r="I198" i="23"/>
  <c r="L198" i="23" s="1"/>
  <c r="H198" i="23"/>
  <c r="K198" i="23" s="1"/>
  <c r="G198" i="23"/>
  <c r="J198" i="23" s="1"/>
  <c r="E198" i="23"/>
  <c r="C198" i="23"/>
  <c r="L399" i="23"/>
  <c r="M77" i="23"/>
  <c r="E162" i="23"/>
  <c r="J212" i="23"/>
  <c r="M348" i="23"/>
  <c r="L348" i="23"/>
  <c r="M224" i="23"/>
  <c r="M237" i="23"/>
  <c r="M239" i="23"/>
  <c r="M247" i="23"/>
  <c r="C262" i="23"/>
  <c r="H263" i="23"/>
  <c r="K263" i="23" s="1"/>
  <c r="G276" i="23"/>
  <c r="J276" i="23" s="1"/>
  <c r="M281" i="23"/>
  <c r="M286" i="23"/>
  <c r="M295" i="23"/>
  <c r="M307" i="23"/>
  <c r="M318" i="23"/>
  <c r="M330" i="23"/>
  <c r="M339" i="23"/>
  <c r="M346" i="23"/>
  <c r="M364" i="23"/>
  <c r="M373" i="23"/>
  <c r="M382" i="23"/>
  <c r="M389" i="23"/>
  <c r="M394" i="23"/>
  <c r="M438" i="23"/>
  <c r="K454" i="23"/>
  <c r="L642" i="23"/>
  <c r="K658" i="23"/>
  <c r="F323" i="23"/>
  <c r="J323" i="23" s="1"/>
  <c r="M458" i="23"/>
  <c r="M457" i="23"/>
  <c r="M222" i="23"/>
  <c r="E262" i="23"/>
  <c r="C269" i="23"/>
  <c r="M279" i="23"/>
  <c r="M291" i="23"/>
  <c r="M293" i="23"/>
  <c r="M333" i="23"/>
  <c r="M376" i="23"/>
  <c r="M407" i="23"/>
  <c r="M614" i="23"/>
  <c r="L614" i="23"/>
  <c r="J668" i="23"/>
  <c r="K676" i="23"/>
  <c r="J210" i="23"/>
  <c r="M225" i="23"/>
  <c r="K236" i="23"/>
  <c r="K221" i="23" s="1"/>
  <c r="M248" i="23"/>
  <c r="G262" i="23"/>
  <c r="J262" i="23" s="1"/>
  <c r="D269" i="23"/>
  <c r="M269" i="23"/>
  <c r="M271" i="23"/>
  <c r="M282" i="23"/>
  <c r="M287" i="23"/>
  <c r="J292" i="23"/>
  <c r="M296" i="23"/>
  <c r="M301" i="23"/>
  <c r="M331" i="23"/>
  <c r="J336" i="23"/>
  <c r="M340" i="23"/>
  <c r="M347" i="23"/>
  <c r="M349" i="23"/>
  <c r="M358" i="23"/>
  <c r="M365" i="23"/>
  <c r="M367" i="23"/>
  <c r="M374" i="23"/>
  <c r="J379" i="23"/>
  <c r="M383" i="23"/>
  <c r="M390" i="23"/>
  <c r="M397" i="23"/>
  <c r="M454" i="23"/>
  <c r="J614" i="23"/>
  <c r="M194" i="23"/>
  <c r="M199" i="23"/>
  <c r="M243" i="23"/>
  <c r="M256" i="23"/>
  <c r="H262" i="23"/>
  <c r="K262" i="23" s="1"/>
  <c r="C263" i="23"/>
  <c r="E269" i="23"/>
  <c r="M285" i="23"/>
  <c r="M303" i="23"/>
  <c r="M315" i="23"/>
  <c r="M381" i="23"/>
  <c r="M393" i="23"/>
  <c r="M395" i="23"/>
  <c r="M402" i="23"/>
  <c r="M439" i="23"/>
  <c r="M443" i="23"/>
  <c r="K447" i="23"/>
  <c r="M450" i="23"/>
  <c r="K614" i="23"/>
  <c r="J676" i="23"/>
  <c r="K697" i="23"/>
  <c r="M223" i="23"/>
  <c r="M236" i="23"/>
  <c r="G269" i="23"/>
  <c r="J269" i="23" s="1"/>
  <c r="M280" i="23"/>
  <c r="M294" i="23"/>
  <c r="M363" i="23"/>
  <c r="M388" i="23"/>
  <c r="M408" i="23"/>
  <c r="M440" i="23"/>
  <c r="M451" i="23"/>
  <c r="J658" i="23"/>
  <c r="K668" i="23"/>
  <c r="K683" i="23"/>
  <c r="M210" i="23"/>
  <c r="H269" i="23"/>
  <c r="K269" i="23" s="1"/>
  <c r="M283" i="23"/>
  <c r="K286" i="23"/>
  <c r="M292" i="23"/>
  <c r="M297" i="23"/>
  <c r="K318" i="23"/>
  <c r="M336" i="23"/>
  <c r="K339" i="23"/>
  <c r="M379" i="23"/>
  <c r="K382" i="23"/>
  <c r="M391" i="23"/>
  <c r="K394" i="23"/>
  <c r="K438" i="23"/>
  <c r="M446" i="23"/>
  <c r="M455" i="23"/>
  <c r="M596" i="23"/>
  <c r="L596" i="23"/>
  <c r="J596" i="23"/>
  <c r="K596" i="23"/>
  <c r="M456" i="23"/>
  <c r="K642" i="23"/>
  <c r="L479" i="23"/>
  <c r="M502" i="23"/>
  <c r="K507" i="23"/>
  <c r="M518" i="23"/>
  <c r="K522" i="23"/>
  <c r="M533" i="23"/>
  <c r="M546" i="23"/>
  <c r="M553" i="23"/>
  <c r="M569" i="23"/>
  <c r="M583" i="23"/>
  <c r="K586" i="23"/>
  <c r="M590" i="23"/>
  <c r="M595" i="23"/>
  <c r="M602" i="23"/>
  <c r="M609" i="23"/>
  <c r="M621" i="23"/>
  <c r="M630" i="23"/>
  <c r="M637" i="23"/>
  <c r="M647" i="23"/>
  <c r="M664" i="23"/>
  <c r="M674" i="23"/>
  <c r="M677" i="23"/>
  <c r="M682" i="23"/>
  <c r="M685" i="23"/>
  <c r="J761" i="23"/>
  <c r="J795" i="23"/>
  <c r="L798" i="23"/>
  <c r="M479" i="23"/>
  <c r="M484" i="23"/>
  <c r="M509" i="23"/>
  <c r="M524" i="23"/>
  <c r="M540" i="23"/>
  <c r="M549" i="23"/>
  <c r="M560" i="23"/>
  <c r="M581" i="23"/>
  <c r="M593" i="23"/>
  <c r="M612" i="23"/>
  <c r="M616" i="23"/>
  <c r="M628" i="23"/>
  <c r="M635" i="23"/>
  <c r="M640" i="23"/>
  <c r="M652" i="23"/>
  <c r="M657" i="23"/>
  <c r="M659" i="23"/>
  <c r="M667" i="23"/>
  <c r="M669" i="23"/>
  <c r="M691" i="23"/>
  <c r="M693" i="23"/>
  <c r="M692" i="23"/>
  <c r="L737" i="23"/>
  <c r="L743" i="23"/>
  <c r="J786" i="23"/>
  <c r="M476" i="23"/>
  <c r="M500" i="23"/>
  <c r="M507" i="23"/>
  <c r="M516" i="23"/>
  <c r="M522" i="23"/>
  <c r="M531" i="23"/>
  <c r="M556" i="23"/>
  <c r="M574" i="23"/>
  <c r="M586" i="23"/>
  <c r="M588" i="23"/>
  <c r="M600" i="23"/>
  <c r="M607" i="23"/>
  <c r="M619" i="23"/>
  <c r="M645" i="23"/>
  <c r="M655" i="23"/>
  <c r="M662" i="23"/>
  <c r="M672" i="23"/>
  <c r="M681" i="23"/>
  <c r="K733" i="23"/>
  <c r="M471" i="23"/>
  <c r="M498" i="23"/>
  <c r="M503" i="23"/>
  <c r="J508" i="23"/>
  <c r="M514" i="23"/>
  <c r="M519" i="23"/>
  <c r="J523" i="23"/>
  <c r="M529" i="23"/>
  <c r="M534" i="23"/>
  <c r="M538" i="23"/>
  <c r="M547" i="23"/>
  <c r="M570" i="23"/>
  <c r="M584" i="23"/>
  <c r="M591" i="23"/>
  <c r="M610" i="23"/>
  <c r="J627" i="23"/>
  <c r="M633" i="23"/>
  <c r="M638" i="23"/>
  <c r="M648" i="23"/>
  <c r="M665" i="23"/>
  <c r="M675" i="23"/>
  <c r="H693" i="23"/>
  <c r="K693" i="23" s="1"/>
  <c r="G693" i="23"/>
  <c r="J693" i="23" s="1"/>
  <c r="E693" i="23"/>
  <c r="D693" i="23"/>
  <c r="K771" i="23"/>
  <c r="M462" i="23"/>
  <c r="L480" i="23"/>
  <c r="M489" i="23"/>
  <c r="J499" i="23"/>
  <c r="K508" i="23"/>
  <c r="K523" i="23"/>
  <c r="M541" i="23"/>
  <c r="M545" i="23"/>
  <c r="M550" i="23"/>
  <c r="M554" i="23"/>
  <c r="M594" i="23"/>
  <c r="M622" i="23"/>
  <c r="K627" i="23"/>
  <c r="M641" i="23"/>
  <c r="M653" i="23"/>
  <c r="M670" i="23"/>
  <c r="M678" i="23"/>
  <c r="M688" i="23"/>
  <c r="C693" i="23"/>
  <c r="J721" i="23"/>
  <c r="M735" i="23"/>
  <c r="M734" i="23"/>
  <c r="M736" i="23"/>
  <c r="J733" i="23"/>
  <c r="K748" i="23"/>
  <c r="L754" i="23"/>
  <c r="J766" i="23"/>
  <c r="L771" i="23"/>
  <c r="J790" i="23"/>
  <c r="K802" i="23"/>
  <c r="M480" i="23"/>
  <c r="M501" i="23"/>
  <c r="M517" i="23"/>
  <c r="M532" i="23"/>
  <c r="M557" i="23"/>
  <c r="M561" i="23"/>
  <c r="M589" i="23"/>
  <c r="M608" i="23"/>
  <c r="M613" i="23"/>
  <c r="M636" i="23"/>
  <c r="M646" i="23"/>
  <c r="M656" i="23"/>
  <c r="M663" i="23"/>
  <c r="I693" i="23"/>
  <c r="L693" i="23" s="1"/>
  <c r="I709" i="23"/>
  <c r="L709" i="23" s="1"/>
  <c r="H709" i="23"/>
  <c r="K709" i="23" s="1"/>
  <c r="G709" i="23"/>
  <c r="J709" i="23" s="1"/>
  <c r="E709" i="23"/>
  <c r="D709" i="23"/>
  <c r="C709" i="23"/>
  <c r="K721" i="23"/>
  <c r="J754" i="23"/>
  <c r="K766" i="23"/>
  <c r="K790" i="23"/>
  <c r="M504" i="23"/>
  <c r="M508" i="23"/>
  <c r="M523" i="23"/>
  <c r="M580" i="23"/>
  <c r="M611" i="23"/>
  <c r="M627" i="23"/>
  <c r="M634" i="23"/>
  <c r="M701" i="23"/>
  <c r="M699" i="23"/>
  <c r="M698" i="23"/>
  <c r="M700" i="23"/>
  <c r="L721" i="23"/>
  <c r="J729" i="23"/>
  <c r="K754" i="23"/>
  <c r="M687" i="23"/>
  <c r="M684" i="23"/>
  <c r="M686" i="23"/>
  <c r="I700" i="23"/>
  <c r="L700" i="23" s="1"/>
  <c r="G700" i="23"/>
  <c r="J700" i="23" s="1"/>
  <c r="E700" i="23"/>
  <c r="D700" i="23"/>
  <c r="C700" i="23"/>
  <c r="J920" i="23"/>
  <c r="N920" i="23"/>
  <c r="M920" i="23"/>
  <c r="L920" i="23"/>
  <c r="N931" i="23"/>
  <c r="M931" i="23"/>
  <c r="K931" i="23"/>
  <c r="G715" i="23"/>
  <c r="J715" i="23" s="1"/>
  <c r="M722" i="23"/>
  <c r="M738" i="23"/>
  <c r="M750" i="23"/>
  <c r="M760" i="23"/>
  <c r="M762" i="23"/>
  <c r="M794" i="23"/>
  <c r="M796" i="23"/>
  <c r="M822" i="23"/>
  <c r="K920" i="23"/>
  <c r="J929" i="23"/>
  <c r="L930" i="23"/>
  <c r="H715" i="23"/>
  <c r="K715" i="23" s="1"/>
  <c r="M725" i="23"/>
  <c r="M741" i="23"/>
  <c r="M755" i="23"/>
  <c r="M765" i="23"/>
  <c r="M767" i="23"/>
  <c r="M811" i="23"/>
  <c r="N928" i="23"/>
  <c r="M928" i="23"/>
  <c r="K928" i="23"/>
  <c r="I715" i="23"/>
  <c r="L715" i="23" s="1"/>
  <c r="D716" i="23"/>
  <c r="M716" i="23"/>
  <c r="M746" i="23"/>
  <c r="M770" i="23"/>
  <c r="M792" i="23"/>
  <c r="M812" i="23"/>
  <c r="J824" i="23"/>
  <c r="J928" i="23"/>
  <c r="L929" i="23"/>
  <c r="M723" i="23"/>
  <c r="M739" i="23"/>
  <c r="N929" i="23"/>
  <c r="M929" i="23"/>
  <c r="K929" i="23"/>
  <c r="M768" i="23"/>
  <c r="M937" i="23"/>
  <c r="L937" i="23"/>
  <c r="J937" i="23"/>
  <c r="N937" i="23"/>
  <c r="L928" i="23"/>
  <c r="J931" i="23"/>
  <c r="K937" i="23"/>
  <c r="C715" i="23"/>
  <c r="M819" i="23"/>
  <c r="M809" i="23"/>
  <c r="M816" i="23"/>
  <c r="M821" i="23"/>
  <c r="M813" i="23"/>
  <c r="M823" i="23"/>
  <c r="M815" i="23"/>
  <c r="M820" i="23"/>
  <c r="M810" i="23"/>
  <c r="M817" i="23"/>
  <c r="M818" i="23"/>
  <c r="M824" i="23"/>
  <c r="L824" i="23"/>
  <c r="K824" i="23"/>
  <c r="M832" i="23"/>
  <c r="K832" i="23"/>
  <c r="J832" i="23"/>
  <c r="N930" i="23"/>
  <c r="M930" i="23"/>
  <c r="K930" i="23"/>
  <c r="N936" i="23"/>
  <c r="M936" i="23"/>
  <c r="L936" i="23"/>
  <c r="J936" i="23"/>
  <c r="J930" i="23"/>
  <c r="L931" i="23"/>
  <c r="K936" i="23"/>
  <c r="N944" i="23"/>
  <c r="J945" i="23"/>
  <c r="M1048" i="23"/>
  <c r="K1048" i="23"/>
  <c r="N1048" i="23"/>
  <c r="M842" i="23"/>
  <c r="M914" i="23"/>
  <c r="M916" i="23"/>
  <c r="M918" i="23"/>
  <c r="M1032" i="23"/>
  <c r="K1032" i="23"/>
  <c r="N1032" i="23"/>
  <c r="M1040" i="23"/>
  <c r="K1040" i="23"/>
  <c r="N1040" i="23"/>
  <c r="M827" i="23"/>
  <c r="M837" i="23"/>
  <c r="J843" i="23"/>
  <c r="J867" i="23"/>
  <c r="J869" i="23"/>
  <c r="J875" i="23"/>
  <c r="J877" i="23"/>
  <c r="J879" i="23"/>
  <c r="J881" i="23"/>
  <c r="J883" i="23"/>
  <c r="J885" i="23"/>
  <c r="J887" i="23"/>
  <c r="J891" i="23"/>
  <c r="J893" i="23"/>
  <c r="J895" i="23"/>
  <c r="J897" i="23"/>
  <c r="J899" i="23"/>
  <c r="J901" i="23"/>
  <c r="J903" i="23"/>
  <c r="J905" i="23"/>
  <c r="J907" i="23"/>
  <c r="J909" i="23"/>
  <c r="J911" i="23"/>
  <c r="J913" i="23"/>
  <c r="J915" i="23"/>
  <c r="J917" i="23"/>
  <c r="J919" i="23"/>
  <c r="L945" i="23"/>
  <c r="M830" i="23"/>
  <c r="M840" i="23"/>
  <c r="M945" i="23"/>
  <c r="L1048" i="23"/>
  <c r="K831" i="23"/>
  <c r="M838" i="23"/>
  <c r="M843" i="23"/>
  <c r="M895" i="23"/>
  <c r="M897" i="23"/>
  <c r="M899" i="23"/>
  <c r="M901" i="23"/>
  <c r="M903" i="23"/>
  <c r="M905" i="23"/>
  <c r="M907" i="23"/>
  <c r="M909" i="23"/>
  <c r="M911" i="23"/>
  <c r="M913" i="23"/>
  <c r="M915" i="23"/>
  <c r="M917" i="23"/>
  <c r="M919" i="23"/>
  <c r="L831" i="23"/>
  <c r="M833" i="23"/>
  <c r="M841" i="23"/>
  <c r="L944" i="23"/>
  <c r="J1050" i="23"/>
  <c r="J1032" i="23"/>
  <c r="J1040" i="23"/>
  <c r="J1048" i="23"/>
  <c r="L1042" i="23"/>
  <c r="L1050" i="23"/>
  <c r="M1005" i="23"/>
  <c r="M1007" i="23"/>
  <c r="M1009" i="23"/>
  <c r="M1011" i="23"/>
  <c r="M1013" i="23"/>
  <c r="M1015" i="23"/>
  <c r="M1017" i="23"/>
  <c r="M1019" i="23"/>
  <c r="M1021" i="23"/>
  <c r="M1023" i="23"/>
  <c r="M1025" i="23"/>
  <c r="M1027" i="23"/>
  <c r="M1029" i="23"/>
  <c r="M1031" i="23"/>
  <c r="M1034" i="23"/>
  <c r="M1042" i="23"/>
  <c r="M1050" i="23"/>
  <c r="M1103" i="23"/>
  <c r="M1111" i="23"/>
  <c r="M1119" i="23"/>
  <c r="L1119" i="23"/>
  <c r="L1117" i="23"/>
  <c r="J1119" i="23"/>
  <c r="M1098" i="23"/>
  <c r="M1101" i="23"/>
  <c r="M1109" i="23"/>
  <c r="N1117" i="23"/>
  <c r="G53" i="22"/>
  <c r="M53" i="22" s="1"/>
  <c r="O51" i="22"/>
  <c r="G55" i="22"/>
  <c r="K55" i="22" s="1"/>
  <c r="M51" i="22"/>
  <c r="L51" i="22"/>
  <c r="K58" i="22"/>
  <c r="K51" i="22"/>
  <c r="L54" i="22"/>
  <c r="O261" i="22"/>
  <c r="M261" i="22"/>
  <c r="M1092" i="23"/>
  <c r="M1094" i="23"/>
  <c r="L1099" i="23"/>
  <c r="L1107" i="23"/>
  <c r="L1115" i="23"/>
  <c r="M1107" i="23"/>
  <c r="M1115" i="23"/>
  <c r="L1097" i="23"/>
  <c r="J1101" i="23"/>
  <c r="J1109" i="23"/>
  <c r="J1117" i="23"/>
  <c r="N1119" i="23"/>
  <c r="L224" i="22"/>
  <c r="M1097" i="23"/>
  <c r="D6" i="22"/>
  <c r="M42" i="22"/>
  <c r="L66" i="22"/>
  <c r="L218" i="22"/>
  <c r="O232" i="22"/>
  <c r="L251" i="22"/>
  <c r="M260" i="22"/>
  <c r="M1118" i="23"/>
  <c r="E6" i="22"/>
  <c r="B24" i="22"/>
  <c r="O62" i="22"/>
  <c r="M218" i="22"/>
  <c r="O228" i="22"/>
  <c r="L239" i="22"/>
  <c r="O254" i="22"/>
  <c r="O260" i="22"/>
  <c r="F6" i="22"/>
  <c r="O218" i="22"/>
  <c r="L249" i="22"/>
  <c r="L257" i="22"/>
  <c r="M252" i="22"/>
  <c r="H6" i="22"/>
  <c r="K6" i="22" s="1"/>
  <c r="L255" i="22"/>
  <c r="G368" i="22"/>
  <c r="G305" i="22"/>
  <c r="G311" i="22" s="1"/>
  <c r="G326" i="22"/>
  <c r="G295" i="22"/>
  <c r="G283" i="22"/>
  <c r="G276" i="22"/>
  <c r="G27" i="22"/>
  <c r="O225" i="22"/>
  <c r="K232" i="22"/>
  <c r="M246" i="22"/>
  <c r="K250" i="22"/>
  <c r="G262" i="22"/>
  <c r="G266" i="22" s="1"/>
  <c r="O10" i="22"/>
  <c r="G44" i="22"/>
  <c r="K218" i="22"/>
  <c r="M256" i="22"/>
  <c r="L261" i="22"/>
  <c r="O292" i="22"/>
  <c r="K302" i="22"/>
  <c r="M389" i="22"/>
  <c r="L302" i="22"/>
  <c r="K303" i="22"/>
  <c r="K389" i="22"/>
  <c r="L389" i="22"/>
  <c r="B271" i="22"/>
  <c r="K33" i="7" l="1"/>
  <c r="E10" i="38" s="1"/>
  <c r="E9" i="38" s="1"/>
  <c r="R188" i="19"/>
  <c r="G6" i="8"/>
  <c r="G8" i="38"/>
  <c r="G7" i="38" s="1"/>
  <c r="E17" i="15"/>
  <c r="E18" i="15" s="1"/>
  <c r="D24" i="9"/>
  <c r="F24" i="9" s="1"/>
  <c r="L390" i="11"/>
  <c r="G13" i="15"/>
  <c r="G14" i="15" s="1"/>
  <c r="G15" i="15" s="1"/>
  <c r="G16" i="15" s="1"/>
  <c r="D20" i="37" s="1"/>
  <c r="F20" i="37" s="1"/>
  <c r="G20" i="37" s="1"/>
  <c r="H20" i="37" s="1"/>
  <c r="G10" i="8"/>
  <c r="G13" i="16"/>
  <c r="G12" i="16"/>
  <c r="G5" i="16" s="1"/>
  <c r="E13" i="16"/>
  <c r="E12" i="16"/>
  <c r="E5" i="16" s="1"/>
  <c r="B5" i="14"/>
  <c r="C7" i="14"/>
  <c r="B7" i="14"/>
  <c r="C5" i="14"/>
  <c r="L826" i="23"/>
  <c r="E392" i="4"/>
  <c r="N17" i="31"/>
  <c r="C27" i="26" s="1"/>
  <c r="K826" i="23"/>
  <c r="J807" i="23"/>
  <c r="J826" i="23"/>
  <c r="L849" i="23"/>
  <c r="M849" i="23"/>
  <c r="J849" i="23"/>
  <c r="K849" i="23"/>
  <c r="K807" i="23"/>
  <c r="L807" i="23"/>
  <c r="F855" i="23"/>
  <c r="M846" i="23"/>
  <c r="J846" i="23"/>
  <c r="K846" i="23"/>
  <c r="L846" i="23"/>
  <c r="F856" i="23"/>
  <c r="M845" i="23"/>
  <c r="J845" i="23"/>
  <c r="L845" i="23"/>
  <c r="K845" i="23"/>
  <c r="N14" i="31"/>
  <c r="C24" i="26" s="1"/>
  <c r="O68" i="22"/>
  <c r="H271" i="22"/>
  <c r="F271" i="22"/>
  <c r="J271" i="22"/>
  <c r="E271" i="22"/>
  <c r="I271" i="22"/>
  <c r="D271" i="22"/>
  <c r="J270" i="22"/>
  <c r="E270" i="22"/>
  <c r="I270" i="22"/>
  <c r="D270" i="22"/>
  <c r="H270" i="22"/>
  <c r="F270" i="22"/>
  <c r="G371" i="22"/>
  <c r="G370" i="22"/>
  <c r="G329" i="22"/>
  <c r="G328" i="22"/>
  <c r="G349" i="22"/>
  <c r="G350" i="22"/>
  <c r="O227" i="22"/>
  <c r="O67" i="22"/>
  <c r="G70" i="22"/>
  <c r="L70" i="22" s="1"/>
  <c r="K65" i="22"/>
  <c r="G372" i="22"/>
  <c r="G310" i="22"/>
  <c r="O64" i="22"/>
  <c r="M65" i="22"/>
  <c r="L65" i="22"/>
  <c r="J536" i="23"/>
  <c r="O224" i="22"/>
  <c r="M224" i="22"/>
  <c r="K220" i="22"/>
  <c r="O59" i="22"/>
  <c r="M59" i="22"/>
  <c r="K59" i="22"/>
  <c r="L59" i="22"/>
  <c r="L7" i="22"/>
  <c r="G61" i="22"/>
  <c r="G56" i="22"/>
  <c r="L56" i="22" s="1"/>
  <c r="G57" i="22"/>
  <c r="M922" i="23"/>
  <c r="K922" i="23"/>
  <c r="J922" i="23"/>
  <c r="L922" i="23"/>
  <c r="K923" i="23"/>
  <c r="J923" i="23"/>
  <c r="M923" i="23"/>
  <c r="L923" i="23"/>
  <c r="P90" i="29"/>
  <c r="Q90" i="29" s="1"/>
  <c r="P107" i="29"/>
  <c r="Q107" i="29" s="1"/>
  <c r="P89" i="29"/>
  <c r="Q89" i="29" s="1"/>
  <c r="L61" i="23"/>
  <c r="K215" i="23"/>
  <c r="J704" i="23"/>
  <c r="K68" i="23"/>
  <c r="L19" i="22"/>
  <c r="K704" i="23"/>
  <c r="J81" i="23"/>
  <c r="J61" i="23"/>
  <c r="L258" i="23"/>
  <c r="J690" i="23"/>
  <c r="K84" i="23"/>
  <c r="L215" i="23"/>
  <c r="L704" i="23"/>
  <c r="N121" i="23"/>
  <c r="N98" i="23"/>
  <c r="K690" i="23"/>
  <c r="N100" i="23"/>
  <c r="N120" i="23"/>
  <c r="N119" i="23"/>
  <c r="G83" i="22"/>
  <c r="G73" i="22"/>
  <c r="G82" i="22"/>
  <c r="G94" i="22"/>
  <c r="G81" i="22"/>
  <c r="G88" i="22"/>
  <c r="G80" i="22"/>
  <c r="G87" i="22"/>
  <c r="G79" i="22"/>
  <c r="O71" i="22"/>
  <c r="G86" i="22"/>
  <c r="G77" i="22"/>
  <c r="G85" i="22"/>
  <c r="G75" i="22"/>
  <c r="G84" i="22"/>
  <c r="G74" i="22"/>
  <c r="G76" i="22"/>
  <c r="G91" i="22"/>
  <c r="G89" i="22"/>
  <c r="G78" i="22"/>
  <c r="G93" i="22"/>
  <c r="G90" i="22"/>
  <c r="K71" i="22"/>
  <c r="M71" i="22"/>
  <c r="L71" i="22"/>
  <c r="N323" i="23"/>
  <c r="L68" i="23"/>
  <c r="Q72" i="29"/>
  <c r="D223" i="4"/>
  <c r="D225" i="4"/>
  <c r="E225" i="4"/>
  <c r="E223" i="4"/>
  <c r="K324" i="20"/>
  <c r="K260" i="20"/>
  <c r="K228" i="20"/>
  <c r="K198" i="20"/>
  <c r="K139" i="20"/>
  <c r="K43" i="20"/>
  <c r="K11" i="20"/>
  <c r="K323" i="20"/>
  <c r="K291" i="20"/>
  <c r="K259" i="20"/>
  <c r="K227" i="20"/>
  <c r="K182" i="20"/>
  <c r="K157" i="20"/>
  <c r="K58" i="20"/>
  <c r="K26" i="20"/>
  <c r="K342" i="20"/>
  <c r="K310" i="20"/>
  <c r="K278" i="20"/>
  <c r="K246" i="20"/>
  <c r="K200" i="20"/>
  <c r="K175" i="20"/>
  <c r="K224" i="20"/>
  <c r="K180" i="20"/>
  <c r="K169" i="20"/>
  <c r="K181" i="20"/>
  <c r="K25" i="20"/>
  <c r="K155" i="20"/>
  <c r="K20" i="20"/>
  <c r="K276" i="20"/>
  <c r="K336" i="20"/>
  <c r="K304" i="20"/>
  <c r="K272" i="20"/>
  <c r="K240" i="20"/>
  <c r="K195" i="20"/>
  <c r="K154" i="20"/>
  <c r="K55" i="20"/>
  <c r="K23" i="20"/>
  <c r="K335" i="20"/>
  <c r="K303" i="20"/>
  <c r="K271" i="20"/>
  <c r="K239" i="20"/>
  <c r="K134" i="20"/>
  <c r="K38" i="20"/>
  <c r="K322" i="20"/>
  <c r="K290" i="20"/>
  <c r="K258" i="20"/>
  <c r="K226" i="20"/>
  <c r="K197" i="20"/>
  <c r="K156" i="20"/>
  <c r="K137" i="20"/>
  <c r="K57" i="20"/>
  <c r="K41" i="20"/>
  <c r="K9" i="20"/>
  <c r="K337" i="20"/>
  <c r="K321" i="20"/>
  <c r="K305" i="20"/>
  <c r="K289" i="20"/>
  <c r="K273" i="20"/>
  <c r="K257" i="20"/>
  <c r="K241" i="20"/>
  <c r="K225" i="20"/>
  <c r="K196" i="20"/>
  <c r="K171" i="20"/>
  <c r="K136" i="20"/>
  <c r="K56" i="20"/>
  <c r="K40" i="20"/>
  <c r="K292" i="20"/>
  <c r="K352" i="20"/>
  <c r="K320" i="20"/>
  <c r="K288" i="20"/>
  <c r="K256" i="20"/>
  <c r="K170" i="20"/>
  <c r="K135" i="20"/>
  <c r="K39" i="20"/>
  <c r="K351" i="20"/>
  <c r="K319" i="20"/>
  <c r="K287" i="20"/>
  <c r="K255" i="20"/>
  <c r="K223" i="20"/>
  <c r="K194" i="20"/>
  <c r="K153" i="20"/>
  <c r="K54" i="20"/>
  <c r="K22" i="20"/>
  <c r="K338" i="20"/>
  <c r="K306" i="20"/>
  <c r="K274" i="20"/>
  <c r="K242" i="20"/>
  <c r="K208" i="20"/>
  <c r="K172" i="20"/>
  <c r="K127" i="20"/>
  <c r="K219" i="20"/>
  <c r="K332" i="20"/>
  <c r="K300" i="20"/>
  <c r="K268" i="20"/>
  <c r="K236" i="20"/>
  <c r="K206" i="20"/>
  <c r="K179" i="20"/>
  <c r="K147" i="20"/>
  <c r="K35" i="20"/>
  <c r="K347" i="20"/>
  <c r="K315" i="20"/>
  <c r="K283" i="20"/>
  <c r="K251" i="20"/>
  <c r="K205" i="20"/>
  <c r="K146" i="20"/>
  <c r="K50" i="20"/>
  <c r="K18" i="20"/>
  <c r="K334" i="20"/>
  <c r="K302" i="20"/>
  <c r="K270" i="20"/>
  <c r="K238" i="20"/>
  <c r="K149" i="20"/>
  <c r="K129" i="20"/>
  <c r="K37" i="20"/>
  <c r="K21" i="20"/>
  <c r="K349" i="20"/>
  <c r="K333" i="20"/>
  <c r="K317" i="20"/>
  <c r="K301" i="20"/>
  <c r="K285" i="20"/>
  <c r="K269" i="20"/>
  <c r="K253" i="20"/>
  <c r="K237" i="20"/>
  <c r="K221" i="20"/>
  <c r="K207" i="20"/>
  <c r="K192" i="20"/>
  <c r="K167" i="20"/>
  <c r="K148" i="20"/>
  <c r="K128" i="20"/>
  <c r="K52" i="20"/>
  <c r="K36" i="20"/>
  <c r="K16" i="20"/>
  <c r="K348" i="20"/>
  <c r="K316" i="20"/>
  <c r="K284" i="20"/>
  <c r="K252" i="20"/>
  <c r="K220" i="20"/>
  <c r="K191" i="20"/>
  <c r="K166" i="20"/>
  <c r="K51" i="20"/>
  <c r="K19" i="20"/>
  <c r="K331" i="20"/>
  <c r="K299" i="20"/>
  <c r="K267" i="20"/>
  <c r="K235" i="20"/>
  <c r="K190" i="20"/>
  <c r="K165" i="20"/>
  <c r="K126" i="20"/>
  <c r="K34" i="20"/>
  <c r="K350" i="20"/>
  <c r="K318" i="20"/>
  <c r="K286" i="20"/>
  <c r="K254" i="20"/>
  <c r="K222" i="20"/>
  <c r="K193" i="20"/>
  <c r="K168" i="20"/>
  <c r="K53" i="20"/>
  <c r="K7" i="20"/>
  <c r="K17" i="20"/>
  <c r="K328" i="20"/>
  <c r="K296" i="20"/>
  <c r="K264" i="20"/>
  <c r="K232" i="20"/>
  <c r="K202" i="20"/>
  <c r="K177" i="20"/>
  <c r="K143" i="20"/>
  <c r="K47" i="20"/>
  <c r="K15" i="20"/>
  <c r="K327" i="20"/>
  <c r="K295" i="20"/>
  <c r="K263" i="20"/>
  <c r="K231" i="20"/>
  <c r="K201" i="20"/>
  <c r="K176" i="20"/>
  <c r="K142" i="20"/>
  <c r="K46" i="20"/>
  <c r="K14" i="20"/>
  <c r="K330" i="20"/>
  <c r="K298" i="20"/>
  <c r="K266" i="20"/>
  <c r="K234" i="20"/>
  <c r="K204" i="20"/>
  <c r="K145" i="20"/>
  <c r="K49" i="20"/>
  <c r="K33" i="20"/>
  <c r="K345" i="20"/>
  <c r="K329" i="20"/>
  <c r="K313" i="20"/>
  <c r="K297" i="20"/>
  <c r="K281" i="20"/>
  <c r="K265" i="20"/>
  <c r="K249" i="20"/>
  <c r="K233" i="20"/>
  <c r="K217" i="20"/>
  <c r="K203" i="20"/>
  <c r="K188" i="20"/>
  <c r="K178" i="20"/>
  <c r="K163" i="20"/>
  <c r="K144" i="20"/>
  <c r="K124" i="20"/>
  <c r="K48" i="20"/>
  <c r="K32" i="20"/>
  <c r="K12" i="20"/>
  <c r="K344" i="20"/>
  <c r="K312" i="20"/>
  <c r="K280" i="20"/>
  <c r="K248" i="20"/>
  <c r="K213" i="20"/>
  <c r="K187" i="20"/>
  <c r="K162" i="20"/>
  <c r="K123" i="20"/>
  <c r="K31" i="20"/>
  <c r="K343" i="20"/>
  <c r="K311" i="20"/>
  <c r="K279" i="20"/>
  <c r="K247" i="20"/>
  <c r="K186" i="20"/>
  <c r="K161" i="20"/>
  <c r="K122" i="20"/>
  <c r="K30" i="20"/>
  <c r="K346" i="20"/>
  <c r="K314" i="20"/>
  <c r="K282" i="20"/>
  <c r="K250" i="20"/>
  <c r="K218" i="20"/>
  <c r="K189" i="20"/>
  <c r="K164" i="20"/>
  <c r="K125" i="20"/>
  <c r="K28" i="20"/>
  <c r="K209" i="20"/>
  <c r="K340" i="20"/>
  <c r="K308" i="20"/>
  <c r="K244" i="20"/>
  <c r="K210" i="20"/>
  <c r="K183" i="20"/>
  <c r="K158" i="20"/>
  <c r="K75" i="20"/>
  <c r="K27" i="20"/>
  <c r="K339" i="20"/>
  <c r="K307" i="20"/>
  <c r="K275" i="20"/>
  <c r="K243" i="20"/>
  <c r="K173" i="20"/>
  <c r="K138" i="20"/>
  <c r="K42" i="20"/>
  <c r="K10" i="20"/>
  <c r="K326" i="20"/>
  <c r="K294" i="20"/>
  <c r="K262" i="20"/>
  <c r="K230" i="20"/>
  <c r="K212" i="20"/>
  <c r="K185" i="20"/>
  <c r="K160" i="20"/>
  <c r="K141" i="20"/>
  <c r="K121" i="20"/>
  <c r="K45" i="20"/>
  <c r="K29" i="20"/>
  <c r="K13" i="20"/>
  <c r="K341" i="20"/>
  <c r="K325" i="20"/>
  <c r="K309" i="20"/>
  <c r="K293" i="20"/>
  <c r="K277" i="20"/>
  <c r="K261" i="20"/>
  <c r="K245" i="20"/>
  <c r="K229" i="20"/>
  <c r="K211" i="20"/>
  <c r="K199" i="20"/>
  <c r="K184" i="20"/>
  <c r="K174" i="20"/>
  <c r="K159" i="20"/>
  <c r="K140" i="20"/>
  <c r="K120" i="20"/>
  <c r="K44" i="20"/>
  <c r="K24" i="20"/>
  <c r="K8" i="20"/>
  <c r="K6" i="20"/>
  <c r="J84" i="23"/>
  <c r="L697" i="23"/>
  <c r="K58" i="23"/>
  <c r="J605" i="23"/>
  <c r="L58" i="23"/>
  <c r="K171" i="29"/>
  <c r="Q171" i="29" s="1"/>
  <c r="K162" i="29"/>
  <c r="Q162" i="29" s="1"/>
  <c r="C172" i="29"/>
  <c r="C170" i="29"/>
  <c r="C167" i="29"/>
  <c r="K160" i="29"/>
  <c r="Q160" i="29" s="1"/>
  <c r="K156" i="29"/>
  <c r="Q156" i="29" s="1"/>
  <c r="C168" i="29"/>
  <c r="R161" i="29"/>
  <c r="R156" i="29"/>
  <c r="C156" i="29"/>
  <c r="C160" i="29"/>
  <c r="C162" i="29"/>
  <c r="R162" i="29"/>
  <c r="R164" i="29" s="1"/>
  <c r="K32" i="22"/>
  <c r="O34" i="22"/>
  <c r="K335" i="23"/>
  <c r="L587" i="23"/>
  <c r="L34" i="22"/>
  <c r="G35" i="22"/>
  <c r="L35" i="22" s="1"/>
  <c r="M34" i="22"/>
  <c r="K68" i="22"/>
  <c r="G20" i="22"/>
  <c r="K20" i="22" s="1"/>
  <c r="O17" i="22"/>
  <c r="M17" i="22"/>
  <c r="K19" i="22"/>
  <c r="O19" i="22"/>
  <c r="L242" i="22"/>
  <c r="C17" i="22"/>
  <c r="O242" i="22"/>
  <c r="M64" i="22"/>
  <c r="J265" i="23"/>
  <c r="J335" i="23"/>
  <c r="J378" i="23"/>
  <c r="J127" i="23"/>
  <c r="M227" i="22"/>
  <c r="J697" i="23"/>
  <c r="L690" i="23"/>
  <c r="K227" i="22"/>
  <c r="L17" i="22"/>
  <c r="L369" i="23"/>
  <c r="K587" i="23"/>
  <c r="J513" i="23"/>
  <c r="M243" i="22"/>
  <c r="K711" i="23"/>
  <c r="J587" i="23"/>
  <c r="O236" i="22"/>
  <c r="K230" i="22"/>
  <c r="J174" i="23"/>
  <c r="M236" i="22"/>
  <c r="L469" i="23"/>
  <c r="M32" i="22"/>
  <c r="M242" i="22"/>
  <c r="C32" i="22"/>
  <c r="G36" i="22"/>
  <c r="O36" i="22" s="1"/>
  <c r="G37" i="22"/>
  <c r="L37" i="22" s="1"/>
  <c r="O32" i="22"/>
  <c r="L552" i="23"/>
  <c r="J559" i="23"/>
  <c r="K623" i="23"/>
  <c r="J58" i="23"/>
  <c r="L536" i="23"/>
  <c r="L543" i="23"/>
  <c r="K487" i="23"/>
  <c r="L487" i="23"/>
  <c r="L32" i="22"/>
  <c r="K17" i="22"/>
  <c r="L521" i="23"/>
  <c r="L335" i="23"/>
  <c r="K559" i="23"/>
  <c r="J437" i="23"/>
  <c r="K191" i="23"/>
  <c r="L326" i="23"/>
  <c r="L191" i="23"/>
  <c r="J272" i="23"/>
  <c r="L513" i="23"/>
  <c r="L506" i="23"/>
  <c r="K579" i="23"/>
  <c r="K605" i="23"/>
  <c r="L342" i="23"/>
  <c r="K265" i="23"/>
  <c r="M231" i="22"/>
  <c r="J497" i="23"/>
  <c r="L231" i="22"/>
  <c r="L75" i="23"/>
  <c r="L711" i="23"/>
  <c r="L230" i="22"/>
  <c r="K231" i="22"/>
  <c r="J119" i="23"/>
  <c r="J107" i="23" s="1"/>
  <c r="L290" i="23"/>
  <c r="J445" i="23"/>
  <c r="J543" i="23"/>
  <c r="K469" i="23"/>
  <c r="J258" i="23"/>
  <c r="K310" i="23"/>
  <c r="J342" i="23"/>
  <c r="K437" i="23"/>
  <c r="J506" i="23"/>
  <c r="L265" i="23"/>
  <c r="K272" i="23"/>
  <c r="J360" i="23"/>
  <c r="K552" i="23"/>
  <c r="J460" i="23"/>
  <c r="K497" i="23"/>
  <c r="K147" i="23"/>
  <c r="J552" i="23"/>
  <c r="L437" i="23"/>
  <c r="L272" i="23"/>
  <c r="J133" i="23"/>
  <c r="K360" i="23"/>
  <c r="J310" i="23"/>
  <c r="K568" i="23"/>
  <c r="L378" i="23"/>
  <c r="M230" i="22"/>
  <c r="J369" i="23"/>
  <c r="L497" i="23"/>
  <c r="K342" i="23"/>
  <c r="J623" i="23"/>
  <c r="L360" i="23"/>
  <c r="K174" i="23"/>
  <c r="K351" i="23"/>
  <c r="L460" i="23"/>
  <c r="L133" i="23"/>
  <c r="J528" i="23"/>
  <c r="J711" i="23"/>
  <c r="L568" i="23"/>
  <c r="K453" i="23"/>
  <c r="L351" i="23"/>
  <c r="L528" i="23"/>
  <c r="K528" i="23"/>
  <c r="L579" i="23"/>
  <c r="J290" i="23"/>
  <c r="K164" i="23"/>
  <c r="K445" i="23"/>
  <c r="K75" i="23"/>
  <c r="L174" i="23"/>
  <c r="J326" i="23"/>
  <c r="K385" i="23"/>
  <c r="J521" i="23"/>
  <c r="K378" i="23"/>
  <c r="J317" i="23"/>
  <c r="L605" i="23"/>
  <c r="J469" i="23"/>
  <c r="J453" i="23"/>
  <c r="K460" i="23"/>
  <c r="K543" i="23"/>
  <c r="L623" i="23"/>
  <c r="J579" i="23"/>
  <c r="L310" i="23"/>
  <c r="L67" i="22"/>
  <c r="K7" i="22"/>
  <c r="M7" i="22"/>
  <c r="O7" i="22"/>
  <c r="H10" i="22"/>
  <c r="K10" i="22" s="1"/>
  <c r="J10" i="22"/>
  <c r="M10" i="22" s="1"/>
  <c r="F10" i="22"/>
  <c r="E10" i="22"/>
  <c r="I10" i="22"/>
  <c r="L10" i="22" s="1"/>
  <c r="D10" i="22"/>
  <c r="J8" i="22"/>
  <c r="H8" i="22"/>
  <c r="E8" i="22"/>
  <c r="I8" i="22"/>
  <c r="D8" i="22"/>
  <c r="G8" i="22"/>
  <c r="O8" i="22" s="1"/>
  <c r="G9" i="22"/>
  <c r="L229" i="22"/>
  <c r="J147" i="23"/>
  <c r="L147" i="23"/>
  <c r="K478" i="23"/>
  <c r="J385" i="23"/>
  <c r="J351" i="23"/>
  <c r="K326" i="23"/>
  <c r="K369" i="23"/>
  <c r="L68" i="22"/>
  <c r="J75" i="23"/>
  <c r="L445" i="23"/>
  <c r="L227" i="22"/>
  <c r="L121" i="23"/>
  <c r="J98" i="23"/>
  <c r="K536" i="23"/>
  <c r="K133" i="23"/>
  <c r="L559" i="23"/>
  <c r="L385" i="23"/>
  <c r="L453" i="23"/>
  <c r="J191" i="23"/>
  <c r="K161" i="23"/>
  <c r="M69" i="22"/>
  <c r="L222" i="22"/>
  <c r="J568" i="23"/>
  <c r="M67" i="22"/>
  <c r="L164" i="23"/>
  <c r="J164" i="23"/>
  <c r="K236" i="22"/>
  <c r="M254" i="22"/>
  <c r="M58" i="22"/>
  <c r="L235" i="22"/>
  <c r="K252" i="22"/>
  <c r="L254" i="22"/>
  <c r="M220" i="22"/>
  <c r="L64" i="22"/>
  <c r="K64" i="22"/>
  <c r="K521" i="23"/>
  <c r="K241" i="22"/>
  <c r="O241" i="22"/>
  <c r="O243" i="22"/>
  <c r="K243" i="22"/>
  <c r="K513" i="23"/>
  <c r="L245" i="22"/>
  <c r="L478" i="23"/>
  <c r="K257" i="22"/>
  <c r="K61" i="23"/>
  <c r="O237" i="22"/>
  <c r="K237" i="22"/>
  <c r="J487" i="23"/>
  <c r="J478" i="23"/>
  <c r="K229" i="22"/>
  <c r="O229" i="22"/>
  <c r="K69" i="22"/>
  <c r="K258" i="23"/>
  <c r="K235" i="22"/>
  <c r="O235" i="22"/>
  <c r="L241" i="22"/>
  <c r="K127" i="23"/>
  <c r="L237" i="22"/>
  <c r="K290" i="23"/>
  <c r="Q150" i="29"/>
  <c r="M941" i="23"/>
  <c r="K941" i="23"/>
  <c r="J941" i="23"/>
  <c r="C161" i="29"/>
  <c r="M935" i="23"/>
  <c r="M921" i="23"/>
  <c r="M924" i="23"/>
  <c r="J921" i="23"/>
  <c r="R167" i="29"/>
  <c r="K167" i="29"/>
  <c r="Q167" i="29" s="1"/>
  <c r="K935" i="23"/>
  <c r="N935" i="23"/>
  <c r="J935" i="23"/>
  <c r="L888" i="23"/>
  <c r="J871" i="23"/>
  <c r="L924" i="23"/>
  <c r="R171" i="29"/>
  <c r="K170" i="29"/>
  <c r="Q170" i="29" s="1"/>
  <c r="N941" i="23"/>
  <c r="M866" i="23"/>
  <c r="R170" i="29"/>
  <c r="L866" i="23"/>
  <c r="J863" i="23"/>
  <c r="K1096" i="23"/>
  <c r="J873" i="23"/>
  <c r="J865" i="23"/>
  <c r="J889" i="23"/>
  <c r="K161" i="29"/>
  <c r="Q161" i="29" s="1"/>
  <c r="K888" i="23"/>
  <c r="L921" i="23"/>
  <c r="M871" i="23"/>
  <c r="K871" i="23"/>
  <c r="L871" i="23"/>
  <c r="K921" i="23"/>
  <c r="M888" i="23"/>
  <c r="J888" i="23"/>
  <c r="L13" i="22"/>
  <c r="J866" i="23"/>
  <c r="K866" i="23"/>
  <c r="K943" i="23"/>
  <c r="J943" i="23"/>
  <c r="C171" i="29"/>
  <c r="N884" i="23"/>
  <c r="M884" i="23"/>
  <c r="L884" i="23"/>
  <c r="J884" i="23"/>
  <c r="N890" i="23"/>
  <c r="M890" i="23"/>
  <c r="L890" i="23"/>
  <c r="J890" i="23"/>
  <c r="N863" i="23"/>
  <c r="M863" i="23"/>
  <c r="L863" i="23"/>
  <c r="N865" i="23"/>
  <c r="M865" i="23"/>
  <c r="L865" i="23"/>
  <c r="N870" i="23"/>
  <c r="M870" i="23"/>
  <c r="L870" i="23"/>
  <c r="J870" i="23"/>
  <c r="N873" i="23"/>
  <c r="M873" i="23"/>
  <c r="L873" i="23"/>
  <c r="N924" i="23"/>
  <c r="J924" i="23"/>
  <c r="K890" i="23"/>
  <c r="K13" i="22"/>
  <c r="R168" i="29"/>
  <c r="K168" i="29"/>
  <c r="Q168" i="29" s="1"/>
  <c r="K172" i="29"/>
  <c r="Q172" i="29" s="1"/>
  <c r="R172" i="29"/>
  <c r="J1096" i="23"/>
  <c r="N874" i="23"/>
  <c r="M874" i="23"/>
  <c r="L874" i="23"/>
  <c r="J874" i="23"/>
  <c r="N889" i="23"/>
  <c r="M889" i="23"/>
  <c r="L889" i="23"/>
  <c r="J329" i="22"/>
  <c r="I329" i="22"/>
  <c r="H329" i="22"/>
  <c r="F329" i="22"/>
  <c r="E329" i="22"/>
  <c r="D329" i="22"/>
  <c r="I349" i="22"/>
  <c r="H349" i="22"/>
  <c r="F349" i="22"/>
  <c r="E349" i="22"/>
  <c r="D349" i="22"/>
  <c r="J349" i="22"/>
  <c r="F328" i="22"/>
  <c r="E328" i="22"/>
  <c r="D328" i="22"/>
  <c r="J328" i="22"/>
  <c r="I328" i="22"/>
  <c r="H328" i="22"/>
  <c r="E350" i="22"/>
  <c r="D350" i="22"/>
  <c r="J350" i="22"/>
  <c r="I350" i="22"/>
  <c r="H350" i="22"/>
  <c r="F350" i="22"/>
  <c r="D371" i="22"/>
  <c r="J371" i="22"/>
  <c r="I371" i="22"/>
  <c r="H371" i="22"/>
  <c r="F371" i="22"/>
  <c r="E371" i="22"/>
  <c r="O248" i="22"/>
  <c r="L248" i="22"/>
  <c r="K248" i="22"/>
  <c r="O253" i="22"/>
  <c r="M253" i="22"/>
  <c r="L253" i="22"/>
  <c r="K253" i="22"/>
  <c r="O221" i="22"/>
  <c r="M221" i="22"/>
  <c r="L221" i="22"/>
  <c r="K221" i="22"/>
  <c r="G362" i="22"/>
  <c r="G364" i="22"/>
  <c r="G365" i="22"/>
  <c r="G352" i="22"/>
  <c r="G356" i="22"/>
  <c r="G360" i="22"/>
  <c r="G363" i="22"/>
  <c r="G353" i="22"/>
  <c r="O347" i="22"/>
  <c r="M347" i="22"/>
  <c r="G357" i="22"/>
  <c r="L347" i="22"/>
  <c r="G361" i="22"/>
  <c r="K347" i="22"/>
  <c r="O220" i="22"/>
  <c r="L220" i="22"/>
  <c r="L69" i="22"/>
  <c r="K254" i="22"/>
  <c r="O55" i="22"/>
  <c r="M55" i="22"/>
  <c r="L55" i="22"/>
  <c r="L323" i="23"/>
  <c r="L317" i="23" s="1"/>
  <c r="K323" i="23"/>
  <c r="K317" i="23" s="1"/>
  <c r="M323" i="23"/>
  <c r="F102" i="23"/>
  <c r="N102" i="23" s="1"/>
  <c r="M98" i="23"/>
  <c r="L98" i="23"/>
  <c r="G278" i="22"/>
  <c r="G281" i="22" s="1"/>
  <c r="O276" i="22"/>
  <c r="M276" i="22"/>
  <c r="K276" i="22"/>
  <c r="L276" i="22"/>
  <c r="O223" i="22"/>
  <c r="M223" i="22"/>
  <c r="K223" i="22"/>
  <c r="L228" i="22"/>
  <c r="G47" i="22"/>
  <c r="G49" i="22"/>
  <c r="G46" i="22"/>
  <c r="O44" i="22"/>
  <c r="G48" i="22"/>
  <c r="M44" i="22"/>
  <c r="L44" i="22"/>
  <c r="G50" i="22"/>
  <c r="K44" i="22"/>
  <c r="L27" i="22"/>
  <c r="K27" i="22"/>
  <c r="G29" i="22"/>
  <c r="O27" i="22"/>
  <c r="M27" i="22"/>
  <c r="G385" i="22"/>
  <c r="G378" i="22"/>
  <c r="G382" i="22"/>
  <c r="G375" i="22"/>
  <c r="O375" i="22" s="1"/>
  <c r="G384" i="22"/>
  <c r="G377" i="22"/>
  <c r="O368" i="22"/>
  <c r="G381" i="22"/>
  <c r="M368" i="22"/>
  <c r="G386" i="22"/>
  <c r="L368" i="22"/>
  <c r="G383" i="22"/>
  <c r="G374" i="22"/>
  <c r="K368" i="22"/>
  <c r="O255" i="22"/>
  <c r="M255" i="22"/>
  <c r="K255" i="22"/>
  <c r="I24" i="22"/>
  <c r="H24" i="22"/>
  <c r="F24" i="22"/>
  <c r="E24" i="22"/>
  <c r="D24" i="22"/>
  <c r="J24" i="22"/>
  <c r="K506" i="23"/>
  <c r="J100" i="23"/>
  <c r="R169" i="29"/>
  <c r="K169" i="29"/>
  <c r="Q169" i="29" s="1"/>
  <c r="C169" i="29"/>
  <c r="O13" i="22"/>
  <c r="K120" i="23"/>
  <c r="L120" i="23"/>
  <c r="M120" i="23"/>
  <c r="Q185" i="29"/>
  <c r="L81" i="23"/>
  <c r="R158" i="29"/>
  <c r="K158" i="29"/>
  <c r="Q158" i="29" s="1"/>
  <c r="C158" i="29"/>
  <c r="M228" i="22"/>
  <c r="J103" i="23"/>
  <c r="M103" i="23"/>
  <c r="K103" i="23"/>
  <c r="L103" i="23"/>
  <c r="M13" i="22"/>
  <c r="G24" i="22"/>
  <c r="O24" i="22" s="1"/>
  <c r="C22" i="22"/>
  <c r="G26" i="22"/>
  <c r="O22" i="22"/>
  <c r="M22" i="22"/>
  <c r="L22" i="22"/>
  <c r="G25" i="22"/>
  <c r="K22" i="22"/>
  <c r="K234" i="22"/>
  <c r="L1096" i="23"/>
  <c r="L234" i="22"/>
  <c r="K81" i="23"/>
  <c r="F104" i="23"/>
  <c r="N104" i="23" s="1"/>
  <c r="M100" i="23"/>
  <c r="L100" i="23"/>
  <c r="M234" i="22"/>
  <c r="O251" i="22"/>
  <c r="M251" i="22"/>
  <c r="K251" i="22"/>
  <c r="K228" i="22"/>
  <c r="O58" i="22"/>
  <c r="L58" i="22"/>
  <c r="L223" i="22"/>
  <c r="O256" i="22"/>
  <c r="L256" i="22"/>
  <c r="K256" i="22"/>
  <c r="M262" i="22"/>
  <c r="K262" i="22"/>
  <c r="G267" i="22"/>
  <c r="L262" i="22"/>
  <c r="G265" i="22"/>
  <c r="G264" i="22"/>
  <c r="O262" i="22"/>
  <c r="O238" i="22"/>
  <c r="M238" i="22"/>
  <c r="L238" i="22"/>
  <c r="G344" i="22"/>
  <c r="G341" i="22"/>
  <c r="G332" i="22"/>
  <c r="O326" i="22"/>
  <c r="M326" i="22"/>
  <c r="G343" i="22"/>
  <c r="G336" i="22"/>
  <c r="L326" i="22"/>
  <c r="G340" i="22"/>
  <c r="K326" i="22"/>
  <c r="G331" i="22"/>
  <c r="G342" i="22"/>
  <c r="G335" i="22"/>
  <c r="G339" i="22"/>
  <c r="O257" i="22"/>
  <c r="M257" i="22"/>
  <c r="O66" i="22"/>
  <c r="K66" i="22"/>
  <c r="K54" i="22"/>
  <c r="M66" i="22"/>
  <c r="K155" i="29"/>
  <c r="Q155" i="29" s="1"/>
  <c r="R155" i="29"/>
  <c r="C155" i="29"/>
  <c r="R157" i="29"/>
  <c r="C157" i="29"/>
  <c r="K157" i="29"/>
  <c r="Q157" i="29" s="1"/>
  <c r="I5" i="20"/>
  <c r="J1431" i="20" s="1"/>
  <c r="O53" i="22"/>
  <c r="L53" i="22"/>
  <c r="K53" i="22"/>
  <c r="O250" i="22"/>
  <c r="M250" i="22"/>
  <c r="L250" i="22"/>
  <c r="O54" i="22"/>
  <c r="M54" i="22"/>
  <c r="G285" i="22"/>
  <c r="O283" i="22"/>
  <c r="M283" i="22"/>
  <c r="L283" i="22"/>
  <c r="K283" i="22"/>
  <c r="G286" i="22"/>
  <c r="O244" i="22"/>
  <c r="M244" i="22"/>
  <c r="L244" i="22"/>
  <c r="G297" i="22"/>
  <c r="O295" i="22"/>
  <c r="M295" i="22"/>
  <c r="L295" i="22"/>
  <c r="K295" i="22"/>
  <c r="G298" i="22"/>
  <c r="K222" i="22"/>
  <c r="L943" i="23"/>
  <c r="G322" i="22"/>
  <c r="G315" i="22"/>
  <c r="M305" i="22"/>
  <c r="G319" i="22"/>
  <c r="L305" i="22"/>
  <c r="K305" i="22"/>
  <c r="G321" i="22"/>
  <c r="G314" i="22"/>
  <c r="G318" i="22"/>
  <c r="G323" i="22"/>
  <c r="G320" i="22"/>
  <c r="O305" i="22"/>
  <c r="O252" i="22"/>
  <c r="L252" i="22"/>
  <c r="K249" i="22"/>
  <c r="O249" i="22"/>
  <c r="M249" i="22"/>
  <c r="O245" i="22"/>
  <c r="K245" i="22"/>
  <c r="M222" i="22"/>
  <c r="M248" i="22"/>
  <c r="M121" i="23"/>
  <c r="K121" i="23"/>
  <c r="M119" i="23"/>
  <c r="K119" i="23"/>
  <c r="C159" i="29"/>
  <c r="R159" i="29"/>
  <c r="K159" i="29"/>
  <c r="Q159" i="29" s="1"/>
  <c r="K165" i="29"/>
  <c r="Q165" i="29" s="1"/>
  <c r="R165" i="29"/>
  <c r="C165" i="29"/>
  <c r="E9" i="8" l="1"/>
  <c r="E8" i="8" s="1"/>
  <c r="E14" i="8" s="1"/>
  <c r="E6" i="38"/>
  <c r="E15" i="38" s="1"/>
  <c r="E17" i="38" s="1"/>
  <c r="G9" i="8"/>
  <c r="G8" i="8" s="1"/>
  <c r="G10" i="38"/>
  <c r="G9" i="38" s="1"/>
  <c r="G6" i="38" s="1"/>
  <c r="G15" i="38" s="1"/>
  <c r="G17" i="38" s="1"/>
  <c r="D20" i="9"/>
  <c r="F20" i="9" s="1"/>
  <c r="G20" i="9" s="1"/>
  <c r="H20" i="9" s="1"/>
  <c r="G17" i="15"/>
  <c r="G18" i="15" s="1"/>
  <c r="E14" i="16"/>
  <c r="G14" i="16"/>
  <c r="G24" i="9"/>
  <c r="B13" i="14"/>
  <c r="C13" i="14"/>
  <c r="E393" i="4"/>
  <c r="N15" i="31"/>
  <c r="C25" i="26" s="1"/>
  <c r="M856" i="23"/>
  <c r="J856" i="23"/>
  <c r="L856" i="23"/>
  <c r="K856" i="23"/>
  <c r="N856" i="23"/>
  <c r="M855" i="23"/>
  <c r="K855" i="23"/>
  <c r="L855" i="23"/>
  <c r="J855" i="23"/>
  <c r="N855" i="23"/>
  <c r="E390" i="4"/>
  <c r="Q163" i="29"/>
  <c r="Q175" i="29"/>
  <c r="M70" i="22"/>
  <c r="O70" i="22"/>
  <c r="K70" i="22"/>
  <c r="M35" i="22"/>
  <c r="O35" i="22"/>
  <c r="L20" i="22"/>
  <c r="M20" i="22"/>
  <c r="L36" i="22"/>
  <c r="O20" i="22"/>
  <c r="G21" i="22"/>
  <c r="O21" i="22" s="1"/>
  <c r="K372" i="22"/>
  <c r="L372" i="22"/>
  <c r="M372" i="22"/>
  <c r="J377" i="22"/>
  <c r="M377" i="22" s="1"/>
  <c r="D377" i="22"/>
  <c r="I377" i="22"/>
  <c r="L377" i="22" s="1"/>
  <c r="H377" i="22"/>
  <c r="K377" i="22" s="1"/>
  <c r="F377" i="22"/>
  <c r="E377" i="22"/>
  <c r="H388" i="22"/>
  <c r="F388" i="22"/>
  <c r="E388" i="22"/>
  <c r="D388" i="22"/>
  <c r="J388" i="22"/>
  <c r="I388" i="22"/>
  <c r="G95" i="22"/>
  <c r="K56" i="22"/>
  <c r="O56" i="22"/>
  <c r="M56" i="22"/>
  <c r="B6" i="20"/>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D231" i="4"/>
  <c r="E231" i="4"/>
  <c r="O57" i="22"/>
  <c r="K57" i="22"/>
  <c r="L57" i="22"/>
  <c r="M57" i="22"/>
  <c r="M9" i="22"/>
  <c r="G60" i="22"/>
  <c r="O61" i="22"/>
  <c r="K61" i="22"/>
  <c r="L61" i="22"/>
  <c r="M61" i="22"/>
  <c r="G273" i="22"/>
  <c r="G272" i="22"/>
  <c r="G274" i="22"/>
  <c r="G271" i="22"/>
  <c r="G270" i="22"/>
  <c r="O89" i="22"/>
  <c r="L89" i="22"/>
  <c r="M89" i="22"/>
  <c r="K89" i="22"/>
  <c r="O76" i="22"/>
  <c r="K76" i="22"/>
  <c r="M76" i="22"/>
  <c r="L76" i="22"/>
  <c r="O79" i="22"/>
  <c r="L79" i="22"/>
  <c r="K79" i="22"/>
  <c r="M79" i="22"/>
  <c r="O73" i="22"/>
  <c r="K73" i="22"/>
  <c r="M73" i="22"/>
  <c r="L73" i="22"/>
  <c r="O82" i="22"/>
  <c r="K82" i="22"/>
  <c r="M82" i="22"/>
  <c r="L82" i="22"/>
  <c r="O74" i="22"/>
  <c r="K74" i="22"/>
  <c r="L74" i="22"/>
  <c r="M74" i="22"/>
  <c r="O87" i="22"/>
  <c r="K87" i="22"/>
  <c r="L87" i="22"/>
  <c r="M87" i="22"/>
  <c r="O83" i="22"/>
  <c r="K83" i="22"/>
  <c r="L83" i="22"/>
  <c r="M83" i="22"/>
  <c r="O91" i="22"/>
  <c r="M91" i="22"/>
  <c r="L91" i="22"/>
  <c r="K91" i="22"/>
  <c r="O84" i="22"/>
  <c r="K84" i="22"/>
  <c r="M84" i="22"/>
  <c r="L84" i="22"/>
  <c r="O80" i="22"/>
  <c r="M80" i="22"/>
  <c r="L80" i="22"/>
  <c r="K80" i="22"/>
  <c r="O90" i="22"/>
  <c r="K90" i="22"/>
  <c r="L90" i="22"/>
  <c r="M90" i="22"/>
  <c r="O75" i="22"/>
  <c r="K75" i="22"/>
  <c r="L75" i="22"/>
  <c r="M75" i="22"/>
  <c r="O88" i="22"/>
  <c r="M88" i="22"/>
  <c r="K88" i="22"/>
  <c r="L88" i="22"/>
  <c r="O92" i="22"/>
  <c r="K92" i="22"/>
  <c r="M92" i="22"/>
  <c r="L92" i="22"/>
  <c r="O93" i="22"/>
  <c r="K93" i="22"/>
  <c r="M93" i="22"/>
  <c r="L93" i="22"/>
  <c r="O85" i="22"/>
  <c r="K85" i="22"/>
  <c r="L85" i="22"/>
  <c r="M85" i="22"/>
  <c r="O81" i="22"/>
  <c r="K81" i="22"/>
  <c r="L81" i="22"/>
  <c r="M81" i="22"/>
  <c r="O86" i="22"/>
  <c r="K86" i="22"/>
  <c r="M86" i="22"/>
  <c r="L86" i="22"/>
  <c r="K35" i="22"/>
  <c r="O78" i="22"/>
  <c r="K78" i="22"/>
  <c r="L78" i="22"/>
  <c r="M78" i="22"/>
  <c r="M77" i="22"/>
  <c r="K77" i="22"/>
  <c r="O77" i="22"/>
  <c r="L77" i="22"/>
  <c r="O94" i="22"/>
  <c r="L94" i="22"/>
  <c r="M94" i="22"/>
  <c r="K94" i="22"/>
  <c r="R72" i="29"/>
  <c r="Q186" i="29"/>
  <c r="R186" i="29" s="1"/>
  <c r="R150" i="29"/>
  <c r="R117" i="29" s="1"/>
  <c r="Q116" i="29"/>
  <c r="K36" i="22"/>
  <c r="M36" i="22"/>
  <c r="J1434" i="20"/>
  <c r="K9" i="22"/>
  <c r="O9" i="22"/>
  <c r="L9" i="22"/>
  <c r="O37" i="22"/>
  <c r="K37" i="22"/>
  <c r="M37" i="22"/>
  <c r="E307" i="22"/>
  <c r="D307" i="22"/>
  <c r="E310" i="22"/>
  <c r="J307" i="22"/>
  <c r="M307" i="22" s="1"/>
  <c r="I307" i="22"/>
  <c r="L307" i="22" s="1"/>
  <c r="F307" i="22"/>
  <c r="H307" i="22"/>
  <c r="K307" i="22" s="1"/>
  <c r="I308" i="22"/>
  <c r="L308" i="22" s="1"/>
  <c r="D308" i="22"/>
  <c r="E308" i="22"/>
  <c r="H308" i="22"/>
  <c r="K308" i="22" s="1"/>
  <c r="E311" i="22"/>
  <c r="J308" i="22"/>
  <c r="M308" i="22" s="1"/>
  <c r="F308" i="22"/>
  <c r="L107" i="23"/>
  <c r="K8" i="22"/>
  <c r="L8" i="22"/>
  <c r="M8" i="22"/>
  <c r="J370" i="22"/>
  <c r="M370" i="22" s="1"/>
  <c r="I370" i="22"/>
  <c r="L370" i="22" s="1"/>
  <c r="H370" i="22"/>
  <c r="K370" i="22" s="1"/>
  <c r="F370" i="22"/>
  <c r="H373" i="22"/>
  <c r="K373" i="22" s="1"/>
  <c r="E370" i="22"/>
  <c r="F375" i="22"/>
  <c r="D370" i="22"/>
  <c r="J11" i="22"/>
  <c r="M11" i="22" s="1"/>
  <c r="I11" i="22"/>
  <c r="L11" i="22" s="1"/>
  <c r="H11" i="22"/>
  <c r="K11" i="22" s="1"/>
  <c r="B12" i="22"/>
  <c r="F11" i="22"/>
  <c r="D11" i="22"/>
  <c r="E11" i="22"/>
  <c r="C27" i="22"/>
  <c r="C44" i="22" s="1"/>
  <c r="K107" i="23"/>
  <c r="K862" i="23"/>
  <c r="J862" i="23"/>
  <c r="L862" i="23"/>
  <c r="O307" i="22"/>
  <c r="G325" i="22"/>
  <c r="O370" i="22"/>
  <c r="G388" i="22"/>
  <c r="O328" i="22"/>
  <c r="G346" i="22"/>
  <c r="O329" i="22"/>
  <c r="O308" i="22"/>
  <c r="O349" i="22"/>
  <c r="G367" i="22"/>
  <c r="O371" i="22"/>
  <c r="O350" i="22"/>
  <c r="O340" i="22"/>
  <c r="M340" i="22"/>
  <c r="L340" i="22"/>
  <c r="K340" i="22"/>
  <c r="O323" i="22"/>
  <c r="M323" i="22"/>
  <c r="K323" i="22"/>
  <c r="L323" i="22"/>
  <c r="O286" i="22"/>
  <c r="G288" i="22"/>
  <c r="M286" i="22"/>
  <c r="G287" i="22"/>
  <c r="K286" i="22"/>
  <c r="L286" i="22"/>
  <c r="M309" i="22"/>
  <c r="O309" i="22"/>
  <c r="L309" i="22"/>
  <c r="K309" i="22"/>
  <c r="O322" i="22"/>
  <c r="L322" i="22"/>
  <c r="K322" i="22"/>
  <c r="M322" i="22"/>
  <c r="O258" i="22"/>
  <c r="M258" i="22"/>
  <c r="K258" i="22"/>
  <c r="L258" i="22"/>
  <c r="G334" i="22"/>
  <c r="O334" i="22" s="1"/>
  <c r="O332" i="22"/>
  <c r="O265" i="22"/>
  <c r="M265" i="22"/>
  <c r="K265" i="22"/>
  <c r="L265" i="22"/>
  <c r="M104" i="23"/>
  <c r="L104" i="23"/>
  <c r="J104" i="23"/>
  <c r="K104" i="23"/>
  <c r="O25" i="22"/>
  <c r="K25" i="22"/>
  <c r="L25" i="22"/>
  <c r="M25" i="22"/>
  <c r="K386" i="22"/>
  <c r="O386" i="22"/>
  <c r="M386" i="22"/>
  <c r="L386" i="22"/>
  <c r="O378" i="22"/>
  <c r="O49" i="22"/>
  <c r="M49" i="22"/>
  <c r="L49" i="22"/>
  <c r="K49" i="22"/>
  <c r="O357" i="22"/>
  <c r="M357" i="22"/>
  <c r="K357" i="22"/>
  <c r="G366" i="22"/>
  <c r="O356" i="22"/>
  <c r="K356" i="22"/>
  <c r="M356" i="22"/>
  <c r="L356" i="22"/>
  <c r="O259" i="22"/>
  <c r="K259" i="22"/>
  <c r="L259" i="22"/>
  <c r="M259" i="22"/>
  <c r="E376" i="22"/>
  <c r="J376" i="22"/>
  <c r="I376" i="22"/>
  <c r="H376" i="22"/>
  <c r="F376" i="22"/>
  <c r="D376" i="22"/>
  <c r="J355" i="22"/>
  <c r="I355" i="22"/>
  <c r="H355" i="22"/>
  <c r="F355" i="22"/>
  <c r="E355" i="22"/>
  <c r="D355" i="22"/>
  <c r="D333" i="22"/>
  <c r="J333" i="22"/>
  <c r="I333" i="22"/>
  <c r="H333" i="22"/>
  <c r="F333" i="22"/>
  <c r="E333" i="22"/>
  <c r="L349" i="22"/>
  <c r="K329" i="22"/>
  <c r="O385" i="22"/>
  <c r="K385" i="22"/>
  <c r="M385" i="22"/>
  <c r="L385" i="22"/>
  <c r="O50" i="22"/>
  <c r="K50" i="22"/>
  <c r="M50" i="22"/>
  <c r="L50" i="22"/>
  <c r="O47" i="22"/>
  <c r="L47" i="22"/>
  <c r="K47" i="22"/>
  <c r="M47" i="22"/>
  <c r="G354" i="22"/>
  <c r="O354" i="22" s="1"/>
  <c r="O352" i="22"/>
  <c r="I312" i="22"/>
  <c r="H312" i="22"/>
  <c r="F312" i="22"/>
  <c r="E312" i="22"/>
  <c r="D312" i="22"/>
  <c r="J312" i="22"/>
  <c r="J353" i="22"/>
  <c r="M353" i="22" s="1"/>
  <c r="I353" i="22"/>
  <c r="L353" i="22" s="1"/>
  <c r="H353" i="22"/>
  <c r="K353" i="22" s="1"/>
  <c r="F353" i="22"/>
  <c r="E353" i="22"/>
  <c r="D353" i="22"/>
  <c r="L329" i="22"/>
  <c r="O344" i="22"/>
  <c r="L344" i="22"/>
  <c r="K344" i="22"/>
  <c r="M344" i="22"/>
  <c r="O381" i="22"/>
  <c r="O365" i="22"/>
  <c r="M365" i="22"/>
  <c r="K365" i="22"/>
  <c r="L365" i="22"/>
  <c r="K350" i="22"/>
  <c r="K328" i="22"/>
  <c r="M349" i="22"/>
  <c r="M329" i="22"/>
  <c r="O267" i="22"/>
  <c r="K267" i="22"/>
  <c r="M267" i="22"/>
  <c r="L267" i="22"/>
  <c r="K24" i="22"/>
  <c r="G355" i="22"/>
  <c r="O355" i="22" s="1"/>
  <c r="O353" i="22"/>
  <c r="O364" i="22"/>
  <c r="L364" i="22"/>
  <c r="K364" i="22"/>
  <c r="M364" i="22"/>
  <c r="L350" i="22"/>
  <c r="L328" i="22"/>
  <c r="O297" i="22"/>
  <c r="M297" i="22"/>
  <c r="L297" i="22"/>
  <c r="G304" i="22"/>
  <c r="K297" i="22"/>
  <c r="O339" i="22"/>
  <c r="K339" i="22"/>
  <c r="L339" i="22"/>
  <c r="M339" i="22"/>
  <c r="O336" i="22"/>
  <c r="M336" i="22"/>
  <c r="K336" i="22"/>
  <c r="O26" i="22"/>
  <c r="L26" i="22"/>
  <c r="M26" i="22"/>
  <c r="K26" i="22"/>
  <c r="L24" i="22"/>
  <c r="G376" i="22"/>
  <c r="O376" i="22" s="1"/>
  <c r="O374" i="22"/>
  <c r="G387" i="22"/>
  <c r="O377" i="22"/>
  <c r="O29" i="22"/>
  <c r="M29" i="22"/>
  <c r="K29" i="22"/>
  <c r="L29" i="22"/>
  <c r="O48" i="22"/>
  <c r="M48" i="22"/>
  <c r="L48" i="22"/>
  <c r="K48" i="22"/>
  <c r="K363" i="22"/>
  <c r="O363" i="22"/>
  <c r="L363" i="22"/>
  <c r="M363" i="22"/>
  <c r="O362" i="22"/>
  <c r="L362" i="22"/>
  <c r="K362" i="22"/>
  <c r="M362" i="22"/>
  <c r="K371" i="22"/>
  <c r="F354" i="22"/>
  <c r="E354" i="22"/>
  <c r="D354" i="22"/>
  <c r="J354" i="22"/>
  <c r="I354" i="22"/>
  <c r="H354" i="22"/>
  <c r="M328" i="22"/>
  <c r="H332" i="22"/>
  <c r="K332" i="22" s="1"/>
  <c r="F332" i="22"/>
  <c r="E332" i="22"/>
  <c r="D332" i="22"/>
  <c r="J332" i="22"/>
  <c r="M332" i="22" s="1"/>
  <c r="I332" i="22"/>
  <c r="L332" i="22" s="1"/>
  <c r="G345" i="22"/>
  <c r="O335" i="22"/>
  <c r="L335" i="22"/>
  <c r="M335" i="22"/>
  <c r="K335" i="22"/>
  <c r="O343" i="22"/>
  <c r="M343" i="22"/>
  <c r="L343" i="22"/>
  <c r="K343" i="22"/>
  <c r="O383" i="22"/>
  <c r="O384" i="22"/>
  <c r="M384" i="22"/>
  <c r="L384" i="22"/>
  <c r="K384" i="22"/>
  <c r="O361" i="22"/>
  <c r="K361" i="22"/>
  <c r="M361" i="22"/>
  <c r="L361" i="22"/>
  <c r="L371" i="22"/>
  <c r="M350" i="22"/>
  <c r="F352" i="22"/>
  <c r="E352" i="22"/>
  <c r="D352" i="22"/>
  <c r="J352" i="22"/>
  <c r="M352" i="22" s="1"/>
  <c r="I352" i="22"/>
  <c r="L352" i="22" s="1"/>
  <c r="H352" i="22"/>
  <c r="K352" i="22" s="1"/>
  <c r="H334" i="22"/>
  <c r="F334" i="22"/>
  <c r="E334" i="22"/>
  <c r="D334" i="22"/>
  <c r="J334" i="22"/>
  <c r="I334" i="22"/>
  <c r="G324" i="22"/>
  <c r="O314" i="22"/>
  <c r="M314" i="22"/>
  <c r="K314" i="22"/>
  <c r="L314" i="22"/>
  <c r="O315" i="22"/>
  <c r="K315" i="22"/>
  <c r="M315" i="22"/>
  <c r="G313" i="22"/>
  <c r="O313" i="22" s="1"/>
  <c r="O311" i="22"/>
  <c r="G300" i="22"/>
  <c r="G299" i="22"/>
  <c r="O298" i="22"/>
  <c r="L298" i="22"/>
  <c r="K298" i="22"/>
  <c r="M298" i="22"/>
  <c r="O342" i="22"/>
  <c r="L342" i="22"/>
  <c r="K342" i="22"/>
  <c r="M342" i="22"/>
  <c r="O266" i="22"/>
  <c r="L266" i="22"/>
  <c r="K266" i="22"/>
  <c r="M266" i="22"/>
  <c r="O46" i="22"/>
  <c r="M46" i="22"/>
  <c r="K46" i="22"/>
  <c r="L46" i="22"/>
  <c r="G282" i="22"/>
  <c r="O278" i="22"/>
  <c r="L278" i="22"/>
  <c r="G279" i="22"/>
  <c r="G280" i="22" s="1"/>
  <c r="M278" i="22"/>
  <c r="K278" i="22"/>
  <c r="M102" i="23"/>
  <c r="L102" i="23"/>
  <c r="J102" i="23"/>
  <c r="K102" i="23"/>
  <c r="M371" i="22"/>
  <c r="O341" i="22"/>
  <c r="M341" i="22"/>
  <c r="L341" i="22"/>
  <c r="K341" i="22"/>
  <c r="R185" i="29"/>
  <c r="R176" i="29" s="1"/>
  <c r="O319" i="22"/>
  <c r="M319" i="22"/>
  <c r="L319" i="22"/>
  <c r="K319" i="22"/>
  <c r="O318" i="22"/>
  <c r="L318" i="22"/>
  <c r="M318" i="22"/>
  <c r="K318" i="22"/>
  <c r="O321" i="22"/>
  <c r="M321" i="22"/>
  <c r="K321" i="22"/>
  <c r="L321" i="22"/>
  <c r="O320" i="22"/>
  <c r="L320" i="22"/>
  <c r="K320" i="22"/>
  <c r="M320" i="22"/>
  <c r="G312" i="22"/>
  <c r="O312" i="22" s="1"/>
  <c r="O310" i="22"/>
  <c r="G294" i="22"/>
  <c r="O285" i="22"/>
  <c r="M285" i="22"/>
  <c r="L285" i="22"/>
  <c r="K285" i="22"/>
  <c r="G333" i="22"/>
  <c r="O333" i="22" s="1"/>
  <c r="O331" i="22"/>
  <c r="O264" i="22"/>
  <c r="L264" i="22"/>
  <c r="K264" i="22"/>
  <c r="M264" i="22"/>
  <c r="M268" i="22"/>
  <c r="L268" i="22"/>
  <c r="K268" i="22"/>
  <c r="O268" i="22"/>
  <c r="M24" i="22"/>
  <c r="O382" i="22"/>
  <c r="O360" i="22"/>
  <c r="L360" i="22"/>
  <c r="K360" i="22"/>
  <c r="M360" i="22"/>
  <c r="E374" i="22"/>
  <c r="J374" i="22"/>
  <c r="M374" i="22" s="1"/>
  <c r="I374" i="22"/>
  <c r="L374" i="22" s="1"/>
  <c r="H374" i="22"/>
  <c r="K374" i="22" s="1"/>
  <c r="F374" i="22"/>
  <c r="D374" i="22"/>
  <c r="D331" i="22"/>
  <c r="J331" i="22"/>
  <c r="M331" i="22" s="1"/>
  <c r="I331" i="22"/>
  <c r="L331" i="22" s="1"/>
  <c r="H331" i="22"/>
  <c r="K331" i="22" s="1"/>
  <c r="F331" i="22"/>
  <c r="E331" i="22"/>
  <c r="K349" i="22"/>
  <c r="E313" i="22"/>
  <c r="D313" i="22"/>
  <c r="J313" i="22"/>
  <c r="I313" i="22"/>
  <c r="H313" i="22"/>
  <c r="F313" i="22"/>
  <c r="E18" i="38" l="1"/>
  <c r="E19" i="38"/>
  <c r="G18" i="38"/>
  <c r="G19" i="38"/>
  <c r="G15" i="16"/>
  <c r="G16" i="16" s="1"/>
  <c r="G17" i="16" s="1"/>
  <c r="G18" i="16" s="1"/>
  <c r="D21" i="37"/>
  <c r="F21" i="37" s="1"/>
  <c r="G21" i="37" s="1"/>
  <c r="H21" i="37" s="1"/>
  <c r="E15" i="16"/>
  <c r="E16" i="16" s="1"/>
  <c r="E17" i="16" s="1"/>
  <c r="E18" i="16" s="1"/>
  <c r="D25" i="37"/>
  <c r="F25" i="37" s="1"/>
  <c r="G25" i="37" s="1"/>
  <c r="H25" i="37" s="1"/>
  <c r="D25" i="9"/>
  <c r="F25" i="9" s="1"/>
  <c r="D21" i="9"/>
  <c r="F21" i="9" s="1"/>
  <c r="H24" i="9"/>
  <c r="B17" i="14"/>
  <c r="B9" i="14"/>
  <c r="C11" i="14"/>
  <c r="B11" i="14"/>
  <c r="C17" i="14"/>
  <c r="C9" i="14"/>
  <c r="J844" i="23"/>
  <c r="K844" i="23"/>
  <c r="L844" i="23"/>
  <c r="E391" i="4"/>
  <c r="L21" i="22"/>
  <c r="K21" i="22"/>
  <c r="M21" i="22"/>
  <c r="B153" i="20"/>
  <c r="B154" i="20" s="1"/>
  <c r="B155" i="20" s="1"/>
  <c r="B156" i="20" s="1"/>
  <c r="B157" i="20" s="1"/>
  <c r="B158" i="20" s="1"/>
  <c r="B159" i="20" s="1"/>
  <c r="B160" i="20" s="1"/>
  <c r="B161" i="20" s="1"/>
  <c r="B162" i="20" s="1"/>
  <c r="B163" i="20" s="1"/>
  <c r="B164" i="20" s="1"/>
  <c r="B165" i="20" s="1"/>
  <c r="B166" i="20" s="1"/>
  <c r="B167" i="20" s="1"/>
  <c r="B168" i="20" s="1"/>
  <c r="B169" i="20" s="1"/>
  <c r="B150" i="20"/>
  <c r="B151" i="20" s="1"/>
  <c r="B152" i="20" s="1"/>
  <c r="C51" i="22"/>
  <c r="J381" i="22"/>
  <c r="M381" i="22" s="1"/>
  <c r="I381" i="22"/>
  <c r="L381" i="22" s="1"/>
  <c r="H381" i="22"/>
  <c r="K381" i="22" s="1"/>
  <c r="F381" i="22"/>
  <c r="E381" i="22"/>
  <c r="D381" i="22"/>
  <c r="E378" i="22"/>
  <c r="D378" i="22"/>
  <c r="J378" i="22"/>
  <c r="M378" i="22" s="1"/>
  <c r="I378" i="22"/>
  <c r="H378" i="22"/>
  <c r="K378" i="22" s="1"/>
  <c r="F378" i="22"/>
  <c r="E383" i="22"/>
  <c r="D383" i="22"/>
  <c r="F383" i="22"/>
  <c r="J383" i="22"/>
  <c r="M383" i="22" s="1"/>
  <c r="I383" i="22"/>
  <c r="L383" i="22" s="1"/>
  <c r="H383" i="22"/>
  <c r="K383" i="22" s="1"/>
  <c r="O280" i="22"/>
  <c r="K280" i="22"/>
  <c r="L280" i="22"/>
  <c r="M280" i="22"/>
  <c r="O95" i="22"/>
  <c r="K95" i="22"/>
  <c r="L95" i="22"/>
  <c r="M95" i="22"/>
  <c r="C62" i="22"/>
  <c r="C71" i="22" s="1"/>
  <c r="D21" i="6"/>
  <c r="O60" i="22"/>
  <c r="M60" i="22"/>
  <c r="K60" i="22"/>
  <c r="L60" i="22"/>
  <c r="G275" i="22"/>
  <c r="L354" i="22"/>
  <c r="K334" i="22"/>
  <c r="K354" i="22"/>
  <c r="L334" i="22"/>
  <c r="M334" i="22"/>
  <c r="J90" i="23"/>
  <c r="R116" i="29"/>
  <c r="Q188" i="29"/>
  <c r="R188" i="29" s="1"/>
  <c r="R163" i="29"/>
  <c r="Q187" i="29"/>
  <c r="R187" i="29" s="1"/>
  <c r="D229" i="4"/>
  <c r="E235" i="4"/>
  <c r="E227" i="4"/>
  <c r="D235" i="4"/>
  <c r="D227" i="4"/>
  <c r="E229" i="4"/>
  <c r="I310" i="22"/>
  <c r="L310" i="22" s="1"/>
  <c r="L90" i="23"/>
  <c r="F311" i="22"/>
  <c r="H311" i="22"/>
  <c r="K311" i="22" s="1"/>
  <c r="I311" i="22"/>
  <c r="L311" i="22" s="1"/>
  <c r="J311" i="22"/>
  <c r="M311" i="22" s="1"/>
  <c r="D311" i="22"/>
  <c r="M354" i="22"/>
  <c r="F310" i="22"/>
  <c r="H310" i="22"/>
  <c r="K310" i="22" s="1"/>
  <c r="J310" i="22"/>
  <c r="M310" i="22" s="1"/>
  <c r="D310" i="22"/>
  <c r="K90" i="23"/>
  <c r="J373" i="22"/>
  <c r="M373" i="22" s="1"/>
  <c r="E373" i="22"/>
  <c r="D373" i="22"/>
  <c r="F373" i="22"/>
  <c r="I373" i="22"/>
  <c r="L373" i="22" s="1"/>
  <c r="D375" i="22"/>
  <c r="I375" i="22"/>
  <c r="L375" i="22" s="1"/>
  <c r="L313" i="22"/>
  <c r="H375" i="22"/>
  <c r="K375" i="22" s="1"/>
  <c r="K313" i="22"/>
  <c r="J375" i="22"/>
  <c r="M375" i="22" s="1"/>
  <c r="E12" i="22"/>
  <c r="D12" i="22"/>
  <c r="J12" i="22"/>
  <c r="M12" i="22" s="1"/>
  <c r="M15" i="22" s="1"/>
  <c r="I12" i="22"/>
  <c r="L12" i="22" s="1"/>
  <c r="L15" i="22" s="1"/>
  <c r="H12" i="22"/>
  <c r="K12" i="22" s="1"/>
  <c r="K15" i="22" s="1"/>
  <c r="F12" i="22"/>
  <c r="E375" i="22"/>
  <c r="M313" i="22"/>
  <c r="O273" i="22"/>
  <c r="M273" i="22"/>
  <c r="K273" i="22"/>
  <c r="L273" i="22"/>
  <c r="L333" i="22"/>
  <c r="M355" i="22"/>
  <c r="M333" i="22"/>
  <c r="O366" i="22"/>
  <c r="M366" i="22"/>
  <c r="K366" i="22"/>
  <c r="L366" i="22"/>
  <c r="O288" i="22"/>
  <c r="G290" i="22"/>
  <c r="L288" i="22"/>
  <c r="K288" i="22"/>
  <c r="M288" i="22"/>
  <c r="O274" i="22"/>
  <c r="K274" i="22"/>
  <c r="M274" i="22"/>
  <c r="L274" i="22"/>
  <c r="K312" i="22"/>
  <c r="O279" i="22"/>
  <c r="M279" i="22"/>
  <c r="K279" i="22"/>
  <c r="L279" i="22"/>
  <c r="O299" i="22"/>
  <c r="M299" i="22"/>
  <c r="L299" i="22"/>
  <c r="K299" i="22"/>
  <c r="O345" i="22"/>
  <c r="M345" i="22"/>
  <c r="L345" i="22"/>
  <c r="K345" i="22"/>
  <c r="L304" i="22"/>
  <c r="O304" i="22"/>
  <c r="K304" i="22"/>
  <c r="M304" i="22"/>
  <c r="L312" i="22"/>
  <c r="O300" i="22"/>
  <c r="L300" i="22"/>
  <c r="K300" i="22"/>
  <c r="M300" i="22"/>
  <c r="O324" i="22"/>
  <c r="M324" i="22"/>
  <c r="L324" i="22"/>
  <c r="K324" i="22"/>
  <c r="K376" i="22"/>
  <c r="O367" i="22"/>
  <c r="K367" i="22"/>
  <c r="M367" i="22"/>
  <c r="L367" i="22"/>
  <c r="O388" i="22"/>
  <c r="M388" i="22"/>
  <c r="L388" i="22"/>
  <c r="K388" i="22"/>
  <c r="O272" i="22"/>
  <c r="L272" i="22"/>
  <c r="K272" i="22"/>
  <c r="M272" i="22"/>
  <c r="O281" i="22"/>
  <c r="L281" i="22"/>
  <c r="K281" i="22"/>
  <c r="M281" i="22"/>
  <c r="L376" i="22"/>
  <c r="K271" i="22"/>
  <c r="O271" i="22"/>
  <c r="L271" i="22"/>
  <c r="M271" i="22"/>
  <c r="O270" i="22"/>
  <c r="M270" i="22"/>
  <c r="K270" i="22"/>
  <c r="L270" i="22"/>
  <c r="O294" i="22"/>
  <c r="K294" i="22"/>
  <c r="M294" i="22"/>
  <c r="L294" i="22"/>
  <c r="M312" i="22"/>
  <c r="K355" i="22"/>
  <c r="M376" i="22"/>
  <c r="O325" i="22"/>
  <c r="K325" i="22"/>
  <c r="L325" i="22"/>
  <c r="M325" i="22"/>
  <c r="O282" i="22"/>
  <c r="L282" i="22"/>
  <c r="K282" i="22"/>
  <c r="M282" i="22"/>
  <c r="O387" i="22"/>
  <c r="K333" i="22"/>
  <c r="L355" i="22"/>
  <c r="K287" i="22"/>
  <c r="O287" i="22"/>
  <c r="G289" i="22"/>
  <c r="M287" i="22"/>
  <c r="L287" i="22"/>
  <c r="O346" i="22"/>
  <c r="M346" i="22"/>
  <c r="L346" i="22"/>
  <c r="K346" i="22"/>
  <c r="E20" i="38" l="1"/>
  <c r="E21" i="38" s="1"/>
  <c r="G20" i="38"/>
  <c r="G21" i="38" s="1"/>
  <c r="G22" i="38" s="1"/>
  <c r="D15" i="37" s="1"/>
  <c r="D18" i="9"/>
  <c r="D22" i="9"/>
  <c r="G21" i="9"/>
  <c r="F18" i="9"/>
  <c r="G25" i="9"/>
  <c r="F22" i="9"/>
  <c r="C18" i="14"/>
  <c r="E7" i="8" s="1"/>
  <c r="E5" i="8" s="1"/>
  <c r="E4" i="8" s="1"/>
  <c r="B170" i="20"/>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C96" i="22"/>
  <c r="C170" i="22" s="1"/>
  <c r="E387" i="22"/>
  <c r="D387" i="22"/>
  <c r="F387" i="22"/>
  <c r="J387" i="22"/>
  <c r="M387" i="22" s="1"/>
  <c r="I387" i="22"/>
  <c r="L387" i="22" s="1"/>
  <c r="H387" i="22"/>
  <c r="K387" i="22" s="1"/>
  <c r="J382" i="22"/>
  <c r="M382" i="22" s="1"/>
  <c r="I382" i="22"/>
  <c r="L382" i="22" s="1"/>
  <c r="H382" i="22"/>
  <c r="K382" i="22" s="1"/>
  <c r="F382" i="22"/>
  <c r="D382" i="22"/>
  <c r="E382" i="22"/>
  <c r="C218" i="22"/>
  <c r="D20" i="6"/>
  <c r="R175" i="29"/>
  <c r="Q189" i="29"/>
  <c r="R189" i="29" s="1"/>
  <c r="R152" i="29" s="1"/>
  <c r="R153" i="29" s="1"/>
  <c r="R154" i="29" s="1"/>
  <c r="E236" i="4"/>
  <c r="O290" i="22"/>
  <c r="M290" i="22"/>
  <c r="L290" i="22"/>
  <c r="K290" i="22"/>
  <c r="M289" i="22"/>
  <c r="L289" i="22"/>
  <c r="O289" i="22"/>
  <c r="K289" i="22"/>
  <c r="O275" i="22"/>
  <c r="K275" i="22"/>
  <c r="M275" i="22"/>
  <c r="L275" i="22"/>
  <c r="F15" i="37" l="1"/>
  <c r="F14" i="37" s="1"/>
  <c r="E22" i="38"/>
  <c r="D9" i="37" s="1"/>
  <c r="F9" i="37" s="1"/>
  <c r="G23" i="38"/>
  <c r="G24" i="38" s="1"/>
  <c r="E15" i="8"/>
  <c r="E16" i="8" s="1"/>
  <c r="E17" i="8" s="1"/>
  <c r="D9" i="9" s="1"/>
  <c r="F9" i="9" s="1"/>
  <c r="D17" i="9"/>
  <c r="H25" i="9"/>
  <c r="G22" i="9"/>
  <c r="F17" i="9"/>
  <c r="H21" i="9"/>
  <c r="G18" i="9"/>
  <c r="B878" i="20"/>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1042" i="20" s="1"/>
  <c r="B1043" i="20" s="1"/>
  <c r="B1044" i="20" s="1"/>
  <c r="B1045" i="20" s="1"/>
  <c r="B1046" i="20" s="1"/>
  <c r="B1047" i="20" s="1"/>
  <c r="B1048" i="20" s="1"/>
  <c r="B1049" i="20" s="1"/>
  <c r="B1050" i="20" s="1"/>
  <c r="B1051" i="20" s="1"/>
  <c r="B1052" i="20" s="1"/>
  <c r="B1053" i="20" s="1"/>
  <c r="B1054" i="20" s="1"/>
  <c r="B1055" i="20" s="1"/>
  <c r="B1056" i="20" s="1"/>
  <c r="B1057" i="20" s="1"/>
  <c r="B1058" i="20" s="1"/>
  <c r="B1059" i="20" s="1"/>
  <c r="B1060" i="20" s="1"/>
  <c r="B1061" i="20" s="1"/>
  <c r="B1062" i="20" s="1"/>
  <c r="B1063" i="20" s="1"/>
  <c r="B1064" i="20" s="1"/>
  <c r="B1065" i="20" s="1"/>
  <c r="B1066" i="20" s="1"/>
  <c r="B1067" i="20" s="1"/>
  <c r="B1068" i="20" s="1"/>
  <c r="B1069" i="20" s="1"/>
  <c r="B1070" i="20" s="1"/>
  <c r="B1071" i="20" s="1"/>
  <c r="B1072" i="20" s="1"/>
  <c r="B1073" i="20" s="1"/>
  <c r="B1074" i="20" s="1"/>
  <c r="B1075" i="20" s="1"/>
  <c r="B1076" i="20" s="1"/>
  <c r="B1077" i="20" s="1"/>
  <c r="B1078" i="20" s="1"/>
  <c r="B1079" i="20" s="1"/>
  <c r="B1080" i="20" s="1"/>
  <c r="B1081" i="20" s="1"/>
  <c r="B1082" i="20" s="1"/>
  <c r="B1083" i="20" s="1"/>
  <c r="B1084" i="20" s="1"/>
  <c r="B1085" i="20" s="1"/>
  <c r="B1086" i="20" s="1"/>
  <c r="B1087" i="20" s="1"/>
  <c r="B1088" i="20" s="1"/>
  <c r="B1089" i="20" s="1"/>
  <c r="B1090" i="20" s="1"/>
  <c r="B1091" i="20" s="1"/>
  <c r="B1092" i="20" s="1"/>
  <c r="B1093" i="20" s="1"/>
  <c r="B1094" i="20" s="1"/>
  <c r="B1095" i="20" s="1"/>
  <c r="B1096" i="20" s="1"/>
  <c r="B1097" i="20" s="1"/>
  <c r="B1098" i="20" s="1"/>
  <c r="B1099" i="20" s="1"/>
  <c r="B1100" i="20" s="1"/>
  <c r="B1101" i="20" s="1"/>
  <c r="B1102" i="20" s="1"/>
  <c r="B1103" i="20" s="1"/>
  <c r="B1104" i="20" s="1"/>
  <c r="B1105" i="20" s="1"/>
  <c r="B1106" i="20" s="1"/>
  <c r="B1107" i="20" s="1"/>
  <c r="B1108" i="20" s="1"/>
  <c r="B1109" i="20" s="1"/>
  <c r="B1110" i="20" s="1"/>
  <c r="B1111" i="20" s="1"/>
  <c r="B1112" i="20" s="1"/>
  <c r="B1113" i="20" s="1"/>
  <c r="B1114" i="20" s="1"/>
  <c r="B1115" i="20" s="1"/>
  <c r="B1116" i="20" s="1"/>
  <c r="B1117" i="20" s="1"/>
  <c r="B1118" i="20" s="1"/>
  <c r="B1119" i="20" s="1"/>
  <c r="B1120" i="20" s="1"/>
  <c r="B1121" i="20" s="1"/>
  <c r="B1122" i="20" s="1"/>
  <c r="B1123" i="20" s="1"/>
  <c r="B1124" i="20" s="1"/>
  <c r="B1125" i="20" s="1"/>
  <c r="B1126" i="20" s="1"/>
  <c r="B1127" i="20" s="1"/>
  <c r="B1128" i="20" s="1"/>
  <c r="B1129" i="20" s="1"/>
  <c r="B1130" i="20" s="1"/>
  <c r="B1131" i="20" s="1"/>
  <c r="B1132" i="20" s="1"/>
  <c r="B1133" i="20" s="1"/>
  <c r="B1134" i="20" s="1"/>
  <c r="B1135" i="20" s="1"/>
  <c r="B1136" i="20" s="1"/>
  <c r="B1137" i="20" s="1"/>
  <c r="B1138" i="20" s="1"/>
  <c r="B1139" i="20" s="1"/>
  <c r="B1140" i="20" s="1"/>
  <c r="B1141" i="20" s="1"/>
  <c r="B1142" i="20" s="1"/>
  <c r="B1143" i="20" s="1"/>
  <c r="B1144" i="20" s="1"/>
  <c r="B1145" i="20" s="1"/>
  <c r="B1146" i="20" s="1"/>
  <c r="B1147" i="20" s="1"/>
  <c r="B1148" i="20" s="1"/>
  <c r="B1149" i="20" s="1"/>
  <c r="B1150" i="20" s="1"/>
  <c r="B1151" i="20" s="1"/>
  <c r="B1152" i="20" s="1"/>
  <c r="B1153" i="20" s="1"/>
  <c r="B1154" i="20" s="1"/>
  <c r="B1155" i="20" s="1"/>
  <c r="B1156" i="20" s="1"/>
  <c r="B1157" i="20" s="1"/>
  <c r="B1158" i="20" s="1"/>
  <c r="B1159" i="20" s="1"/>
  <c r="B1160" i="20" s="1"/>
  <c r="B1161" i="20" s="1"/>
  <c r="B1162" i="20" s="1"/>
  <c r="B1163" i="20" s="1"/>
  <c r="B1164" i="20" s="1"/>
  <c r="B1165" i="20" s="1"/>
  <c r="B1166" i="20" s="1"/>
  <c r="B1167" i="20" s="1"/>
  <c r="B1168" i="20" s="1"/>
  <c r="B1169" i="20" s="1"/>
  <c r="B1170" i="20" s="1"/>
  <c r="B1171" i="20" s="1"/>
  <c r="B1172" i="20" s="1"/>
  <c r="B1173" i="20" s="1"/>
  <c r="B1174" i="20" s="1"/>
  <c r="B1175" i="20" s="1"/>
  <c r="B1176" i="20" s="1"/>
  <c r="B1177" i="20" s="1"/>
  <c r="B1178" i="20" s="1"/>
  <c r="B1179" i="20" s="1"/>
  <c r="B1180" i="20" s="1"/>
  <c r="B1181" i="20" s="1"/>
  <c r="B1182" i="20" s="1"/>
  <c r="B1183" i="20" s="1"/>
  <c r="B1184" i="20" s="1"/>
  <c r="B1185" i="20" s="1"/>
  <c r="B1186" i="20" s="1"/>
  <c r="B1187" i="20" s="1"/>
  <c r="B1188" i="20" s="1"/>
  <c r="B1189" i="20" s="1"/>
  <c r="B1190" i="20" s="1"/>
  <c r="B1191" i="20" s="1"/>
  <c r="B1192" i="20" s="1"/>
  <c r="B1193" i="20" s="1"/>
  <c r="B1194" i="20" s="1"/>
  <c r="B1195" i="20" s="1"/>
  <c r="B1196" i="20" s="1"/>
  <c r="B1197" i="20" s="1"/>
  <c r="B1198" i="20" s="1"/>
  <c r="B1199" i="20" s="1"/>
  <c r="B1200" i="20" s="1"/>
  <c r="B1201" i="20" s="1"/>
  <c r="B1202" i="20" s="1"/>
  <c r="B1203" i="20" s="1"/>
  <c r="B1204" i="20" s="1"/>
  <c r="B1205" i="20" s="1"/>
  <c r="B1206" i="20" s="1"/>
  <c r="B1207" i="20" s="1"/>
  <c r="B1208" i="20" s="1"/>
  <c r="B1209" i="20" s="1"/>
  <c r="B1210" i="20" s="1"/>
  <c r="B1211" i="20" s="1"/>
  <c r="B1212" i="20" s="1"/>
  <c r="B1213" i="20" s="1"/>
  <c r="B1214" i="20" s="1"/>
  <c r="B1215" i="20" s="1"/>
  <c r="B1216" i="20" s="1"/>
  <c r="B1217" i="20" s="1"/>
  <c r="B1218" i="20" s="1"/>
  <c r="B1219" i="20" s="1"/>
  <c r="B1220" i="20" s="1"/>
  <c r="B1221" i="20" s="1"/>
  <c r="B1222" i="20" s="1"/>
  <c r="B1223" i="20" s="1"/>
  <c r="B1224" i="20" s="1"/>
  <c r="B1225" i="20" s="1"/>
  <c r="B1226" i="20" s="1"/>
  <c r="B1227" i="20" s="1"/>
  <c r="B1228" i="20" s="1"/>
  <c r="B1229" i="20" s="1"/>
  <c r="B1230" i="20" s="1"/>
  <c r="B1231" i="20" s="1"/>
  <c r="B1232" i="20" s="1"/>
  <c r="B1233" i="20" s="1"/>
  <c r="B1234" i="20" s="1"/>
  <c r="B1235" i="20" s="1"/>
  <c r="B1236" i="20" s="1"/>
  <c r="B1237" i="20" s="1"/>
  <c r="B1238" i="20" s="1"/>
  <c r="B1239" i="20" s="1"/>
  <c r="B1240" i="20" s="1"/>
  <c r="B1241" i="20" s="1"/>
  <c r="B1242" i="20" s="1"/>
  <c r="B1243" i="20" s="1"/>
  <c r="B1244" i="20" s="1"/>
  <c r="B1245" i="20" s="1"/>
  <c r="B1246" i="20" s="1"/>
  <c r="B1247" i="20" s="1"/>
  <c r="B1248" i="20" s="1"/>
  <c r="B1249" i="20" s="1"/>
  <c r="B1250" i="20" s="1"/>
  <c r="B1251" i="20" s="1"/>
  <c r="B1252" i="20" s="1"/>
  <c r="B1253" i="20" s="1"/>
  <c r="B1254" i="20" s="1"/>
  <c r="B1255" i="20" s="1"/>
  <c r="B1256" i="20" s="1"/>
  <c r="B1257" i="20" s="1"/>
  <c r="B1258" i="20" s="1"/>
  <c r="B1259" i="20" s="1"/>
  <c r="B1260" i="20" s="1"/>
  <c r="B1261" i="20" s="1"/>
  <c r="B1262" i="20" s="1"/>
  <c r="B1263" i="20" s="1"/>
  <c r="B1264" i="20" s="1"/>
  <c r="B1265" i="20" s="1"/>
  <c r="B1266" i="20" s="1"/>
  <c r="B1267" i="20" s="1"/>
  <c r="B1268" i="20" s="1"/>
  <c r="B1269" i="20" s="1"/>
  <c r="B1270" i="20" s="1"/>
  <c r="B1271" i="20" s="1"/>
  <c r="B1272" i="20" s="1"/>
  <c r="B1273" i="20" s="1"/>
  <c r="B1274" i="20" s="1"/>
  <c r="B1275" i="20" s="1"/>
  <c r="B1276" i="20" s="1"/>
  <c r="B1277" i="20" s="1"/>
  <c r="B1278" i="20" s="1"/>
  <c r="B1279" i="20" s="1"/>
  <c r="B1280" i="20" s="1"/>
  <c r="B1281" i="20" s="1"/>
  <c r="B1282" i="20" s="1"/>
  <c r="B1283" i="20" s="1"/>
  <c r="B1284" i="20" s="1"/>
  <c r="B1285" i="20" s="1"/>
  <c r="B1286" i="20" s="1"/>
  <c r="B1287" i="20" s="1"/>
  <c r="B1288" i="20" s="1"/>
  <c r="B1289" i="20" s="1"/>
  <c r="B1290" i="20" s="1"/>
  <c r="B1291" i="20" s="1"/>
  <c r="B1292" i="20" s="1"/>
  <c r="B1293" i="20" s="1"/>
  <c r="B1294" i="20" s="1"/>
  <c r="B1295" i="20" s="1"/>
  <c r="B1296" i="20" s="1"/>
  <c r="B1297" i="20" s="1"/>
  <c r="B1298" i="20" s="1"/>
  <c r="B1299" i="20" s="1"/>
  <c r="B1300" i="20" s="1"/>
  <c r="B1301" i="20" s="1"/>
  <c r="B1302" i="20" s="1"/>
  <c r="B1303" i="20" s="1"/>
  <c r="B1304" i="20" s="1"/>
  <c r="B1305" i="20" s="1"/>
  <c r="B1306" i="20" s="1"/>
  <c r="B1307" i="20" s="1"/>
  <c r="B1308" i="20" s="1"/>
  <c r="B1309" i="20" s="1"/>
  <c r="B1310" i="20" s="1"/>
  <c r="B1311" i="20" s="1"/>
  <c r="B1312" i="20" s="1"/>
  <c r="B1313" i="20" s="1"/>
  <c r="B1314" i="20" s="1"/>
  <c r="B1315" i="20" s="1"/>
  <c r="B1316" i="20" s="1"/>
  <c r="B1317" i="20" s="1"/>
  <c r="B1318" i="20" s="1"/>
  <c r="B1319" i="20" s="1"/>
  <c r="B1320" i="20" s="1"/>
  <c r="B1321" i="20" s="1"/>
  <c r="B1322" i="20" s="1"/>
  <c r="B1323" i="20" s="1"/>
  <c r="B1324" i="20" s="1"/>
  <c r="B1325" i="20" s="1"/>
  <c r="B1326" i="20" s="1"/>
  <c r="B1327" i="20" s="1"/>
  <c r="B1328" i="20" s="1"/>
  <c r="B1329" i="20" s="1"/>
  <c r="B1330" i="20" s="1"/>
  <c r="B1331" i="20" s="1"/>
  <c r="B1332" i="20" s="1"/>
  <c r="B1333" i="20" s="1"/>
  <c r="B1334" i="20" s="1"/>
  <c r="B1335" i="20" s="1"/>
  <c r="B1336" i="20" s="1"/>
  <c r="B1337" i="20" s="1"/>
  <c r="B1338" i="20" s="1"/>
  <c r="B1339" i="20" s="1"/>
  <c r="B1340" i="20" s="1"/>
  <c r="B1341" i="20" s="1"/>
  <c r="B1342" i="20" s="1"/>
  <c r="B1343" i="20" s="1"/>
  <c r="B1344" i="20" s="1"/>
  <c r="B1345" i="20" s="1"/>
  <c r="B1346" i="20" s="1"/>
  <c r="B1347" i="20" s="1"/>
  <c r="B1348" i="20" s="1"/>
  <c r="B1349" i="20" s="1"/>
  <c r="B1350" i="20" s="1"/>
  <c r="B1351" i="20" s="1"/>
  <c r="B1352" i="20" s="1"/>
  <c r="B1353" i="20" s="1"/>
  <c r="B1354" i="20" s="1"/>
  <c r="B1355" i="20" s="1"/>
  <c r="B1356" i="20" s="1"/>
  <c r="B1357" i="20" s="1"/>
  <c r="B1358" i="20" s="1"/>
  <c r="B1359" i="20" s="1"/>
  <c r="B1360" i="20" s="1"/>
  <c r="B1361" i="20" s="1"/>
  <c r="B1362" i="20" s="1"/>
  <c r="B1363" i="20" s="1"/>
  <c r="B1364" i="20" s="1"/>
  <c r="B1365" i="20" s="1"/>
  <c r="B1366" i="20" s="1"/>
  <c r="B1367" i="20" s="1"/>
  <c r="B1368" i="20" s="1"/>
  <c r="B1369" i="20" s="1"/>
  <c r="B1370" i="20" s="1"/>
  <c r="B1371" i="20" s="1"/>
  <c r="B1372" i="20" s="1"/>
  <c r="B1373" i="20" s="1"/>
  <c r="B1374" i="20" s="1"/>
  <c r="B1375" i="20" s="1"/>
  <c r="B1376" i="20" s="1"/>
  <c r="B1377" i="20" s="1"/>
  <c r="B1378" i="20" s="1"/>
  <c r="B1379" i="20" s="1"/>
  <c r="B1380" i="20" s="1"/>
  <c r="B1381" i="20" s="1"/>
  <c r="B1382" i="20" s="1"/>
  <c r="B1383" i="20" s="1"/>
  <c r="B1384" i="20" s="1"/>
  <c r="B1385" i="20" s="1"/>
  <c r="B1386" i="20" s="1"/>
  <c r="B1387" i="20" s="1"/>
  <c r="B1388" i="20" s="1"/>
  <c r="B1389" i="20" s="1"/>
  <c r="B1390" i="20" s="1"/>
  <c r="B1391" i="20" s="1"/>
  <c r="B1392" i="20" s="1"/>
  <c r="B1393" i="20" s="1"/>
  <c r="B1394" i="20" s="1"/>
  <c r="B1395" i="20" s="1"/>
  <c r="B1396" i="20" s="1"/>
  <c r="B1397" i="20" s="1"/>
  <c r="B1398" i="20" s="1"/>
  <c r="B1399" i="20" s="1"/>
  <c r="B1400" i="20" s="1"/>
  <c r="B1401" i="20" s="1"/>
  <c r="B1402" i="20" s="1"/>
  <c r="B1403" i="20" s="1"/>
  <c r="B1404" i="20" s="1"/>
  <c r="B1405" i="20" s="1"/>
  <c r="B1406" i="20" s="1"/>
  <c r="B1407" i="20" s="1"/>
  <c r="B1408" i="20" s="1"/>
  <c r="B1409" i="20" s="1"/>
  <c r="B1410" i="20" s="1"/>
  <c r="B1411" i="20" s="1"/>
  <c r="B1412" i="20" s="1"/>
  <c r="B1413" i="20" s="1"/>
  <c r="B1414" i="20" s="1"/>
  <c r="B1415" i="20" s="1"/>
  <c r="B1416" i="20" s="1"/>
  <c r="B1417" i="20" s="1"/>
  <c r="B1418" i="20" s="1"/>
  <c r="B1419" i="20" s="1"/>
  <c r="B1420" i="20" s="1"/>
  <c r="B1421" i="20" s="1"/>
  <c r="B1422" i="20" s="1"/>
  <c r="B1423" i="20" s="1"/>
  <c r="B1424" i="20" s="1"/>
  <c r="B1425" i="20" s="1"/>
  <c r="B1426" i="20" s="1"/>
  <c r="B1427" i="20" s="1"/>
  <c r="B1428" i="20" s="1"/>
  <c r="B1429" i="20" s="1"/>
  <c r="C225" i="22"/>
  <c r="M390" i="22"/>
  <c r="L390" i="22"/>
  <c r="K390" i="22"/>
  <c r="J1432" i="20"/>
  <c r="E23" i="38" l="1"/>
  <c r="E24" i="38" s="1"/>
  <c r="J24" i="38" s="1"/>
  <c r="D8" i="37"/>
  <c r="D14" i="37"/>
  <c r="G15" i="37"/>
  <c r="E18" i="8"/>
  <c r="E19" i="8" s="1"/>
  <c r="D8" i="9"/>
  <c r="D7" i="9" s="1"/>
  <c r="D40" i="9" s="1"/>
  <c r="D33" i="9"/>
  <c r="F33" i="9" s="1"/>
  <c r="G33" i="9" s="1"/>
  <c r="H33" i="9" s="1"/>
  <c r="D31" i="9"/>
  <c r="G17" i="9"/>
  <c r="H17" i="9" s="1"/>
  <c r="H22" i="9"/>
  <c r="H18" i="9"/>
  <c r="C25" i="14"/>
  <c r="B25" i="14"/>
  <c r="G9" i="9"/>
  <c r="H9" i="9" s="1"/>
  <c r="F8" i="9"/>
  <c r="F7" i="9" s="1"/>
  <c r="C232" i="22"/>
  <c r="C239" i="22" s="1"/>
  <c r="E243" i="4"/>
  <c r="D243" i="4"/>
  <c r="J1435" i="20"/>
  <c r="D7" i="37" l="1"/>
  <c r="D41" i="37" s="1"/>
  <c r="F41" i="37" s="1"/>
  <c r="G41" i="37" s="1"/>
  <c r="H41" i="37" s="1"/>
  <c r="D49" i="37"/>
  <c r="G9" i="37"/>
  <c r="F8" i="37"/>
  <c r="F7" i="37" s="1"/>
  <c r="G14" i="37"/>
  <c r="D40" i="37"/>
  <c r="G8" i="9"/>
  <c r="H8" i="9" s="1"/>
  <c r="F40" i="9"/>
  <c r="G40" i="9" s="1"/>
  <c r="H40" i="9" s="1"/>
  <c r="C21" i="14"/>
  <c r="B21" i="14"/>
  <c r="C27" i="14"/>
  <c r="C23" i="14"/>
  <c r="B27" i="14"/>
  <c r="B23" i="14"/>
  <c r="C246" i="22"/>
  <c r="E245" i="4"/>
  <c r="D245" i="4"/>
  <c r="E241" i="4"/>
  <c r="D241" i="4"/>
  <c r="D239" i="4"/>
  <c r="E239" i="4"/>
  <c r="L356" i="20"/>
  <c r="D6" i="37" l="1"/>
  <c r="D27" i="37" s="1"/>
  <c r="F27" i="37" s="1"/>
  <c r="G27" i="37" s="1"/>
  <c r="F6" i="37"/>
  <c r="G8" i="37"/>
  <c r="H9" i="37"/>
  <c r="F49" i="37"/>
  <c r="G49" i="37" s="1"/>
  <c r="D39" i="37"/>
  <c r="F40" i="37"/>
  <c r="F39" i="37" s="1"/>
  <c r="H15" i="37"/>
  <c r="C28" i="14"/>
  <c r="C29" i="14" s="1"/>
  <c r="G7" i="9"/>
  <c r="H7" i="9" s="1"/>
  <c r="C262" i="22"/>
  <c r="C268" i="22" s="1"/>
  <c r="C276" i="22" s="1"/>
  <c r="E246" i="4"/>
  <c r="E247" i="4" s="1"/>
  <c r="D33" i="37" l="1"/>
  <c r="F33" i="37" s="1"/>
  <c r="G33" i="37" s="1"/>
  <c r="H33" i="37" s="1"/>
  <c r="D37" i="37"/>
  <c r="F37" i="37" s="1"/>
  <c r="D38" i="37"/>
  <c r="F38" i="37" s="1"/>
  <c r="G38" i="37" s="1"/>
  <c r="H38" i="37" s="1"/>
  <c r="D31" i="37"/>
  <c r="F31" i="37" s="1"/>
  <c r="G31" i="37" s="1"/>
  <c r="H31" i="37" s="1"/>
  <c r="G6" i="37"/>
  <c r="H6" i="37" s="1"/>
  <c r="G7" i="37"/>
  <c r="H7" i="37" s="1"/>
  <c r="H8" i="37"/>
  <c r="G40" i="37"/>
  <c r="H14" i="37"/>
  <c r="H27" i="37"/>
  <c r="G7" i="8"/>
  <c r="G5" i="8" s="1"/>
  <c r="G4" i="8" s="1"/>
  <c r="C6" i="10"/>
  <c r="N21" i="31"/>
  <c r="C31" i="26" s="1"/>
  <c r="C283" i="22"/>
  <c r="C295" i="22" s="1"/>
  <c r="C305" i="22" s="1"/>
  <c r="C31" i="37" l="1"/>
  <c r="F36" i="37"/>
  <c r="G37" i="37"/>
  <c r="H37" i="37" s="1"/>
  <c r="D36" i="37"/>
  <c r="G39" i="37"/>
  <c r="H40" i="37"/>
  <c r="G14" i="8"/>
  <c r="G15" i="8" s="1"/>
  <c r="G16" i="8" s="1"/>
  <c r="G17" i="8" s="1"/>
  <c r="D15" i="9" s="1"/>
  <c r="F15" i="9" s="1"/>
  <c r="E397" i="4"/>
  <c r="C326" i="22"/>
  <c r="H39" i="37" l="1"/>
  <c r="G36" i="37"/>
  <c r="H36" i="37" s="1"/>
  <c r="D14" i="9"/>
  <c r="D39" i="9" s="1"/>
  <c r="G18" i="8"/>
  <c r="G19" i="8" s="1"/>
  <c r="G15" i="9"/>
  <c r="H15" i="9" s="1"/>
  <c r="F14" i="9"/>
  <c r="F6" i="9" s="1"/>
  <c r="C347" i="22"/>
  <c r="C368" i="22" s="1"/>
  <c r="D6" i="9" l="1"/>
  <c r="D29" i="37" s="1"/>
  <c r="F29" i="37" s="1"/>
  <c r="F28" i="37" s="1"/>
  <c r="G14" i="9"/>
  <c r="H14" i="9" s="1"/>
  <c r="F39" i="9"/>
  <c r="F38" i="9" s="1"/>
  <c r="D38" i="9"/>
  <c r="N10" i="31"/>
  <c r="C20" i="26" s="1"/>
  <c r="D17" i="6"/>
  <c r="G6" i="9" l="1"/>
  <c r="H6" i="9" s="1"/>
  <c r="D36" i="9"/>
  <c r="F36" i="9" s="1"/>
  <c r="G36" i="9" s="1"/>
  <c r="H36" i="9" s="1"/>
  <c r="D32" i="9"/>
  <c r="F32" i="9" s="1"/>
  <c r="G32" i="9" s="1"/>
  <c r="H32" i="9" s="1"/>
  <c r="D27" i="9"/>
  <c r="F27" i="9" s="1"/>
  <c r="G27" i="9" s="1"/>
  <c r="D37" i="9"/>
  <c r="F37" i="9" s="1"/>
  <c r="G37" i="9" s="1"/>
  <c r="H37" i="9" s="1"/>
  <c r="D28" i="37"/>
  <c r="G28" i="37" s="1"/>
  <c r="H28" i="37" s="1"/>
  <c r="A8" i="13"/>
  <c r="G29" i="37"/>
  <c r="H29" i="37" s="1"/>
  <c r="G39" i="9"/>
  <c r="H39" i="9" s="1"/>
  <c r="F31" i="9"/>
  <c r="G31" i="9" s="1"/>
  <c r="H31" i="9" s="1"/>
  <c r="C5" i="10"/>
  <c r="C8" i="10" s="1"/>
  <c r="E386" i="4"/>
  <c r="N11" i="31"/>
  <c r="C21" i="26" s="1"/>
  <c r="M10" i="31"/>
  <c r="O10" i="31" s="1"/>
  <c r="B17" i="6"/>
  <c r="D18" i="6"/>
  <c r="D35" i="9" l="1"/>
  <c r="G42" i="37"/>
  <c r="H42" i="37" s="1"/>
  <c r="H27" i="9"/>
  <c r="G38" i="9"/>
  <c r="H38" i="9" s="1"/>
  <c r="B20" i="26"/>
  <c r="C1" i="7"/>
  <c r="F35" i="9"/>
  <c r="D386" i="4"/>
  <c r="E387" i="4"/>
  <c r="B18" i="6"/>
  <c r="M11" i="31"/>
  <c r="C1" i="4"/>
  <c r="E17" i="6"/>
  <c r="G35" i="9" l="1"/>
  <c r="H35" i="9" s="1"/>
  <c r="B19" i="6"/>
  <c r="O11" i="31"/>
  <c r="B21" i="26" s="1"/>
  <c r="M12" i="31"/>
  <c r="E18" i="6"/>
  <c r="C1" i="2" s="1"/>
  <c r="D387" i="4" l="1"/>
  <c r="E19" i="6"/>
  <c r="C1" i="11" s="1"/>
  <c r="B20" i="6"/>
  <c r="M13" i="31"/>
  <c r="O12" i="31"/>
  <c r="B22" i="26" s="1"/>
  <c r="C1" i="23"/>
  <c r="C264" i="4"/>
  <c r="Q2" i="31"/>
  <c r="Q4" i="31" s="1"/>
  <c r="B15" i="31" s="1"/>
  <c r="C5" i="13" s="1"/>
  <c r="A4" i="13" l="1"/>
  <c r="A5" i="13"/>
  <c r="A7" i="13"/>
  <c r="D388" i="4"/>
  <c r="O13" i="31"/>
  <c r="B23" i="26" s="1"/>
  <c r="M14" i="31"/>
  <c r="O14" i="31" s="1"/>
  <c r="B24" i="26" s="1"/>
  <c r="C1" i="22"/>
  <c r="E20" i="6"/>
  <c r="C1" i="19" s="1"/>
  <c r="B21" i="6"/>
  <c r="E261" i="4"/>
  <c r="C263" i="4"/>
  <c r="C261" i="4"/>
  <c r="C260" i="4"/>
  <c r="C29" i="9" l="1"/>
  <c r="D29" i="9"/>
  <c r="D28" i="9" s="1"/>
  <c r="D389" i="4"/>
  <c r="D390" i="4"/>
  <c r="N20" i="31"/>
  <c r="C30" i="26" s="1"/>
  <c r="M15" i="31"/>
  <c r="B22" i="6"/>
  <c r="B23" i="6" s="1"/>
  <c r="C1" i="29"/>
  <c r="E21" i="6"/>
  <c r="D26" i="6"/>
  <c r="E64" i="4"/>
  <c r="F29" i="9" l="1"/>
  <c r="F28" i="9" s="1"/>
  <c r="O15" i="31"/>
  <c r="C112" i="4" s="1"/>
  <c r="M16" i="31"/>
  <c r="E396" i="4"/>
  <c r="M22" i="31"/>
  <c r="O22" i="31" s="1"/>
  <c r="B32" i="26" s="1"/>
  <c r="M25" i="31"/>
  <c r="O25" i="31" s="1"/>
  <c r="B35" i="26" s="1"/>
  <c r="E22" i="6"/>
  <c r="B24" i="6"/>
  <c r="E23" i="6"/>
  <c r="B29" i="6"/>
  <c r="B28" i="6"/>
  <c r="B27" i="6"/>
  <c r="G29" i="9" l="1"/>
  <c r="D391" i="4"/>
  <c r="A1" i="15"/>
  <c r="B25" i="26"/>
  <c r="O16" i="31"/>
  <c r="M17" i="31"/>
  <c r="D401" i="4"/>
  <c r="D398" i="4"/>
  <c r="M23" i="31"/>
  <c r="O23" i="31" s="1"/>
  <c r="B33" i="26" s="1"/>
  <c r="B25" i="6"/>
  <c r="E24" i="6"/>
  <c r="E28" i="6"/>
  <c r="E29" i="6"/>
  <c r="E27" i="6"/>
  <c r="H29" i="9" l="1"/>
  <c r="G28" i="9"/>
  <c r="D8" i="10" s="1"/>
  <c r="O17" i="31"/>
  <c r="B27" i="26" s="1"/>
  <c r="M18" i="31"/>
  <c r="B26" i="26"/>
  <c r="D392" i="4"/>
  <c r="C196" i="4"/>
  <c r="A1" i="16"/>
  <c r="D399" i="4"/>
  <c r="M24" i="31"/>
  <c r="O24" i="31" s="1"/>
  <c r="B34" i="26" s="1"/>
  <c r="E25" i="6"/>
  <c r="B26" i="6"/>
  <c r="H28" i="9" l="1"/>
  <c r="G41" i="9"/>
  <c r="H41" i="9" s="1"/>
  <c r="D393" i="4"/>
  <c r="B1" i="12"/>
  <c r="C131" i="4"/>
  <c r="O18" i="31"/>
  <c r="M19" i="31"/>
  <c r="D400" i="4"/>
  <c r="E26" i="6"/>
  <c r="E8" i="10" l="1"/>
  <c r="F8" i="10" s="1"/>
  <c r="B28" i="26"/>
  <c r="D394" i="4"/>
  <c r="C284" i="4"/>
  <c r="O19" i="31"/>
  <c r="M20" i="31"/>
  <c r="O20" i="31" l="1"/>
  <c r="M21" i="31"/>
  <c r="O21" i="31" s="1"/>
  <c r="D395" i="4"/>
  <c r="B29" i="26"/>
  <c r="C272" i="4"/>
  <c r="A1" i="14" l="1"/>
  <c r="B1" i="20"/>
  <c r="B31" i="26"/>
  <c r="D397" i="4"/>
  <c r="C219" i="4"/>
  <c r="A1" i="13"/>
  <c r="C257" i="4"/>
  <c r="B30" i="26"/>
  <c r="D396" i="4"/>
  <c r="AA376" i="1" l="1"/>
  <c r="AA384" i="1"/>
  <c r="AA400" i="1"/>
  <c r="AA408" i="1"/>
  <c r="AA377" i="1"/>
  <c r="AA385" i="1"/>
  <c r="AA393" i="1"/>
  <c r="AA401" i="1"/>
  <c r="AA378" i="1"/>
  <c r="AA386" i="1"/>
  <c r="AA394" i="1"/>
  <c r="AA402" i="1"/>
  <c r="AA379" i="1"/>
  <c r="AA387" i="1"/>
  <c r="AA395" i="1"/>
  <c r="AA403" i="1"/>
  <c r="AA380" i="1"/>
  <c r="AA388" i="1"/>
  <c r="AA396" i="1"/>
  <c r="AA404" i="1"/>
  <c r="AA373" i="1"/>
  <c r="AA381" i="1"/>
  <c r="AA389" i="1"/>
  <c r="AA397" i="1"/>
  <c r="AA405" i="1"/>
  <c r="AA374" i="1"/>
  <c r="AA382" i="1"/>
  <c r="AA390" i="1"/>
  <c r="AA398" i="1"/>
  <c r="AA406" i="1"/>
  <c r="AA375" i="1"/>
  <c r="AA383" i="1"/>
  <c r="AA391" i="1"/>
  <c r="AA399" i="1"/>
  <c r="AA407" i="1"/>
  <c r="AA192" i="1" l="1"/>
  <c r="AA424" i="1"/>
  <c r="AA488" i="1"/>
  <c r="AA552" i="1"/>
  <c r="AA616" i="1"/>
  <c r="AA680" i="1"/>
  <c r="AA744" i="1"/>
  <c r="AA808" i="1"/>
  <c r="AA872" i="1"/>
  <c r="AA936" i="1"/>
  <c r="AA1000" i="1"/>
  <c r="AA281" i="1"/>
  <c r="AA425" i="1"/>
  <c r="AA489" i="1"/>
  <c r="AA553" i="1"/>
  <c r="AA617" i="1"/>
  <c r="AA681" i="1"/>
  <c r="AA745" i="1"/>
  <c r="AA26" i="1"/>
  <c r="AA458" i="1"/>
  <c r="AA522" i="1"/>
  <c r="AA586" i="1"/>
  <c r="AA650" i="1"/>
  <c r="AA714" i="1"/>
  <c r="AA778" i="1"/>
  <c r="AA842" i="1"/>
  <c r="AA75" i="1"/>
  <c r="AA451" i="1"/>
  <c r="AA515" i="1"/>
  <c r="AA579" i="1"/>
  <c r="AA643" i="1"/>
  <c r="AA707" i="1"/>
  <c r="AA771" i="1"/>
  <c r="AA835" i="1"/>
  <c r="AA899" i="1"/>
  <c r="AA20" i="1"/>
  <c r="AA460" i="1"/>
  <c r="AA524" i="1"/>
  <c r="AA588" i="1"/>
  <c r="AA652" i="1"/>
  <c r="AA716" i="1"/>
  <c r="AA780" i="1"/>
  <c r="AA844" i="1"/>
  <c r="AA908" i="1"/>
  <c r="AA21" i="1"/>
  <c r="AA445" i="1"/>
  <c r="AA509" i="1"/>
  <c r="AA573" i="1"/>
  <c r="AA637" i="1"/>
  <c r="AA701" i="1"/>
  <c r="AA765" i="1"/>
  <c r="AA829" i="1"/>
  <c r="AA893" i="1"/>
  <c r="AA957" i="1"/>
  <c r="AA134" i="1"/>
  <c r="AA470" i="1"/>
  <c r="AA534" i="1"/>
  <c r="AA598" i="1"/>
  <c r="AA662" i="1"/>
  <c r="AA726" i="1"/>
  <c r="AA790" i="1"/>
  <c r="AA854" i="1"/>
  <c r="AA918" i="1"/>
  <c r="AA982" i="1"/>
  <c r="AA471" i="1"/>
  <c r="AA535" i="1"/>
  <c r="AA881" i="1"/>
  <c r="AA1009" i="1"/>
  <c r="AA1074" i="1"/>
  <c r="AA1138" i="1"/>
  <c r="AA1202" i="1"/>
  <c r="AA1266" i="1"/>
  <c r="AA1330" i="1"/>
  <c r="AA655" i="1"/>
  <c r="AA946" i="1"/>
  <c r="AA1035" i="1"/>
  <c r="AA1099" i="1"/>
  <c r="AA1163" i="1"/>
  <c r="AA1227" i="1"/>
  <c r="AA1291" i="1"/>
  <c r="AA248" i="1"/>
  <c r="AA432" i="1"/>
  <c r="AA496" i="1"/>
  <c r="AA560" i="1"/>
  <c r="AA624" i="1"/>
  <c r="AA688" i="1"/>
  <c r="AA752" i="1"/>
  <c r="AA816" i="1"/>
  <c r="AA880" i="1"/>
  <c r="AA944" i="1"/>
  <c r="AA1008" i="1"/>
  <c r="AA345" i="1"/>
  <c r="AA433" i="1"/>
  <c r="AA497" i="1"/>
  <c r="AA561" i="1"/>
  <c r="AA625" i="1"/>
  <c r="AA689" i="1"/>
  <c r="AA753" i="1"/>
  <c r="AA42" i="1"/>
  <c r="AA466" i="1"/>
  <c r="AA530" i="1"/>
  <c r="AA594" i="1"/>
  <c r="AA658" i="1"/>
  <c r="AA722" i="1"/>
  <c r="AA786" i="1"/>
  <c r="AA850" i="1"/>
  <c r="AA99" i="1"/>
  <c r="AA459" i="1"/>
  <c r="AA523" i="1"/>
  <c r="AA587" i="1"/>
  <c r="AA651" i="1"/>
  <c r="AA715" i="1"/>
  <c r="AA779" i="1"/>
  <c r="AA843" i="1"/>
  <c r="AA907" i="1"/>
  <c r="AA60" i="1"/>
  <c r="AA468" i="1"/>
  <c r="AA532" i="1"/>
  <c r="AA596" i="1"/>
  <c r="AA660" i="1"/>
  <c r="AA724" i="1"/>
  <c r="AA788" i="1"/>
  <c r="AA852" i="1"/>
  <c r="AA916" i="1"/>
  <c r="AA61" i="1"/>
  <c r="AA453" i="1"/>
  <c r="AA517" i="1"/>
  <c r="AA581" i="1"/>
  <c r="AA645" i="1"/>
  <c r="AA709" i="1"/>
  <c r="AA773" i="1"/>
  <c r="AA837" i="1"/>
  <c r="AA901" i="1"/>
  <c r="AA965" i="1"/>
  <c r="AA190" i="1"/>
  <c r="AA414" i="1"/>
  <c r="AA478" i="1"/>
  <c r="AA542" i="1"/>
  <c r="AA606" i="1"/>
  <c r="AA670" i="1"/>
  <c r="AA734" i="1"/>
  <c r="AA798" i="1"/>
  <c r="AA862" i="1"/>
  <c r="AA926" i="1"/>
  <c r="AA135" i="1"/>
  <c r="AA415" i="1"/>
  <c r="AA479" i="1"/>
  <c r="AA543" i="1"/>
  <c r="AA903" i="1"/>
  <c r="AA1018" i="1"/>
  <c r="AA1082" i="1"/>
  <c r="AA1146" i="1"/>
  <c r="AA1210" i="1"/>
  <c r="AA1274" i="1"/>
  <c r="AA1338" i="1"/>
  <c r="AA1347" i="1"/>
  <c r="AA879" i="1"/>
  <c r="AA719" i="1"/>
  <c r="AA967" i="1"/>
  <c r="AA1043" i="1"/>
  <c r="AA1107" i="1"/>
  <c r="AA440" i="1"/>
  <c r="AA504" i="1"/>
  <c r="AA568" i="1"/>
  <c r="AA632" i="1"/>
  <c r="AA696" i="1"/>
  <c r="AA760" i="1"/>
  <c r="AA824" i="1"/>
  <c r="AA888" i="1"/>
  <c r="AA952" i="1"/>
  <c r="AA1016" i="1"/>
  <c r="AA441" i="1"/>
  <c r="AA505" i="1"/>
  <c r="AA569" i="1"/>
  <c r="AA633" i="1"/>
  <c r="AA697" i="1"/>
  <c r="AA761" i="1"/>
  <c r="AA98" i="1"/>
  <c r="AA410" i="1"/>
  <c r="AA474" i="1"/>
  <c r="AA538" i="1"/>
  <c r="AA602" i="1"/>
  <c r="AA666" i="1"/>
  <c r="AA730" i="1"/>
  <c r="AA794" i="1"/>
  <c r="AA858" i="1"/>
  <c r="AA131" i="1"/>
  <c r="AA467" i="1"/>
  <c r="AA531" i="1"/>
  <c r="AA595" i="1"/>
  <c r="AA659" i="1"/>
  <c r="AA723" i="1"/>
  <c r="AA787" i="1"/>
  <c r="AA851" i="1"/>
  <c r="AA915" i="1"/>
  <c r="AA92" i="1"/>
  <c r="AA412" i="1"/>
  <c r="AA476" i="1"/>
  <c r="AA540" i="1"/>
  <c r="AA604" i="1"/>
  <c r="AA668" i="1"/>
  <c r="AA732" i="1"/>
  <c r="AA796" i="1"/>
  <c r="AA860" i="1"/>
  <c r="AA924" i="1"/>
  <c r="AA93" i="1"/>
  <c r="AA448" i="1"/>
  <c r="AA512" i="1"/>
  <c r="AA576" i="1"/>
  <c r="AA640" i="1"/>
  <c r="AA704" i="1"/>
  <c r="AA768" i="1"/>
  <c r="AA832" i="1"/>
  <c r="AA896" i="1"/>
  <c r="AA960" i="1"/>
  <c r="AA89" i="1"/>
  <c r="AA449" i="1"/>
  <c r="AA513" i="1"/>
  <c r="AA577" i="1"/>
  <c r="AA641" i="1"/>
  <c r="AA705" i="1"/>
  <c r="AA769" i="1"/>
  <c r="AA130" i="1"/>
  <c r="AA418" i="1"/>
  <c r="AA482" i="1"/>
  <c r="AA546" i="1"/>
  <c r="AA610" i="1"/>
  <c r="AA674" i="1"/>
  <c r="AA738" i="1"/>
  <c r="AA802" i="1"/>
  <c r="AA866" i="1"/>
  <c r="AA203" i="1"/>
  <c r="AA411" i="1"/>
  <c r="AA475" i="1"/>
  <c r="AA539" i="1"/>
  <c r="AA603" i="1"/>
  <c r="AA667" i="1"/>
  <c r="AA731" i="1"/>
  <c r="AA795" i="1"/>
  <c r="AA859" i="1"/>
  <c r="AA923" i="1"/>
  <c r="AA100" i="1"/>
  <c r="AA420" i="1"/>
  <c r="AA484" i="1"/>
  <c r="AA548" i="1"/>
  <c r="AA612" i="1"/>
  <c r="AA676" i="1"/>
  <c r="AA740" i="1"/>
  <c r="AA804" i="1"/>
  <c r="AA868" i="1"/>
  <c r="AA932" i="1"/>
  <c r="AA133" i="1"/>
  <c r="AA469" i="1"/>
  <c r="AA533" i="1"/>
  <c r="AA597" i="1"/>
  <c r="AA661" i="1"/>
  <c r="AA725" i="1"/>
  <c r="AA789" i="1"/>
  <c r="AA853" i="1"/>
  <c r="AA917" i="1"/>
  <c r="AA981" i="1"/>
  <c r="AA358" i="1"/>
  <c r="AA430" i="1"/>
  <c r="AA494" i="1"/>
  <c r="AA558" i="1"/>
  <c r="AA622" i="1"/>
  <c r="AA686" i="1"/>
  <c r="AA750" i="1"/>
  <c r="AA814" i="1"/>
  <c r="AA878" i="1"/>
  <c r="AA942" i="1"/>
  <c r="AA359" i="1"/>
  <c r="AA431" i="1"/>
  <c r="AA495" i="1"/>
  <c r="AA647" i="1"/>
  <c r="AA945" i="1"/>
  <c r="AA1034" i="1"/>
  <c r="AA1098" i="1"/>
  <c r="AA1162" i="1"/>
  <c r="AA1226" i="1"/>
  <c r="AA1290" i="1"/>
  <c r="AA1354" i="1"/>
  <c r="AA1049" i="1"/>
  <c r="AA823" i="1"/>
  <c r="AA991" i="1"/>
  <c r="AA1059" i="1"/>
  <c r="AA1123" i="1"/>
  <c r="AA1187" i="1"/>
  <c r="AA1251" i="1"/>
  <c r="AA392" i="1"/>
  <c r="AA456" i="1"/>
  <c r="AA520" i="1"/>
  <c r="AA584" i="1"/>
  <c r="AA648" i="1"/>
  <c r="AA712" i="1"/>
  <c r="AA776" i="1"/>
  <c r="AA840" i="1"/>
  <c r="AA904" i="1"/>
  <c r="AA968" i="1"/>
  <c r="AA97" i="1"/>
  <c r="AA457" i="1"/>
  <c r="AA521" i="1"/>
  <c r="AA585" i="1"/>
  <c r="AA649" i="1"/>
  <c r="AA713" i="1"/>
  <c r="AA777" i="1"/>
  <c r="AA202" i="1"/>
  <c r="AA426" i="1"/>
  <c r="AA490" i="1"/>
  <c r="AA554" i="1"/>
  <c r="AA618" i="1"/>
  <c r="AA682" i="1"/>
  <c r="AA746" i="1"/>
  <c r="AA810" i="1"/>
  <c r="AA874" i="1"/>
  <c r="AA211" i="1"/>
  <c r="AA419" i="1"/>
  <c r="AA483" i="1"/>
  <c r="AA547" i="1"/>
  <c r="AA611" i="1"/>
  <c r="AA675" i="1"/>
  <c r="AA739" i="1"/>
  <c r="AA803" i="1"/>
  <c r="AA867" i="1"/>
  <c r="AA931" i="1"/>
  <c r="AA132" i="1"/>
  <c r="AA428" i="1"/>
  <c r="AA492" i="1"/>
  <c r="AA556" i="1"/>
  <c r="AA620" i="1"/>
  <c r="AA684" i="1"/>
  <c r="AA748" i="1"/>
  <c r="AA812" i="1"/>
  <c r="AA876" i="1"/>
  <c r="AA940" i="1"/>
  <c r="AA157" i="1"/>
  <c r="AA413" i="1"/>
  <c r="AA477" i="1"/>
  <c r="AA541" i="1"/>
  <c r="AA605" i="1"/>
  <c r="AA669" i="1"/>
  <c r="AA733" i="1"/>
  <c r="AA797" i="1"/>
  <c r="AA861" i="1"/>
  <c r="AA925" i="1"/>
  <c r="AA989" i="1"/>
  <c r="AA438" i="1"/>
  <c r="AA502" i="1"/>
  <c r="AA566" i="1"/>
  <c r="AA630" i="1"/>
  <c r="AA694" i="1"/>
  <c r="AA758" i="1"/>
  <c r="AA822" i="1"/>
  <c r="AA886" i="1"/>
  <c r="AA464" i="1"/>
  <c r="AA528" i="1"/>
  <c r="AA592" i="1"/>
  <c r="AA656" i="1"/>
  <c r="AA720" i="1"/>
  <c r="AA784" i="1"/>
  <c r="AA848" i="1"/>
  <c r="AA912" i="1"/>
  <c r="AA976" i="1"/>
  <c r="AA129" i="1"/>
  <c r="AA465" i="1"/>
  <c r="AA529" i="1"/>
  <c r="AA593" i="1"/>
  <c r="AA657" i="1"/>
  <c r="AA721" i="1"/>
  <c r="AA785" i="1"/>
  <c r="AA250" i="1"/>
  <c r="AA434" i="1"/>
  <c r="AA498" i="1"/>
  <c r="AA562" i="1"/>
  <c r="AA626" i="1"/>
  <c r="AA690" i="1"/>
  <c r="AA754" i="1"/>
  <c r="AA818" i="1"/>
  <c r="AA19" i="1"/>
  <c r="AA283" i="1"/>
  <c r="AA427" i="1"/>
  <c r="AA491" i="1"/>
  <c r="AA555" i="1"/>
  <c r="AA619" i="1"/>
  <c r="AA683" i="1"/>
  <c r="AA747" i="1"/>
  <c r="AA811" i="1"/>
  <c r="AA875" i="1"/>
  <c r="AA939" i="1"/>
  <c r="AA356" i="1"/>
  <c r="AA436" i="1"/>
  <c r="AA500" i="1"/>
  <c r="AA564" i="1"/>
  <c r="AA628" i="1"/>
  <c r="AA692" i="1"/>
  <c r="AA756" i="1"/>
  <c r="AA820" i="1"/>
  <c r="AA884" i="1"/>
  <c r="AA948" i="1"/>
  <c r="AA189" i="1"/>
  <c r="AA421" i="1"/>
  <c r="AA485" i="1"/>
  <c r="AA549" i="1"/>
  <c r="AA613" i="1"/>
  <c r="AA677" i="1"/>
  <c r="AA741" i="1"/>
  <c r="AA805" i="1"/>
  <c r="AA869" i="1"/>
  <c r="AA933" i="1"/>
  <c r="AA22" i="1"/>
  <c r="AA446" i="1"/>
  <c r="AA510" i="1"/>
  <c r="AA574" i="1"/>
  <c r="AA638" i="1"/>
  <c r="AA702" i="1"/>
  <c r="AA766" i="1"/>
  <c r="AA830" i="1"/>
  <c r="AA894" i="1"/>
  <c r="AA958" i="1"/>
  <c r="AA447" i="1"/>
  <c r="AA511" i="1"/>
  <c r="AA775" i="1"/>
  <c r="AA978" i="1"/>
  <c r="AA1050" i="1"/>
  <c r="AA1114" i="1"/>
  <c r="AA1178" i="1"/>
  <c r="AA1242" i="1"/>
  <c r="AA1306" i="1"/>
  <c r="AA1370" i="1"/>
  <c r="AA1161" i="1"/>
  <c r="AA882" i="1"/>
  <c r="AA1010" i="1"/>
  <c r="AA1075" i="1"/>
  <c r="AA1139" i="1"/>
  <c r="AA1203" i="1"/>
  <c r="AA1267" i="1"/>
  <c r="AA1331" i="1"/>
  <c r="AA962" i="1"/>
  <c r="AA791" i="1"/>
  <c r="AA472" i="1"/>
  <c r="AA536" i="1"/>
  <c r="AA600" i="1"/>
  <c r="AA664" i="1"/>
  <c r="AA728" i="1"/>
  <c r="AA792" i="1"/>
  <c r="AA856" i="1"/>
  <c r="AA920" i="1"/>
  <c r="AA984" i="1"/>
  <c r="AA201" i="1"/>
  <c r="AA409" i="1"/>
  <c r="AA473" i="1"/>
  <c r="AA537" i="1"/>
  <c r="AA601" i="1"/>
  <c r="AA665" i="1"/>
  <c r="AA729" i="1"/>
  <c r="AA793" i="1"/>
  <c r="AA442" i="1"/>
  <c r="AA506" i="1"/>
  <c r="AA570" i="1"/>
  <c r="AA634" i="1"/>
  <c r="AA698" i="1"/>
  <c r="AA762" i="1"/>
  <c r="AA826" i="1"/>
  <c r="AA43" i="1"/>
  <c r="AA355" i="1"/>
  <c r="AA435" i="1"/>
  <c r="AA499" i="1"/>
  <c r="AA563" i="1"/>
  <c r="AA627" i="1"/>
  <c r="AA691" i="1"/>
  <c r="AA755" i="1"/>
  <c r="AA819" i="1"/>
  <c r="AA883" i="1"/>
  <c r="AA947" i="1"/>
  <c r="AA444" i="1"/>
  <c r="AA508" i="1"/>
  <c r="AA572" i="1"/>
  <c r="AA636" i="1"/>
  <c r="AA700" i="1"/>
  <c r="AA764" i="1"/>
  <c r="AA828" i="1"/>
  <c r="AA892" i="1"/>
  <c r="AA956" i="1"/>
  <c r="AA357" i="1"/>
  <c r="AA429" i="1"/>
  <c r="AA493" i="1"/>
  <c r="AA557" i="1"/>
  <c r="AA621" i="1"/>
  <c r="AA685" i="1"/>
  <c r="AA749" i="1"/>
  <c r="AA813" i="1"/>
  <c r="AA877" i="1"/>
  <c r="AA941" i="1"/>
  <c r="AA86" i="1"/>
  <c r="AA454" i="1"/>
  <c r="AA518" i="1"/>
  <c r="AA582" i="1"/>
  <c r="AA646" i="1"/>
  <c r="AA710" i="1"/>
  <c r="AA774" i="1"/>
  <c r="AA838" i="1"/>
  <c r="AA902" i="1"/>
  <c r="AA966" i="1"/>
  <c r="AA455" i="1"/>
  <c r="AA519" i="1"/>
  <c r="AA817" i="1"/>
  <c r="AA990" i="1"/>
  <c r="AA1058" i="1"/>
  <c r="AA1122" i="1"/>
  <c r="AA1186" i="1"/>
  <c r="AA1250" i="1"/>
  <c r="AA1314" i="1"/>
  <c r="AA1217" i="1"/>
  <c r="AA905" i="1"/>
  <c r="AA1019" i="1"/>
  <c r="AA1083" i="1"/>
  <c r="AA416" i="1"/>
  <c r="AA480" i="1"/>
  <c r="AA544" i="1"/>
  <c r="AA608" i="1"/>
  <c r="AA672" i="1"/>
  <c r="AA736" i="1"/>
  <c r="AA800" i="1"/>
  <c r="AA864" i="1"/>
  <c r="AA928" i="1"/>
  <c r="AA992" i="1"/>
  <c r="AA249" i="1"/>
  <c r="AA417" i="1"/>
  <c r="AA481" i="1"/>
  <c r="AA545" i="1"/>
  <c r="AA609" i="1"/>
  <c r="AA673" i="1"/>
  <c r="AA737" i="1"/>
  <c r="AA18" i="1"/>
  <c r="AA450" i="1"/>
  <c r="AA514" i="1"/>
  <c r="AA578" i="1"/>
  <c r="AA642" i="1"/>
  <c r="AA706" i="1"/>
  <c r="AA770" i="1"/>
  <c r="AA834" i="1"/>
  <c r="AA59" i="1"/>
  <c r="AA443" i="1"/>
  <c r="AA507" i="1"/>
  <c r="AA571" i="1"/>
  <c r="AA635" i="1"/>
  <c r="AA699" i="1"/>
  <c r="AA763" i="1"/>
  <c r="AA827" i="1"/>
  <c r="AA891" i="1"/>
  <c r="AA955" i="1"/>
  <c r="AA452" i="1"/>
  <c r="AA516" i="1"/>
  <c r="AA580" i="1"/>
  <c r="AA644" i="1"/>
  <c r="AA708" i="1"/>
  <c r="AA772" i="1"/>
  <c r="AA836" i="1"/>
  <c r="AA900" i="1"/>
  <c r="AA964" i="1"/>
  <c r="AA437" i="1"/>
  <c r="AA501" i="1"/>
  <c r="AA565" i="1"/>
  <c r="AA629" i="1"/>
  <c r="AA693" i="1"/>
  <c r="AA757" i="1"/>
  <c r="AA821" i="1"/>
  <c r="AA885" i="1"/>
  <c r="AA949" i="1"/>
  <c r="AA102" i="1"/>
  <c r="AA462" i="1"/>
  <c r="AA526" i="1"/>
  <c r="AA590" i="1"/>
  <c r="AA654" i="1"/>
  <c r="AA718" i="1"/>
  <c r="AA782" i="1"/>
  <c r="AA846" i="1"/>
  <c r="AA910" i="1"/>
  <c r="AA974" i="1"/>
  <c r="AA463" i="1"/>
  <c r="AA527" i="1"/>
  <c r="AA849" i="1"/>
  <c r="AA999" i="1"/>
  <c r="AA1066" i="1"/>
  <c r="AA1130" i="1"/>
  <c r="AA1194" i="1"/>
  <c r="AA1258" i="1"/>
  <c r="AA1322" i="1"/>
  <c r="AA591" i="1"/>
  <c r="AA927" i="1"/>
  <c r="AA1027" i="1"/>
  <c r="AA1091" i="1"/>
  <c r="AA1155" i="1"/>
  <c r="AA1219" i="1"/>
  <c r="AA1283" i="1"/>
  <c r="AA909" i="1"/>
  <c r="AA422" i="1"/>
  <c r="AA934" i="1"/>
  <c r="AA423" i="1"/>
  <c r="AA1026" i="1"/>
  <c r="AA1282" i="1"/>
  <c r="AA988" i="1"/>
  <c r="AA1115" i="1"/>
  <c r="AA1243" i="1"/>
  <c r="AA1355" i="1"/>
  <c r="AA1153" i="1"/>
  <c r="AA906" i="1"/>
  <c r="AA1020" i="1"/>
  <c r="AA1084" i="1"/>
  <c r="AA1148" i="1"/>
  <c r="AA1212" i="1"/>
  <c r="AA1276" i="1"/>
  <c r="AA1340" i="1"/>
  <c r="AA1360" i="1"/>
  <c r="AA1193" i="1"/>
  <c r="AA889" i="1"/>
  <c r="AA1012" i="1"/>
  <c r="AA1077" i="1"/>
  <c r="AA1141" i="1"/>
  <c r="AA1205" i="1"/>
  <c r="AA1269" i="1"/>
  <c r="AA1333" i="1"/>
  <c r="AA1352" i="1"/>
  <c r="AA1225" i="1"/>
  <c r="AA890" i="1"/>
  <c r="AA1013" i="1"/>
  <c r="AA1078" i="1"/>
  <c r="AA1142" i="1"/>
  <c r="AA1206" i="1"/>
  <c r="AA1270" i="1"/>
  <c r="AA1334" i="1"/>
  <c r="AA1089" i="1"/>
  <c r="AA807" i="1"/>
  <c r="AA986" i="1"/>
  <c r="AA1055" i="1"/>
  <c r="AA1119" i="1"/>
  <c r="AA1183" i="1"/>
  <c r="AA1247" i="1"/>
  <c r="AA1311" i="1"/>
  <c r="AA567" i="1"/>
  <c r="AA919" i="1"/>
  <c r="AA1024" i="1"/>
  <c r="AA1088" i="1"/>
  <c r="AA1152" i="1"/>
  <c r="AA1216" i="1"/>
  <c r="AA1073" i="1"/>
  <c r="AA1361" i="1"/>
  <c r="AA1345" i="1"/>
  <c r="AA461" i="1"/>
  <c r="AA973" i="1"/>
  <c r="AA486" i="1"/>
  <c r="AA950" i="1"/>
  <c r="AA439" i="1"/>
  <c r="AA1042" i="1"/>
  <c r="AA1298" i="1"/>
  <c r="AA1105" i="1"/>
  <c r="AA1131" i="1"/>
  <c r="AA1259" i="1"/>
  <c r="AA1201" i="1"/>
  <c r="AA929" i="1"/>
  <c r="AA1028" i="1"/>
  <c r="AA1092" i="1"/>
  <c r="AA1156" i="1"/>
  <c r="AA1220" i="1"/>
  <c r="AA1284" i="1"/>
  <c r="AA1348" i="1"/>
  <c r="AA1241" i="1"/>
  <c r="AA911" i="1"/>
  <c r="AA1021" i="1"/>
  <c r="AA1085" i="1"/>
  <c r="AA1149" i="1"/>
  <c r="AA1213" i="1"/>
  <c r="AA1277" i="1"/>
  <c r="AA1341" i="1"/>
  <c r="AA551" i="1"/>
  <c r="AA913" i="1"/>
  <c r="AA1022" i="1"/>
  <c r="AA1086" i="1"/>
  <c r="AA1150" i="1"/>
  <c r="AA1214" i="1"/>
  <c r="AA1278" i="1"/>
  <c r="AA1342" i="1"/>
  <c r="AA1312" i="1"/>
  <c r="AA1145" i="1"/>
  <c r="AA839" i="1"/>
  <c r="AA996" i="1"/>
  <c r="AA1063" i="1"/>
  <c r="AA1127" i="1"/>
  <c r="AA1191" i="1"/>
  <c r="AA1255" i="1"/>
  <c r="AA1319" i="1"/>
  <c r="AA639" i="1"/>
  <c r="AA631" i="1"/>
  <c r="AA938" i="1"/>
  <c r="AA1032" i="1"/>
  <c r="AA1096" i="1"/>
  <c r="AA1160" i="1"/>
  <c r="AA1224" i="1"/>
  <c r="AA1129" i="1"/>
  <c r="AA1257" i="1"/>
  <c r="AA1273" i="1"/>
  <c r="AA525" i="1"/>
  <c r="AA302" i="1"/>
  <c r="AA550" i="1"/>
  <c r="AA191" i="1"/>
  <c r="AA487" i="1"/>
  <c r="AA1090" i="1"/>
  <c r="AA1346" i="1"/>
  <c r="AA783" i="1"/>
  <c r="AA1147" i="1"/>
  <c r="AA1275" i="1"/>
  <c r="AA599" i="1"/>
  <c r="AA951" i="1"/>
  <c r="AA1036" i="1"/>
  <c r="AA1100" i="1"/>
  <c r="AA1164" i="1"/>
  <c r="AA1228" i="1"/>
  <c r="AA1292" i="1"/>
  <c r="AA1356" i="1"/>
  <c r="AA607" i="1"/>
  <c r="AA930" i="1"/>
  <c r="AA1029" i="1"/>
  <c r="AA1093" i="1"/>
  <c r="AA1157" i="1"/>
  <c r="AA1221" i="1"/>
  <c r="AA1285" i="1"/>
  <c r="AA1349" i="1"/>
  <c r="AA615" i="1"/>
  <c r="AA935" i="1"/>
  <c r="AA1030" i="1"/>
  <c r="AA1094" i="1"/>
  <c r="AA1158" i="1"/>
  <c r="AA1222" i="1"/>
  <c r="AA1286" i="1"/>
  <c r="AA1350" i="1"/>
  <c r="AA1344" i="1"/>
  <c r="AA1185" i="1"/>
  <c r="AA871" i="1"/>
  <c r="AA1005" i="1"/>
  <c r="AA1071" i="1"/>
  <c r="AA1135" i="1"/>
  <c r="AA1199" i="1"/>
  <c r="AA1263" i="1"/>
  <c r="AA1327" i="1"/>
  <c r="AA1248" i="1"/>
  <c r="AA921" i="1"/>
  <c r="AA695" i="1"/>
  <c r="AA961" i="1"/>
  <c r="AA1040" i="1"/>
  <c r="AA1104" i="1"/>
  <c r="AA1168" i="1"/>
  <c r="AA1232" i="1"/>
  <c r="AA1209" i="1"/>
  <c r="AA1321" i="1"/>
  <c r="AA1337" i="1"/>
  <c r="AA589" i="1"/>
  <c r="AA614" i="1"/>
  <c r="AA503" i="1"/>
  <c r="AA1106" i="1"/>
  <c r="AA1362" i="1"/>
  <c r="AA855" i="1"/>
  <c r="AA1171" i="1"/>
  <c r="AA1299" i="1"/>
  <c r="AA663" i="1"/>
  <c r="AA969" i="1"/>
  <c r="AA1044" i="1"/>
  <c r="AA1108" i="1"/>
  <c r="AA1172" i="1"/>
  <c r="AA1236" i="1"/>
  <c r="AA1300" i="1"/>
  <c r="AA1364" i="1"/>
  <c r="AA703" i="1"/>
  <c r="AA671" i="1"/>
  <c r="AA953" i="1"/>
  <c r="AA1037" i="1"/>
  <c r="AA1101" i="1"/>
  <c r="AA1165" i="1"/>
  <c r="AA1229" i="1"/>
  <c r="AA1293" i="1"/>
  <c r="AA1357" i="1"/>
  <c r="AA898" i="1"/>
  <c r="AA679" i="1"/>
  <c r="AA954" i="1"/>
  <c r="AA1038" i="1"/>
  <c r="AA1102" i="1"/>
  <c r="AA1166" i="1"/>
  <c r="AA1230" i="1"/>
  <c r="AA1294" i="1"/>
  <c r="AA1358" i="1"/>
  <c r="AA1249" i="1"/>
  <c r="AA895" i="1"/>
  <c r="AA1014" i="1"/>
  <c r="AA1079" i="1"/>
  <c r="AA1143" i="1"/>
  <c r="AA1207" i="1"/>
  <c r="AA1271" i="1"/>
  <c r="AA1335" i="1"/>
  <c r="AA1264" i="1"/>
  <c r="AA1017" i="1"/>
  <c r="AA759" i="1"/>
  <c r="AA975" i="1"/>
  <c r="AA1048" i="1"/>
  <c r="AA1112" i="1"/>
  <c r="AA1176" i="1"/>
  <c r="AA1240" i="1"/>
  <c r="AA575" i="1"/>
  <c r="AA653" i="1"/>
  <c r="AA678" i="1"/>
  <c r="AA583" i="1"/>
  <c r="AA1154" i="1"/>
  <c r="AA979" i="1"/>
  <c r="AA1179" i="1"/>
  <c r="AA1307" i="1"/>
  <c r="AA727" i="1"/>
  <c r="AA980" i="1"/>
  <c r="AA1052" i="1"/>
  <c r="AA1116" i="1"/>
  <c r="AA1180" i="1"/>
  <c r="AA1244" i="1"/>
  <c r="AA1308" i="1"/>
  <c r="AA943" i="1"/>
  <c r="AA735" i="1"/>
  <c r="AA970" i="1"/>
  <c r="AA1045" i="1"/>
  <c r="AA1109" i="1"/>
  <c r="AA1173" i="1"/>
  <c r="AA1237" i="1"/>
  <c r="AA1301" i="1"/>
  <c r="AA1365" i="1"/>
  <c r="AA1007" i="1"/>
  <c r="AA743" i="1"/>
  <c r="AA971" i="1"/>
  <c r="AA1046" i="1"/>
  <c r="AA1110" i="1"/>
  <c r="AA1174" i="1"/>
  <c r="AA1238" i="1"/>
  <c r="AA1302" i="1"/>
  <c r="AA1366" i="1"/>
  <c r="AA559" i="1"/>
  <c r="AA914" i="1"/>
  <c r="AA1023" i="1"/>
  <c r="AA1087" i="1"/>
  <c r="AA1151" i="1"/>
  <c r="AA1215" i="1"/>
  <c r="AA1279" i="1"/>
  <c r="AA1343" i="1"/>
  <c r="AA1280" i="1"/>
  <c r="AA1065" i="1"/>
  <c r="AA809" i="1"/>
  <c r="AA987" i="1"/>
  <c r="AA1056" i="1"/>
  <c r="AA1120" i="1"/>
  <c r="AA1184" i="1"/>
  <c r="AA1256" i="1"/>
  <c r="AA1289" i="1"/>
  <c r="AA1305" i="1"/>
  <c r="AA1281" i="1"/>
  <c r="AA717" i="1"/>
  <c r="AA742" i="1"/>
  <c r="AA711" i="1"/>
  <c r="AA1170" i="1"/>
  <c r="AA1001" i="1"/>
  <c r="AA1195" i="1"/>
  <c r="AA1315" i="1"/>
  <c r="AA815" i="1"/>
  <c r="AA825" i="1"/>
  <c r="AA993" i="1"/>
  <c r="AA1060" i="1"/>
  <c r="AA1124" i="1"/>
  <c r="AA1188" i="1"/>
  <c r="AA1252" i="1"/>
  <c r="AA1316" i="1"/>
  <c r="AA1025" i="1"/>
  <c r="AA799" i="1"/>
  <c r="AA983" i="1"/>
  <c r="AA1053" i="1"/>
  <c r="AA1117" i="1"/>
  <c r="AA1181" i="1"/>
  <c r="AA1245" i="1"/>
  <c r="AA1309" i="1"/>
  <c r="AA1057" i="1"/>
  <c r="AA801" i="1"/>
  <c r="AA985" i="1"/>
  <c r="AA1054" i="1"/>
  <c r="AA1118" i="1"/>
  <c r="AA1182" i="1"/>
  <c r="AA1246" i="1"/>
  <c r="AA1310" i="1"/>
  <c r="AA847" i="1"/>
  <c r="AA623" i="1"/>
  <c r="AA937" i="1"/>
  <c r="AA1031" i="1"/>
  <c r="AA1095" i="1"/>
  <c r="AA1159" i="1"/>
  <c r="AA1223" i="1"/>
  <c r="AA1287" i="1"/>
  <c r="AA1351" i="1"/>
  <c r="AA1304" i="1"/>
  <c r="AA1121" i="1"/>
  <c r="AA841" i="1"/>
  <c r="AA997" i="1"/>
  <c r="AA1064" i="1"/>
  <c r="AA1128" i="1"/>
  <c r="AA1192" i="1"/>
  <c r="AA1272" i="1"/>
  <c r="AA1353" i="1"/>
  <c r="AA1369" i="1"/>
  <c r="AA1265" i="1"/>
  <c r="AA781" i="1"/>
  <c r="AA806" i="1"/>
  <c r="AA922" i="1"/>
  <c r="AA1218" i="1"/>
  <c r="AA1363" i="1"/>
  <c r="AA1051" i="1"/>
  <c r="AA1211" i="1"/>
  <c r="AA1323" i="1"/>
  <c r="AA1041" i="1"/>
  <c r="AA857" i="1"/>
  <c r="AA1002" i="1"/>
  <c r="AA1068" i="1"/>
  <c r="AA1132" i="1"/>
  <c r="AA1196" i="1"/>
  <c r="AA1260" i="1"/>
  <c r="AA1324" i="1"/>
  <c r="AA1296" i="1"/>
  <c r="AA1081" i="1"/>
  <c r="AA831" i="1"/>
  <c r="AA994" i="1"/>
  <c r="AA1061" i="1"/>
  <c r="AA1125" i="1"/>
  <c r="AA1189" i="1"/>
  <c r="AA1253" i="1"/>
  <c r="AA1317" i="1"/>
  <c r="AA1288" i="1"/>
  <c r="AA1113" i="1"/>
  <c r="AA833" i="1"/>
  <c r="AA995" i="1"/>
  <c r="AA1062" i="1"/>
  <c r="AA1126" i="1"/>
  <c r="AA1190" i="1"/>
  <c r="AA1254" i="1"/>
  <c r="AA1318" i="1"/>
  <c r="AA977" i="1"/>
  <c r="AA687" i="1"/>
  <c r="AA959" i="1"/>
  <c r="AA1039" i="1"/>
  <c r="AA1103" i="1"/>
  <c r="AA1167" i="1"/>
  <c r="AA1231" i="1"/>
  <c r="AA1295" i="1"/>
  <c r="AA1359" i="1"/>
  <c r="AA1336" i="1"/>
  <c r="AA1177" i="1"/>
  <c r="AA873" i="1"/>
  <c r="AA1006" i="1"/>
  <c r="AA1072" i="1"/>
  <c r="AA1136" i="1"/>
  <c r="AA1200" i="1"/>
  <c r="AA767" i="1"/>
  <c r="AA1313" i="1"/>
  <c r="AA1329" i="1"/>
  <c r="AA845" i="1"/>
  <c r="AA870" i="1"/>
  <c r="AA963" i="1"/>
  <c r="AA1234" i="1"/>
  <c r="AA1067" i="1"/>
  <c r="AA1235" i="1"/>
  <c r="AA1339" i="1"/>
  <c r="AA1097" i="1"/>
  <c r="AA887" i="1"/>
  <c r="AA1011" i="1"/>
  <c r="AA1076" i="1"/>
  <c r="AA1140" i="1"/>
  <c r="AA1204" i="1"/>
  <c r="AA1268" i="1"/>
  <c r="AA1332" i="1"/>
  <c r="AA1328" i="1"/>
  <c r="AA1137" i="1"/>
  <c r="AA863" i="1"/>
  <c r="AA1003" i="1"/>
  <c r="AA1069" i="1"/>
  <c r="AA1133" i="1"/>
  <c r="AA1197" i="1"/>
  <c r="AA1261" i="1"/>
  <c r="AA1325" i="1"/>
  <c r="AA1320" i="1"/>
  <c r="AA1169" i="1"/>
  <c r="AA865" i="1"/>
  <c r="AA1004" i="1"/>
  <c r="AA1070" i="1"/>
  <c r="AA1134" i="1"/>
  <c r="AA1198" i="1"/>
  <c r="AA1262" i="1"/>
  <c r="AA1326" i="1"/>
  <c r="AA1033" i="1"/>
  <c r="AA751" i="1"/>
  <c r="AA972" i="1"/>
  <c r="AA1047" i="1"/>
  <c r="AA1111" i="1"/>
  <c r="AA1175" i="1"/>
  <c r="AA1239" i="1"/>
  <c r="AA1303" i="1"/>
  <c r="AA1367" i="1"/>
  <c r="AA1368" i="1"/>
  <c r="AA1233" i="1"/>
  <c r="AA897" i="1"/>
  <c r="AA1015" i="1"/>
  <c r="AA1080" i="1"/>
  <c r="AA1144" i="1"/>
  <c r="AA1208" i="1"/>
  <c r="AA998" i="1"/>
  <c r="AA1297" i="1"/>
</calcChain>
</file>

<file path=xl/comments1.xml><?xml version="1.0" encoding="utf-8"?>
<comments xmlns="http://schemas.openxmlformats.org/spreadsheetml/2006/main">
  <authors>
    <author>KLAP</author>
  </authors>
  <commentList>
    <comment ref="C40"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2.xml><?xml version="1.0" encoding="utf-8"?>
<comments xmlns="http://schemas.openxmlformats.org/spreadsheetml/2006/main">
  <authors>
    <author>KLAP</author>
  </authors>
  <commentList>
    <comment ref="C39"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3.xml><?xml version="1.0" encoding="utf-8"?>
<comments xmlns="http://schemas.openxmlformats.org/spreadsheetml/2006/main">
  <authors>
    <author>KLAP</author>
  </authors>
  <commentList>
    <comment ref="E77"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sharedStrings.xml><?xml version="1.0" encoding="utf-8"?>
<sst xmlns="http://schemas.openxmlformats.org/spreadsheetml/2006/main" count="16344" uniqueCount="5160">
  <si>
    <t>Mã</t>
  </si>
  <si>
    <t>MHĐG</t>
  </si>
  <si>
    <t>Đơn vị</t>
  </si>
  <si>
    <t>VL</t>
  </si>
  <si>
    <t>NC</t>
  </si>
  <si>
    <t>MTC</t>
  </si>
  <si>
    <t>D12</t>
  </si>
  <si>
    <t>04.3801</t>
  </si>
  <si>
    <t>Đà cản BTCT 1,2m</t>
  </si>
  <si>
    <t>cái</t>
  </si>
  <si>
    <t>D15</t>
  </si>
  <si>
    <t>Đà cản BTCT 1,5m</t>
  </si>
  <si>
    <t>D20</t>
  </si>
  <si>
    <t>04.3802</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</si>
  <si>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</si>
  <si>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</si>
  <si>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</si>
  <si>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</si>
  <si>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</si>
  <si>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</si>
  <si>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</si>
  <si>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</si>
  <si>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</si>
  <si>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</si>
  <si>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</si>
  <si>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</si>
  <si>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</si>
  <si>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</si>
  <si>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</si>
  <si>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</si>
  <si>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COM800</t>
  </si>
  <si>
    <t>Đà hộp composit L110x80x800</t>
  </si>
  <si>
    <t>CCOM800</t>
  </si>
  <si>
    <t>BNH</t>
  </si>
  <si>
    <t>Biển số - Bảng nguy hiểm</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</si>
  <si>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</si>
  <si>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</si>
  <si>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</si>
  <si>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</si>
  <si>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</si>
  <si>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</si>
  <si>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</si>
  <si>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</si>
  <si>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</si>
  <si>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</si>
  <si>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</si>
  <si>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</si>
  <si>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</si>
  <si>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</si>
  <si>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</si>
  <si>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</si>
  <si>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</si>
  <si>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</si>
  <si>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</si>
  <si>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</si>
  <si>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</si>
  <si>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</si>
  <si>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</si>
  <si>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</si>
  <si>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</si>
  <si>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</si>
  <si>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</si>
  <si>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</si>
  <si>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</si>
  <si>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</si>
  <si>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</si>
  <si>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</si>
  <si>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</si>
  <si>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</si>
  <si>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</si>
  <si>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B1260TH</t>
  </si>
  <si>
    <t>Boulon thau 12x60 + 2 long đền vuông D14-50x50x3/Zn</t>
  </si>
  <si>
    <t>B1450</t>
  </si>
  <si>
    <t>Boulon 14x50+ 2 long đền vuông D16-50x50x3/Zn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</si>
  <si>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</si>
  <si>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</si>
  <si>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</si>
  <si>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</si>
  <si>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</si>
  <si>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</si>
  <si>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</si>
  <si>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</si>
  <si>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</si>
  <si>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</si>
  <si>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B16250</t>
  </si>
  <si>
    <t>Boulon 16x250+ 2 long đền vuông D18-50x50x3/Zn</t>
  </si>
  <si>
    <t>B16300</t>
  </si>
  <si>
    <t>Boulon 16x300+ 2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</si>
  <si>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</si>
  <si>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</si>
  <si>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</si>
  <si>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</si>
  <si>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</si>
  <si>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</si>
  <si>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</si>
  <si>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</si>
  <si>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</si>
  <si>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</si>
  <si>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</si>
  <si>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</si>
  <si>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</si>
  <si>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</si>
  <si>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</si>
  <si>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</si>
  <si>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</si>
  <si>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</si>
  <si>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</si>
  <si>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</si>
  <si>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</si>
  <si>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</si>
  <si>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</si>
  <si>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</si>
  <si>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</si>
  <si>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</si>
  <si>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</si>
  <si>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</si>
  <si>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</si>
  <si>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</si>
  <si>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</si>
  <si>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</si>
  <si>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</si>
  <si>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</si>
  <si>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B22450</t>
  </si>
  <si>
    <t>Boulon 22x450+ 2 long đền vuông D24-50x50x3/Zn</t>
  </si>
  <si>
    <t>B22500</t>
  </si>
  <si>
    <t>Boulon 22x500+ 2 long đền vuông D24-50x50x3/Zn</t>
  </si>
  <si>
    <t>B22550</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</si>
  <si>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</si>
  <si>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</si>
  <si>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</si>
  <si>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</si>
  <si>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</si>
  <si>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</si>
  <si>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</si>
  <si>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</si>
  <si>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</si>
  <si>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</si>
  <si>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</si>
  <si>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</si>
  <si>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</si>
  <si>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</si>
  <si>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</si>
  <si>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BM16250</t>
  </si>
  <si>
    <t>Boulon mắt 16x250+ 2 long đền vuông D18-50x50x3/Zn</t>
  </si>
  <si>
    <t>BM16300</t>
  </si>
  <si>
    <t>Boulon mắt 16x300+ 2 long đền vuông D18-50x50x3/Zn</t>
  </si>
  <si>
    <t>BMOC16250</t>
  </si>
  <si>
    <t>Boulon móc 16x250+ 2 long đền vuông D18-50x50x3/Zn</t>
  </si>
  <si>
    <t>BMOC16300</t>
  </si>
  <si>
    <t>Boulon móc 16x300+ 2 long đền vuông D18-50x50x3/Zn</t>
  </si>
  <si>
    <t>Long đền tròn 12-14-16-18</t>
  </si>
  <si>
    <t>LD 40</t>
  </si>
  <si>
    <t>Long đền vuông 14-22 (50x50x3)</t>
  </si>
  <si>
    <t>LD 60</t>
  </si>
  <si>
    <t>Long đền vuông 18-24 (60x60x6)</t>
  </si>
  <si>
    <t>CHUPFCO</t>
  </si>
  <si>
    <t>Chụp đầu FCO</t>
  </si>
  <si>
    <t>CHUPLA</t>
  </si>
  <si>
    <t>Chụp đầu LA</t>
  </si>
  <si>
    <t>CHUPMBA</t>
  </si>
  <si>
    <t>Chụp đầu cực MBA</t>
  </si>
  <si>
    <t>BATLI</t>
  </si>
  <si>
    <t>Bass LI bắt FCO</t>
  </si>
  <si>
    <t>Bộ</t>
  </si>
  <si>
    <t>BATLIA</t>
  </si>
  <si>
    <t>Bass LI bắt LA</t>
  </si>
  <si>
    <t>BATLL</t>
  </si>
  <si>
    <t>Bass LL bắt FCO và LA</t>
  </si>
  <si>
    <t>CT25</t>
  </si>
  <si>
    <t>04.5142</t>
  </si>
  <si>
    <t>Cừ tràm 2,5m</t>
  </si>
  <si>
    <t>cây</t>
  </si>
  <si>
    <t>CT3</t>
  </si>
  <si>
    <t>Cừ tràm 3m</t>
  </si>
  <si>
    <t>Cong D1000x1000mm</t>
  </si>
  <si>
    <t>Cong D1000x400mm</t>
  </si>
  <si>
    <t>CT5</t>
  </si>
  <si>
    <t>Cừ tràm 5m</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</si>
  <si>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</si>
  <si>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</si>
  <si>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</si>
  <si>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</si>
  <si>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</si>
  <si>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</si>
  <si>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</si>
  <si>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</si>
  <si>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</si>
  <si>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</si>
  <si>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</si>
  <si>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</si>
  <si>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</si>
  <si>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</si>
  <si>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</si>
  <si>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</si>
  <si>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</si>
  <si>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</si>
  <si>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</si>
  <si>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</si>
  <si>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</si>
  <si>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</si>
  <si>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</si>
  <si>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</si>
  <si>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</si>
  <si>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</si>
  <si>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</si>
  <si>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</si>
  <si>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</si>
  <si>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</si>
  <si>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</si>
  <si>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</si>
  <si>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</si>
  <si>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</si>
  <si>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</si>
  <si>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</si>
  <si>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</si>
  <si>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</si>
  <si>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</si>
  <si>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</si>
  <si>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</si>
  <si>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</si>
  <si>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</si>
  <si>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XLPE50AC</t>
  </si>
  <si>
    <t>Cáp 24KV AC/XLPE/PVC 50mm2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</si>
  <si>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</si>
  <si>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</si>
  <si>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</si>
  <si>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</si>
  <si>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</si>
  <si>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</si>
  <si>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</si>
  <si>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</si>
  <si>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</si>
  <si>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</si>
  <si>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</si>
  <si>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</si>
  <si>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</si>
  <si>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</si>
  <si>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</si>
  <si>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</si>
  <si>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</si>
  <si>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</si>
  <si>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</si>
  <si>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</si>
  <si>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</si>
  <si>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</si>
  <si>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</si>
  <si>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</si>
  <si>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</si>
  <si>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</si>
  <si>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</si>
  <si>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</si>
  <si>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</si>
  <si>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</si>
  <si>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</si>
  <si>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</si>
  <si>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</si>
  <si>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</si>
  <si>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</si>
  <si>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</si>
  <si>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</si>
  <si>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</si>
  <si>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</si>
  <si>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</si>
  <si>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</si>
  <si>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</si>
  <si>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</si>
  <si>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</si>
  <si>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</si>
  <si>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</si>
  <si>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</si>
  <si>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</si>
  <si>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</si>
  <si>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</si>
  <si>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</si>
  <si>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</si>
  <si>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</si>
  <si>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</si>
  <si>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</si>
  <si>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</si>
  <si>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</si>
  <si>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</si>
  <si>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</si>
  <si>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</si>
  <si>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</si>
  <si>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</si>
  <si>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</si>
  <si>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</si>
  <si>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</si>
  <si>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</si>
  <si>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ACXV50</t>
  </si>
  <si>
    <t>Cáp nhôm lõi thép bọc 24KV AC/XLPE/PVC50 mm2</t>
  </si>
  <si>
    <t>ACXV150</t>
  </si>
  <si>
    <t>Cáp nhôm lõi thép bọc 24KV AC/XLPE/PVC150/19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</si>
  <si>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</si>
  <si>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</si>
  <si>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</si>
  <si>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</si>
  <si>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</si>
  <si>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</si>
  <si>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</si>
  <si>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</si>
  <si>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</si>
  <si>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</si>
  <si>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</si>
  <si>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</si>
  <si>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</si>
  <si>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</si>
  <si>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</si>
  <si>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</si>
  <si>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</si>
  <si>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</si>
  <si>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</si>
  <si>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</si>
  <si>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</si>
  <si>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</si>
  <si>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</si>
  <si>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</si>
  <si>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</si>
  <si>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4x50mm2</t>
  </si>
  <si>
    <t>Cáp nhôm ABC 3x50mm2</t>
  </si>
  <si>
    <t>ABC4x70</t>
  </si>
  <si>
    <t>Cáp nhôm ABC 4x70mm2</t>
  </si>
  <si>
    <t>Cáp nhôm ABC 3x70mm2</t>
  </si>
  <si>
    <t>ABC4x95</t>
  </si>
  <si>
    <t>Cáp nhôm ABC 4x95mm2</t>
  </si>
  <si>
    <t>ABC3x95</t>
  </si>
  <si>
    <t>Cáp nhôm ABC 3x95mm2</t>
  </si>
  <si>
    <t>ABC4x120</t>
  </si>
  <si>
    <t>Cáp nhôm ABC 4x120mm2</t>
  </si>
  <si>
    <t>ABC4x150</t>
  </si>
  <si>
    <t>Cáp nhôm ABC 4x150mm2</t>
  </si>
  <si>
    <t>CVV2x2,5</t>
  </si>
  <si>
    <t>03.1401</t>
  </si>
  <si>
    <t>CVV316</t>
  </si>
  <si>
    <t>Cáp CVV 3x16mm2</t>
  </si>
  <si>
    <t>CVV4X2,5</t>
  </si>
  <si>
    <t>M5M</t>
  </si>
  <si>
    <t>Dây đồng trần mềm dẹt</t>
  </si>
  <si>
    <t>CV2,5</t>
  </si>
  <si>
    <t>Cáp đồng mềm CV2,5</t>
  </si>
  <si>
    <t>Cáp đồng bọc CV11</t>
  </si>
  <si>
    <t>Cáp đồng bọc CV22</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</si>
  <si>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</si>
  <si>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</si>
  <si>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</si>
  <si>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</si>
  <si>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</si>
  <si>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</si>
  <si>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</si>
  <si>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</si>
  <si>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</si>
  <si>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</si>
  <si>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</si>
  <si>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</si>
  <si>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</si>
  <si>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</si>
  <si>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</si>
  <si>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</si>
  <si>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</si>
  <si>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</si>
  <si>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</si>
  <si>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</si>
  <si>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</si>
  <si>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</si>
  <si>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</si>
  <si>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</si>
  <si>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</si>
  <si>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</si>
  <si>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</si>
  <si>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</si>
  <si>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</si>
  <si>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</si>
  <si>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</si>
  <si>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</si>
  <si>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</si>
  <si>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</si>
  <si>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</si>
  <si>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</si>
  <si>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</si>
  <si>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</si>
  <si>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</si>
  <si>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</si>
  <si>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CSDI</t>
  </si>
  <si>
    <t>CSDG</t>
  </si>
  <si>
    <t>CSD</t>
  </si>
  <si>
    <t>Chân sứ đứng D20</t>
  </si>
  <si>
    <t>DAYA</t>
  </si>
  <si>
    <t xml:space="preserve">Dây nhôm buộc </t>
  </si>
  <si>
    <t>GDFCO</t>
  </si>
  <si>
    <t>Giá chữ "T" lắp FCO, LA (V63x63x6)</t>
  </si>
  <si>
    <t>GUFCO</t>
  </si>
  <si>
    <t>Giá U 80x600 lắp FCO</t>
  </si>
  <si>
    <t>GIATFCO</t>
  </si>
  <si>
    <t>Giá chữ "T" lắp FCO, LA (V50x50x5)</t>
  </si>
  <si>
    <t>Kg</t>
  </si>
  <si>
    <t>Giá nới + Thanh cái tủ CB</t>
  </si>
  <si>
    <t>GCST</t>
  </si>
  <si>
    <t>Gia công sắt thép</t>
  </si>
  <si>
    <t>G</t>
  </si>
  <si>
    <t>Vật liệu dựng trụ</t>
  </si>
  <si>
    <t>trụ</t>
  </si>
  <si>
    <t>K3B</t>
  </si>
  <si>
    <t>CTD</t>
  </si>
  <si>
    <t>Cọc tiếp đất φ16 - 2,4m</t>
  </si>
  <si>
    <t>cọc</t>
  </si>
  <si>
    <t>CTD+K</t>
  </si>
  <si>
    <t>Cọc tiếp đất φ 16- 2,4m + kẹp cọc</t>
  </si>
  <si>
    <t>Kẹp cọc tiếp đất Cu</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</si>
  <si>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</si>
  <si>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</si>
  <si>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</si>
  <si>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</si>
  <si>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</si>
  <si>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</si>
  <si>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</si>
  <si>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</si>
  <si>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</si>
  <si>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</si>
  <si>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</si>
  <si>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</si>
  <si>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</si>
  <si>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</si>
  <si>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</si>
  <si>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</si>
  <si>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</si>
  <si>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</si>
  <si>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</si>
  <si>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</si>
  <si>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</si>
  <si>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</si>
  <si>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</si>
  <si>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</si>
  <si>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</si>
  <si>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</si>
  <si>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</si>
  <si>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</si>
  <si>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Kẹp treo cáp ABC4x70mm2</t>
  </si>
  <si>
    <t>KTREO95</t>
  </si>
  <si>
    <t>Kẹp treo cáp ABC4x95mm2</t>
  </si>
  <si>
    <t>KTREO120</t>
  </si>
  <si>
    <t>Kẹp treo cáp ABC4x120mm2</t>
  </si>
  <si>
    <t>KTREO150</t>
  </si>
  <si>
    <t>Kẹp treo cáp ABC4x150mm2</t>
  </si>
  <si>
    <t>Móc treo chữ A</t>
  </si>
  <si>
    <t>MOCDUNG</t>
  </si>
  <si>
    <t xml:space="preserve">Móc dừng </t>
  </si>
  <si>
    <t xml:space="preserve">Móc đơn treo cáp </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</si>
  <si>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</si>
  <si>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</si>
  <si>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</si>
  <si>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</si>
  <si>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</si>
  <si>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</si>
  <si>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</si>
  <si>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</si>
  <si>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</si>
  <si>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</si>
  <si>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</si>
  <si>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</si>
  <si>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</si>
  <si>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ABC4x95mm2</t>
  </si>
  <si>
    <t>KNGUNG120</t>
  </si>
  <si>
    <t>Kẹp ngừng cáp ABC4x120mm2</t>
  </si>
  <si>
    <t>KNGUNG150</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</si>
  <si>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</si>
  <si>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</si>
  <si>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</si>
  <si>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</si>
  <si>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</si>
  <si>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</si>
  <si>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</si>
  <si>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</si>
  <si>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HOP9C</t>
  </si>
  <si>
    <t>HOP6C</t>
  </si>
  <si>
    <t>BTNN</t>
  </si>
  <si>
    <t>Bêtông nhựa nóng hạt thô</t>
  </si>
  <si>
    <t>m3</t>
  </si>
  <si>
    <t>Bêtông nhựa nóng hạt mịn</t>
  </si>
  <si>
    <t>BTNN-TL</t>
  </si>
  <si>
    <t>ED.2005</t>
  </si>
  <si>
    <t>Tái lập bêtông nhựa nóng hạt thô 7mm</t>
  </si>
  <si>
    <t>m2</t>
  </si>
  <si>
    <t>ED.3001</t>
  </si>
  <si>
    <t>Tái lập bêtông nhựa nóng hạt mịn 3mm</t>
  </si>
  <si>
    <t>BT</t>
  </si>
  <si>
    <t>04.9001</t>
  </si>
  <si>
    <t>Bitum</t>
  </si>
  <si>
    <t>BIT150</t>
  </si>
  <si>
    <t>Nắp bịt đầu cáp ABC150mm2</t>
  </si>
  <si>
    <t>BIT120</t>
  </si>
  <si>
    <t>BIT95</t>
  </si>
  <si>
    <t>Nắp bịt đầu cáp ABC95mm2</t>
  </si>
  <si>
    <t>BIT70</t>
  </si>
  <si>
    <t>Nắp bịt đầu cáp ABC70mm2</t>
  </si>
  <si>
    <t>BIT50</t>
  </si>
  <si>
    <t>Nắp bịt đầu cáp ABC50mm2</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</si>
  <si>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</si>
  <si>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</si>
  <si>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</si>
  <si>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</si>
  <si>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</si>
  <si>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</si>
  <si>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</si>
  <si>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</si>
  <si>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</si>
  <si>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</si>
  <si>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</si>
  <si>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</si>
  <si>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</si>
  <si>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</si>
  <si>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</si>
  <si>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</si>
  <si>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</si>
  <si>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</si>
  <si>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</si>
  <si>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</si>
  <si>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</si>
  <si>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</si>
  <si>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</si>
  <si>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04.3107</t>
  </si>
  <si>
    <t>Kẹp quai 2/0</t>
  </si>
  <si>
    <t>KQ4/0</t>
  </si>
  <si>
    <t>Kẹp quai 4/0</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</si>
  <si>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</si>
  <si>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</si>
  <si>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</si>
  <si>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</si>
  <si>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</si>
  <si>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</si>
  <si>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</si>
  <si>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</si>
  <si>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</si>
  <si>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</si>
  <si>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</si>
  <si>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</si>
  <si>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</si>
  <si>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</si>
  <si>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</si>
  <si>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</si>
  <si>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</si>
  <si>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</si>
  <si>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</si>
  <si>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</si>
  <si>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</si>
  <si>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KD357</t>
  </si>
  <si>
    <t>Khóa đỡ Đ357</t>
  </si>
  <si>
    <t>KD912</t>
  </si>
  <si>
    <t>Khóa đỡ Đ912</t>
  </si>
  <si>
    <t>KD158</t>
  </si>
  <si>
    <t>Khóa đỡ Đ158</t>
  </si>
  <si>
    <t>KN35</t>
  </si>
  <si>
    <t>Khóa néo dây cỡ dây 35</t>
  </si>
  <si>
    <t>KN50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</si>
  <si>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</si>
  <si>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</si>
  <si>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</si>
  <si>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</si>
  <si>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</si>
  <si>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</si>
  <si>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</si>
  <si>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</si>
  <si>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</si>
  <si>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</si>
  <si>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</si>
  <si>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</si>
  <si>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</si>
  <si>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</si>
  <si>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</si>
  <si>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</si>
  <si>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</si>
  <si>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</si>
  <si>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GNIU185</t>
  </si>
  <si>
    <t>Giáp níu dừng dây bọc 185</t>
  </si>
  <si>
    <t>GNIU95</t>
  </si>
  <si>
    <t>Giáp níu dừng dây bọc 95</t>
  </si>
  <si>
    <t>GNIU70</t>
  </si>
  <si>
    <t>Giáp níu dừng dây bọc 70</t>
  </si>
  <si>
    <t>MANG</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</si>
  <si>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</si>
  <si>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</si>
  <si>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</si>
  <si>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</si>
  <si>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</si>
  <si>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</si>
  <si>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</si>
  <si>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</si>
  <si>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</si>
  <si>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</si>
  <si>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</si>
  <si>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</si>
  <si>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</si>
  <si>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</si>
  <si>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</si>
  <si>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</si>
  <si>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</si>
  <si>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</si>
  <si>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</si>
  <si>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</si>
  <si>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</si>
  <si>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</si>
  <si>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</si>
  <si>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</si>
  <si>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</si>
  <si>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</si>
  <si>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</si>
  <si>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</si>
  <si>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</si>
  <si>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</si>
  <si>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</si>
  <si>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</si>
  <si>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</si>
  <si>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</si>
  <si>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</si>
  <si>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</si>
  <si>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</si>
  <si>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</si>
  <si>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</si>
  <si>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</si>
  <si>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</si>
  <si>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</si>
  <si>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</si>
  <si>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</si>
  <si>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</si>
  <si>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R2</t>
  </si>
  <si>
    <t>R3</t>
  </si>
  <si>
    <t>R4</t>
  </si>
  <si>
    <t>SD</t>
  </si>
  <si>
    <t xml:space="preserve">Sứ đứng 24KV </t>
  </si>
  <si>
    <t>SD35</t>
  </si>
  <si>
    <t>Sứ đứng 35KV + ty</t>
  </si>
  <si>
    <t>SDI35</t>
  </si>
  <si>
    <t>Sứ đứng 35KV + ty sứ đỉnh</t>
  </si>
  <si>
    <t>SDCM</t>
  </si>
  <si>
    <t>Sứ đứng 24KV chống nhiễm mặn</t>
  </si>
  <si>
    <t>SN</t>
  </si>
  <si>
    <t>SOC</t>
  </si>
  <si>
    <t xml:space="preserve">Sứ ống chỉ </t>
  </si>
  <si>
    <t>ST</t>
  </si>
  <si>
    <t>Sứ treo loại 70kN</t>
  </si>
  <si>
    <t>bát</t>
  </si>
  <si>
    <t>ST120</t>
  </si>
  <si>
    <t>Sứ treo loại 120kN</t>
  </si>
  <si>
    <t>Sứ treo polymer</t>
  </si>
  <si>
    <t>chuỗi</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</si>
  <si>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</si>
  <si>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</si>
  <si>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</si>
  <si>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</si>
  <si>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</si>
  <si>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</si>
  <si>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</si>
  <si>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</si>
  <si>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</si>
  <si>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</si>
  <si>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</si>
  <si>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</si>
  <si>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</si>
  <si>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</si>
  <si>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</si>
  <si>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</si>
  <si>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</si>
  <si>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</si>
  <si>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</si>
  <si>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</si>
  <si>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</si>
  <si>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</si>
  <si>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</si>
  <si>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</si>
  <si>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</si>
  <si>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</si>
  <si>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SO6</t>
  </si>
  <si>
    <t>SO8</t>
  </si>
  <si>
    <t>SO10</t>
  </si>
  <si>
    <t>SO12</t>
  </si>
  <si>
    <t>SO16</t>
  </si>
  <si>
    <t>SO24</t>
  </si>
  <si>
    <t>EKE300</t>
  </si>
  <si>
    <t>Ê KE 5x300x300\Zn</t>
  </si>
  <si>
    <t>Thép tấm 6mm</t>
  </si>
  <si>
    <t>thept5</t>
  </si>
  <si>
    <t>Thép tấm 4mm</t>
  </si>
  <si>
    <t>Thép tấm 2mm</t>
  </si>
  <si>
    <t>CL</t>
  </si>
  <si>
    <t>CLHT</t>
  </si>
  <si>
    <t>TN1618</t>
  </si>
  <si>
    <t>Ty neo φ16x1800</t>
  </si>
  <si>
    <t>TN1624</t>
  </si>
  <si>
    <t>Ty neo φ16x2400</t>
  </si>
  <si>
    <t>TN1824</t>
  </si>
  <si>
    <t>Ty neo φ18x2400</t>
  </si>
  <si>
    <t>TN2224</t>
  </si>
  <si>
    <t>Ty neo φ22x2400</t>
  </si>
  <si>
    <t>TN30</t>
  </si>
  <si>
    <t>Ty neo φ22x3000</t>
  </si>
  <si>
    <t>TN37</t>
  </si>
  <si>
    <t>Ty neo φ22x3700</t>
  </si>
  <si>
    <t>NX</t>
  </si>
  <si>
    <t>Neo xòe 8 hướng (dày 3,2mm)</t>
  </si>
  <si>
    <t>CD142</t>
  </si>
  <si>
    <t>06.2110</t>
  </si>
  <si>
    <t>Cổ dê CD.X-142</t>
  </si>
  <si>
    <t>Cổ dê CD.X-142A</t>
  </si>
  <si>
    <t>CD146</t>
  </si>
  <si>
    <t>Cổ dê CD.X-146</t>
  </si>
  <si>
    <t>Cổ dê CD.X-146A</t>
  </si>
  <si>
    <t>CD682</t>
  </si>
  <si>
    <t>Cổ dê 6,82kg</t>
  </si>
  <si>
    <t>LCD</t>
  </si>
  <si>
    <t>Lắp cổ dề</t>
  </si>
  <si>
    <t>CD21</t>
  </si>
  <si>
    <t>Cổ dê kẹp ống PVC φ 21</t>
  </si>
  <si>
    <t>CD60</t>
  </si>
  <si>
    <t>Cổ dê kẹp ống PVC φ 60</t>
  </si>
  <si>
    <t>CD90</t>
  </si>
  <si>
    <t>CD114</t>
  </si>
  <si>
    <t>CD140</t>
  </si>
  <si>
    <t>CD140TK</t>
  </si>
  <si>
    <t>CD195</t>
  </si>
  <si>
    <t>CD207</t>
  </si>
  <si>
    <t>CD220</t>
  </si>
  <si>
    <t>CD240</t>
  </si>
  <si>
    <t>CD250</t>
  </si>
  <si>
    <t>CD320</t>
  </si>
  <si>
    <t>CD bắt xà</t>
  </si>
  <si>
    <t>Cổ dê bắt xà + bulon</t>
  </si>
  <si>
    <t>Côllier 30x3 (290-320)</t>
  </si>
  <si>
    <t>Côllier 25x2</t>
  </si>
  <si>
    <t>CD21T</t>
  </si>
  <si>
    <t>CDXA</t>
  </si>
  <si>
    <t xml:space="preserve">Cổ dê chống lắc 8x80x800 </t>
  </si>
  <si>
    <t>T75</t>
  </si>
  <si>
    <t>Trụ BTLT 7,5m F200 dự ứng lực</t>
  </si>
  <si>
    <t>T84</t>
  </si>
  <si>
    <t>Trụ BTLT 8,4m F200 dự ứng lực</t>
  </si>
  <si>
    <t>T85</t>
  </si>
  <si>
    <t>Trụ BTLT 8,5m F200 dự ứng lực</t>
  </si>
  <si>
    <t>T85300</t>
  </si>
  <si>
    <t>Trụ BTLT 8,5m F300 dự ứng lực</t>
  </si>
  <si>
    <t>T10</t>
  </si>
  <si>
    <t>Trụ BTLT 10,5m F480 dự ứng lực</t>
  </si>
  <si>
    <t>T105</t>
  </si>
  <si>
    <t>Trụ BTLT 10,5m F350 dự ứng lực</t>
  </si>
  <si>
    <t>T12</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</si>
  <si>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</si>
  <si>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</si>
  <si>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</si>
  <si>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</si>
  <si>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</si>
  <si>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</si>
  <si>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</si>
  <si>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</si>
  <si>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</si>
  <si>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</si>
  <si>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</si>
  <si>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</si>
  <si>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</si>
  <si>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</si>
  <si>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Đá 1x2</t>
  </si>
  <si>
    <t>Đá 0x4</t>
  </si>
  <si>
    <t>D2x4</t>
  </si>
  <si>
    <t>Đá 2x4</t>
  </si>
  <si>
    <t>Đá 4x6</t>
  </si>
  <si>
    <t>CV</t>
  </si>
  <si>
    <t>Cát vàng</t>
  </si>
  <si>
    <t>Gạch ống</t>
  </si>
  <si>
    <t>viên</t>
  </si>
  <si>
    <t>gachtau</t>
  </si>
  <si>
    <t>XM</t>
  </si>
  <si>
    <t>Ximăng</t>
  </si>
  <si>
    <t>Cọ sơn</t>
  </si>
  <si>
    <t>Nilong</t>
  </si>
  <si>
    <t>Tấm nilông màu cảnh báo</t>
  </si>
  <si>
    <t>NLON</t>
  </si>
  <si>
    <t>Nylon làm dấu khổ 0.6m</t>
  </si>
  <si>
    <t>m</t>
  </si>
  <si>
    <t>thepb</t>
  </si>
  <si>
    <t>Dây thép buộc</t>
  </si>
  <si>
    <t>Đầu cáp ngầm 24kV 3x150mm2 outdoor</t>
  </si>
  <si>
    <t>Đầu cáp ngầm 24kV 3x185mm2 outdoor</t>
  </si>
  <si>
    <t>Đầu cáp ngầm 24kV 3x240mm2 outdoor</t>
  </si>
  <si>
    <t>Đầu cáp ngầm 24kV 3x150mm2 indoor</t>
  </si>
  <si>
    <t>Đầu cáp ngầm 24kV 3x185mm2 indoor</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</si>
  <si>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</si>
  <si>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</si>
  <si>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</si>
  <si>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</si>
  <si>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</si>
  <si>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</si>
  <si>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</si>
  <si>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</si>
  <si>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</si>
  <si>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Đầu cáp ngầm hạ thế 3x50+35mm2</t>
  </si>
  <si>
    <t>DCAPHT350</t>
  </si>
  <si>
    <t>07.2204</t>
  </si>
  <si>
    <t>Măng sông STK 114</t>
  </si>
  <si>
    <t>Măng sông STK 90</t>
  </si>
  <si>
    <t>YC</t>
  </si>
  <si>
    <t>Yếm cáp dày 2mm</t>
  </si>
  <si>
    <t>Công việc</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</si>
  <si>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</si>
  <si>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</si>
  <si>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</si>
  <si>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</si>
  <si>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</si>
  <si>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</si>
  <si>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</si>
  <si>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</si>
  <si>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</si>
  <si>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</si>
  <si>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</si>
  <si>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</si>
  <si>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Đào hố móng đất cấp 3 sâu &lt;=1m</t>
  </si>
  <si>
    <t>MDD41</t>
  </si>
  <si>
    <t>03.1104</t>
  </si>
  <si>
    <t>Đào hố móng đất cấp 4 sâu &lt;=1m</t>
  </si>
  <si>
    <t>MDD2</t>
  </si>
  <si>
    <t>03.1112</t>
  </si>
  <si>
    <t>Đào hố móng đất cấp 2 sâu &gt;1m</t>
  </si>
  <si>
    <t>MDD3</t>
  </si>
  <si>
    <t>03.1113</t>
  </si>
  <si>
    <t>AH2120</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</si>
  <si>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</si>
  <si>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</si>
  <si>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</si>
  <si>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</si>
  <si>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</si>
  <si>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</si>
  <si>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</si>
  <si>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</si>
  <si>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</si>
  <si>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</si>
  <si>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</si>
  <si>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03.2203</t>
  </si>
  <si>
    <t>MDAP4</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</si>
  <si>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</si>
  <si>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</si>
  <si>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</si>
  <si>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</si>
  <si>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</si>
  <si>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</si>
  <si>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</si>
  <si>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</si>
  <si>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</si>
  <si>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</si>
  <si>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</si>
  <si>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</si>
  <si>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</si>
  <si>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</si>
  <si>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</si>
  <si>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</si>
  <si>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</si>
  <si>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</si>
  <si>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</si>
  <si>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</si>
  <si>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</si>
  <si>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Đắp đá 1x2</t>
  </si>
  <si>
    <t>Đắp đá 2x4</t>
  </si>
  <si>
    <t>DTD2</t>
  </si>
  <si>
    <t>Đào rãnh tiếp địa đất cấp 2</t>
  </si>
  <si>
    <t>DTD3</t>
  </si>
  <si>
    <t>DTD4</t>
  </si>
  <si>
    <t>Đào rãnh tiếp địa đất cấp 4</t>
  </si>
  <si>
    <t>DATD2</t>
  </si>
  <si>
    <t>Đắp đất rãnh tiếp địa cấp 2</t>
  </si>
  <si>
    <t>DATD3</t>
  </si>
  <si>
    <t>DATD4</t>
  </si>
  <si>
    <t>Đắp đất rãnh tiếp địa cấp 4</t>
  </si>
  <si>
    <t>LGIA</t>
  </si>
  <si>
    <t>05.6101</t>
  </si>
  <si>
    <t>Lắp gía đỡ cáp</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</si>
  <si>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</si>
  <si>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</si>
  <si>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</si>
  <si>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</si>
  <si>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</si>
  <si>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</si>
  <si>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</si>
  <si>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</si>
  <si>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</si>
  <si>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</si>
  <si>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</si>
  <si>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</si>
  <si>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</si>
  <si>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</si>
  <si>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</si>
  <si>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</si>
  <si>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</si>
  <si>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</si>
  <si>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</si>
  <si>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</si>
  <si>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</si>
  <si>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</si>
  <si>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</si>
  <si>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</si>
  <si>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</si>
  <si>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</si>
  <si>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</si>
  <si>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</si>
  <si>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</si>
  <si>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</si>
  <si>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</si>
  <si>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</si>
  <si>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</si>
  <si>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</si>
  <si>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</si>
  <si>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</si>
  <si>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</si>
  <si>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</si>
  <si>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</si>
  <si>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</si>
  <si>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</si>
  <si>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</si>
  <si>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</si>
  <si>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</si>
  <si>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</si>
  <si>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</si>
  <si>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</si>
  <si>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</si>
  <si>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</si>
  <si>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</si>
  <si>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</si>
  <si>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</si>
  <si>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</si>
  <si>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</si>
  <si>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</si>
  <si>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</si>
  <si>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</si>
  <si>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</si>
  <si>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</si>
  <si>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</si>
  <si>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</si>
  <si>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</si>
  <si>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</si>
  <si>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</si>
  <si>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</si>
  <si>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</si>
  <si>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</si>
  <si>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</si>
  <si>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</si>
  <si>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</si>
  <si>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</si>
  <si>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</si>
  <si>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</si>
  <si>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</si>
  <si>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</si>
  <si>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</si>
  <si>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</si>
  <si>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</si>
  <si>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</si>
  <si>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</si>
  <si>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</si>
  <si>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</si>
  <si>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</si>
  <si>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</si>
  <si>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</si>
  <si>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</si>
  <si>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</si>
  <si>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</si>
  <si>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</si>
  <si>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</si>
  <si>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</si>
  <si>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</si>
  <si>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</si>
  <si>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</si>
  <si>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</si>
  <si>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</si>
  <si>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</si>
  <si>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</si>
  <si>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</si>
  <si>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</si>
  <si>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</si>
  <si>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</si>
  <si>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</si>
  <si>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</si>
  <si>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</si>
  <si>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</si>
  <si>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</si>
  <si>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</si>
  <si>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</si>
  <si>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</si>
  <si>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</si>
  <si>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</si>
  <si>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</si>
  <si>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</si>
  <si>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</si>
  <si>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</si>
  <si>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</si>
  <si>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</si>
  <si>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</si>
  <si>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</si>
  <si>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</si>
  <si>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</si>
  <si>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</si>
  <si>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</si>
  <si>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</si>
  <si>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</si>
  <si>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</si>
  <si>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</si>
  <si>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</si>
  <si>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</si>
  <si>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</si>
  <si>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</si>
  <si>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</si>
  <si>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</si>
  <si>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</si>
  <si>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</si>
  <si>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</si>
  <si>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</si>
  <si>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</si>
  <si>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</si>
  <si>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</si>
  <si>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</si>
  <si>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</si>
  <si>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</si>
  <si>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</si>
  <si>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</si>
  <si>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</si>
  <si>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</si>
  <si>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</si>
  <si>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</si>
  <si>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</si>
  <si>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</si>
  <si>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</si>
  <si>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</si>
  <si>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</si>
  <si>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</si>
  <si>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</si>
  <si>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</si>
  <si>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</si>
  <si>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</si>
  <si>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</si>
  <si>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</si>
  <si>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</si>
  <si>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</si>
  <si>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</si>
  <si>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</si>
  <si>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</si>
  <si>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</si>
  <si>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</si>
  <si>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</si>
  <si>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</si>
  <si>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</si>
  <si>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</si>
  <si>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</si>
  <si>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</si>
  <si>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</si>
  <si>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</si>
  <si>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</si>
  <si>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</si>
  <si>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</si>
  <si>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</si>
  <si>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</si>
  <si>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</si>
  <si>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</si>
  <si>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</si>
  <si>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</si>
  <si>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</si>
  <si>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</si>
  <si>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</si>
  <si>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</si>
  <si>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</si>
  <si>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</si>
  <si>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</si>
  <si>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</si>
  <si>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</si>
  <si>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</si>
  <si>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021222</t>
  </si>
  <si>
    <t>V/c cát đen cự ly &lt;=300m</t>
  </si>
  <si>
    <t>021223</t>
  </si>
  <si>
    <t>V/c cát đen cự ly &lt;=500m</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</si>
  <si>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</si>
  <si>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</si>
  <si>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</si>
  <si>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</si>
  <si>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</si>
  <si>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</si>
  <si>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</si>
  <si>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</si>
  <si>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</si>
  <si>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</si>
  <si>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</si>
  <si>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</si>
  <si>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</si>
  <si>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</si>
  <si>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</si>
  <si>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</si>
  <si>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</si>
  <si>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</si>
  <si>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</si>
  <si>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</si>
  <si>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</si>
  <si>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</si>
  <si>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</si>
  <si>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</si>
  <si>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</si>
  <si>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</si>
  <si>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</si>
  <si>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</si>
  <si>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</si>
  <si>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</si>
  <si>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</si>
  <si>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</si>
  <si>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</si>
  <si>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</si>
  <si>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</si>
  <si>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</si>
  <si>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</si>
  <si>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</si>
  <si>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</si>
  <si>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</si>
  <si>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</si>
  <si>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</si>
  <si>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</si>
  <si>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</si>
  <si>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</si>
  <si>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</si>
  <si>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</si>
  <si>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</si>
  <si>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</si>
  <si>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</si>
  <si>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</si>
  <si>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</si>
  <si>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</si>
  <si>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</si>
  <si>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</si>
  <si>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</si>
  <si>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</si>
  <si>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</si>
  <si>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</si>
  <si>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</si>
  <si>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</si>
  <si>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</si>
  <si>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</si>
  <si>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</si>
  <si>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</si>
  <si>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Kéo dây tiếp địa trong TBA</t>
  </si>
  <si>
    <t>DCTD3</t>
  </si>
  <si>
    <t>Đóng cọc tiếp địa đất cấp 3</t>
  </si>
  <si>
    <t>DCTD4</t>
  </si>
  <si>
    <t>05.8003</t>
  </si>
  <si>
    <t>Đóng cọc tiếp địa đất cấp 4</t>
  </si>
  <si>
    <t>DCTDTBA</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</si>
  <si>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</si>
  <si>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</si>
  <si>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</si>
  <si>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</si>
  <si>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</si>
  <si>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</si>
  <si>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</si>
  <si>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</si>
  <si>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</si>
  <si>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</si>
  <si>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</si>
  <si>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</si>
  <si>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</si>
  <si>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</si>
  <si>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</si>
  <si>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</si>
  <si>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</si>
  <si>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</si>
  <si>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05.5221</t>
  </si>
  <si>
    <t>Dựng trụ BTLT &lt;8m thủ công +cơ giới</t>
  </si>
  <si>
    <t>C10m</t>
  </si>
  <si>
    <t>Dựng trụ BTLT &lt;10m thủ công +cơ giới</t>
  </si>
  <si>
    <t>C105m</t>
  </si>
  <si>
    <t>05.5223</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</si>
  <si>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</si>
  <si>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</si>
  <si>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</si>
  <si>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</si>
  <si>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</si>
  <si>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</si>
  <si>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</si>
  <si>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</si>
  <si>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</si>
  <si>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</si>
  <si>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</si>
  <si>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</si>
  <si>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Dựng trụ BTLT 10,5m trong TBA bằng thủ công + cơ giới</t>
  </si>
  <si>
    <t>LXIT</t>
  </si>
  <si>
    <t>Lắp xà đỡ ≤ 25kg</t>
  </si>
  <si>
    <t>LXITL</t>
  </si>
  <si>
    <t>Lắp xà đỡ ≤ 50kg</t>
  </si>
  <si>
    <t>LXINN</t>
  </si>
  <si>
    <t>Lắp xà néo ≤ 25kg</t>
  </si>
  <si>
    <t>LXIN</t>
  </si>
  <si>
    <t>Lắp xà néo ≤ 50kg</t>
  </si>
  <si>
    <t>LXINL</t>
  </si>
  <si>
    <t>Lắp xà néo ≤ 100kg</t>
  </si>
  <si>
    <t>LXID</t>
  </si>
  <si>
    <t>Lắp xà trụ ghép ≤ 140kg</t>
  </si>
  <si>
    <t>LXIDL</t>
  </si>
  <si>
    <t>Lắp xà trụ ghép ≤ 230kg</t>
  </si>
  <si>
    <t>LXHN1</t>
  </si>
  <si>
    <t>Lắp xà cột Pi loại ≤140kg/xà</t>
  </si>
  <si>
    <t>LXHN2</t>
  </si>
  <si>
    <t>Lắp xà cột Pi loại ≤ 230kg/xà</t>
  </si>
  <si>
    <t>LXHN3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</si>
  <si>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</si>
  <si>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</si>
  <si>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</si>
  <si>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</si>
  <si>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</si>
  <si>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</si>
  <si>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</si>
  <si>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</si>
  <si>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</si>
  <si>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</si>
  <si>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</si>
  <si>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</si>
  <si>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</si>
  <si>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</si>
  <si>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</si>
  <si>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</si>
  <si>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</si>
  <si>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</si>
  <si>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</si>
  <si>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</si>
  <si>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</si>
  <si>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</si>
  <si>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</si>
  <si>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</si>
  <si>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</si>
  <si>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</si>
  <si>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</si>
  <si>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Lắp bộ chống lệch</t>
  </si>
  <si>
    <t>LDN</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</si>
  <si>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</si>
  <si>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</si>
  <si>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</si>
  <si>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</si>
  <si>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</si>
  <si>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</si>
  <si>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</si>
  <si>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</si>
  <si>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</si>
  <si>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</si>
  <si>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</si>
  <si>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</si>
  <si>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</si>
  <si>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</si>
  <si>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</si>
  <si>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</si>
  <si>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</si>
  <si>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</si>
  <si>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</si>
  <si>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Đổ bê tông mác M150 đá 1x2</t>
  </si>
  <si>
    <t>DBT20012</t>
  </si>
  <si>
    <t>04.3323</t>
  </si>
  <si>
    <t>Đổ bê tông mác M200 đá 1x2</t>
  </si>
  <si>
    <t>LCT10</t>
  </si>
  <si>
    <t>04.1101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</si>
  <si>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</si>
  <si>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</si>
  <si>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</si>
  <si>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</si>
  <si>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</si>
  <si>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</si>
  <si>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</si>
  <si>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</si>
  <si>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</si>
  <si>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</si>
  <si>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</si>
  <si>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</si>
  <si>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</si>
  <si>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</si>
  <si>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</si>
  <si>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</si>
  <si>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</si>
  <si>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</si>
  <si>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</si>
  <si>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</si>
  <si>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</si>
  <si>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</si>
  <si>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</si>
  <si>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</si>
  <si>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Kéo dây nhôm bọc 35mm2</t>
  </si>
  <si>
    <t>KDA50B</t>
  </si>
  <si>
    <t>Kéo dây nhôm bọc 50mm2</t>
  </si>
  <si>
    <t>KDA70B</t>
  </si>
  <si>
    <t>Kéo dây nhôm bọc 70mm2</t>
  </si>
  <si>
    <t>KDA95B</t>
  </si>
  <si>
    <t>Kéo dây nhôm bọc 95mm2</t>
  </si>
  <si>
    <t>KDA120B</t>
  </si>
  <si>
    <t>Kéo dây nhôm bọc 120mm2</t>
  </si>
  <si>
    <t>KDA150B</t>
  </si>
  <si>
    <t>06.6108</t>
  </si>
  <si>
    <t>Kéo dây nhôm bọc 150mm2</t>
  </si>
  <si>
    <t>KDA185B</t>
  </si>
  <si>
    <t>Kéo dây nhôm bọc 185mm2</t>
  </si>
  <si>
    <t>KDA240B</t>
  </si>
  <si>
    <t>Kéo dây nhôm bọc 240mm2</t>
  </si>
  <si>
    <t>KDAABC150</t>
  </si>
  <si>
    <t>Kéo dây ABC 4x150mm2</t>
  </si>
  <si>
    <t>KDAABC120</t>
  </si>
  <si>
    <t>Kéo dây ABC 4x120mm2</t>
  </si>
  <si>
    <t>KDAABC95</t>
  </si>
  <si>
    <t>Kéo dây ABC 4x95mm2</t>
  </si>
  <si>
    <t>KDAABC70</t>
  </si>
  <si>
    <t>Kéo dây ABC 4x70mm2</t>
  </si>
  <si>
    <t>KDAABC50</t>
  </si>
  <si>
    <t>Kéo dây ABC 4x50mm2</t>
  </si>
  <si>
    <t>KDAC35</t>
  </si>
  <si>
    <t>Kéo dây nhôm lõi thép cỡ dây 35mm2</t>
  </si>
  <si>
    <t>KDAC50</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</si>
  <si>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</si>
  <si>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</si>
  <si>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</si>
  <si>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</si>
  <si>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</si>
  <si>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</si>
  <si>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</si>
  <si>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</si>
  <si>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</si>
  <si>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</si>
  <si>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</si>
  <si>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</si>
  <si>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</si>
  <si>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</si>
  <si>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</si>
  <si>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</si>
  <si>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</si>
  <si>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</si>
  <si>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</si>
  <si>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</si>
  <si>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</si>
  <si>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</si>
  <si>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</si>
  <si>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</si>
  <si>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</si>
  <si>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</si>
  <si>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</si>
  <si>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</si>
  <si>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</si>
  <si>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</si>
  <si>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</si>
  <si>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</si>
  <si>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</si>
  <si>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</si>
  <si>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</si>
  <si>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</si>
  <si>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</si>
  <si>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</si>
  <si>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</si>
  <si>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</si>
  <si>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</si>
  <si>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</si>
  <si>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</si>
  <si>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</si>
  <si>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</si>
  <si>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</si>
  <si>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</si>
  <si>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</si>
  <si>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</si>
  <si>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</si>
  <si>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</si>
  <si>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</si>
  <si>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</si>
  <si>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</si>
  <si>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</si>
  <si>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</si>
  <si>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</si>
  <si>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</si>
  <si>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</si>
  <si>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</si>
  <si>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</si>
  <si>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</si>
  <si>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</si>
  <si>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</si>
  <si>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</si>
  <si>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</si>
  <si>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07.2301</t>
  </si>
  <si>
    <t>Lắp ống sắt bảo vệ cáp qua đường d&lt;120mm</t>
  </si>
  <si>
    <t>07.2302</t>
  </si>
  <si>
    <t>Lắp ống sắt bảo vệ cáp qua đường d&lt;220mm</t>
  </si>
  <si>
    <t>LPVC42CL</t>
  </si>
  <si>
    <t>Lắp ống nhựa PVC D42</t>
  </si>
  <si>
    <t>LPVC60CL</t>
  </si>
  <si>
    <t>Lắp ống nhựa PVC D60</t>
  </si>
  <si>
    <t>LPVC90CL</t>
  </si>
  <si>
    <t>Lắp ống nhựa PVC D90</t>
  </si>
  <si>
    <t>LPVC114CL</t>
  </si>
  <si>
    <t>Lắp ống nhựa PVC D114</t>
  </si>
  <si>
    <t>LPVC140CL</t>
  </si>
  <si>
    <t>Lắp ống nhựa PVC D140</t>
  </si>
  <si>
    <t>LPVC</t>
  </si>
  <si>
    <t xml:space="preserve">Lắp ống PVC </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</si>
  <si>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</si>
  <si>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</si>
  <si>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</si>
  <si>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</si>
  <si>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</si>
  <si>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</si>
  <si>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</si>
  <si>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</si>
  <si>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</si>
  <si>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</si>
  <si>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03.1402</t>
  </si>
  <si>
    <t>Lắp cáp trong ống bảo vệ trong TBA loại &lt;=2kg</t>
  </si>
  <si>
    <t>03.1403</t>
  </si>
  <si>
    <t>Lắp cáp trong ống bảo vệ trong TBA loại &lt;=3kg</t>
  </si>
  <si>
    <t>03.1404</t>
  </si>
  <si>
    <t>Lắp cáp trong ống bảo vệ trong TBA loại &lt;=4.5kg</t>
  </si>
  <si>
    <t>03.1405</t>
  </si>
  <si>
    <t>Lắp cáp trong ống bảo vệ trong TBA loại &lt;=6kg</t>
  </si>
  <si>
    <t>03.1406</t>
  </si>
  <si>
    <t>Lắp cáp trong ống bảo vệ trong TBA loại &lt;=7.5kg</t>
  </si>
  <si>
    <t>03.1407</t>
  </si>
  <si>
    <t>Lắp cáp trong ống bảo vệ trong TBA loại &lt;=9kg</t>
  </si>
  <si>
    <t>LSD</t>
  </si>
  <si>
    <t>06.1115</t>
  </si>
  <si>
    <t>Lắp sứ đứng 24KV</t>
  </si>
  <si>
    <t>LSD_T</t>
  </si>
  <si>
    <t>Tháo sứ đứng 24KV</t>
  </si>
  <si>
    <t>06.1116</t>
  </si>
  <si>
    <t>Lắp sứ đứng 35KV</t>
  </si>
  <si>
    <t>LCHSD</t>
  </si>
  <si>
    <t>06.1410</t>
  </si>
  <si>
    <t>Lắp chuỗi sứ đỡ 2 bát/chuỗi</t>
  </si>
  <si>
    <t>LCHSN</t>
  </si>
  <si>
    <t>06.1511</t>
  </si>
  <si>
    <t>Lắp chuỗi sứ néo 2 bát/chuỗi</t>
  </si>
  <si>
    <t>Lắp chuỗi sứ néo Polymer</t>
  </si>
  <si>
    <t>LCHSN3</t>
  </si>
  <si>
    <t>06.1521</t>
  </si>
  <si>
    <t>Lắp chuỗi sứ néo 3 bát/chuỗi</t>
  </si>
  <si>
    <t>LSOC</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</si>
  <si>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</si>
  <si>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</si>
  <si>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</si>
  <si>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</si>
  <si>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</si>
  <si>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</si>
  <si>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</si>
  <si>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</si>
  <si>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</si>
  <si>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</si>
  <si>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</si>
  <si>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</si>
  <si>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</si>
  <si>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</si>
  <si>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</si>
  <si>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</si>
  <si>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</si>
  <si>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</si>
  <si>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</si>
  <si>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</si>
  <si>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</si>
  <si>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</si>
  <si>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</si>
  <si>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</si>
  <si>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</si>
  <si>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</si>
  <si>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</si>
  <si>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</si>
  <si>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</si>
  <si>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</si>
  <si>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</si>
  <si>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</si>
  <si>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</si>
  <si>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</si>
  <si>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Sơn biển số- bảng nguy hiểm</t>
  </si>
  <si>
    <t>Lắp cáp đồng xuống thiết bị D ≤ 95mm2</t>
  </si>
  <si>
    <t>Lắp cáp đồng xuống thiết bị D ≤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</si>
  <si>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</si>
  <si>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</si>
  <si>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</si>
  <si>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</si>
  <si>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</si>
  <si>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</si>
  <si>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</si>
  <si>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</si>
  <si>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</si>
  <si>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</si>
  <si>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</si>
  <si>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</si>
  <si>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</si>
  <si>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M</t>
  </si>
  <si>
    <t>TR15</t>
  </si>
  <si>
    <t>01.1161</t>
  </si>
  <si>
    <t>máy</t>
  </si>
  <si>
    <t>TR25</t>
  </si>
  <si>
    <t>TR37</t>
  </si>
  <si>
    <t>01.1162</t>
  </si>
  <si>
    <t>TR50</t>
  </si>
  <si>
    <t>TR75</t>
  </si>
  <si>
    <t>01.1163</t>
  </si>
  <si>
    <t>T100</t>
  </si>
  <si>
    <t>01.1164</t>
  </si>
  <si>
    <t>TR151</t>
  </si>
  <si>
    <t>Máy biến áp 12,7/0,22-0,44kV  15kVA</t>
  </si>
  <si>
    <t>TR251</t>
  </si>
  <si>
    <t>Máy biến áp 12,7/0,22-0,44kV  25kVA</t>
  </si>
  <si>
    <t>Máy biến áp 12,7/0,22-0,44kV  37,5kVA</t>
  </si>
  <si>
    <t>TR501</t>
  </si>
  <si>
    <t>Máy biến áp 12,7/0,22-0,44kV  50kVA</t>
  </si>
  <si>
    <t>TR751</t>
  </si>
  <si>
    <t>Máy biến áp 12,7/0,22-0,44kV  75kVA</t>
  </si>
  <si>
    <t>T1001</t>
  </si>
  <si>
    <t>TR100</t>
  </si>
  <si>
    <t>TR160</t>
  </si>
  <si>
    <t>TR180</t>
  </si>
  <si>
    <t>TR250</t>
  </si>
  <si>
    <t>TR320</t>
  </si>
  <si>
    <t>TR400</t>
  </si>
  <si>
    <t>TR560</t>
  </si>
  <si>
    <t>TR630</t>
  </si>
  <si>
    <t>TR750</t>
  </si>
  <si>
    <t>TR1000</t>
  </si>
  <si>
    <t>TR1250</t>
  </si>
  <si>
    <t>TR1500</t>
  </si>
  <si>
    <t>TR1600</t>
  </si>
  <si>
    <t>TR2000</t>
  </si>
  <si>
    <t>TR2500</t>
  </si>
  <si>
    <t>TR3000</t>
  </si>
  <si>
    <t>TR4000</t>
  </si>
  <si>
    <t>TR1001</t>
  </si>
  <si>
    <t>TR1601</t>
  </si>
  <si>
    <t>Máy biến áp 22/0,4kV  160kVA</t>
  </si>
  <si>
    <t>TR1801</t>
  </si>
  <si>
    <t>TR2501</t>
  </si>
  <si>
    <t>Máy biến áp 22/0,4kV- 250kVA</t>
  </si>
  <si>
    <t>TR3201</t>
  </si>
  <si>
    <t>Máy biến áp 22/0,4kV- 320kVA</t>
  </si>
  <si>
    <t>TR4001</t>
  </si>
  <si>
    <t>Máy biến áp 22/0,4kV- 400kVA</t>
  </si>
  <si>
    <t>TR5601</t>
  </si>
  <si>
    <t>Máy biến áp 22/0,4kV- 560kVA</t>
  </si>
  <si>
    <t>TR6301</t>
  </si>
  <si>
    <t>Máy biến áp 22/0,4kV- 630kVA</t>
  </si>
  <si>
    <t>TR7501</t>
  </si>
  <si>
    <t>Máy biến áp 22/0,4kV- 750kVA</t>
  </si>
  <si>
    <t>TR7601</t>
  </si>
  <si>
    <t>TR10001</t>
  </si>
  <si>
    <t>Máy biến áp 22/0,4kV- 1000kVA</t>
  </si>
  <si>
    <t>TR12501</t>
  </si>
  <si>
    <t>TR15001</t>
  </si>
  <si>
    <t>TR16001</t>
  </si>
  <si>
    <t>TR20001</t>
  </si>
  <si>
    <t>TR25001</t>
  </si>
  <si>
    <t>TR30001</t>
  </si>
  <si>
    <t>TR40001</t>
  </si>
  <si>
    <t>FCO100-15</t>
  </si>
  <si>
    <t>02.3504</t>
  </si>
  <si>
    <t>FCO 24kV - 100A</t>
  </si>
  <si>
    <t>FCO200-15</t>
  </si>
  <si>
    <t xml:space="preserve">FCO 24KV - 200A </t>
  </si>
  <si>
    <t>FCO100-22</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</si>
  <si>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</si>
  <si>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</si>
  <si>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</si>
  <si>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</si>
  <si>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</si>
  <si>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</si>
  <si>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</si>
  <si>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</si>
  <si>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</si>
  <si>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</si>
  <si>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</si>
  <si>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</si>
  <si>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</si>
  <si>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</si>
  <si>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</si>
  <si>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</si>
  <si>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</si>
  <si>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</si>
  <si>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</si>
  <si>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</si>
  <si>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</si>
  <si>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</si>
  <si>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</si>
  <si>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</si>
  <si>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</si>
  <si>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</si>
  <si>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</si>
  <si>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</si>
  <si>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</si>
  <si>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LA12</t>
  </si>
  <si>
    <t>02.5114</t>
  </si>
  <si>
    <t>LA 12kV 10kA</t>
  </si>
  <si>
    <t>LA18</t>
  </si>
  <si>
    <t>TI10</t>
  </si>
  <si>
    <t>TI15</t>
  </si>
  <si>
    <t>TI20</t>
  </si>
  <si>
    <t>TI25</t>
  </si>
  <si>
    <t>TI30</t>
  </si>
  <si>
    <t>TI40</t>
  </si>
  <si>
    <t>TI50</t>
  </si>
  <si>
    <t>TI60</t>
  </si>
  <si>
    <t>TI75</t>
  </si>
  <si>
    <t>TI100</t>
  </si>
  <si>
    <t>TI150</t>
  </si>
  <si>
    <t>TI755</t>
  </si>
  <si>
    <t xml:space="preserve">Biến dòng 600V - 75/5A </t>
  </si>
  <si>
    <t>Biến dòng 600V - 100/5A</t>
  </si>
  <si>
    <t xml:space="preserve">Biến dòng 600V - 125/5A </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</si>
  <si>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</si>
  <si>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</si>
  <si>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</si>
  <si>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</si>
  <si>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</si>
  <si>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</si>
  <si>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</si>
  <si>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</si>
  <si>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</si>
  <si>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</si>
  <si>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</si>
  <si>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</si>
  <si>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</si>
  <si>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</si>
  <si>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</si>
  <si>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</si>
  <si>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</si>
  <si>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</si>
  <si>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</si>
  <si>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</si>
  <si>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</si>
  <si>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</si>
  <si>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</si>
  <si>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</si>
  <si>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</si>
  <si>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</si>
  <si>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</si>
  <si>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</si>
  <si>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tủ</t>
  </si>
  <si>
    <t>TUBU750</t>
  </si>
  <si>
    <t>TUBU600</t>
  </si>
  <si>
    <t>TUBU400</t>
  </si>
  <si>
    <t>TUBU380</t>
  </si>
  <si>
    <t>TUBU300</t>
  </si>
  <si>
    <t>TUBU250</t>
  </si>
  <si>
    <t>TUBU220</t>
  </si>
  <si>
    <t>TUBU160</t>
  </si>
  <si>
    <t>TUBU135</t>
  </si>
  <si>
    <t>TUBU130</t>
  </si>
  <si>
    <t>TUBU100</t>
  </si>
  <si>
    <t>TUBU95</t>
  </si>
  <si>
    <t>TUBU80</t>
  </si>
  <si>
    <t>TUBU60</t>
  </si>
  <si>
    <t>TUBU40</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</si>
  <si>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</si>
  <si>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</si>
  <si>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</si>
  <si>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</si>
  <si>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</si>
  <si>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</si>
  <si>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</si>
  <si>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</si>
  <si>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</si>
  <si>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</si>
  <si>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</si>
  <si>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</si>
  <si>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</si>
  <si>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</si>
  <si>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</si>
  <si>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</si>
  <si>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</si>
  <si>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Tủ CB trạm 3 pha + khoá + bulon</t>
  </si>
  <si>
    <t>TUAP1</t>
  </si>
  <si>
    <t>05.1101</t>
  </si>
  <si>
    <t>Tủ CB trạm 1 pha + khóa + boulon</t>
  </si>
  <si>
    <t>TUN</t>
  </si>
  <si>
    <t>Tủ điện kế 1 pha</t>
  </si>
  <si>
    <t>TUDKDT</t>
  </si>
  <si>
    <t>Thùng điện kế 450x300x200mm đo đếm trung thế</t>
  </si>
  <si>
    <t>TUAP3</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</si>
  <si>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</si>
  <si>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</si>
  <si>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</si>
  <si>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</si>
  <si>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</si>
  <si>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</si>
  <si>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</si>
  <si>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</si>
  <si>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</si>
  <si>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</si>
  <si>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</si>
  <si>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</si>
  <si>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</si>
  <si>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MCCB 3 cực 400V-50A - 25KA</t>
  </si>
  <si>
    <t>ATM80</t>
  </si>
  <si>
    <t>MCCB 3 cực 400V-80A - 10KA</t>
  </si>
  <si>
    <t>ATM75</t>
  </si>
  <si>
    <t>MCCB 3 cực 400V-75A - 10KA</t>
  </si>
  <si>
    <t>ATM100</t>
  </si>
  <si>
    <t>MCCB 3 cực 400V-100A - 30KA</t>
  </si>
  <si>
    <t>ATM125</t>
  </si>
  <si>
    <t>MCCB 3 cực 400V -125A - 30KA</t>
  </si>
  <si>
    <t>ATM150</t>
  </si>
  <si>
    <t>MCCB 3 cực 400V -150A - 35KA</t>
  </si>
  <si>
    <t>ATM200</t>
  </si>
  <si>
    <t>MCCB 3 cực 400V -200A - 35KA</t>
  </si>
  <si>
    <t>ATM250</t>
  </si>
  <si>
    <t xml:space="preserve">MCCB 3 cực 400V -250A - 35KA </t>
  </si>
  <si>
    <t>ATM400</t>
  </si>
  <si>
    <t>MCCB 3 cực 400V -400A - 35KA</t>
  </si>
  <si>
    <t>ATM500</t>
  </si>
  <si>
    <t>MCCB 3 cực 400V - 500A/35KA</t>
  </si>
  <si>
    <t>ATM600</t>
  </si>
  <si>
    <t>MCCB 3 cực 400V -600A - 35KA</t>
  </si>
  <si>
    <t>ATM630</t>
  </si>
  <si>
    <t>MCCB 3 cực 400V -630A - 35KA</t>
  </si>
  <si>
    <t>ATM800</t>
  </si>
  <si>
    <t>MCCB 3 cực 400V -800A - 50KA</t>
  </si>
  <si>
    <t>ATM1000</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</si>
  <si>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</si>
  <si>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</si>
  <si>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</si>
  <si>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</si>
  <si>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</si>
  <si>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</si>
  <si>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</si>
  <si>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</si>
  <si>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</si>
  <si>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</si>
  <si>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</si>
  <si>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</si>
  <si>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</si>
  <si>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</si>
  <si>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</si>
  <si>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</si>
  <si>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</si>
  <si>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</si>
  <si>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</si>
  <si>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</si>
  <si>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</si>
  <si>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</si>
  <si>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</si>
  <si>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</si>
  <si>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</si>
  <si>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</si>
  <si>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</si>
  <si>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</si>
  <si>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</si>
  <si>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</si>
  <si>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</si>
  <si>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</si>
  <si>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</si>
  <si>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</si>
  <si>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</si>
  <si>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</si>
  <si>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</si>
  <si>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</si>
  <si>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</si>
  <si>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</si>
  <si>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</si>
  <si>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</si>
  <si>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</si>
  <si>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</si>
  <si>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</si>
  <si>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</si>
  <si>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</si>
  <si>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</si>
  <si>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</si>
  <si>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</si>
  <si>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</si>
  <si>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</si>
  <si>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</si>
  <si>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</si>
  <si>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Điện kế 1 pha 2 dây 220V-100A</t>
  </si>
  <si>
    <t>Điện kế 1 pha 2 dây 220V-80A</t>
  </si>
  <si>
    <t>Điện kế 1 pha 2 dây 220V-5A</t>
  </si>
  <si>
    <t>05.5104</t>
  </si>
  <si>
    <t>Điện kế 3 pha 4 dây 220/380V-5A</t>
  </si>
  <si>
    <t>DK3DT</t>
  </si>
  <si>
    <t>Điện kế 3 pha điện tử 120(60)V-5A</t>
  </si>
  <si>
    <t>DK3P</t>
  </si>
  <si>
    <t>Điện năng kế 3 pha 380V-5A</t>
  </si>
  <si>
    <t>BANG</t>
  </si>
  <si>
    <t>GTD</t>
  </si>
  <si>
    <t>Giếng tiếp địa khoan đất</t>
  </si>
  <si>
    <t>Cái</t>
  </si>
  <si>
    <t>GTDĐ</t>
  </si>
  <si>
    <t>Giếng tiếp địa khoan đá</t>
  </si>
  <si>
    <t>04.2301</t>
  </si>
  <si>
    <t>Sứ xuyên tường 24kV</t>
  </si>
  <si>
    <t>Gía lắp sứ xuyên tường</t>
  </si>
  <si>
    <t>GCAP</t>
  </si>
  <si>
    <t>Giá đỡ cáp ngầm (V63x6)</t>
  </si>
  <si>
    <t>SDTC</t>
  </si>
  <si>
    <t>04.2201</t>
  </si>
  <si>
    <t>Sứ đỡ thanh cái 24kV</t>
  </si>
  <si>
    <t>TC450</t>
  </si>
  <si>
    <t>04.5102</t>
  </si>
  <si>
    <t>Thanh cái đồng 4x50</t>
  </si>
  <si>
    <t>TC430</t>
  </si>
  <si>
    <t>Thanh cái đồng 4x30</t>
  </si>
  <si>
    <t>TC420</t>
  </si>
  <si>
    <t>04.5101</t>
  </si>
  <si>
    <t>Thanh cái đồng 4x20</t>
  </si>
  <si>
    <t>Giá đỡ cáp trung thế</t>
  </si>
  <si>
    <t>Giá đỡ cáp trung hạ thế</t>
  </si>
  <si>
    <t xml:space="preserve">Giá đỡ cáp hạ thế </t>
  </si>
  <si>
    <t>GTMBA15</t>
  </si>
  <si>
    <t>Gía chùm treo máy biến áp 3x15</t>
  </si>
  <si>
    <t>bô</t>
  </si>
  <si>
    <t>GTMBA25</t>
  </si>
  <si>
    <t>Gía chùm treo máy biến áp 3x25</t>
  </si>
  <si>
    <t>Gía chùm treo máy biến áp 3x37,5</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</si>
  <si>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</si>
  <si>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</si>
  <si>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</si>
  <si>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</si>
  <si>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</si>
  <si>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</si>
  <si>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</si>
  <si>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</si>
  <si>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</si>
  <si>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</si>
  <si>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</si>
  <si>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</si>
  <si>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</si>
  <si>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</si>
  <si>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</si>
  <si>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</si>
  <si>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</si>
  <si>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</si>
  <si>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</si>
  <si>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</si>
  <si>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</si>
  <si>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</si>
  <si>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</si>
  <si>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</si>
  <si>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</si>
  <si>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</si>
  <si>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</si>
  <si>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</si>
  <si>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</si>
  <si>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</si>
  <si>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</si>
  <si>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</si>
  <si>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</si>
  <si>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</si>
  <si>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</si>
  <si>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</si>
  <si>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</si>
  <si>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</si>
  <si>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</si>
  <si>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</si>
  <si>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</si>
  <si>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</si>
  <si>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</si>
  <si>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</si>
  <si>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Đầu cosse ép Cu 250mm2</t>
  </si>
  <si>
    <t>COS300</t>
  </si>
  <si>
    <t>Đầu cosse ép Cu 300mm2</t>
  </si>
  <si>
    <t>CHCOS11</t>
  </si>
  <si>
    <t>CHCOS16</t>
  </si>
  <si>
    <t>CHCOS25</t>
  </si>
  <si>
    <t>CHCOS35</t>
  </si>
  <si>
    <t>CHCOS50</t>
  </si>
  <si>
    <t>CHCOS70</t>
  </si>
  <si>
    <t>CHCOS95</t>
  </si>
  <si>
    <t>CHCOS120</t>
  </si>
  <si>
    <t>CHCOS150</t>
  </si>
  <si>
    <t>CHCOS185</t>
  </si>
  <si>
    <t>CHCOS200</t>
  </si>
  <si>
    <t>CHCOS240</t>
  </si>
  <si>
    <t>CHCOS250</t>
  </si>
  <si>
    <t>CHCOS300</t>
  </si>
  <si>
    <t>Cáp điện kế DK - 2x11</t>
  </si>
  <si>
    <t>Cáp điều khiển 7x1,5</t>
  </si>
  <si>
    <t>Cáp Duplex Cu 2x11</t>
  </si>
  <si>
    <t>Cáp Triplex 3x11</t>
  </si>
  <si>
    <t>Cáp Triplex 3x16</t>
  </si>
  <si>
    <t>Duplex 411</t>
  </si>
  <si>
    <t>Cáp Quadruplex 4x11</t>
  </si>
  <si>
    <t>Duplex 416</t>
  </si>
  <si>
    <t>Cáp Quadruplex 4x16</t>
  </si>
  <si>
    <t>DENHQ</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</si>
  <si>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</si>
  <si>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</si>
  <si>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</si>
  <si>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</si>
  <si>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</si>
  <si>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</si>
  <si>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</si>
  <si>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</si>
  <si>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</si>
  <si>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</si>
  <si>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</si>
  <si>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</si>
  <si>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</si>
  <si>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</si>
  <si>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</si>
  <si>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</si>
  <si>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</si>
  <si>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</si>
  <si>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</si>
  <si>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</si>
  <si>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</si>
  <si>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</si>
  <si>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</si>
  <si>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</si>
  <si>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</si>
  <si>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</si>
  <si>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</si>
  <si>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</si>
  <si>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</si>
  <si>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</si>
  <si>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</si>
  <si>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</si>
  <si>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</si>
  <si>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</si>
  <si>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</si>
  <si>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 xml:space="preserve">Ống PVC D90x3,8mm </t>
  </si>
  <si>
    <t>PVC60</t>
  </si>
  <si>
    <t>Ống PVC D60x2,8mm</t>
  </si>
  <si>
    <t>PVC49</t>
  </si>
  <si>
    <t>Ống PVC D49x2,4mm</t>
  </si>
  <si>
    <t>PVC42</t>
  </si>
  <si>
    <t>Ống PVC D42x2,1mm</t>
  </si>
  <si>
    <t>PVC21</t>
  </si>
  <si>
    <t xml:space="preserve">Ống PVC D21x1,6mm </t>
  </si>
  <si>
    <t>ODH42</t>
  </si>
  <si>
    <t>Oáng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</si>
  <si>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</si>
  <si>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</si>
  <si>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</si>
  <si>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</si>
  <si>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</si>
  <si>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</si>
  <si>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</si>
  <si>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</si>
  <si>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</si>
  <si>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</si>
  <si>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</si>
  <si>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</si>
  <si>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</si>
  <si>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</si>
  <si>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</si>
  <si>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</si>
  <si>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</si>
  <si>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</si>
  <si>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</si>
  <si>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</si>
  <si>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</si>
  <si>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</si>
  <si>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</si>
  <si>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CUT114T</t>
  </si>
  <si>
    <t>CUT114</t>
  </si>
  <si>
    <t>Co sừng 90 độ PVC 114</t>
  </si>
  <si>
    <t>Co 90 độ PVC 140</t>
  </si>
  <si>
    <t>CUT140</t>
  </si>
  <si>
    <t>Co sừng 90 độ PVC 140</t>
  </si>
  <si>
    <t>CUT168</t>
  </si>
  <si>
    <t>Co sừng 90 độ PVC 168</t>
  </si>
  <si>
    <t>NPVC140</t>
  </si>
  <si>
    <t>Nối ống PVC 140</t>
  </si>
  <si>
    <t>NPVC114</t>
  </si>
  <si>
    <t>Nối ống PVC 114</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</si>
  <si>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</si>
  <si>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</si>
  <si>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</si>
  <si>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</si>
  <si>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</si>
  <si>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</si>
  <si>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</si>
  <si>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</si>
  <si>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</si>
  <si>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</si>
  <si>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</si>
  <si>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BAKEDKDT</t>
  </si>
  <si>
    <t>Bakelit 350x510 dầy 5mm</t>
  </si>
  <si>
    <t xml:space="preserve">Bakelit 300x200 dầy 5mm </t>
  </si>
  <si>
    <t>BANGG</t>
  </si>
  <si>
    <t>Bảng gắn aptomat và điện kế dày 15mm</t>
  </si>
  <si>
    <t>BANGNHUA</t>
  </si>
  <si>
    <t>Bảng nhựa gắn tủ điện kế điện tử</t>
  </si>
  <si>
    <t>BANGKEO</t>
  </si>
  <si>
    <t>cuộn</t>
  </si>
  <si>
    <t>KEOBIT</t>
  </si>
  <si>
    <t>Keo silicon bít miệng ống</t>
  </si>
  <si>
    <t>ống</t>
  </si>
  <si>
    <t>KEM</t>
  </si>
  <si>
    <t>Kẽm</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</si>
  <si>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</si>
  <si>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</si>
  <si>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</si>
  <si>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</si>
  <si>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</si>
  <si>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</si>
  <si>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</si>
  <si>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</si>
  <si>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</si>
  <si>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</si>
  <si>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</si>
  <si>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</si>
  <si>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</si>
  <si>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</si>
  <si>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</si>
  <si>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</si>
  <si>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</si>
  <si>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</si>
  <si>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</si>
  <si>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</si>
  <si>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</si>
  <si>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OXC1/0</t>
  </si>
  <si>
    <t>OXC2/0</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</si>
  <si>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</si>
  <si>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</si>
  <si>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</si>
  <si>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</si>
  <si>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</si>
  <si>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</si>
  <si>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</si>
  <si>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</si>
  <si>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</si>
  <si>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</si>
  <si>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</si>
  <si>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</si>
  <si>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</si>
  <si>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</si>
  <si>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</si>
  <si>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</si>
  <si>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</si>
  <si>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</si>
  <si>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</si>
  <si>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</si>
  <si>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</si>
  <si>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</si>
  <si>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</si>
  <si>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</si>
  <si>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</si>
  <si>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</si>
  <si>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Gia công và lắp dựng cột báo hiệu cao 9m</t>
  </si>
  <si>
    <t>Tấn</t>
  </si>
  <si>
    <t>Gia công và lắp dựng bảng báo hiệu</t>
  </si>
  <si>
    <t>LTC</t>
  </si>
  <si>
    <t>Gia công và lắp thanh cái và phụ kiện trong tủ</t>
  </si>
  <si>
    <t>Sơn cột báo hiệu</t>
  </si>
  <si>
    <t>Sơn biển báo hiệu</t>
  </si>
  <si>
    <t>VCT</t>
  </si>
  <si>
    <t>Vận Chuyển thép</t>
  </si>
  <si>
    <t>U16-280</t>
  </si>
  <si>
    <t>U20-280</t>
  </si>
  <si>
    <t>U1008</t>
  </si>
  <si>
    <t>U8034</t>
  </si>
  <si>
    <t>Đà sắt U80x340</t>
  </si>
  <si>
    <t>U1004</t>
  </si>
  <si>
    <t>XATUTI</t>
  </si>
  <si>
    <t>AK1</t>
  </si>
  <si>
    <t xml:space="preserve">Ampe kế 100/5A-600v +AS </t>
  </si>
  <si>
    <t>VK1</t>
  </si>
  <si>
    <t>Volt kế 500V + VS + 2xChì ống 1A-230V</t>
  </si>
  <si>
    <t>AVK1</t>
  </si>
  <si>
    <t>Bộ Ampe kế + Volt kế (trạm 1 pha)</t>
  </si>
  <si>
    <t>AVK3</t>
  </si>
  <si>
    <t>Bộ Ampe kế + Volt kế (trạm 3 pha)</t>
  </si>
  <si>
    <t>Hơi Axetylen</t>
  </si>
  <si>
    <t>GIP11-11</t>
  </si>
  <si>
    <t>GIP22-11</t>
  </si>
  <si>
    <t>GIP22-22</t>
  </si>
  <si>
    <t>GIP50-35</t>
  </si>
  <si>
    <t>GIP70-35</t>
  </si>
  <si>
    <t>GIP70-25</t>
  </si>
  <si>
    <t>GIP120-35</t>
  </si>
  <si>
    <t>GIP50-50</t>
  </si>
  <si>
    <t>Ghíp nối IPC 50-50</t>
  </si>
  <si>
    <t>GIP70-50</t>
  </si>
  <si>
    <t>Ghíp nối IPC 70-50</t>
  </si>
  <si>
    <t>GIP95-50</t>
  </si>
  <si>
    <t>Ghíp nối IPC 95-50</t>
  </si>
  <si>
    <t>GIP120-50</t>
  </si>
  <si>
    <t>Ghíp nối IPC 120-50</t>
  </si>
  <si>
    <t>GIP70-70</t>
  </si>
  <si>
    <t>Ghíp nối IPC 70-70</t>
  </si>
  <si>
    <t>GIP95-70</t>
  </si>
  <si>
    <t>Ghíp nối IPC 95-70</t>
  </si>
  <si>
    <t>GIP120-70</t>
  </si>
  <si>
    <t>Ghíp nối IPC 120-70</t>
  </si>
  <si>
    <t>GIP95-95</t>
  </si>
  <si>
    <t>Ghíp nối IPC 95-95</t>
  </si>
  <si>
    <t>GIP95-120</t>
  </si>
  <si>
    <t>Ghíp nối IPC 95-120</t>
  </si>
  <si>
    <t>GIP95-150</t>
  </si>
  <si>
    <t>Ghíp nối IPC 95-150</t>
  </si>
  <si>
    <t>KQDUPLEX35</t>
  </si>
  <si>
    <t>Kéo dây quadruplex CV-4x35-0.6/1kV</t>
  </si>
  <si>
    <t>KQDUPLEX22</t>
  </si>
  <si>
    <t>Kéo dây quadruplex CV-4x22-0.6/1kV</t>
  </si>
  <si>
    <t>KQDUPLEX16</t>
  </si>
  <si>
    <t>Kéo dây quadruplex CV-4x16-0.6/1kV</t>
  </si>
  <si>
    <t>KQDUPLEX14</t>
  </si>
  <si>
    <t>Kéo dây quadruplex CV-4x14-0.6/1kV</t>
  </si>
  <si>
    <t>KQDUPLEX11</t>
  </si>
  <si>
    <t>Kéo dây quadruplex CV-4x11-0.6/1kV</t>
  </si>
  <si>
    <t>Kéo dây triplex CV-3x16-0.6/1kV</t>
  </si>
  <si>
    <t>KDUPLEX11</t>
  </si>
  <si>
    <t>Kéo dây duplex CV-2x11-0.6/1kV</t>
  </si>
  <si>
    <t>Đĩa sứ trắng báo hiệu cáp ngầm</t>
  </si>
  <si>
    <t>Đèn báo hiệu pha 5W-220V</t>
  </si>
  <si>
    <t>TUDKCS</t>
  </si>
  <si>
    <t>Tủ điều khiển chiếu sáng</t>
  </si>
  <si>
    <t>TRTHEP6</t>
  </si>
  <si>
    <t>TRTHEP7</t>
  </si>
  <si>
    <t>cần</t>
  </si>
  <si>
    <t>Choá đèn + bóng 250W (CĐT cung cấp)</t>
  </si>
  <si>
    <t>Lắp trụ BTLT ≤ 10m bằng cơ giới</t>
  </si>
  <si>
    <t>Luồn dây lên đèn</t>
  </si>
  <si>
    <t>KCAPDEN25</t>
  </si>
  <si>
    <t>CS4.04.010</t>
  </si>
  <si>
    <t>Lắp rải cáp ngầm chiếu sáng</t>
  </si>
  <si>
    <t>LDAUCAPCS</t>
  </si>
  <si>
    <t>CS4.03.010</t>
  </si>
  <si>
    <t>Lắp đầu cáp ngầm chiếu sáng</t>
  </si>
  <si>
    <t>DMCS</t>
  </si>
  <si>
    <t>CS1.01.160</t>
  </si>
  <si>
    <t>Đào đất mương cáp CS</t>
  </si>
  <si>
    <t>DDMCS3</t>
  </si>
  <si>
    <t>CS1.02.023</t>
  </si>
  <si>
    <t>Đắp đất mương cáp CS đất cấp 3</t>
  </si>
  <si>
    <t>CS1.02.024</t>
  </si>
  <si>
    <t>Đắp cát mương cáp CS</t>
  </si>
  <si>
    <t>CS1.01.140</t>
  </si>
  <si>
    <t>Đào móng trụ CS sâu ≤ 1m trên vỉa hè</t>
  </si>
  <si>
    <t>CS1.01.150</t>
  </si>
  <si>
    <t>Đào móng trụ CS sâu &gt;1m trên vỉa hè</t>
  </si>
  <si>
    <t>CS1.02.013</t>
  </si>
  <si>
    <t>Đắp đất móng trụ CS, đất cấp 3</t>
  </si>
  <si>
    <t>CS1.02.014</t>
  </si>
  <si>
    <t>Đắp cát móng trụ CS</t>
  </si>
  <si>
    <t>CS3.07.012</t>
  </si>
  <si>
    <t>Đóng cọc tiếp địa hệ thống CS</t>
  </si>
  <si>
    <t>DBTM150CS</t>
  </si>
  <si>
    <t>CS2.01.011</t>
  </si>
  <si>
    <t>Đổ bêtông móng trụ M150 &lt;=250cm</t>
  </si>
  <si>
    <t>DBT20012CS</t>
  </si>
  <si>
    <t>Đổ betông M200 đá 1x2 (Nhân công đã qui đổi về ĐG chiếu sáng)</t>
  </si>
  <si>
    <t>Ống sắt tráng kẽm D42</t>
  </si>
  <si>
    <t>Ống sắt tráng kẽm D60</t>
  </si>
  <si>
    <t>Ống sắt tráng kẽm D90</t>
  </si>
  <si>
    <t>Ống sắt tráng kẽm D114</t>
  </si>
  <si>
    <t>Ống sắt tráng kẽm D140</t>
  </si>
  <si>
    <t>Ống sắt tráng kẽm D160</t>
  </si>
  <si>
    <t>Ống sắt tráng kẽm D168</t>
  </si>
  <si>
    <t>MBA</t>
  </si>
  <si>
    <t>MÃ</t>
  </si>
  <si>
    <t>SỐ HIỆU</t>
  </si>
  <si>
    <t>ĐƠN</t>
  </si>
  <si>
    <t>KHỐI</t>
  </si>
  <si>
    <t>ĐƠN GIÁ</t>
  </si>
  <si>
    <t>VỊ</t>
  </si>
  <si>
    <t>LƯỢNG</t>
  </si>
  <si>
    <t>M7</t>
  </si>
  <si>
    <t>Móng M7</t>
  </si>
  <si>
    <t>Móng</t>
  </si>
  <si>
    <t>M7a</t>
  </si>
  <si>
    <t>Móng M7a</t>
  </si>
  <si>
    <t>d12</t>
  </si>
  <si>
    <t>b22550</t>
  </si>
  <si>
    <t>D2X4</t>
  </si>
  <si>
    <t>bocdc</t>
  </si>
  <si>
    <t>d15</t>
  </si>
  <si>
    <t>M8</t>
  </si>
  <si>
    <t>Móng M8</t>
  </si>
  <si>
    <t>M8a</t>
  </si>
  <si>
    <t>Móng M8a</t>
  </si>
  <si>
    <t>Móng bê tông trụ đơn 8,4m</t>
  </si>
  <si>
    <t>D1X2</t>
  </si>
  <si>
    <t>Móng bê tông trụ đôi 8,4m</t>
  </si>
  <si>
    <t>M10</t>
  </si>
  <si>
    <t>Móng M10</t>
  </si>
  <si>
    <t>M10a</t>
  </si>
  <si>
    <t xml:space="preserve">Móng M10a </t>
  </si>
  <si>
    <t>b22650</t>
  </si>
  <si>
    <t>b22800</t>
  </si>
  <si>
    <t>Móng M12</t>
  </si>
  <si>
    <t>M12a</t>
  </si>
  <si>
    <t>Móng M12a</t>
  </si>
  <si>
    <t>b22700</t>
  </si>
  <si>
    <t>Móng M12 phá đá</t>
  </si>
  <si>
    <t>Móng bê tông trụ đơn 12m</t>
  </si>
  <si>
    <t>so10</t>
  </si>
  <si>
    <t>kem</t>
  </si>
  <si>
    <t>lct10</t>
  </si>
  <si>
    <t>Móng bê tông trụ đôi 12m</t>
  </si>
  <si>
    <t>M14</t>
  </si>
  <si>
    <t>Móng M14</t>
  </si>
  <si>
    <t>M14a</t>
  </si>
  <si>
    <t>Móng M14a</t>
  </si>
  <si>
    <t>Móng bê tông trụ đơn 14m</t>
  </si>
  <si>
    <t>TD75</t>
  </si>
  <si>
    <t>Tiếp địa lặp lại (trụ 7.5m)</t>
  </si>
  <si>
    <t>m25</t>
  </si>
  <si>
    <t>bocpk</t>
  </si>
  <si>
    <t>TD85</t>
  </si>
  <si>
    <t>Tiếp địa lặp lại (trụ 8.4m)</t>
  </si>
  <si>
    <t>Ke50</t>
  </si>
  <si>
    <t>cos25</t>
  </si>
  <si>
    <t>b1240</t>
  </si>
  <si>
    <t>TD85ABC</t>
  </si>
  <si>
    <t>Tiếp địa lặp lại trụ 8.4m cáp ABC</t>
  </si>
  <si>
    <t>TDTUPP</t>
  </si>
  <si>
    <t>Tiếp địa tủ phân phối hạ thế</t>
  </si>
  <si>
    <t>TDTT105</t>
  </si>
  <si>
    <t>Tiếp địa lặp lại (trụ 10.5m)</t>
  </si>
  <si>
    <t>pvc21</t>
  </si>
  <si>
    <t>TDLL12</t>
  </si>
  <si>
    <t>Tiếp địa lặp lại trụ 12m</t>
  </si>
  <si>
    <t>TDDD12</t>
  </si>
  <si>
    <t>Tiếp địa TBA</t>
  </si>
  <si>
    <t>TDTT14</t>
  </si>
  <si>
    <t>Tiếp địa lặp lại (trụ 14m)</t>
  </si>
  <si>
    <t>TDTT20</t>
  </si>
  <si>
    <t>Tiếp địa lặp lại (trụ 20m)</t>
  </si>
  <si>
    <t>TDDD</t>
  </si>
  <si>
    <t>Tiếp địa trụ đo đếm</t>
  </si>
  <si>
    <t>ke50</t>
  </si>
  <si>
    <t>ke25</t>
  </si>
  <si>
    <t>cd21</t>
  </si>
  <si>
    <t>dtd3</t>
  </si>
  <si>
    <t>datd3</t>
  </si>
  <si>
    <t>TRUTHEP</t>
  </si>
  <si>
    <t>Trụ thép bát giác cao 6m</t>
  </si>
  <si>
    <t>Trụ</t>
  </si>
  <si>
    <t>boctr</t>
  </si>
  <si>
    <t>Trụ bê tông ly tâm 7.5m</t>
  </si>
  <si>
    <t>Trụ bê tông ly tâm 8.4m</t>
  </si>
  <si>
    <t>Trụ bê tông ly tâm 10.5m</t>
  </si>
  <si>
    <t>BTLT 12 TC</t>
  </si>
  <si>
    <t xml:space="preserve">BTLT 12 </t>
  </si>
  <si>
    <t>BTLT 14</t>
  </si>
  <si>
    <t>Trụ bê tông ly tâm 14m</t>
  </si>
  <si>
    <t>BTLT 20</t>
  </si>
  <si>
    <t>Trụ bê tông ly tâm 20m</t>
  </si>
  <si>
    <t>X-1,66Đ</t>
  </si>
  <si>
    <t>Bộ xà đơn L75x75x8 dài 1,66m:  X-1,66Đ</t>
  </si>
  <si>
    <t>bocx</t>
  </si>
  <si>
    <t>X-1,66K</t>
  </si>
  <si>
    <t>Bộ xà kép L75x75x8 dài 1,66m:  X-1,66K</t>
  </si>
  <si>
    <t>B16250v</t>
  </si>
  <si>
    <t>LXIn</t>
  </si>
  <si>
    <t>X-20Đ</t>
  </si>
  <si>
    <t>Bộ xà đơn L75x75x8 dài 2m:  X-20Đ</t>
  </si>
  <si>
    <t>X-20K</t>
  </si>
  <si>
    <t xml:space="preserve">Bộ xà kép L75x75x8 dài 2m: X-20K </t>
  </si>
  <si>
    <t>B16300v</t>
  </si>
  <si>
    <t>X-22Đ</t>
  </si>
  <si>
    <t>Bộ xà đơn L75x75x8 dài 2.2m: X-22Đ - C810</t>
  </si>
  <si>
    <t>TL X-21K</t>
  </si>
  <si>
    <t>X-22K-Đ</t>
  </si>
  <si>
    <t>Bộ xà kép L75x75x8 dài 2.2m: X-22K-Đ - C810</t>
  </si>
  <si>
    <t>X-22K-K</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</si>
  <si>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</si>
  <si>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</si>
  <si>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</si>
  <si>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</si>
  <si>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</si>
  <si>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</si>
  <si>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</si>
  <si>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</si>
  <si>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</si>
  <si>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X-8ĐL</t>
  </si>
  <si>
    <t>Bộ xà lệch đơn L75x75x8 dài 0,8m: X-8ĐL</t>
  </si>
  <si>
    <t>X-8KL</t>
  </si>
  <si>
    <t>Bộ xà lệch kép L75x75x8 dài 0,8m: X-8KL</t>
  </si>
  <si>
    <t>B16400V</t>
  </si>
  <si>
    <t>X-21ĐL</t>
  </si>
  <si>
    <t>Bộ xà lệch đơn L75x75x8 dài 2,1m: X-21ĐL</t>
  </si>
  <si>
    <t>LXITl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</si>
  <si>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</si>
  <si>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</si>
  <si>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</si>
  <si>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</si>
  <si>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</si>
  <si>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</si>
  <si>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</si>
  <si>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</si>
  <si>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</si>
  <si>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</si>
  <si>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CX-ht</t>
  </si>
  <si>
    <t>Bộ chằng xuống đơn cho trụ hạ thế: CX.ht</t>
  </si>
  <si>
    <t>CL-ht</t>
  </si>
  <si>
    <t>Bộ chằng lệch đơn cho trụ hạ thế: CL.ht</t>
  </si>
  <si>
    <t>CK-B</t>
  </si>
  <si>
    <t>Bộ chằng vượt đơn: CK-B</t>
  </si>
  <si>
    <t>NXX</t>
  </si>
  <si>
    <t>Bộ móng neo xòe cho chằng xuống: NXX</t>
  </si>
  <si>
    <t>bocNX</t>
  </si>
  <si>
    <t>NXL</t>
  </si>
  <si>
    <t>Bộ móng neo xòe cho chằng lệch: NXL</t>
  </si>
  <si>
    <t>Tbộ</t>
  </si>
  <si>
    <t>Nth-T</t>
  </si>
  <si>
    <t>kn50</t>
  </si>
  <si>
    <t>SĐU</t>
  </si>
  <si>
    <t>SĐI</t>
  </si>
  <si>
    <t>SĐG</t>
  </si>
  <si>
    <t>CĐT 2BAT-T</t>
  </si>
  <si>
    <t>St</t>
  </si>
  <si>
    <t>Bm16300</t>
  </si>
  <si>
    <t>CĐT 2BAT-X</t>
  </si>
  <si>
    <t>CĐT ply-X</t>
  </si>
  <si>
    <t>Stply</t>
  </si>
  <si>
    <t>KD240</t>
  </si>
  <si>
    <t>KD185</t>
  </si>
  <si>
    <t>KD150</t>
  </si>
  <si>
    <t>KD120</t>
  </si>
  <si>
    <t>KD95</t>
  </si>
  <si>
    <t>KD70</t>
  </si>
  <si>
    <t>KD50</t>
  </si>
  <si>
    <t>k50</t>
  </si>
  <si>
    <t>k70</t>
  </si>
  <si>
    <t>k95</t>
  </si>
  <si>
    <t>ke70</t>
  </si>
  <si>
    <t>kE150</t>
  </si>
  <si>
    <t>ke185</t>
  </si>
  <si>
    <t>kE240</t>
  </si>
  <si>
    <t>cose70</t>
  </si>
  <si>
    <t>cose95</t>
  </si>
  <si>
    <t>cose120</t>
  </si>
  <si>
    <t>cose150</t>
  </si>
  <si>
    <t>cose185</t>
  </si>
  <si>
    <t>cose240</t>
  </si>
  <si>
    <t>bnh</t>
  </si>
  <si>
    <t>CV25</t>
  </si>
  <si>
    <t>r1</t>
  </si>
  <si>
    <t>r3</t>
  </si>
  <si>
    <t>r4</t>
  </si>
  <si>
    <t>cut90t</t>
  </si>
  <si>
    <t>cos70</t>
  </si>
  <si>
    <t>keobit</t>
  </si>
  <si>
    <t>BMoc16250</t>
  </si>
  <si>
    <t>BMoc16300</t>
  </si>
  <si>
    <t>cdtrudoiHT</t>
  </si>
  <si>
    <t>mocdung</t>
  </si>
  <si>
    <t>KCN4KG</t>
  </si>
  <si>
    <t>KCN3KG</t>
  </si>
  <si>
    <t>CV22</t>
  </si>
  <si>
    <t>COSE16</t>
  </si>
  <si>
    <t>STK60</t>
  </si>
  <si>
    <t>STK42</t>
  </si>
  <si>
    <t>Bộ đỡ dây trung hòa vào trụ</t>
  </si>
  <si>
    <t>Đth-T</t>
  </si>
  <si>
    <t>Bộ dừng dây trung hòa vào trụ</t>
  </si>
  <si>
    <t>Bộ sứ đỉnh đỡ góc</t>
  </si>
  <si>
    <t>Bộ sứ đỉnh đỡ thẳng</t>
  </si>
  <si>
    <t>Bộ sứ đứng đỡ thẳng</t>
  </si>
  <si>
    <t>Móng bê tông đơn trụ 10,5m</t>
  </si>
  <si>
    <t>M8-BT</t>
  </si>
  <si>
    <t>M8-2BT</t>
  </si>
  <si>
    <t>M10-BT</t>
  </si>
  <si>
    <t>M14-BT</t>
  </si>
  <si>
    <t>M12-BT</t>
  </si>
  <si>
    <t>M12-2BT</t>
  </si>
  <si>
    <t>Chuỗi sứ treo 2 bát lắp vào trụ</t>
  </si>
  <si>
    <t>Chuỗi sứ treo 2 bát lắp vào xà</t>
  </si>
  <si>
    <t>STT</t>
  </si>
  <si>
    <t>THÀNH TIỀN</t>
  </si>
  <si>
    <t>PKHM1</t>
  </si>
  <si>
    <t>CAP</t>
  </si>
  <si>
    <t>Bộ dây dẫn pha/trung hòa</t>
  </si>
  <si>
    <t>ĐƠN VỊ</t>
  </si>
  <si>
    <t>HẠNG MỤC</t>
  </si>
  <si>
    <t>MÃ ĐM</t>
  </si>
  <si>
    <t>ĐỊNH MỨC</t>
  </si>
  <si>
    <t>NỘI DUNG CÔNG VIỆC</t>
  </si>
  <si>
    <t>A</t>
  </si>
  <si>
    <t>TỔNG</t>
  </si>
  <si>
    <t>ĐƠN
VỊ</t>
  </si>
  <si>
    <t>NỘI DUNG</t>
  </si>
  <si>
    <t>I</t>
  </si>
  <si>
    <t>CHI PHÍ TRỰC TIẾP</t>
  </si>
  <si>
    <t>T</t>
  </si>
  <si>
    <t xml:space="preserve"> Chi phí vật liệu </t>
  </si>
  <si>
    <t xml:space="preserve">     - Vật liệu </t>
  </si>
  <si>
    <t>a1</t>
  </si>
  <si>
    <t xml:space="preserve">     - Vận chuyển đường dài vật liệu </t>
  </si>
  <si>
    <t>a3</t>
  </si>
  <si>
    <t>Bảng chiết tính</t>
  </si>
  <si>
    <t xml:space="preserve"> Chi phí nhân công </t>
  </si>
  <si>
    <t>B</t>
  </si>
  <si>
    <t>b1</t>
  </si>
  <si>
    <t>b2</t>
  </si>
  <si>
    <t xml:space="preserve"> Chi phí máy thi công</t>
  </si>
  <si>
    <t>C</t>
  </si>
  <si>
    <t>c1</t>
  </si>
  <si>
    <t>Trực tiếp phí khác</t>
  </si>
  <si>
    <t>TT</t>
  </si>
  <si>
    <t>II</t>
  </si>
  <si>
    <t>III</t>
  </si>
  <si>
    <t>TL</t>
  </si>
  <si>
    <t>Gía trị dự toán xây lắp trước thuế</t>
  </si>
  <si>
    <t>Z</t>
  </si>
  <si>
    <t>IV</t>
  </si>
  <si>
    <t>VAT</t>
  </si>
  <si>
    <t>Gxl</t>
  </si>
  <si>
    <t>a2</t>
  </si>
  <si>
    <r>
      <t>Z</t>
    </r>
    <r>
      <rPr>
        <b/>
        <vertAlign val="subscript"/>
        <sz val="12"/>
        <rFont val="Times New Roman"/>
        <family val="1"/>
      </rPr>
      <t>0</t>
    </r>
  </si>
  <si>
    <t xml:space="preserve">     - Nhân công xây lắp</t>
  </si>
  <si>
    <t xml:space="preserve">     - Nhân công cải tạo</t>
  </si>
  <si>
    <t xml:space="preserve">     - Máy thi công xây lắp</t>
  </si>
  <si>
    <t xml:space="preserve">     - Máy thi công cải tạo</t>
  </si>
  <si>
    <t>Chi phí chung</t>
  </si>
  <si>
    <t>Giá thành dự toán xây dựng</t>
  </si>
  <si>
    <t>Thu nhập chịu thuế tính trước</t>
  </si>
  <si>
    <t>Thuế giá trị gia tăng đầu ra</t>
  </si>
  <si>
    <t>GIÁ TRỊ DỰ TOÁN XÂY LẮP SAU THUẾ</t>
  </si>
  <si>
    <t>KÝ
HIỆU</t>
  </si>
  <si>
    <t>V</t>
  </si>
  <si>
    <t xml:space="preserve">     - Chênh lệch vật liệu</t>
  </si>
  <si>
    <t>KHOẢN MỤC CHI PHÍ</t>
  </si>
  <si>
    <t xml:space="preserve">DIỄN GIẢI </t>
  </si>
  <si>
    <t>Gxd=I+II</t>
  </si>
  <si>
    <t>Chi phí xây dựng đường dây</t>
  </si>
  <si>
    <t>Chi phí xây dựng chính</t>
  </si>
  <si>
    <t>a</t>
  </si>
  <si>
    <t>Chi phí xây dựng TBA</t>
  </si>
  <si>
    <t>CHI PHÍ QUẢN LÝ DỰ ÁN</t>
  </si>
  <si>
    <t>- Chi phí lập HSMT TB và đánh gía HSDT TB</t>
  </si>
  <si>
    <t xml:space="preserve">- Chi phí giám sát thi công xây dựng </t>
  </si>
  <si>
    <t>- Chi phí giám sát lắp đặt thiết bị</t>
  </si>
  <si>
    <t>D</t>
  </si>
  <si>
    <t>CHI PHÍ TƯ VẤN ĐẦU TƯ XÂY DỰNG</t>
  </si>
  <si>
    <t>- Chi phí khảo sát lập BCKTKT</t>
  </si>
  <si>
    <t>Bảng chiết tính/1,1</t>
  </si>
  <si>
    <t>- Chi phí lập báo cáo kinh tế kỹ thuật</t>
  </si>
  <si>
    <t>- Chi phí lập thiết kế bản vẽ thi công</t>
  </si>
  <si>
    <t>- Chi phí thẩm tra thiết kế bản vẽ thi công</t>
  </si>
  <si>
    <t>- Chi phí thẩm tra dự toán</t>
  </si>
  <si>
    <t>- Chi phí giám sát khảo sát xây dựng</t>
  </si>
  <si>
    <t>Tạm tính</t>
  </si>
  <si>
    <t>E</t>
  </si>
  <si>
    <t xml:space="preserve">CHI PHÍ KHÁC </t>
  </si>
  <si>
    <t>- Chi phí bảo hiểm xây dựng công trình</t>
  </si>
  <si>
    <t>+ Chi phí bảo hiểm xây dựng TBA</t>
  </si>
  <si>
    <t>+ Chi phí bảo hiểm xây dựng đường dây</t>
  </si>
  <si>
    <t>CHI PHÍ DỰ PHÒNG</t>
  </si>
  <si>
    <t>PHẦN TRẠM BIẾN ÁP</t>
  </si>
  <si>
    <t>PHẦN ĐƯỜNG DÂY</t>
  </si>
  <si>
    <t xml:space="preserve">TỔNG CỘNG </t>
  </si>
  <si>
    <t>1.</t>
  </si>
  <si>
    <t>Gồm có:</t>
  </si>
  <si>
    <t>2.</t>
  </si>
  <si>
    <t>Chi phí xây dựng nhà tạm</t>
  </si>
  <si>
    <t>+ Khảo sát kỹ thuật</t>
  </si>
  <si>
    <t>+ Chi phí chuyển quân khảo sát</t>
  </si>
  <si>
    <t>+ Chi phí nhà tạm để ở khảo sát</t>
  </si>
  <si>
    <t>+ Chi phí lập báo cáo khảo sát</t>
  </si>
  <si>
    <r>
      <t>ƩGxd</t>
    </r>
    <r>
      <rPr>
        <vertAlign val="subscript"/>
        <sz val="12"/>
        <rFont val="Times New Roman"/>
        <family val="1"/>
      </rPr>
      <t>ntdd</t>
    </r>
  </si>
  <si>
    <t>ƩnC</t>
  </si>
  <si>
    <r>
      <t>ƩGxd</t>
    </r>
    <r>
      <rPr>
        <vertAlign val="subscript"/>
        <sz val="12"/>
        <rFont val="Times New Roman"/>
        <family val="1"/>
      </rPr>
      <t>dd</t>
    </r>
  </si>
  <si>
    <r>
      <t>Gxd</t>
    </r>
    <r>
      <rPr>
        <vertAlign val="subscript"/>
        <sz val="12"/>
        <rFont val="Times New Roman"/>
        <family val="1"/>
      </rPr>
      <t>dd</t>
    </r>
    <r>
      <rPr>
        <sz val="12"/>
        <rFont val="Times New Roman"/>
        <family val="1"/>
      </rPr>
      <t>=bảng chiết tính</t>
    </r>
  </si>
  <si>
    <r>
      <t>Gxd</t>
    </r>
    <r>
      <rPr>
        <vertAlign val="subscript"/>
        <sz val="12"/>
        <rFont val="Times New Roman"/>
        <family val="1"/>
      </rPr>
      <t xml:space="preserve">ntdd </t>
    </r>
    <r>
      <rPr>
        <sz val="12"/>
        <rFont val="Times New Roman"/>
        <family val="1"/>
      </rPr>
      <t>= 2%Gxd</t>
    </r>
    <r>
      <rPr>
        <vertAlign val="subscript"/>
        <sz val="12"/>
        <rFont val="Times New Roman"/>
        <family val="1"/>
      </rPr>
      <t>dd</t>
    </r>
  </si>
  <si>
    <r>
      <t>Gxd</t>
    </r>
    <r>
      <rPr>
        <vertAlign val="subscript"/>
        <sz val="12"/>
        <rFont val="Times New Roman"/>
        <family val="1"/>
      </rPr>
      <t>tba</t>
    </r>
    <r>
      <rPr>
        <sz val="12"/>
        <rFont val="Times New Roman"/>
        <family val="1"/>
      </rPr>
      <t>=bảng chiết tính</t>
    </r>
  </si>
  <si>
    <t>CHI PHÍ
XÂY DỰNG</t>
  </si>
  <si>
    <t>SHĐM</t>
  </si>
  <si>
    <t>TÊN CẤU KIỆN</t>
  </si>
  <si>
    <t xml:space="preserve">THÀNH TIỀN </t>
  </si>
  <si>
    <t>GHI CHÚ</t>
  </si>
  <si>
    <t>VL CHÍNH</t>
  </si>
  <si>
    <t>NCÔNG</t>
  </si>
  <si>
    <t>MÁY</t>
  </si>
  <si>
    <t>Điện lực cấp</t>
  </si>
  <si>
    <t>B. PHẦN VẬT LIỆU</t>
  </si>
  <si>
    <t xml:space="preserve">Trụ BTLT 12m </t>
  </si>
  <si>
    <t>GiaTFCO</t>
  </si>
  <si>
    <t>dctdtba</t>
  </si>
  <si>
    <t>ktdtba</t>
  </si>
  <si>
    <t>tuap1</t>
  </si>
  <si>
    <t>CD5X50</t>
  </si>
  <si>
    <t>lcapdongTB95</t>
  </si>
  <si>
    <t>CV50</t>
  </si>
  <si>
    <t>CVV4x2,5</t>
  </si>
  <si>
    <t>cd90</t>
  </si>
  <si>
    <t>lcd</t>
  </si>
  <si>
    <t>CUT90t</t>
  </si>
  <si>
    <t>KEOdan</t>
  </si>
  <si>
    <t>KEObit</t>
  </si>
  <si>
    <t>lpvc90cl</t>
  </si>
  <si>
    <t>TỔNG CỘNG :</t>
  </si>
  <si>
    <t>com800</t>
  </si>
  <si>
    <t>ccom800</t>
  </si>
  <si>
    <t>B14150</t>
  </si>
  <si>
    <t>Boulon 14x150+ 2 long đền vuông D16-50x50x3/Zn</t>
  </si>
  <si>
    <t>batll</t>
  </si>
  <si>
    <t>BTLT84</t>
  </si>
  <si>
    <t>BTLT75</t>
  </si>
  <si>
    <t>BTLT105</t>
  </si>
  <si>
    <t>GIAT</t>
  </si>
  <si>
    <t>BCOM800</t>
  </si>
  <si>
    <t>TDTBA1P</t>
  </si>
  <si>
    <t>TU1P</t>
  </si>
  <si>
    <t>CAPX1P</t>
  </si>
  <si>
    <t>CAPL1P</t>
  </si>
  <si>
    <t>Bộ dây dẫn trung thế 1 pha</t>
  </si>
  <si>
    <t>CAP241P</t>
  </si>
  <si>
    <t>Bộ tiếp địa trạm</t>
  </si>
  <si>
    <t>BCOM2400</t>
  </si>
  <si>
    <t>COM2400</t>
  </si>
  <si>
    <t>CCOM2400</t>
  </si>
  <si>
    <t>Đà hộp composit L110x80x2400</t>
  </si>
  <si>
    <t>Bộ đà composie đỡ FCO, LA 1 pha</t>
  </si>
  <si>
    <t>Bộ đà composie đỡ FCO, LA 3 pha</t>
  </si>
  <si>
    <t xml:space="preserve">Bộ giá T đỡ FCO, LA 1 pha </t>
  </si>
  <si>
    <t>XMBAGIAN</t>
  </si>
  <si>
    <t>sl75</t>
  </si>
  <si>
    <t>TBA công suất</t>
  </si>
  <si>
    <t>SL trạm</t>
  </si>
  <si>
    <t>SL máy</t>
  </si>
  <si>
    <t>bù</t>
  </si>
  <si>
    <t>số lộ</t>
  </si>
  <si>
    <t>MCCB</t>
  </si>
  <si>
    <t>Bộ đà kép dừng dây pha</t>
  </si>
  <si>
    <t>Bộ đà đỡ cáp xuất trung thế</t>
  </si>
  <si>
    <t>Bộ đà bắt thùng điện kế &amp; MCCB</t>
  </si>
  <si>
    <t>Bộ đà đỡ dây pha</t>
  </si>
  <si>
    <t>X21</t>
  </si>
  <si>
    <t>X22</t>
  </si>
  <si>
    <t>X260O</t>
  </si>
  <si>
    <t>X263O</t>
  </si>
  <si>
    <t>CAP243P</t>
  </si>
  <si>
    <t>Bộ dây dẫn trung thế 3 pha</t>
  </si>
  <si>
    <t>Bộ dây cáp xuất 1P từ máy xuống MCCB</t>
  </si>
  <si>
    <t>CAPX3P</t>
  </si>
  <si>
    <t>Bộ dây cáp xuất 3P từ máy xuống MCCB</t>
  </si>
  <si>
    <t>Bộ dây cáp xuất 1P từ MCCB lên lưới</t>
  </si>
  <si>
    <t>CAPL3P</t>
  </si>
  <si>
    <t>Bộ dây cáp xuất 3P từ MCCB lên lưới</t>
  </si>
  <si>
    <t>Tủ điện năng kế và CB 1P</t>
  </si>
  <si>
    <t>TU3P</t>
  </si>
  <si>
    <t>Tủ điện năng kế và CB 3P</t>
  </si>
  <si>
    <t>GTREOMBA</t>
  </si>
  <si>
    <t>Bộ giá chùm treo máy biến áp 3 pha</t>
  </si>
  <si>
    <t>TREOMBA</t>
  </si>
  <si>
    <t>Phụ kiện treo MBA 1 pha</t>
  </si>
  <si>
    <t>Bộ đà trạm giàn đặt MBA</t>
  </si>
  <si>
    <t>VBA</t>
  </si>
  <si>
    <t>THÀNH PHẦN HAO PHÍ</t>
  </si>
  <si>
    <t>CHÌ</t>
  </si>
  <si>
    <t>Chì</t>
  </si>
  <si>
    <t>sợi</t>
  </si>
  <si>
    <t>tuap3</t>
  </si>
  <si>
    <t>Cáp pha</t>
  </si>
  <si>
    <t>Cáp trung hòa</t>
  </si>
  <si>
    <t>cot so luong</t>
  </si>
  <si>
    <t>A. PHẦN THIẾT BỊ</t>
  </si>
  <si>
    <t>dung VBA</t>
  </si>
  <si>
    <t>Số dây/máy</t>
  </si>
  <si>
    <t>ABC3x120</t>
  </si>
  <si>
    <t>ABC3x150</t>
  </si>
  <si>
    <t>XLPE70AC</t>
  </si>
  <si>
    <t>XLPE95AC</t>
  </si>
  <si>
    <t>XLPE120AC</t>
  </si>
  <si>
    <t>XLPE150AC</t>
  </si>
  <si>
    <t>XLPE185AC</t>
  </si>
  <si>
    <t>XLPE240AC</t>
  </si>
  <si>
    <t>M7-BT</t>
  </si>
  <si>
    <t>M7-2BT</t>
  </si>
  <si>
    <t>M10-2BT</t>
  </si>
  <si>
    <t>M14-2BT</t>
  </si>
  <si>
    <t>M16</t>
  </si>
  <si>
    <t>M18</t>
  </si>
  <si>
    <t>M20</t>
  </si>
  <si>
    <t>BTLT 16</t>
  </si>
  <si>
    <t>BTLT 18</t>
  </si>
  <si>
    <t>Trụ bê tông ly tâm 16m</t>
  </si>
  <si>
    <t>Trụ bê tông ly tâm 18m</t>
  </si>
  <si>
    <t>Móng M7-2BT</t>
  </si>
  <si>
    <t>Móng M7-BT</t>
  </si>
  <si>
    <t>M12-PĐ</t>
  </si>
  <si>
    <t>Móng M20</t>
  </si>
  <si>
    <t>Móng M18</t>
  </si>
  <si>
    <t>Móng M16</t>
  </si>
  <si>
    <t>Móng bê tông trụ đôi 14m</t>
  </si>
  <si>
    <t>BCOM3</t>
  </si>
  <si>
    <t>BCOM1</t>
  </si>
  <si>
    <t>Bộ xà Composite bắt LA, FCO 3 pha</t>
  </si>
  <si>
    <t>Cáp nhôm ABC 3x120mm2</t>
  </si>
  <si>
    <t>8=4x5</t>
  </si>
  <si>
    <t>9=4x6</t>
  </si>
  <si>
    <t>10=4x7</t>
  </si>
  <si>
    <t>CX10</t>
  </si>
  <si>
    <t>Bộ chằng xuống đơn cho trụ 10,5m: CX10</t>
  </si>
  <si>
    <t>Bộ chằng lệch đơn cho trụ 10,5m: CL10</t>
  </si>
  <si>
    <t>CL10</t>
  </si>
  <si>
    <t>Bộ chằng xuống kép cho trụ 10,5m: CXX10</t>
  </si>
  <si>
    <t>CXX10</t>
  </si>
  <si>
    <t>Bộ chằng xuống đơn cho trụ 12m: CX12</t>
  </si>
  <si>
    <t>CX12</t>
  </si>
  <si>
    <t>Bộ chằng lệch đơn cho trụ 12m: CL12</t>
  </si>
  <si>
    <t>CL12</t>
  </si>
  <si>
    <t>Bộ chằng xuống kép cho trụ 12m: CXX12</t>
  </si>
  <si>
    <t>CXX12</t>
  </si>
  <si>
    <t>Bộ chằng xuống đơn cho trụ 14m: CX14</t>
  </si>
  <si>
    <t>CX14</t>
  </si>
  <si>
    <t>Bộ chằng lệch đơn cho trụ 14m: CL14</t>
  </si>
  <si>
    <t>CL14</t>
  </si>
  <si>
    <t>Bộ chằng xuống kép cho trụ 14m: CXX14</t>
  </si>
  <si>
    <t>CXX14</t>
  </si>
  <si>
    <t>Bộ móng neo cho chằng xuống trung thế: MNX12</t>
  </si>
  <si>
    <t>MNX12</t>
  </si>
  <si>
    <t>MNL12</t>
  </si>
  <si>
    <t>CĐT ply-T</t>
  </si>
  <si>
    <t>bm16300</t>
  </si>
  <si>
    <t>Bộ chằng vượt kép: CKK</t>
  </si>
  <si>
    <t>CKK</t>
  </si>
  <si>
    <t>Bộ móng neo cho chằng lệch trung thế: MNL12</t>
  </si>
  <si>
    <t>TBộ</t>
  </si>
  <si>
    <t>TÊN THIẾT BỊ</t>
  </si>
  <si>
    <t>EB.22040</t>
  </si>
  <si>
    <t>EC.11040</t>
  </si>
  <si>
    <t>CỘNG:</t>
  </si>
  <si>
    <t>EB.71040</t>
  </si>
  <si>
    <t>EB.71030</t>
  </si>
  <si>
    <t>KÝ</t>
  </si>
  <si>
    <t>HIỆU</t>
  </si>
  <si>
    <t>- Vật liệu chính</t>
  </si>
  <si>
    <t xml:space="preserve">- Nhân công lắp </t>
  </si>
  <si>
    <t>- Máy thi công lắp</t>
  </si>
  <si>
    <t>GIÁ TRỊ DỰ TOÁN  XÂY LẮP SAU THUẾ</t>
  </si>
  <si>
    <t>- Vật liệu thí nghiệm</t>
  </si>
  <si>
    <t>- Nhân công thí nghiệm</t>
  </si>
  <si>
    <t>- Máy thi công thí nghiệm</t>
  </si>
  <si>
    <t>I.</t>
  </si>
  <si>
    <t>Vận chuyển trụ, đà cản và đế neo về kho Điện lực:</t>
  </si>
  <si>
    <t>Vận chuyển trụ, đà cản và đế neo đến công trường:</t>
  </si>
  <si>
    <t>Vận chuyển dây sứ và phụ kiện về kho Điện lực:</t>
  </si>
  <si>
    <t>Vận chuyển dây sứ và phụ kiện đến công trường:</t>
  </si>
  <si>
    <t>Cầu bốc dỡ vật tư :</t>
  </si>
  <si>
    <t>Cầu bốc dỡ trụ :</t>
  </si>
  <si>
    <t>Chi phí chằng buộc, bảo quản hàng trong qúa trình vận chuyển</t>
  </si>
  <si>
    <t>Cộng I:</t>
  </si>
  <si>
    <t>II.</t>
  </si>
  <si>
    <t>Vận chuyển trạm biến áp và các thiết bị khác về kho Điện lực:</t>
  </si>
  <si>
    <t>Vận chuyển trạm biến áp và các thiết bị khác đến công trình</t>
  </si>
  <si>
    <t>CHI PHÍ LẬP BCKTKT</t>
  </si>
  <si>
    <t>=</t>
  </si>
  <si>
    <t xml:space="preserve">Trong đó: </t>
  </si>
  <si>
    <t>Hinh thuc tru</t>
  </si>
  <si>
    <t>HT</t>
  </si>
  <si>
    <t>IDT</t>
  </si>
  <si>
    <t>F</t>
  </si>
  <si>
    <t>2DT</t>
  </si>
  <si>
    <t>DT</t>
  </si>
  <si>
    <t>3DT</t>
  </si>
  <si>
    <t>4DT</t>
  </si>
  <si>
    <t>I2DT</t>
  </si>
  <si>
    <t>Đường dây trung thế 1 pha</t>
  </si>
  <si>
    <t>Đường dây trung thế 3 pha</t>
  </si>
  <si>
    <t>Đường dây hạ thế 1 pha</t>
  </si>
  <si>
    <t>Đường dây hạ thế 3 pha</t>
  </si>
  <si>
    <t>Loại công trình</t>
  </si>
  <si>
    <t>TR37.51</t>
  </si>
  <si>
    <t>Chọn VBA</t>
  </si>
  <si>
    <t>Gtb=I+II</t>
  </si>
  <si>
    <t>Chi phí thiết bị đường dây</t>
  </si>
  <si>
    <t>Chi phí thiết bị TBA</t>
  </si>
  <si>
    <t>A.I</t>
  </si>
  <si>
    <t>A.I.1</t>
  </si>
  <si>
    <t>A.I.2</t>
  </si>
  <si>
    <t>A.II</t>
  </si>
  <si>
    <t>A.II.1</t>
  </si>
  <si>
    <t>A.II.2</t>
  </si>
  <si>
    <t>B.I</t>
  </si>
  <si>
    <t>B.II</t>
  </si>
  <si>
    <t>D.1</t>
  </si>
  <si>
    <t>D.1.a</t>
  </si>
  <si>
    <t>D.1.b</t>
  </si>
  <si>
    <t>D.1.c</t>
  </si>
  <si>
    <t>D.1.d</t>
  </si>
  <si>
    <t>D.2</t>
  </si>
  <si>
    <t>D.3</t>
  </si>
  <si>
    <t>D.4</t>
  </si>
  <si>
    <t>D.5</t>
  </si>
  <si>
    <t>D.6</t>
  </si>
  <si>
    <t>D.7</t>
  </si>
  <si>
    <t>D.8</t>
  </si>
  <si>
    <t>D.9</t>
  </si>
  <si>
    <t>D.10</t>
  </si>
  <si>
    <t>E.1</t>
  </si>
  <si>
    <t>E.2</t>
  </si>
  <si>
    <t>E.3</t>
  </si>
  <si>
    <t>E.3.a</t>
  </si>
  <si>
    <t>E.3.b</t>
  </si>
  <si>
    <t>b</t>
  </si>
  <si>
    <t>c</t>
  </si>
  <si>
    <t>TC</t>
  </si>
  <si>
    <t>GIÁ TRỊ  DỰ TOÁN TRƯỚC THUẾ</t>
  </si>
  <si>
    <t>TBDD1</t>
  </si>
  <si>
    <t>Thiết bị đường dây</t>
  </si>
  <si>
    <t>recloser</t>
  </si>
  <si>
    <t>DS3p</t>
  </si>
  <si>
    <t>chi3k</t>
  </si>
  <si>
    <t>chi6k</t>
  </si>
  <si>
    <t>chi8k</t>
  </si>
  <si>
    <t>chi10k</t>
  </si>
  <si>
    <t>chi15k</t>
  </si>
  <si>
    <t>chi20k</t>
  </si>
  <si>
    <t>chi30k</t>
  </si>
  <si>
    <t>chi40k</t>
  </si>
  <si>
    <t>chi80k</t>
  </si>
  <si>
    <t>chi100k</t>
  </si>
  <si>
    <t>chi140k</t>
  </si>
  <si>
    <t>SỐ LƯỢNG</t>
  </si>
  <si>
    <t>SỐ HIỆU
ĐỊNH MỨC</t>
  </si>
  <si>
    <t>TCDD</t>
  </si>
  <si>
    <t>TCTBA</t>
  </si>
  <si>
    <t>Giá trị dự toán thử nghiệm sau thuế</t>
  </si>
  <si>
    <t>GIÁ TRỊ DỰ TOÁN THỬ NGHIỆM TRƯỚC THUẾ</t>
  </si>
  <si>
    <t>Giá thành dự toán thử nghiệm</t>
  </si>
  <si>
    <t>I. PHẦN ĐƯỜNG DÂY</t>
  </si>
  <si>
    <t>II. PHẦN TRẠM BIẾN ÁP</t>
  </si>
  <si>
    <t>GTMBA50</t>
  </si>
  <si>
    <t>GTMBA75</t>
  </si>
  <si>
    <t>GTMBA100</t>
  </si>
  <si>
    <t>C10M</t>
  </si>
  <si>
    <t>a + b</t>
  </si>
  <si>
    <t xml:space="preserve">       + Mua sắm thiết bị</t>
  </si>
  <si>
    <t xml:space="preserve">       + Lắp đặt thiết bị</t>
  </si>
  <si>
    <t xml:space="preserve">       + Thí nghiệm hiệu chỉnh thiết bị</t>
  </si>
  <si>
    <t xml:space="preserve">       + Vận chuyển thiết bị</t>
  </si>
  <si>
    <t>HẠNG MỤC CÔNG VIỆC</t>
  </si>
  <si>
    <t>ĐVT</t>
  </si>
  <si>
    <t>KL</t>
  </si>
  <si>
    <t>HỆ SỐ</t>
  </si>
  <si>
    <t>Đo vẽ mặt cắt tuyến dọc tuyến</t>
  </si>
  <si>
    <t>100m</t>
  </si>
  <si>
    <t>Đo vẽ mặt cắt tuyến ngang tuyến</t>
  </si>
  <si>
    <t>TỔNG CỘNG</t>
  </si>
  <si>
    <t>KÝ HIỆU</t>
  </si>
  <si>
    <t>- Vật liệu khảo sát</t>
  </si>
  <si>
    <t>- Nhân công khảo sát</t>
  </si>
  <si>
    <t>- Máy thi công khảo sát</t>
  </si>
  <si>
    <t>CHI PHÍ CHUNG</t>
  </si>
  <si>
    <t>THU NHẬP CHỊU THUẾ TÍNH TRƯỚC</t>
  </si>
  <si>
    <t>Gks</t>
  </si>
  <si>
    <t>VI</t>
  </si>
  <si>
    <t>LIỆT KÊ VẬT TƯ</t>
  </si>
  <si>
    <t>BẬC THỢ THÁO</t>
  </si>
  <si>
    <t>ĐỊNH MỨC NC THÁO</t>
  </si>
  <si>
    <t>HS THÁO</t>
  </si>
  <si>
    <t>SỬ DỤNG LẠI</t>
  </si>
  <si>
    <t>BẬC THỢ LẮP</t>
  </si>
  <si>
    <t>ĐỊNH MỨC NC LẮP</t>
  </si>
  <si>
    <t>HS LẮP</t>
  </si>
  <si>
    <t>ĐƠN GIÁ THÁO</t>
  </si>
  <si>
    <t>ĐƠN GIÁ LẮP</t>
  </si>
  <si>
    <t>Lương cơ bản</t>
  </si>
  <si>
    <t>10.01.11+10.02.11</t>
  </si>
  <si>
    <t>Tháo hạ, căng dây AC70</t>
  </si>
  <si>
    <t>Tháo hạ, căng dây AC50</t>
  </si>
  <si>
    <t>09.09.12+09.08.12</t>
  </si>
  <si>
    <t>08.06.18+08.05.18</t>
  </si>
  <si>
    <t>09.07.12+09.06.22</t>
  </si>
  <si>
    <t>09.06.30</t>
  </si>
  <si>
    <t>Chỉnh trụ nghiêng</t>
  </si>
  <si>
    <t>12.01.40</t>
  </si>
  <si>
    <t>12.02.20</t>
  </si>
  <si>
    <t>Tháo (lắp) bộ LTD</t>
  </si>
  <si>
    <t>12.02.30</t>
  </si>
  <si>
    <t>12.02.20+12.02.21</t>
  </si>
  <si>
    <t>Tháo (lắp) bộ TU; TI</t>
  </si>
  <si>
    <t>Tháo (lắp) tủ LBS (hoặc tủ SCADA)</t>
  </si>
  <si>
    <t>13,03,12+13,03,16</t>
  </si>
  <si>
    <t>Tháo, lắp bộ Recloser</t>
  </si>
  <si>
    <t>Tháo (lắp) Anten</t>
  </si>
  <si>
    <t>Nhổ trụ BTLT 10,5m</t>
  </si>
  <si>
    <t>Tháo (lắp) tụ bù hạ thế</t>
  </si>
  <si>
    <t>16.03.10+16.03.10</t>
  </si>
  <si>
    <t>Tháo (lắp hộp Domino)</t>
  </si>
  <si>
    <t>08.05.22+08.06.22</t>
  </si>
  <si>
    <t>Tháo (lắp) Uclevis ĐTU</t>
  </si>
  <si>
    <t>Tháo (lắp) Rack 3</t>
  </si>
  <si>
    <t>Tháo (lắp) Rack 4</t>
  </si>
  <si>
    <t>Tháo (lắp) Branchment</t>
  </si>
  <si>
    <t>Tháo hạ, dây M16 (Branchement)</t>
  </si>
  <si>
    <t>10.02.31+10.01.31</t>
  </si>
  <si>
    <t>Tháo hạ, căng dây AV95</t>
  </si>
  <si>
    <t>Tháo hạ, căng dây AV70</t>
  </si>
  <si>
    <t>Tháo hạ, căng dây AV50</t>
  </si>
  <si>
    <t>Tháo hạ, căng dây ABC120</t>
  </si>
  <si>
    <t>Tháo bộ chằng (dây néo)</t>
  </si>
  <si>
    <t>TỔNG CỘNG:</t>
  </si>
  <si>
    <t>Phần chiếu sáng</t>
  </si>
  <si>
    <t>Tháo (lắp) Rack 2</t>
  </si>
  <si>
    <t>Tháo hạ, dây M11</t>
  </si>
  <si>
    <t>Tháo bộ chằng</t>
  </si>
  <si>
    <t>CS.1.03.11</t>
  </si>
  <si>
    <t>Tháo (lắp) cần đèn D60 (L&lt;2,8m)</t>
  </si>
  <si>
    <t>Tháo (lắp) bóng đèn Sodium</t>
  </si>
  <si>
    <t>CS.2.01.12</t>
  </si>
  <si>
    <t>CS.2.02.21</t>
  </si>
  <si>
    <t>Tháo (lắp) cầu chì đuôi cá</t>
  </si>
  <si>
    <t>CS.1.01.21</t>
  </si>
  <si>
    <t>cột</t>
  </si>
  <si>
    <t>CS.1.05.11</t>
  </si>
  <si>
    <t>BẢNG TÍNH MÁY THI CÔNG VẬT TƯ THÁO, LẮP</t>
  </si>
  <si>
    <t>Phần trung, hạ thế và TBA</t>
  </si>
  <si>
    <t>TCMTCTLCS</t>
  </si>
  <si>
    <t>TCMTCTHTBA</t>
  </si>
  <si>
    <t>TCNCCS</t>
  </si>
  <si>
    <t>TCNCMTCTL</t>
  </si>
  <si>
    <t>NONE</t>
  </si>
  <si>
    <t>VẬT LIỆU</t>
  </si>
  <si>
    <t>HOP1PABC</t>
  </si>
  <si>
    <t>Hộp phân phối 6CB cho cáp 3xABC</t>
  </si>
  <si>
    <t>HOP3PABC</t>
  </si>
  <si>
    <t>bmoc16250</t>
  </si>
  <si>
    <t>MTREO</t>
  </si>
  <si>
    <t>MTREOA</t>
  </si>
  <si>
    <t>mtreoa</t>
  </si>
  <si>
    <t>bit95</t>
  </si>
  <si>
    <t>CTN</t>
  </si>
  <si>
    <t>ĐỊNH MỨC THÁO</t>
  </si>
  <si>
    <t>ĐỊNH MỨC LẮP</t>
  </si>
  <si>
    <t>KHỐI LƯỢNG</t>
  </si>
  <si>
    <t>LOẠI CẨU</t>
  </si>
  <si>
    <t>Mã hiệu</t>
  </si>
  <si>
    <t>TÊN VẬT TƯ</t>
  </si>
  <si>
    <t>TRỌNG LƯỢNG</t>
  </si>
  <si>
    <t>THIẾT BỊ</t>
  </si>
  <si>
    <t>Cos70</t>
  </si>
  <si>
    <t>VLCODE</t>
  </si>
  <si>
    <t>TBCODE</t>
  </si>
  <si>
    <t>TRỤ, ĐÀ CẢN</t>
  </si>
  <si>
    <t>TDCODE</t>
  </si>
  <si>
    <t>TỔNG
CÔNG TRÌNH</t>
  </si>
  <si>
    <t>DD</t>
  </si>
  <si>
    <t>TBA</t>
  </si>
  <si>
    <t>chuyến TBA</t>
  </si>
  <si>
    <t>Ghi chú:</t>
  </si>
  <si>
    <t>Đường loại 6</t>
  </si>
  <si>
    <t>Chi phí chằng buộc, bảo quản hàng trong quá trình vận chuyển</t>
  </si>
  <si>
    <t>Cầu bốc dỡ trạm biến áp và thiết bị khác</t>
  </si>
  <si>
    <t>Cộng II:</t>
  </si>
  <si>
    <t>TỔNG CỘNG (I - II):</t>
  </si>
  <si>
    <t xml:space="preserve">  + 1,2 hệ số điều chỉnh đối với công trình thiết kế cải tạo, mở rộng (nếu có)</t>
  </si>
  <si>
    <t xml:space="preserve">  + 1,1 hệ số bao gồm thuế GTGT (VAT); </t>
  </si>
  <si>
    <t>Gtbdd=1+2+…+n</t>
  </si>
  <si>
    <t>1+2+…+n</t>
  </si>
  <si>
    <t>Gtbtba=1+2+…+n</t>
  </si>
  <si>
    <t>Gks=a+b+…+n</t>
  </si>
  <si>
    <t>- Đường loại 2</t>
  </si>
  <si>
    <t>Khoảng cách vận chuyển trụ, đà cản từ Sài Gòn đến kho vật tư</t>
  </si>
  <si>
    <t>Khoảng cách vận chuyển vật tư, phụ kiện từ Sài Gòn đến kho vật tư</t>
  </si>
  <si>
    <t>Khoảng cách vận chuyển thiết bị từ Sài Gòn đến kho vật tư</t>
  </si>
  <si>
    <t>Khoảng cách vận chuyển trụ, đà, thiết bị, phụ kiện từ kho đến công trường</t>
  </si>
  <si>
    <t>LBS TREO</t>
  </si>
  <si>
    <t>Tiếp địa lặp lại trụ 7,5m</t>
  </si>
  <si>
    <t>Tiếp địa lặp lại trụ 8,5m</t>
  </si>
  <si>
    <t>Tiếp địa lặp lại trụ 8,5m cáp ABC</t>
  </si>
  <si>
    <t>Tiếp địa TBA 1 pha</t>
  </si>
  <si>
    <t>Tiếp địa TBA 3 pha</t>
  </si>
  <si>
    <t>NHÂN CÔNG</t>
  </si>
  <si>
    <t>MÁY THI CÔNG</t>
  </si>
  <si>
    <t>ĐƠN GIÁ VẬT LIỆU, NHÂN CÔNG, MÁY THI CÔNG</t>
  </si>
  <si>
    <t>NGÀY
CẬP NHẬT</t>
  </si>
  <si>
    <t>Đơn giá mới nhất</t>
  </si>
  <si>
    <t>Giáp níu dừng dây bọc 50</t>
  </si>
  <si>
    <t>GNIU50</t>
  </si>
  <si>
    <t>TRẠNG THÁI</t>
  </si>
  <si>
    <t>- Đường loại 1</t>
  </si>
  <si>
    <t>GIÁ TRỊ</t>
  </si>
  <si>
    <t>ĐƯỜNG DÂY</t>
  </si>
  <si>
    <t>TRẠM BIẾN ÁP</t>
  </si>
  <si>
    <t>Cáp AC50</t>
  </si>
  <si>
    <t>ĐÃ CẬP NHẬT THEO ĐƠN GIÁ</t>
  </si>
  <si>
    <t>THUYẾT MINH DỰ TOÁN</t>
  </si>
  <si>
    <t>Sơ lược đặc điểm công trình:</t>
  </si>
  <si>
    <t xml:space="preserve">  </t>
  </si>
  <si>
    <t xml:space="preserve">Đường dây trung thế:  </t>
  </si>
  <si>
    <t>Trạm biến áp:</t>
  </si>
  <si>
    <t>Cơ sở lập dự toán:</t>
  </si>
  <si>
    <t>2.1</t>
  </si>
  <si>
    <t>Cơ sở về khối lượng, biện pháp:</t>
  </si>
  <si>
    <t>-</t>
  </si>
  <si>
    <t>Khối lượng công tác lập trên cơ sở khối lượng theo bản vẽ thiết kế công trình.</t>
  </si>
  <si>
    <t>Căn cứ thực tế công trình và Báo cáo kinh tế kỹ thuật đã lập</t>
  </si>
  <si>
    <t>2.2</t>
  </si>
  <si>
    <t>Cơ sở về đơn giá định mức, chế độ:</t>
  </si>
  <si>
    <t>Đơn giá thiết bị, vật tư điện theo thời điểm lập dự toán :</t>
  </si>
  <si>
    <t>Biện pháp tổ chức xây dựng trên cơ sở thực tế khảo sát công trình này thi công chủ yếu bằng thủ công.Riêng phần trồng trụ và kéo dây bằng thủ công kết hợp cơ giới</t>
  </si>
  <si>
    <t>U100650</t>
  </si>
  <si>
    <t>THUYẾT MINH CHUNG</t>
  </si>
  <si>
    <t xml:space="preserve">               Tập I: Thuyết minh và các Bản vẽ</t>
  </si>
  <si>
    <t xml:space="preserve">               Tập II: Tổng Dự toán</t>
  </si>
  <si>
    <t xml:space="preserve">         1. Sơ lược đặc điểm công trình</t>
  </si>
  <si>
    <t xml:space="preserve">         2. Cơ sở lập dự toán</t>
  </si>
  <si>
    <t xml:space="preserve">         3. Các bảng tính toán</t>
  </si>
  <si>
    <t>Nội dung tập II như sau:</t>
  </si>
  <si>
    <t xml:space="preserve">  + Phần giá trụ, đà cản lấy theo báo giá của Công ty Bê tông Biên Hòa.</t>
  </si>
  <si>
    <t>Not OK</t>
  </si>
  <si>
    <t>Excelent</t>
  </si>
  <si>
    <t>06.6506</t>
  </si>
  <si>
    <t>Gía chùm treo máy biến áp 3x50kVA</t>
  </si>
  <si>
    <t>Tủ trạm biến áp 3 pha</t>
  </si>
  <si>
    <t>Sứ chằng nhỏ</t>
  </si>
  <si>
    <t>Máng che dây chằng dày 1,6x40x2000mm</t>
  </si>
  <si>
    <t>Trụ bê tông ly tâm 12m (TC)</t>
  </si>
  <si>
    <t>Trụ bê tông ly tâm 12m (TC + MTC)</t>
  </si>
  <si>
    <t>Đà U100x4.5x650 (1m x 12,34kg/m)</t>
  </si>
  <si>
    <t>Người kiểm tra</t>
  </si>
  <si>
    <t>Sứ đứng 24kV ĐR 540mm</t>
  </si>
  <si>
    <t>mẫu</t>
  </si>
  <si>
    <t>Sứ treo Polyme 24kV</t>
  </si>
  <si>
    <t>Cáp 24KV AC/XLPE/PVC 70mm2</t>
  </si>
  <si>
    <t>Cáp 24KV AC/XLPE/PVC 95mm2</t>
  </si>
  <si>
    <t>Cáp 24KV AC/XLPE/PVC 120mm2</t>
  </si>
  <si>
    <t>Cáp 24KV AC/XLPE/PVC 150mm2</t>
  </si>
  <si>
    <t>Cáp 24KV AC/XLPE/PVC 185mm2</t>
  </si>
  <si>
    <t>Cáp 24KV AC/XLPE/PVC 240mm2</t>
  </si>
  <si>
    <t>06.6505</t>
  </si>
  <si>
    <t>06.6504</t>
  </si>
  <si>
    <t>06.6401</t>
  </si>
  <si>
    <t>06.6402</t>
  </si>
  <si>
    <t>06.6403</t>
  </si>
  <si>
    <t>06.6404</t>
  </si>
  <si>
    <t>06.6405</t>
  </si>
  <si>
    <t>06.6406</t>
  </si>
  <si>
    <t>Cáp AC95</t>
  </si>
  <si>
    <t>Cáp ACXV50</t>
  </si>
  <si>
    <t>Cáp ACXV70</t>
  </si>
  <si>
    <t>Cáp ACXV95</t>
  </si>
  <si>
    <t>Bộ xà kép Composite bắt LA, FCO 1 pha</t>
  </si>
  <si>
    <t>Băng keo cách điện (5m/cuộn)</t>
  </si>
  <si>
    <t>Trụ BTLT 12m F540 dự ứng lực</t>
  </si>
  <si>
    <t>Cáp nhôm ABC 2x150mm2</t>
  </si>
  <si>
    <t>Chân sứ đỉnh đỡ góc dài 870x4mm</t>
  </si>
  <si>
    <t>b16500v</t>
  </si>
  <si>
    <t>b16700v</t>
  </si>
  <si>
    <t>b16600v</t>
  </si>
  <si>
    <t>CTTLDZ</t>
  </si>
  <si>
    <t>CTTLCS</t>
  </si>
  <si>
    <t>CTMTCDZ</t>
  </si>
  <si>
    <t>CTMTCCS</t>
  </si>
  <si>
    <t>Nhổ trụ BTLT 12m</t>
  </si>
  <si>
    <t>Nhổ trụ BTLT 14m</t>
  </si>
  <si>
    <t>CV70</t>
  </si>
  <si>
    <t>chCos70</t>
  </si>
  <si>
    <t>Nhổ (dựng) cột BTLT ≤ 10m</t>
  </si>
  <si>
    <t>Nhổ (dựng) cột BTLT ≤ 8m</t>
  </si>
  <si>
    <t>Nhổ (dựng) cột BTLT ≤ 12m</t>
  </si>
  <si>
    <t>Nhổ (dựng) cột BTLT ≤ 14m</t>
  </si>
  <si>
    <t>Nhổ (dựng) cột BTLT ≤ 16m</t>
  </si>
  <si>
    <t>Nhổ (dựng) cột BTLT ≤ 18m</t>
  </si>
  <si>
    <t>Nhổ (dựng) cột BTLT ≤ 20m</t>
  </si>
  <si>
    <t>09.07.12+09.06.12</t>
  </si>
  <si>
    <t>MNDBT8</t>
  </si>
  <si>
    <t>MNDBT10</t>
  </si>
  <si>
    <t>MNDBT12</t>
  </si>
  <si>
    <t>MNDBT14</t>
  </si>
  <si>
    <t>MNDBT16</t>
  </si>
  <si>
    <t>MNDBT18</t>
  </si>
  <si>
    <t>MNDBT20</t>
  </si>
  <si>
    <t>MNDBTL20</t>
  </si>
  <si>
    <t>Máy nhổ (dựng) cột BTLT ≤ 8m</t>
  </si>
  <si>
    <t>Máy nhổ (dựng) cột BTLT ≤ 10m</t>
  </si>
  <si>
    <t>Máy nhổ (dựng) cột BTLT ≤ 12m</t>
  </si>
  <si>
    <t>Máy nhổ (dựng) cột BTLT ≤ 14m</t>
  </si>
  <si>
    <t>Máy nhổ (dựng) cột BTLT ≤ 16m</t>
  </si>
  <si>
    <t>Máy nhổ (dựng) cột BTLT ≤ 18m</t>
  </si>
  <si>
    <t>Máy nhổ (dựng) cột BTLT ≤ 20m</t>
  </si>
  <si>
    <t>Tháo (lắp) máy biến áp S ≤ 50kVA</t>
  </si>
  <si>
    <t>Tháo (lắp) máy biến áp S ≤ 100kVA</t>
  </si>
  <si>
    <t>Tháo (lắp) máy biến áp S ≤ 160kVA</t>
  </si>
  <si>
    <t>Tháo (lắp) máy biến áp S ≤ 200kVA</t>
  </si>
  <si>
    <t>Tháo (lắp) máy biến áp S ≤ 250kVA</t>
  </si>
  <si>
    <t>Tháo (lắp) máy biến áp S ≤ 320kVA</t>
  </si>
  <si>
    <t>Tháo (lắp) máy biến áp S ≤ 500kVA</t>
  </si>
  <si>
    <t>Tháo (lắp) máy biến áp S ≤ 630kVA</t>
  </si>
  <si>
    <t>Tháo (lắp) máy biến áp S ≤ 800kVA</t>
  </si>
  <si>
    <t>Tháo (lắp) chuỗi sứ treo Polymer</t>
  </si>
  <si>
    <t xml:space="preserve">Tháo (lắp) chân sứ đỉnh </t>
  </si>
  <si>
    <t>Tháo (lắp) sứ đứng 24kV</t>
  </si>
  <si>
    <t>Tháo (lắp) dây dẫn trong ống bảo vệ, tiết diện ≤ 50mm2</t>
  </si>
  <si>
    <t>Tháo (lắp) dây dẫn trong ống bảo vệ, tiết diện ≤ 70mm2</t>
  </si>
  <si>
    <t>Tháo (lắp) dây dẫn trong ống bảo vệ, tiết diện ≤ 95mm2</t>
  </si>
  <si>
    <t>Tháo (lắp) dây dẫn trong ống bảo vệ, tiết diện ≤ 120mm2</t>
  </si>
  <si>
    <t>Tháo (lắp) dây dẫn trong ống bảo vệ, tiết diện ≤ 150mm2</t>
  </si>
  <si>
    <t>Tháo (lắp) dây dẫn trong ống bảo vệ, tiết diện ≤ 185mm2</t>
  </si>
  <si>
    <t>Tháo (lắp) dây dẫn trong ống bảo vệ, tiết diện ≤ 240mm2</t>
  </si>
  <si>
    <t>16.04.40</t>
  </si>
  <si>
    <t>Tháo (lắp) bộ cầu chì tự rơi (FCO) 1 pha</t>
  </si>
  <si>
    <t>Tháo (lắp) bộ chống sét van (LA) 1 pha</t>
  </si>
  <si>
    <t>Tháo (lắp) xà M ≤ 25kg</t>
  </si>
  <si>
    <t>Tháo (lắp) xà M ≤ 50kg</t>
  </si>
  <si>
    <t>Tháo (lắp) xà M ≤ 100kg</t>
  </si>
  <si>
    <t>Tháo (lắp) xà M ≤ 140kg</t>
  </si>
  <si>
    <t>Tháo (lắp) xà M ≤ 230kg</t>
  </si>
  <si>
    <t>Tháo (lắp) xà M ≤ 320kg</t>
  </si>
  <si>
    <t>Tháo (lắp) xà M ≤ 410kg</t>
  </si>
  <si>
    <t>Tháo (lắp) xà M ≤ 500kg</t>
  </si>
  <si>
    <t>Tháo (lắp) xà M ≤ 750kg</t>
  </si>
  <si>
    <t>Tháo (lắp) xà M ≤ 1000kg</t>
  </si>
  <si>
    <t>Nhổ (dựng) cột BTLT ≥ 20m</t>
  </si>
  <si>
    <t>- Chi phí trực tiếp khác</t>
  </si>
  <si>
    <t>2% x Gxd</t>
  </si>
  <si>
    <t>- Chi phí xây dựng nhà tạm</t>
  </si>
  <si>
    <t>1% Gxd</t>
  </si>
  <si>
    <t xml:space="preserve">  + Phần giá các loại vật tư khác được lấy theo giá thị trường, quyết toán toán bằng chứng từ hợp lệ.</t>
  </si>
  <si>
    <t>BCOM3PI</t>
  </si>
  <si>
    <t>Bộ xà Composite bắt LA, FCO 3 pha (H)</t>
  </si>
  <si>
    <t>Cos50</t>
  </si>
  <si>
    <t>CONHIET34</t>
  </si>
  <si>
    <t>Ống co nhiệt D34</t>
  </si>
  <si>
    <t>Chụp kẹp quai, hotline</t>
  </si>
  <si>
    <t>CHI PHÍ LẬP PHƯƠNG ÁN KỸ THUẬT KHẢO SÁT XÂY DỰNG</t>
  </si>
  <si>
    <t>PA</t>
  </si>
  <si>
    <t>CHI PHÍ LẬP BÁO CÁO KẾT QUẢ KHẢO SÁT XÂY DỰNG</t>
  </si>
  <si>
    <t>CHI PHÍ CHỖ Ở TẠM THỜI</t>
  </si>
  <si>
    <t>CHI PHÍ KHẢO SÁT TRƯỚC THUẾ</t>
  </si>
  <si>
    <t>THUẾ GIÁ TRỊ GIA TĂNG</t>
  </si>
  <si>
    <t>CHI PHÍ KHẢO SÁT SAU THUẾ</t>
  </si>
  <si>
    <t>Lt</t>
  </si>
  <si>
    <t>BC</t>
  </si>
  <si>
    <t>Cv</t>
  </si>
  <si>
    <t>Cn</t>
  </si>
  <si>
    <t>Cm</t>
  </si>
  <si>
    <t>v1</t>
  </si>
  <si>
    <t>n1</t>
  </si>
  <si>
    <t>m1</t>
  </si>
  <si>
    <t>P</t>
  </si>
  <si>
    <t>OT</t>
  </si>
  <si>
    <t>Ct</t>
  </si>
  <si>
    <t>Ggtgt</t>
  </si>
  <si>
    <t>Gdp</t>
  </si>
  <si>
    <t>VII</t>
  </si>
  <si>
    <t>VIII</t>
  </si>
  <si>
    <t>IX</t>
  </si>
  <si>
    <t>X</t>
  </si>
  <si>
    <t>conhiet34</t>
  </si>
  <si>
    <t>chupkq</t>
  </si>
  <si>
    <t>Mương cáp ngầm hạ thế</t>
  </si>
  <si>
    <t>MDSTA</t>
  </si>
  <si>
    <t>Mét</t>
  </si>
  <si>
    <t>Hố ga cáp ngầm (1mx1mx1m)</t>
  </si>
  <si>
    <t>HOGA</t>
  </si>
  <si>
    <t>lgach</t>
  </si>
  <si>
    <t>Dcat</t>
  </si>
  <si>
    <t>D4X6</t>
  </si>
  <si>
    <t>CHUPKQ</t>
  </si>
  <si>
    <t>TUTUBU</t>
  </si>
  <si>
    <t>Tủ tụ bù hạ thế</t>
  </si>
  <si>
    <t>keo</t>
  </si>
  <si>
    <t>MTREOABCTT</t>
  </si>
  <si>
    <t>MDTREOABCTT</t>
  </si>
  <si>
    <t>DCAPABCTT</t>
  </si>
  <si>
    <t>HOPMCCB</t>
  </si>
  <si>
    <t>Hộp MCCB phân đoạn</t>
  </si>
  <si>
    <t>on120</t>
  </si>
  <si>
    <t>Bộ dừng cáp ABC trụ trung thế</t>
  </si>
  <si>
    <t>Móc đôi treo cáp ABC trụ trung thế</t>
  </si>
  <si>
    <t>Móc đơn treo cáp ABC trụ trung thế</t>
  </si>
  <si>
    <t>MTREOABCHT</t>
  </si>
  <si>
    <t>MDTREOABCHT</t>
  </si>
  <si>
    <t>DCAPABCHT</t>
  </si>
  <si>
    <t>Móc đơn treo cáp ABC trụ hạ thế</t>
  </si>
  <si>
    <t>Móc đôi treo cáp ABC trụ hạ thế</t>
  </si>
  <si>
    <t>Bộ dừng cáp ABC trụ hạ thế</t>
  </si>
  <si>
    <t>bmoc16200</t>
  </si>
  <si>
    <t>BMOC16200</t>
  </si>
  <si>
    <t>Boulon móc 16x200+ 2 long đền vuông D18-50x50x3/Zn</t>
  </si>
  <si>
    <t>Cáp nhôm ABC 3x150mm2</t>
  </si>
  <si>
    <t>CV120</t>
  </si>
  <si>
    <t>Cos120</t>
  </si>
  <si>
    <t>chCos120</t>
  </si>
  <si>
    <t>CAPXUAT3P</t>
  </si>
  <si>
    <t>CAPXUAT1P</t>
  </si>
  <si>
    <t>Bộ cáp xuất hạ thế 3P tại trạm</t>
  </si>
  <si>
    <t>Bộ cáp xuất hạ thế 1P tại trạm</t>
  </si>
  <si>
    <t>Hộp phân phối trực tiếp cho cáp 4xABC</t>
  </si>
  <si>
    <t>tongBK1</t>
  </si>
  <si>
    <t>tongBK2</t>
  </si>
  <si>
    <t>tongBK3</t>
  </si>
  <si>
    <t>tongBK4</t>
  </si>
  <si>
    <t>tongBK5</t>
  </si>
  <si>
    <t>tongBK6</t>
  </si>
  <si>
    <t>tongBK7</t>
  </si>
  <si>
    <t>tongBK8</t>
  </si>
  <si>
    <t>tongBK9</t>
  </si>
  <si>
    <t>tongBK10</t>
  </si>
  <si>
    <t>tongBK11</t>
  </si>
  <si>
    <t>tongBK12</t>
  </si>
  <si>
    <t>tongBK13</t>
  </si>
  <si>
    <t>tongBK14</t>
  </si>
  <si>
    <t>tongBK15</t>
  </si>
  <si>
    <t>tongBK16</t>
  </si>
  <si>
    <t>tongBK17</t>
  </si>
  <si>
    <t>tongBK18</t>
  </si>
  <si>
    <t>tongBK19</t>
  </si>
  <si>
    <t>tongBK20</t>
  </si>
  <si>
    <t>tongBK21</t>
  </si>
  <si>
    <t>tongBK22</t>
  </si>
  <si>
    <t>tongBK23</t>
  </si>
  <si>
    <t>tongBK24</t>
  </si>
  <si>
    <t>tongBK25</t>
  </si>
  <si>
    <t>tongBK26</t>
  </si>
  <si>
    <t>tongBK27</t>
  </si>
  <si>
    <t>tongBK28</t>
  </si>
  <si>
    <t>tongBK29</t>
  </si>
  <si>
    <t>tongBK30</t>
  </si>
  <si>
    <t>TBDD</t>
  </si>
  <si>
    <t>PKHM</t>
  </si>
  <si>
    <t>CAP1</t>
  </si>
  <si>
    <t>AV50</t>
  </si>
  <si>
    <t>AV70</t>
  </si>
  <si>
    <t>AV95</t>
  </si>
  <si>
    <t>AV120</t>
  </si>
  <si>
    <t>AV150</t>
  </si>
  <si>
    <t>AV185</t>
  </si>
  <si>
    <t>AV240</t>
  </si>
  <si>
    <t>Phụ kiện đường dây</t>
  </si>
  <si>
    <t>CAP2</t>
  </si>
  <si>
    <t>PKHM2</t>
  </si>
  <si>
    <t>TBDD2</t>
  </si>
  <si>
    <t>CAP3</t>
  </si>
  <si>
    <t>CAP4</t>
  </si>
  <si>
    <t>CAP5</t>
  </si>
  <si>
    <t>CAP6</t>
  </si>
  <si>
    <t>CAP7</t>
  </si>
  <si>
    <t>CAP8</t>
  </si>
  <si>
    <t>CAP9</t>
  </si>
  <si>
    <t>CAP10</t>
  </si>
  <si>
    <t>CAP11</t>
  </si>
  <si>
    <t>CAP12</t>
  </si>
  <si>
    <t>CAP13</t>
  </si>
  <si>
    <t>CAP14</t>
  </si>
  <si>
    <t>CAP15</t>
  </si>
  <si>
    <t>CAP16</t>
  </si>
  <si>
    <t>CAP17</t>
  </si>
  <si>
    <t>CAP18</t>
  </si>
  <si>
    <t>CAP19</t>
  </si>
  <si>
    <t>CAP20</t>
  </si>
  <si>
    <t>CAP21</t>
  </si>
  <si>
    <t>CAP22</t>
  </si>
  <si>
    <t>CAP23</t>
  </si>
  <si>
    <t>PKHM3</t>
  </si>
  <si>
    <t>PKHM4</t>
  </si>
  <si>
    <t>PKHM5</t>
  </si>
  <si>
    <t>PKHM6</t>
  </si>
  <si>
    <t>PKHM7</t>
  </si>
  <si>
    <t>PKHM8</t>
  </si>
  <si>
    <t>PKHM9</t>
  </si>
  <si>
    <t>PKHM10</t>
  </si>
  <si>
    <t>PKHM11</t>
  </si>
  <si>
    <t>PKHM12</t>
  </si>
  <si>
    <t>PKHM13</t>
  </si>
  <si>
    <t>PKHM14</t>
  </si>
  <si>
    <t>PKHM15</t>
  </si>
  <si>
    <t>PKHM16</t>
  </si>
  <si>
    <t>PKHM17</t>
  </si>
  <si>
    <t>PKHM18</t>
  </si>
  <si>
    <t>PKHM19</t>
  </si>
  <si>
    <t>PKHM20</t>
  </si>
  <si>
    <t>PKHM21</t>
  </si>
  <si>
    <t>PKHM22</t>
  </si>
  <si>
    <t>PKHM23</t>
  </si>
  <si>
    <t>TBDD3</t>
  </si>
  <si>
    <t>TBDD4</t>
  </si>
  <si>
    <t>TBDD5</t>
  </si>
  <si>
    <t>TBDD6</t>
  </si>
  <si>
    <t>TBDD7</t>
  </si>
  <si>
    <t>TBDD8</t>
  </si>
  <si>
    <t>TBDD9</t>
  </si>
  <si>
    <t>TBDD10</t>
  </si>
  <si>
    <t>TBDD11</t>
  </si>
  <si>
    <t>TBDD12</t>
  </si>
  <si>
    <t>TBDD13</t>
  </si>
  <si>
    <t>TBDD14</t>
  </si>
  <si>
    <t>TBDD15</t>
  </si>
  <si>
    <t>TBDD16</t>
  </si>
  <si>
    <t>TBDD17</t>
  </si>
  <si>
    <t>TBDD18</t>
  </si>
  <si>
    <t>TBDD19</t>
  </si>
  <si>
    <t>TBDD20</t>
  </si>
  <si>
    <t>TBDD21</t>
  </si>
  <si>
    <t>TBDD22</t>
  </si>
  <si>
    <t>TBDD23</t>
  </si>
  <si>
    <t>CAP24</t>
  </si>
  <si>
    <t>PKHM24</t>
  </si>
  <si>
    <t>TBDD24</t>
  </si>
  <si>
    <t>CAP25</t>
  </si>
  <si>
    <t>PKHM25</t>
  </si>
  <si>
    <t>TBDD25</t>
  </si>
  <si>
    <t>CAP26</t>
  </si>
  <si>
    <t>PKHM26</t>
  </si>
  <si>
    <t>TBDD26</t>
  </si>
  <si>
    <t>CAP27</t>
  </si>
  <si>
    <t>PKHM27</t>
  </si>
  <si>
    <t>TBDD27</t>
  </si>
  <si>
    <t>CAP28</t>
  </si>
  <si>
    <t>PKHM28</t>
  </si>
  <si>
    <t>TBDD28</t>
  </si>
  <si>
    <t>CAP29</t>
  </si>
  <si>
    <t>PKHM29</t>
  </si>
  <si>
    <t>TBDD29</t>
  </si>
  <si>
    <t>CAP30</t>
  </si>
  <si>
    <t>PKHM30</t>
  </si>
  <si>
    <t>TBDD30</t>
  </si>
  <si>
    <t>Thiết bị</t>
  </si>
  <si>
    <t>FUSE</t>
  </si>
  <si>
    <t>ILINE</t>
  </si>
  <si>
    <t>NLO</t>
  </si>
  <si>
    <t>BU</t>
  </si>
  <si>
    <t>TI</t>
  </si>
  <si>
    <t>TI125</t>
  </si>
  <si>
    <t xml:space="preserve">Cáp CVV 4x2,5mm2 </t>
  </si>
  <si>
    <t>Sắt  φ6</t>
  </si>
  <si>
    <t>Sắt  φ8</t>
  </si>
  <si>
    <t>Sắt  φ10</t>
  </si>
  <si>
    <t>Sắt  φ12</t>
  </si>
  <si>
    <t>Sắt  φ16</t>
  </si>
  <si>
    <t>Sắt  φ24</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</si>
  <si>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</si>
  <si>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</si>
  <si>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</si>
  <si>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</si>
  <si>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</si>
  <si>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</si>
  <si>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</si>
  <si>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</si>
  <si>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</si>
  <si>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</si>
  <si>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</si>
  <si>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</si>
  <si>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</si>
  <si>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</si>
  <si>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</si>
  <si>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</si>
  <si>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</si>
  <si>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</si>
  <si>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</si>
  <si>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</si>
  <si>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</si>
  <si>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</si>
  <si>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</si>
  <si>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</si>
  <si>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</si>
  <si>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Co 90 độ PVC 90</t>
  </si>
  <si>
    <t>Co 90 độ PVC 114</t>
  </si>
  <si>
    <t>c2</t>
  </si>
  <si>
    <t>CS.1.03.12</t>
  </si>
  <si>
    <t>CS.1.03.13</t>
  </si>
  <si>
    <t>LCAND6028</t>
  </si>
  <si>
    <t>LCAND6032</t>
  </si>
  <si>
    <t>LCAND6036</t>
  </si>
  <si>
    <t>CS.1.07.31</t>
  </si>
  <si>
    <t>Làm tiếp địa lặp lại cho hệ thống chiếu sáng cáp treo</t>
  </si>
  <si>
    <t>LTDCS</t>
  </si>
  <si>
    <t>CS.2.01.11</t>
  </si>
  <si>
    <t>KCAPDEN50</t>
  </si>
  <si>
    <t>CDEND27V18</t>
  </si>
  <si>
    <t>Cần đèn D27 cao 1m vươn 1,8m nghiêng 15 độ Fe/Zn</t>
  </si>
  <si>
    <t>Cáp nhôm ABC 3x25mm2</t>
  </si>
  <si>
    <t>ABC3x25</t>
  </si>
  <si>
    <t>Cáp nhôm ABC 3x16mm2</t>
  </si>
  <si>
    <t>ABC2x16</t>
  </si>
  <si>
    <t>ABC3x16</t>
  </si>
  <si>
    <t>ABC2x25</t>
  </si>
  <si>
    <t>Cáp nhôm ABC 2x25mm2</t>
  </si>
  <si>
    <t>Cáp nhôm ABC 2x16mm2</t>
  </si>
  <si>
    <t>Điện kế 3 pha 4 dây 220/380V-50A</t>
  </si>
  <si>
    <t>TDCS</t>
  </si>
  <si>
    <t>Tiếp địa lặp lại cho hệ thống chiếu sáng (H&lt;8m)</t>
  </si>
  <si>
    <t>Bộ đèn hộp ngoài trời bóng LED 4U 40W</t>
  </si>
  <si>
    <t>CHOADENLED</t>
  </si>
  <si>
    <t>LED4U40</t>
  </si>
  <si>
    <t>Bóng đèn LED 4U 40W</t>
  </si>
  <si>
    <t>A.I.1.1</t>
  </si>
  <si>
    <t>A.I.2.1</t>
  </si>
  <si>
    <t xml:space="preserve"> + Hạng mục 1</t>
  </si>
  <si>
    <t xml:space="preserve"> + Hạng muc n</t>
  </si>
  <si>
    <t xml:space="preserve"> + Hạng mục n</t>
  </si>
  <si>
    <t>A.I.2.n</t>
  </si>
  <si>
    <t>A.I.1.n</t>
  </si>
  <si>
    <t>Đường dây hỗn hợp trung, hạ thế 1P</t>
  </si>
  <si>
    <t>Đường dây hỗn hợp trung, hạ thế 3P</t>
  </si>
  <si>
    <t>TCVT1_1</t>
  </si>
  <si>
    <t>TCTB1_1</t>
  </si>
  <si>
    <t xml:space="preserve"> '+ Chi phí xây dựng trạm tuyến 1</t>
  </si>
  <si>
    <t xml:space="preserve"> '+ Chi phí xây dựng trạm tuyến 2</t>
  </si>
  <si>
    <t>Đà cản BTCT 2,0m</t>
  </si>
  <si>
    <t>FILTER</t>
  </si>
  <si>
    <t>CTDD1</t>
  </si>
  <si>
    <t>Hệ số nhân công đường dây</t>
  </si>
  <si>
    <t>Hệ số máy thi công đường dây</t>
  </si>
  <si>
    <t>Hệ số nhân công trạm biến áp</t>
  </si>
  <si>
    <t>Hệ số máy thi công trạm biến áp</t>
  </si>
  <si>
    <t>Hệ số nhân công thí nghiệm</t>
  </si>
  <si>
    <t>Hệ số máy thi công thí nghiệm</t>
  </si>
  <si>
    <t>Hệ số nhân công chiếu sáng</t>
  </si>
  <si>
    <t>Hệ số máy thi công chiếu sáng</t>
  </si>
  <si>
    <t>Hệ số nhân công khảo sát</t>
  </si>
  <si>
    <t>Hệ số máy thi công khảo sát</t>
  </si>
  <si>
    <t>CÁC SỐ LIỆU CƠ BẢN CỦA CÔNG TRÌNH</t>
  </si>
  <si>
    <t>Tên công trình</t>
  </si>
  <si>
    <t>Tên hạng mục</t>
  </si>
  <si>
    <t>Tên chủ đầu tư</t>
  </si>
  <si>
    <t>Tên đơn vị thiết kế</t>
  </si>
  <si>
    <t>Người thiết kế</t>
  </si>
  <si>
    <t>Giám đốc thiết kế</t>
  </si>
  <si>
    <t xml:space="preserve">Kéo dây chiếu sáng tiết diện dây   6 ¸ 25mm² </t>
  </si>
  <si>
    <t>Kéo dây chiếu sáng tiết diện dây 26 ¸ 50mm²</t>
  </si>
  <si>
    <t>B.I.1.1</t>
  </si>
  <si>
    <t>B.I.2.1</t>
  </si>
  <si>
    <t>B.I.3.1</t>
  </si>
  <si>
    <t>B.II.1.1</t>
  </si>
  <si>
    <t>B.II.2.1</t>
  </si>
  <si>
    <t>B.II.3.1</t>
  </si>
  <si>
    <t>B.II.4.1</t>
  </si>
  <si>
    <t>CUT114135</t>
  </si>
  <si>
    <t>Co 135 độ PVC 114</t>
  </si>
  <si>
    <t>Đà U160x68x5x2800 đỡ MBA (15,3kg/m)</t>
  </si>
  <si>
    <t>Đà U200x80x5x2800 đỡ MBA (19,8kg/m)</t>
  </si>
  <si>
    <t>Đà U100x46x4.5x800 (8,59kg/m)</t>
  </si>
  <si>
    <t>Đà U100x46x4.5x400 (8,59kg/m)</t>
  </si>
  <si>
    <t>Thép hình L75 x75 x8</t>
  </si>
  <si>
    <t>L22</t>
  </si>
  <si>
    <t>L21</t>
  </si>
  <si>
    <t>L166</t>
  </si>
  <si>
    <t>L20</t>
  </si>
  <si>
    <t>C710</t>
  </si>
  <si>
    <t>C800</t>
  </si>
  <si>
    <t>L26</t>
  </si>
  <si>
    <t>CHI PHÍ XÂY DỰNG CÔNG TRÌNH</t>
  </si>
  <si>
    <t>CHI PHÍ THIẾT BỊ CÔNG TRÌNH</t>
  </si>
  <si>
    <t>COM2600</t>
  </si>
  <si>
    <t>Đà hộp composit L110x80x2600</t>
  </si>
  <si>
    <t>L26-3</t>
  </si>
  <si>
    <t>Đà sắt L75x75x8x2600 0 ốp (23,45kg/cái)</t>
  </si>
  <si>
    <t>Đà sắt L75x75x8x2200 4 ốp (22,37kg/cái)</t>
  </si>
  <si>
    <t>Đà sắt L75x75x8x2600 3 ốp (25,35kg/cái)</t>
  </si>
  <si>
    <t>Đà sắt L75x75x8x2100 lệch 100% 3 ốp (20,84kg/cái)</t>
  </si>
  <si>
    <t>Đà sắt L75x75x8x2000 lệch 2/3 3 ốp (19,93kg/cái)</t>
  </si>
  <si>
    <t>Đà sắt L75x75x8x1660 2 ốp (16,24kg/cái)</t>
  </si>
  <si>
    <t>HỆ SỐ XÂY DỰNG</t>
  </si>
  <si>
    <t>Hệ số quản lý dự án</t>
  </si>
  <si>
    <t>Hệ số tư vấn thiết kế</t>
  </si>
  <si>
    <t>N</t>
  </si>
  <si>
    <t>BẢNG NỘI SUY CHI PHÍ THIẾT KẾ (THEO 79/QĐ-BCT 15/02/2017)</t>
  </si>
  <si>
    <t>Hệ số thẩm tra BVTC</t>
  </si>
  <si>
    <t>Hệ số thẩm tra dự toán</t>
  </si>
  <si>
    <t>Hệ số lập HSMT và đánh giá HSDT XD</t>
  </si>
  <si>
    <t>Hệ số lập HSMT và đánh giá HSDT TB</t>
  </si>
  <si>
    <t>Hệ số giám sát TCXD</t>
  </si>
  <si>
    <t>Hệ số giám sát LDTB</t>
  </si>
  <si>
    <t>- Chi phí lập HSMT và đánh gía HSDT XD</t>
  </si>
  <si>
    <t>5% Chi phí khảo sát</t>
  </si>
  <si>
    <t>Mã số</t>
  </si>
  <si>
    <t>Hệ số</t>
  </si>
  <si>
    <t>N1.10</t>
  </si>
  <si>
    <t>N1.20</t>
  </si>
  <si>
    <t>N1.23</t>
  </si>
  <si>
    <t>N1.25</t>
  </si>
  <si>
    <t>N1.27</t>
  </si>
  <si>
    <t>N1.30</t>
  </si>
  <si>
    <t>N1.32</t>
  </si>
  <si>
    <t>N1.33</t>
  </si>
  <si>
    <t>N1.35</t>
  </si>
  <si>
    <t>N1.37</t>
  </si>
  <si>
    <t>N1.40</t>
  </si>
  <si>
    <t>N1.42</t>
  </si>
  <si>
    <t>N1.43</t>
  </si>
  <si>
    <t>N1.45</t>
  </si>
  <si>
    <t>N1.47</t>
  </si>
  <si>
    <t>N1.50</t>
  </si>
  <si>
    <t>N1.52</t>
  </si>
  <si>
    <t>N1.53</t>
  </si>
  <si>
    <t>N1.55</t>
  </si>
  <si>
    <t>N1.60</t>
  </si>
  <si>
    <t>N1.70</t>
  </si>
  <si>
    <t>N2.10</t>
  </si>
  <si>
    <t>N2.20</t>
  </si>
  <si>
    <t>N2.23</t>
  </si>
  <si>
    <t>N2.25</t>
  </si>
  <si>
    <t>N2.27</t>
  </si>
  <si>
    <t>N2.30</t>
  </si>
  <si>
    <t>N2.32</t>
  </si>
  <si>
    <t>N2.33</t>
  </si>
  <si>
    <t>N2.35</t>
  </si>
  <si>
    <t>N2.37</t>
  </si>
  <si>
    <t>N2.40</t>
  </si>
  <si>
    <t>N2.42</t>
  </si>
  <si>
    <t>N2.43</t>
  </si>
  <si>
    <t>N2.45</t>
  </si>
  <si>
    <t>N2.47</t>
  </si>
  <si>
    <t>N2.50</t>
  </si>
  <si>
    <t>N2.52</t>
  </si>
  <si>
    <t>N2.53</t>
  </si>
  <si>
    <t>N2.55</t>
  </si>
  <si>
    <t>N2.60</t>
  </si>
  <si>
    <t>N2.70</t>
  </si>
  <si>
    <t>K1.10</t>
  </si>
  <si>
    <t>K1.20</t>
  </si>
  <si>
    <t>K1.30</t>
  </si>
  <si>
    <t>K1.40</t>
  </si>
  <si>
    <t>K1.45</t>
  </si>
  <si>
    <t>K1.50</t>
  </si>
  <si>
    <t>NHÓM 3 - KỸ SƯ</t>
  </si>
  <si>
    <t>SỐ NC</t>
  </si>
  <si>
    <t>HS ĐIỀU CHỈNH</t>
  </si>
  <si>
    <t>MÃ NC</t>
  </si>
  <si>
    <t>ĐƠN GIÁ CŨ</t>
  </si>
  <si>
    <t>LOẠI CA MÁY</t>
  </si>
  <si>
    <t>CAU5T</t>
  </si>
  <si>
    <t>CAU10T</t>
  </si>
  <si>
    <t>MK110</t>
  </si>
  <si>
    <t>MTR250</t>
  </si>
  <si>
    <t>DAM15</t>
  </si>
  <si>
    <t>TOI5</t>
  </si>
  <si>
    <t>MRD</t>
  </si>
  <si>
    <t>METL</t>
  </si>
  <si>
    <t>NC2.35</t>
  </si>
  <si>
    <t>NC2.40</t>
  </si>
  <si>
    <t>NC2.45</t>
  </si>
  <si>
    <t>KL PKDD</t>
  </si>
  <si>
    <t>KL TRU</t>
  </si>
  <si>
    <t>KL TBTBA</t>
  </si>
  <si>
    <t>CHUYENTRU</t>
  </si>
  <si>
    <t>CHUYENPKDD</t>
  </si>
  <si>
    <t>CHUYENTBA</t>
  </si>
  <si>
    <t>DZ1</t>
  </si>
  <si>
    <t>TBA1</t>
  </si>
  <si>
    <t>TDZ1</t>
  </si>
  <si>
    <t>TTBA1</t>
  </si>
  <si>
    <t>I.1</t>
  </si>
  <si>
    <t>I.2</t>
  </si>
  <si>
    <t>I.4</t>
  </si>
  <si>
    <t>I.6</t>
  </si>
  <si>
    <t>I.5</t>
  </si>
  <si>
    <t>I.3</t>
  </si>
  <si>
    <t>I.7</t>
  </si>
  <si>
    <t>II.1</t>
  </si>
  <si>
    <t>II.2</t>
  </si>
  <si>
    <t>II.3</t>
  </si>
  <si>
    <t>II.4</t>
  </si>
  <si>
    <t>U100-500</t>
  </si>
  <si>
    <t>U100-700</t>
  </si>
  <si>
    <t>U100-700-6</t>
  </si>
  <si>
    <t>U160-740</t>
  </si>
  <si>
    <t>U160-1700</t>
  </si>
  <si>
    <t>U160-1457</t>
  </si>
  <si>
    <t>U160-2100</t>
  </si>
  <si>
    <t>U160-1100</t>
  </si>
  <si>
    <t>Bộ đà trạm ngồi đặt MBA</t>
  </si>
  <si>
    <t>XMBANGOI</t>
  </si>
  <si>
    <t>Đà U100x46x4.5x700 - 8 lỗ (8,59kg/m)</t>
  </si>
  <si>
    <t>Đà U100x46x4.5x500 (8.59kg/m)</t>
  </si>
  <si>
    <t>Đà U100x46x4.5x700 - 6 lỗ (8,59kg/m)</t>
  </si>
  <si>
    <t>Đà U160x740x64x5 (14,2kg/m)</t>
  </si>
  <si>
    <t>Đà U160x64x5x1700 (14,2kg/m)</t>
  </si>
  <si>
    <t>Đà U160x64x5x1100 (14,2kg/m)</t>
  </si>
  <si>
    <t>B14100</t>
  </si>
  <si>
    <t>B16650</t>
  </si>
  <si>
    <t>B16750</t>
  </si>
  <si>
    <t>B16500v</t>
  </si>
  <si>
    <t>B16450v</t>
  </si>
  <si>
    <t>B16600v</t>
  </si>
  <si>
    <t>B16650v</t>
  </si>
  <si>
    <t>B16700</t>
  </si>
  <si>
    <t>Boulon 16x700+ 2 long đền vuông D18-50x50x3/Zn</t>
  </si>
  <si>
    <t>Boulon 16x450VRS+ 4 long đền vuông D18-50x50x3/Zn</t>
  </si>
  <si>
    <t>B16750V</t>
  </si>
  <si>
    <t>Boulon 16x750VRS+ 4 long đền vuông D18-50x50x3/Zn</t>
  </si>
  <si>
    <t>Boulon 16x650+ 2 long đền vuông D18-50x50x3/Zn</t>
  </si>
  <si>
    <t>Boulon 16x750+ 2 long đền vuông D18-50x50x3/Zn</t>
  </si>
  <si>
    <t>03.01.105</t>
  </si>
  <si>
    <t>03.02.101</t>
  </si>
  <si>
    <t>03.10.411</t>
  </si>
  <si>
    <t>03.09.251</t>
  </si>
  <si>
    <t>Tháo hạ (căng) dây AC,ACX(V)70 - H≥10m</t>
  </si>
  <si>
    <t>Tháo hạ (căng) dây AC,ACX(V)95 - H≥10m</t>
  </si>
  <si>
    <t>Tháo hạ (căng) dây AC,ACX(V)120 - H≥10m</t>
  </si>
  <si>
    <t>Tháo hạ (căng) dây AC,ACX(V)150 - H≥10m</t>
  </si>
  <si>
    <t>Tháo hạ (căng) dây AC,ACX(V)185 - H≥10m</t>
  </si>
  <si>
    <t>Tháo hạ (căng) dây AC,ACX(V)240 - H≥10m</t>
  </si>
  <si>
    <t>05.01.104</t>
  </si>
  <si>
    <t>05.01.105</t>
  </si>
  <si>
    <t>05.01.106</t>
  </si>
  <si>
    <t>05.01.107</t>
  </si>
  <si>
    <t>05.01.108</t>
  </si>
  <si>
    <t>05.01.109</t>
  </si>
  <si>
    <t>05.01.110</t>
  </si>
  <si>
    <t>Tháo hạ (căng) dây A, AV, ABC120 - H≤10m</t>
  </si>
  <si>
    <t>Tháo hạ (căng) dây A, AV, ABC150 - H≤10m</t>
  </si>
  <si>
    <t>Tháo hạ (căng) dây A, AV, ABC185 - H≤10m</t>
  </si>
  <si>
    <t>Tháo hạ (căng) dây A, AV, ABC240 - H≤10m</t>
  </si>
  <si>
    <t>05.01.204</t>
  </si>
  <si>
    <t>05.01.205</t>
  </si>
  <si>
    <t>05.01.206</t>
  </si>
  <si>
    <t>05.01.207</t>
  </si>
  <si>
    <t>05.01.208</t>
  </si>
  <si>
    <t>05.01.209</t>
  </si>
  <si>
    <t>05.01.210</t>
  </si>
  <si>
    <t>05.01.403</t>
  </si>
  <si>
    <t>05.10.203</t>
  </si>
  <si>
    <t>Tháo hạ (căng) dây DuCV 2x16 - H≤10m</t>
  </si>
  <si>
    <t>Tháo hạ (căng) dây DuAV 2x16 - H≤10m</t>
  </si>
  <si>
    <t>Tháo (lắp) sứ hạ thế các loại</t>
  </si>
  <si>
    <t>03.04.101</t>
  </si>
  <si>
    <t>Tháo (lắp) sứ treo thủy tinh (2 bát) - H≤20m</t>
  </si>
  <si>
    <t>04.0.2.102</t>
  </si>
  <si>
    <t>04.0.2.202</t>
  </si>
  <si>
    <t>04.0.2.302</t>
  </si>
  <si>
    <t>04.0.2.402</t>
  </si>
  <si>
    <t>04.0.2.502</t>
  </si>
  <si>
    <t>04.0.2.602</t>
  </si>
  <si>
    <t>04.0.2.702</t>
  </si>
  <si>
    <t>04.0.2.802</t>
  </si>
  <si>
    <t>04.03.101</t>
  </si>
  <si>
    <t>04.03.111</t>
  </si>
  <si>
    <t>04.03.121</t>
  </si>
  <si>
    <t>04.03.131</t>
  </si>
  <si>
    <t>04.03.141</t>
  </si>
  <si>
    <t>04.03.151</t>
  </si>
  <si>
    <t>04.03.161</t>
  </si>
  <si>
    <t>04.03.171</t>
  </si>
  <si>
    <t>04.03.181</t>
  </si>
  <si>
    <t>04.03.193</t>
  </si>
  <si>
    <t>04.03.203</t>
  </si>
  <si>
    <t>MTLMBA50</t>
  </si>
  <si>
    <t>MTLMBA100</t>
  </si>
  <si>
    <t>MTLMBA320</t>
  </si>
  <si>
    <t>Tháo hạ (căng) dây AC,ACX(V)50 - H≥10m</t>
  </si>
  <si>
    <t>Tháo (lắp) xà M ≤ 15kg</t>
  </si>
  <si>
    <t>Kéo dây tiết diện dây 26 ¸ 50mm²</t>
  </si>
  <si>
    <t xml:space="preserve"> Nhổ (dựng) cột BTLT (H £ 10m)</t>
  </si>
  <si>
    <t>Tháo (lắp) chóa cao áp cao £ 12 m</t>
  </si>
  <si>
    <t>Máy nhổ (dựng) cột BTLT ≥ 20m</t>
  </si>
  <si>
    <r>
      <t>Ghi chú :</t>
    </r>
    <r>
      <rPr>
        <sz val="12"/>
        <rFont val="Times New Roman"/>
        <family val="1"/>
      </rPr>
      <t xml:space="preserve"> Các loại vật tư sau khi thu hồi đơn vị thi công bàn giao lại cho Chủ đầu tư</t>
    </r>
  </si>
  <si>
    <t>11.03.204</t>
  </si>
  <si>
    <t>Tháo (lắp) aptomat, Iđm ≤ 50A</t>
  </si>
  <si>
    <t>Tháo (lắp) aptomat, Iđm ≤ 100A</t>
  </si>
  <si>
    <t>Tháo (lắp) aptomat, Iđm ≤ 200A</t>
  </si>
  <si>
    <t>14.04.001</t>
  </si>
  <si>
    <t>Tháo (lắp) aptomat, Iđm ≤ 300A</t>
  </si>
  <si>
    <t>Tháo (lắp) aptomat, Iđm ≤ 400A</t>
  </si>
  <si>
    <t>Tháo (lắp) aptomat, Iđm ≥ 600A</t>
  </si>
  <si>
    <t>Tháo (lắp) aptomat, Iđm ≥ 1000A</t>
  </si>
  <si>
    <t>03.09.24</t>
  </si>
  <si>
    <t>Tháo (lắp) collier</t>
  </si>
  <si>
    <t>Căng lại dây DuAV 2x16 - H≤10m</t>
  </si>
  <si>
    <t>05.04.203</t>
  </si>
  <si>
    <t>07.01.401</t>
  </si>
  <si>
    <t>07.01.402</t>
  </si>
  <si>
    <t>07.01.403</t>
  </si>
  <si>
    <t>07.01.404</t>
  </si>
  <si>
    <t>07.01.405</t>
  </si>
  <si>
    <t>07.01.406</t>
  </si>
  <si>
    <t>07.01.407</t>
  </si>
  <si>
    <t>07.01.408</t>
  </si>
  <si>
    <t>07.01.409</t>
  </si>
  <si>
    <t>MTLMBA160</t>
  </si>
  <si>
    <t>MTLMBA200</t>
  </si>
  <si>
    <t>MTLMBA250</t>
  </si>
  <si>
    <t>MTLMBA500</t>
  </si>
  <si>
    <t>MTLMBA630</t>
  </si>
  <si>
    <t>MTLMBA800</t>
  </si>
  <si>
    <t>MVAr</t>
  </si>
  <si>
    <t>09.06.305</t>
  </si>
  <si>
    <t>Tháo (lắp) hộp công tơ (đã có phụ kiện)</t>
  </si>
  <si>
    <t>11.09.201</t>
  </si>
  <si>
    <t>hộp</t>
  </si>
  <si>
    <t>Tháo (lắp) hộp phân dây (domino 200x200)</t>
  </si>
  <si>
    <t>14.01.001</t>
  </si>
  <si>
    <t>14.05.001</t>
  </si>
  <si>
    <t>14.05.002</t>
  </si>
  <si>
    <t>14.05.003</t>
  </si>
  <si>
    <t>14.05.004</t>
  </si>
  <si>
    <t>14.05.005</t>
  </si>
  <si>
    <t>14.05.006</t>
  </si>
  <si>
    <t>14.05.007</t>
  </si>
  <si>
    <t>CV150</t>
  </si>
  <si>
    <t>Kích hoạt</t>
  </si>
  <si>
    <t>B16450V</t>
  </si>
  <si>
    <t>SATD10</t>
  </si>
  <si>
    <t>LD TRON</t>
  </si>
  <si>
    <t>CONG 1</t>
  </si>
  <si>
    <t>CONG 2</t>
  </si>
  <si>
    <t>MONGTB</t>
  </si>
  <si>
    <t>AV35</t>
  </si>
  <si>
    <t>AV300</t>
  </si>
  <si>
    <t>ABC2X16</t>
  </si>
  <si>
    <t>ABC2X25</t>
  </si>
  <si>
    <t>ABC3X16</t>
  </si>
  <si>
    <t>ABC3X25</t>
  </si>
  <si>
    <t>ABC4X50</t>
  </si>
  <si>
    <t>ABC3X50</t>
  </si>
  <si>
    <t>ABC4X70</t>
  </si>
  <si>
    <t>ABC3X70</t>
  </si>
  <si>
    <t>ABC4X95</t>
  </si>
  <si>
    <t>ABC3X95</t>
  </si>
  <si>
    <t>ABC4X120</t>
  </si>
  <si>
    <t>ABC4X150</t>
  </si>
  <si>
    <t>ABC3X120</t>
  </si>
  <si>
    <t>ABC3X150</t>
  </si>
  <si>
    <t>ABC2X150</t>
  </si>
  <si>
    <t>CVV2X2,5</t>
  </si>
  <si>
    <t>CV11</t>
  </si>
  <si>
    <t>CV16</t>
  </si>
  <si>
    <t>CV35</t>
  </si>
  <si>
    <t>CV95</t>
  </si>
  <si>
    <t>CV185</t>
  </si>
  <si>
    <t>CV200</t>
  </si>
  <si>
    <t>CV240</t>
  </si>
  <si>
    <t>CV250</t>
  </si>
  <si>
    <t>CV300</t>
  </si>
  <si>
    <t>CV400</t>
  </si>
  <si>
    <t>ACV35</t>
  </si>
  <si>
    <t>ACV50</t>
  </si>
  <si>
    <t>ACV70</t>
  </si>
  <si>
    <t>ACV95</t>
  </si>
  <si>
    <t>ACV120</t>
  </si>
  <si>
    <t>ACV150</t>
  </si>
  <si>
    <t>ACV185</t>
  </si>
  <si>
    <t>ACV240</t>
  </si>
  <si>
    <t>GIANOI1600</t>
  </si>
  <si>
    <t>GIANOI2500</t>
  </si>
  <si>
    <t>GIANOICB</t>
  </si>
  <si>
    <t>K-CU</t>
  </si>
  <si>
    <t>K-FE</t>
  </si>
  <si>
    <t>HOPCAP240</t>
  </si>
  <si>
    <t>HOPCAP185</t>
  </si>
  <si>
    <t>HOPCAP150</t>
  </si>
  <si>
    <t>HOPCAP120</t>
  </si>
  <si>
    <t>HOPCAP95</t>
  </si>
  <si>
    <t>HOPCAP70</t>
  </si>
  <si>
    <t>HOPCAP50</t>
  </si>
  <si>
    <t>BTNN MIN</t>
  </si>
  <si>
    <t>BTNN-TL MIN</t>
  </si>
  <si>
    <t>STPLY</t>
  </si>
  <si>
    <t>STPLY-HT</t>
  </si>
  <si>
    <t>THEPT6</t>
  </si>
  <si>
    <t>THEPT5</t>
  </si>
  <si>
    <t>THEPT4</t>
  </si>
  <si>
    <t>THEPT2</t>
  </si>
  <si>
    <t>CD142A</t>
  </si>
  <si>
    <t>CD146A</t>
  </si>
  <si>
    <t>CDTRUDOI</t>
  </si>
  <si>
    <t>CDTRUDOIHT</t>
  </si>
  <si>
    <t>CDEDAUCAP</t>
  </si>
  <si>
    <t>CDTRUDOI140</t>
  </si>
  <si>
    <t>CDTRU140</t>
  </si>
  <si>
    <t>CDEOPTRU</t>
  </si>
  <si>
    <t>CD BẮT XÀ</t>
  </si>
  <si>
    <t>CD30X3</t>
  </si>
  <si>
    <t>CD25X2</t>
  </si>
  <si>
    <t>CD42T</t>
  </si>
  <si>
    <t>CD114T</t>
  </si>
  <si>
    <t>CD140T</t>
  </si>
  <si>
    <t>D0X4</t>
  </si>
  <si>
    <t>GACHONG</t>
  </si>
  <si>
    <t>GACHTAU</t>
  </si>
  <si>
    <t>GACHTHE</t>
  </si>
  <si>
    <t>QHAN</t>
  </si>
  <si>
    <t>COSON</t>
  </si>
  <si>
    <t>NILONG</t>
  </si>
  <si>
    <t>THEPB</t>
  </si>
  <si>
    <t>DAUCAP50</t>
  </si>
  <si>
    <t>DAUCAP70</t>
  </si>
  <si>
    <t>DAUCAP95</t>
  </si>
  <si>
    <t>DAUCAP120</t>
  </si>
  <si>
    <t>DAUCAP150</t>
  </si>
  <si>
    <t>DAUCAP185</t>
  </si>
  <si>
    <t>DAUCAP240</t>
  </si>
  <si>
    <t>DAUCAP50IN</t>
  </si>
  <si>
    <t>DAUCAP70IN</t>
  </si>
  <si>
    <t>DAUCAP95IN</t>
  </si>
  <si>
    <t>DAUCAP120IN</t>
  </si>
  <si>
    <t>DAUCAP150IN</t>
  </si>
  <si>
    <t>DAUCAP185IN</t>
  </si>
  <si>
    <t>DAUCAP240IN</t>
  </si>
  <si>
    <t>STK90</t>
  </si>
  <si>
    <t>STK114</t>
  </si>
  <si>
    <t>STK140</t>
  </si>
  <si>
    <t>STK160</t>
  </si>
  <si>
    <t>STK168</t>
  </si>
  <si>
    <t>COSTK114</t>
  </si>
  <si>
    <t>COSTK90</t>
  </si>
  <si>
    <t/>
  </si>
  <si>
    <t>1</t>
  </si>
  <si>
    <t>DD1X2</t>
  </si>
  <si>
    <t>DD2X4</t>
  </si>
  <si>
    <t>LAPKEP</t>
  </si>
  <si>
    <t>VCCAT2D</t>
  </si>
  <si>
    <t>VCCAT3D</t>
  </si>
  <si>
    <t>VCCAT4D</t>
  </si>
  <si>
    <t>C8M</t>
  </si>
  <si>
    <t>C105M</t>
  </si>
  <si>
    <t>C12M</t>
  </si>
  <si>
    <t>C14M</t>
  </si>
  <si>
    <t>C20M</t>
  </si>
  <si>
    <t>C12M-TBA</t>
  </si>
  <si>
    <t>C10M-TBA</t>
  </si>
  <si>
    <t>LSTK120D</t>
  </si>
  <si>
    <t>LSTK220D</t>
  </si>
  <si>
    <t>KCN1KG</t>
  </si>
  <si>
    <t>KCN2KG</t>
  </si>
  <si>
    <t>KCN6KG</t>
  </si>
  <si>
    <t>KCN7KG</t>
  </si>
  <si>
    <t>KCN9KG</t>
  </si>
  <si>
    <t>KCN10KG</t>
  </si>
  <si>
    <t>KCN12KG</t>
  </si>
  <si>
    <t>KCNT1KG</t>
  </si>
  <si>
    <t>KCNT2KG</t>
  </si>
  <si>
    <t>KCNT3KG</t>
  </si>
  <si>
    <t>KCNT4KG</t>
  </si>
  <si>
    <t>KCNT6KG</t>
  </si>
  <si>
    <t>KCNT7KG</t>
  </si>
  <si>
    <t>KCNT9KG</t>
  </si>
  <si>
    <t>LSD35</t>
  </si>
  <si>
    <t>LCHSNPLY</t>
  </si>
  <si>
    <t>LCHSNPLYHL</t>
  </si>
  <si>
    <t>LCAPDONGTB95</t>
  </si>
  <si>
    <t>LCAPDONGTB150</t>
  </si>
  <si>
    <t>LCAPDONGTB240</t>
  </si>
  <si>
    <t>BẢNG KÊ ĐƠN GÍA TRẠM BIẾN ÁP ( 66/1999/QĐ-BCN)</t>
  </si>
  <si>
    <t>LBFCO100-15</t>
  </si>
  <si>
    <t>LBFCO100-22</t>
  </si>
  <si>
    <t>RECLOSER</t>
  </si>
  <si>
    <t>DK1P100A</t>
  </si>
  <si>
    <t>DK1P80A</t>
  </si>
  <si>
    <t>DK1P5A</t>
  </si>
  <si>
    <t>DK3P50A</t>
  </si>
  <si>
    <t>DK3P5A</t>
  </si>
  <si>
    <t>SXTG</t>
  </si>
  <si>
    <t>GSXTG</t>
  </si>
  <si>
    <t>GIACAPTT-2M</t>
  </si>
  <si>
    <t>GIACAPTT-6M</t>
  </si>
  <si>
    <t>GIACAPTT-8M</t>
  </si>
  <si>
    <t>GIACAPTT-15M</t>
  </si>
  <si>
    <t>GIACAPTHT-10M</t>
  </si>
  <si>
    <t>GIACAPHT-1M</t>
  </si>
  <si>
    <t>GIACAPHT-2M</t>
  </si>
  <si>
    <t>GIACAPHT-3M</t>
  </si>
  <si>
    <t>GIACAPHT-4M</t>
  </si>
  <si>
    <t>GIACAPHT</t>
  </si>
  <si>
    <t>GIACAPHT-30M</t>
  </si>
  <si>
    <t>COSE25</t>
  </si>
  <si>
    <t>COSE50</t>
  </si>
  <si>
    <t>COSE70</t>
  </si>
  <si>
    <t>COSE95</t>
  </si>
  <si>
    <t>COSE120</t>
  </si>
  <si>
    <t>COSE150</t>
  </si>
  <si>
    <t>COSE185</t>
  </si>
  <si>
    <t>COSE200</t>
  </si>
  <si>
    <t>COSE240</t>
  </si>
  <si>
    <t>COSE250</t>
  </si>
  <si>
    <t>COSE300</t>
  </si>
  <si>
    <t>DK2X11</t>
  </si>
  <si>
    <t>DVV7X1.5</t>
  </si>
  <si>
    <t>DUPLEX 211</t>
  </si>
  <si>
    <t>DUPLEX 216</t>
  </si>
  <si>
    <t>DUPLEX 311</t>
  </si>
  <si>
    <t>DUPLEX 316</t>
  </si>
  <si>
    <t>DUPLEX 411</t>
  </si>
  <si>
    <t>DUPLEX 416</t>
  </si>
  <si>
    <t>CUT140T</t>
  </si>
  <si>
    <t>BAKETU</t>
  </si>
  <si>
    <t>KEODAN</t>
  </si>
  <si>
    <t>OXCTH</t>
  </si>
  <si>
    <t>OXY</t>
  </si>
  <si>
    <t>LCBH9</t>
  </si>
  <si>
    <t>LBBH</t>
  </si>
  <si>
    <t>SONCBH</t>
  </si>
  <si>
    <t>SONBBH</t>
  </si>
  <si>
    <t>AXETYLEN</t>
  </si>
  <si>
    <t>KTRIPLEX16</t>
  </si>
  <si>
    <t>DIABAOHIEU</t>
  </si>
  <si>
    <t>DENBAO</t>
  </si>
  <si>
    <t>ĐƠN GIÁ CHIẾU SÁNG</t>
  </si>
  <si>
    <t>DEN-SONADEZI</t>
  </si>
  <si>
    <t>DCATMCS</t>
  </si>
  <si>
    <t>DMONGCS</t>
  </si>
  <si>
    <t>DMONGCS1</t>
  </si>
  <si>
    <t>DDMONGCS3</t>
  </si>
  <si>
    <t>DCATMONGCS</t>
  </si>
  <si>
    <t>DONGCTD</t>
  </si>
  <si>
    <t>BCOM3K</t>
  </si>
  <si>
    <t>Bộ xà kép Composite bắt LA, FCO 3 pha</t>
  </si>
  <si>
    <t>Đang tính:</t>
  </si>
  <si>
    <t>Dây dẫn</t>
  </si>
  <si>
    <t>Chọn</t>
  </si>
  <si>
    <t>Loại Dây</t>
  </si>
  <si>
    <t>Chọn pha HM 1</t>
  </si>
  <si>
    <t>Chọn TH HM 1</t>
  </si>
  <si>
    <t>Phụ kiện</t>
  </si>
  <si>
    <t>Đường dây</t>
  </si>
  <si>
    <t>Tên thiết bị</t>
  </si>
  <si>
    <t>tên đường dây</t>
  </si>
  <si>
    <t>Dây dẫn pha</t>
  </si>
  <si>
    <t>AC</t>
  </si>
  <si>
    <t>Dây dẫn trung hòa</t>
  </si>
  <si>
    <t>THU HYPERLINK</t>
  </si>
  <si>
    <t xml:space="preserve">CÔNG TRÌNH: </t>
  </si>
  <si>
    <t xml:space="preserve">HẠNG MỤC: </t>
  </si>
  <si>
    <t>AC/XPLE/PVC</t>
  </si>
  <si>
    <t>SỐ</t>
  </si>
  <si>
    <t>TÊN BẢNG</t>
  </si>
  <si>
    <t>CÓ/KHÔNG</t>
  </si>
  <si>
    <t>TÊN ĐẦY ĐỦ</t>
  </si>
  <si>
    <t xml:space="preserve">BẢNG </t>
  </si>
  <si>
    <t>TỔNG DỰ TOÁN</t>
  </si>
  <si>
    <t>TỔNG HỢP CHI PHÍ XÂY DỰNG, THIẾT BỊ, QUẢN LÝ DỰ ÁN, TƯ VẤN VÀ CHI PHÍ KHÁC</t>
  </si>
  <si>
    <t>DỰ TOÁN CHI PHÍ XÂY DỰNG CÔNG TRÌNH</t>
  </si>
  <si>
    <t>TỔNG HỢP CHI PHÍ VẬT LIỆU, NHÂN CÔNG, MÁY THI CÔNG PHẦN ĐƯỜNG DÂY</t>
  </si>
  <si>
    <t>ACX</t>
  </si>
  <si>
    <t>KHỐI LƯỢNG CHI TIẾT PHẦN ĐƯỜNG DÂY</t>
  </si>
  <si>
    <t>KHỐI LƯỢNG CHI TIẾT PHẦN TRẠM BIẾN ÁP</t>
  </si>
  <si>
    <t>CHI PHÍ NHÂN CÔNG, MÁY THI CÔNG THÁO LẮP</t>
  </si>
  <si>
    <t>TỔNG HỢP CHI PHÍ LẮP ĐẶT THIẾT BỊ</t>
  </si>
  <si>
    <t>TỔNG HỢP CHI PHÍ THỬ NGHIỆM HIỆU CHỈNH</t>
  </si>
  <si>
    <t>KHỐI LƯỢNG CHI TIẾT THỬ NGHIỆM HIỆU CHỈNH</t>
  </si>
  <si>
    <t>TỔNG HỢP CHI PHÍ KHẢO SÁT</t>
  </si>
  <si>
    <t>LC-ABC</t>
  </si>
  <si>
    <t>KHỐI LƯỢNG CHI TIẾT KHẢO SÁT</t>
  </si>
  <si>
    <t>CHI PHÍ THIẾT KẾ</t>
  </si>
  <si>
    <t>CHI PHÍ VẬN CHUYỂN ĐƯỜNG DÀI</t>
  </si>
  <si>
    <t>KHỐI LƯỢNG VẬT TƯ CHÍNH</t>
  </si>
  <si>
    <t>PHÂN PHỐI VẬT TƯ, THIẾT BỊ</t>
  </si>
  <si>
    <t>LẬP DỰ TOÁN</t>
  </si>
  <si>
    <t>KIỂM TRA</t>
  </si>
  <si>
    <t>CÔNG TY TNHH TRANG SONG ANH</t>
  </si>
  <si>
    <t>AV</t>
  </si>
  <si>
    <t>ĐOÀN QUỐC HÙNG</t>
  </si>
  <si>
    <t>HUỲNH VĂN MINH</t>
  </si>
  <si>
    <t>TRẦN QUANG NINH</t>
  </si>
  <si>
    <t>C/DSTA/PVC</t>
  </si>
  <si>
    <t>D316</t>
  </si>
  <si>
    <t>D411</t>
  </si>
  <si>
    <t>D416</t>
  </si>
  <si>
    <t>ĐƠN GIÁ DỰ TOÁN CA MÁY THI CÔNG</t>
  </si>
  <si>
    <t>Đơn giá</t>
  </si>
  <si>
    <t>10 tấn</t>
  </si>
  <si>
    <t>ca</t>
  </si>
  <si>
    <t>5 tấn</t>
  </si>
  <si>
    <t>cấp đất</t>
  </si>
  <si>
    <t>Loại trạm TBA</t>
  </si>
  <si>
    <t>Loại CT</t>
  </si>
  <si>
    <t>Tham chiếu ĐV thiết kế</t>
  </si>
  <si>
    <t>Tên</t>
  </si>
  <si>
    <t>Lập Dự toán</t>
  </si>
  <si>
    <t>Giám đốc</t>
  </si>
  <si>
    <t>CÔNG TY TNHH SÔNG ĐÀ</t>
  </si>
  <si>
    <t>DT SÔNG ĐÀ</t>
  </si>
  <si>
    <t>KT SÔNG ĐÀ</t>
  </si>
  <si>
    <t>GĐ SÔNG ĐÀ</t>
  </si>
  <si>
    <t>CÔNG TY TNHH LONG THIÊN HẢI</t>
  </si>
  <si>
    <t>DT LTH</t>
  </si>
  <si>
    <t>KT LONG THIÊN HẢI</t>
  </si>
  <si>
    <t>GĐ LTH</t>
  </si>
  <si>
    <t>CÔNG TY TNHH HÀ THANH</t>
  </si>
  <si>
    <t>DT HÀ THANH</t>
  </si>
  <si>
    <t>KT HÀ THANH</t>
  </si>
  <si>
    <t>GĐ HÀ THANH</t>
  </si>
  <si>
    <t>KHỐI
LƯỢNG</t>
  </si>
  <si>
    <t>CÁCH TÍNH ĐD</t>
  </si>
  <si>
    <t>ĐD HM1</t>
  </si>
  <si>
    <t>CÁCH TÍNH TBA</t>
  </si>
  <si>
    <t>TBA HM1</t>
  </si>
  <si>
    <t>A+B+C</t>
  </si>
  <si>
    <r>
      <t>a</t>
    </r>
    <r>
      <rPr>
        <vertAlign val="subscript"/>
        <sz val="12"/>
        <rFont val="Times New Roman"/>
        <family val="1"/>
      </rPr>
      <t>1</t>
    </r>
    <r>
      <rPr>
        <sz val="12"/>
        <rFont val="Times New Roman"/>
        <family val="1"/>
      </rPr>
      <t>+a</t>
    </r>
    <r>
      <rPr>
        <vertAlign val="subscript"/>
        <sz val="12"/>
        <rFont val="Times New Roman"/>
        <family val="1"/>
      </rPr>
      <t>2</t>
    </r>
  </si>
  <si>
    <t>a1+a2+a3</t>
  </si>
  <si>
    <t>VCDD</t>
  </si>
  <si>
    <r>
      <t>b</t>
    </r>
    <r>
      <rPr>
        <vertAlign val="subscript"/>
        <sz val="12"/>
        <rFont val="Times New Roman"/>
        <family val="1"/>
      </rPr>
      <t>1</t>
    </r>
    <r>
      <rPr>
        <sz val="12"/>
        <rFont val="Times New Roman"/>
        <family val="1"/>
      </rPr>
      <t xml:space="preserve"> + b</t>
    </r>
    <r>
      <rPr>
        <vertAlign val="subscript"/>
        <sz val="12"/>
        <rFont val="Times New Roman"/>
        <family val="1"/>
      </rPr>
      <t>2</t>
    </r>
  </si>
  <si>
    <r>
      <t>c</t>
    </r>
    <r>
      <rPr>
        <vertAlign val="subscript"/>
        <sz val="12"/>
        <rFont val="Times New Roman"/>
        <family val="1"/>
      </rPr>
      <t>1</t>
    </r>
    <r>
      <rPr>
        <sz val="12"/>
        <rFont val="Times New Roman"/>
        <family val="1"/>
      </rPr>
      <t>+c</t>
    </r>
    <r>
      <rPr>
        <vertAlign val="subscript"/>
        <sz val="12"/>
        <rFont val="Times New Roman"/>
        <family val="1"/>
      </rPr>
      <t>2</t>
    </r>
  </si>
  <si>
    <t>móng</t>
  </si>
  <si>
    <t>65% x B</t>
  </si>
  <si>
    <t>5,5%T</t>
  </si>
  <si>
    <t>T+C</t>
  </si>
  <si>
    <r>
      <t>6% x Z</t>
    </r>
    <r>
      <rPr>
        <b/>
        <vertAlign val="subscript"/>
        <sz val="12"/>
        <rFont val="Times New Roman"/>
        <family val="1"/>
      </rPr>
      <t>0</t>
    </r>
  </si>
  <si>
    <r>
      <t>6%Z</t>
    </r>
    <r>
      <rPr>
        <b/>
        <vertAlign val="subscript"/>
        <sz val="12"/>
        <rFont val="Times New Roman"/>
        <family val="1"/>
      </rPr>
      <t>0</t>
    </r>
  </si>
  <si>
    <r>
      <t>Z</t>
    </r>
    <r>
      <rPr>
        <b/>
        <vertAlign val="subscript"/>
        <sz val="12"/>
        <rFont val="Times New Roman"/>
        <family val="1"/>
      </rPr>
      <t>0</t>
    </r>
    <r>
      <rPr>
        <b/>
        <sz val="12"/>
        <rFont val="Times New Roman"/>
        <family val="1"/>
      </rPr>
      <t>+TL</t>
    </r>
  </si>
  <si>
    <t>10%Z</t>
  </si>
  <si>
    <t>Z+VAT</t>
  </si>
  <si>
    <t>GIÁ TRỊ
TRƯỚC THUẾ</t>
  </si>
  <si>
    <t>THUẾ GTGT (VNĐ)</t>
  </si>
  <si>
    <t>GIÁ TRỊ
SAU THUẾ</t>
  </si>
  <si>
    <t>TỶ LỆ</t>
  </si>
  <si>
    <t>GIÁM ĐỐC</t>
  </si>
  <si>
    <t>CHI PHÍ THIẾT BỊ</t>
  </si>
  <si>
    <t>CHI PHÍ
QLDA</t>
  </si>
  <si>
    <t>CHI PHÍ
TƯ VẤN</t>
  </si>
  <si>
    <t>CHI PHÍ KHÁC</t>
  </si>
  <si>
    <t>CHI PHÍ
DỰ PHÒNG</t>
  </si>
  <si>
    <t>TỔNG
CỘNG</t>
  </si>
  <si>
    <t>CÁCH TÍNH</t>
  </si>
  <si>
    <t>A+B+C+TT</t>
  </si>
  <si>
    <t>a1+a2</t>
  </si>
  <si>
    <t>b1 + b2</t>
  </si>
  <si>
    <t>2%(A+B+C)</t>
  </si>
  <si>
    <t>65%B</t>
  </si>
  <si>
    <t>VL PHỤ</t>
  </si>
  <si>
    <t>M-T -C</t>
  </si>
  <si>
    <t xml:space="preserve">b1 </t>
  </si>
  <si>
    <t xml:space="preserve">c1 </t>
  </si>
  <si>
    <t>Loại đường</t>
  </si>
  <si>
    <t>Đường loại 1</t>
  </si>
  <si>
    <t>Đường loại 2</t>
  </si>
  <si>
    <t>Đường loại 3</t>
  </si>
  <si>
    <t>Đường loại 4</t>
  </si>
  <si>
    <t>Đường loại 5</t>
  </si>
  <si>
    <t>Cự ly (Km)</t>
  </si>
  <si>
    <t>1,3 là hàng bậc 3</t>
  </si>
  <si>
    <t>0,9 là có hàng chiều về</t>
  </si>
  <si>
    <t>1,1 là hàng ko có về</t>
  </si>
  <si>
    <t>Cv+Cn+Cm</t>
  </si>
  <si>
    <t>65% B</t>
  </si>
  <si>
    <t>6% (T+D)</t>
  </si>
  <si>
    <t>2% (T+D+Lt)</t>
  </si>
  <si>
    <t>3% (Ct+P+Lt)</t>
  </si>
  <si>
    <t>2,5% (Ct+P+Lt)</t>
  </si>
  <si>
    <t>Ct+P+Lt+PA+BC+OT</t>
  </si>
  <si>
    <t>10%Gks</t>
  </si>
  <si>
    <t>Gks+Ggtgt</t>
  </si>
  <si>
    <t>10% (Gks+Ggtgt)</t>
  </si>
  <si>
    <t>Beautiful</t>
  </si>
  <si>
    <t>Great</t>
  </si>
  <si>
    <t>Phần trung, hạ thế</t>
  </si>
  <si>
    <t>Phần tháo lắp TBA</t>
  </si>
  <si>
    <t>TCNCTHT</t>
  </si>
  <si>
    <t>TCNCTBA</t>
  </si>
  <si>
    <t>DZTLSDU</t>
  </si>
  <si>
    <t>DZTLSOC</t>
  </si>
  <si>
    <t>DZTLSTT</t>
  </si>
  <si>
    <t>DZTLPOL</t>
  </si>
  <si>
    <t>DZTLCSD</t>
  </si>
  <si>
    <t>DZTHAC50</t>
  </si>
  <si>
    <t>DZTHAC70</t>
  </si>
  <si>
    <t>DZTHAC95</t>
  </si>
  <si>
    <t>DZTHAC120</t>
  </si>
  <si>
    <t>DZTHAC150</t>
  </si>
  <si>
    <t>DZTHAC185</t>
  </si>
  <si>
    <t>DZTHAC240</t>
  </si>
  <si>
    <t>DZTHA50</t>
  </si>
  <si>
    <t>DZTHA120</t>
  </si>
  <si>
    <t>DZTHA150</t>
  </si>
  <si>
    <t>DZTHA185</t>
  </si>
  <si>
    <t>DZTHA240</t>
  </si>
  <si>
    <t>DZTHADUCV16</t>
  </si>
  <si>
    <t>DZTHADUAV16</t>
  </si>
  <si>
    <t>DZCDDUAV16</t>
  </si>
  <si>
    <t>DZCDDUCV16</t>
  </si>
  <si>
    <t>DZTLXA15</t>
  </si>
  <si>
    <t>DZTLXA25</t>
  </si>
  <si>
    <t>DZTLXA50</t>
  </si>
  <si>
    <t>DZTLXA100</t>
  </si>
  <si>
    <t>DZTLXA140</t>
  </si>
  <si>
    <t>DZTLXA230</t>
  </si>
  <si>
    <t>DZTLXA320</t>
  </si>
  <si>
    <t>DZTLXA410</t>
  </si>
  <si>
    <t>DZTLXA500</t>
  </si>
  <si>
    <t>DZTLXA750</t>
  </si>
  <si>
    <t>DZTLXA1000</t>
  </si>
  <si>
    <t>DZNDBT8</t>
  </si>
  <si>
    <t>DZNDBT10</t>
  </si>
  <si>
    <t>DZNDBT12</t>
  </si>
  <si>
    <t>DZNDBT14</t>
  </si>
  <si>
    <t>DZNDBT16</t>
  </si>
  <si>
    <t>DZNDBT18</t>
  </si>
  <si>
    <t>DZNDBT20</t>
  </si>
  <si>
    <t>DZNDBTL20</t>
  </si>
  <si>
    <t>TBATLMBA50</t>
  </si>
  <si>
    <t>TBATLMBA100</t>
  </si>
  <si>
    <t>TBATLMBA160</t>
  </si>
  <si>
    <t>TBATLMBA200</t>
  </si>
  <si>
    <t>TBATLMBA250</t>
  </si>
  <si>
    <t>TBATLMBA320</t>
  </si>
  <si>
    <t>TBATLMBA500</t>
  </si>
  <si>
    <t>TBATLMBA630</t>
  </si>
  <si>
    <t>TBATLMBA800</t>
  </si>
  <si>
    <t>TBATLCV50</t>
  </si>
  <si>
    <t>TBATLCV70</t>
  </si>
  <si>
    <t>TBATLCV95</t>
  </si>
  <si>
    <t>TBATLCV120</t>
  </si>
  <si>
    <t>TBATLCV150</t>
  </si>
  <si>
    <t>TBATLCV185</t>
  </si>
  <si>
    <t>TBATLCV240</t>
  </si>
  <si>
    <t>TBATLATM50</t>
  </si>
  <si>
    <t>TBATLATM100</t>
  </si>
  <si>
    <t>TBATLATM200</t>
  </si>
  <si>
    <t>TBATLATML300</t>
  </si>
  <si>
    <t>TBATLATM400</t>
  </si>
  <si>
    <t>TBATLATML600</t>
  </si>
  <si>
    <t>TBATLATML1000</t>
  </si>
  <si>
    <t>TBATLFCO</t>
  </si>
  <si>
    <t>TBATLLTD</t>
  </si>
  <si>
    <t>TBATLLA</t>
  </si>
  <si>
    <t>TBATLTU</t>
  </si>
  <si>
    <t>TBATLTULBS</t>
  </si>
  <si>
    <t>TBATLREC</t>
  </si>
  <si>
    <t>TBATLANTEN</t>
  </si>
  <si>
    <t>TBATLDK1P</t>
  </si>
  <si>
    <t>TBATLTUBU</t>
  </si>
  <si>
    <t>TBATLDO</t>
  </si>
  <si>
    <t>TBATLCOLIER</t>
  </si>
  <si>
    <t>TBATLUCLE</t>
  </si>
  <si>
    <t>TBATLRACK3</t>
  </si>
  <si>
    <t>TBATLRACK4</t>
  </si>
  <si>
    <t>TBATLM16</t>
  </si>
  <si>
    <t>TBATLCX</t>
  </si>
  <si>
    <t>CSNDBT8CS</t>
  </si>
  <si>
    <t>CSMNDBT10CS</t>
  </si>
  <si>
    <t>CSMNDBT12CS</t>
  </si>
  <si>
    <t>CSMNDBT14CS</t>
  </si>
  <si>
    <t>CSMNDBT16CS</t>
  </si>
  <si>
    <t>CSMNDBT18CS</t>
  </si>
  <si>
    <t>CSMNDBT20CS</t>
  </si>
  <si>
    <t>CSMNDBTL20CS</t>
  </si>
  <si>
    <t>CSNDB12</t>
  </si>
  <si>
    <t>CSNDB14</t>
  </si>
  <si>
    <t>CSTLTUBU</t>
  </si>
  <si>
    <t>CSTLDO</t>
  </si>
  <si>
    <t>CSTLRACK2</t>
  </si>
  <si>
    <t>CSTLRACK3</t>
  </si>
  <si>
    <t>CSTLRACK4</t>
  </si>
  <si>
    <t>CSTLBRAN</t>
  </si>
  <si>
    <t>CSTHM11</t>
  </si>
  <si>
    <t>CSTHAV95</t>
  </si>
  <si>
    <t>CSTHAV70</t>
  </si>
  <si>
    <t>CSTHAV50</t>
  </si>
  <si>
    <t>CSTHAC70</t>
  </si>
  <si>
    <t>CSTHAC50</t>
  </si>
  <si>
    <t>CSTHABC120</t>
  </si>
  <si>
    <t>CSTLCX</t>
  </si>
  <si>
    <t>CSTLCANDEN</t>
  </si>
  <si>
    <t>CSLDAYDEN</t>
  </si>
  <si>
    <t>CSTLSODIUM</t>
  </si>
  <si>
    <t>CSKEODAY50</t>
  </si>
  <si>
    <t>CSTLCAUCHI</t>
  </si>
  <si>
    <t>CSNDH10</t>
  </si>
  <si>
    <t>CSTLCHOAD</t>
  </si>
  <si>
    <t>CTTLTBA</t>
  </si>
  <si>
    <t>DZTLFCO</t>
  </si>
  <si>
    <t>DZTLLTD</t>
  </si>
  <si>
    <t>DZTLLA</t>
  </si>
  <si>
    <t>DZTLTU</t>
  </si>
  <si>
    <t>DZTLTULBS</t>
  </si>
  <si>
    <t>DZTLREC</t>
  </si>
  <si>
    <t>DZTLANTEN</t>
  </si>
  <si>
    <t>DZTLDK1P</t>
  </si>
  <si>
    <t>DZTLTUBU</t>
  </si>
  <si>
    <t>DZTLDO</t>
  </si>
  <si>
    <t>DZTLCOLIER</t>
  </si>
  <si>
    <t>DZTLUCLE</t>
  </si>
  <si>
    <t>DZTLRACK3</t>
  </si>
  <si>
    <t>DZTLRACK4</t>
  </si>
  <si>
    <t>DZTLM16</t>
  </si>
  <si>
    <t>DZTLCX</t>
  </si>
  <si>
    <t>TCMTCTH</t>
  </si>
  <si>
    <t>CTMTCTBA</t>
  </si>
  <si>
    <t>Phần trạm biến áp</t>
  </si>
  <si>
    <t>Nhân công đường dây</t>
  </si>
  <si>
    <t>Máy thi công đường dây</t>
  </si>
  <si>
    <t>Nhân công trạm biến áp</t>
  </si>
  <si>
    <t>Máy thi công trạm biến áp</t>
  </si>
  <si>
    <t>TLMTCTBA1</t>
  </si>
  <si>
    <t>TLNCTBA1</t>
  </si>
  <si>
    <t>TLMTCDD1</t>
  </si>
  <si>
    <t>TLNCDD1</t>
  </si>
  <si>
    <t>C1990</t>
  </si>
  <si>
    <t>C1150</t>
  </si>
  <si>
    <t>L08</t>
  </si>
  <si>
    <t>sL75</t>
  </si>
  <si>
    <t>C920</t>
  </si>
  <si>
    <t>Đà sắt L75x75x8x800 1 ốp (7,85kg/cái)</t>
  </si>
  <si>
    <t>KC</t>
  </si>
  <si>
    <t>HTT</t>
  </si>
  <si>
    <t>Hình thức trụ</t>
  </si>
  <si>
    <t>None</t>
  </si>
  <si>
    <t>Số trụ hạ thế</t>
  </si>
  <si>
    <t>Interge</t>
  </si>
  <si>
    <t>Số trụ trung thế</t>
  </si>
  <si>
    <t>TCT1</t>
  </si>
  <si>
    <t>20/03/2017</t>
  </si>
  <si>
    <t>T1.1411</t>
  </si>
  <si>
    <t>T1.1412</t>
  </si>
  <si>
    <t>T1.1413</t>
  </si>
  <si>
    <t>OK</t>
  </si>
  <si>
    <t>Wonderful</t>
  </si>
  <si>
    <t>T1.1414</t>
  </si>
  <si>
    <t>T1.1415</t>
  </si>
  <si>
    <t>T1.1416</t>
  </si>
  <si>
    <t>T1.1426</t>
  </si>
  <si>
    <t>T1.1427</t>
  </si>
  <si>
    <t>T1.1428</t>
  </si>
  <si>
    <t>T2.3505</t>
  </si>
  <si>
    <t>T2.5004</t>
  </si>
  <si>
    <t>T2.8401</t>
  </si>
  <si>
    <t>T2.8402</t>
  </si>
  <si>
    <t>T2.8403</t>
  </si>
  <si>
    <t>T2.8404</t>
  </si>
  <si>
    <t>ATM320</t>
  </si>
  <si>
    <t>T2.8405</t>
  </si>
  <si>
    <t>T2.8406</t>
  </si>
  <si>
    <t>T2.8407</t>
  </si>
  <si>
    <t>T2.1205</t>
  </si>
  <si>
    <t>Lắp cáp đồng xuống thiết bị D ≤ 240mm2</t>
  </si>
  <si>
    <t>LCAPDONGTB400</t>
  </si>
  <si>
    <t>LCAPDONGTB800</t>
  </si>
  <si>
    <t>LCAPDONGTBL800</t>
  </si>
  <si>
    <t>T4.4203</t>
  </si>
  <si>
    <t>T4.4204</t>
  </si>
  <si>
    <t>T4.4205</t>
  </si>
  <si>
    <t>T4.4206</t>
  </si>
  <si>
    <t>T5.1001</t>
  </si>
  <si>
    <t>T5.1002</t>
  </si>
  <si>
    <t>Ốc xiết cáp Cu - Al 1/0</t>
  </si>
  <si>
    <t>Ốc xiết cáp Cu - Al 2/0</t>
  </si>
  <si>
    <t>D2.8103</t>
  </si>
  <si>
    <t>T4.7001</t>
  </si>
  <si>
    <t>D2.6021</t>
  </si>
  <si>
    <t>D2.6031</t>
  </si>
  <si>
    <t>D2.6022</t>
  </si>
  <si>
    <t>D2.6032</t>
  </si>
  <si>
    <t>D2.6042</t>
  </si>
  <si>
    <t>D2.6053</t>
  </si>
  <si>
    <t>D2.6063</t>
  </si>
  <si>
    <t>D2.6054</t>
  </si>
  <si>
    <t>D2.6064</t>
  </si>
  <si>
    <t>D2.6074</t>
  </si>
  <si>
    <t>D2.6041</t>
  </si>
  <si>
    <t>D3.3251</t>
  </si>
  <si>
    <t>D2.6011</t>
  </si>
  <si>
    <t>D3.4011</t>
  </si>
  <si>
    <t>D3.4012</t>
  </si>
  <si>
    <t>D3.4013</t>
  </si>
  <si>
    <t>D3.4014</t>
  </si>
  <si>
    <t>D3.3201</t>
  </si>
  <si>
    <t>T4.5202</t>
  </si>
  <si>
    <t>vùng 1:2350000</t>
  </si>
  <si>
    <t>vùng 3: 2000000</t>
  </si>
  <si>
    <t>CO.01103</t>
  </si>
  <si>
    <t>CẢI TẠO LƯỚI ĐIỆN TRUNG HẠ THẾ VÀ TBA KHU VỰC XÃ XUÂN TÂY NĂM 2017</t>
  </si>
  <si>
    <t>CÔNG TY CỔ PHẦN CƠ ĐIỆN - ĐIỆN LỰC ĐỒNG NAI</t>
  </si>
  <si>
    <t>NGUYỄN THANH HỮU</t>
  </si>
  <si>
    <t>HỒ ĐẠI CƯỜNG</t>
  </si>
  <si>
    <t>CÔNG TY TNHH MTV ĐIỆN LỰC ĐỒNG NAI</t>
  </si>
  <si>
    <t>CUT114t</t>
  </si>
  <si>
    <t>lcapdongTB150</t>
  </si>
  <si>
    <t>GIP120-25</t>
  </si>
  <si>
    <t>GIP120-120</t>
  </si>
  <si>
    <t>Ghíp nối IPC 120-120 2BL</t>
  </si>
  <si>
    <t>Ghíp nối IPC 120-25 2BL</t>
  </si>
  <si>
    <t>Ghíp nối IPC 120-35 2BL</t>
  </si>
  <si>
    <t>Ghíp nối IPC 70-25 2BL</t>
  </si>
  <si>
    <t>Ghíp nối IPC 70-35 2BL</t>
  </si>
  <si>
    <t>Ghíp nối IPC 22-22 2BL</t>
  </si>
  <si>
    <t>Ghíp nối IPC 22-11 2BL</t>
  </si>
  <si>
    <t>Ghíp nối IPC 11-11 2BL</t>
  </si>
  <si>
    <t>Hộp MCCB phân đoạn cho cáp 3xABC</t>
  </si>
  <si>
    <t>HOPMCCB4</t>
  </si>
  <si>
    <t>Hộp MCCB phân đoạn cho cáp 4xABC</t>
  </si>
  <si>
    <t>Tháo hạ (căng) dây ABC50 - H≤10m</t>
  </si>
  <si>
    <t>DZTHABC50</t>
  </si>
  <si>
    <t>Tháo hạ (căng) dây A50 - H≤10m</t>
  </si>
  <si>
    <t>DZTHAV95</t>
  </si>
  <si>
    <t>Tháo hạ (căng) dây AV95 - H≤10m</t>
  </si>
  <si>
    <t>DZTHACC50</t>
  </si>
  <si>
    <t>Tháo hạ (căng) dây AC50 - H≤10m</t>
  </si>
  <si>
    <t>DZTHAV50</t>
  </si>
  <si>
    <t>Tháo hạ (căng) dây AV50 - H≤10m</t>
  </si>
  <si>
    <t>Tháo hạ (căng) dây ABC70 - H≤10m</t>
  </si>
  <si>
    <t>DZTHABC70</t>
  </si>
  <si>
    <t>DZTHAV70</t>
  </si>
  <si>
    <t>Tháo hạ (căng) dây AV70 - H≤10m</t>
  </si>
  <si>
    <t>TBATLMBA75</t>
  </si>
  <si>
    <t>Tháo (lắp) máy biến áp S ≤ 75kVA</t>
  </si>
  <si>
    <t>MTLMBA75</t>
  </si>
  <si>
    <t>Thanh chống L10x40x920</t>
  </si>
  <si>
    <t>Uclevis</t>
  </si>
  <si>
    <t>Rack 2 sứ</t>
  </si>
  <si>
    <t>Rack 3 sứ</t>
  </si>
  <si>
    <t>Rack 4 sứ</t>
  </si>
  <si>
    <t>Hạng mục 1</t>
  </si>
  <si>
    <t>Hạng mục 2</t>
  </si>
  <si>
    <t>Hạng mục 3</t>
  </si>
  <si>
    <t>Hạng mục 4</t>
  </si>
  <si>
    <t>Hạng mục 5</t>
  </si>
  <si>
    <t>Hạng mục 6</t>
  </si>
  <si>
    <t>Hạng mục 7</t>
  </si>
  <si>
    <t>Hạng mục 8</t>
  </si>
  <si>
    <t>Hạng mục 9</t>
  </si>
  <si>
    <t>Hạng mục 10</t>
  </si>
  <si>
    <t>Hạng mục 11</t>
  </si>
  <si>
    <t>Hạng mục 12</t>
  </si>
  <si>
    <t>Hạng mục 13</t>
  </si>
  <si>
    <t>Hạng mục 14</t>
  </si>
  <si>
    <t>Hạng mục 15</t>
  </si>
  <si>
    <t>Hạng mục 16</t>
  </si>
  <si>
    <t>Hạng mục 17</t>
  </si>
  <si>
    <t>Hạng mục 18</t>
  </si>
  <si>
    <t>Hộp phân phối trực tiếp 6KH</t>
  </si>
  <si>
    <t>D3.630</t>
  </si>
  <si>
    <t>D3.621</t>
  </si>
  <si>
    <t>T4.930</t>
  </si>
  <si>
    <t>KDAABC1201P</t>
  </si>
  <si>
    <t>Kéo dây ABC 3x120mm2</t>
  </si>
  <si>
    <t>ĐV</t>
  </si>
  <si>
    <t>NGÀY</t>
  </si>
  <si>
    <t>MÃ NC 1</t>
  </si>
  <si>
    <t>SỐ NC1</t>
  </si>
  <si>
    <t>MÃ NC2</t>
  </si>
  <si>
    <t>SỐ NC2</t>
  </si>
  <si>
    <t>MEGAOHM</t>
  </si>
  <si>
    <t>DOTIEPDIA</t>
  </si>
  <si>
    <t>TNDZLBSTREO</t>
  </si>
  <si>
    <t>EB.11040</t>
  </si>
  <si>
    <t>TNDZREC</t>
  </si>
  <si>
    <t>TNDZFCO100-22</t>
  </si>
  <si>
    <t xml:space="preserve">FCO 24KV - 100A </t>
  </si>
  <si>
    <t>TNDZFCO200-22</t>
  </si>
  <si>
    <t>TNDZLA18</t>
  </si>
  <si>
    <t>TNDZstply</t>
  </si>
  <si>
    <t>EB.41040</t>
  </si>
  <si>
    <t>TNDZSD</t>
  </si>
  <si>
    <t>EB.41020</t>
  </si>
  <si>
    <t>TNDZAC50</t>
  </si>
  <si>
    <t>EB.60040</t>
  </si>
  <si>
    <t>TNDZAC95</t>
  </si>
  <si>
    <t>TNDZXLPE50AC</t>
  </si>
  <si>
    <t>TNDZXLPE70AC</t>
  </si>
  <si>
    <t>TNDZXLPE95AC</t>
  </si>
  <si>
    <t>TNDZXLPE150AC</t>
  </si>
  <si>
    <t>TNDZABC4x150</t>
  </si>
  <si>
    <t>TNDZTD75</t>
  </si>
  <si>
    <t>EC.22020</t>
  </si>
  <si>
    <t>TNDZTD85</t>
  </si>
  <si>
    <t>TNDZTD85ABC</t>
  </si>
  <si>
    <t>TNDZTDLL12</t>
  </si>
  <si>
    <t>TNTBATDTBA1P</t>
  </si>
  <si>
    <t>RC.21040</t>
  </si>
  <si>
    <t>TNTBATDTBA3P</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</si>
  <si>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</si>
  <si>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</si>
  <si>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</si>
  <si>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</si>
  <si>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</si>
  <si>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</si>
  <si>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</si>
  <si>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</si>
  <si>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</si>
  <si>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</si>
  <si>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</si>
  <si>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</si>
  <si>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</si>
  <si>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</si>
  <si>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</si>
  <si>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</si>
  <si>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EB.60030</t>
  </si>
  <si>
    <t>TNTBACV50</t>
  </si>
  <si>
    <t>TNTBACV70</t>
  </si>
  <si>
    <t>TNTBACV95</t>
  </si>
  <si>
    <t>TNTBACV120</t>
  </si>
  <si>
    <t>TNTBACV150</t>
  </si>
  <si>
    <t>TNTBACV185</t>
  </si>
  <si>
    <t>TNTBACV240</t>
  </si>
  <si>
    <t>TNTBACV300</t>
  </si>
  <si>
    <t>TNTBAFCO100-22</t>
  </si>
  <si>
    <t>TNTBALA18</t>
  </si>
  <si>
    <t>TNTBAATM75</t>
  </si>
  <si>
    <t>EB.72020</t>
  </si>
  <si>
    <t>TNTBAATM80</t>
  </si>
  <si>
    <t>TNTBAATM125</t>
  </si>
  <si>
    <t>EB.72010</t>
  </si>
  <si>
    <t>TNTBAATM200</t>
  </si>
  <si>
    <t>TNTBAATM250</t>
  </si>
  <si>
    <t>TNTBAATM400</t>
  </si>
  <si>
    <t>TNTBAATM500</t>
  </si>
  <si>
    <t>TNTBAATM630</t>
  </si>
  <si>
    <t>TNTBAATM1000</t>
  </si>
  <si>
    <t>EB.71020</t>
  </si>
  <si>
    <t>TNTBAATM1250</t>
  </si>
  <si>
    <t>TNTBAATM1600</t>
  </si>
  <si>
    <t>D2.521</t>
  </si>
  <si>
    <t>D2.523</t>
  </si>
  <si>
    <t>AB.11400</t>
  </si>
  <si>
    <t>AB.13000</t>
  </si>
  <si>
    <t>Đắp đất hố móng, đất cấp 3, k = 0,85</t>
  </si>
  <si>
    <t>Đào hố móng đất cấp 3 sâu &gt;1m, rộng &lt;1m</t>
  </si>
  <si>
    <t>AF112.20</t>
  </si>
  <si>
    <t>AB.1312</t>
  </si>
  <si>
    <t>AB.1151</t>
  </si>
  <si>
    <t>D3.2125</t>
  </si>
  <si>
    <t>D3.1122</t>
  </si>
  <si>
    <t>D3.1211</t>
  </si>
  <si>
    <t>Thanh chống L10x60x710</t>
  </si>
  <si>
    <t xml:space="preserve">Bakelit 500x400 dầy 10mm </t>
  </si>
  <si>
    <t>Chân sứ đỉnh thẳng dài 870x4mm</t>
  </si>
  <si>
    <t>Bộ chống chằng hẹp φ60/56x1200+2BL12x40+BL16x200/50</t>
  </si>
  <si>
    <t>Bộ chống chằng hẹp φ60/56x1500+2BL12x40+BL16x250/80</t>
  </si>
  <si>
    <t>Kẹp cáp chằng 3 boulon (B46x130)</t>
  </si>
  <si>
    <t>SCL</t>
  </si>
  <si>
    <t>Sứ chằng lớn</t>
  </si>
  <si>
    <t>ĐM4970</t>
  </si>
  <si>
    <t>D4.6204</t>
  </si>
  <si>
    <t>D4.6205</t>
  </si>
  <si>
    <t>Hộp phân phối trực tiếp 9KH</t>
  </si>
  <si>
    <t>D6.6201</t>
  </si>
  <si>
    <t>D6.6202</t>
  </si>
  <si>
    <t>D3.1115</t>
  </si>
  <si>
    <t>D3.2411</t>
  </si>
  <si>
    <t>D3.1201</t>
  </si>
  <si>
    <t>T4.4201</t>
  </si>
  <si>
    <t>T4.4202</t>
  </si>
  <si>
    <t xml:space="preserve">  + Giá máy biến áp phân phối lấy theo bảng giá của Công ty Cổ phần Thiết bị điện</t>
  </si>
  <si>
    <t>đvtb</t>
  </si>
  <si>
    <t>đvđz</t>
  </si>
  <si>
    <t>Khoảng cách</t>
  </si>
  <si>
    <t>CO.01203</t>
  </si>
  <si>
    <t>20/5/1900</t>
  </si>
  <si>
    <t>20/5/2017</t>
  </si>
  <si>
    <t>Lắp cáp đồng xuống thiết bị D ≤ 400mm2</t>
  </si>
  <si>
    <t>Lắp cáp đồng xuống thiết bị D ≤ 800mm2</t>
  </si>
  <si>
    <t>Lắp cáp đồng xuống thiết bị D &gt; 800mm2</t>
  </si>
  <si>
    <t>Gạch tàu (30x30x30)</t>
  </si>
  <si>
    <t>D3.6308</t>
  </si>
  <si>
    <t>D2.9004</t>
  </si>
  <si>
    <t>T2.8505</t>
  </si>
  <si>
    <t>Tủ tụ bù hạ thế 40kVAr + bộ điều khiển 8 cấp LCD</t>
  </si>
  <si>
    <t>Tủ tụ bù hạ thế 60kVAr  + bộ điều khiển 8 cấp LCD</t>
  </si>
  <si>
    <t>Tủ tụ bù hạ thế 80kVAr  + bộ điều khiển 8 cấp LCD</t>
  </si>
  <si>
    <t>Tủ tụ bù hạ thế 95kVAr  + bộ điều khiển 8 cấp LCD</t>
  </si>
  <si>
    <t>Tủ tụ bù hạ thế 100kVAr + bộ điều khiển 8 cấp LCD</t>
  </si>
  <si>
    <t>Tủ tụ bù hạ thế 130kVAr + bộ điều khiển 8 cấp LCD</t>
  </si>
  <si>
    <t>Tủ tụ bù hạ thế 135kVAr + bộ điều khiển 8 cấp LCD</t>
  </si>
  <si>
    <t>Tủ tụ bù hạ thế 160kVAr + bộ điều khiển 8 cấp LCD</t>
  </si>
  <si>
    <t>Tủ tụ bù hạ thế 220kVAr + bộ điều khiển 8 cấp LCD</t>
  </si>
  <si>
    <t>Tủ tụ bù hạ thế 250kVAr + bộ điều khiển 8 cấp LCD</t>
  </si>
  <si>
    <t>Tủ tụ bù hạ thế 300kVAr + bộ điều khiển 8 cấp LCD</t>
  </si>
  <si>
    <t>Tủ tụ bù hạ thế 380kVAr + bộ điều khiển 8 cấp LCD</t>
  </si>
  <si>
    <t>Tủ tụ bù hạ thế 400kVAr + bộ điều khiển 8 cấp LCD</t>
  </si>
  <si>
    <t>Tủ tụ bù hạ thế 600kVAr + bộ điều khiển 8 cấp LCD</t>
  </si>
  <si>
    <t>Tủ tụ bù hạ thế 750kVAr + bộ điều khiển 8 cấp LCD</t>
  </si>
  <si>
    <t>Tủ tụ bù hạ thế 1000kVAr + bộ điều khiển 8 cấp LCD</t>
  </si>
  <si>
    <t>XLPE4120D</t>
  </si>
  <si>
    <t>Cáp 0,4/1kV C/XLPE/DSTA/PVC4x120mm2</t>
  </si>
  <si>
    <t>DCAPHT4120</t>
  </si>
  <si>
    <t>Đầu cáp ngầm hạ thế 4x120mm2</t>
  </si>
  <si>
    <t>Máy biến áp 8,6(12,7)/0,22- 0,44kV 15kVA - Amorphous</t>
  </si>
  <si>
    <t>Máy biến áp 8,6(12,7)/0,22- 0,44kV 25kVA - Amorphous</t>
  </si>
  <si>
    <t>Máy biến áp 8,6(12,7)/0,22-0,44kV- 37,5kVA - Amorphous</t>
  </si>
  <si>
    <t>Máy biến áp 8,6(12,7)/0,22-0,44kV- 50kVA - Amorphous</t>
  </si>
  <si>
    <t>Máy biến áp 8,6(12,7)/0,22-0,44kV- 75kVA - Amorphous</t>
  </si>
  <si>
    <t>Máy biến áp 8,6(12,7)/0,22-0,44kV- 100kVA - Amorphous</t>
  </si>
  <si>
    <t>Máy biến áp 12,7/0,22-0,44kV 15kVA - Amorphous</t>
  </si>
  <si>
    <t>Máy biến áp 12,7/0,22-0,44kV 25kVA - Amorphous</t>
  </si>
  <si>
    <t>Máy biến áp 12,7/0,22-0,44kV 37,5kVA - Amorphous</t>
  </si>
  <si>
    <t>Máy biến áp 12,7/0,22-0,44kV 50kVA - Amorphous</t>
  </si>
  <si>
    <t>Máy biến áp 12,7/0,22-0,44kV 75kVA - Amorphous</t>
  </si>
  <si>
    <t>Máy biến áp 12,7/0,22-0,44kV 100kVA - Amorphous</t>
  </si>
  <si>
    <t>Máy biến áp 22/0,4kV 100kVA - Amorphous</t>
  </si>
  <si>
    <t>Máy biến áp 22/0,4kV 160kVA - Amorphous</t>
  </si>
  <si>
    <t>Máy biến áp 22/0,4kV 180kVA - Amorphous</t>
  </si>
  <si>
    <t>Máy biến áp 22/0,4kV- 250kVA - Amorphous</t>
  </si>
  <si>
    <t>Máy biến áp 22/0,4kV- 320kVA - Amorphous</t>
  </si>
  <si>
    <t>Máy biến áp 22/0,4kV- 400kVA - Amorphous</t>
  </si>
  <si>
    <t>Máy biến áp 22/0,4kV- 560kVA - Amorphous</t>
  </si>
  <si>
    <t>Máy biến áp 22/0,4kV- 630kVA - Amorphous</t>
  </si>
  <si>
    <t>Máy biến áp 22/0,4kV- 750kVA - Amorphous</t>
  </si>
  <si>
    <t>Máy biến áp 22/0,4kV- 800kVA - Amorphous</t>
  </si>
  <si>
    <t>Máy biến áp 22/0,4kV- 1000kVA - Amorphous</t>
  </si>
  <si>
    <t>Máy biến áp 22/0,4kV- 1250kVA - Amorphous</t>
  </si>
  <si>
    <t>Máy biến áp 22/0,4kV- 1500kVA - Amorphous</t>
  </si>
  <si>
    <t>Máy biến áp 22/0,4kV- 1600kVA - Amorphous</t>
  </si>
  <si>
    <t>Máy biến áp 22/0,4kV- 2000kVA - Amorphous</t>
  </si>
  <si>
    <t>Máy biến áp 22/0,4kV- 2500kVA - Amorphous</t>
  </si>
  <si>
    <t>Máy biến áp 22/0,4kV- 3000kVA - Amorphous</t>
  </si>
  <si>
    <t>Máy biến áp 22/0,4kV- 4000kVA - Amorphous</t>
  </si>
  <si>
    <t>Máy biến áp 15(22)/0,4kV- 100kVA - Amorphous</t>
  </si>
  <si>
    <t>Máy biến áp 15(22)/0,4kV- 160kVA - Amorphous</t>
  </si>
  <si>
    <t>Máy biến áp 15(22)/0,4kV- 180kVA - Amorphous</t>
  </si>
  <si>
    <t>Máy biến áp 15(22)/0,4kV- 250kVA - Amorphous</t>
  </si>
  <si>
    <t>Máy biến áp 15(22)/0,4kV- 320kVA - Amorphous</t>
  </si>
  <si>
    <t>Máy biến áp 15(22)/0,4kV- 400kVA - Amorphous</t>
  </si>
  <si>
    <t>Máy biến áp 15(22)/0,4kV- 560kVA - Amorphous</t>
  </si>
  <si>
    <t>Máy biến áp 15(22)/0,4kV- 630kVA - Amorphous</t>
  </si>
  <si>
    <t>Máy biến áp 15(22)/0,4kV- 750kVA - Amorphous</t>
  </si>
  <si>
    <t>Máy biến áp 15(22)/0,4kV- 1000kVA - Amorphous</t>
  </si>
  <si>
    <t>Máy biến áp 15(22)/0,4kV- 1250kVA - Amorphous</t>
  </si>
  <si>
    <t>Máy biến áp 15(22)/0,4kV- 1500kVA - Amorphous</t>
  </si>
  <si>
    <t>Máy biến áp 15(22)/0,4kV- 1600kVA - Amorphous</t>
  </si>
  <si>
    <t>Máy biến áp 15(22)/0,4kV- 2000kVA - Amorphous</t>
  </si>
  <si>
    <t>Máy biến áp 15(22)/0,4kV- 2500kVA - Amorphous</t>
  </si>
  <si>
    <t>Máy biến áp 15(22)/0,4kV- 3000kVA - Amorphous</t>
  </si>
  <si>
    <t>Máy biến áp 15(22)/0,4kV- 4000kVA - Amorphous</t>
  </si>
  <si>
    <t>n2.35</t>
  </si>
  <si>
    <t>D4.1204</t>
  </si>
  <si>
    <t>D4.1205</t>
  </si>
  <si>
    <t>LPVC42CN</t>
  </si>
  <si>
    <t>LPVC60CN</t>
  </si>
  <si>
    <t>LPVC90CN</t>
  </si>
  <si>
    <t>LPVC114CN</t>
  </si>
  <si>
    <t>LPVC140CN</t>
  </si>
  <si>
    <t>Lắp ống nhựa PVC D42 bảo vệ cáp ngầm</t>
  </si>
  <si>
    <t>Lắp ống nhựa PVC D60 bảo vệ cáp ngầm</t>
  </si>
  <si>
    <t>Lắp ống nhựa PVC D90 bảo vệ cáp ngầm</t>
  </si>
  <si>
    <t>Lắp ống nhựa PVC D114 bảo vệ cáp ngầm</t>
  </si>
  <si>
    <t>Lắp ống nhựa PVC D140 bảo vệ cáp ngầm</t>
  </si>
  <si>
    <t>D4.2101</t>
  </si>
  <si>
    <t>D4.2102</t>
  </si>
  <si>
    <t>D4.2103</t>
  </si>
  <si>
    <t>D4.2104</t>
  </si>
  <si>
    <t>D4.2105</t>
  </si>
  <si>
    <t>D4.2106</t>
  </si>
  <si>
    <t>D4.2107</t>
  </si>
  <si>
    <t>D4.2108</t>
  </si>
  <si>
    <t>D4.2109</t>
  </si>
  <si>
    <t>20/05/2017</t>
  </si>
  <si>
    <t>TNDZABC4x120</t>
  </si>
  <si>
    <t>Cáp ABC4x120</t>
  </si>
  <si>
    <t>TNTBACV200</t>
  </si>
  <si>
    <t>Cáp ngầm C/DSTA/PVC 0,6kV - 4x120mm2</t>
  </si>
  <si>
    <t>Đầu cáp ngầm 24kV 3x50mm2 outdoor</t>
  </si>
  <si>
    <t>Đầu cáp ngầm 24kV 3x70mm2 outdoor</t>
  </si>
  <si>
    <t>Đầu cáp ngầm 24kV 3x95mm2 outdoor</t>
  </si>
  <si>
    <t>Đầu cáp ngầm 24kV 3x120mm2 outdoor</t>
  </si>
  <si>
    <t>Đầu cáp ngầm 24kV 3x50mm2 indoor</t>
  </si>
  <si>
    <t>Đầu cáp ngầm 24kV 3x70mm2 indoor</t>
  </si>
  <si>
    <t>Đầu cáp ngầm 24kV 3x95mm2 indoor</t>
  </si>
  <si>
    <t>Đầu cáp ngầm 24kV 3x120mm2 indoor</t>
  </si>
  <si>
    <t>Cáp ABC4x150</t>
  </si>
  <si>
    <t>chupla</t>
  </si>
  <si>
    <t>chupmba</t>
  </si>
  <si>
    <t>chupfco</t>
  </si>
  <si>
    <t>B16550</t>
  </si>
  <si>
    <t>Boulon 16x550+ 2 long đền vuông D18-50x50x3/Zn</t>
  </si>
  <si>
    <t>Hồ sơ lập</t>
  </si>
  <si>
    <t>Quyết định số 3204/QĐ-EVN SPC ngày 05/11/2015 của Tổng Công ty Điện lực Miền Nam về việc Quy định lập, thẩm định tổng mức đầu tư xây dựng, tổng dự toán xây dựng, dự toán gói thầu xây dựng.</t>
  </si>
  <si>
    <t>Căn cứ công văn số 1580/PCĐN-QLĐT ngày 13/4/2017 của Công ty TNHH MTV Điện lực Đồng Nai về việc hướng dẫn xác định đơn giá nhân công và máy thi công trong quản lý chi phí đầu tư xây dựng.</t>
  </si>
  <si>
    <t>Căn cứ Thông tư số 09/2016/TT-BTL ngày 18/01/2016 của Bộ tài chính quy định về quyết toán dự án hoàn thành thuộc nguồn vốn Nhà nước.</t>
  </si>
  <si>
    <t>Căm cứ văn bản số 3092/EVN SPC-QLĐT ngày 25/4/2017 của Tổng Công ty Điện lực Miền Nam về việc hướng dẫn áp dụng hệ số điều chỉnh nhân công đối với công tác xây lắp đường dây có cấp điện áp &lt;110kV trong lĩnh vực ĐTXD.</t>
  </si>
  <si>
    <t>Căn cứ Quyết định số 32/2013/QĐ-UBND ngày 29/5/2013 của UBND tỉnh Đồng Nai về việc ban hành giá cước vận chuyển hàng hóa bằng xe ô tô trê địa bàn tỉnh Đồng Nai.</t>
  </si>
  <si>
    <t>Căn cứ Thông tư số 26/2016/TT-BXD ngày 26/10/2016 của Bộ Xây dựng về việc Quy định chi tiết một số nội dung về quản lý chất lượng và bảo trì công trình xây dựng.</t>
  </si>
  <si>
    <t>Căn cứ Nghị định số 46/2015/NĐ-CP ngày 12/5/2015 của Chính phủ về Quản lý dự án đầu tư xây dựng.</t>
  </si>
  <si>
    <t>Căn cứ Thông tư số 06/2016/TT-BXD ngày 10/3/2016 của Bộ Xây dựng về việc hướng dẫn xác định và quản lý chi phí đầu tư xây dựng.</t>
  </si>
  <si>
    <t>Căn cứ Thông tư số 05/2016/TT-BXD ngày 10/3/2016 của Bộ Xây dựng về việc hướng dẫn xác định đơn giá nhân công trong quản lý chi phí đầu tư xây dựng.</t>
  </si>
  <si>
    <t>Căn cứ văn bản số 1776/BXD-VP ngày 16/8/2007 của Bộ Xây dựng về việc công bố định mức dự toán xây dựng công trình – Phần xây dựng.</t>
  </si>
  <si>
    <t>Căn cứ Quyết định số 4970/QĐ-BCT ngày 21/12/2016 của Bộ Công thương về việc công bố Bộ định mức dự toán chuyên ngành công tác lắp đặt đường dây tải điện và lắp đặt trạm biến áp.</t>
  </si>
  <si>
    <t>Căn cứ Quyết định số 79/QĐ-BXD ngày 15/02/2017 của Bộ Xây dựng về việc công bố định mức chi phí quản lý dự án và tư vấn đầu tư xây dựng công trình.</t>
  </si>
  <si>
    <t>Căn cứ Nghị định số 32/2015/NĐ-CP ngày 23/3/2015 của Chính phủ về quản lý chi phí đầu tư xây dựng.</t>
  </si>
  <si>
    <t>Đào rãnh tiếp địa đất cấp 3</t>
  </si>
  <si>
    <t>Đắp đất rãnh tiếp địa cấp 3, k=0,9</t>
  </si>
  <si>
    <t>I va J la so thu tu va noi dung loi</t>
  </si>
  <si>
    <t>Tình trạng kích hoạt</t>
  </si>
  <si>
    <t>Ngày lưu cuối cùng</t>
  </si>
  <si>
    <t>Ngày hiện tại</t>
  </si>
  <si>
    <t>NHÓM 2 (LẮP ĐẶT, CƠ KHÍ, ĐIỆN)</t>
  </si>
  <si>
    <t>R-DC</t>
  </si>
  <si>
    <t>DOTIEPXUC</t>
  </si>
  <si>
    <t>CAOAP</t>
  </si>
  <si>
    <t>APLUC</t>
  </si>
  <si>
    <t>CHUPSONG</t>
  </si>
  <si>
    <t>HOPBOTG</t>
  </si>
  <si>
    <t>HOPBODOLUONG</t>
  </si>
  <si>
    <t>TYSOBIEN</t>
  </si>
  <si>
    <t>TAODONG</t>
  </si>
  <si>
    <t>Xăng</t>
  </si>
  <si>
    <t>TÍNH TOÁN</t>
  </si>
  <si>
    <t>NĂNG LƯỢNG</t>
  </si>
  <si>
    <t>PHÁP LÝ</t>
  </si>
  <si>
    <t>THỜI ĐIỂM</t>
  </si>
  <si>
    <t>Điện</t>
  </si>
  <si>
    <t>Dầu Diezel</t>
  </si>
  <si>
    <t>Dầu hỏa</t>
  </si>
  <si>
    <t>Mazut</t>
  </si>
  <si>
    <t>MÃ SỐ</t>
  </si>
  <si>
    <t>SỐ CA</t>
  </si>
  <si>
    <t>ĐỊNH MỨC CHI PHÍ 
(%)</t>
  </si>
  <si>
    <t>GIÁ KHẤU HAO</t>
  </si>
  <si>
    <t>THỢ ĐIỀU KHIỂN MÁY</t>
  </si>
  <si>
    <t>Chi phí khấu hao</t>
  </si>
  <si>
    <t>(ca/năm)</t>
  </si>
  <si>
    <t>Khấu hao</t>
  </si>
  <si>
    <t>Sửa chữa</t>
  </si>
  <si>
    <t>Chi phí khác</t>
  </si>
  <si>
    <t>(10³đồng)
(Năm 2010)</t>
  </si>
  <si>
    <t>MÃ THỢ 1</t>
  </si>
  <si>
    <t>HỆ SỐ 1</t>
  </si>
  <si>
    <t>MÃ THỢ 2</t>
  </si>
  <si>
    <t>HỆ SỐ 2</t>
  </si>
  <si>
    <t>Tời điện sức kéo 5 tấn</t>
  </si>
  <si>
    <t>Cần trục ôtô 10 tấn</t>
  </si>
  <si>
    <t>Cần trục ôtô 5 tấn</t>
  </si>
  <si>
    <t>Đầm rung tự hành trọng lượng 15 tấn</t>
  </si>
  <si>
    <t>Máy kéo bánh xích 110CV</t>
  </si>
  <si>
    <t>Máy trộn bêtông 250 lít</t>
  </si>
  <si>
    <t>Mê gôm mét</t>
  </si>
  <si>
    <t>Thiết bị tạo dòng điện</t>
  </si>
  <si>
    <t>Máy thủy lực nối ép, vá dây</t>
  </si>
  <si>
    <t>Máy rải dây</t>
  </si>
  <si>
    <t>Chi phí 
nhiên liệu</t>
  </si>
  <si>
    <t>Lương thợ điều khiển máy</t>
  </si>
  <si>
    <t>Giá ca máy
 HTXL</t>
  </si>
  <si>
    <t>ĐỊNH MỨC TIÊU HAO
(1 ca)</t>
  </si>
  <si>
    <t>LITXG</t>
  </si>
  <si>
    <t>KWH</t>
  </si>
  <si>
    <t>KGMZ</t>
  </si>
  <si>
    <t>LITDH</t>
  </si>
  <si>
    <t>LITDZ</t>
  </si>
  <si>
    <t>HS</t>
  </si>
  <si>
    <t>Đơn giá NC</t>
  </si>
  <si>
    <t>CẬP NHẬT LƯƠNG</t>
  </si>
  <si>
    <t>CHỌN VÙNG (1, 2, 3, 4)</t>
  </si>
  <si>
    <t>LƯƠNG THỢ MÁY, TÀI XẾ</t>
  </si>
  <si>
    <t>Xe từ 3,5 tấn đến 7,5 tấn</t>
  </si>
  <si>
    <t>Xe từ 7,5 tấn đến 16,5 tấn</t>
  </si>
  <si>
    <t>TX.11</t>
  </si>
  <si>
    <t>TX.22</t>
  </si>
  <si>
    <t>TX.12</t>
  </si>
  <si>
    <t>TX.13</t>
  </si>
  <si>
    <t>TX.14</t>
  </si>
  <si>
    <t>TX.21</t>
  </si>
  <si>
    <t>TX.23</t>
  </si>
  <si>
    <t>TX.24</t>
  </si>
  <si>
    <t>Thợ điều khiển máy xây dựng</t>
  </si>
  <si>
    <t>TM.1</t>
  </si>
  <si>
    <t>TM.2</t>
  </si>
  <si>
    <t>TM.3</t>
  </si>
  <si>
    <t>TM.4</t>
  </si>
  <si>
    <t>TM.5</t>
  </si>
  <si>
    <t>TM.6</t>
  </si>
  <si>
    <t>TM.7</t>
  </si>
  <si>
    <t>NGÀY CÔNG</t>
  </si>
  <si>
    <t>K1.55</t>
  </si>
  <si>
    <t>K1.60</t>
  </si>
  <si>
    <t>K1.35</t>
  </si>
  <si>
    <t>Hợp bộ đo tgd Delta</t>
  </si>
  <si>
    <t>LA 18kV 10kA</t>
  </si>
  <si>
    <t>TNDZAbc4x120</t>
  </si>
  <si>
    <t>TNDZABC4x95</t>
  </si>
  <si>
    <t>Cáp ABC4x95</t>
  </si>
  <si>
    <t>SỐ NGÀY CÔNG</t>
  </si>
  <si>
    <t>THÁNG LƯƠNG</t>
  </si>
  <si>
    <t>com2600</t>
  </si>
  <si>
    <t>CVV4X4</t>
  </si>
  <si>
    <t xml:space="preserve">Cáp CVV 4x4mm2 </t>
  </si>
  <si>
    <t>Boulon mắt 16x200+ 2 long đền vuông D18-50x50x3/Zn</t>
  </si>
  <si>
    <t>BM16200</t>
  </si>
  <si>
    <t>Gía chùm treo máy biến áp 3x75kVA</t>
  </si>
  <si>
    <t>Gía chùm treo máy biến áp 3x100kVA</t>
  </si>
  <si>
    <t>xlpe25</t>
  </si>
  <si>
    <t>LXIt</t>
  </si>
  <si>
    <t>Bộ xà kép L75x75x8 dài 2.2m: X-22K-K - C810 (Pi)</t>
  </si>
  <si>
    <t>cose50</t>
  </si>
  <si>
    <t>Boulon 22x550+ 2 long đền vuông D24-50x50x3/Zn</t>
  </si>
  <si>
    <t>CVV4x4</t>
  </si>
  <si>
    <t>Bảng tên trạm, bảng báo nguy hiểm</t>
  </si>
  <si>
    <t>Collier kẹp ống PVC φ 90</t>
  </si>
  <si>
    <t>Collier kẹp ống PVC φ 114</t>
  </si>
  <si>
    <t>Collier kẹp ống PVC φ 140</t>
  </si>
  <si>
    <t>Collier kẹp ống sắt φ 140</t>
  </si>
  <si>
    <t>Collier φ 195 nẹp trụ</t>
  </si>
  <si>
    <t>Collier φ 207 nẹp trụ</t>
  </si>
  <si>
    <t>Collier φ 220 nẹp trụ</t>
  </si>
  <si>
    <t>Collier φ 240-Fe 8x100</t>
  </si>
  <si>
    <t>Collier φ 250-Fe 8x100</t>
  </si>
  <si>
    <t>Collier CDĐKĐT( bắt thùng điện kế)</t>
  </si>
  <si>
    <t>Collier trụ đôi bắt sứ treo</t>
  </si>
  <si>
    <t xml:space="preserve">Collier trụ đôi 8,4m bắt móc dừng </t>
  </si>
  <si>
    <t xml:space="preserve">Collier giữ dầu cáp+Bulon </t>
  </si>
  <si>
    <t xml:space="preserve">Collier giữ ống D140 vào trụ đôi + Bulon </t>
  </si>
  <si>
    <t xml:space="preserve">Collier giữ ống D140 vào trụ + Bulon </t>
  </si>
  <si>
    <t xml:space="preserve">Collier giữ ống PVC D168+Bulon </t>
  </si>
  <si>
    <t>Collier bắt tủ</t>
  </si>
  <si>
    <t>Collier giữ ống STK D140 vào tường+Boulon+long đền+tắc ke sắt</t>
  </si>
  <si>
    <t>Collier giữ 2 ống PVC D114 vào tường+Boulon+long đền+tắc ke sắt</t>
  </si>
  <si>
    <t>Collier giữ ống PVC D42</t>
  </si>
  <si>
    <t>Collier giữ ống PVC φ 21 vào tường + Bulon + long đền + tắc kê sắt</t>
  </si>
  <si>
    <t>D2.3241</t>
  </si>
  <si>
    <t>Khóa néo dây cỡ dây 50 (5U)</t>
  </si>
  <si>
    <t>KN50-3</t>
  </si>
  <si>
    <t>Khóa néo dây cỡ dây 50 (3U)</t>
  </si>
  <si>
    <t xml:space="preserve">Hợp bộ thí nghiệm cao áp </t>
  </si>
  <si>
    <t>Máy đo điện trở một chiều</t>
  </si>
  <si>
    <t>Máy đo điện trở tiếp địa</t>
  </si>
  <si>
    <t>Máy đo điện trở tiếp xúc</t>
  </si>
  <si>
    <t>Máy đo vạn năng</t>
  </si>
  <si>
    <t>Máy chụp sóng</t>
  </si>
  <si>
    <t>Thiết bị  kiểm tra áp lực</t>
  </si>
  <si>
    <t xml:space="preserve">Hợp bộ đo lường </t>
  </si>
  <si>
    <t>TỤ BÙ</t>
  </si>
  <si>
    <t>CS MBA</t>
  </si>
  <si>
    <t>SỐ MÁY</t>
  </si>
  <si>
    <t>MCCB 1-3</t>
  </si>
  <si>
    <t>MCCB 1-2</t>
  </si>
  <si>
    <t>TI 1-2</t>
  </si>
  <si>
    <t>CX 1-2</t>
  </si>
  <si>
    <t>TI 1-3</t>
  </si>
  <si>
    <t>CX 1-3</t>
  </si>
  <si>
    <t>NLO12</t>
  </si>
  <si>
    <t>NLO13</t>
  </si>
  <si>
    <t>GTMBA37.5</t>
  </si>
  <si>
    <t>1P2D</t>
  </si>
  <si>
    <t>none</t>
  </si>
  <si>
    <t>XMBANEN</t>
  </si>
  <si>
    <t>Vật tư, phụ kiện xây dựng nền, rào trạm</t>
  </si>
  <si>
    <t>xm</t>
  </si>
  <si>
    <t>cv</t>
  </si>
  <si>
    <t>BM10</t>
  </si>
  <si>
    <t>Boulon giản chân M10</t>
  </si>
  <si>
    <t>bm10</t>
  </si>
  <si>
    <t>LUOIB40</t>
  </si>
  <si>
    <t>Lưới thép B40 3,5mm (2,2kg/m2)</t>
  </si>
  <si>
    <t>LUOIb40</t>
  </si>
  <si>
    <t>Thanh chống L50x50x5x810 (2,47kg/cái)</t>
  </si>
  <si>
    <t>Thanh chống L50x50x5x920 (2,81kg/cái)</t>
  </si>
  <si>
    <t>Thanh chống L50x50x5x710 (2,17kg/cái)</t>
  </si>
  <si>
    <t>Thanh chống L50x50x5x1990 (6,07kg/cái)</t>
  </si>
  <si>
    <t>Thanh chống L50x50x5x1150 (3,51kg/cái)</t>
  </si>
  <si>
    <t>L50x5</t>
  </si>
  <si>
    <t>Thép CT3 V50x50x5/Zn (3,05kg/m)</t>
  </si>
  <si>
    <t>L50x50x5</t>
  </si>
  <si>
    <t>Thép CT3 dẹt 50x5/Zn (1,5kg/m)</t>
  </si>
  <si>
    <t>satd10</t>
  </si>
  <si>
    <t>Xây tường gạch thẻ 4x8x18, dày 20cm, vữa M75</t>
  </si>
  <si>
    <t>Trát tường bó nền dày 2cm vữa M75</t>
  </si>
  <si>
    <t>Láng nền tủ dày 3cm, vữa M75</t>
  </si>
  <si>
    <t>Rải đá 4x6 dày 10cm</t>
  </si>
  <si>
    <t>Lắp dựng hàng rào lưới thép B40</t>
  </si>
  <si>
    <t xml:space="preserve">Lắp dựng cột thép </t>
  </si>
  <si>
    <t>Sơn sắt thép các loại 3 nước</t>
  </si>
  <si>
    <t>XTUONG</t>
  </si>
  <si>
    <t>TRATTUONG</t>
  </si>
  <si>
    <t>LANGNEN</t>
  </si>
  <si>
    <t>RAIDA</t>
  </si>
  <si>
    <t>LHANGRAO</t>
  </si>
  <si>
    <t>LCOTTHEP</t>
  </si>
  <si>
    <t>SONTHEP</t>
  </si>
  <si>
    <t>100m2</t>
  </si>
  <si>
    <t>taán</t>
  </si>
  <si>
    <t>d1x2</t>
  </si>
  <si>
    <t>d4x6</t>
  </si>
  <si>
    <t>mdd31</t>
  </si>
  <si>
    <t>THEPT3</t>
  </si>
  <si>
    <t>Thép tấm 3mm mạ kẽm (23.55kg/m2)</t>
  </si>
  <si>
    <t>thept3</t>
  </si>
  <si>
    <t>Thép tấm 5mm mạ kẽm (39.25kg/m2)</t>
  </si>
  <si>
    <t>Que hàn điện 2,5mm</t>
  </si>
  <si>
    <t>c. Mặt bích và cột móng rào trạm, gồm có:</t>
  </si>
  <si>
    <t>d. Hàng rào trạm 3 mặt bên, gồm có:</t>
  </si>
  <si>
    <t>BASSB40</t>
  </si>
  <si>
    <t>Bass bắt khung rào thép mạ kẽm 5mm</t>
  </si>
  <si>
    <t>LTHEP</t>
  </si>
  <si>
    <t>AI.63311</t>
  </si>
  <si>
    <t>Lắp dựng (tháo dỡ) kết cấu thép, hệ khung dàn</t>
  </si>
  <si>
    <t>e. Hàng rào trạm mặt cửa, gồm có:</t>
  </si>
  <si>
    <t>f. Bệ đỡ máy biến thế, gồm có:</t>
  </si>
  <si>
    <t>d2x4</t>
  </si>
  <si>
    <t>SATD6</t>
  </si>
  <si>
    <t>Sắt tròn D10 (D=0,617kg/m)</t>
  </si>
  <si>
    <t>Sắt tròn D6 (D=0,222kg/m)</t>
  </si>
  <si>
    <t>satd6</t>
  </si>
  <si>
    <t>lthep</t>
  </si>
  <si>
    <t>b. Móng cột rào trạm M2, gồm có:</t>
  </si>
  <si>
    <t>a. Móng cột rào trạm M1, gồm có:</t>
  </si>
  <si>
    <t>g. Móng và nền trạm, gồm có:</t>
  </si>
  <si>
    <t>Gạch thẻ 4x8x19</t>
  </si>
  <si>
    <t>BDODEM</t>
  </si>
  <si>
    <t>Bộ đo đếm trung thế</t>
  </si>
  <si>
    <t>xAtuti</t>
  </si>
  <si>
    <t>CD42t</t>
  </si>
  <si>
    <t>b1260</t>
  </si>
  <si>
    <t>Xà kẹp TU, TI U50x32x4x350</t>
  </si>
  <si>
    <t>Bộ đà kép đỡ TI</t>
  </si>
  <si>
    <t>Bộ kép đỡ TU</t>
  </si>
  <si>
    <t>c800</t>
  </si>
  <si>
    <t>sd</t>
  </si>
  <si>
    <t>csd</t>
  </si>
  <si>
    <t>Do tập tin này được viết bằng VBA nên cần phải bật Macro để tiếp tục (nhấn "Enable Content")</t>
  </si>
  <si>
    <t>Tên máy đã đăng ký</t>
  </si>
  <si>
    <t>Tên người dùng đã đăng ký</t>
  </si>
  <si>
    <t>DESKTOP-MPISGVO</t>
  </si>
  <si>
    <t>LABHOME</t>
  </si>
  <si>
    <t>Số giờ còn lại</t>
  </si>
  <si>
    <t>DESKTOP-KS0JGE0</t>
  </si>
  <si>
    <t>LAB</t>
  </si>
  <si>
    <t>MTCNDH10</t>
  </si>
  <si>
    <t>MTCTLCAND</t>
  </si>
  <si>
    <t>MTCTLCHOA</t>
  </si>
  <si>
    <t>MTCKEODAY50</t>
  </si>
  <si>
    <t>MTCND10</t>
  </si>
  <si>
    <t>KLAP</t>
  </si>
  <si>
    <t>Administrator</t>
  </si>
  <si>
    <t>HỆ SỐ QLDA TVTK (79)</t>
  </si>
  <si>
    <t>Ghi chú</t>
  </si>
  <si>
    <t>GHICHU</t>
  </si>
  <si>
    <t>String</t>
  </si>
  <si>
    <t>TNDZCVV4x4</t>
  </si>
  <si>
    <t>Cáp CVV4x4</t>
  </si>
  <si>
    <t>Cáp CXV25</t>
  </si>
  <si>
    <t>CO.01103-3</t>
  </si>
  <si>
    <t>CO.01203-3</t>
  </si>
  <si>
    <t>CO.01103-2</t>
  </si>
  <si>
    <t>CO.01203-2</t>
  </si>
  <si>
    <t>TNDZXLPE25</t>
  </si>
  <si>
    <t>Quyết định số 1903/QĐ-UBND ngày 20/06/2016 của QBND tỉnh Đồng Nai về việc công bố bộ đơn giá xây dựng công trình - Phần khảo sát trên địa bản tỉnh Đồng Nai</t>
  </si>
  <si>
    <t>Tháo (lắp) bóng cao áo (cơ giới) H ≤ 10m</t>
  </si>
  <si>
    <t>Tháo (lắp) choá đèn (lốp đèn) đèn pha, chao đèn cao áp, H ≤ 12m</t>
  </si>
  <si>
    <t>bóng</t>
  </si>
  <si>
    <t>CS.5.01.21</t>
  </si>
  <si>
    <t>Tháo (lắp) cần đèn cao áp (chụp liền cần)</t>
  </si>
  <si>
    <t>CS.5.05.13</t>
  </si>
  <si>
    <t>chóa</t>
  </si>
  <si>
    <t>CS.5.02.11</t>
  </si>
  <si>
    <t>CS.5.07.2a</t>
  </si>
  <si>
    <t>Tháo hạ (căng) cáp treo trên không (các loại)</t>
  </si>
  <si>
    <t>Tháo (lắp) tủ điện</t>
  </si>
  <si>
    <t>CS.5.08.1</t>
  </si>
  <si>
    <t>CS.5.10.11</t>
  </si>
  <si>
    <t>Nhổ (dựng) cột BTLT</t>
  </si>
  <si>
    <t>CS.5.10.12</t>
  </si>
  <si>
    <t>Nhổ (dựng) cột sắt</t>
  </si>
  <si>
    <t>CS.5.01.2a1</t>
  </si>
  <si>
    <t>03.09.301</t>
  </si>
  <si>
    <t>11.08.101</t>
  </si>
  <si>
    <t>Tháo (lắp) công tơ 1 pha (đã có phụ kiện)</t>
  </si>
  <si>
    <t>Tháo (lắp) hộp công tơ 2 pha (đã có phụ kiện)</t>
  </si>
  <si>
    <t>Tháo (lắp) hộp công tơ 4 pha (đã có phụ kiện)</t>
  </si>
  <si>
    <t>Tháo (lắp) hộp công tơ 6 pha (đã có phụ kiện)</t>
  </si>
  <si>
    <t>11.09.202</t>
  </si>
  <si>
    <t>11.09.203</t>
  </si>
  <si>
    <t>DZTLDK2P</t>
  </si>
  <si>
    <t>DZTLDK4P</t>
  </si>
  <si>
    <t>DZTLDK6P</t>
  </si>
  <si>
    <t>Cáp Duplex Cu 2x16</t>
  </si>
  <si>
    <t>Cáp Duplex Al 2x16</t>
  </si>
  <si>
    <t>DUPLEX Al216</t>
  </si>
  <si>
    <t>GIP6-35</t>
  </si>
  <si>
    <t>Ghíp nối IPC 6-35 2BL</t>
  </si>
  <si>
    <t>THIẾT KẾ BẢN VẼ THI CÔNG - DỰ TOÁN</t>
  </si>
  <si>
    <t>Quyết định số 594/QĐ-BXD ngày 30/05/2014 của Bộ xây dựng về việc công bố định mức dự toán duy trì hệ thống chiếu sáng đô thị. Tham khảo bộ đơn giá 1904/QĐ-UBND ngày 20/06/2016 của UBND tỉnh Đồng Nai về việc công bố các bộ đơn giá dự toán - Phần duy trì hệ thống chiếu sáng đô thị.</t>
  </si>
  <si>
    <t>QĐ 4457/QĐ-BCT</t>
  </si>
  <si>
    <t xml:space="preserve">  30/11/2017</t>
  </si>
  <si>
    <t>CV 1767/BCT-TTTN</t>
  </si>
  <si>
    <t xml:space="preserve"> 08/03/2018</t>
  </si>
  <si>
    <t>Quyết định số 1134/QĐ-BXD ngày 08/10/2015 của Bộ xây dựng về việc Về việc Công bố định mức các hao phí xác định giá ca máy và thiết bị thi công xây dựng. Giá năng lượng tính toán theo công văn số 1767/BCT-TTTN ngày 08/03/2018 về việc Điều hành kinh doanh xăng dầu và Quyết định số 4495/QĐ-BCT ngày 30/11/2017 về việc Quy định giá bán điện</t>
  </si>
  <si>
    <t>Chi phí bảo hiểm công trình áp dụng theo Thông tư số 329/2016/TT-BTC ngày 26/12/2016 của Bộ Tài Chính về việc hướng dẫn một số điều của Nghị định 119/2015/NĐ-CP quy định bảo hiểm bắt buộc trong hoạt động đầu tư xây dựng</t>
  </si>
  <si>
    <r>
      <t>2% x (Gxd</t>
    </r>
    <r>
      <rPr>
        <vertAlign val="subscript"/>
        <sz val="12"/>
        <rFont val="Times New Roman"/>
        <family val="1"/>
      </rPr>
      <t xml:space="preserve">tba + </t>
    </r>
    <r>
      <rPr>
        <sz val="12"/>
        <rFont val="Times New Roman"/>
        <family val="1"/>
      </rPr>
      <t>Gtb</t>
    </r>
    <r>
      <rPr>
        <vertAlign val="subscript"/>
        <sz val="12"/>
        <rFont val="Times New Roman"/>
        <family val="1"/>
      </rPr>
      <t>tba</t>
    </r>
    <r>
      <rPr>
        <sz val="12"/>
        <rFont val="Times New Roman"/>
        <family val="1"/>
      </rPr>
      <t>)</t>
    </r>
  </si>
  <si>
    <r>
      <t>2% x  (Gtb</t>
    </r>
    <r>
      <rPr>
        <vertAlign val="subscript"/>
        <sz val="12"/>
        <rFont val="Times New Roman"/>
        <family val="1"/>
      </rPr>
      <t>dd</t>
    </r>
    <r>
      <rPr>
        <sz val="12"/>
        <rFont val="Times New Roman"/>
        <family val="1"/>
      </rPr>
      <t xml:space="preserve"> + Gtb</t>
    </r>
    <r>
      <rPr>
        <vertAlign val="subscript"/>
        <sz val="12"/>
        <rFont val="Times New Roman"/>
        <family val="1"/>
      </rPr>
      <t>dd</t>
    </r>
    <r>
      <rPr>
        <sz val="12"/>
        <rFont val="Times New Roman"/>
        <family val="1"/>
      </rPr>
      <t>)</t>
    </r>
  </si>
  <si>
    <t>Công trình Điện lực là 0,2</t>
  </si>
  <si>
    <t>Đà U160x64x5x1810 (14,2kg/m)</t>
  </si>
  <si>
    <t>Đà U160x64x5x2370 (14,2kg/m)</t>
  </si>
  <si>
    <t>ĐƠN GIÁ TIỀN LƯƠNG (TT 05/2016/BCT)</t>
  </si>
  <si>
    <t>TBATLTU3</t>
  </si>
  <si>
    <t>Tháo (lắp) tủ điện hạ thế 3 pha</t>
  </si>
  <si>
    <t>13.01.002</t>
  </si>
  <si>
    <t>M6600-LAB</t>
  </si>
  <si>
    <t>khoas</t>
  </si>
  <si>
    <t>Chuỗi sứ treo polyme lắp vào xà</t>
  </si>
  <si>
    <t>Chuỗi sứ treo polyme lắp vào trụ</t>
  </si>
  <si>
    <t>LABWORK</t>
  </si>
  <si>
    <t>Trụ đèn chiếu sáng côn tròn STK cao 6m, dày 3mm, D60/150mm. Đế 375x375x10mm</t>
  </si>
  <si>
    <t>Trụ đèn chiếu sáng côn tròn STK cao 7m, dày 3mm, D60/150mm. Đế 375x375x10mm</t>
  </si>
  <si>
    <t>Trụ đèn chiếu sáng côn tròn STK cao 8m, dày 3mm, D60/191mm. Đế 375x375x10mm</t>
  </si>
  <si>
    <t>TRTHEP8</t>
  </si>
  <si>
    <t>TRTHEP9</t>
  </si>
  <si>
    <t>TRTHEP10</t>
  </si>
  <si>
    <t>TRTHEP11</t>
  </si>
  <si>
    <t>Tủ điều khiển chiếu sáng đứng 01 ngăn, dày 2mm kích thước 650x450x350mm-sơn tĩnh điện (các thiết bị chính gồm: 01 MCCB 3P-75A, 01 Logo siemens, 02 công tắc tơ 50A, đèn báo pha, công tắc gạt, nút nhấn,...)</t>
  </si>
  <si>
    <t>CS.2.08.21</t>
  </si>
  <si>
    <t>Lắp đặt tủ điều khiển độ cao &lt;2m</t>
  </si>
  <si>
    <t>LTUDKCS</t>
  </si>
  <si>
    <t>Lắp cầu chì đuôi cá 2A</t>
  </si>
  <si>
    <t>LCAUCHICS</t>
  </si>
  <si>
    <t>LCAPDENCS</t>
  </si>
  <si>
    <t>CS.1.04.11</t>
  </si>
  <si>
    <t>Lắp chóa đèn chiếu sáng độ cao &lt;=12m</t>
  </si>
  <si>
    <t>LỌAI MÁY</t>
  </si>
  <si>
    <t>XN12</t>
  </si>
  <si>
    <t>QĐ số 594 ngày 28/5/2014</t>
  </si>
  <si>
    <t>Xe nâng cao đến 12m</t>
  </si>
  <si>
    <t>HS ĐC NC</t>
  </si>
  <si>
    <t>ĐƠN GIÁ ĐƯỜNG DÂY</t>
  </si>
  <si>
    <t>ĐƠN GIÁ TRẠM BIẾN ÁP</t>
  </si>
  <si>
    <t>ĐƠN GIÁ THỬ NGHIỆM</t>
  </si>
  <si>
    <t>BẢNG KÊ ĐƠN GÍA NHÂN CÔNG</t>
  </si>
  <si>
    <t>Cần đèn đơn STK cao 2m, vươn xa 1.5m, dày 2mm, D60mm + ống nối D49mm</t>
  </si>
  <si>
    <t>Cần đèn đôi STK cao 2m, vươn xa 1.5m, dày 2mm, D60mm + ống nối D49mm</t>
  </si>
  <si>
    <t>Cần đèn ba STK cao 2m, vươn xa 1.5m, dày 2mm, D60mm + ống nối D49mm (1 nhánh để rời bắt bass)</t>
  </si>
  <si>
    <t>Cần đèn bốn STK cao 2m, vươn xa 1.5m, dày 2mm, D60mm + ống nối D49mm (2 nhánh để rời bắt bass)</t>
  </si>
  <si>
    <t>Trụ đèn chiếu sáng côn tròn STK cao 9m, dày 4mm, D60/150mm. Đế 375x375x10mm</t>
  </si>
  <si>
    <t>Trụ đèn chiếu sáng côn tròn STK cao 10m, dày 4mm, D60/191mm. Đế 375x375x10mm</t>
  </si>
  <si>
    <t>Trụ đèn chiếu sáng côn tròn STK cao 11m, dày 4mm, D60/150mm. Đế 375x375x10mm</t>
  </si>
  <si>
    <t>Cần đèn đơn STK cao 2m, vươn xa 1.8m, dày 2mm, D60mm + ống nối D49mm</t>
  </si>
  <si>
    <t>Cần đèn đôi STK cao 2m, vươn xa 1.8m, dày 2mm, D60mm + ống nối D49mm</t>
  </si>
  <si>
    <t>BLED150CS</t>
  </si>
  <si>
    <t>BLED200CS</t>
  </si>
  <si>
    <t>BLED180CS</t>
  </si>
  <si>
    <t>Bộ đèn LED 150W (150x1), ánh sáng trắng, IP66, D49</t>
  </si>
  <si>
    <t>Bộ đèn LED 180W (180x1), ánh sáng trắng, IP66, D49</t>
  </si>
  <si>
    <t>Bộ đèn LED 200W (200x1), ánh sáng trắng, IP66, D49</t>
  </si>
  <si>
    <t>LTRUDEN8CS</t>
  </si>
  <si>
    <t>Lắp trụ thép ≤ 8m bằng cơ giới</t>
  </si>
  <si>
    <t>Lắp trụ thép ≤ 10m bằng cơ giới</t>
  </si>
  <si>
    <t>LTRUDEN10CS</t>
  </si>
  <si>
    <t>Lắp trụ thép ≤ 12m bằng cơ giới</t>
  </si>
  <si>
    <t>LTRUDEN12CS</t>
  </si>
  <si>
    <t>CS.1.01.22</t>
  </si>
  <si>
    <t>CS.1.01.23</t>
  </si>
  <si>
    <t>Lắp trụ BTLT &gt; 10m bằng cơ giới</t>
  </si>
  <si>
    <t>LBTLT10CS</t>
  </si>
  <si>
    <t>LBTLTL10CS</t>
  </si>
  <si>
    <t>CS.1.01.24</t>
  </si>
  <si>
    <t>CS.1.01.25</t>
  </si>
  <si>
    <t>Lắp đặt cần đèn D60, L&lt;=3,2m</t>
  </si>
  <si>
    <t>Lắp đặt cần đèn D60, L&lt;=2,8m</t>
  </si>
  <si>
    <t>Lắp đặt cần đèn D60, L&lt;=3,6m</t>
  </si>
  <si>
    <t>Domino đấu nối trong trụ đèn</t>
  </si>
  <si>
    <t>DOMINOCS</t>
  </si>
  <si>
    <t>LCHOA12CS</t>
  </si>
  <si>
    <t>LCHOAL12CS</t>
  </si>
  <si>
    <t>Lắp chóa đèn chiếu sáng độ cao &gt;12m</t>
  </si>
  <si>
    <t>Lắp bảng điện của cột</t>
  </si>
  <si>
    <t>Lắp cửa cột</t>
  </si>
  <si>
    <t>LCUACS</t>
  </si>
  <si>
    <t>LBANGCS</t>
  </si>
  <si>
    <t>CS.2.06.1</t>
  </si>
  <si>
    <t>CS.2.06.2</t>
  </si>
  <si>
    <t>CS.2.07.20</t>
  </si>
  <si>
    <t>Luồn dây từ cáp ngầm lên đèn</t>
  </si>
  <si>
    <t>LUONDAYNGAMCS</t>
  </si>
  <si>
    <t>LUONDAYTREOCS</t>
  </si>
  <si>
    <t>Luồn dây từ cáp treo lên đèn</t>
  </si>
  <si>
    <t>CS.2.07.10</t>
  </si>
  <si>
    <t>CANDON1.5CS</t>
  </si>
  <si>
    <t>CANDOI1.5CS</t>
  </si>
  <si>
    <t>CANBA1.5CS</t>
  </si>
  <si>
    <t>CANBON1.5CS</t>
  </si>
  <si>
    <t>CANDON1.8CS</t>
  </si>
  <si>
    <t>CANDOI1.8CS</t>
  </si>
  <si>
    <t>Trụ đèn</t>
  </si>
  <si>
    <t>Cần đèn, chụp đầu cột</t>
  </si>
  <si>
    <t>Bộ đèn chiếu sáng</t>
  </si>
  <si>
    <t>Cáp lên đèn</t>
  </si>
  <si>
    <t>Cáp cấp nguồn</t>
  </si>
  <si>
    <t>Hệ thống tiếp địa</t>
  </si>
  <si>
    <t>CHI2CS</t>
  </si>
  <si>
    <t>Cầu chì đuôi cá 2A</t>
  </si>
  <si>
    <t>Móng trụ</t>
  </si>
  <si>
    <t>BẢNG 4: CHI TIẾT KHỐI LƯỢNG CHIẾU SÁNG</t>
  </si>
  <si>
    <t>CÁCH TÍNH CS</t>
  </si>
  <si>
    <t>Móng M8-BT</t>
  </si>
  <si>
    <t>k120</t>
  </si>
  <si>
    <t>k150</t>
  </si>
  <si>
    <t>GIP50-25</t>
  </si>
  <si>
    <t>GIP95-25</t>
  </si>
  <si>
    <t>GIP150-150</t>
  </si>
  <si>
    <t>GIP150-25</t>
  </si>
  <si>
    <t>Ghíp nối IPC 95-25 2BL</t>
  </si>
  <si>
    <t>Ghíp nối IPC 150-25</t>
  </si>
  <si>
    <t>Ghíp nối IPC 150-150</t>
  </si>
  <si>
    <t>Ghíp nối IPC 50-25 2BL</t>
  </si>
  <si>
    <t>cd114</t>
  </si>
  <si>
    <t>cos50</t>
  </si>
  <si>
    <t>cos95</t>
  </si>
  <si>
    <t>cos120</t>
  </si>
  <si>
    <t>cos150</t>
  </si>
  <si>
    <t>cos240</t>
  </si>
  <si>
    <t>pvc90</t>
  </si>
  <si>
    <t>pvc114</t>
  </si>
  <si>
    <t>cut114</t>
  </si>
  <si>
    <t>cut114t</t>
  </si>
  <si>
    <t>cut90135</t>
  </si>
  <si>
    <t>cut114135</t>
  </si>
  <si>
    <t>B16200v</t>
  </si>
  <si>
    <t>BMoc16200</t>
  </si>
  <si>
    <t>B16350v</t>
  </si>
  <si>
    <t>B16750v</t>
  </si>
  <si>
    <t>BẢNG 13: PHÂN PHỐI VẬT TƯ, THIẾT BỊ CHIẾU SÁNG</t>
  </si>
  <si>
    <t>gniu150</t>
  </si>
  <si>
    <t>GNIU150</t>
  </si>
  <si>
    <t>Giáp níu dừng dây bọc 150</t>
  </si>
  <si>
    <t>Dây buộc cổ sứ phi kim cỡ 150mm2</t>
  </si>
  <si>
    <t>DAYPOL150</t>
  </si>
  <si>
    <t>DAYPOL50</t>
  </si>
  <si>
    <t>Dây buộc cổ sứ phi kim cỡ 50mm2</t>
  </si>
  <si>
    <t>Móng M8-2BT</t>
  </si>
  <si>
    <t>Móng chiếu sáng trụ thép 9m</t>
  </si>
  <si>
    <t>Trụ đèn côn tròn STK cao 6m</t>
  </si>
  <si>
    <t>Cần đèn STK cao 2m, vươn 1,5m</t>
  </si>
  <si>
    <t>Bộ đèn LED</t>
  </si>
  <si>
    <t>Cáp nguồn ABC 3x25</t>
  </si>
  <si>
    <t>Tiếp địa lặp lại</t>
  </si>
  <si>
    <t>Ghip IPC 25 2BL</t>
  </si>
  <si>
    <t>Tháo (lắp) choá đèn (lốp đèn) H ≤ 12m</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</si>
  <si>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</si>
  <si>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</si>
  <si>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</si>
  <si>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</si>
  <si>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</si>
  <si>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</si>
  <si>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</si>
  <si>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</si>
  <si>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</si>
  <si>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</si>
  <si>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</si>
  <si>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</si>
  <si>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</si>
  <si>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</si>
  <si>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</si>
  <si>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</si>
  <si>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</si>
  <si>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</si>
  <si>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</si>
  <si>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</si>
  <si>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</si>
  <si>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</si>
  <si>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</si>
  <si>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</si>
  <si>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</si>
  <si>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5%T</t>
  </si>
  <si>
    <r>
      <t>5.5%Z</t>
    </r>
    <r>
      <rPr>
        <b/>
        <vertAlign val="subscript"/>
        <sz val="12"/>
        <rFont val="Times New Roman"/>
        <family val="1"/>
      </rPr>
      <t>0</t>
    </r>
  </si>
  <si>
    <t>PHẦN CHIẾU SÁNG</t>
  </si>
  <si>
    <t>HL.01</t>
  </si>
  <si>
    <t>HL.02</t>
  </si>
  <si>
    <t>HL.03</t>
  </si>
  <si>
    <t>HL.04</t>
  </si>
  <si>
    <t>HL.05</t>
  </si>
  <si>
    <t>HL.06</t>
  </si>
  <si>
    <t>HL.07</t>
  </si>
  <si>
    <t>HL.08</t>
  </si>
  <si>
    <t>HL.09</t>
  </si>
  <si>
    <t>HL.10</t>
  </si>
  <si>
    <t>HL.11</t>
  </si>
  <si>
    <t>HL.12</t>
  </si>
  <si>
    <t>HL.13</t>
  </si>
  <si>
    <t>HL.14</t>
  </si>
  <si>
    <t>HL.15</t>
  </si>
  <si>
    <t>HL.16</t>
  </si>
  <si>
    <t>HL.17</t>
  </si>
  <si>
    <t>HL.18</t>
  </si>
  <si>
    <t>HL.19</t>
  </si>
  <si>
    <t>Thay sứ đứng đường dây 1 pha</t>
  </si>
  <si>
    <t>Thay sứ đứng đường dây 3 pha đối xứng</t>
  </si>
  <si>
    <t>Thay bộ 3 sứ đứng trên 3 xà lệch mắc song song</t>
  </si>
  <si>
    <t xml:space="preserve">Thay sứ treo đường dây 1 pha </t>
  </si>
  <si>
    <t xml:space="preserve">Thay sứ treo đường dây 3 pha </t>
  </si>
  <si>
    <t>Thay cò lèo đấu nối đường dây 1 pha</t>
  </si>
  <si>
    <t>Thay cò lèo đường dây 3 pha, đấu nối đường dây 3 pha</t>
  </si>
  <si>
    <t>Thay FCO, LB FCO, LA đường dây 1 pha</t>
  </si>
  <si>
    <t>Thay FCO, LB FCO, LA đường dây 3 pha</t>
  </si>
  <si>
    <t>Thay DS, LBS, OS, Reclose đường dây 3 pha</t>
  </si>
  <si>
    <t>Thay đà đối xứng trên trụ đường dây 3 pha</t>
  </si>
  <si>
    <t>Thay đà lệch trên trụ đường dây 3 pha</t>
  </si>
  <si>
    <t>Thay đà đôi trên trụ đường dây 3 pha</t>
  </si>
  <si>
    <t xml:space="preserve">Thay đà vertical trên trụ đường dây 3 pha </t>
  </si>
  <si>
    <t>Thay trụ đỡ đường dây 1 pha</t>
  </si>
  <si>
    <t>Thay trụ đỡ đường dây 3 pha</t>
  </si>
  <si>
    <t>Thay trụ cuối đường dây 1 pha</t>
  </si>
  <si>
    <t>Thay trụ cuối đường dây 3 pha</t>
  </si>
  <si>
    <t>Khai quang mé nhánh trên đường dây 3 pha</t>
  </si>
  <si>
    <t>Do giá trị công trình có tổng mức đầu tư dưới 15 tỷ nên công trình chỉ lập BCKTKT</t>
  </si>
  <si>
    <t>CHI PHÍ BÙ TRỪ TRƯỢC GIÁ NHIÊN LIỆU</t>
  </si>
  <si>
    <t>CHI PHÍ HUY ĐỘNG PHƯƠNG TIỆN</t>
  </si>
  <si>
    <t>Chi phí bù trừ cho xe gàu</t>
  </si>
  <si>
    <t>PHƯƠNG TIỆN</t>
  </si>
  <si>
    <t>XE GÀU</t>
  </si>
  <si>
    <t>ĐỊNH MỨC PT</t>
  </si>
  <si>
    <t>XE CẨU</t>
  </si>
  <si>
    <t>Chi phí bù trừ cho xe cẩu (khoan)</t>
  </si>
  <si>
    <t>Chi phí huy động cho xe gàu</t>
  </si>
  <si>
    <t>Chi phí huy động cho xe cẩu (khoan)</t>
  </si>
  <si>
    <t>PHẦN CHI PHI PHƯƠNG TIỆN HOTLINE</t>
  </si>
  <si>
    <t>Mua tại chỗ</t>
  </si>
  <si>
    <t>TIEPDIATBA3P</t>
  </si>
  <si>
    <t>Bộ tiếp địa TBA 1P - 3P</t>
  </si>
  <si>
    <t>Duplex 216</t>
  </si>
  <si>
    <t>gniu50</t>
  </si>
  <si>
    <t>Thang 2/2018</t>
  </si>
  <si>
    <t>DESKTOP-J8OQ41D</t>
  </si>
  <si>
    <t>LAB'S CINEMA</t>
  </si>
  <si>
    <t>CO.01103-1</t>
  </si>
  <si>
    <t>CO.01203-1</t>
  </si>
  <si>
    <t>NGUYỄN CHÍ TÂM</t>
  </si>
  <si>
    <t>NGUYỄN TRƯỜNG CHINH</t>
  </si>
  <si>
    <t>DĐINH NGỌC PHÚC</t>
  </si>
  <si>
    <t>NGUYỄN MINH ĐỨC</t>
  </si>
  <si>
    <t>BẢNG 13: KHỐI LƯỢNG VẬT TƯ CHÍNH</t>
  </si>
  <si>
    <t>HTTHT</t>
  </si>
  <si>
    <t>Hình thức trụ trung thế</t>
  </si>
  <si>
    <t>Hình thức trụ hạ thế</t>
  </si>
  <si>
    <t>1. Đường dây trung hạ thế hỗn hợp</t>
  </si>
  <si>
    <t>DAYPOL50G</t>
  </si>
  <si>
    <t>Dây buộc cổ sứ phi kim cỡ 50mm2 cho trụ góc</t>
  </si>
  <si>
    <t>Dây buộc cổ sứ phi kim cỡ 50mm2 (đỡ thẳng)</t>
  </si>
  <si>
    <t>Dây buộc cổ sứ phi kim cỡ 50mm2 (đỡ góc)</t>
  </si>
  <si>
    <t>NUMKH</t>
  </si>
  <si>
    <t>Số KH</t>
  </si>
  <si>
    <t>Integer</t>
  </si>
  <si>
    <t>Cáp thép 5/8" (15m/bộ)</t>
  </si>
  <si>
    <t xml:space="preserve"> + Di dời đường dây trung, hạ thế</t>
  </si>
  <si>
    <t xml:space="preserve"> + Di dời trạm biến áp</t>
  </si>
  <si>
    <t>CM-DQL-KHOA</t>
  </si>
  <si>
    <t>Cáp duplex Cu2x16</t>
  </si>
  <si>
    <t>Đầu tuyến</t>
  </si>
  <si>
    <t>Khoảng cách trước di dời</t>
  </si>
  <si>
    <t>Khoảng cách sau di dời</t>
  </si>
  <si>
    <t>KCs</t>
  </si>
  <si>
    <t>TRƯƠNG HỒNG CHINH</t>
  </si>
  <si>
    <t>NGUYỄN ĐỨC SƠN</t>
  </si>
  <si>
    <t>Cáp 24KV ACX 50mm2</t>
  </si>
  <si>
    <t>thGIP120-25</t>
  </si>
  <si>
    <t>Thu hồi Ghíp nối IPC 120-25 2BL</t>
  </si>
  <si>
    <t>Thu hồi Kẹp ngừng cáp ABC4x120mm2</t>
  </si>
  <si>
    <t>thCX-ht</t>
  </si>
  <si>
    <t>thKNGUNG120</t>
  </si>
  <si>
    <t>Thu hồi Bộ chằng xuống đơn cho trụ hạ thế: CX.ht</t>
  </si>
  <si>
    <t>thCX12</t>
  </si>
  <si>
    <t>Thu hồi Bộ chằng xuống đơn cho trụ 12m: CX12</t>
  </si>
  <si>
    <t>thgniu50</t>
  </si>
  <si>
    <t>Thu hồi Giáp níu dừng dây bọc 50</t>
  </si>
  <si>
    <t>1A</t>
  </si>
  <si>
    <t>2</t>
  </si>
  <si>
    <t>2A</t>
  </si>
  <si>
    <t>3</t>
  </si>
  <si>
    <t>3A</t>
  </si>
  <si>
    <t>4</t>
  </si>
  <si>
    <t>4A</t>
  </si>
  <si>
    <t>5</t>
  </si>
  <si>
    <t>5A</t>
  </si>
  <si>
    <t>6</t>
  </si>
  <si>
    <t>6A</t>
  </si>
  <si>
    <t>7</t>
  </si>
  <si>
    <t>7A</t>
  </si>
  <si>
    <t>8</t>
  </si>
  <si>
    <t>8A</t>
  </si>
  <si>
    <t>9</t>
  </si>
  <si>
    <t>9A</t>
  </si>
  <si>
    <t>10A</t>
  </si>
  <si>
    <t>11A</t>
  </si>
  <si>
    <t>12A</t>
  </si>
  <si>
    <t>13A</t>
  </si>
  <si>
    <t>14A</t>
  </si>
  <si>
    <t>15A</t>
  </si>
  <si>
    <t>16A</t>
  </si>
  <si>
    <t>17A</t>
  </si>
  <si>
    <t>18A</t>
  </si>
  <si>
    <t>19A</t>
  </si>
  <si>
    <t>20A</t>
  </si>
  <si>
    <t>21A</t>
  </si>
  <si>
    <t>22A</t>
  </si>
  <si>
    <t>23A</t>
  </si>
  <si>
    <t>24A</t>
  </si>
  <si>
    <t>25A</t>
  </si>
  <si>
    <t>26</t>
  </si>
  <si>
    <t>26A</t>
  </si>
  <si>
    <t>27</t>
  </si>
  <si>
    <t>27A</t>
  </si>
  <si>
    <t>28</t>
  </si>
  <si>
    <t>Dây buộc đầu sứ phi kim cỡ 150mm2</t>
  </si>
  <si>
    <t>2a</t>
  </si>
  <si>
    <t>3a</t>
  </si>
  <si>
    <t>4a</t>
  </si>
  <si>
    <t>4b</t>
  </si>
  <si>
    <t>6a</t>
  </si>
  <si>
    <t>7a</t>
  </si>
  <si>
    <t>7b</t>
  </si>
  <si>
    <t>8a</t>
  </si>
  <si>
    <t>9a</t>
  </si>
  <si>
    <t>9b</t>
  </si>
  <si>
    <t>10a</t>
  </si>
  <si>
    <t>10b</t>
  </si>
  <si>
    <t>11a</t>
  </si>
  <si>
    <t>11b</t>
  </si>
  <si>
    <t>12a</t>
  </si>
  <si>
    <t>12b</t>
  </si>
  <si>
    <t>28A</t>
  </si>
  <si>
    <t>29</t>
  </si>
  <si>
    <t>29A</t>
  </si>
  <si>
    <t>30</t>
  </si>
  <si>
    <t>30A</t>
  </si>
  <si>
    <t>31</t>
  </si>
  <si>
    <t>31A</t>
  </si>
  <si>
    <t>32</t>
  </si>
  <si>
    <t>32A</t>
  </si>
  <si>
    <t>33</t>
  </si>
  <si>
    <t>33A</t>
  </si>
  <si>
    <t>34</t>
  </si>
  <si>
    <t>34A</t>
  </si>
  <si>
    <t>35</t>
  </si>
  <si>
    <t>35A</t>
  </si>
  <si>
    <t>36</t>
  </si>
  <si>
    <t>36A</t>
  </si>
  <si>
    <t>37</t>
  </si>
  <si>
    <t>37A</t>
  </si>
  <si>
    <t>38</t>
  </si>
  <si>
    <t>38A</t>
  </si>
  <si>
    <t>39</t>
  </si>
  <si>
    <t>39A</t>
  </si>
  <si>
    <t>40</t>
  </si>
  <si>
    <t>40A</t>
  </si>
  <si>
    <t>41</t>
  </si>
  <si>
    <t>41A</t>
  </si>
  <si>
    <t>42</t>
  </si>
  <si>
    <t>42A</t>
  </si>
  <si>
    <t>43</t>
  </si>
  <si>
    <t>43A</t>
  </si>
  <si>
    <t>44</t>
  </si>
  <si>
    <t>44A</t>
  </si>
  <si>
    <t>45</t>
  </si>
  <si>
    <t>45A</t>
  </si>
  <si>
    <t>46</t>
  </si>
  <si>
    <t>46A</t>
  </si>
  <si>
    <t>47</t>
  </si>
  <si>
    <t>47A</t>
  </si>
  <si>
    <t>48</t>
  </si>
  <si>
    <t>48A</t>
  </si>
  <si>
    <t>49</t>
  </si>
  <si>
    <t>49A</t>
  </si>
  <si>
    <t>50</t>
  </si>
  <si>
    <t>50A</t>
  </si>
  <si>
    <t>51</t>
  </si>
  <si>
    <t>51A</t>
  </si>
  <si>
    <t>52</t>
  </si>
  <si>
    <t>52A</t>
  </si>
  <si>
    <t>53</t>
  </si>
  <si>
    <t>53A</t>
  </si>
  <si>
    <t>54</t>
  </si>
  <si>
    <t>54A</t>
  </si>
  <si>
    <t>54A/01A</t>
  </si>
  <si>
    <t>54A/01B</t>
  </si>
  <si>
    <t>54/01</t>
  </si>
  <si>
    <t>31B</t>
  </si>
  <si>
    <t>46a</t>
  </si>
  <si>
    <t xml:space="preserve">ĐƯỜNG XUÂN BẮC  - BẢO QUANG. </t>
  </si>
  <si>
    <t>DI DỜI HỆ THỐNG TRỤ ĐIỆN.</t>
  </si>
  <si>
    <t>BAN QLDA HUYỆN XUÂN LỘC</t>
  </si>
  <si>
    <t>6,5% x B</t>
  </si>
  <si>
    <t>Trụ BTLT 12m F540 dự ứng lực (cung cấp mới)</t>
  </si>
  <si>
    <t>Trụ BTLT 8,4m F200 dự ứng lực (cung cấp mới)</t>
  </si>
  <si>
    <t>Bộ sứ đứng đỡ thẳng (cung cấp mới)</t>
  </si>
  <si>
    <t>Cung cấp và xây dựng mới đường dây hạ thế 50m bằng cáp ABCx95mm2 vặn xoắn</t>
  </si>
  <si>
    <t>TỔNG HỢP CHI PHÍ XÂY DỰNG, THIẾT BỊ</t>
  </si>
  <si>
    <r>
      <t>Gxd</t>
    </r>
    <r>
      <rPr>
        <i/>
        <vertAlign val="subscript"/>
        <sz val="12"/>
        <rFont val="Times New Roman"/>
        <family val="1"/>
      </rPr>
      <t>dd</t>
    </r>
    <r>
      <rPr>
        <i/>
        <sz val="12"/>
        <rFont val="Times New Roman"/>
        <family val="1"/>
      </rPr>
      <t>=bảng chiết tính</t>
    </r>
  </si>
  <si>
    <t>Chi phí, tháo lắp phần trạm</t>
  </si>
  <si>
    <r>
      <t>Gxd</t>
    </r>
    <r>
      <rPr>
        <i/>
        <vertAlign val="subscript"/>
        <sz val="12"/>
        <rFont val="Times New Roman"/>
        <family val="1"/>
      </rPr>
      <t>tba</t>
    </r>
    <r>
      <rPr>
        <i/>
        <sz val="12"/>
        <rFont val="Times New Roman"/>
        <family val="1"/>
      </rPr>
      <t>=bảng chiết tính</t>
    </r>
  </si>
  <si>
    <t>- Chi phí lập bản vẽ thi công và lập dự toán</t>
  </si>
  <si>
    <t>Gxl*6,7%</t>
  </si>
  <si>
    <t>CHI PHÍ XÂY DỰNG</t>
  </si>
  <si>
    <t>CÁCH TÍNH DD</t>
  </si>
  <si>
    <t>THÀNH TIỀN DD</t>
  </si>
  <si>
    <t>THÀNH TIỀN TBA</t>
  </si>
  <si>
    <t>VL + NC + M</t>
  </si>
  <si>
    <r>
      <t>a</t>
    </r>
    <r>
      <rPr>
        <b/>
        <vertAlign val="subscript"/>
        <sz val="12"/>
        <rFont val="Times New Roman"/>
        <family val="1"/>
      </rPr>
      <t>1</t>
    </r>
  </si>
  <si>
    <r>
      <t>b</t>
    </r>
    <r>
      <rPr>
        <b/>
        <vertAlign val="subscript"/>
        <sz val="12"/>
        <rFont val="Times New Roman"/>
        <family val="1"/>
      </rPr>
      <t>1</t>
    </r>
    <r>
      <rPr>
        <b/>
        <sz val="12"/>
        <rFont val="Times New Roman"/>
        <family val="1"/>
      </rPr>
      <t xml:space="preserve"> + b</t>
    </r>
    <r>
      <rPr>
        <b/>
        <vertAlign val="subscript"/>
        <sz val="12"/>
        <rFont val="Times New Roman"/>
        <family val="1"/>
      </rPr>
      <t>2</t>
    </r>
  </si>
  <si>
    <r>
      <t>c</t>
    </r>
    <r>
      <rPr>
        <b/>
        <vertAlign val="subscript"/>
        <sz val="12"/>
        <rFont val="Times New Roman"/>
        <family val="1"/>
      </rPr>
      <t>1</t>
    </r>
    <r>
      <rPr>
        <b/>
        <sz val="12"/>
        <rFont val="Times New Roman"/>
        <family val="1"/>
      </rPr>
      <t>+c</t>
    </r>
    <r>
      <rPr>
        <b/>
        <vertAlign val="subscript"/>
        <sz val="12"/>
        <rFont val="Times New Roman"/>
        <family val="1"/>
      </rPr>
      <t>2</t>
    </r>
  </si>
  <si>
    <t>Cộng chi phí trực tiếp</t>
  </si>
  <si>
    <t>CHI PHÍ GIÁN TIẾP</t>
  </si>
  <si>
    <t>Chi phí nhà tạm để ở và điều hành thi công</t>
  </si>
  <si>
    <t>LT</t>
  </si>
  <si>
    <t>Chi phí một số công việc không xác định khối lượng từ thiết kế</t>
  </si>
  <si>
    <t>T x 2%</t>
  </si>
  <si>
    <t>Cộng chi phí gián tiếp</t>
  </si>
  <si>
    <t>GT</t>
  </si>
  <si>
    <t>C+LT+TT</t>
  </si>
  <si>
    <t>(T+GT) x 6%</t>
  </si>
  <si>
    <t>Chi phí xây dựng trước thuế</t>
  </si>
  <si>
    <t>(T+GT+TL)</t>
  </si>
  <si>
    <t>GTGT</t>
  </si>
  <si>
    <t>G x 10%</t>
  </si>
  <si>
    <t>Chi phí xây dựng sau thuế</t>
  </si>
  <si>
    <t>Gxd</t>
  </si>
  <si>
    <t>G+GTGT</t>
  </si>
  <si>
    <t>,</t>
  </si>
  <si>
    <t>T x 2,286%</t>
  </si>
  <si>
    <t>T x 6,115%</t>
  </si>
  <si>
    <t>Tồng  Giá trị dự thầu trước Thuế</t>
  </si>
  <si>
    <t>Thuế VAT</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</si>
</sst>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_(* \(#,##0.00\);_(* &quot;-&quot;??_);_(@_)"/>
    <numFmt numFmtId="164" formatCode="_(* #,##0_);_(* \(#,##0\);_(* &quot;-&quot;??_);_(@_)"/>
    <numFmt numFmtId="165" formatCode="_(* #,##0.0_);_(* \(#,##0.0\);_(* &quot;-&quot;??_);_(@_)"/>
    <numFmt numFmtId="166" formatCode="#,##0.000"/>
    <numFmt numFmtId="167" formatCode="_(* #,##0.000_);_(* \(#,##0.000\);_(* &quot;-&quot;??_);_(@_)"/>
    <numFmt numFmtId="168" formatCode="&quot;KD&quot;###"/>
    <numFmt numFmtId="169" formatCode="#,##0.0_);[Red]\(#,##0.0\)"/>
    <numFmt numFmtId="170" formatCode="#,##0\ &quot;m&quot;"/>
    <numFmt numFmtId="171" formatCode="#,##0.0"/>
    <numFmt numFmtId="172" formatCode="#,##0\ &quot;đ&quot;"/>
    <numFmt numFmtId="173" formatCode="0.000"/>
    <numFmt numFmtId="174" formatCode="0.0"/>
    <numFmt numFmtId="175" formatCode="&quot;0&quot;#&quot;.&quot;####"/>
    <numFmt numFmtId="176" formatCode="#,##0.0_);\(#,##0.0\)"/>
    <numFmt numFmtId="177" formatCode="#,##0\ &quot;km&quot;"/>
    <numFmt numFmtId="178" formatCode="_(* #,##0.000_);_(* \(#,##0.000\);_(* &quot;-&quot;???_);_(@_)"/>
    <numFmt numFmtId="179" formatCode="0.0000"/>
    <numFmt numFmtId="180" formatCode="d/m/yyyy"/>
    <numFmt numFmtId="181" formatCode="[h]:mm:ss;@"/>
    <numFmt numFmtId="182" formatCode="#,##0.0000"/>
    <numFmt numFmtId="183" formatCode="#,##0.00000"/>
  </numFmts>
  <fonts count="69">
    <font>
      <sz val="11"/>
      <color theme="1"/>
      <name val="Calibri"/>
      <family val="2"/>
      <scheme val="minor"/>
    </font>
    <font>
      <sz val="11"/>
      <color theme="1"/>
      <name val="Calibri"/>
      <family val="2"/>
      <scheme val="minor"/>
    </font>
    <font>
      <sz val="12"/>
      <name val="Times New Roman"/>
      <family val="1"/>
      <charset val="163"/>
    </font>
    <font>
      <sz val="12"/>
      <color rgb="FF0070C0"/>
      <name val="Times New Roman"/>
      <family val="1"/>
    </font>
    <font>
      <b/>
      <sz val="12"/>
      <name val="Times New Roman"/>
      <family val="1"/>
    </font>
    <font>
      <sz val="11"/>
      <color theme="1"/>
      <name val="Calibri Light"/>
      <family val="2"/>
    </font>
    <font>
      <b/>
      <sz val="11"/>
      <name val="Times New Roman"/>
      <family val="1"/>
    </font>
    <font>
      <sz val="11"/>
      <color theme="1"/>
      <name val="Times New Roman"/>
      <family val="1"/>
    </font>
    <font>
      <sz val="11"/>
      <name val="Times New Roman"/>
      <family val="1"/>
    </font>
    <font>
      <sz val="11"/>
      <color indexed="10"/>
      <name val="Times New Roman"/>
      <family val="1"/>
    </font>
    <font>
      <b/>
      <sz val="11"/>
      <color theme="1"/>
      <name val="Times New Roman"/>
      <family val="1"/>
    </font>
    <font>
      <sz val="11"/>
      <color indexed="18"/>
      <name val="Times New Roman"/>
      <family val="1"/>
    </font>
    <font>
      <sz val="11"/>
      <color indexed="12"/>
      <name val="Times New Roman"/>
      <family val="1"/>
    </font>
    <font>
      <i/>
      <sz val="11"/>
      <name val="Times New Roman"/>
      <family val="1"/>
    </font>
    <font>
      <sz val="12"/>
      <color theme="1"/>
      <name val="Times New Roman"/>
      <family val="1"/>
    </font>
    <font>
      <b/>
      <sz val="12"/>
      <color theme="1"/>
      <name val="Times New Roman"/>
      <family val="1"/>
    </font>
    <font>
      <sz val="12"/>
      <name val="Times New Roman"/>
      <family val="1"/>
    </font>
    <font>
      <b/>
      <vertAlign val="subscript"/>
      <sz val="12"/>
      <name val="Times New Roman"/>
      <family val="1"/>
    </font>
    <font>
      <vertAlign val="subscript"/>
      <sz val="12"/>
      <name val="Times New Roman"/>
      <family val="1"/>
    </font>
    <font>
      <sz val="12"/>
      <color indexed="8"/>
      <name val="Times New Roman"/>
      <family val="1"/>
    </font>
    <font>
      <sz val="12"/>
      <color indexed="10"/>
      <name val="Times New Roman"/>
      <family val="1"/>
    </font>
    <font>
      <i/>
      <sz val="12"/>
      <name val="Times New Roman"/>
      <family val="1"/>
    </font>
    <font>
      <sz val="12"/>
      <color rgb="FFFF0000"/>
      <name val="Times New Roman"/>
      <family val="1"/>
    </font>
    <font>
      <sz val="12"/>
      <color rgb="FF000000"/>
      <name val="Times New Roman"/>
      <family val="1"/>
    </font>
    <font>
      <sz val="12"/>
      <color indexed="12"/>
      <name val="Times New Roman"/>
      <family val="1"/>
    </font>
    <font>
      <i/>
      <sz val="10"/>
      <color theme="1"/>
      <name val="Times New Roman"/>
      <family val="1"/>
    </font>
    <font>
      <i/>
      <u/>
      <sz val="10"/>
      <color theme="1"/>
      <name val="Times New Roman"/>
      <family val="1"/>
    </font>
    <font>
      <i/>
      <sz val="12"/>
      <color theme="1"/>
      <name val="Times New Roman"/>
      <family val="1"/>
    </font>
    <font>
      <b/>
      <sz val="12"/>
      <color theme="0"/>
      <name val="Times New Roman"/>
      <family val="1"/>
    </font>
    <font>
      <u/>
      <sz val="11"/>
      <color theme="10"/>
      <name val="Calibri"/>
      <family val="2"/>
      <scheme val="minor"/>
    </font>
    <font>
      <b/>
      <u/>
      <sz val="12"/>
      <color theme="10"/>
      <name val="Times New Roman"/>
      <family val="1"/>
    </font>
    <font>
      <b/>
      <sz val="11"/>
      <color theme="1"/>
      <name val="Calibri"/>
      <family val="2"/>
      <scheme val="minor"/>
    </font>
    <font>
      <b/>
      <sz val="12"/>
      <color indexed="10"/>
      <name val="Times New Roman"/>
      <family val="1"/>
    </font>
    <font>
      <sz val="12"/>
      <color theme="3" tint="0.39997558519241921"/>
      <name val="Times New Roman"/>
      <family val="1"/>
    </font>
    <font>
      <b/>
      <i/>
      <sz val="12"/>
      <name val="Times New Roman"/>
      <family val="1"/>
    </font>
    <font>
      <b/>
      <u/>
      <sz val="12"/>
      <name val="Times New Roman"/>
      <family val="1"/>
    </font>
    <font>
      <u/>
      <sz val="12"/>
      <name val="Times New Roman"/>
      <family val="1"/>
    </font>
    <font>
      <b/>
      <sz val="12"/>
      <color rgb="FFFF0000"/>
      <name val="Times New Roman"/>
      <family val="1"/>
    </font>
    <font>
      <sz val="12"/>
      <color indexed="18"/>
      <name val="Times New Roman"/>
      <family val="1"/>
    </font>
    <font>
      <i/>
      <u/>
      <sz val="12"/>
      <color theme="1"/>
      <name val="Times New Roman"/>
      <family val="1"/>
    </font>
    <font>
      <sz val="13"/>
      <color rgb="FF00B050"/>
      <name val="Times New Roman"/>
      <family val="1"/>
    </font>
    <font>
      <sz val="13"/>
      <color theme="1"/>
      <name val="Times New Roman"/>
      <family val="1"/>
    </font>
    <font>
      <sz val="13"/>
      <name val="Times New Roman"/>
      <family val="1"/>
    </font>
    <font>
      <b/>
      <sz val="12"/>
      <color theme="0"/>
      <name val="UTM Avo"/>
      <family val="1"/>
    </font>
    <font>
      <sz val="12"/>
      <color theme="0"/>
      <name val="UTM Avo"/>
      <family val="1"/>
    </font>
    <font>
      <sz val="10"/>
      <color theme="1"/>
      <name val="UTM Avo"/>
      <family val="1"/>
    </font>
    <font>
      <sz val="9"/>
      <color indexed="81"/>
      <name val="Tahoma"/>
      <family val="2"/>
    </font>
    <font>
      <b/>
      <sz val="9"/>
      <color indexed="81"/>
      <name val="Tahoma"/>
      <family val="2"/>
    </font>
    <font>
      <sz val="11.5"/>
      <name val="Times New Roman"/>
      <family val="1"/>
    </font>
    <font>
      <b/>
      <sz val="12"/>
      <color theme="1"/>
      <name val="Calibri Light"/>
      <family val="1"/>
      <scheme val="major"/>
    </font>
    <font>
      <sz val="12"/>
      <color theme="1"/>
      <name val="Calibri Light"/>
      <family val="1"/>
      <scheme val="major"/>
    </font>
    <font>
      <b/>
      <sz val="12"/>
      <color indexed="8"/>
      <name val="Times New Roman"/>
      <family val="1"/>
    </font>
    <font>
      <b/>
      <sz val="12"/>
      <color rgb="FFFF0000"/>
      <name val="UTM Avo"/>
      <family val="1"/>
    </font>
    <font>
      <sz val="12"/>
      <color theme="1"/>
      <name val="UTM Avo"/>
      <family val="1"/>
    </font>
    <font>
      <sz val="20"/>
      <color theme="1"/>
      <name val="Times New Roman"/>
      <family val="1"/>
    </font>
    <font>
      <sz val="20"/>
      <name val="Times New Roman"/>
      <family val="1"/>
    </font>
    <font>
      <b/>
      <sz val="20"/>
      <name val="Times New Roman"/>
      <family val="1"/>
    </font>
    <font>
      <b/>
      <sz val="16"/>
      <name val="Times New Roman"/>
      <family val="1"/>
    </font>
    <font>
      <i/>
      <vertAlign val="subscript"/>
      <sz val="12"/>
      <name val="Times New Roman"/>
      <family val="1"/>
    </font>
    <font>
      <b/>
      <sz val="16"/>
      <color theme="1"/>
      <name val="Times New Roman"/>
      <family val="1"/>
    </font>
    <font>
      <b/>
      <sz val="13"/>
      <name val="Times New Roman"/>
      <family val="1"/>
    </font>
    <font>
      <b/>
      <sz val="20"/>
      <color theme="1"/>
      <name val="Times New Roman"/>
      <family val="1"/>
    </font>
    <font>
      <b/>
      <sz val="15"/>
      <color theme="1"/>
      <name val="Times New Roman"/>
      <family val="1"/>
    </font>
    <font>
      <sz val="14"/>
      <color theme="1"/>
      <name val="Times New Roman"/>
      <family val="1"/>
    </font>
    <font>
      <sz val="14"/>
      <name val="Times New Roman"/>
      <family val="1"/>
    </font>
    <font>
      <b/>
      <sz val="14"/>
      <name val="Times New Roman"/>
      <family val="1"/>
    </font>
    <font>
      <sz val="14"/>
      <color rgb="FFFF0000"/>
      <name val="Times New Roman"/>
      <family val="1"/>
    </font>
    <font>
      <b/>
      <i/>
      <sz val="14"/>
      <name val="Times New Roman"/>
      <family val="1"/>
    </font>
    <font>
      <b/>
      <sz val="14"/>
      <color theme="1"/>
      <name val="Calibri"/>
      <family val="2"/>
      <scheme val="minor"/>
    </font>
  </fonts>
  <fills count="30">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indexed="42"/>
        <bgColor indexed="64"/>
      </patternFill>
    </fill>
    <fill>
      <patternFill patternType="solid">
        <fgColor indexed="9"/>
        <bgColor indexed="64"/>
      </patternFill>
    </fill>
    <fill>
      <patternFill patternType="solid">
        <fgColor theme="9" tint="0.59999389629810485"/>
        <bgColor indexed="64"/>
      </patternFill>
    </fill>
    <fill>
      <patternFill patternType="solid">
        <fgColor rgb="FFFF0D0D"/>
        <bgColor indexed="64"/>
      </patternFill>
    </fill>
    <fill>
      <patternFill patternType="solid">
        <fgColor rgb="FF00B0F0"/>
        <bgColor indexed="64"/>
      </patternFill>
    </fill>
    <fill>
      <patternFill patternType="solid">
        <fgColor rgb="FF4BFF21"/>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uble">
        <color indexed="64"/>
      </left>
      <right/>
      <top/>
      <bottom/>
      <diagonal/>
    </border>
    <border>
      <left style="double">
        <color indexed="64"/>
      </left>
      <right style="double">
        <color indexed="64"/>
      </right>
      <top style="double">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double">
        <color indexed="64"/>
      </right>
      <top style="hair">
        <color indexed="64"/>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ck">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ck">
        <color indexed="64"/>
      </left>
      <right style="thin">
        <color indexed="64"/>
      </right>
      <top/>
      <bottom style="hair">
        <color indexed="64"/>
      </bottom>
      <diagonal/>
    </border>
    <border>
      <left style="thick">
        <color indexed="64"/>
      </left>
      <right style="thin">
        <color indexed="64"/>
      </right>
      <top style="hair">
        <color indexed="64"/>
      </top>
      <bottom/>
      <diagonal/>
    </border>
    <border>
      <left style="thin">
        <color indexed="64"/>
      </left>
      <right style="double">
        <color indexed="64"/>
      </right>
      <top style="hair">
        <color indexed="64"/>
      </top>
      <bottom/>
      <diagonal/>
    </border>
    <border>
      <left style="thick">
        <color indexed="64"/>
      </left>
      <right style="thin">
        <color indexed="64"/>
      </right>
      <top/>
      <bottom/>
      <diagonal/>
    </border>
    <border>
      <left style="thin">
        <color indexed="64"/>
      </left>
      <right style="double">
        <color indexed="64"/>
      </right>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16" fillId="0" borderId="0"/>
    <xf numFmtId="0" fontId="16" fillId="0" borderId="0"/>
  </cellStyleXfs>
  <cellXfs count="1457">
    <xf numFmtId="0" fontId="0" fillId="0" borderId="0" xfId="0"/>
    <xf numFmtId="0" fontId="2" fillId="0" borderId="4" xfId="0" applyNumberFormat="1" applyFont="1" applyFill="1" applyBorder="1" applyAlignment="1">
      <alignment horizontal="left" vertical="center"/>
    </xf>
    <xf numFmtId="0" fontId="2" fillId="0" borderId="0" xfId="0" applyNumberFormat="1" applyFont="1" applyFill="1" applyBorder="1" applyAlignment="1" applyProtection="1">
      <alignment vertical="center"/>
      <protection locked="0"/>
    </xf>
    <xf numFmtId="0" fontId="5" fillId="0" borderId="0" xfId="0" applyFont="1" applyAlignment="1">
      <alignment horizontal="center"/>
    </xf>
    <xf numFmtId="0" fontId="5" fillId="6" borderId="0" xfId="0" applyFont="1" applyFill="1" applyAlignment="1">
      <alignment horizontal="center"/>
    </xf>
    <xf numFmtId="0" fontId="7" fillId="0" borderId="0" xfId="0" applyFont="1"/>
    <xf numFmtId="0" fontId="9" fillId="0" borderId="0" xfId="0" applyFont="1" applyAlignment="1" applyProtection="1">
      <alignment horizontal="left" vertical="center"/>
    </xf>
    <xf numFmtId="0" fontId="9" fillId="0" borderId="0" xfId="0" applyFont="1" applyBorder="1" applyAlignment="1" applyProtection="1">
      <alignment horizontal="left" vertical="center"/>
    </xf>
    <xf numFmtId="0" fontId="8" fillId="0" borderId="4" xfId="0" applyFont="1" applyBorder="1" applyAlignment="1" applyProtection="1">
      <alignment vertical="center"/>
      <protection hidden="1"/>
    </xf>
    <xf numFmtId="0" fontId="8" fillId="0" borderId="4" xfId="0" applyFont="1" applyBorder="1" applyAlignment="1" applyProtection="1">
      <alignment horizontal="center" vertical="center"/>
      <protection hidden="1"/>
    </xf>
    <xf numFmtId="167" fontId="9" fillId="0" borderId="4" xfId="1" applyNumberFormat="1" applyFont="1" applyBorder="1" applyAlignment="1" applyProtection="1">
      <alignment vertical="center"/>
    </xf>
    <xf numFmtId="167" fontId="8" fillId="0" borderId="4" xfId="1" applyNumberFormat="1" applyFont="1" applyBorder="1" applyAlignment="1" applyProtection="1">
      <alignment vertical="center"/>
    </xf>
    <xf numFmtId="0" fontId="9" fillId="0" borderId="0" xfId="0" applyFont="1" applyFill="1" applyBorder="1" applyAlignment="1" applyProtection="1">
      <alignment horizontal="left" vertical="center"/>
    </xf>
    <xf numFmtId="167" fontId="9" fillId="0" borderId="4" xfId="1" applyNumberFormat="1" applyFont="1" applyFill="1" applyBorder="1" applyAlignment="1" applyProtection="1">
      <alignment vertical="center"/>
    </xf>
    <xf numFmtId="167" fontId="8" fillId="0" borderId="4" xfId="1" applyNumberFormat="1" applyFont="1" applyFill="1" applyBorder="1" applyAlignment="1" applyProtection="1">
      <alignment vertical="center"/>
    </xf>
    <xf numFmtId="0" fontId="11" fillId="0" borderId="0" xfId="0" applyFont="1" applyFill="1" applyBorder="1" applyAlignment="1" applyProtection="1">
      <alignment horizontal="left" vertical="center"/>
    </xf>
    <xf numFmtId="167" fontId="12" fillId="0" borderId="4" xfId="1" applyNumberFormat="1" applyFont="1" applyBorder="1" applyAlignment="1" applyProtection="1">
      <alignment vertical="center"/>
    </xf>
    <xf numFmtId="0" fontId="11" fillId="0" borderId="0" xfId="0" applyFont="1" applyBorder="1" applyAlignment="1" applyProtection="1">
      <alignment horizontal="left" vertical="center"/>
    </xf>
    <xf numFmtId="0" fontId="9" fillId="5" borderId="0" xfId="0" applyFont="1" applyFill="1" applyBorder="1" applyAlignment="1" applyProtection="1">
      <alignment horizontal="left" vertical="center"/>
    </xf>
    <xf numFmtId="0" fontId="9" fillId="3" borderId="0" xfId="0" applyFont="1" applyFill="1" applyBorder="1" applyAlignment="1" applyProtection="1">
      <alignment horizontal="left" vertical="center"/>
    </xf>
    <xf numFmtId="168" fontId="8" fillId="0" borderId="0" xfId="0" applyNumberFormat="1" applyFont="1" applyBorder="1" applyAlignment="1" applyProtection="1">
      <alignment horizontal="left" vertical="center"/>
    </xf>
    <xf numFmtId="43" fontId="9" fillId="0" borderId="0" xfId="1" applyFont="1" applyBorder="1" applyAlignment="1" applyProtection="1">
      <alignment horizontal="left" vertical="center"/>
    </xf>
    <xf numFmtId="43" fontId="9" fillId="0" borderId="0" xfId="1" applyFont="1" applyFill="1" applyBorder="1" applyAlignment="1" applyProtection="1">
      <alignment horizontal="left" vertical="center"/>
    </xf>
    <xf numFmtId="43" fontId="9" fillId="3" borderId="0" xfId="1" applyFont="1" applyFill="1" applyBorder="1" applyAlignment="1" applyProtection="1">
      <alignment horizontal="left" vertical="center"/>
    </xf>
    <xf numFmtId="0" fontId="9" fillId="6" borderId="0" xfId="0" applyFont="1" applyFill="1" applyBorder="1" applyAlignment="1" applyProtection="1">
      <alignment horizontal="left" vertical="center"/>
    </xf>
    <xf numFmtId="0" fontId="6" fillId="6" borderId="4" xfId="0" applyFont="1" applyFill="1" applyBorder="1" applyAlignment="1" applyProtection="1">
      <alignment horizontal="center" vertical="center"/>
      <protection hidden="1"/>
    </xf>
    <xf numFmtId="167" fontId="8" fillId="6" borderId="4" xfId="1" applyNumberFormat="1" applyFont="1" applyFill="1" applyBorder="1" applyAlignment="1" applyProtection="1">
      <alignment vertical="center"/>
    </xf>
    <xf numFmtId="0" fontId="9" fillId="6" borderId="0" xfId="1" applyNumberFormat="1" applyFont="1" applyFill="1" applyBorder="1" applyAlignment="1" applyProtection="1">
      <alignment horizontal="left" vertical="center"/>
    </xf>
    <xf numFmtId="0" fontId="8" fillId="6" borderId="0" xfId="1" applyNumberFormat="1" applyFont="1" applyFill="1" applyBorder="1" applyAlignment="1" applyProtection="1">
      <alignment horizontal="left" vertical="center"/>
    </xf>
    <xf numFmtId="0" fontId="13" fillId="6" borderId="0" xfId="0" applyNumberFormat="1" applyFont="1" applyFill="1" applyBorder="1" applyAlignment="1" applyProtection="1">
      <alignment horizontal="left" vertical="center"/>
    </xf>
    <xf numFmtId="0" fontId="13" fillId="6" borderId="0" xfId="0" applyFont="1" applyFill="1" applyBorder="1" applyAlignment="1" applyProtection="1">
      <alignment horizontal="left" vertical="center"/>
    </xf>
    <xf numFmtId="167" fontId="13" fillId="6" borderId="4" xfId="1" applyNumberFormat="1" applyFont="1" applyFill="1" applyBorder="1" applyAlignment="1" applyProtection="1">
      <alignment vertical="center"/>
    </xf>
    <xf numFmtId="0" fontId="8" fillId="0" borderId="8" xfId="0" applyFont="1" applyBorder="1" applyAlignment="1" applyProtection="1">
      <alignment horizontal="center" vertical="center"/>
      <protection hidden="1"/>
    </xf>
    <xf numFmtId="0" fontId="8" fillId="0" borderId="4" xfId="0" applyFont="1" applyBorder="1" applyAlignment="1" applyProtection="1">
      <alignment horizontal="center" vertical="center"/>
    </xf>
    <xf numFmtId="0" fontId="8" fillId="6" borderId="8" xfId="0" applyFont="1" applyFill="1" applyBorder="1" applyAlignment="1" applyProtection="1">
      <alignment horizontal="center" vertical="center"/>
      <protection hidden="1"/>
    </xf>
    <xf numFmtId="0" fontId="5" fillId="0" borderId="0" xfId="0" applyNumberFormat="1" applyFont="1" applyAlignment="1">
      <alignment horizontal="center"/>
    </xf>
    <xf numFmtId="0" fontId="0" fillId="0" borderId="0" xfId="0" applyNumberFormat="1"/>
    <xf numFmtId="0" fontId="9" fillId="0" borderId="0" xfId="0" applyFont="1" applyFill="1" applyBorder="1" applyAlignment="1">
      <alignment horizontal="left" vertical="center"/>
    </xf>
    <xf numFmtId="0" fontId="14" fillId="0" borderId="0" xfId="0" applyFont="1"/>
    <xf numFmtId="0" fontId="14" fillId="8" borderId="0" xfId="0" applyFont="1" applyFill="1"/>
    <xf numFmtId="0" fontId="14" fillId="9" borderId="0" xfId="0" applyFont="1" applyFill="1"/>
    <xf numFmtId="0" fontId="14" fillId="0" borderId="5" xfId="0" applyFont="1" applyBorder="1" applyAlignment="1">
      <alignment vertical="center"/>
    </xf>
    <xf numFmtId="0" fontId="14" fillId="0" borderId="5" xfId="0" applyFont="1" applyBorder="1" applyAlignment="1">
      <alignment horizontal="center" vertical="center"/>
    </xf>
    <xf numFmtId="0" fontId="14" fillId="0" borderId="4" xfId="1" applyNumberFormat="1" applyFont="1" applyBorder="1" applyAlignment="1">
      <alignment vertical="center"/>
    </xf>
    <xf numFmtId="3" fontId="14" fillId="0" borderId="0" xfId="0" applyNumberFormat="1" applyFont="1"/>
    <xf numFmtId="0" fontId="14" fillId="0" borderId="0" xfId="0" applyFont="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38" fontId="4" fillId="2" borderId="4" xfId="0" applyNumberFormat="1" applyFont="1" applyFill="1" applyBorder="1" applyAlignment="1">
      <alignment horizontal="center" vertical="center"/>
    </xf>
    <xf numFmtId="38" fontId="16" fillId="3" borderId="4" xfId="0" applyNumberFormat="1" applyFont="1" applyFill="1" applyBorder="1" applyAlignment="1">
      <alignment horizontal="center" vertical="center"/>
    </xf>
    <xf numFmtId="38" fontId="16" fillId="0" borderId="4" xfId="0" applyNumberFormat="1" applyFont="1" applyBorder="1" applyAlignment="1">
      <alignment horizontal="center" vertical="center" wrapText="1"/>
    </xf>
    <xf numFmtId="38" fontId="4" fillId="9" borderId="4" xfId="0" applyNumberFormat="1" applyFont="1" applyFill="1" applyBorder="1" applyAlignment="1">
      <alignment horizontal="center" vertical="center"/>
    </xf>
    <xf numFmtId="38" fontId="4" fillId="2" borderId="4" xfId="0" applyNumberFormat="1" applyFont="1" applyFill="1" applyBorder="1" applyAlignment="1">
      <alignment horizontal="left" vertical="center" indent="1"/>
    </xf>
    <xf numFmtId="38" fontId="16" fillId="3" borderId="4" xfId="0" applyNumberFormat="1" applyFont="1" applyFill="1" applyBorder="1" applyAlignment="1">
      <alignment horizontal="left" vertical="center" indent="1"/>
    </xf>
    <xf numFmtId="38" fontId="16" fillId="0" borderId="4" xfId="0" quotePrefix="1" applyNumberFormat="1" applyFont="1" applyBorder="1" applyAlignment="1">
      <alignment horizontal="left" vertical="center" indent="1"/>
    </xf>
    <xf numFmtId="38" fontId="4" fillId="9" borderId="4" xfId="0" applyNumberFormat="1" applyFont="1" applyFill="1" applyBorder="1" applyAlignment="1">
      <alignment horizontal="left" vertical="center" indent="1"/>
    </xf>
    <xf numFmtId="38" fontId="16" fillId="2" borderId="4" xfId="0" applyNumberFormat="1" applyFont="1" applyFill="1" applyBorder="1" applyAlignment="1">
      <alignment horizontal="center" vertical="center"/>
    </xf>
    <xf numFmtId="38" fontId="4" fillId="2" borderId="19" xfId="0" applyNumberFormat="1" applyFont="1" applyFill="1" applyBorder="1" applyAlignment="1">
      <alignment horizontal="left" vertical="center" indent="1"/>
    </xf>
    <xf numFmtId="38" fontId="16" fillId="2" borderId="19" xfId="0" applyNumberFormat="1" applyFont="1" applyFill="1" applyBorder="1" applyAlignment="1">
      <alignment horizontal="center" vertical="center"/>
    </xf>
    <xf numFmtId="49"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center" vertical="center"/>
    </xf>
    <xf numFmtId="38" fontId="19" fillId="12" borderId="4" xfId="0" quotePrefix="1" applyNumberFormat="1" applyFont="1" applyFill="1" applyBorder="1" applyAlignment="1">
      <alignment horizontal="left" vertical="center" wrapText="1" indent="1"/>
    </xf>
    <xf numFmtId="38" fontId="19" fillId="12" borderId="4" xfId="0" applyNumberFormat="1" applyFont="1" applyFill="1" applyBorder="1" applyAlignment="1">
      <alignment horizontal="center" vertical="center"/>
    </xf>
    <xf numFmtId="38"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left" vertical="center" wrapText="1" indent="1"/>
    </xf>
    <xf numFmtId="169" fontId="16" fillId="0" borderId="4" xfId="0" applyNumberFormat="1" applyFont="1" applyFill="1" applyBorder="1" applyAlignment="1">
      <alignment horizontal="center" vertical="center"/>
    </xf>
    <xf numFmtId="38" fontId="16" fillId="0" borderId="4" xfId="0" applyNumberFormat="1" applyFont="1" applyFill="1" applyBorder="1" applyAlignment="1">
      <alignment horizontal="center" vertical="center" wrapText="1"/>
    </xf>
    <xf numFmtId="38" fontId="16" fillId="0" borderId="4" xfId="0" quotePrefix="1" applyNumberFormat="1" applyFont="1" applyBorder="1" applyAlignment="1">
      <alignment horizontal="left" vertical="center" wrapText="1" indent="3"/>
    </xf>
    <xf numFmtId="38" fontId="16" fillId="0" borderId="20" xfId="0" quotePrefix="1" applyNumberFormat="1" applyFont="1" applyBorder="1" applyAlignment="1">
      <alignment horizontal="left" vertical="center" wrapText="1" indent="3"/>
    </xf>
    <xf numFmtId="38" fontId="16" fillId="0" borderId="20" xfId="0" applyNumberFormat="1" applyFont="1" applyFill="1" applyBorder="1" applyAlignment="1">
      <alignment horizontal="center" vertical="center" wrapText="1"/>
    </xf>
    <xf numFmtId="9" fontId="14" fillId="0" borderId="0" xfId="2" applyFont="1"/>
    <xf numFmtId="0" fontId="15" fillId="0" borderId="0" xfId="0" applyFont="1" applyAlignment="1">
      <alignment horizontal="centerContinuous" vertical="center"/>
    </xf>
    <xf numFmtId="0" fontId="15" fillId="0" borderId="0" xfId="0" applyFont="1" applyAlignment="1">
      <alignment horizontal="left"/>
    </xf>
    <xf numFmtId="0" fontId="16" fillId="0" borderId="0" xfId="0" applyFont="1" applyAlignment="1">
      <alignment wrapText="1"/>
    </xf>
    <xf numFmtId="0" fontId="16" fillId="0" borderId="0" xfId="0" applyFont="1"/>
    <xf numFmtId="3" fontId="14" fillId="0" borderId="0" xfId="0" applyNumberFormat="1" applyFont="1" applyAlignment="1">
      <alignment horizontal="center" vertical="center"/>
    </xf>
    <xf numFmtId="3" fontId="21" fillId="0" borderId="4" xfId="0" applyNumberFormat="1" applyFont="1" applyFill="1" applyBorder="1" applyAlignment="1" applyProtection="1">
      <alignment vertical="center" wrapText="1"/>
    </xf>
    <xf numFmtId="3" fontId="21" fillId="0" borderId="4" xfId="0" applyNumberFormat="1" applyFont="1" applyFill="1" applyBorder="1" applyAlignment="1" applyProtection="1">
      <alignment vertical="center"/>
    </xf>
    <xf numFmtId="0" fontId="14" fillId="0" borderId="19" xfId="0" applyFont="1" applyBorder="1" applyAlignment="1">
      <alignment vertical="center"/>
    </xf>
    <xf numFmtId="0" fontId="14" fillId="0" borderId="19" xfId="0" applyFont="1" applyBorder="1" applyAlignment="1">
      <alignment horizontal="center" vertical="center"/>
    </xf>
    <xf numFmtId="0" fontId="14" fillId="0" borderId="4" xfId="0" applyFont="1" applyBorder="1" applyAlignment="1">
      <alignment vertical="center"/>
    </xf>
    <xf numFmtId="0" fontId="14" fillId="10" borderId="4" xfId="0" applyFont="1" applyFill="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center" vertical="center"/>
    </xf>
    <xf numFmtId="0" fontId="14" fillId="8" borderId="0" xfId="0" applyFont="1" applyFill="1" applyAlignment="1">
      <alignment vertical="center"/>
    </xf>
    <xf numFmtId="0" fontId="14" fillId="0" borderId="1" xfId="0" applyFont="1" applyBorder="1" applyAlignment="1">
      <alignment horizontal="center" vertical="center"/>
    </xf>
    <xf numFmtId="0" fontId="14" fillId="0" borderId="4" xfId="0" applyFont="1" applyFill="1" applyBorder="1" applyAlignment="1">
      <alignment horizontal="center" vertical="center"/>
    </xf>
    <xf numFmtId="0" fontId="8" fillId="0" borderId="0" xfId="0" applyFont="1" applyBorder="1" applyAlignment="1" applyProtection="1">
      <alignment horizontal="left" vertical="center"/>
    </xf>
    <xf numFmtId="0" fontId="8" fillId="4" borderId="0" xfId="0" applyFont="1" applyFill="1" applyBorder="1" applyAlignment="1" applyProtection="1">
      <alignment horizontal="left" vertical="center"/>
    </xf>
    <xf numFmtId="0" fontId="8" fillId="6"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9" fillId="6" borderId="0" xfId="0" applyNumberFormat="1" applyFont="1" applyFill="1" applyBorder="1" applyAlignment="1" applyProtection="1">
      <alignment horizontal="left" vertical="center"/>
    </xf>
    <xf numFmtId="0" fontId="7" fillId="0" borderId="0" xfId="0" applyFont="1" applyBorder="1" applyAlignment="1">
      <alignment horizontal="center" vertical="center"/>
    </xf>
    <xf numFmtId="0" fontId="7" fillId="0" borderId="0" xfId="0" quotePrefix="1" applyFont="1" applyBorder="1" applyAlignment="1">
      <alignment horizontal="center" vertical="center"/>
    </xf>
    <xf numFmtId="0" fontId="0" fillId="0" borderId="0" xfId="0" applyAlignment="1">
      <alignment textRotation="90"/>
    </xf>
    <xf numFmtId="38" fontId="21" fillId="0" borderId="4" xfId="0" applyNumberFormat="1" applyFont="1" applyBorder="1" applyAlignment="1">
      <alignment horizontal="center" vertical="center"/>
    </xf>
    <xf numFmtId="38" fontId="21" fillId="0" borderId="4" xfId="0" quotePrefix="1" applyNumberFormat="1" applyFont="1" applyBorder="1" applyAlignment="1">
      <alignment horizontal="left" vertical="center" indent="2"/>
    </xf>
    <xf numFmtId="38" fontId="21" fillId="0" borderId="4" xfId="0" applyNumberFormat="1" applyFont="1" applyFill="1" applyBorder="1" applyAlignment="1">
      <alignment horizontal="center" vertical="center"/>
    </xf>
    <xf numFmtId="166" fontId="9" fillId="0" borderId="0" xfId="0" applyNumberFormat="1" applyFont="1" applyAlignment="1" applyProtection="1">
      <alignment horizontal="center" vertical="center"/>
    </xf>
    <xf numFmtId="0" fontId="6" fillId="7" borderId="17" xfId="0" applyFont="1" applyFill="1" applyBorder="1" applyAlignment="1" applyProtection="1">
      <alignment horizontal="center" vertical="center"/>
      <protection hidden="1"/>
    </xf>
    <xf numFmtId="0" fontId="6" fillId="7" borderId="15" xfId="0" applyFont="1" applyFill="1" applyBorder="1" applyAlignment="1" applyProtection="1">
      <alignment horizontal="center" vertical="center" wrapText="1"/>
      <protection hidden="1"/>
    </xf>
    <xf numFmtId="0" fontId="6" fillId="7" borderId="15" xfId="0" applyFont="1" applyFill="1" applyBorder="1" applyAlignment="1" applyProtection="1">
      <alignment horizontal="center" vertical="center"/>
      <protection hidden="1"/>
    </xf>
    <xf numFmtId="0" fontId="6" fillId="7" borderId="18" xfId="0" applyFont="1" applyFill="1" applyBorder="1" applyAlignment="1" applyProtection="1">
      <alignment horizontal="center" vertical="center"/>
      <protection hidden="1"/>
    </xf>
    <xf numFmtId="0" fontId="6" fillId="7" borderId="16" xfId="0" applyFont="1" applyFill="1" applyBorder="1" applyAlignment="1" applyProtection="1">
      <alignment horizontal="center" vertical="center" wrapText="1"/>
      <protection hidden="1"/>
    </xf>
    <xf numFmtId="0" fontId="6" fillId="7" borderId="16" xfId="0" applyFont="1" applyFill="1" applyBorder="1" applyAlignment="1" applyProtection="1">
      <alignment horizontal="center" vertical="center"/>
      <protection hidden="1"/>
    </xf>
    <xf numFmtId="0" fontId="6" fillId="7" borderId="1" xfId="0" applyFont="1" applyFill="1" applyBorder="1" applyAlignment="1" applyProtection="1">
      <alignment horizontal="center" vertical="center"/>
      <protection hidden="1"/>
    </xf>
    <xf numFmtId="0" fontId="6" fillId="7" borderId="14" xfId="0" applyFont="1" applyFill="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5" xfId="0" applyFont="1" applyBorder="1" applyAlignment="1" applyProtection="1">
      <alignment horizontal="center" vertical="center"/>
    </xf>
    <xf numFmtId="0" fontId="6" fillId="6" borderId="8" xfId="0" applyFont="1" applyFill="1" applyBorder="1" applyAlignment="1" applyProtection="1">
      <alignment horizontal="center" vertical="center"/>
      <protection hidden="1"/>
    </xf>
    <xf numFmtId="0" fontId="8" fillId="6" borderId="0" xfId="0" applyFont="1" applyFill="1" applyBorder="1" applyAlignment="1" applyProtection="1">
      <alignment horizontal="left" vertical="center"/>
    </xf>
    <xf numFmtId="0" fontId="14" fillId="0" borderId="0" xfId="0" quotePrefix="1" applyFont="1" applyAlignment="1">
      <alignment vertical="center"/>
    </xf>
    <xf numFmtId="0" fontId="14" fillId="8" borderId="19" xfId="0" applyFont="1" applyFill="1" applyBorder="1" applyAlignment="1">
      <alignment vertical="center"/>
    </xf>
    <xf numFmtId="170" fontId="8" fillId="0" borderId="8" xfId="0" applyNumberFormat="1" applyFont="1" applyBorder="1" applyAlignment="1" applyProtection="1">
      <alignment horizontal="center" vertical="center"/>
      <protection hidden="1"/>
    </xf>
    <xf numFmtId="0" fontId="22" fillId="0" borderId="4" xfId="0" applyFont="1" applyBorder="1" applyAlignment="1">
      <alignment horizontal="center" vertical="center"/>
    </xf>
    <xf numFmtId="0" fontId="22" fillId="0" borderId="20" xfId="0" applyFont="1" applyBorder="1" applyAlignment="1">
      <alignment horizontal="center" vertical="center"/>
    </xf>
    <xf numFmtId="0" fontId="14" fillId="8" borderId="0" xfId="0" applyFont="1" applyFill="1" applyAlignment="1">
      <alignment horizontal="center" vertical="center"/>
    </xf>
    <xf numFmtId="38" fontId="4" fillId="2" borderId="4" xfId="0" applyNumberFormat="1" applyFont="1" applyFill="1" applyBorder="1" applyAlignment="1">
      <alignment vertical="center"/>
    </xf>
    <xf numFmtId="38" fontId="4" fillId="6" borderId="4" xfId="0" applyNumberFormat="1" applyFont="1" applyFill="1" applyBorder="1" applyAlignment="1">
      <alignment horizontal="left" vertical="center" indent="1"/>
    </xf>
    <xf numFmtId="38" fontId="16" fillId="6" borderId="4" xfId="0" applyNumberFormat="1" applyFont="1" applyFill="1" applyBorder="1" applyAlignment="1">
      <alignment horizontal="center" vertical="center"/>
    </xf>
    <xf numFmtId="38" fontId="21" fillId="0" borderId="4" xfId="0" quotePrefix="1" applyNumberFormat="1" applyFont="1" applyFill="1" applyBorder="1" applyAlignment="1">
      <alignment horizontal="left" vertical="center"/>
    </xf>
    <xf numFmtId="165" fontId="8" fillId="0" borderId="4" xfId="1" applyNumberFormat="1" applyFont="1" applyBorder="1" applyAlignment="1" applyProtection="1">
      <alignment vertical="center"/>
    </xf>
    <xf numFmtId="164" fontId="8" fillId="0" borderId="4" xfId="1" applyNumberFormat="1" applyFont="1" applyBorder="1" applyAlignment="1" applyProtection="1">
      <alignment vertical="center"/>
    </xf>
    <xf numFmtId="0" fontId="14" fillId="0" borderId="0" xfId="0" applyNumberFormat="1" applyFont="1" applyAlignment="1">
      <alignment vertical="center"/>
    </xf>
    <xf numFmtId="38" fontId="16" fillId="0" borderId="4" xfId="0" quotePrefix="1" applyNumberFormat="1" applyFont="1" applyBorder="1" applyAlignment="1">
      <alignment vertical="center"/>
    </xf>
    <xf numFmtId="173" fontId="4" fillId="7" borderId="1" xfId="0" applyNumberFormat="1" applyFont="1" applyFill="1" applyBorder="1" applyAlignment="1">
      <alignment horizontal="right" vertical="center"/>
    </xf>
    <xf numFmtId="0" fontId="7" fillId="0" borderId="0" xfId="0" applyFont="1" applyAlignment="1">
      <alignment horizontal="center" vertical="center"/>
    </xf>
    <xf numFmtId="0" fontId="16" fillId="0" borderId="0" xfId="0" applyFont="1" applyAlignment="1">
      <alignment horizontal="center" vertical="center"/>
    </xf>
    <xf numFmtId="0" fontId="14" fillId="6" borderId="4" xfId="0" applyFont="1" applyFill="1" applyBorder="1" applyAlignment="1">
      <alignment vertical="center"/>
    </xf>
    <xf numFmtId="0" fontId="14" fillId="6" borderId="4" xfId="0" applyFont="1" applyFill="1" applyBorder="1" applyAlignment="1">
      <alignment horizontal="center" vertical="center"/>
    </xf>
    <xf numFmtId="0" fontId="22" fillId="6" borderId="4" xfId="0" applyFont="1" applyFill="1" applyBorder="1" applyAlignment="1">
      <alignment horizontal="center" vertical="center"/>
    </xf>
    <xf numFmtId="0" fontId="14" fillId="8" borderId="19" xfId="0" applyFont="1" applyFill="1" applyBorder="1" applyAlignment="1">
      <alignment horizontal="center" vertical="center"/>
    </xf>
    <xf numFmtId="0" fontId="16" fillId="6" borderId="4" xfId="0" applyFont="1" applyFill="1" applyBorder="1" applyAlignment="1">
      <alignment horizontal="center" vertical="center"/>
    </xf>
    <xf numFmtId="0" fontId="16" fillId="0" borderId="4" xfId="0" applyFont="1" applyBorder="1" applyAlignment="1">
      <alignment horizontal="center" vertical="center"/>
    </xf>
    <xf numFmtId="0" fontId="14" fillId="0" borderId="1" xfId="0" applyFont="1" applyBorder="1" applyAlignment="1">
      <alignment vertical="center"/>
    </xf>
    <xf numFmtId="38" fontId="4" fillId="0" borderId="5" xfId="0" applyNumberFormat="1" applyFont="1" applyBorder="1" applyAlignment="1">
      <alignment horizontal="left" vertical="center" indent="1"/>
    </xf>
    <xf numFmtId="3" fontId="4" fillId="0" borderId="5" xfId="0" applyNumberFormat="1" applyFont="1" applyBorder="1" applyAlignment="1">
      <alignment horizontal="right" vertical="center"/>
    </xf>
    <xf numFmtId="38" fontId="4" fillId="0" borderId="6" xfId="0" applyNumberFormat="1" applyFont="1" applyBorder="1" applyAlignment="1">
      <alignment horizontal="left" vertical="center" indent="1"/>
    </xf>
    <xf numFmtId="3" fontId="4" fillId="0" borderId="6" xfId="0" applyNumberFormat="1" applyFont="1" applyBorder="1" applyAlignment="1">
      <alignment horizontal="right" vertical="center"/>
    </xf>
    <xf numFmtId="0" fontId="21" fillId="0" borderId="0" xfId="0" applyFont="1" applyAlignment="1">
      <alignment horizontal="centerContinuous" wrapText="1"/>
    </xf>
    <xf numFmtId="0" fontId="4" fillId="0" borderId="0" xfId="0" applyFont="1" applyAlignment="1">
      <alignment horizontal="centerContinuous" vertical="center"/>
    </xf>
    <xf numFmtId="0" fontId="4" fillId="0" borderId="0" xfId="0" applyFont="1" applyAlignment="1">
      <alignment horizontal="centerContinuous"/>
    </xf>
    <xf numFmtId="38" fontId="4" fillId="6" borderId="5" xfId="0" applyNumberFormat="1" applyFont="1" applyFill="1" applyBorder="1" applyAlignment="1">
      <alignment vertical="center"/>
    </xf>
    <xf numFmtId="38" fontId="4" fillId="6" borderId="5" xfId="0" applyNumberFormat="1" applyFont="1" applyFill="1" applyBorder="1" applyAlignment="1">
      <alignment horizontal="center" vertical="center"/>
    </xf>
    <xf numFmtId="38" fontId="16" fillId="0" borderId="4" xfId="0" applyNumberFormat="1" applyFont="1" applyBorder="1" applyAlignment="1">
      <alignment vertical="center"/>
    </xf>
    <xf numFmtId="0" fontId="16" fillId="0" borderId="1" xfId="0" applyFont="1" applyBorder="1" applyAlignment="1">
      <alignment horizontal="center" vertical="center"/>
    </xf>
    <xf numFmtId="0" fontId="4" fillId="0" borderId="0" xfId="0" applyFont="1" applyAlignment="1">
      <alignment horizontal="center"/>
    </xf>
    <xf numFmtId="38" fontId="4" fillId="6" borderId="4" xfId="0" applyNumberFormat="1" applyFont="1" applyFill="1" applyBorder="1" applyAlignment="1">
      <alignment vertical="center"/>
    </xf>
    <xf numFmtId="38" fontId="16" fillId="0" borderId="4" xfId="0" applyNumberFormat="1" applyFont="1" applyFill="1" applyBorder="1" applyAlignment="1">
      <alignment vertical="center"/>
    </xf>
    <xf numFmtId="38" fontId="4" fillId="0" borderId="4" xfId="0" applyNumberFormat="1" applyFont="1" applyFill="1" applyBorder="1" applyAlignment="1">
      <alignment horizontal="center" vertical="center"/>
    </xf>
    <xf numFmtId="38" fontId="4" fillId="0" borderId="4" xfId="0" applyNumberFormat="1" applyFont="1" applyFill="1" applyBorder="1" applyAlignment="1">
      <alignment horizontal="left" vertical="center"/>
    </xf>
    <xf numFmtId="38" fontId="4" fillId="0" borderId="6" xfId="0" applyNumberFormat="1" applyFont="1" applyFill="1" applyBorder="1" applyAlignment="1">
      <alignment horizontal="center" vertical="center"/>
    </xf>
    <xf numFmtId="38" fontId="4" fillId="0" borderId="6" xfId="0" applyNumberFormat="1" applyFont="1" applyFill="1" applyBorder="1" applyAlignment="1">
      <alignment horizontal="left" vertical="center"/>
    </xf>
    <xf numFmtId="0" fontId="16" fillId="0" borderId="1" xfId="0" applyFont="1" applyBorder="1" applyAlignment="1">
      <alignment vertical="center"/>
    </xf>
    <xf numFmtId="164" fontId="16" fillId="0" borderId="1" xfId="1" applyNumberFormat="1" applyFont="1" applyFill="1" applyBorder="1" applyAlignment="1">
      <alignment vertical="center"/>
    </xf>
    <xf numFmtId="38" fontId="14" fillId="0" borderId="0" xfId="0" applyNumberFormat="1" applyFont="1" applyAlignment="1">
      <alignment vertical="center"/>
    </xf>
    <xf numFmtId="0" fontId="25" fillId="0" borderId="0" xfId="0" quotePrefix="1" applyFont="1" applyAlignment="1">
      <alignment vertical="center"/>
    </xf>
    <xf numFmtId="177" fontId="25" fillId="0" borderId="0" xfId="0" applyNumberFormat="1" applyFont="1" applyAlignment="1">
      <alignment horizontal="center" vertical="center"/>
    </xf>
    <xf numFmtId="164" fontId="14" fillId="0" borderId="1" xfId="1" applyNumberFormat="1" applyFont="1" applyBorder="1" applyAlignment="1">
      <alignment horizontal="right" vertical="center" wrapText="1"/>
    </xf>
    <xf numFmtId="0" fontId="26" fillId="0" borderId="0" xfId="0" applyFont="1" applyAlignment="1">
      <alignment horizontal="center" vertical="center"/>
    </xf>
    <xf numFmtId="0" fontId="15" fillId="7" borderId="1" xfId="0" applyFont="1" applyFill="1" applyBorder="1" applyAlignment="1">
      <alignment vertical="center"/>
    </xf>
    <xf numFmtId="0" fontId="15" fillId="6" borderId="6" xfId="0" applyFont="1" applyFill="1" applyBorder="1" applyAlignment="1">
      <alignment vertical="center"/>
    </xf>
    <xf numFmtId="0" fontId="14" fillId="9" borderId="5" xfId="0" applyFont="1" applyFill="1" applyBorder="1" applyAlignment="1">
      <alignment vertical="center"/>
    </xf>
    <xf numFmtId="172" fontId="15" fillId="0" borderId="0" xfId="0" applyNumberFormat="1" applyFont="1" applyAlignment="1">
      <alignment horizontal="center" vertical="center"/>
    </xf>
    <xf numFmtId="0" fontId="4" fillId="7" borderId="25" xfId="0" applyFont="1" applyFill="1" applyBorder="1" applyAlignment="1">
      <alignment horizontal="centerContinuous" vertical="center"/>
    </xf>
    <xf numFmtId="0" fontId="16" fillId="7" borderId="1" xfId="0" applyFont="1" applyFill="1" applyBorder="1" applyAlignment="1">
      <alignment vertical="center"/>
    </xf>
    <xf numFmtId="0" fontId="4" fillId="7" borderId="1" xfId="0" applyNumberFormat="1" applyFont="1" applyFill="1" applyBorder="1" applyAlignment="1">
      <alignment horizontal="center" vertical="center" wrapText="1"/>
    </xf>
    <xf numFmtId="0" fontId="4" fillId="6" borderId="4"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6" borderId="28" xfId="0" applyNumberFormat="1" applyFont="1" applyFill="1" applyBorder="1" applyAlignment="1">
      <alignment horizontal="center" vertical="center"/>
    </xf>
    <xf numFmtId="38" fontId="4" fillId="6" borderId="28" xfId="0" applyNumberFormat="1" applyFont="1" applyFill="1" applyBorder="1" applyAlignment="1">
      <alignment vertical="center"/>
    </xf>
    <xf numFmtId="38" fontId="4" fillId="6" borderId="28" xfId="0" applyNumberFormat="1" applyFont="1" applyFill="1" applyBorder="1" applyAlignment="1">
      <alignment horizontal="center" vertical="center"/>
    </xf>
    <xf numFmtId="0" fontId="4" fillId="0" borderId="28" xfId="0" applyNumberFormat="1" applyFont="1" applyFill="1" applyBorder="1" applyAlignment="1">
      <alignment horizontal="center" vertical="center"/>
    </xf>
    <xf numFmtId="38" fontId="4" fillId="0" borderId="28" xfId="0" applyNumberFormat="1" applyFont="1" applyFill="1" applyBorder="1" applyAlignment="1">
      <alignment vertical="center"/>
    </xf>
    <xf numFmtId="38" fontId="4" fillId="0" borderId="28" xfId="0" applyNumberFormat="1" applyFont="1" applyFill="1" applyBorder="1" applyAlignment="1">
      <alignment horizontal="center" vertical="center"/>
    </xf>
    <xf numFmtId="38" fontId="16" fillId="0" borderId="4" xfId="0" quotePrefix="1" applyNumberFormat="1" applyFont="1" applyFill="1" applyBorder="1" applyAlignment="1">
      <alignment horizontal="left" vertical="center"/>
    </xf>
    <xf numFmtId="0" fontId="10" fillId="0" borderId="0" xfId="0" applyFont="1" applyAlignment="1">
      <alignment horizontal="centerContinuous" vertical="center"/>
    </xf>
    <xf numFmtId="0" fontId="7" fillId="0" borderId="0" xfId="0" applyFont="1" applyAlignment="1">
      <alignment horizontal="centerContinuous" vertical="center"/>
    </xf>
    <xf numFmtId="0" fontId="0" fillId="0" borderId="0" xfId="0" applyAlignment="1">
      <alignment horizontal="centerContinuous" vertical="center"/>
    </xf>
    <xf numFmtId="0" fontId="14" fillId="0" borderId="0" xfId="0" applyFont="1" applyFill="1"/>
    <xf numFmtId="0" fontId="2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0" xfId="0" applyFont="1" applyAlignment="1">
      <alignment horizontal="right" vertical="center"/>
    </xf>
    <xf numFmtId="0" fontId="14" fillId="0" borderId="0" xfId="0" applyFont="1" applyAlignment="1">
      <alignment vertical="center" wrapText="1"/>
    </xf>
    <xf numFmtId="0" fontId="14" fillId="0" borderId="0" xfId="0" quotePrefix="1" applyFont="1" applyAlignment="1">
      <alignment vertical="center" wrapText="1"/>
    </xf>
    <xf numFmtId="0" fontId="14" fillId="0" borderId="0" xfId="0" applyFont="1" applyAlignment="1">
      <alignment horizontal="right" vertical="top"/>
    </xf>
    <xf numFmtId="0" fontId="15"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quotePrefix="1" applyFont="1" applyAlignment="1">
      <alignment horizontal="center" vertical="center"/>
    </xf>
    <xf numFmtId="0" fontId="16" fillId="0" borderId="0" xfId="0" applyFont="1" applyAlignment="1"/>
    <xf numFmtId="0" fontId="16" fillId="0" borderId="0" xfId="0" applyFont="1" applyAlignment="1">
      <alignment horizontal="right" vertical="top"/>
    </xf>
    <xf numFmtId="0" fontId="16" fillId="0" borderId="0" xfId="0" applyFont="1" applyAlignment="1">
      <alignment horizontal="justify" vertical="justify" wrapText="1"/>
    </xf>
    <xf numFmtId="0" fontId="16" fillId="0" borderId="0" xfId="0" applyFont="1" applyAlignment="1">
      <alignment horizontal="left" wrapText="1"/>
    </xf>
    <xf numFmtId="0" fontId="4" fillId="0" borderId="0" xfId="0" applyFont="1" applyAlignment="1">
      <alignment wrapText="1"/>
    </xf>
    <xf numFmtId="0" fontId="7" fillId="0" borderId="0" xfId="0" applyFont="1" applyAlignment="1">
      <alignment vertical="center"/>
    </xf>
    <xf numFmtId="0" fontId="16" fillId="0" borderId="0" xfId="0" applyFont="1" applyAlignment="1">
      <alignment vertical="justify"/>
    </xf>
    <xf numFmtId="49" fontId="28" fillId="15" borderId="21" xfId="0" applyNumberFormat="1" applyFont="1" applyFill="1" applyBorder="1" applyAlignment="1">
      <alignment horizontal="center" vertical="center"/>
    </xf>
    <xf numFmtId="0" fontId="28" fillId="15" borderId="22" xfId="0" applyFont="1" applyFill="1" applyBorder="1" applyAlignment="1">
      <alignment horizontal="center" vertical="center"/>
    </xf>
    <xf numFmtId="0" fontId="14" fillId="0" borderId="24" xfId="0" applyFont="1" applyBorder="1"/>
    <xf numFmtId="0" fontId="14" fillId="16" borderId="4" xfId="0" applyFont="1" applyFill="1" applyBorder="1"/>
    <xf numFmtId="0" fontId="14" fillId="14" borderId="4" xfId="0" applyFont="1" applyFill="1" applyBorder="1"/>
    <xf numFmtId="3" fontId="28" fillId="15" borderId="22" xfId="0" applyNumberFormat="1" applyFont="1" applyFill="1" applyBorder="1" applyAlignment="1">
      <alignment horizontal="center" vertical="center"/>
    </xf>
    <xf numFmtId="3" fontId="14" fillId="14" borderId="4" xfId="0" applyNumberFormat="1" applyFont="1" applyFill="1" applyBorder="1"/>
    <xf numFmtId="3" fontId="14" fillId="16" borderId="4" xfId="0" applyNumberFormat="1" applyFont="1" applyFill="1" applyBorder="1"/>
    <xf numFmtId="3" fontId="14" fillId="0" borderId="24" xfId="0" applyNumberFormat="1" applyFont="1" applyBorder="1"/>
    <xf numFmtId="0" fontId="4" fillId="0" borderId="0" xfId="0" applyFont="1" applyFill="1" applyAlignment="1">
      <alignment vertical="center"/>
    </xf>
    <xf numFmtId="0" fontId="16" fillId="0" borderId="3" xfId="0" applyNumberFormat="1" applyFont="1" applyFill="1" applyBorder="1" applyAlignment="1">
      <alignment horizontal="center" vertical="center" wrapText="1"/>
    </xf>
    <xf numFmtId="0" fontId="7" fillId="0" borderId="5" xfId="0" applyFont="1" applyBorder="1" applyAlignment="1">
      <alignment horizontal="center" vertical="center"/>
    </xf>
    <xf numFmtId="0" fontId="7" fillId="0" borderId="4" xfId="0" applyFont="1" applyBorder="1" applyAlignment="1">
      <alignment vertical="center"/>
    </xf>
    <xf numFmtId="164" fontId="10" fillId="6" borderId="4" xfId="1" applyNumberFormat="1" applyFont="1" applyFill="1" applyBorder="1" applyAlignment="1">
      <alignment vertical="center"/>
    </xf>
    <xf numFmtId="164" fontId="7" fillId="0" borderId="4" xfId="1" applyNumberFormat="1" applyFont="1" applyBorder="1" applyAlignment="1">
      <alignment vertical="center"/>
    </xf>
    <xf numFmtId="0" fontId="7" fillId="0" borderId="0" xfId="0" applyFont="1" applyAlignment="1">
      <alignment horizontal="left" vertical="center"/>
    </xf>
    <xf numFmtId="0" fontId="7" fillId="6" borderId="0" xfId="0" applyFont="1" applyFill="1" applyAlignment="1">
      <alignment vertical="center"/>
    </xf>
    <xf numFmtId="0" fontId="7" fillId="0" borderId="11" xfId="0" applyFont="1" applyBorder="1" applyAlignment="1">
      <alignment horizontal="center" vertical="center"/>
    </xf>
    <xf numFmtId="0" fontId="7" fillId="0" borderId="9" xfId="0" applyFont="1" applyBorder="1" applyAlignment="1">
      <alignment vertical="center"/>
    </xf>
    <xf numFmtId="164" fontId="10" fillId="6" borderId="9" xfId="1" applyNumberFormat="1" applyFont="1" applyFill="1" applyBorder="1" applyAlignment="1">
      <alignment vertical="center"/>
    </xf>
    <xf numFmtId="164" fontId="7" fillId="0" borderId="9" xfId="1" applyNumberFormat="1" applyFont="1" applyBorder="1" applyAlignment="1">
      <alignment vertical="center"/>
    </xf>
    <xf numFmtId="0" fontId="7" fillId="6" borderId="0" xfId="0" applyFont="1" applyFill="1" applyAlignment="1">
      <alignment horizontal="left" vertical="center"/>
    </xf>
    <xf numFmtId="0" fontId="15" fillId="0" borderId="36" xfId="0" applyFont="1" applyBorder="1" applyAlignment="1">
      <alignment horizontal="center" vertical="center"/>
    </xf>
    <xf numFmtId="0" fontId="14" fillId="0" borderId="0" xfId="0" applyFont="1" applyBorder="1" applyAlignment="1">
      <alignment vertical="center"/>
    </xf>
    <xf numFmtId="0" fontId="15" fillId="0" borderId="35" xfId="0" applyFont="1" applyBorder="1" applyAlignment="1">
      <alignment horizontal="center" vertical="center"/>
    </xf>
    <xf numFmtId="167" fontId="7" fillId="0" borderId="4" xfId="1" applyNumberFormat="1" applyFont="1" applyFill="1" applyBorder="1" applyAlignment="1" applyProtection="1">
      <alignment vertical="center"/>
    </xf>
    <xf numFmtId="0" fontId="20" fillId="0" borderId="0" xfId="0" applyFont="1" applyBorder="1" applyAlignment="1" applyProtection="1">
      <alignment horizontal="left" vertical="center"/>
    </xf>
    <xf numFmtId="0" fontId="20" fillId="0" borderId="0" xfId="0" applyFont="1" applyFill="1" applyBorder="1" applyAlignment="1" applyProtection="1">
      <alignment horizontal="left" vertical="center"/>
    </xf>
    <xf numFmtId="3" fontId="20" fillId="0" borderId="0" xfId="0" applyNumberFormat="1" applyFont="1" applyFill="1" applyAlignment="1" applyProtection="1">
      <alignment horizontal="left" vertical="center"/>
    </xf>
    <xf numFmtId="0" fontId="20" fillId="0" borderId="0" xfId="0" applyFont="1" applyAlignment="1" applyProtection="1">
      <alignment vertical="center"/>
    </xf>
    <xf numFmtId="3" fontId="20" fillId="0" borderId="0" xfId="0" applyNumberFormat="1" applyFont="1" applyAlignment="1" applyProtection="1">
      <alignment vertical="center"/>
    </xf>
    <xf numFmtId="3" fontId="20" fillId="0" borderId="0" xfId="0" applyNumberFormat="1" applyFont="1" applyBorder="1" applyAlignment="1" applyProtection="1">
      <alignment horizontal="left" vertical="center"/>
    </xf>
    <xf numFmtId="3" fontId="20" fillId="0" borderId="0" xfId="0" applyNumberFormat="1" applyFont="1" applyFill="1" applyBorder="1" applyAlignment="1" applyProtection="1">
      <alignment horizontal="left" vertical="center"/>
    </xf>
    <xf numFmtId="0" fontId="20" fillId="0" borderId="0" xfId="0" applyFont="1" applyBorder="1" applyAlignment="1" applyProtection="1">
      <alignment vertical="center"/>
    </xf>
    <xf numFmtId="3" fontId="16" fillId="0" borderId="0" xfId="0" applyNumberFormat="1" applyFont="1" applyFill="1" applyAlignment="1" applyProtection="1">
      <alignment horizontal="left" vertical="center"/>
    </xf>
    <xf numFmtId="0" fontId="0" fillId="0" borderId="0" xfId="0" applyAlignment="1">
      <alignment horizontal="center" textRotation="90"/>
    </xf>
    <xf numFmtId="3" fontId="0" fillId="0" borderId="0" xfId="0" applyNumberFormat="1" applyAlignment="1">
      <alignment horizontal="center" textRotation="90"/>
    </xf>
    <xf numFmtId="0" fontId="14" fillId="10" borderId="1" xfId="0" applyFont="1" applyFill="1" applyBorder="1" applyAlignment="1">
      <alignment horizontal="center" vertical="center"/>
    </xf>
    <xf numFmtId="0" fontId="14" fillId="10" borderId="5" xfId="0" applyFont="1" applyFill="1" applyBorder="1" applyAlignment="1">
      <alignment horizontal="center" vertical="center"/>
    </xf>
    <xf numFmtId="0" fontId="0" fillId="0" borderId="0" xfId="0" applyBorder="1"/>
    <xf numFmtId="0" fontId="31" fillId="0" borderId="0" xfId="0" applyFont="1" applyBorder="1" applyAlignment="1">
      <alignment horizontal="center" vertical="center"/>
    </xf>
    <xf numFmtId="0" fontId="0" fillId="0" borderId="0" xfId="0" applyBorder="1" applyAlignment="1">
      <alignment horizontal="center" vertical="center"/>
    </xf>
    <xf numFmtId="3" fontId="32" fillId="8" borderId="1" xfId="0" applyNumberFormat="1" applyFont="1" applyFill="1" applyBorder="1" applyAlignment="1" applyProtection="1">
      <alignment horizontal="center" vertical="center"/>
    </xf>
    <xf numFmtId="0" fontId="16" fillId="0" borderId="4" xfId="0" applyFont="1" applyBorder="1" applyAlignment="1" applyProtection="1">
      <alignment horizontal="center" vertical="center"/>
    </xf>
    <xf numFmtId="3" fontId="4" fillId="7" borderId="26" xfId="0" applyNumberFormat="1" applyFont="1" applyFill="1" applyBorder="1" applyAlignment="1" applyProtection="1">
      <alignment horizontal="centerContinuous" vertical="center"/>
    </xf>
    <xf numFmtId="3" fontId="4" fillId="7" borderId="2" xfId="0" applyNumberFormat="1" applyFont="1" applyFill="1" applyBorder="1" applyAlignment="1" applyProtection="1">
      <alignment horizontal="centerContinuous" vertical="center"/>
    </xf>
    <xf numFmtId="3" fontId="4" fillId="7" borderId="3" xfId="0" applyNumberFormat="1" applyFont="1" applyFill="1" applyBorder="1" applyAlignment="1" applyProtection="1">
      <alignment horizontal="centerContinuous" vertical="center"/>
    </xf>
    <xf numFmtId="3" fontId="4" fillId="7" borderId="26" xfId="0" applyNumberFormat="1" applyFont="1" applyFill="1" applyBorder="1" applyAlignment="1" applyProtection="1">
      <alignment horizontal="center" vertical="center"/>
    </xf>
    <xf numFmtId="3" fontId="4" fillId="6" borderId="19" xfId="0" applyNumberFormat="1" applyFont="1" applyFill="1" applyBorder="1" applyAlignment="1" applyProtection="1">
      <alignment horizontal="left" vertical="center" indent="1"/>
    </xf>
    <xf numFmtId="3" fontId="4" fillId="6" borderId="19" xfId="0" applyNumberFormat="1" applyFont="1" applyFill="1" applyBorder="1" applyAlignment="1" applyProtection="1">
      <alignment horizontal="left" vertical="center"/>
    </xf>
    <xf numFmtId="3" fontId="4" fillId="6" borderId="19" xfId="0" applyNumberFormat="1" applyFont="1" applyFill="1" applyBorder="1" applyAlignment="1" applyProtection="1">
      <alignment horizontal="center" vertical="center"/>
    </xf>
    <xf numFmtId="3" fontId="16" fillId="6" borderId="19" xfId="0" applyNumberFormat="1" applyFont="1" applyFill="1" applyBorder="1" applyAlignment="1" applyProtection="1">
      <alignment vertical="center"/>
    </xf>
    <xf numFmtId="3" fontId="16" fillId="0" borderId="4" xfId="0" applyNumberFormat="1" applyFont="1" applyFill="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center" vertical="center"/>
    </xf>
    <xf numFmtId="0" fontId="16" fillId="0" borderId="6" xfId="0" applyFont="1" applyBorder="1" applyAlignment="1" applyProtection="1">
      <alignment horizontal="center" vertical="center"/>
    </xf>
    <xf numFmtId="0" fontId="16" fillId="0" borderId="6" xfId="0" applyFont="1" applyBorder="1" applyAlignment="1" applyProtection="1">
      <alignment horizontal="left" vertical="center"/>
    </xf>
    <xf numFmtId="3" fontId="19" fillId="0" borderId="6" xfId="0" applyNumberFormat="1" applyFont="1" applyFill="1" applyBorder="1" applyAlignment="1" applyProtection="1">
      <alignment horizontal="center" vertical="center"/>
    </xf>
    <xf numFmtId="3" fontId="16" fillId="0" borderId="6" xfId="1" applyNumberFormat="1" applyFont="1" applyBorder="1" applyAlignment="1" applyProtection="1">
      <alignment horizontal="right" vertical="center" indent="1"/>
    </xf>
    <xf numFmtId="3" fontId="19" fillId="0" borderId="6"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right" vertical="center" indent="1"/>
    </xf>
    <xf numFmtId="3" fontId="16" fillId="7" borderId="25" xfId="0" applyNumberFormat="1" applyFont="1" applyFill="1" applyBorder="1" applyAlignment="1" applyProtection="1">
      <alignment horizontal="center" vertical="center"/>
    </xf>
    <xf numFmtId="0" fontId="16" fillId="7" borderId="25" xfId="0" applyFont="1" applyFill="1" applyBorder="1" applyAlignment="1" applyProtection="1">
      <alignment horizontal="center" vertical="center"/>
    </xf>
    <xf numFmtId="0" fontId="16" fillId="7" borderId="25" xfId="0" applyFont="1" applyFill="1" applyBorder="1" applyAlignment="1" applyProtection="1">
      <alignment horizontal="left" vertical="center"/>
    </xf>
    <xf numFmtId="3" fontId="19" fillId="7" borderId="25" xfId="0" applyNumberFormat="1" applyFont="1" applyFill="1" applyBorder="1" applyAlignment="1" applyProtection="1">
      <alignment horizontal="center" vertical="center"/>
    </xf>
    <xf numFmtId="3" fontId="16" fillId="7" borderId="25" xfId="1" applyNumberFormat="1" applyFont="1" applyFill="1" applyBorder="1" applyAlignment="1" applyProtection="1">
      <alignment horizontal="right" vertical="center" indent="1"/>
    </xf>
    <xf numFmtId="3" fontId="4" fillId="7" borderId="25" xfId="0" applyNumberFormat="1" applyFont="1" applyFill="1" applyBorder="1" applyAlignment="1" applyProtection="1">
      <alignment horizontal="centerContinuous" vertical="center"/>
    </xf>
    <xf numFmtId="3" fontId="4" fillId="7" borderId="25" xfId="0" applyNumberFormat="1" applyFont="1" applyFill="1" applyBorder="1" applyAlignment="1" applyProtection="1">
      <alignment vertical="center"/>
    </xf>
    <xf numFmtId="3" fontId="16" fillId="7" borderId="25"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4" fontId="19" fillId="0" borderId="4" xfId="0" applyNumberFormat="1" applyFont="1" applyFill="1" applyBorder="1" applyAlignment="1" applyProtection="1">
      <alignment horizontal="center" vertical="center"/>
    </xf>
    <xf numFmtId="171" fontId="19" fillId="0" borderId="4" xfId="0" applyNumberFormat="1" applyFont="1" applyFill="1" applyBorder="1" applyAlignment="1" applyProtection="1">
      <alignment horizontal="center" vertical="center"/>
    </xf>
    <xf numFmtId="3" fontId="4"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center" vertical="center"/>
    </xf>
    <xf numFmtId="0" fontId="16" fillId="0" borderId="20" xfId="0" applyFont="1" applyBorder="1" applyAlignment="1" applyProtection="1">
      <alignment horizontal="left" vertical="center"/>
    </xf>
    <xf numFmtId="3" fontId="19" fillId="0" borderId="20" xfId="0" applyNumberFormat="1" applyFont="1" applyFill="1" applyBorder="1" applyAlignment="1" applyProtection="1">
      <alignment horizontal="center" vertical="center"/>
    </xf>
    <xf numFmtId="3" fontId="16" fillId="0" borderId="20" xfId="1" applyNumberFormat="1" applyFont="1" applyBorder="1" applyAlignment="1" applyProtection="1">
      <alignment horizontal="right" vertical="center" indent="1"/>
    </xf>
    <xf numFmtId="3" fontId="19" fillId="0" borderId="20" xfId="0" applyNumberFormat="1" applyFont="1" applyFill="1" applyBorder="1" applyAlignment="1" applyProtection="1">
      <alignment horizontal="right" vertical="center" indent="1"/>
    </xf>
    <xf numFmtId="3" fontId="16" fillId="0" borderId="20" xfId="0" applyNumberFormat="1" applyFont="1" applyFill="1" applyBorder="1" applyAlignment="1" applyProtection="1">
      <alignment horizontal="right" vertical="center" indent="1"/>
    </xf>
    <xf numFmtId="3" fontId="16" fillId="7" borderId="16" xfId="0" applyNumberFormat="1" applyFont="1" applyFill="1" applyBorder="1" applyAlignment="1" applyProtection="1">
      <alignment horizontal="center" vertical="center"/>
    </xf>
    <xf numFmtId="0" fontId="16" fillId="7" borderId="16" xfId="0" applyFont="1" applyFill="1" applyBorder="1" applyAlignment="1" applyProtection="1">
      <alignment horizontal="center" vertical="center"/>
    </xf>
    <xf numFmtId="0" fontId="16" fillId="7" borderId="16" xfId="0" applyFont="1" applyFill="1" applyBorder="1" applyAlignment="1" applyProtection="1">
      <alignment horizontal="left" vertical="center"/>
    </xf>
    <xf numFmtId="3" fontId="19" fillId="7" borderId="16" xfId="0" applyNumberFormat="1" applyFont="1" applyFill="1" applyBorder="1" applyAlignment="1" applyProtection="1">
      <alignment horizontal="center" vertical="center"/>
    </xf>
    <xf numFmtId="3" fontId="16" fillId="7" borderId="16" xfId="1" applyNumberFormat="1" applyFont="1" applyFill="1" applyBorder="1" applyAlignment="1" applyProtection="1">
      <alignment horizontal="right" vertical="center" indent="1"/>
    </xf>
    <xf numFmtId="3" fontId="4" fillId="7" borderId="16" xfId="0" applyNumberFormat="1" applyFont="1" applyFill="1" applyBorder="1" applyAlignment="1" applyProtection="1">
      <alignment horizontal="centerContinuous" vertical="center"/>
    </xf>
    <xf numFmtId="3" fontId="4" fillId="7" borderId="16" xfId="0" applyNumberFormat="1" applyFont="1" applyFill="1" applyBorder="1" applyAlignment="1" applyProtection="1">
      <alignment vertical="center"/>
    </xf>
    <xf numFmtId="3" fontId="16" fillId="7" borderId="16" xfId="0" applyNumberFormat="1" applyFont="1" applyFill="1" applyBorder="1" applyAlignment="1" applyProtection="1">
      <alignment horizontal="right" vertical="center" indent="1"/>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0" borderId="4" xfId="0" applyNumberFormat="1" applyFont="1" applyFill="1" applyBorder="1" applyAlignment="1">
      <alignment horizontal="left" vertical="center" indent="1"/>
    </xf>
    <xf numFmtId="38" fontId="16" fillId="10" borderId="4" xfId="0" applyNumberFormat="1" applyFont="1" applyFill="1" applyBorder="1" applyAlignment="1">
      <alignment horizontal="center" vertical="center"/>
    </xf>
    <xf numFmtId="3" fontId="20" fillId="8" borderId="1" xfId="0" applyNumberFormat="1" applyFont="1" applyFill="1" applyBorder="1" applyAlignment="1" applyProtection="1">
      <alignment horizontal="center" vertical="center"/>
    </xf>
    <xf numFmtId="0" fontId="15" fillId="16" borderId="1" xfId="0" applyFont="1" applyFill="1" applyBorder="1" applyAlignment="1">
      <alignment horizontal="center" vertical="center"/>
    </xf>
    <xf numFmtId="0" fontId="15" fillId="16" borderId="1" xfId="0" quotePrefix="1" applyFont="1" applyFill="1" applyBorder="1" applyAlignment="1">
      <alignment horizontal="center" vertical="center"/>
    </xf>
    <xf numFmtId="3" fontId="4" fillId="6" borderId="4" xfId="0" applyNumberFormat="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3" fontId="4" fillId="6" borderId="4" xfId="0" applyNumberFormat="1" applyFont="1" applyFill="1" applyBorder="1" applyAlignment="1" applyProtection="1">
      <alignment vertical="center" wrapText="1"/>
    </xf>
    <xf numFmtId="3" fontId="19" fillId="6" borderId="4" xfId="0" applyNumberFormat="1" applyFont="1" applyFill="1" applyBorder="1" applyAlignment="1" applyProtection="1">
      <alignment horizontal="right" vertical="center" indent="1"/>
    </xf>
    <xf numFmtId="3" fontId="16" fillId="6" borderId="4" xfId="1" applyNumberFormat="1" applyFont="1" applyFill="1" applyBorder="1" applyAlignment="1" applyProtection="1">
      <alignment horizontal="right" vertical="center" indent="1"/>
    </xf>
    <xf numFmtId="3" fontId="16" fillId="6" borderId="4" xfId="0" applyNumberFormat="1" applyFont="1" applyFill="1" applyBorder="1" applyAlignment="1" applyProtection="1">
      <alignment horizontal="right" vertical="center" indent="1"/>
    </xf>
    <xf numFmtId="0" fontId="15" fillId="17" borderId="1" xfId="0" applyFont="1" applyFill="1" applyBorder="1" applyAlignment="1">
      <alignment horizontal="center" vertical="center"/>
    </xf>
    <xf numFmtId="0" fontId="14" fillId="17" borderId="1" xfId="0" applyFont="1" applyFill="1" applyBorder="1" applyAlignment="1">
      <alignment horizontal="center" vertical="center"/>
    </xf>
    <xf numFmtId="0" fontId="15" fillId="15" borderId="1" xfId="0" applyFont="1" applyFill="1" applyBorder="1" applyAlignment="1">
      <alignment horizontal="center" vertical="center"/>
    </xf>
    <xf numFmtId="0" fontId="14" fillId="15" borderId="1" xfId="0" applyFont="1" applyFill="1" applyBorder="1" applyAlignment="1">
      <alignment horizontal="center" vertical="center"/>
    </xf>
    <xf numFmtId="0" fontId="15" fillId="18" borderId="1" xfId="0" applyFont="1" applyFill="1" applyBorder="1" applyAlignment="1">
      <alignment horizontal="center" vertical="center"/>
    </xf>
    <xf numFmtId="0" fontId="14" fillId="18" borderId="1" xfId="0" applyFont="1" applyFill="1" applyBorder="1" applyAlignment="1">
      <alignment horizontal="center" vertical="center"/>
    </xf>
    <xf numFmtId="0" fontId="0" fillId="15" borderId="1" xfId="0" applyFill="1" applyBorder="1" applyAlignment="1">
      <alignment horizontal="center"/>
    </xf>
    <xf numFmtId="0" fontId="15" fillId="20" borderId="1" xfId="0" applyFont="1" applyFill="1" applyBorder="1" applyAlignment="1">
      <alignment horizontal="center" vertical="center"/>
    </xf>
    <xf numFmtId="0" fontId="14" fillId="20" borderId="1" xfId="0" applyFont="1" applyFill="1" applyBorder="1" applyAlignment="1">
      <alignment horizontal="center" vertical="center"/>
    </xf>
    <xf numFmtId="0" fontId="15" fillId="21" borderId="1" xfId="0" applyFont="1" applyFill="1" applyBorder="1" applyAlignment="1">
      <alignment horizontal="center" vertical="center"/>
    </xf>
    <xf numFmtId="0" fontId="14" fillId="21" borderId="1" xfId="0" applyFont="1" applyFill="1" applyBorder="1" applyAlignment="1">
      <alignment horizontal="center" vertical="center"/>
    </xf>
    <xf numFmtId="0" fontId="15" fillId="22" borderId="1" xfId="0" applyFont="1" applyFill="1" applyBorder="1" applyAlignment="1">
      <alignment horizontal="center" vertical="center"/>
    </xf>
    <xf numFmtId="0" fontId="14" fillId="22" borderId="1" xfId="0" applyFont="1" applyFill="1" applyBorder="1" applyAlignment="1">
      <alignment horizontal="center" vertical="center"/>
    </xf>
    <xf numFmtId="0" fontId="15" fillId="7" borderId="1" xfId="0" applyFont="1" applyFill="1" applyBorder="1" applyAlignment="1">
      <alignment horizontal="center" vertical="center"/>
    </xf>
    <xf numFmtId="0" fontId="14" fillId="7" borderId="1" xfId="0" applyFont="1" applyFill="1" applyBorder="1" applyAlignment="1">
      <alignment horizontal="center" vertical="center"/>
    </xf>
    <xf numFmtId="0" fontId="0" fillId="7" borderId="1" xfId="0" applyFill="1" applyBorder="1" applyAlignment="1">
      <alignment horizontal="center"/>
    </xf>
    <xf numFmtId="0" fontId="7" fillId="0" borderId="0" xfId="0" applyNumberFormat="1" applyFont="1" applyAlignment="1">
      <alignment horizontal="center" vertical="center"/>
    </xf>
    <xf numFmtId="0" fontId="7" fillId="7" borderId="19" xfId="0" applyNumberFormat="1" applyFont="1" applyFill="1" applyBorder="1" applyAlignment="1">
      <alignment horizontal="center" vertical="center"/>
    </xf>
    <xf numFmtId="0" fontId="7" fillId="7" borderId="4" xfId="0" applyNumberFormat="1" applyFont="1" applyFill="1" applyBorder="1" applyAlignment="1">
      <alignment horizontal="center" vertical="center"/>
    </xf>
    <xf numFmtId="0" fontId="7" fillId="0" borderId="4" xfId="1" applyNumberFormat="1" applyFont="1" applyBorder="1" applyAlignment="1">
      <alignment horizontal="center" vertical="center"/>
    </xf>
    <xf numFmtId="178" fontId="7" fillId="0" borderId="4" xfId="1" applyNumberFormat="1" applyFont="1" applyBorder="1" applyAlignment="1">
      <alignment horizontal="center" vertical="center"/>
    </xf>
    <xf numFmtId="43" fontId="7" fillId="0" borderId="4" xfId="1" applyNumberFormat="1" applyFont="1" applyBorder="1" applyAlignment="1">
      <alignment horizontal="center" vertical="center"/>
    </xf>
    <xf numFmtId="165" fontId="7" fillId="0" borderId="4" xfId="1" applyNumberFormat="1" applyFont="1" applyBorder="1" applyAlignment="1">
      <alignment horizontal="center" vertical="center"/>
    </xf>
    <xf numFmtId="164" fontId="7" fillId="0" borderId="4" xfId="1" applyNumberFormat="1" applyFont="1" applyBorder="1" applyAlignment="1">
      <alignment horizontal="center" vertical="center"/>
    </xf>
    <xf numFmtId="167" fontId="7" fillId="0" borderId="4" xfId="1" applyNumberFormat="1" applyFont="1" applyBorder="1" applyAlignment="1">
      <alignment horizontal="center" vertical="center"/>
    </xf>
    <xf numFmtId="3" fontId="14" fillId="0" borderId="4" xfId="0" applyNumberFormat="1" applyFont="1" applyBorder="1" applyAlignment="1">
      <alignment horizontal="center" vertical="center"/>
    </xf>
    <xf numFmtId="0" fontId="4" fillId="11" borderId="19" xfId="0" applyNumberFormat="1" applyFont="1" applyFill="1" applyBorder="1" applyAlignment="1">
      <alignment horizontal="center" vertical="center" wrapText="1"/>
    </xf>
    <xf numFmtId="38" fontId="4" fillId="11" borderId="19" xfId="0" applyNumberFormat="1" applyFont="1" applyFill="1" applyBorder="1" applyAlignment="1">
      <alignment horizontal="center" vertical="center" wrapText="1"/>
    </xf>
    <xf numFmtId="0" fontId="4" fillId="2" borderId="4" xfId="0" applyNumberFormat="1" applyFont="1" applyFill="1" applyBorder="1" applyAlignment="1">
      <alignment horizontal="center" vertical="center"/>
    </xf>
    <xf numFmtId="0" fontId="16" fillId="3" borderId="4" xfId="0" applyNumberFormat="1" applyFont="1" applyFill="1" applyBorder="1" applyAlignment="1">
      <alignment horizontal="center" vertical="center"/>
    </xf>
    <xf numFmtId="0" fontId="4" fillId="9" borderId="4" xfId="0" applyNumberFormat="1" applyFont="1" applyFill="1" applyBorder="1" applyAlignment="1">
      <alignment horizontal="center" vertical="center"/>
    </xf>
    <xf numFmtId="0" fontId="4" fillId="9" borderId="16" xfId="0" applyNumberFormat="1" applyFont="1" applyFill="1" applyBorder="1" applyAlignment="1">
      <alignment horizontal="center" vertical="center"/>
    </xf>
    <xf numFmtId="38" fontId="4" fillId="9" borderId="16" xfId="0" applyNumberFormat="1" applyFont="1" applyFill="1" applyBorder="1" applyAlignment="1">
      <alignment horizontal="left" vertical="center" indent="1"/>
    </xf>
    <xf numFmtId="38" fontId="4" fillId="9" borderId="16" xfId="0" applyNumberFormat="1" applyFont="1" applyFill="1" applyBorder="1" applyAlignment="1">
      <alignment horizontal="center" vertical="center"/>
    </xf>
    <xf numFmtId="0" fontId="4" fillId="2" borderId="19" xfId="0" applyNumberFormat="1" applyFont="1" applyFill="1" applyBorder="1" applyAlignment="1">
      <alignment horizontal="center" vertical="center"/>
    </xf>
    <xf numFmtId="0" fontId="4" fillId="10" borderId="4" xfId="0" applyNumberFormat="1" applyFont="1" applyFill="1" applyBorder="1" applyAlignment="1">
      <alignment horizontal="center" vertical="center"/>
    </xf>
    <xf numFmtId="0" fontId="4" fillId="0" borderId="4" xfId="0" applyNumberFormat="1" applyFont="1" applyBorder="1" applyAlignment="1">
      <alignment horizontal="center" vertical="center"/>
    </xf>
    <xf numFmtId="1" fontId="16" fillId="0" borderId="4" xfId="1" applyNumberFormat="1" applyFont="1" applyBorder="1" applyAlignment="1">
      <alignment horizontal="center" vertical="center"/>
    </xf>
    <xf numFmtId="0" fontId="16" fillId="0" borderId="4" xfId="1" applyNumberFormat="1" applyFont="1" applyBorder="1" applyAlignment="1">
      <alignment horizontal="center" vertical="center"/>
    </xf>
    <xf numFmtId="0" fontId="16" fillId="0" borderId="6" xfId="1" applyNumberFormat="1" applyFont="1" applyBorder="1" applyAlignment="1">
      <alignment horizontal="center" vertical="center"/>
    </xf>
    <xf numFmtId="38" fontId="4" fillId="2" borderId="16" xfId="0" applyNumberFormat="1" applyFont="1" applyFill="1" applyBorder="1" applyAlignment="1">
      <alignment horizontal="left" vertical="center" indent="1"/>
    </xf>
    <xf numFmtId="38" fontId="4" fillId="2" borderId="16"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wrapText="1"/>
    </xf>
    <xf numFmtId="38" fontId="4" fillId="0" borderId="5" xfId="0" applyNumberFormat="1" applyFont="1" applyBorder="1" applyAlignment="1">
      <alignment horizontal="center" vertical="center"/>
    </xf>
    <xf numFmtId="38" fontId="4" fillId="0" borderId="6" xfId="0" applyNumberFormat="1" applyFont="1" applyBorder="1" applyAlignment="1">
      <alignment horizontal="center" vertical="center"/>
    </xf>
    <xf numFmtId="38" fontId="16" fillId="0" borderId="1" xfId="0" applyNumberFormat="1" applyFont="1" applyBorder="1" applyAlignment="1">
      <alignment horizontal="center" vertical="center"/>
    </xf>
    <xf numFmtId="3" fontId="4" fillId="0" borderId="1" xfId="0" applyNumberFormat="1" applyFont="1" applyBorder="1" applyAlignment="1">
      <alignment horizontal="right" vertical="center" wrapText="1"/>
    </xf>
    <xf numFmtId="0" fontId="14" fillId="9" borderId="5" xfId="0" applyFont="1" applyFill="1" applyBorder="1" applyAlignment="1">
      <alignment horizontal="center" vertical="center"/>
    </xf>
    <xf numFmtId="0" fontId="15" fillId="6" borderId="6" xfId="0" applyFont="1" applyFill="1" applyBorder="1" applyAlignment="1">
      <alignment horizontal="center" vertical="center"/>
    </xf>
    <xf numFmtId="3" fontId="15" fillId="6" borderId="6" xfId="0" applyNumberFormat="1" applyFont="1" applyFill="1" applyBorder="1" applyAlignment="1">
      <alignment horizontal="center" vertical="center"/>
    </xf>
    <xf numFmtId="3" fontId="15" fillId="7" borderId="1"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0" fontId="16" fillId="0" borderId="0" xfId="0" applyFont="1" applyFill="1" applyAlignment="1">
      <alignment vertical="center"/>
    </xf>
    <xf numFmtId="0" fontId="4" fillId="0" borderId="1"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16" fillId="0" borderId="1" xfId="0" applyFont="1" applyFill="1" applyBorder="1" applyAlignment="1">
      <alignment horizontal="center" vertical="center"/>
    </xf>
    <xf numFmtId="164" fontId="4" fillId="0" borderId="1" xfId="1" applyNumberFormat="1" applyFont="1" applyFill="1" applyBorder="1" applyAlignment="1">
      <alignment horizontal="center" vertical="center"/>
    </xf>
    <xf numFmtId="14" fontId="4" fillId="0" borderId="1" xfId="0" applyNumberFormat="1" applyFont="1" applyFill="1" applyBorder="1" applyAlignment="1">
      <alignment horizontal="center" vertical="center"/>
    </xf>
    <xf numFmtId="164" fontId="16" fillId="0" borderId="1" xfId="1" applyNumberFormat="1" applyFont="1" applyFill="1" applyBorder="1" applyAlignment="1">
      <alignment horizontal="center" vertical="center"/>
    </xf>
    <xf numFmtId="164" fontId="4" fillId="0" borderId="1" xfId="1" applyNumberFormat="1" applyFont="1" applyFill="1" applyBorder="1" applyAlignment="1">
      <alignment vertical="center"/>
    </xf>
    <xf numFmtId="14" fontId="4" fillId="0" borderId="1" xfId="0" applyNumberFormat="1" applyFont="1" applyFill="1" applyBorder="1" applyAlignment="1">
      <alignment vertical="center"/>
    </xf>
    <xf numFmtId="0" fontId="0" fillId="0" borderId="0" xfId="0"/>
    <xf numFmtId="0" fontId="14" fillId="0" borderId="0" xfId="0" applyFont="1"/>
    <xf numFmtId="0" fontId="14" fillId="0" borderId="4" xfId="0" applyFont="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38" fontId="16" fillId="0" borderId="4" xfId="0" applyNumberFormat="1" applyFont="1" applyBorder="1" applyAlignment="1">
      <alignment horizontal="center" vertical="center"/>
    </xf>
    <xf numFmtId="38" fontId="16" fillId="0" borderId="4" xfId="0" applyNumberFormat="1" applyFont="1" applyFill="1" applyBorder="1" applyAlignment="1">
      <alignment horizontal="center" vertical="center"/>
    </xf>
    <xf numFmtId="0" fontId="15" fillId="0" borderId="0" xfId="0" applyFont="1"/>
    <xf numFmtId="0" fontId="14" fillId="0" borderId="0" xfId="0" applyFont="1" applyAlignment="1">
      <alignment horizontal="centerContinuous" vertical="center"/>
    </xf>
    <xf numFmtId="3" fontId="21" fillId="0" borderId="4" xfId="0" applyNumberFormat="1" applyFont="1" applyFill="1" applyBorder="1" applyAlignment="1" applyProtection="1">
      <alignment vertical="center"/>
    </xf>
    <xf numFmtId="0" fontId="15" fillId="0" borderId="0" xfId="0" applyFont="1" applyAlignment="1">
      <alignment vertical="center"/>
    </xf>
    <xf numFmtId="0" fontId="4" fillId="0" borderId="0" xfId="0" applyFont="1" applyFill="1" applyAlignment="1">
      <alignment horizontal="centerContinuous" vertical="center"/>
    </xf>
    <xf numFmtId="38" fontId="16" fillId="0" borderId="4" xfId="0" quotePrefix="1" applyNumberFormat="1" applyFont="1" applyBorder="1" applyAlignment="1">
      <alignment horizontal="left" vertical="center"/>
    </xf>
    <xf numFmtId="38" fontId="4" fillId="6" borderId="4" xfId="0" applyNumberFormat="1" applyFont="1" applyFill="1" applyBorder="1" applyAlignment="1">
      <alignment horizontal="left" vertical="center"/>
    </xf>
    <xf numFmtId="38" fontId="4" fillId="6" borderId="4" xfId="0" applyNumberFormat="1" applyFont="1" applyFill="1" applyBorder="1" applyAlignment="1">
      <alignment horizontal="center" vertical="center"/>
    </xf>
    <xf numFmtId="0" fontId="16" fillId="0" borderId="0" xfId="0" quotePrefix="1" applyFont="1" applyFill="1" applyAlignment="1">
      <alignment horizontal="centerContinuous" vertical="center"/>
    </xf>
    <xf numFmtId="3" fontId="16" fillId="0" borderId="0" xfId="0" applyNumberFormat="1" applyFont="1" applyFill="1" applyAlignment="1">
      <alignment horizontal="centerContinuous" vertical="center"/>
    </xf>
    <xf numFmtId="0" fontId="16" fillId="0" borderId="4" xfId="0" applyNumberFormat="1" applyFont="1" applyFill="1" applyBorder="1" applyAlignment="1">
      <alignment horizontal="center" vertical="center"/>
    </xf>
    <xf numFmtId="3" fontId="16" fillId="0" borderId="4" xfId="0" applyNumberFormat="1" applyFont="1" applyFill="1" applyBorder="1" applyAlignment="1">
      <alignment horizontal="center" vertical="center"/>
    </xf>
    <xf numFmtId="0" fontId="16" fillId="0" borderId="20" xfId="0" applyFont="1" applyFill="1" applyBorder="1" applyAlignment="1">
      <alignment horizontal="left" vertical="center"/>
    </xf>
    <xf numFmtId="0" fontId="16" fillId="0" borderId="6" xfId="0" applyNumberFormat="1" applyFont="1" applyFill="1" applyBorder="1" applyAlignment="1">
      <alignment horizontal="center" vertical="center"/>
    </xf>
    <xf numFmtId="38" fontId="4" fillId="7" borderId="1" xfId="0" applyNumberFormat="1" applyFont="1" applyFill="1" applyBorder="1" applyAlignment="1">
      <alignment horizontal="center" vertical="center" wrapText="1"/>
    </xf>
    <xf numFmtId="0" fontId="16" fillId="0" borderId="4" xfId="0" applyNumberFormat="1" applyFont="1" applyBorder="1" applyAlignment="1">
      <alignment horizontal="center" vertical="center"/>
    </xf>
    <xf numFmtId="38" fontId="4" fillId="6" borderId="20" xfId="0" applyNumberFormat="1" applyFont="1" applyFill="1" applyBorder="1" applyAlignment="1">
      <alignment horizontal="center" vertical="center"/>
    </xf>
    <xf numFmtId="0" fontId="4" fillId="6" borderId="2" xfId="0" applyFont="1" applyFill="1" applyBorder="1" applyAlignment="1">
      <alignment horizontal="center" vertical="center"/>
    </xf>
    <xf numFmtId="0" fontId="16" fillId="7"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0" fontId="14" fillId="0" borderId="0" xfId="0" applyFont="1" applyAlignment="1">
      <alignment horizontal="left" vertical="center"/>
    </xf>
    <xf numFmtId="0" fontId="16" fillId="0" borderId="4" xfId="0" applyNumberFormat="1" applyFont="1" applyFill="1" applyBorder="1" applyAlignment="1">
      <alignment horizontal="left" vertical="center"/>
    </xf>
    <xf numFmtId="0" fontId="16" fillId="0" borderId="6" xfId="0" applyNumberFormat="1" applyFont="1" applyFill="1" applyBorder="1" applyAlignment="1">
      <alignment horizontal="left" vertical="center"/>
    </xf>
    <xf numFmtId="38" fontId="4" fillId="6" borderId="20" xfId="0" applyNumberFormat="1" applyFont="1" applyFill="1" applyBorder="1" applyAlignment="1">
      <alignment horizontal="left" vertical="center"/>
    </xf>
    <xf numFmtId="3" fontId="20" fillId="0" borderId="0" xfId="0" applyNumberFormat="1" applyFont="1" applyFill="1" applyAlignment="1" applyProtection="1">
      <alignment horizontal="left" vertical="center"/>
    </xf>
    <xf numFmtId="0" fontId="16" fillId="0" borderId="4" xfId="0" applyFont="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0" fontId="4" fillId="6" borderId="26" xfId="0" applyFont="1" applyFill="1" applyBorder="1" applyAlignment="1">
      <alignment horizontal="left" vertical="center"/>
    </xf>
    <xf numFmtId="0" fontId="16" fillId="0" borderId="4" xfId="0" applyFont="1" applyFill="1" applyBorder="1" applyAlignment="1">
      <alignment horizontal="center" vertical="center"/>
    </xf>
    <xf numFmtId="0" fontId="14" fillId="0" borderId="0" xfId="0" applyFont="1" applyFill="1" applyBorder="1"/>
    <xf numFmtId="164" fontId="4" fillId="0" borderId="1" xfId="1" applyNumberFormat="1" applyFont="1" applyFill="1" applyBorder="1" applyAlignment="1">
      <alignment horizontal="centerContinuous" vertical="center"/>
    </xf>
    <xf numFmtId="0" fontId="16" fillId="0" borderId="1" xfId="0" quotePrefix="1" applyNumberFormat="1" applyFont="1" applyFill="1" applyBorder="1" applyAlignment="1">
      <alignment horizontal="left" vertical="center"/>
    </xf>
    <xf numFmtId="164" fontId="16" fillId="0" borderId="1" xfId="0" applyNumberFormat="1" applyFont="1" applyFill="1" applyBorder="1" applyAlignment="1">
      <alignment horizontal="center" vertical="center"/>
    </xf>
    <xf numFmtId="164" fontId="24" fillId="0" borderId="1" xfId="1" applyNumberFormat="1" applyFont="1" applyFill="1" applyBorder="1" applyAlignment="1">
      <alignment vertical="center"/>
    </xf>
    <xf numFmtId="0" fontId="16" fillId="0" borderId="1" xfId="0" applyNumberFormat="1" applyFont="1" applyFill="1" applyBorder="1" applyAlignment="1" applyProtection="1">
      <alignment horizontal="left" vertical="center"/>
      <protection hidden="1"/>
    </xf>
    <xf numFmtId="49"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xf>
    <xf numFmtId="3" fontId="16" fillId="0" borderId="1" xfId="0" applyNumberFormat="1" applyFont="1" applyFill="1" applyBorder="1" applyAlignment="1" applyProtection="1">
      <alignment horizontal="center" vertical="center"/>
      <protection locked="0"/>
    </xf>
    <xf numFmtId="164" fontId="24" fillId="0" borderId="1" xfId="1" applyNumberFormat="1" applyFont="1" applyFill="1" applyBorder="1" applyAlignment="1" applyProtection="1">
      <alignment vertical="center"/>
      <protection locked="0"/>
    </xf>
    <xf numFmtId="3" fontId="16" fillId="0" borderId="1" xfId="0" applyNumberFormat="1" applyFont="1" applyFill="1" applyBorder="1" applyAlignment="1" applyProtection="1">
      <alignment horizontal="right" vertical="center"/>
      <protection locked="0"/>
    </xf>
    <xf numFmtId="164" fontId="16" fillId="0" borderId="1" xfId="1" applyNumberFormat="1" applyFont="1" applyFill="1" applyBorder="1" applyAlignment="1" applyProtection="1">
      <alignment vertical="center"/>
      <protection locked="0"/>
    </xf>
    <xf numFmtId="3" fontId="16" fillId="0" borderId="1" xfId="0" applyNumberFormat="1" applyFont="1" applyFill="1" applyBorder="1" applyAlignment="1">
      <alignment horizontal="center" vertical="center"/>
    </xf>
    <xf numFmtId="164" fontId="20" fillId="0" borderId="1" xfId="1" applyNumberFormat="1" applyFont="1" applyFill="1" applyBorder="1" applyAlignment="1">
      <alignment vertical="center"/>
    </xf>
    <xf numFmtId="164" fontId="3" fillId="0" borderId="1" xfId="1" applyNumberFormat="1" applyFont="1" applyFill="1" applyBorder="1" applyAlignment="1">
      <alignment vertical="center"/>
    </xf>
    <xf numFmtId="0" fontId="16" fillId="0" borderId="1" xfId="0" applyNumberFormat="1" applyFont="1" applyFill="1" applyBorder="1" applyAlignment="1">
      <alignment horizontal="left" vertical="center" wrapText="1"/>
    </xf>
    <xf numFmtId="14" fontId="16" fillId="0" borderId="1" xfId="0" applyNumberFormat="1" applyFont="1" applyFill="1" applyBorder="1" applyAlignment="1">
      <alignment vertical="center"/>
    </xf>
    <xf numFmtId="0" fontId="16" fillId="0" borderId="1" xfId="0" quotePrefix="1" applyFont="1" applyFill="1" applyBorder="1" applyAlignment="1">
      <alignment horizontal="center" vertical="center"/>
    </xf>
    <xf numFmtId="165" fontId="16" fillId="0" borderId="1" xfId="1" applyNumberFormat="1" applyFont="1" applyFill="1" applyBorder="1" applyAlignment="1">
      <alignment vertical="center"/>
    </xf>
    <xf numFmtId="43" fontId="16" fillId="0" borderId="1" xfId="1" applyNumberFormat="1" applyFont="1" applyFill="1" applyBorder="1" applyAlignment="1">
      <alignment vertical="center"/>
    </xf>
    <xf numFmtId="164" fontId="33" fillId="0" borderId="1" xfId="1" applyNumberFormat="1" applyFont="1" applyFill="1" applyBorder="1" applyAlignment="1">
      <alignment vertical="center"/>
    </xf>
    <xf numFmtId="0" fontId="16" fillId="0" borderId="1" xfId="0" applyFont="1" applyFill="1" applyBorder="1" applyAlignment="1">
      <alignment vertical="center"/>
    </xf>
    <xf numFmtId="0" fontId="16" fillId="0" borderId="1" xfId="0" quotePrefix="1" applyNumberFormat="1" applyFont="1" applyFill="1" applyBorder="1" applyAlignment="1">
      <alignment horizontal="left" vertical="center" wrapText="1"/>
    </xf>
    <xf numFmtId="0" fontId="14" fillId="0" borderId="0" xfId="0" applyFont="1" applyFill="1" applyAlignment="1">
      <alignment horizontal="center" vertical="center"/>
    </xf>
    <xf numFmtId="0" fontId="14"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vertical="center" wrapText="1"/>
    </xf>
    <xf numFmtId="0" fontId="23" fillId="0" borderId="1" xfId="0" applyFont="1" applyBorder="1" applyAlignment="1">
      <alignment horizontal="right" vertical="center" wrapText="1"/>
    </xf>
    <xf numFmtId="0" fontId="14" fillId="0" borderId="0" xfId="0" applyNumberFormat="1" applyFont="1" applyFill="1" applyAlignment="1">
      <alignment horizontal="left" vertical="center"/>
    </xf>
    <xf numFmtId="164" fontId="4"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3" fontId="15" fillId="0" borderId="1" xfId="0" applyNumberFormat="1" applyFont="1" applyBorder="1" applyAlignment="1">
      <alignment horizontal="center" vertical="center"/>
    </xf>
    <xf numFmtId="3" fontId="14" fillId="0" borderId="1" xfId="1" applyNumberFormat="1" applyFont="1" applyBorder="1" applyAlignment="1">
      <alignment horizontal="center" vertical="center"/>
    </xf>
    <xf numFmtId="176" fontId="14" fillId="0" borderId="1" xfId="1" applyNumberFormat="1" applyFont="1" applyBorder="1" applyAlignment="1">
      <alignment horizontal="center" vertical="center"/>
    </xf>
    <xf numFmtId="176" fontId="14" fillId="0" borderId="1" xfId="0" applyNumberFormat="1" applyFont="1" applyBorder="1" applyAlignment="1">
      <alignment horizontal="center" vertical="center"/>
    </xf>
    <xf numFmtId="173" fontId="14" fillId="9" borderId="1" xfId="0" applyNumberFormat="1" applyFont="1" applyFill="1" applyBorder="1" applyAlignment="1">
      <alignment vertical="center"/>
    </xf>
    <xf numFmtId="176" fontId="14" fillId="7"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0" xfId="0" applyFont="1" applyFill="1" applyAlignment="1">
      <alignment horizontal="centerContinuous" vertical="center"/>
    </xf>
    <xf numFmtId="173" fontId="16" fillId="0" borderId="0" xfId="0" applyNumberFormat="1" applyFont="1" applyFill="1" applyAlignment="1">
      <alignment horizontal="centerContinuous" vertical="center"/>
    </xf>
    <xf numFmtId="2" fontId="16" fillId="0" borderId="0" xfId="0" applyNumberFormat="1" applyFont="1" applyFill="1" applyAlignment="1">
      <alignment horizontal="centerContinuous" vertical="center"/>
    </xf>
    <xf numFmtId="0" fontId="16" fillId="0" borderId="0" xfId="0" applyNumberFormat="1" applyFont="1" applyFill="1" applyBorder="1" applyAlignment="1">
      <alignment horizontal="centerContinuous" vertical="center"/>
    </xf>
    <xf numFmtId="0" fontId="16" fillId="0" borderId="27" xfId="0" applyNumberFormat="1" applyFont="1" applyFill="1" applyBorder="1" applyAlignment="1">
      <alignment horizontal="centerContinuous" vertical="center"/>
    </xf>
    <xf numFmtId="0" fontId="4" fillId="7" borderId="1" xfId="0" applyFont="1" applyFill="1" applyBorder="1" applyAlignment="1">
      <alignment horizontal="center" vertical="center" wrapText="1"/>
    </xf>
    <xf numFmtId="0" fontId="4" fillId="0" borderId="3" xfId="0" applyNumberFormat="1" applyFont="1" applyFill="1" applyBorder="1" applyAlignment="1">
      <alignment horizontal="center" vertical="center" wrapText="1"/>
    </xf>
    <xf numFmtId="1" fontId="4" fillId="6" borderId="19" xfId="0" applyNumberFormat="1" applyFont="1" applyFill="1" applyBorder="1" applyAlignment="1" applyProtection="1">
      <alignment horizontal="center" vertical="center"/>
      <protection hidden="1"/>
    </xf>
    <xf numFmtId="175" fontId="4" fillId="6" borderId="19" xfId="0" applyNumberFormat="1" applyFont="1" applyFill="1" applyBorder="1" applyAlignment="1">
      <alignment horizontal="left" vertical="center"/>
    </xf>
    <xf numFmtId="0" fontId="16" fillId="6" borderId="19" xfId="0" applyFont="1" applyFill="1" applyBorder="1" applyAlignment="1">
      <alignment horizontal="left" vertical="center"/>
    </xf>
    <xf numFmtId="0" fontId="16" fillId="6" borderId="19" xfId="0" applyFont="1" applyFill="1" applyBorder="1" applyAlignment="1">
      <alignment horizontal="center" vertical="center"/>
    </xf>
    <xf numFmtId="164" fontId="16" fillId="6" borderId="19" xfId="1" applyNumberFormat="1" applyFont="1" applyFill="1" applyBorder="1" applyAlignment="1">
      <alignment horizontal="center" vertical="center"/>
    </xf>
    <xf numFmtId="0" fontId="16" fillId="6" borderId="19" xfId="0" quotePrefix="1" applyNumberFormat="1" applyFont="1" applyFill="1" applyBorder="1" applyAlignment="1">
      <alignment horizontal="center" vertical="center"/>
    </xf>
    <xf numFmtId="173" fontId="16" fillId="6" borderId="19" xfId="0" applyNumberFormat="1" applyFont="1" applyFill="1" applyBorder="1" applyAlignment="1">
      <alignment vertical="center"/>
    </xf>
    <xf numFmtId="2" fontId="16" fillId="6" borderId="19" xfId="0" applyNumberFormat="1" applyFont="1" applyFill="1" applyBorder="1" applyAlignment="1">
      <alignment vertical="center"/>
    </xf>
    <xf numFmtId="1" fontId="16" fillId="6" borderId="19" xfId="0" applyNumberFormat="1" applyFont="1" applyFill="1" applyBorder="1" applyAlignment="1">
      <alignment horizontal="center" vertical="center"/>
    </xf>
    <xf numFmtId="165" fontId="16" fillId="6" borderId="19" xfId="0" applyNumberFormat="1" applyFont="1" applyFill="1" applyBorder="1" applyAlignment="1">
      <alignment vertical="center"/>
    </xf>
    <xf numFmtId="0" fontId="16" fillId="0" borderId="7" xfId="0" applyNumberFormat="1" applyFont="1" applyFill="1" applyBorder="1" applyAlignment="1">
      <alignment horizontal="center" vertical="center"/>
    </xf>
    <xf numFmtId="1" fontId="16" fillId="0" borderId="4" xfId="0" applyNumberFormat="1" applyFont="1" applyFill="1" applyBorder="1" applyAlignment="1" applyProtection="1">
      <alignment horizontal="center" vertical="center"/>
      <protection hidden="1"/>
    </xf>
    <xf numFmtId="175" fontId="22" fillId="19" borderId="4" xfId="0" quotePrefix="1" applyNumberFormat="1" applyFont="1" applyFill="1" applyBorder="1" applyAlignment="1">
      <alignment horizontal="center"/>
    </xf>
    <xf numFmtId="175" fontId="16" fillId="16" borderId="4" xfId="0" applyNumberFormat="1" applyFont="1" applyFill="1" applyBorder="1" applyAlignment="1">
      <alignment horizontal="left" vertical="center"/>
    </xf>
    <xf numFmtId="175" fontId="16" fillId="0" borderId="4" xfId="0" applyNumberFormat="1" applyFont="1" applyFill="1" applyBorder="1" applyAlignment="1">
      <alignment horizontal="center" vertical="center"/>
    </xf>
    <xf numFmtId="0" fontId="16" fillId="0" borderId="4" xfId="1" applyNumberFormat="1" applyFont="1" applyFill="1" applyBorder="1" applyAlignment="1">
      <alignment horizontal="center" vertical="center"/>
    </xf>
    <xf numFmtId="0" fontId="16" fillId="0" borderId="4" xfId="0" quotePrefix="1" applyNumberFormat="1" applyFont="1" applyFill="1" applyBorder="1" applyAlignment="1">
      <alignment horizontal="center" vertical="center"/>
    </xf>
    <xf numFmtId="179" fontId="16" fillId="0" borderId="4" xfId="0" applyNumberFormat="1" applyFont="1" applyFill="1" applyBorder="1" applyAlignment="1">
      <alignment vertical="center"/>
    </xf>
    <xf numFmtId="2" fontId="16" fillId="0" borderId="4" xfId="0" applyNumberFormat="1" applyFont="1" applyFill="1" applyBorder="1" applyAlignment="1">
      <alignment vertical="center"/>
    </xf>
    <xf numFmtId="1" fontId="16" fillId="0" borderId="4" xfId="0" applyNumberFormat="1" applyFont="1" applyFill="1" applyBorder="1" applyAlignment="1">
      <alignment horizontal="center" vertical="center"/>
    </xf>
    <xf numFmtId="164" fontId="16" fillId="0" borderId="4" xfId="0" applyNumberFormat="1" applyFont="1" applyFill="1" applyBorder="1" applyAlignment="1">
      <alignment vertical="center"/>
    </xf>
    <xf numFmtId="0" fontId="16" fillId="0" borderId="31" xfId="0" applyNumberFormat="1" applyFont="1" applyFill="1" applyBorder="1" applyAlignment="1">
      <alignment horizontal="center" vertical="center"/>
    </xf>
    <xf numFmtId="175" fontId="16" fillId="16" borderId="4" xfId="0" applyNumberFormat="1" applyFont="1" applyFill="1" applyBorder="1" applyAlignment="1">
      <alignment horizontal="center" vertical="center"/>
    </xf>
    <xf numFmtId="173" fontId="16" fillId="0" borderId="4" xfId="0" applyNumberFormat="1" applyFont="1" applyFill="1" applyBorder="1" applyAlignment="1">
      <alignment vertical="center"/>
    </xf>
    <xf numFmtId="0" fontId="16" fillId="16" borderId="4" xfId="0" applyFont="1" applyFill="1" applyBorder="1" applyAlignment="1">
      <alignment horizontal="left" vertical="center"/>
    </xf>
    <xf numFmtId="0" fontId="22" fillId="16" borderId="4" xfId="0" applyFont="1" applyFill="1" applyBorder="1" applyAlignment="1">
      <alignment horizontal="left" vertical="center"/>
    </xf>
    <xf numFmtId="175" fontId="16" fillId="0" borderId="4" xfId="0" quotePrefix="1" applyNumberFormat="1" applyFont="1" applyFill="1" applyBorder="1" applyAlignment="1">
      <alignment horizontal="center" vertical="center"/>
    </xf>
    <xf numFmtId="0" fontId="16" fillId="18" borderId="4" xfId="0" applyFont="1" applyFill="1" applyBorder="1" applyAlignment="1">
      <alignment horizontal="left" vertical="center"/>
    </xf>
    <xf numFmtId="175" fontId="16" fillId="16" borderId="4" xfId="0" quotePrefix="1" applyNumberFormat="1" applyFont="1" applyFill="1" applyBorder="1" applyAlignment="1">
      <alignment horizontal="center" vertical="center"/>
    </xf>
    <xf numFmtId="0" fontId="16" fillId="17" borderId="4" xfId="0" applyFont="1" applyFill="1" applyBorder="1" applyAlignment="1">
      <alignment horizontal="left" vertical="center"/>
    </xf>
    <xf numFmtId="1" fontId="16" fillId="18" borderId="4" xfId="0" applyNumberFormat="1" applyFont="1" applyFill="1" applyBorder="1" applyAlignment="1">
      <alignment horizontal="left" vertical="center"/>
    </xf>
    <xf numFmtId="1" fontId="16" fillId="0" borderId="4" xfId="0" applyNumberFormat="1" applyFont="1" applyFill="1" applyBorder="1" applyAlignment="1">
      <alignment horizontal="center" vertical="center"/>
    </xf>
    <xf numFmtId="1" fontId="16" fillId="16" borderId="4" xfId="0" applyNumberFormat="1" applyFont="1" applyFill="1" applyBorder="1" applyAlignment="1">
      <alignment vertical="center"/>
    </xf>
    <xf numFmtId="1" fontId="16" fillId="16" borderId="4" xfId="0" applyNumberFormat="1" applyFont="1" applyFill="1" applyBorder="1" applyAlignment="1">
      <alignment horizontal="left" vertical="center"/>
    </xf>
    <xf numFmtId="175" fontId="16" fillId="16" borderId="4" xfId="0" applyNumberFormat="1" applyFont="1" applyFill="1" applyBorder="1" applyAlignment="1">
      <alignment vertical="center"/>
    </xf>
    <xf numFmtId="1" fontId="16" fillId="0" borderId="20" xfId="0" applyNumberFormat="1" applyFont="1" applyFill="1" applyBorder="1" applyAlignment="1" applyProtection="1">
      <alignment horizontal="center" vertical="center"/>
      <protection hidden="1"/>
    </xf>
    <xf numFmtId="175" fontId="16" fillId="0" borderId="20" xfId="0" applyNumberFormat="1" applyFont="1" applyFill="1" applyBorder="1" applyAlignment="1">
      <alignment horizontal="center" vertical="center"/>
    </xf>
    <xf numFmtId="0" fontId="16" fillId="0" borderId="20" xfId="0" applyFont="1" applyFill="1" applyBorder="1" applyAlignment="1">
      <alignment horizontal="center" vertical="center"/>
    </xf>
    <xf numFmtId="164" fontId="16" fillId="0" borderId="20" xfId="1" applyNumberFormat="1" applyFont="1" applyFill="1" applyBorder="1" applyAlignment="1">
      <alignment horizontal="center" vertical="center"/>
    </xf>
    <xf numFmtId="0" fontId="16" fillId="0" borderId="20" xfId="0" quotePrefix="1" applyNumberFormat="1" applyFont="1" applyFill="1" applyBorder="1" applyAlignment="1">
      <alignment horizontal="center" vertical="center"/>
    </xf>
    <xf numFmtId="173" fontId="16" fillId="0" borderId="20" xfId="0" applyNumberFormat="1" applyFont="1" applyFill="1" applyBorder="1" applyAlignment="1">
      <alignment vertical="center"/>
    </xf>
    <xf numFmtId="2" fontId="16" fillId="0" borderId="20" xfId="0" applyNumberFormat="1" applyFont="1" applyFill="1" applyBorder="1" applyAlignment="1">
      <alignment vertical="center"/>
    </xf>
    <xf numFmtId="3" fontId="16" fillId="0" borderId="20" xfId="0" applyNumberFormat="1" applyFont="1" applyFill="1" applyBorder="1" applyAlignment="1">
      <alignment horizontal="center" vertical="center"/>
    </xf>
    <xf numFmtId="165" fontId="16" fillId="0" borderId="20" xfId="0" applyNumberFormat="1" applyFont="1" applyFill="1" applyBorder="1" applyAlignment="1">
      <alignment vertical="center"/>
    </xf>
    <xf numFmtId="0" fontId="16" fillId="7" borderId="1" xfId="0" applyFont="1" applyFill="1" applyBorder="1" applyAlignment="1">
      <alignment horizontal="left" vertical="center"/>
    </xf>
    <xf numFmtId="164" fontId="16" fillId="7" borderId="1" xfId="1" applyNumberFormat="1" applyFont="1" applyFill="1" applyBorder="1" applyAlignment="1">
      <alignment horizontal="center" vertical="center"/>
    </xf>
    <xf numFmtId="0" fontId="16" fillId="7" borderId="1" xfId="0" applyNumberFormat="1" applyFont="1" applyFill="1" applyBorder="1" applyAlignment="1">
      <alignment horizontal="center" vertical="center"/>
    </xf>
    <xf numFmtId="2" fontId="34" fillId="7" borderId="1" xfId="0" applyNumberFormat="1" applyFont="1" applyFill="1" applyBorder="1" applyAlignment="1">
      <alignment horizontal="right" vertical="center"/>
    </xf>
    <xf numFmtId="173" fontId="34" fillId="7" borderId="1" xfId="0" applyNumberFormat="1" applyFont="1" applyFill="1" applyBorder="1" applyAlignment="1">
      <alignment horizontal="right" vertical="center"/>
    </xf>
    <xf numFmtId="37" fontId="4" fillId="7" borderId="1" xfId="0" applyNumberFormat="1" applyFont="1" applyFill="1" applyBorder="1" applyAlignment="1">
      <alignment vertical="center"/>
    </xf>
    <xf numFmtId="0" fontId="22" fillId="0" borderId="4" xfId="0" applyFont="1" applyFill="1" applyBorder="1" applyAlignment="1">
      <alignment horizontal="left" vertical="center"/>
    </xf>
    <xf numFmtId="1" fontId="16" fillId="0" borderId="4" xfId="0" applyNumberFormat="1" applyFont="1" applyFill="1" applyBorder="1" applyAlignment="1">
      <alignment horizontal="left" vertical="center"/>
    </xf>
    <xf numFmtId="1" fontId="16" fillId="0" borderId="4" xfId="0" applyNumberFormat="1" applyFont="1" applyFill="1" applyBorder="1" applyAlignment="1">
      <alignment vertical="center"/>
    </xf>
    <xf numFmtId="0" fontId="16" fillId="0" borderId="4" xfId="0" applyFont="1" applyFill="1" applyBorder="1" applyAlignment="1">
      <alignment horizontal="left" vertical="center"/>
    </xf>
    <xf numFmtId="0" fontId="16" fillId="0" borderId="4" xfId="0" applyFont="1" applyFill="1" applyBorder="1" applyAlignment="1">
      <alignment vertical="center"/>
    </xf>
    <xf numFmtId="175" fontId="16" fillId="0" borderId="4" xfId="0" applyNumberFormat="1" applyFont="1" applyFill="1" applyBorder="1" applyAlignment="1">
      <alignment vertical="center"/>
    </xf>
    <xf numFmtId="175" fontId="16" fillId="0" borderId="4" xfId="0" applyNumberFormat="1" applyFont="1" applyFill="1" applyBorder="1" applyAlignment="1">
      <alignment horizontal="left" vertical="center"/>
    </xf>
    <xf numFmtId="0" fontId="16" fillId="0" borderId="32" xfId="0" applyNumberFormat="1" applyFont="1" applyFill="1" applyBorder="1" applyAlignment="1">
      <alignment horizontal="center" vertical="center"/>
    </xf>
    <xf numFmtId="0" fontId="16" fillId="0" borderId="29" xfId="0" applyFont="1" applyFill="1" applyBorder="1" applyAlignment="1">
      <alignment horizontal="center" vertical="center"/>
    </xf>
    <xf numFmtId="0" fontId="16" fillId="0" borderId="29" xfId="0" applyFont="1" applyFill="1" applyBorder="1" applyAlignment="1">
      <alignment horizontal="left" vertical="center"/>
    </xf>
    <xf numFmtId="164" fontId="16" fillId="0" borderId="29" xfId="1" applyNumberFormat="1" applyFont="1" applyFill="1" applyBorder="1" applyAlignment="1">
      <alignment horizontal="center" vertical="center"/>
    </xf>
    <xf numFmtId="0" fontId="16" fillId="0" borderId="29" xfId="0" applyNumberFormat="1" applyFont="1" applyFill="1" applyBorder="1" applyAlignment="1">
      <alignment horizontal="center" vertical="center"/>
    </xf>
    <xf numFmtId="173" fontId="34" fillId="0" borderId="29" xfId="0" applyNumberFormat="1" applyFont="1" applyFill="1" applyBorder="1" applyAlignment="1">
      <alignment horizontal="right" vertical="center"/>
    </xf>
    <xf numFmtId="2" fontId="34" fillId="0" borderId="29" xfId="0" applyNumberFormat="1" applyFont="1" applyFill="1" applyBorder="1" applyAlignment="1">
      <alignment horizontal="right" vertical="center"/>
    </xf>
    <xf numFmtId="43" fontId="4" fillId="0" borderId="29" xfId="0" applyNumberFormat="1" applyFont="1" applyFill="1" applyBorder="1" applyAlignment="1">
      <alignment vertical="center"/>
    </xf>
    <xf numFmtId="0" fontId="16" fillId="0" borderId="33" xfId="0" applyNumberFormat="1" applyFont="1" applyFill="1" applyBorder="1" applyAlignment="1">
      <alignment horizontal="center" vertical="center"/>
    </xf>
    <xf numFmtId="173" fontId="4" fillId="0" borderId="28" xfId="0" applyNumberFormat="1" applyFont="1" applyFill="1" applyBorder="1" applyAlignment="1">
      <alignment horizontal="centerContinuous" vertical="center"/>
    </xf>
    <xf numFmtId="0" fontId="16" fillId="0" borderId="28" xfId="0" applyFont="1" applyFill="1" applyBorder="1" applyAlignment="1">
      <alignment horizontal="centerContinuous" vertical="center"/>
    </xf>
    <xf numFmtId="164" fontId="16" fillId="0" borderId="28" xfId="1" applyNumberFormat="1" applyFont="1" applyFill="1" applyBorder="1" applyAlignment="1">
      <alignment horizontal="centerContinuous" vertical="center"/>
    </xf>
    <xf numFmtId="0" fontId="16" fillId="0" borderId="28" xfId="0" applyNumberFormat="1" applyFont="1" applyFill="1" applyBorder="1" applyAlignment="1">
      <alignment horizontal="centerContinuous" vertical="center"/>
    </xf>
    <xf numFmtId="173" fontId="34" fillId="0" borderId="28" xfId="0" applyNumberFormat="1" applyFont="1" applyFill="1" applyBorder="1" applyAlignment="1">
      <alignment horizontal="centerContinuous" vertical="center"/>
    </xf>
    <xf numFmtId="2" fontId="34" fillId="0" borderId="28" xfId="0" applyNumberFormat="1" applyFont="1" applyFill="1" applyBorder="1" applyAlignment="1">
      <alignment horizontal="centerContinuous" vertical="center"/>
    </xf>
    <xf numFmtId="43" fontId="4" fillId="0" borderId="28" xfId="0" applyNumberFormat="1" applyFont="1" applyFill="1" applyBorder="1" applyAlignment="1">
      <alignment horizontal="centerContinuous" vertical="center"/>
    </xf>
    <xf numFmtId="43" fontId="4" fillId="0" borderId="30" xfId="0" applyNumberFormat="1" applyFont="1" applyFill="1" applyBorder="1" applyAlignment="1">
      <alignment horizontal="centerContinuous" vertical="center"/>
    </xf>
    <xf numFmtId="0" fontId="16" fillId="0" borderId="34" xfId="0" applyNumberFormat="1" applyFont="1" applyFill="1" applyBorder="1" applyAlignment="1">
      <alignment horizontal="center" vertical="center"/>
    </xf>
    <xf numFmtId="2" fontId="4" fillId="0" borderId="1" xfId="0" applyNumberFormat="1" applyFont="1" applyFill="1" applyBorder="1" applyAlignment="1">
      <alignment horizontal="center" vertical="center" wrapText="1"/>
    </xf>
    <xf numFmtId="173"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173" fontId="16" fillId="0" borderId="4" xfId="0" applyNumberFormat="1" applyFont="1" applyFill="1" applyBorder="1" applyAlignment="1">
      <alignment horizontal="center" vertical="center"/>
    </xf>
    <xf numFmtId="2" fontId="16" fillId="0" borderId="4" xfId="0" applyNumberFormat="1" applyFont="1" applyFill="1" applyBorder="1" applyAlignment="1">
      <alignment horizontal="center" vertical="center"/>
    </xf>
    <xf numFmtId="2" fontId="16" fillId="0" borderId="4" xfId="0" quotePrefix="1" applyNumberFormat="1" applyFont="1" applyFill="1" applyBorder="1" applyAlignment="1">
      <alignment horizontal="center" vertical="center"/>
    </xf>
    <xf numFmtId="175" fontId="16" fillId="0" borderId="20" xfId="0" quotePrefix="1" applyNumberFormat="1" applyFont="1" applyFill="1" applyBorder="1" applyAlignment="1">
      <alignment horizontal="center" vertical="center"/>
    </xf>
    <xf numFmtId="175" fontId="16" fillId="0" borderId="20" xfId="0" applyNumberFormat="1" applyFont="1" applyFill="1" applyBorder="1" applyAlignment="1">
      <alignment vertical="center"/>
    </xf>
    <xf numFmtId="0" fontId="16" fillId="0" borderId="20" xfId="1" applyNumberFormat="1" applyFont="1" applyFill="1" applyBorder="1" applyAlignment="1">
      <alignment horizontal="center" vertical="center"/>
    </xf>
    <xf numFmtId="2" fontId="16" fillId="0" borderId="20" xfId="0" applyNumberFormat="1" applyFont="1" applyFill="1" applyBorder="1" applyAlignment="1">
      <alignment horizontal="center" vertical="center"/>
    </xf>
    <xf numFmtId="2" fontId="16" fillId="0" borderId="20" xfId="0" quotePrefix="1" applyNumberFormat="1" applyFont="1" applyFill="1" applyBorder="1" applyAlignment="1">
      <alignment horizontal="center" vertical="center"/>
    </xf>
    <xf numFmtId="0" fontId="16" fillId="0" borderId="4" xfId="0" applyNumberFormat="1" applyFont="1" applyFill="1" applyBorder="1" applyAlignment="1">
      <alignment horizontal="center" vertical="center"/>
    </xf>
    <xf numFmtId="37" fontId="35" fillId="7" borderId="1" xfId="0" applyNumberFormat="1" applyFont="1" applyFill="1" applyBorder="1" applyAlignment="1">
      <alignment vertical="center"/>
    </xf>
    <xf numFmtId="173" fontId="36" fillId="0" borderId="29" xfId="0" applyNumberFormat="1" applyFont="1" applyFill="1" applyBorder="1" applyAlignment="1">
      <alignment horizontal="left" vertical="center"/>
    </xf>
    <xf numFmtId="173" fontId="16" fillId="0" borderId="29" xfId="0" applyNumberFormat="1" applyFont="1" applyFill="1" applyBorder="1" applyAlignment="1">
      <alignment vertical="center"/>
    </xf>
    <xf numFmtId="2" fontId="16" fillId="0" borderId="29" xfId="0" applyNumberFormat="1" applyFont="1" applyFill="1" applyBorder="1" applyAlignment="1">
      <alignment vertical="center"/>
    </xf>
    <xf numFmtId="0" fontId="16" fillId="0" borderId="29" xfId="0" applyFont="1" applyFill="1" applyBorder="1" applyAlignment="1">
      <alignment vertical="center"/>
    </xf>
    <xf numFmtId="0" fontId="16" fillId="0" borderId="0" xfId="0" applyNumberFormat="1" applyFont="1" applyFill="1" applyBorder="1" applyAlignment="1">
      <alignment horizontal="center" vertical="center"/>
    </xf>
    <xf numFmtId="0" fontId="14" fillId="0" borderId="0" xfId="0" applyFont="1" applyFill="1" applyAlignment="1">
      <alignment horizontal="centerContinuous" vertical="center"/>
    </xf>
    <xf numFmtId="3" fontId="14" fillId="0" borderId="0" xfId="0" applyNumberFormat="1" applyFont="1" applyFill="1" applyAlignment="1">
      <alignment horizontal="centerContinuous" vertical="center"/>
    </xf>
    <xf numFmtId="0" fontId="14" fillId="0" borderId="0" xfId="0" applyFont="1" applyFill="1" applyAlignment="1">
      <alignment horizontal="center"/>
    </xf>
    <xf numFmtId="3" fontId="14" fillId="0" borderId="0" xfId="0" applyNumberFormat="1" applyFont="1" applyFill="1"/>
    <xf numFmtId="49" fontId="14" fillId="0" borderId="0" xfId="0" applyNumberFormat="1" applyFont="1" applyFill="1" applyAlignment="1">
      <alignment horizontal="center"/>
    </xf>
    <xf numFmtId="49" fontId="14" fillId="0" borderId="0" xfId="0" applyNumberFormat="1" applyFont="1" applyAlignment="1">
      <alignment horizontal="center"/>
    </xf>
    <xf numFmtId="0" fontId="14" fillId="0" borderId="0" xfId="0" applyFont="1" applyFill="1" applyAlignment="1">
      <alignment horizontal="left" vertical="center"/>
    </xf>
    <xf numFmtId="3" fontId="28" fillId="15" borderId="22" xfId="0" applyNumberFormat="1" applyFont="1" applyFill="1" applyBorder="1" applyAlignment="1">
      <alignment horizontal="center" vertical="center" wrapText="1"/>
    </xf>
    <xf numFmtId="180" fontId="28" fillId="15" borderId="22" xfId="0" applyNumberFormat="1" applyFont="1" applyFill="1" applyBorder="1" applyAlignment="1">
      <alignment horizontal="center" vertical="center" wrapText="1"/>
    </xf>
    <xf numFmtId="180" fontId="14" fillId="14" borderId="4" xfId="0" applyNumberFormat="1" applyFont="1" applyFill="1" applyBorder="1"/>
    <xf numFmtId="180" fontId="14" fillId="0" borderId="24" xfId="0" applyNumberFormat="1" applyFont="1" applyBorder="1"/>
    <xf numFmtId="180" fontId="14" fillId="0" borderId="0" xfId="0" applyNumberFormat="1" applyFont="1"/>
    <xf numFmtId="180" fontId="14" fillId="16" borderId="4" xfId="0" applyNumberFormat="1" applyFont="1" applyFill="1" applyBorder="1"/>
    <xf numFmtId="3" fontId="15" fillId="25" borderId="1" xfId="0" applyNumberFormat="1" applyFont="1" applyFill="1" applyBorder="1" applyAlignment="1">
      <alignment horizontal="center" vertical="center"/>
    </xf>
    <xf numFmtId="3" fontId="28" fillId="25" borderId="1" xfId="3" applyNumberFormat="1" applyFont="1" applyFill="1" applyBorder="1" applyAlignment="1">
      <alignment horizontal="center" vertical="center"/>
    </xf>
    <xf numFmtId="49" fontId="15" fillId="0" borderId="0" xfId="0" applyNumberFormat="1" applyFont="1" applyFill="1" applyAlignment="1">
      <alignment horizontal="centerContinuous" vertical="center"/>
    </xf>
    <xf numFmtId="3" fontId="15" fillId="25" borderId="25" xfId="0" applyNumberFormat="1" applyFont="1" applyFill="1" applyBorder="1" applyAlignment="1">
      <alignment horizontal="center"/>
    </xf>
    <xf numFmtId="180" fontId="15" fillId="25" borderId="25" xfId="0" applyNumberFormat="1" applyFont="1" applyFill="1" applyBorder="1" applyAlignment="1">
      <alignment horizontal="center"/>
    </xf>
    <xf numFmtId="3" fontId="30" fillId="25" borderId="25" xfId="3" applyNumberFormat="1" applyFont="1" applyFill="1" applyBorder="1" applyAlignment="1">
      <alignment horizontal="center"/>
    </xf>
    <xf numFmtId="180" fontId="15" fillId="25" borderId="1" xfId="0" applyNumberFormat="1" applyFont="1" applyFill="1" applyBorder="1" applyAlignment="1">
      <alignment horizontal="center" vertical="center"/>
    </xf>
    <xf numFmtId="180" fontId="15" fillId="25" borderId="0" xfId="0" applyNumberFormat="1" applyFont="1" applyFill="1" applyAlignment="1">
      <alignment horizontal="center" vertical="center"/>
    </xf>
    <xf numFmtId="0" fontId="4" fillId="7" borderId="25" xfId="0" applyFont="1" applyFill="1" applyBorder="1" applyAlignment="1">
      <alignment horizontal="center" vertical="center"/>
    </xf>
    <xf numFmtId="0" fontId="4" fillId="7" borderId="1" xfId="0" applyFont="1" applyFill="1" applyBorder="1" applyAlignment="1">
      <alignment horizontal="center" vertical="center"/>
    </xf>
    <xf numFmtId="38" fontId="4" fillId="2" borderId="1" xfId="0" applyNumberFormat="1"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1" xfId="0" applyFont="1" applyFill="1" applyBorder="1" applyAlignment="1" applyProtection="1">
      <alignment horizontal="center" vertical="center" wrapText="1"/>
      <protection hidden="1"/>
    </xf>
    <xf numFmtId="3" fontId="14" fillId="0" borderId="4" xfId="1" applyNumberFormat="1" applyFont="1" applyBorder="1" applyAlignment="1">
      <alignment horizontal="right" vertical="center"/>
    </xf>
    <xf numFmtId="38" fontId="4" fillId="2" borderId="4" xfId="0" applyNumberFormat="1" applyFont="1" applyFill="1" applyBorder="1" applyAlignment="1">
      <alignment horizontal="center" vertical="center" wrapText="1"/>
    </xf>
    <xf numFmtId="38" fontId="16" fillId="3" borderId="4" xfId="0" applyNumberFormat="1" applyFont="1" applyFill="1" applyBorder="1" applyAlignment="1">
      <alignment horizontal="center" vertical="center" wrapText="1"/>
    </xf>
    <xf numFmtId="38" fontId="4" fillId="9" borderId="4" xfId="0" applyNumberFormat="1" applyFont="1" applyFill="1" applyBorder="1" applyAlignment="1">
      <alignment horizontal="center" vertical="center" wrapText="1"/>
    </xf>
    <xf numFmtId="38" fontId="4" fillId="2" borderId="1" xfId="0" applyNumberFormat="1" applyFont="1" applyFill="1" applyBorder="1" applyAlignment="1">
      <alignment horizontal="centerContinuous" vertical="center"/>
    </xf>
    <xf numFmtId="164" fontId="4" fillId="2" borderId="19" xfId="1" applyNumberFormat="1" applyFont="1" applyFill="1" applyBorder="1" applyAlignment="1">
      <alignment horizontal="right" vertical="center"/>
    </xf>
    <xf numFmtId="9" fontId="16" fillId="2" borderId="19" xfId="2" applyFont="1" applyFill="1" applyBorder="1" applyAlignment="1">
      <alignment horizontal="center" vertical="center"/>
    </xf>
    <xf numFmtId="164" fontId="4" fillId="6" borderId="4" xfId="1" applyNumberFormat="1" applyFont="1" applyFill="1" applyBorder="1" applyAlignment="1">
      <alignment horizontal="right" vertical="center"/>
    </xf>
    <xf numFmtId="9" fontId="16" fillId="6" borderId="4" xfId="2" applyFont="1" applyFill="1" applyBorder="1" applyAlignment="1">
      <alignment horizontal="center" vertical="center"/>
    </xf>
    <xf numFmtId="164" fontId="4" fillId="10" borderId="4" xfId="1" applyNumberFormat="1" applyFont="1" applyFill="1" applyBorder="1" applyAlignment="1">
      <alignment horizontal="right" vertical="center"/>
    </xf>
    <xf numFmtId="9" fontId="16" fillId="10" borderId="4" xfId="2" applyFont="1" applyFill="1" applyBorder="1" applyAlignment="1">
      <alignment horizontal="center" vertical="center"/>
    </xf>
    <xf numFmtId="164" fontId="16" fillId="0" borderId="4" xfId="1" applyNumberFormat="1" applyFont="1" applyBorder="1" applyAlignment="1">
      <alignment vertical="center"/>
    </xf>
    <xf numFmtId="9" fontId="16" fillId="0" borderId="4" xfId="2" applyFont="1" applyFill="1" applyBorder="1" applyAlignment="1">
      <alignment horizontal="center" vertical="center"/>
    </xf>
    <xf numFmtId="0" fontId="15" fillId="19" borderId="1" xfId="0" applyFont="1" applyFill="1" applyBorder="1" applyAlignment="1">
      <alignment horizontal="center" vertical="center"/>
    </xf>
    <xf numFmtId="0" fontId="15" fillId="26" borderId="1" xfId="0" applyFont="1" applyFill="1" applyBorder="1" applyAlignment="1">
      <alignment horizontal="center" vertical="center"/>
    </xf>
    <xf numFmtId="9" fontId="16" fillId="0" borderId="4" xfId="2" applyFont="1" applyBorder="1" applyAlignment="1">
      <alignment horizontal="center" vertical="center"/>
    </xf>
    <xf numFmtId="164" fontId="16" fillId="0" borderId="4" xfId="1" applyNumberFormat="1" applyFont="1" applyBorder="1" applyAlignment="1">
      <alignment horizontal="right" vertical="center"/>
    </xf>
    <xf numFmtId="0" fontId="14" fillId="19" borderId="1" xfId="0" applyFont="1" applyFill="1" applyBorder="1" applyAlignment="1">
      <alignment horizontal="center" vertical="center"/>
    </xf>
    <xf numFmtId="0" fontId="14" fillId="26" borderId="1" xfId="0" applyFont="1" applyFill="1" applyBorder="1" applyAlignment="1">
      <alignment horizontal="center" vertical="center"/>
    </xf>
    <xf numFmtId="164" fontId="4" fillId="2" borderId="4" xfId="1" applyNumberFormat="1" applyFont="1" applyFill="1" applyBorder="1" applyAlignment="1">
      <alignment vertical="center"/>
    </xf>
    <xf numFmtId="9" fontId="16" fillId="2" borderId="4" xfId="2" applyFont="1" applyFill="1" applyBorder="1" applyAlignment="1">
      <alignment horizontal="center" vertical="center"/>
    </xf>
    <xf numFmtId="43" fontId="4" fillId="2" borderId="4" xfId="1" applyNumberFormat="1" applyFont="1" applyFill="1" applyBorder="1" applyAlignment="1">
      <alignment vertical="center"/>
    </xf>
    <xf numFmtId="164" fontId="19" fillId="12" borderId="4" xfId="1" applyNumberFormat="1" applyFont="1" applyFill="1" applyBorder="1" applyAlignment="1">
      <alignment vertical="center"/>
    </xf>
    <xf numFmtId="9" fontId="19" fillId="12" borderId="4" xfId="2" applyFont="1" applyFill="1" applyBorder="1" applyAlignment="1">
      <alignment horizontal="center" vertical="center"/>
    </xf>
    <xf numFmtId="164" fontId="19" fillId="12" borderId="4" xfId="1" applyNumberFormat="1" applyFont="1" applyFill="1" applyBorder="1" applyAlignment="1">
      <alignment vertical="center" wrapText="1"/>
    </xf>
    <xf numFmtId="164" fontId="16" fillId="0" borderId="4" xfId="1" applyNumberFormat="1" applyFont="1" applyBorder="1" applyAlignment="1">
      <alignment vertical="center" wrapText="1"/>
    </xf>
    <xf numFmtId="164" fontId="14" fillId="0" borderId="4" xfId="1" applyNumberFormat="1" applyFont="1" applyBorder="1" applyAlignment="1">
      <alignment vertical="center"/>
    </xf>
    <xf numFmtId="164" fontId="16" fillId="0" borderId="4" xfId="1" applyNumberFormat="1" applyFont="1" applyFill="1" applyBorder="1" applyAlignment="1">
      <alignment vertical="center" wrapText="1"/>
    </xf>
    <xf numFmtId="164" fontId="16" fillId="0" borderId="4" xfId="1" applyNumberFormat="1" applyFont="1" applyFill="1" applyBorder="1" applyAlignment="1">
      <alignment vertical="center"/>
    </xf>
    <xf numFmtId="164" fontId="16" fillId="0" borderId="4" xfId="1" applyNumberFormat="1" applyFont="1" applyFill="1" applyBorder="1" applyAlignment="1">
      <alignment horizontal="center" vertical="center" wrapText="1"/>
    </xf>
    <xf numFmtId="164" fontId="20" fillId="0" borderId="4" xfId="1" applyNumberFormat="1" applyFont="1" applyBorder="1" applyAlignment="1">
      <alignment vertical="center"/>
    </xf>
    <xf numFmtId="43" fontId="16" fillId="0" borderId="4" xfId="1" applyNumberFormat="1" applyFont="1" applyFill="1" applyBorder="1" applyAlignment="1">
      <alignment vertical="center"/>
    </xf>
    <xf numFmtId="164" fontId="16" fillId="0" borderId="20" xfId="1" applyNumberFormat="1" applyFont="1" applyFill="1" applyBorder="1" applyAlignment="1">
      <alignment vertical="center"/>
    </xf>
    <xf numFmtId="9" fontId="16" fillId="0" borderId="20" xfId="2" applyFont="1" applyFill="1" applyBorder="1" applyAlignment="1">
      <alignment horizontal="center" vertical="center"/>
    </xf>
    <xf numFmtId="164" fontId="4" fillId="2" borderId="16" xfId="1" applyNumberFormat="1" applyFont="1" applyFill="1" applyBorder="1" applyAlignment="1">
      <alignment vertical="center"/>
    </xf>
    <xf numFmtId="164" fontId="16" fillId="0" borderId="0" xfId="1" applyNumberFormat="1" applyFont="1" applyBorder="1" applyAlignment="1">
      <alignment vertical="center"/>
    </xf>
    <xf numFmtId="3" fontId="4" fillId="0" borderId="40" xfId="0" applyNumberFormat="1" applyFont="1" applyBorder="1" applyAlignment="1">
      <alignment vertical="center"/>
    </xf>
    <xf numFmtId="3" fontId="4" fillId="0" borderId="5" xfId="1" applyNumberFormat="1" applyFont="1" applyBorder="1" applyAlignment="1">
      <alignment horizontal="right" vertical="center"/>
    </xf>
    <xf numFmtId="3" fontId="4" fillId="0" borderId="41" xfId="0" applyNumberFormat="1" applyFont="1" applyBorder="1" applyAlignment="1">
      <alignment vertical="center"/>
    </xf>
    <xf numFmtId="3" fontId="4" fillId="0" borderId="6" xfId="1" applyNumberFormat="1" applyFont="1" applyBorder="1" applyAlignment="1">
      <alignment horizontal="right" vertical="center"/>
    </xf>
    <xf numFmtId="3" fontId="4" fillId="0" borderId="1" xfId="1" applyNumberFormat="1" applyFont="1" applyBorder="1" applyAlignment="1">
      <alignment horizontal="right" vertical="center"/>
    </xf>
    <xf numFmtId="3" fontId="4" fillId="0" borderId="0" xfId="0" applyNumberFormat="1" applyFont="1" applyAlignment="1">
      <alignment horizontal="centerContinuous"/>
    </xf>
    <xf numFmtId="38" fontId="4" fillId="6" borderId="5" xfId="0" applyNumberFormat="1" applyFont="1" applyFill="1" applyBorder="1" applyAlignment="1">
      <alignment horizontal="center" vertical="center" wrapText="1"/>
    </xf>
    <xf numFmtId="164" fontId="4" fillId="6" borderId="5" xfId="1" applyNumberFormat="1" applyFont="1" applyFill="1" applyBorder="1" applyAlignment="1">
      <alignment vertical="center" wrapText="1"/>
    </xf>
    <xf numFmtId="164" fontId="4" fillId="6" borderId="19" xfId="1" applyNumberFormat="1" applyFont="1" applyFill="1" applyBorder="1" applyAlignment="1">
      <alignment vertical="center" wrapText="1"/>
    </xf>
    <xf numFmtId="38" fontId="21" fillId="0" borderId="4" xfId="0" applyNumberFormat="1" applyFont="1" applyBorder="1" applyAlignment="1">
      <alignment horizontal="center" vertical="center" wrapText="1"/>
    </xf>
    <xf numFmtId="164" fontId="21" fillId="0" borderId="4" xfId="1" applyNumberFormat="1" applyFont="1" applyBorder="1" applyAlignment="1">
      <alignment vertical="center" wrapText="1"/>
    </xf>
    <xf numFmtId="38" fontId="16" fillId="0" borderId="4" xfId="0" quotePrefix="1" applyNumberFormat="1" applyFont="1" applyBorder="1" applyAlignment="1">
      <alignment horizontal="center" vertical="center" wrapText="1"/>
    </xf>
    <xf numFmtId="43" fontId="16" fillId="0" borderId="4" xfId="1" applyNumberFormat="1" applyFont="1" applyBorder="1" applyAlignment="1">
      <alignment vertical="center" wrapText="1"/>
    </xf>
    <xf numFmtId="38" fontId="4" fillId="6" borderId="4" xfId="0" applyNumberFormat="1" applyFont="1" applyFill="1" applyBorder="1" applyAlignment="1">
      <alignment horizontal="center" vertical="center" wrapText="1"/>
    </xf>
    <xf numFmtId="164" fontId="4" fillId="6" borderId="4" xfId="1" applyNumberFormat="1" applyFont="1" applyFill="1" applyBorder="1" applyAlignment="1">
      <alignment vertical="center" wrapText="1"/>
    </xf>
    <xf numFmtId="38" fontId="4" fillId="6" borderId="20" xfId="0" applyNumberFormat="1" applyFont="1" applyFill="1" applyBorder="1" applyAlignment="1">
      <alignment horizontal="center" vertical="center" wrapText="1"/>
    </xf>
    <xf numFmtId="164" fontId="4" fillId="6" borderId="20" xfId="1" applyNumberFormat="1" applyFont="1" applyFill="1" applyBorder="1" applyAlignment="1">
      <alignment vertical="center" wrapText="1"/>
    </xf>
    <xf numFmtId="0" fontId="37" fillId="0" borderId="0" xfId="0" applyFont="1" applyFill="1" applyBorder="1" applyAlignment="1">
      <alignment horizontal="center" vertical="center"/>
    </xf>
    <xf numFmtId="0" fontId="37" fillId="6" borderId="2" xfId="0" applyFont="1" applyFill="1" applyBorder="1" applyAlignment="1">
      <alignment horizontal="center" vertical="center"/>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164" fontId="16" fillId="0" borderId="5" xfId="1" applyNumberFormat="1" applyFont="1" applyFill="1" applyBorder="1" applyAlignment="1">
      <alignment horizontal="center" vertical="center"/>
    </xf>
    <xf numFmtId="0" fontId="22" fillId="7" borderId="1" xfId="0" applyFont="1" applyFill="1" applyBorder="1" applyAlignment="1">
      <alignment horizontal="center" vertical="center"/>
    </xf>
    <xf numFmtId="164" fontId="4" fillId="7" borderId="1" xfId="0" applyNumberFormat="1" applyFont="1" applyFill="1" applyBorder="1" applyAlignment="1">
      <alignment horizontal="center" vertical="center"/>
    </xf>
    <xf numFmtId="3" fontId="24" fillId="0" borderId="6" xfId="0" applyNumberFormat="1" applyFont="1" applyFill="1" applyBorder="1" applyAlignment="1">
      <alignment vertical="center"/>
    </xf>
    <xf numFmtId="3" fontId="4" fillId="0" borderId="0" xfId="0" applyNumberFormat="1" applyFont="1" applyAlignment="1">
      <alignment horizontal="center"/>
    </xf>
    <xf numFmtId="38" fontId="21" fillId="0" borderId="4" xfId="0" applyNumberFormat="1" applyFont="1" applyFill="1" applyBorder="1" applyAlignment="1">
      <alignment horizontal="center" vertical="center" wrapText="1"/>
    </xf>
    <xf numFmtId="164" fontId="21" fillId="0" borderId="4" xfId="1" applyNumberFormat="1" applyFont="1" applyFill="1" applyBorder="1" applyAlignment="1">
      <alignment horizontal="center" vertical="center" wrapText="1"/>
    </xf>
    <xf numFmtId="38" fontId="16" fillId="0" borderId="4" xfId="0" quotePrefix="1" applyNumberFormat="1" applyFont="1" applyFill="1" applyBorder="1" applyAlignment="1">
      <alignment horizontal="center" vertical="center" wrapText="1"/>
    </xf>
    <xf numFmtId="43" fontId="16" fillId="0" borderId="4" xfId="1" applyNumberFormat="1" applyFont="1" applyFill="1" applyBorder="1" applyAlignment="1">
      <alignment horizontal="center" vertical="center" wrapText="1"/>
    </xf>
    <xf numFmtId="38" fontId="4" fillId="0" borderId="4" xfId="0" applyNumberFormat="1" applyFont="1" applyFill="1" applyBorder="1" applyAlignment="1">
      <alignment horizontal="center" vertical="center" wrapText="1"/>
    </xf>
    <xf numFmtId="164" fontId="4" fillId="0" borderId="4" xfId="1" applyNumberFormat="1" applyFont="1" applyFill="1" applyBorder="1" applyAlignment="1">
      <alignment vertical="center" wrapText="1"/>
    </xf>
    <xf numFmtId="38" fontId="4" fillId="0" borderId="6" xfId="0" applyNumberFormat="1" applyFont="1" applyFill="1" applyBorder="1" applyAlignment="1">
      <alignment horizontal="center" vertical="center" wrapText="1"/>
    </xf>
    <xf numFmtId="164" fontId="4" fillId="0" borderId="6" xfId="1" applyNumberFormat="1" applyFont="1" applyFill="1" applyBorder="1" applyAlignment="1">
      <alignment vertical="center" wrapText="1"/>
    </xf>
    <xf numFmtId="0" fontId="15" fillId="0" borderId="1" xfId="0" applyFont="1" applyBorder="1" applyAlignment="1">
      <alignment horizontal="righ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Continuous" vertical="center"/>
    </xf>
    <xf numFmtId="2" fontId="16" fillId="0" borderId="1" xfId="0" applyNumberFormat="1" applyFont="1" applyBorder="1" applyAlignment="1">
      <alignment horizontal="center" vertical="center"/>
    </xf>
    <xf numFmtId="164" fontId="16" fillId="0" borderId="1" xfId="1" applyNumberFormat="1" applyFont="1" applyBorder="1" applyAlignment="1">
      <alignment vertical="center"/>
    </xf>
    <xf numFmtId="164" fontId="4" fillId="7" borderId="1" xfId="0" applyNumberFormat="1" applyFont="1" applyFill="1" applyBorder="1" applyAlignment="1">
      <alignment vertical="center"/>
    </xf>
    <xf numFmtId="38" fontId="4" fillId="6" borderId="28" xfId="0" applyNumberFormat="1" applyFont="1" applyFill="1" applyBorder="1" applyAlignment="1">
      <alignment horizontal="center" vertical="center" wrapText="1"/>
    </xf>
    <xf numFmtId="164" fontId="4" fillId="6" borderId="28" xfId="1" applyNumberFormat="1" applyFont="1" applyFill="1" applyBorder="1" applyAlignment="1">
      <alignment vertical="center" wrapText="1"/>
    </xf>
    <xf numFmtId="38" fontId="4" fillId="0" borderId="28" xfId="0" applyNumberFormat="1" applyFont="1" applyFill="1" applyBorder="1" applyAlignment="1">
      <alignment horizontal="center" vertical="center" wrapText="1"/>
    </xf>
    <xf numFmtId="164" fontId="4" fillId="0" borderId="28" xfId="1" applyNumberFormat="1" applyFont="1" applyFill="1" applyBorder="1" applyAlignment="1">
      <alignment vertical="center" wrapText="1"/>
    </xf>
    <xf numFmtId="0" fontId="4" fillId="7" borderId="1" xfId="0" applyFont="1" applyFill="1" applyBorder="1" applyAlignment="1">
      <alignment horizontal="center" vertical="center"/>
    </xf>
    <xf numFmtId="3" fontId="14" fillId="0" borderId="0" xfId="0" applyNumberFormat="1" applyFont="1" applyAlignment="1">
      <alignment horizontal="centerContinuous" vertical="center"/>
    </xf>
    <xf numFmtId="3" fontId="14" fillId="0" borderId="0" xfId="0" applyNumberFormat="1" applyFont="1" applyAlignment="1">
      <alignment vertical="center"/>
    </xf>
    <xf numFmtId="3" fontId="14" fillId="0" borderId="4" xfId="1" applyNumberFormat="1" applyFont="1" applyBorder="1" applyAlignment="1">
      <alignment vertical="center"/>
    </xf>
    <xf numFmtId="3" fontId="4" fillId="2" borderId="1" xfId="0" applyNumberFormat="1" applyFont="1" applyFill="1" applyBorder="1" applyAlignment="1">
      <alignment horizontal="centerContinuous" vertical="center"/>
    </xf>
    <xf numFmtId="3" fontId="4" fillId="2" borderId="1" xfId="0" applyNumberFormat="1" applyFont="1" applyFill="1" applyBorder="1" applyAlignment="1">
      <alignment horizontal="center" vertical="center"/>
    </xf>
    <xf numFmtId="3" fontId="4" fillId="2" borderId="19" xfId="1" applyNumberFormat="1" applyFont="1" applyFill="1" applyBorder="1" applyAlignment="1">
      <alignment horizontal="right" vertical="center"/>
    </xf>
    <xf numFmtId="3" fontId="4" fillId="6" borderId="4" xfId="1" applyNumberFormat="1" applyFont="1" applyFill="1" applyBorder="1" applyAlignment="1">
      <alignment horizontal="right" vertical="center"/>
    </xf>
    <xf numFmtId="3" fontId="4" fillId="10" borderId="4" xfId="1" applyNumberFormat="1" applyFont="1" applyFill="1" applyBorder="1" applyAlignment="1">
      <alignment horizontal="right" vertical="center"/>
    </xf>
    <xf numFmtId="3" fontId="16" fillId="0" borderId="4" xfId="1" applyNumberFormat="1" applyFont="1" applyBorder="1" applyAlignment="1">
      <alignment vertical="center"/>
    </xf>
    <xf numFmtId="3" fontId="16" fillId="0" borderId="4" xfId="1" applyNumberFormat="1" applyFont="1" applyBorder="1" applyAlignment="1">
      <alignment horizontal="right" vertical="center"/>
    </xf>
    <xf numFmtId="3" fontId="4" fillId="2" borderId="4" xfId="1" applyNumberFormat="1" applyFont="1" applyFill="1" applyBorder="1" applyAlignment="1">
      <alignment vertical="center"/>
    </xf>
    <xf numFmtId="3" fontId="19" fillId="12" borderId="4" xfId="1" applyNumberFormat="1" applyFont="1" applyFill="1" applyBorder="1" applyAlignment="1">
      <alignment vertical="center"/>
    </xf>
    <xf numFmtId="3" fontId="19" fillId="12" borderId="4" xfId="1" applyNumberFormat="1" applyFont="1" applyFill="1" applyBorder="1" applyAlignment="1">
      <alignment vertical="center" wrapText="1"/>
    </xf>
    <xf numFmtId="3" fontId="16" fillId="0" borderId="4" xfId="1" applyNumberFormat="1" applyFont="1" applyBorder="1" applyAlignment="1">
      <alignment vertical="center" wrapText="1"/>
    </xf>
    <xf numFmtId="3" fontId="16" fillId="0" borderId="4" xfId="1" applyNumberFormat="1" applyFont="1" applyFill="1" applyBorder="1" applyAlignment="1">
      <alignment vertical="center" wrapText="1"/>
    </xf>
    <xf numFmtId="3" fontId="16" fillId="0" borderId="4" xfId="1" applyNumberFormat="1" applyFont="1" applyFill="1" applyBorder="1" applyAlignment="1">
      <alignment vertical="center"/>
    </xf>
    <xf numFmtId="3" fontId="20" fillId="0" borderId="4" xfId="1" applyNumberFormat="1" applyFont="1" applyBorder="1" applyAlignment="1">
      <alignment vertical="center"/>
    </xf>
    <xf numFmtId="3" fontId="16" fillId="0" borderId="20" xfId="1" applyNumberFormat="1" applyFont="1" applyFill="1" applyBorder="1" applyAlignment="1">
      <alignment vertical="center"/>
    </xf>
    <xf numFmtId="3" fontId="4" fillId="2" borderId="16" xfId="1" applyNumberFormat="1" applyFont="1" applyFill="1" applyBorder="1" applyAlignment="1">
      <alignment vertical="center"/>
    </xf>
    <xf numFmtId="3" fontId="16" fillId="0" borderId="0" xfId="0" applyNumberFormat="1" applyFont="1"/>
    <xf numFmtId="3" fontId="16" fillId="0" borderId="0" xfId="1" applyNumberFormat="1" applyFont="1" applyBorder="1" applyAlignment="1">
      <alignment vertical="center"/>
    </xf>
    <xf numFmtId="9" fontId="14" fillId="0" borderId="0" xfId="2" applyFont="1" applyAlignment="1">
      <alignment horizontal="centerContinuous" vertical="center"/>
    </xf>
    <xf numFmtId="9" fontId="4" fillId="2" borderId="1" xfId="2" applyFont="1" applyFill="1" applyBorder="1" applyAlignment="1">
      <alignment horizontal="centerContinuous" vertical="center"/>
    </xf>
    <xf numFmtId="9" fontId="4" fillId="2" borderId="1" xfId="2" applyFont="1" applyFill="1" applyBorder="1" applyAlignment="1">
      <alignment horizontal="center" vertical="center"/>
    </xf>
    <xf numFmtId="9" fontId="4" fillId="2" borderId="16" xfId="2" applyFont="1" applyFill="1" applyBorder="1" applyAlignment="1">
      <alignment vertical="center"/>
    </xf>
    <xf numFmtId="9" fontId="16" fillId="0" borderId="0" xfId="2" applyFont="1"/>
    <xf numFmtId="9" fontId="15" fillId="0" borderId="0" xfId="2" applyFont="1" applyAlignment="1">
      <alignment horizontal="centerContinuous" vertical="center"/>
    </xf>
    <xf numFmtId="9" fontId="15" fillId="0" borderId="0" xfId="2" applyFont="1" applyAlignment="1">
      <alignment horizontal="left"/>
    </xf>
    <xf numFmtId="0" fontId="16" fillId="0" borderId="0" xfId="0" applyNumberFormat="1" applyFont="1" applyFill="1" applyBorder="1" applyAlignment="1" applyProtection="1">
      <alignment vertical="center"/>
      <protection locked="0"/>
    </xf>
    <xf numFmtId="0" fontId="14" fillId="0" borderId="0" xfId="0" applyFont="1" applyBorder="1" applyAlignment="1">
      <alignment horizontal="center" vertical="center"/>
    </xf>
    <xf numFmtId="0" fontId="14" fillId="0" borderId="0" xfId="0" applyNumberFormat="1" applyFont="1" applyAlignment="1">
      <alignment horizontal="center" vertical="center"/>
    </xf>
    <xf numFmtId="0" fontId="14" fillId="6" borderId="0" xfId="0" applyFont="1" applyFill="1" applyAlignment="1">
      <alignment vertical="center"/>
    </xf>
    <xf numFmtId="0" fontId="16" fillId="0" borderId="0" xfId="0" applyFont="1" applyBorder="1" applyAlignment="1" applyProtection="1">
      <alignment horizontal="left" vertical="center"/>
    </xf>
    <xf numFmtId="166" fontId="20" fillId="0" borderId="0" xfId="0" applyNumberFormat="1" applyFont="1" applyAlignment="1" applyProtection="1">
      <alignment horizontal="center" vertical="center"/>
    </xf>
    <xf numFmtId="0" fontId="4" fillId="7" borderId="17" xfId="0" applyFont="1" applyFill="1" applyBorder="1" applyAlignment="1" applyProtection="1">
      <alignment horizontal="center" vertical="center"/>
      <protection hidden="1"/>
    </xf>
    <xf numFmtId="0" fontId="4" fillId="7" borderId="15" xfId="0" applyFont="1" applyFill="1" applyBorder="1" applyAlignment="1" applyProtection="1">
      <alignment horizontal="center" vertical="center" wrapText="1"/>
      <protection hidden="1"/>
    </xf>
    <xf numFmtId="0" fontId="4" fillId="7" borderId="15" xfId="0" applyFont="1" applyFill="1" applyBorder="1" applyAlignment="1" applyProtection="1">
      <alignment horizontal="center" vertical="center"/>
      <protection hidden="1"/>
    </xf>
    <xf numFmtId="0" fontId="14" fillId="7" borderId="19" xfId="0" applyNumberFormat="1" applyFont="1" applyFill="1" applyBorder="1" applyAlignment="1">
      <alignment horizontal="center" vertical="center"/>
    </xf>
    <xf numFmtId="0" fontId="20" fillId="0" borderId="0" xfId="0" applyFont="1" applyAlignment="1" applyProtection="1">
      <alignment horizontal="left" vertical="center"/>
    </xf>
    <xf numFmtId="0" fontId="4" fillId="7" borderId="18" xfId="0" applyFont="1" applyFill="1" applyBorder="1" applyAlignment="1" applyProtection="1">
      <alignment horizontal="center" vertical="center"/>
      <protection hidden="1"/>
    </xf>
    <xf numFmtId="0" fontId="4" fillId="7" borderId="16" xfId="0" applyFont="1" applyFill="1" applyBorder="1" applyAlignment="1" applyProtection="1">
      <alignment horizontal="center" vertical="center"/>
      <protection hidden="1"/>
    </xf>
    <xf numFmtId="0" fontId="4" fillId="7" borderId="1" xfId="0" applyFont="1" applyFill="1" applyBorder="1" applyAlignment="1" applyProtection="1">
      <alignment horizontal="center" vertical="center"/>
      <protection hidden="1"/>
    </xf>
    <xf numFmtId="0" fontId="4" fillId="7" borderId="14" xfId="0" applyFont="1" applyFill="1" applyBorder="1" applyAlignment="1" applyProtection="1">
      <alignment horizontal="center" vertical="center"/>
      <protection hidden="1"/>
    </xf>
    <xf numFmtId="0" fontId="14" fillId="7" borderId="4" xfId="0" applyNumberFormat="1" applyFont="1" applyFill="1" applyBorder="1" applyAlignment="1">
      <alignment horizontal="center" vertical="center"/>
    </xf>
    <xf numFmtId="0" fontId="16" fillId="0" borderId="10" xfId="0" applyFont="1" applyBorder="1" applyAlignment="1" applyProtection="1">
      <alignment horizontal="center" vertical="center"/>
      <protection hidden="1"/>
    </xf>
    <xf numFmtId="0" fontId="16" fillId="0" borderId="5" xfId="0" applyFont="1" applyBorder="1" applyAlignment="1" applyProtection="1">
      <alignment horizontal="center" vertical="center"/>
      <protection hidden="1"/>
    </xf>
    <xf numFmtId="0" fontId="16" fillId="0" borderId="5" xfId="0" applyFont="1" applyBorder="1" applyAlignment="1" applyProtection="1">
      <alignment horizontal="center" vertical="center"/>
    </xf>
    <xf numFmtId="0" fontId="14" fillId="0" borderId="11" xfId="0" applyFont="1" applyBorder="1" applyAlignment="1">
      <alignment horizontal="center" vertical="center"/>
    </xf>
    <xf numFmtId="0" fontId="14" fillId="0" borderId="4" xfId="1" applyNumberFormat="1" applyFont="1" applyBorder="1" applyAlignment="1">
      <alignment horizontal="center" vertical="center"/>
    </xf>
    <xf numFmtId="0" fontId="16" fillId="0" borderId="8" xfId="0" applyFont="1" applyBorder="1" applyAlignment="1" applyProtection="1">
      <alignment horizontal="center" vertical="center"/>
      <protection hidden="1"/>
    </xf>
    <xf numFmtId="0" fontId="16" fillId="0" borderId="4" xfId="0" applyFont="1" applyBorder="1" applyAlignment="1" applyProtection="1">
      <alignment horizontal="center" vertical="center"/>
      <protection hidden="1"/>
    </xf>
    <xf numFmtId="0" fontId="14" fillId="0" borderId="9" xfId="0" applyFont="1" applyBorder="1" applyAlignment="1">
      <alignment vertical="center"/>
    </xf>
    <xf numFmtId="0" fontId="20" fillId="6" borderId="0" xfId="1" applyNumberFormat="1" applyFont="1" applyFill="1" applyBorder="1" applyAlignment="1" applyProtection="1">
      <alignment horizontal="left" vertical="center"/>
    </xf>
    <xf numFmtId="0" fontId="16" fillId="6" borderId="8" xfId="0" applyFont="1" applyFill="1" applyBorder="1" applyAlignment="1" applyProtection="1">
      <alignment horizontal="center" vertical="center"/>
      <protection hidden="1"/>
    </xf>
    <xf numFmtId="0" fontId="4" fillId="6" borderId="4" xfId="0" applyFont="1" applyFill="1" applyBorder="1" applyAlignment="1" applyProtection="1">
      <alignment horizontal="center" vertical="center"/>
      <protection hidden="1"/>
    </xf>
    <xf numFmtId="167" fontId="16" fillId="6" borderId="4" xfId="1" applyNumberFormat="1" applyFont="1" applyFill="1" applyBorder="1" applyAlignment="1" applyProtection="1">
      <alignment vertical="center"/>
    </xf>
    <xf numFmtId="164" fontId="15" fillId="6" borderId="4" xfId="1" applyNumberFormat="1" applyFont="1" applyFill="1" applyBorder="1" applyAlignment="1">
      <alignment vertical="center"/>
    </xf>
    <xf numFmtId="164" fontId="15" fillId="6" borderId="9" xfId="1" applyNumberFormat="1" applyFont="1" applyFill="1" applyBorder="1" applyAlignment="1">
      <alignment vertical="center"/>
    </xf>
    <xf numFmtId="0" fontId="16" fillId="4" borderId="0" xfId="0" applyFont="1" applyFill="1" applyBorder="1" applyAlignment="1" applyProtection="1">
      <alignment horizontal="left" vertical="center"/>
    </xf>
    <xf numFmtId="0" fontId="16" fillId="0" borderId="4" xfId="0" applyFont="1" applyBorder="1" applyAlignment="1" applyProtection="1">
      <alignment vertical="center"/>
      <protection hidden="1"/>
    </xf>
    <xf numFmtId="167" fontId="16" fillId="0" borderId="4" xfId="1" applyNumberFormat="1" applyFont="1" applyBorder="1" applyAlignment="1" applyProtection="1">
      <alignment vertical="center"/>
    </xf>
    <xf numFmtId="164" fontId="14" fillId="0" borderId="9" xfId="1" applyNumberFormat="1" applyFont="1" applyBorder="1" applyAlignment="1">
      <alignment vertical="center"/>
    </xf>
    <xf numFmtId="0" fontId="14" fillId="0" borderId="0" xfId="0" quotePrefix="1" applyFont="1" applyBorder="1" applyAlignment="1">
      <alignment horizontal="center" vertical="center"/>
    </xf>
    <xf numFmtId="178" fontId="14" fillId="0" borderId="4" xfId="1" applyNumberFormat="1" applyFont="1" applyBorder="1" applyAlignment="1">
      <alignment horizontal="center" vertical="center"/>
    </xf>
    <xf numFmtId="0" fontId="16" fillId="6" borderId="0" xfId="0" applyNumberFormat="1" applyFont="1" applyFill="1" applyBorder="1" applyAlignment="1" applyProtection="1">
      <alignment horizontal="left" vertical="center"/>
    </xf>
    <xf numFmtId="0" fontId="20" fillId="6" borderId="0" xfId="0" applyFont="1" applyFill="1" applyBorder="1" applyAlignment="1" applyProtection="1">
      <alignment horizontal="left" vertical="center"/>
    </xf>
    <xf numFmtId="167" fontId="20" fillId="0" borderId="4" xfId="1" applyNumberFormat="1" applyFont="1" applyBorder="1" applyAlignment="1" applyProtection="1">
      <alignment vertical="center"/>
    </xf>
    <xf numFmtId="0" fontId="16" fillId="0" borderId="0" xfId="0" applyFont="1" applyFill="1" applyBorder="1" applyAlignment="1" applyProtection="1">
      <alignment horizontal="left" vertical="center"/>
    </xf>
    <xf numFmtId="167" fontId="14" fillId="0" borderId="4" xfId="1" applyNumberFormat="1" applyFont="1" applyFill="1" applyBorder="1" applyAlignment="1" applyProtection="1">
      <alignment vertical="center"/>
    </xf>
    <xf numFmtId="43" fontId="14" fillId="0" borderId="4" xfId="1" applyNumberFormat="1" applyFont="1" applyBorder="1" applyAlignment="1">
      <alignment horizontal="center" vertical="center"/>
    </xf>
    <xf numFmtId="167" fontId="16" fillId="0" borderId="4" xfId="1" applyNumberFormat="1" applyFont="1" applyFill="1" applyBorder="1" applyAlignment="1" applyProtection="1">
      <alignment vertical="center"/>
    </xf>
    <xf numFmtId="0" fontId="38" fillId="0" borderId="0" xfId="0" applyFont="1" applyFill="1" applyBorder="1" applyAlignment="1" applyProtection="1">
      <alignment horizontal="left" vertical="center"/>
    </xf>
    <xf numFmtId="167" fontId="20" fillId="0" borderId="4" xfId="1" applyNumberFormat="1" applyFont="1" applyFill="1" applyBorder="1" applyAlignment="1" applyProtection="1">
      <alignment vertical="center"/>
    </xf>
    <xf numFmtId="0" fontId="14" fillId="6" borderId="0" xfId="0" applyFont="1" applyFill="1" applyAlignment="1">
      <alignment horizontal="left" vertical="center"/>
    </xf>
    <xf numFmtId="167" fontId="24" fillId="0" borderId="4" xfId="1" applyNumberFormat="1" applyFont="1" applyBorder="1" applyAlignment="1" applyProtection="1">
      <alignment vertical="center"/>
    </xf>
    <xf numFmtId="0" fontId="38" fillId="0" borderId="0" xfId="0" applyFont="1" applyBorder="1" applyAlignment="1" applyProtection="1">
      <alignment horizontal="left" vertical="center"/>
    </xf>
    <xf numFmtId="0" fontId="20" fillId="5" borderId="0" xfId="0" applyFont="1" applyFill="1" applyBorder="1" applyAlignment="1" applyProtection="1">
      <alignment horizontal="left" vertical="center"/>
    </xf>
    <xf numFmtId="0" fontId="20" fillId="6" borderId="0" xfId="0" applyNumberFormat="1" applyFont="1" applyFill="1" applyBorder="1" applyAlignment="1" applyProtection="1">
      <alignment horizontal="left" vertical="center"/>
    </xf>
    <xf numFmtId="0" fontId="16" fillId="6" borderId="0" xfId="1" applyNumberFormat="1" applyFont="1" applyFill="1" applyBorder="1" applyAlignment="1" applyProtection="1">
      <alignment horizontal="left" vertical="center"/>
    </xf>
    <xf numFmtId="0" fontId="21" fillId="6" borderId="0" xfId="0" applyNumberFormat="1" applyFont="1" applyFill="1" applyBorder="1" applyAlignment="1" applyProtection="1">
      <alignment horizontal="left" vertical="center"/>
    </xf>
    <xf numFmtId="0" fontId="21" fillId="6" borderId="0" xfId="0" applyFont="1" applyFill="1" applyBorder="1" applyAlignment="1" applyProtection="1">
      <alignment horizontal="left" vertical="center"/>
    </xf>
    <xf numFmtId="167" fontId="21" fillId="6" borderId="4" xfId="1" applyNumberFormat="1" applyFont="1" applyFill="1" applyBorder="1" applyAlignment="1" applyProtection="1">
      <alignment vertical="center"/>
    </xf>
    <xf numFmtId="0" fontId="20" fillId="3" borderId="0" xfId="0" applyFont="1" applyFill="1" applyBorder="1" applyAlignment="1" applyProtection="1">
      <alignment horizontal="left" vertical="center"/>
    </xf>
    <xf numFmtId="0" fontId="4" fillId="6" borderId="8" xfId="0" applyFont="1" applyFill="1" applyBorder="1" applyAlignment="1" applyProtection="1">
      <alignment horizontal="center" vertical="center"/>
      <protection hidden="1"/>
    </xf>
    <xf numFmtId="170" fontId="16" fillId="0" borderId="8" xfId="0" applyNumberFormat="1" applyFont="1" applyBorder="1" applyAlignment="1" applyProtection="1">
      <alignment horizontal="center" vertical="center"/>
      <protection hidden="1"/>
    </xf>
    <xf numFmtId="165" fontId="16" fillId="0" borderId="4" xfId="1" applyNumberFormat="1" applyFont="1" applyBorder="1" applyAlignment="1" applyProtection="1">
      <alignment vertical="center"/>
    </xf>
    <xf numFmtId="165" fontId="14" fillId="0" borderId="4" xfId="1" applyNumberFormat="1" applyFont="1" applyBorder="1" applyAlignment="1">
      <alignment horizontal="center" vertical="center"/>
    </xf>
    <xf numFmtId="164" fontId="16" fillId="0" borderId="4" xfId="1" applyNumberFormat="1" applyFont="1" applyBorder="1" applyAlignment="1" applyProtection="1">
      <alignment vertical="center"/>
    </xf>
    <xf numFmtId="164" fontId="14" fillId="0" borderId="4" xfId="1" applyNumberFormat="1" applyFont="1" applyBorder="1" applyAlignment="1">
      <alignment horizontal="center" vertical="center"/>
    </xf>
    <xf numFmtId="43" fontId="20" fillId="0" borderId="0" xfId="1" applyFont="1" applyBorder="1" applyAlignment="1" applyProtection="1">
      <alignment horizontal="left" vertical="center"/>
    </xf>
    <xf numFmtId="167" fontId="14" fillId="0" borderId="4" xfId="1" applyNumberFormat="1" applyFont="1" applyBorder="1" applyAlignment="1">
      <alignment horizontal="center" vertical="center"/>
    </xf>
    <xf numFmtId="0" fontId="16" fillId="6" borderId="0" xfId="0" applyFont="1" applyFill="1" applyBorder="1" applyAlignment="1" applyProtection="1">
      <alignment horizontal="left" vertical="center"/>
    </xf>
    <xf numFmtId="168" fontId="16" fillId="0" borderId="0" xfId="0" applyNumberFormat="1" applyFont="1" applyBorder="1" applyAlignment="1" applyProtection="1">
      <alignment horizontal="left" vertical="center"/>
    </xf>
    <xf numFmtId="43" fontId="20" fillId="0" borderId="0" xfId="1" applyFont="1" applyFill="1" applyBorder="1" applyAlignment="1" applyProtection="1">
      <alignment horizontal="left" vertical="center"/>
    </xf>
    <xf numFmtId="43" fontId="20" fillId="3" borderId="0" xfId="1" applyFont="1" applyFill="1" applyBorder="1" applyAlignment="1" applyProtection="1">
      <alignment horizontal="left" vertical="center"/>
    </xf>
    <xf numFmtId="0" fontId="20" fillId="0" borderId="0" xfId="0" applyFont="1" applyFill="1" applyBorder="1" applyAlignment="1">
      <alignment horizontal="left" vertical="center"/>
    </xf>
    <xf numFmtId="0" fontId="14" fillId="0" borderId="4" xfId="0" applyFont="1" applyBorder="1"/>
    <xf numFmtId="0" fontId="14" fillId="0" borderId="8" xfId="0" applyFont="1" applyBorder="1"/>
    <xf numFmtId="3" fontId="14" fillId="0" borderId="4" xfId="0" applyNumberFormat="1" applyFont="1" applyBorder="1"/>
    <xf numFmtId="180" fontId="14" fillId="0" borderId="4" xfId="0" applyNumberFormat="1" applyFont="1" applyBorder="1"/>
    <xf numFmtId="49" fontId="14" fillId="14" borderId="8" xfId="0" applyNumberFormat="1" applyFont="1" applyFill="1" applyBorder="1" applyAlignment="1">
      <alignment horizontal="center"/>
    </xf>
    <xf numFmtId="0" fontId="14" fillId="14" borderId="4" xfId="0" applyFont="1" applyFill="1" applyBorder="1" applyAlignment="1">
      <alignment horizontal="center"/>
    </xf>
    <xf numFmtId="49" fontId="14" fillId="16" borderId="8" xfId="0" applyNumberFormat="1" applyFont="1" applyFill="1" applyBorder="1" applyAlignment="1">
      <alignment horizontal="center"/>
    </xf>
    <xf numFmtId="0" fontId="14" fillId="16" borderId="4" xfId="0" applyFont="1" applyFill="1" applyBorder="1" applyAlignment="1">
      <alignment horizontal="center"/>
    </xf>
    <xf numFmtId="164" fontId="14" fillId="0" borderId="0" xfId="1" applyNumberFormat="1" applyFont="1" applyAlignment="1">
      <alignment vertical="center"/>
    </xf>
    <xf numFmtId="164" fontId="14" fillId="0" borderId="0" xfId="0" applyNumberFormat="1" applyFont="1" applyAlignment="1">
      <alignment vertical="center"/>
    </xf>
    <xf numFmtId="4" fontId="28" fillId="25" borderId="1" xfId="3" applyNumberFormat="1" applyFont="1" applyFill="1" applyBorder="1" applyAlignment="1">
      <alignment horizontal="center" vertical="center"/>
    </xf>
    <xf numFmtId="4" fontId="30" fillId="25" borderId="1" xfId="3" applyNumberFormat="1" applyFont="1" applyFill="1" applyBorder="1" applyAlignment="1">
      <alignment horizontal="center" vertical="center"/>
    </xf>
    <xf numFmtId="4" fontId="30" fillId="25" borderId="25" xfId="3" applyNumberFormat="1" applyFont="1" applyFill="1" applyBorder="1" applyAlignment="1">
      <alignment horizontal="center"/>
    </xf>
    <xf numFmtId="4" fontId="28" fillId="15" borderId="22" xfId="0" applyNumberFormat="1" applyFont="1" applyFill="1" applyBorder="1" applyAlignment="1">
      <alignment horizontal="center" vertical="center" wrapText="1"/>
    </xf>
    <xf numFmtId="4" fontId="28" fillId="15" borderId="39" xfId="0" applyNumberFormat="1" applyFont="1" applyFill="1" applyBorder="1" applyAlignment="1">
      <alignment horizontal="center" vertical="center" wrapText="1"/>
    </xf>
    <xf numFmtId="4" fontId="14" fillId="14" borderId="4" xfId="0" applyNumberFormat="1" applyFont="1" applyFill="1" applyBorder="1"/>
    <xf numFmtId="4" fontId="14" fillId="14" borderId="9" xfId="0" applyNumberFormat="1" applyFont="1" applyFill="1" applyBorder="1"/>
    <xf numFmtId="4" fontId="14" fillId="16" borderId="4" xfId="0" applyNumberFormat="1" applyFont="1" applyFill="1" applyBorder="1"/>
    <xf numFmtId="4" fontId="14" fillId="16" borderId="9" xfId="0" applyNumberFormat="1" applyFont="1" applyFill="1" applyBorder="1"/>
    <xf numFmtId="4" fontId="14" fillId="0" borderId="4" xfId="0" applyNumberFormat="1" applyFont="1" applyBorder="1"/>
    <xf numFmtId="4" fontId="14" fillId="0" borderId="9" xfId="0" applyNumberFormat="1" applyFont="1" applyBorder="1"/>
    <xf numFmtId="4" fontId="14" fillId="0" borderId="24" xfId="0" applyNumberFormat="1" applyFont="1" applyBorder="1"/>
    <xf numFmtId="4" fontId="14" fillId="0" borderId="38" xfId="0" applyNumberFormat="1" applyFont="1" applyBorder="1"/>
    <xf numFmtId="4" fontId="14" fillId="0" borderId="0" xfId="0" applyNumberFormat="1" applyFont="1"/>
    <xf numFmtId="0" fontId="14" fillId="0" borderId="1" xfId="0" applyNumberFormat="1" applyFont="1" applyFill="1" applyBorder="1" applyAlignment="1">
      <alignment horizontal="left" vertical="center"/>
    </xf>
    <xf numFmtId="0" fontId="14" fillId="0" borderId="1" xfId="0" applyFont="1" applyFill="1" applyBorder="1"/>
    <xf numFmtId="0" fontId="15" fillId="0" borderId="1" xfId="0" applyFont="1" applyFill="1" applyBorder="1"/>
    <xf numFmtId="0" fontId="14" fillId="7" borderId="1" xfId="0" applyFont="1" applyFill="1" applyBorder="1"/>
    <xf numFmtId="3" fontId="14" fillId="7" borderId="1" xfId="0" applyNumberFormat="1" applyFont="1" applyFill="1" applyBorder="1" applyAlignment="1">
      <alignment horizontal="center" vertical="center"/>
    </xf>
    <xf numFmtId="3" fontId="14" fillId="0"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15" fillId="0" borderId="0" xfId="0" applyFont="1" applyFill="1" applyAlignment="1">
      <alignment horizontal="centerContinuous" vertical="center"/>
    </xf>
    <xf numFmtId="9" fontId="15" fillId="0" borderId="0" xfId="2" applyFont="1" applyFill="1" applyAlignment="1">
      <alignment horizontal="centerContinuous" vertical="center"/>
    </xf>
    <xf numFmtId="0" fontId="4" fillId="7" borderId="26"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4" fillId="7" borderId="25"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0" fillId="0" borderId="0" xfId="0" applyFont="1" applyAlignment="1">
      <alignment horizontal="justify" vertical="center"/>
    </xf>
    <xf numFmtId="0" fontId="41" fillId="0" borderId="0" xfId="0" applyFont="1" applyAlignment="1">
      <alignment horizontal="justify" vertical="center"/>
    </xf>
    <xf numFmtId="0" fontId="41" fillId="0" borderId="0" xfId="0" applyFont="1"/>
    <xf numFmtId="0" fontId="42" fillId="0" borderId="0" xfId="0" applyFont="1" applyAlignment="1">
      <alignment horizontal="justify" vertical="center"/>
    </xf>
    <xf numFmtId="0" fontId="14" fillId="0" borderId="0" xfId="0" applyFont="1" applyAlignment="1">
      <alignment horizontal="justify" vertical="center"/>
    </xf>
    <xf numFmtId="0" fontId="14" fillId="0" borderId="26" xfId="0" applyFont="1" applyBorder="1" applyAlignment="1">
      <alignment horizontal="center" vertical="center"/>
    </xf>
    <xf numFmtId="0" fontId="43" fillId="15" borderId="37" xfId="0" applyFont="1" applyFill="1" applyBorder="1" applyAlignment="1">
      <alignment horizontal="left" vertical="center"/>
    </xf>
    <xf numFmtId="0" fontId="44" fillId="28" borderId="37" xfId="0" applyFont="1" applyFill="1" applyBorder="1" applyAlignment="1">
      <alignment horizontal="center" vertical="center"/>
    </xf>
    <xf numFmtId="22" fontId="44" fillId="28" borderId="37" xfId="0" applyNumberFormat="1" applyFont="1" applyFill="1" applyBorder="1" applyAlignment="1">
      <alignment horizontal="center" vertical="center"/>
    </xf>
    <xf numFmtId="0" fontId="14" fillId="0" borderId="0" xfId="0" applyFont="1" applyBorder="1"/>
    <xf numFmtId="0" fontId="15" fillId="0" borderId="0" xfId="0" applyFont="1" applyBorder="1" applyAlignment="1">
      <alignment horizontal="center" vertical="center"/>
    </xf>
    <xf numFmtId="0" fontId="4" fillId="7" borderId="1" xfId="0" applyFont="1" applyFill="1" applyBorder="1" applyAlignment="1">
      <alignment horizontal="center" vertical="center"/>
    </xf>
    <xf numFmtId="166" fontId="19" fillId="0" borderId="4" xfId="0" applyNumberFormat="1" applyFont="1" applyFill="1" applyBorder="1" applyAlignment="1" applyProtection="1">
      <alignment horizontal="center" vertical="center"/>
    </xf>
    <xf numFmtId="3" fontId="21" fillId="0" borderId="4" xfId="0" applyNumberFormat="1" applyFont="1" applyFill="1" applyBorder="1" applyAlignment="1" applyProtection="1">
      <alignment horizontal="center" vertical="center"/>
    </xf>
    <xf numFmtId="0" fontId="0" fillId="0" borderId="0" xfId="0" applyFont="1" applyBorder="1"/>
    <xf numFmtId="0" fontId="45" fillId="0" borderId="0" xfId="0" applyFont="1" applyBorder="1"/>
    <xf numFmtId="0" fontId="43" fillId="15" borderId="45" xfId="0" applyFont="1" applyFill="1" applyBorder="1" applyAlignment="1">
      <alignment horizontal="left" vertical="center"/>
    </xf>
    <xf numFmtId="181" fontId="44" fillId="28" borderId="37" xfId="0" applyNumberFormat="1" applyFont="1" applyFill="1" applyBorder="1" applyAlignment="1">
      <alignment horizontal="center" vertical="center"/>
    </xf>
    <xf numFmtId="0" fontId="44" fillId="28" borderId="37" xfId="0" applyFont="1" applyFill="1" applyBorder="1" applyAlignment="1">
      <alignment horizontal="left" vertical="center"/>
    </xf>
    <xf numFmtId="3" fontId="15" fillId="0" borderId="0" xfId="0" applyNumberFormat="1" applyFont="1"/>
    <xf numFmtId="3" fontId="14" fillId="0" borderId="9" xfId="1" applyNumberFormat="1" applyFont="1" applyBorder="1" applyAlignment="1">
      <alignment horizontal="right" vertical="center"/>
    </xf>
    <xf numFmtId="175" fontId="16" fillId="8" borderId="4" xfId="0" applyNumberFormat="1" applyFont="1" applyFill="1" applyBorder="1" applyAlignment="1">
      <alignment horizontal="center" vertical="center"/>
    </xf>
    <xf numFmtId="0" fontId="14" fillId="8" borderId="4" xfId="0" applyFont="1" applyFill="1" applyBorder="1" applyAlignment="1">
      <alignment horizontal="left" vertical="center"/>
    </xf>
    <xf numFmtId="0" fontId="14" fillId="0" borderId="0" xfId="0" applyFont="1" applyAlignment="1">
      <alignment horizontal="justify" vertical="top"/>
    </xf>
    <xf numFmtId="0" fontId="14" fillId="0" borderId="0" xfId="0" quotePrefix="1" applyFont="1" applyAlignment="1">
      <alignment horizontal="right" vertical="top"/>
    </xf>
    <xf numFmtId="3" fontId="4" fillId="7" borderId="1" xfId="0" applyNumberFormat="1" applyFont="1" applyFill="1" applyBorder="1" applyAlignment="1" applyProtection="1">
      <alignment horizontal="center" vertical="center"/>
    </xf>
    <xf numFmtId="0" fontId="48" fillId="0" borderId="4" xfId="4" applyFont="1" applyBorder="1" applyAlignment="1">
      <alignment horizontal="left" vertical="center"/>
    </xf>
    <xf numFmtId="164" fontId="16" fillId="0" borderId="1" xfId="1" applyNumberFormat="1" applyFont="1" applyFill="1" applyBorder="1" applyAlignment="1">
      <alignment vertical="center" shrinkToFit="1"/>
    </xf>
    <xf numFmtId="14" fontId="14" fillId="0" borderId="1" xfId="0" applyNumberFormat="1" applyFont="1" applyFill="1" applyBorder="1" applyAlignment="1">
      <alignment horizontal="center" vertical="center" shrinkToFit="1"/>
    </xf>
    <xf numFmtId="0" fontId="14" fillId="0" borderId="1" xfId="0" applyNumberFormat="1" applyFont="1" applyFill="1" applyBorder="1" applyAlignment="1">
      <alignment horizontal="center" vertical="center" shrinkToFit="1"/>
    </xf>
    <xf numFmtId="2"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shrinkToFit="1"/>
    </xf>
    <xf numFmtId="0" fontId="15" fillId="17" borderId="1" xfId="0" applyNumberFormat="1" applyFont="1" applyFill="1" applyBorder="1" applyAlignment="1">
      <alignment horizontal="center" vertical="center" wrapText="1"/>
    </xf>
    <xf numFmtId="164" fontId="4" fillId="17" borderId="1" xfId="0" applyNumberFormat="1" applyFont="1" applyFill="1" applyBorder="1" applyAlignment="1">
      <alignment horizontal="center" vertical="center" shrinkToFit="1"/>
    </xf>
    <xf numFmtId="0" fontId="4" fillId="17" borderId="1" xfId="0" applyFont="1" applyFill="1" applyBorder="1" applyAlignment="1">
      <alignment horizontal="center" vertical="center" shrinkToFit="1"/>
    </xf>
    <xf numFmtId="164" fontId="4" fillId="17" borderId="1" xfId="1" applyNumberFormat="1" applyFont="1" applyFill="1" applyBorder="1" applyAlignment="1">
      <alignment horizontal="center" vertical="center" shrinkToFit="1"/>
    </xf>
    <xf numFmtId="0" fontId="4" fillId="17" borderId="1" xfId="0" applyNumberFormat="1" applyFont="1" applyFill="1" applyBorder="1" applyAlignment="1">
      <alignment horizontal="center" vertical="center"/>
    </xf>
    <xf numFmtId="164" fontId="4" fillId="17" borderId="1" xfId="0" applyNumberFormat="1" applyFont="1" applyFill="1" applyBorder="1" applyAlignment="1">
      <alignment horizontal="center" vertical="center" wrapText="1" shrinkToFit="1"/>
    </xf>
    <xf numFmtId="0" fontId="16" fillId="17" borderId="1" xfId="0" applyNumberFormat="1" applyFont="1" applyFill="1" applyBorder="1" applyAlignment="1">
      <alignment horizontal="left" vertical="center"/>
    </xf>
    <xf numFmtId="0" fontId="16" fillId="17" borderId="1" xfId="0" applyFont="1" applyFill="1" applyBorder="1" applyAlignment="1">
      <alignment vertical="center"/>
    </xf>
    <xf numFmtId="164" fontId="16" fillId="17" borderId="1" xfId="1" applyNumberFormat="1" applyFont="1" applyFill="1" applyBorder="1" applyAlignment="1">
      <alignment vertical="center" shrinkToFit="1"/>
    </xf>
    <xf numFmtId="14" fontId="14" fillId="17" borderId="1" xfId="0" applyNumberFormat="1" applyFont="1" applyFill="1" applyBorder="1" applyAlignment="1">
      <alignment horizontal="center" vertical="center" shrinkToFit="1"/>
    </xf>
    <xf numFmtId="0" fontId="14" fillId="17" borderId="1" xfId="0" applyNumberFormat="1" applyFont="1" applyFill="1" applyBorder="1" applyAlignment="1">
      <alignment horizontal="center" vertical="center" shrinkToFit="1"/>
    </xf>
    <xf numFmtId="2" fontId="14" fillId="17" borderId="1" xfId="0" applyNumberFormat="1" applyFont="1" applyFill="1" applyBorder="1" applyAlignment="1">
      <alignment horizontal="center" vertical="center" shrinkToFit="1"/>
    </xf>
    <xf numFmtId="0" fontId="14" fillId="17" borderId="1" xfId="0" applyFont="1" applyFill="1" applyBorder="1" applyAlignment="1">
      <alignment horizontal="center" vertical="center" shrinkToFit="1"/>
    </xf>
    <xf numFmtId="0" fontId="4" fillId="17" borderId="1" xfId="0" applyNumberFormat="1" applyFont="1" applyFill="1" applyBorder="1" applyAlignment="1">
      <alignment horizontal="left" vertical="center"/>
    </xf>
    <xf numFmtId="0" fontId="4" fillId="17" borderId="1" xfId="0" applyFont="1" applyFill="1" applyBorder="1" applyAlignment="1">
      <alignment horizontal="centerContinuous" vertical="center"/>
    </xf>
    <xf numFmtId="0" fontId="4" fillId="29" borderId="1" xfId="0" applyNumberFormat="1" applyFont="1" applyFill="1" applyBorder="1" applyAlignment="1">
      <alignment horizontal="center" vertical="center"/>
    </xf>
    <xf numFmtId="164" fontId="4" fillId="29" borderId="1" xfId="0" applyNumberFormat="1" applyFont="1" applyFill="1" applyBorder="1" applyAlignment="1">
      <alignment horizontal="center" vertical="center" wrapText="1" shrinkToFit="1"/>
    </xf>
    <xf numFmtId="0" fontId="4" fillId="29" borderId="1" xfId="0" applyFont="1" applyFill="1" applyBorder="1" applyAlignment="1">
      <alignment horizontal="center" vertical="center"/>
    </xf>
    <xf numFmtId="164" fontId="4" fillId="29" borderId="1" xfId="1" applyNumberFormat="1" applyFont="1" applyFill="1" applyBorder="1" applyAlignment="1">
      <alignment horizontal="center" vertical="center"/>
    </xf>
    <xf numFmtId="49" fontId="4" fillId="29" borderId="1" xfId="0" applyNumberFormat="1" applyFont="1" applyFill="1" applyBorder="1" applyAlignment="1">
      <alignment horizontal="center" vertical="center" shrinkToFit="1"/>
    </xf>
    <xf numFmtId="49" fontId="4" fillId="17" borderId="1" xfId="0" applyNumberFormat="1" applyFont="1" applyFill="1" applyBorder="1" applyAlignment="1">
      <alignment horizontal="center" vertical="center" shrinkToFit="1"/>
    </xf>
    <xf numFmtId="49" fontId="16" fillId="0" borderId="1" xfId="0" quotePrefix="1" applyNumberFormat="1" applyFont="1" applyFill="1" applyBorder="1" applyAlignment="1">
      <alignment horizontal="center" vertical="center" shrinkToFit="1"/>
    </xf>
    <xf numFmtId="49" fontId="16" fillId="0" borderId="1" xfId="0" applyNumberFormat="1" applyFont="1" applyFill="1" applyBorder="1" applyAlignment="1">
      <alignment horizontal="center" vertical="center" shrinkToFit="1"/>
    </xf>
    <xf numFmtId="49" fontId="2" fillId="0" borderId="4" xfId="0" quotePrefix="1" applyNumberFormat="1" applyFont="1" applyFill="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8" fillId="0" borderId="4" xfId="4" applyFont="1" applyBorder="1" applyAlignment="1">
      <alignment horizontal="center" vertical="center" shrinkToFit="1"/>
    </xf>
    <xf numFmtId="0" fontId="23" fillId="0" borderId="1" xfId="0" applyFont="1" applyBorder="1" applyAlignment="1">
      <alignment horizontal="center" vertical="center" shrinkToFit="1"/>
    </xf>
    <xf numFmtId="0" fontId="48" fillId="0" borderId="4" xfId="5" applyNumberFormat="1" applyFont="1" applyBorder="1" applyAlignment="1">
      <alignment horizontal="center" vertical="center" shrinkToFit="1"/>
    </xf>
    <xf numFmtId="0" fontId="16" fillId="0" borderId="1" xfId="0" applyFont="1" applyBorder="1" applyAlignment="1">
      <alignment vertical="center" shrinkToFit="1"/>
    </xf>
    <xf numFmtId="0" fontId="15" fillId="17" borderId="1" xfId="0" applyNumberFormat="1" applyFont="1" applyFill="1" applyBorder="1" applyAlignment="1">
      <alignment horizontal="center" vertical="center" shrinkToFit="1"/>
    </xf>
    <xf numFmtId="0" fontId="14" fillId="0" borderId="1" xfId="0" applyNumberFormat="1" applyFont="1" applyFill="1" applyBorder="1" applyAlignment="1">
      <alignment shrinkToFit="1"/>
    </xf>
    <xf numFmtId="49" fontId="16" fillId="17" borderId="1" xfId="0" applyNumberFormat="1" applyFont="1" applyFill="1" applyBorder="1" applyAlignment="1">
      <alignment horizontal="center" vertical="center" shrinkToFit="1"/>
    </xf>
    <xf numFmtId="0" fontId="16" fillId="0" borderId="1" xfId="0" applyFont="1" applyBorder="1" applyAlignment="1">
      <alignment horizontal="center" vertical="center" shrinkToFit="1"/>
    </xf>
    <xf numFmtId="0" fontId="4" fillId="29" borderId="1" xfId="0" applyNumberFormat="1" applyFont="1" applyFill="1" applyBorder="1" applyAlignment="1">
      <alignment horizontal="center" vertical="center" shrinkToFit="1"/>
    </xf>
    <xf numFmtId="0" fontId="16" fillId="0" borderId="1" xfId="0" applyNumberFormat="1" applyFont="1" applyFill="1" applyBorder="1" applyAlignment="1">
      <alignment vertical="center" shrinkToFit="1"/>
    </xf>
    <xf numFmtId="0" fontId="16" fillId="0" borderId="1" xfId="0" applyNumberFormat="1" applyFont="1" applyFill="1" applyBorder="1" applyAlignment="1">
      <alignment horizontal="left" vertical="center" shrinkToFit="1"/>
    </xf>
    <xf numFmtId="0" fontId="16" fillId="0" borderId="1" xfId="0" quotePrefix="1" applyNumberFormat="1" applyFont="1" applyFill="1" applyBorder="1" applyAlignment="1">
      <alignment horizontal="left" vertical="center" shrinkToFit="1"/>
    </xf>
    <xf numFmtId="0" fontId="16" fillId="0" borderId="1" xfId="0" applyNumberFormat="1" applyFont="1" applyFill="1" applyBorder="1" applyAlignment="1" applyProtection="1">
      <alignment vertical="center" shrinkToFit="1"/>
      <protection locked="0"/>
    </xf>
    <xf numFmtId="0" fontId="16" fillId="0" borderId="1" xfId="1" applyNumberFormat="1" applyFont="1" applyFill="1" applyBorder="1" applyAlignment="1" applyProtection="1">
      <alignment vertical="center" shrinkToFit="1"/>
      <protection locked="0"/>
    </xf>
    <xf numFmtId="0" fontId="4" fillId="0" borderId="1" xfId="0" applyNumberFormat="1" applyFont="1" applyFill="1" applyBorder="1" applyAlignment="1">
      <alignment horizontal="center" vertical="center" shrinkToFit="1"/>
    </xf>
    <xf numFmtId="0" fontId="4" fillId="0" borderId="1" xfId="0" applyNumberFormat="1" applyFont="1" applyFill="1" applyBorder="1" applyAlignment="1">
      <alignment horizontal="left" vertical="center" shrinkToFit="1"/>
    </xf>
    <xf numFmtId="0" fontId="16" fillId="8" borderId="1" xfId="0" applyNumberFormat="1" applyFont="1" applyFill="1" applyBorder="1" applyAlignment="1">
      <alignment horizontal="left" vertical="center" shrinkToFit="1"/>
    </xf>
    <xf numFmtId="0" fontId="4" fillId="17" borderId="1" xfId="0" applyNumberFormat="1" applyFont="1" applyFill="1" applyBorder="1" applyAlignment="1">
      <alignment vertical="center" shrinkToFit="1"/>
    </xf>
    <xf numFmtId="0" fontId="14" fillId="0" borderId="0" xfId="0" applyNumberFormat="1" applyFont="1" applyFill="1" applyAlignment="1">
      <alignment shrinkToFit="1"/>
    </xf>
    <xf numFmtId="0" fontId="14" fillId="0" borderId="1" xfId="0" applyNumberFormat="1" applyFont="1" applyFill="1" applyBorder="1" applyAlignment="1">
      <alignment horizontal="left" vertical="center" shrinkToFit="1"/>
    </xf>
    <xf numFmtId="0" fontId="29" fillId="0" borderId="0" xfId="3"/>
    <xf numFmtId="49" fontId="14" fillId="0" borderId="0" xfId="0" applyNumberFormat="1" applyFont="1" applyFill="1" applyAlignment="1">
      <alignment horizontal="center" vertical="center" shrinkToFit="1"/>
    </xf>
    <xf numFmtId="0" fontId="16" fillId="0" borderId="4" xfId="0" applyFont="1" applyBorder="1" applyAlignment="1" applyProtection="1">
      <alignment horizontal="left" vertical="center" wrapText="1"/>
    </xf>
    <xf numFmtId="0" fontId="14" fillId="0" borderId="0" xfId="0" applyFont="1" applyAlignment="1">
      <alignment wrapText="1"/>
    </xf>
    <xf numFmtId="0" fontId="7" fillId="0" borderId="0" xfId="0" applyFont="1" applyBorder="1" applyAlignment="1">
      <alignment horizontal="left" vertical="center"/>
    </xf>
    <xf numFmtId="0" fontId="16" fillId="0" borderId="0" xfId="0" applyNumberFormat="1" applyFont="1" applyFill="1" applyBorder="1" applyAlignment="1">
      <alignment horizontal="left" vertical="center" shrinkToFit="1"/>
    </xf>
    <xf numFmtId="3" fontId="16"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left" vertical="center" wrapText="1"/>
    </xf>
    <xf numFmtId="3" fontId="4" fillId="6" borderId="4" xfId="0" applyNumberFormat="1" applyFont="1" applyFill="1" applyBorder="1" applyAlignment="1" applyProtection="1">
      <alignment horizontal="left" vertical="center" indent="1"/>
    </xf>
    <xf numFmtId="3" fontId="4" fillId="6" borderId="4" xfId="0" applyNumberFormat="1" applyFont="1" applyFill="1" applyBorder="1" applyAlignment="1" applyProtection="1">
      <alignment horizontal="center" vertical="center" wrapText="1"/>
    </xf>
    <xf numFmtId="3" fontId="4" fillId="6" borderId="4" xfId="0" applyNumberFormat="1" applyFont="1" applyFill="1" applyBorder="1" applyAlignment="1" applyProtection="1">
      <alignment horizontal="left" vertical="center"/>
    </xf>
    <xf numFmtId="3" fontId="4" fillId="6" borderId="5" xfId="0" applyNumberFormat="1" applyFont="1" applyFill="1" applyBorder="1" applyAlignment="1" applyProtection="1">
      <alignment horizontal="center" vertical="center"/>
    </xf>
    <xf numFmtId="3" fontId="4" fillId="6" borderId="5" xfId="0" applyNumberFormat="1" applyFont="1" applyFill="1" applyBorder="1" applyAlignment="1" applyProtection="1">
      <alignment horizontal="left" vertical="center" indent="1"/>
    </xf>
    <xf numFmtId="3" fontId="4" fillId="6" borderId="5" xfId="0" applyNumberFormat="1" applyFont="1" applyFill="1" applyBorder="1" applyAlignment="1" applyProtection="1">
      <alignment horizontal="center" vertical="center" wrapText="1"/>
    </xf>
    <xf numFmtId="3" fontId="4" fillId="6" borderId="5" xfId="0" applyNumberFormat="1" applyFont="1" applyFill="1" applyBorder="1" applyAlignment="1" applyProtection="1">
      <alignment horizontal="left" vertical="center"/>
    </xf>
    <xf numFmtId="3" fontId="4" fillId="7" borderId="1" xfId="0" applyNumberFormat="1" applyFont="1" applyFill="1" applyBorder="1" applyAlignment="1" applyProtection="1">
      <alignment horizontal="centerContinuous" vertical="center"/>
    </xf>
    <xf numFmtId="0" fontId="14" fillId="0" borderId="0" xfId="0" applyFont="1" applyBorder="1" applyAlignment="1">
      <alignment horizontal="left" vertical="center"/>
    </xf>
    <xf numFmtId="0" fontId="15" fillId="29" borderId="1" xfId="0" applyFont="1" applyFill="1" applyBorder="1" applyAlignment="1">
      <alignment horizontal="left" vertical="center"/>
    </xf>
    <xf numFmtId="0" fontId="15" fillId="29" borderId="1" xfId="0" applyFont="1" applyFill="1" applyBorder="1" applyAlignment="1">
      <alignment vertical="center"/>
    </xf>
    <xf numFmtId="0" fontId="15" fillId="29" borderId="1" xfId="0" applyFont="1" applyFill="1" applyBorder="1" applyAlignment="1">
      <alignment vertical="center" wrapText="1"/>
    </xf>
    <xf numFmtId="3" fontId="15" fillId="29" borderId="1" xfId="0" applyNumberFormat="1" applyFont="1" applyFill="1" applyBorder="1" applyAlignment="1">
      <alignment vertical="center"/>
    </xf>
    <xf numFmtId="3" fontId="16" fillId="9" borderId="4" xfId="0" applyNumberFormat="1" applyFont="1" applyFill="1" applyBorder="1" applyAlignment="1" applyProtection="1">
      <alignment horizontal="center" vertical="center"/>
    </xf>
    <xf numFmtId="0" fontId="16" fillId="9" borderId="4" xfId="0" applyFont="1" applyFill="1" applyBorder="1" applyAlignment="1" applyProtection="1">
      <alignment horizontal="center" vertical="center"/>
    </xf>
    <xf numFmtId="0" fontId="4" fillId="9" borderId="4" xfId="0" applyFont="1" applyFill="1" applyBorder="1" applyAlignment="1" applyProtection="1">
      <alignment horizontal="left" vertical="center" wrapText="1"/>
    </xf>
    <xf numFmtId="3" fontId="19" fillId="9" borderId="4" xfId="0" applyNumberFormat="1" applyFont="1" applyFill="1" applyBorder="1" applyAlignment="1" applyProtection="1">
      <alignment horizontal="center" vertical="center"/>
    </xf>
    <xf numFmtId="3" fontId="16" fillId="9" borderId="4" xfId="1" applyNumberFormat="1" applyFont="1" applyFill="1" applyBorder="1" applyAlignment="1" applyProtection="1">
      <alignment horizontal="right" vertical="center" indent="1"/>
    </xf>
    <xf numFmtId="3" fontId="19" fillId="9" borderId="4" xfId="0" applyNumberFormat="1" applyFont="1" applyFill="1" applyBorder="1" applyAlignment="1" applyProtection="1">
      <alignment horizontal="right" vertical="center" indent="1"/>
    </xf>
    <xf numFmtId="0" fontId="50" fillId="0" borderId="1" xfId="0" applyFont="1" applyBorder="1" applyAlignment="1">
      <alignment horizontal="center" textRotation="90"/>
    </xf>
    <xf numFmtId="49" fontId="50" fillId="0" borderId="1" xfId="0" applyNumberFormat="1" applyFont="1" applyBorder="1" applyAlignment="1">
      <alignment horizontal="center" textRotation="90"/>
    </xf>
    <xf numFmtId="49" fontId="50" fillId="0" borderId="1" xfId="0" applyNumberFormat="1" applyFont="1" applyBorder="1" applyAlignment="1">
      <alignment horizontal="center" vertical="center"/>
    </xf>
    <xf numFmtId="0" fontId="50" fillId="0" borderId="1" xfId="0" applyFont="1" applyBorder="1" applyAlignment="1">
      <alignment horizontal="center" vertical="center"/>
    </xf>
    <xf numFmtId="0" fontId="50" fillId="0" borderId="0" xfId="0" applyFont="1" applyAlignment="1">
      <alignment horizontal="center" vertical="center"/>
    </xf>
    <xf numFmtId="49" fontId="50" fillId="0" borderId="0" xfId="0" applyNumberFormat="1" applyFont="1" applyAlignment="1">
      <alignment horizontal="center" vertical="center"/>
    </xf>
    <xf numFmtId="3" fontId="51" fillId="9" borderId="4" xfId="0" applyNumberFormat="1" applyFont="1" applyFill="1" applyBorder="1" applyAlignment="1" applyProtection="1">
      <alignment horizontal="center" vertical="center"/>
    </xf>
    <xf numFmtId="0" fontId="4" fillId="9" borderId="4" xfId="0" applyFont="1" applyFill="1" applyBorder="1" applyAlignment="1" applyProtection="1">
      <alignment horizontal="center" vertical="center"/>
    </xf>
    <xf numFmtId="0" fontId="49" fillId="0" borderId="1" xfId="0" applyFont="1" applyBorder="1" applyAlignment="1">
      <alignment horizontal="center" vertical="center"/>
    </xf>
    <xf numFmtId="49" fontId="49" fillId="0" borderId="1" xfId="0" applyNumberFormat="1" applyFont="1" applyBorder="1" applyAlignment="1">
      <alignment horizontal="center" vertical="center"/>
    </xf>
    <xf numFmtId="0" fontId="49" fillId="0" borderId="1" xfId="0" applyFont="1" applyBorder="1" applyAlignment="1">
      <alignment horizontal="left" vertical="center"/>
    </xf>
    <xf numFmtId="0" fontId="49" fillId="0" borderId="0" xfId="0" applyFont="1" applyAlignment="1">
      <alignment horizontal="centerContinuous" vertical="center"/>
    </xf>
    <xf numFmtId="49" fontId="49" fillId="0" borderId="0" xfId="0" applyNumberFormat="1" applyFont="1" applyAlignment="1">
      <alignment horizontal="centerContinuous" vertical="center"/>
    </xf>
    <xf numFmtId="0" fontId="49" fillId="7" borderId="0" xfId="0" applyFont="1" applyFill="1" applyAlignment="1">
      <alignment horizontal="centerContinuous" vertical="center"/>
    </xf>
    <xf numFmtId="0" fontId="50" fillId="7" borderId="0" xfId="0" applyFont="1" applyFill="1" applyAlignment="1">
      <alignment horizontal="centerContinuous" vertical="center"/>
    </xf>
    <xf numFmtId="0" fontId="50" fillId="7" borderId="1" xfId="0" applyFont="1" applyFill="1" applyBorder="1" applyAlignment="1">
      <alignment horizontal="center" textRotation="90"/>
    </xf>
    <xf numFmtId="0" fontId="50" fillId="7" borderId="1" xfId="0" applyFont="1" applyFill="1" applyBorder="1" applyAlignment="1">
      <alignment horizontal="center" vertical="center"/>
    </xf>
    <xf numFmtId="0" fontId="49" fillId="7" borderId="1" xfId="0" applyFont="1" applyFill="1" applyBorder="1" applyAlignment="1">
      <alignment horizontal="center" vertical="center"/>
    </xf>
    <xf numFmtId="0" fontId="50" fillId="7" borderId="0" xfId="0" applyFont="1" applyFill="1" applyAlignment="1">
      <alignment horizontal="center" vertical="center"/>
    </xf>
    <xf numFmtId="0" fontId="28" fillId="27" borderId="1" xfId="0" applyFont="1" applyFill="1" applyBorder="1" applyAlignment="1">
      <alignment horizontal="center" vertical="center" shrinkToFit="1"/>
    </xf>
    <xf numFmtId="0" fontId="28" fillId="27" borderId="1" xfId="0" applyFont="1" applyFill="1" applyBorder="1" applyAlignment="1">
      <alignment horizontal="left" vertical="center" shrinkToFit="1"/>
    </xf>
    <xf numFmtId="0" fontId="14" fillId="0" borderId="0" xfId="0" applyFont="1" applyAlignment="1">
      <alignment vertical="center" shrinkToFit="1"/>
    </xf>
    <xf numFmtId="0" fontId="14" fillId="9" borderId="5" xfId="0" applyFont="1" applyFill="1" applyBorder="1" applyAlignment="1">
      <alignment horizontal="center" vertical="center" shrinkToFit="1"/>
    </xf>
    <xf numFmtId="0" fontId="15" fillId="10" borderId="5" xfId="0" applyFont="1" applyFill="1" applyBorder="1" applyAlignment="1">
      <alignment horizontal="center" vertical="center" shrinkToFit="1"/>
    </xf>
    <xf numFmtId="0" fontId="15" fillId="0" borderId="5" xfId="0" applyFont="1" applyBorder="1" applyAlignment="1">
      <alignment horizontal="center" vertical="center" shrinkToFit="1"/>
    </xf>
    <xf numFmtId="0" fontId="15" fillId="0" borderId="5" xfId="0" applyFont="1" applyBorder="1" applyAlignment="1">
      <alignment horizontal="left" vertical="center" shrinkToFit="1"/>
    </xf>
    <xf numFmtId="0" fontId="15" fillId="0" borderId="16" xfId="0" applyFont="1" applyBorder="1" applyAlignment="1">
      <alignment horizontal="center" vertical="center" shrinkToFit="1"/>
    </xf>
    <xf numFmtId="0" fontId="15" fillId="0" borderId="0" xfId="0" applyFont="1" applyAlignment="1">
      <alignment horizontal="center" vertical="center" shrinkToFit="1"/>
    </xf>
    <xf numFmtId="0" fontId="15" fillId="0" borderId="0" xfId="0" applyFont="1" applyAlignment="1">
      <alignment horizontal="left" vertical="center" shrinkToFit="1"/>
    </xf>
    <xf numFmtId="0" fontId="14" fillId="9" borderId="4" xfId="0" applyFont="1" applyFill="1" applyBorder="1" applyAlignment="1">
      <alignment vertical="center" shrinkToFit="1"/>
    </xf>
    <xf numFmtId="0" fontId="14" fillId="9" borderId="4" xfId="0" applyFont="1" applyFill="1" applyBorder="1" applyAlignment="1">
      <alignment horizontal="left" vertical="center" shrinkToFit="1"/>
    </xf>
    <xf numFmtId="0" fontId="14" fillId="10" borderId="4" xfId="0" applyFont="1" applyFill="1" applyBorder="1" applyAlignment="1">
      <alignment vertical="center" shrinkToFit="1"/>
    </xf>
    <xf numFmtId="0" fontId="14" fillId="10" borderId="4" xfId="0" applyFont="1" applyFill="1" applyBorder="1" applyAlignment="1">
      <alignment horizontal="center" vertical="center" shrinkToFit="1"/>
    </xf>
    <xf numFmtId="0" fontId="14" fillId="0" borderId="4" xfId="0" applyFont="1" applyBorder="1" applyAlignment="1">
      <alignment horizontal="center" vertical="center" shrinkToFit="1"/>
    </xf>
    <xf numFmtId="0" fontId="14" fillId="0" borderId="4" xfId="0" applyFont="1" applyBorder="1" applyAlignment="1">
      <alignment horizontal="left" vertical="center" shrinkToFit="1"/>
    </xf>
    <xf numFmtId="0" fontId="14" fillId="0" borderId="26" xfId="0" applyFont="1" applyBorder="1" applyAlignment="1">
      <alignment horizontal="center" vertical="center" shrinkToFit="1"/>
    </xf>
    <xf numFmtId="0" fontId="14" fillId="0" borderId="1" xfId="0" applyFont="1" applyBorder="1" applyAlignment="1">
      <alignment horizontal="left" vertical="center" shrinkToFit="1"/>
    </xf>
    <xf numFmtId="0" fontId="14" fillId="0" borderId="0" xfId="0" applyFont="1" applyAlignment="1">
      <alignment horizontal="center" vertical="center" shrinkToFit="1"/>
    </xf>
    <xf numFmtId="0" fontId="29" fillId="0" borderId="0" xfId="3" applyAlignment="1">
      <alignment vertical="center" shrinkToFit="1"/>
    </xf>
    <xf numFmtId="0" fontId="15" fillId="0" borderId="0" xfId="0" applyFont="1" applyAlignment="1">
      <alignment vertical="center" shrinkToFit="1"/>
    </xf>
    <xf numFmtId="0" fontId="14" fillId="7" borderId="0" xfId="0" applyFont="1" applyFill="1" applyAlignment="1">
      <alignment vertical="center" shrinkToFit="1"/>
    </xf>
    <xf numFmtId="0" fontId="14" fillId="0" borderId="0" xfId="0" applyFont="1" applyAlignment="1">
      <alignment horizontal="centerContinuous" vertical="center" shrinkToFit="1"/>
    </xf>
    <xf numFmtId="0" fontId="14" fillId="9" borderId="4" xfId="0" applyFont="1" applyFill="1" applyBorder="1" applyAlignment="1">
      <alignment horizontal="center" vertical="center" shrinkToFit="1"/>
    </xf>
    <xf numFmtId="0" fontId="15" fillId="0" borderId="1" xfId="0" applyFont="1" applyBorder="1" applyAlignment="1">
      <alignment horizontal="center" vertical="center" shrinkToFit="1"/>
    </xf>
    <xf numFmtId="0" fontId="14" fillId="0" borderId="5" xfId="0" applyFont="1" applyBorder="1" applyAlignment="1">
      <alignment vertical="center" shrinkToFit="1"/>
    </xf>
    <xf numFmtId="0" fontId="14" fillId="0" borderId="5" xfId="0" applyFont="1" applyBorder="1" applyAlignment="1">
      <alignment horizontal="center" vertical="center" shrinkToFit="1"/>
    </xf>
    <xf numFmtId="0" fontId="23" fillId="0" borderId="5" xfId="0" applyFont="1" applyBorder="1" applyAlignment="1">
      <alignment vertical="center" shrinkToFit="1"/>
    </xf>
    <xf numFmtId="0" fontId="14" fillId="0" borderId="4" xfId="0" applyFont="1" applyBorder="1" applyAlignment="1">
      <alignment vertical="center" shrinkToFit="1"/>
    </xf>
    <xf numFmtId="0" fontId="23" fillId="0" borderId="4" xfId="0" applyFont="1" applyBorder="1" applyAlignment="1">
      <alignment vertical="center" shrinkToFit="1"/>
    </xf>
    <xf numFmtId="0" fontId="14" fillId="0" borderId="20" xfId="0" applyFont="1" applyBorder="1" applyAlignment="1">
      <alignment vertical="center" shrinkToFit="1"/>
    </xf>
    <xf numFmtId="0" fontId="14" fillId="0" borderId="20" xfId="0" applyFont="1" applyBorder="1" applyAlignment="1">
      <alignment horizontal="center" vertical="center" shrinkToFit="1"/>
    </xf>
    <xf numFmtId="0" fontId="23" fillId="0" borderId="20" xfId="0" applyFont="1" applyBorder="1" applyAlignment="1">
      <alignment vertical="center" shrinkToFit="1"/>
    </xf>
    <xf numFmtId="0" fontId="15" fillId="7" borderId="0" xfId="0" applyFont="1" applyFill="1" applyAlignment="1">
      <alignment vertical="center" shrinkToFit="1"/>
    </xf>
    <xf numFmtId="0" fontId="14" fillId="0" borderId="0" xfId="0" applyFont="1" applyAlignment="1">
      <alignment horizontal="left" vertical="center" shrinkToFit="1"/>
    </xf>
    <xf numFmtId="174" fontId="4" fillId="0" borderId="0" xfId="0" applyNumberFormat="1" applyFont="1" applyAlignment="1">
      <alignment horizontal="centerContinuous" vertical="center" shrinkToFit="1"/>
    </xf>
    <xf numFmtId="0" fontId="16" fillId="0" borderId="0" xfId="0" applyFont="1" applyAlignment="1">
      <alignment horizontal="centerContinuous" vertical="center" shrinkToFit="1"/>
    </xf>
    <xf numFmtId="2" fontId="16" fillId="0" borderId="0" xfId="0" applyNumberFormat="1" applyFont="1" applyAlignment="1">
      <alignment vertical="center" shrinkToFit="1"/>
    </xf>
    <xf numFmtId="2" fontId="16" fillId="0" borderId="0" xfId="0" applyNumberFormat="1" applyFont="1" applyAlignment="1">
      <alignment horizontal="centerContinuous" vertical="center" shrinkToFit="1"/>
    </xf>
    <xf numFmtId="0" fontId="16" fillId="0" borderId="0" xfId="0" applyFont="1" applyAlignment="1">
      <alignment horizontal="center" vertical="center" shrinkToFit="1"/>
    </xf>
    <xf numFmtId="174" fontId="4" fillId="0" borderId="0" xfId="0" applyNumberFormat="1" applyFont="1" applyAlignment="1">
      <alignment vertical="center" shrinkToFit="1"/>
    </xf>
    <xf numFmtId="0" fontId="16" fillId="0" borderId="0" xfId="0" applyFont="1" applyAlignment="1">
      <alignment vertical="center" shrinkToFit="1"/>
    </xf>
    <xf numFmtId="0" fontId="4" fillId="0" borderId="0" xfId="0" applyFont="1" applyFill="1" applyBorder="1" applyAlignment="1">
      <alignment horizontal="center" vertical="center" shrinkToFit="1"/>
    </xf>
    <xf numFmtId="174" fontId="4" fillId="0" borderId="0" xfId="0" applyNumberFormat="1" applyFont="1" applyFill="1" applyBorder="1" applyAlignment="1">
      <alignment vertical="center" shrinkToFit="1"/>
    </xf>
    <xf numFmtId="2" fontId="4" fillId="0" borderId="0" xfId="0" applyNumberFormat="1" applyFont="1" applyFill="1" applyBorder="1" applyAlignment="1">
      <alignment vertical="center" shrinkToFit="1"/>
    </xf>
    <xf numFmtId="0" fontId="16" fillId="0" borderId="0" xfId="0" applyFont="1" applyFill="1" applyBorder="1" applyAlignment="1">
      <alignment horizontal="center" vertical="center" shrinkToFit="1"/>
    </xf>
    <xf numFmtId="174" fontId="16" fillId="0" borderId="0" xfId="0" applyNumberFormat="1" applyFont="1" applyFill="1" applyBorder="1" applyAlignment="1">
      <alignment vertical="center" shrinkToFit="1"/>
    </xf>
    <xf numFmtId="0" fontId="16" fillId="0" borderId="0" xfId="0" applyFont="1" applyFill="1" applyBorder="1" applyAlignment="1">
      <alignment vertical="center" shrinkToFit="1"/>
    </xf>
    <xf numFmtId="2" fontId="16" fillId="0" borderId="0" xfId="0" applyNumberFormat="1" applyFont="1" applyFill="1" applyBorder="1" applyAlignment="1">
      <alignment vertical="center" shrinkToFit="1"/>
    </xf>
    <xf numFmtId="174" fontId="16" fillId="0" borderId="0" xfId="0" quotePrefix="1" applyNumberFormat="1" applyFont="1" applyFill="1" applyBorder="1" applyAlignment="1">
      <alignment vertical="center" shrinkToFit="1"/>
    </xf>
    <xf numFmtId="164" fontId="16" fillId="0" borderId="0" xfId="1" applyNumberFormat="1" applyFont="1" applyFill="1" applyBorder="1" applyAlignment="1">
      <alignment vertical="center" shrinkToFit="1"/>
    </xf>
    <xf numFmtId="164" fontId="20" fillId="0" borderId="0" xfId="1" applyNumberFormat="1" applyFont="1" applyFill="1" applyBorder="1" applyAlignment="1">
      <alignment vertical="center" shrinkToFit="1"/>
    </xf>
    <xf numFmtId="0" fontId="14" fillId="0" borderId="0" xfId="0" applyFont="1" applyFill="1" applyBorder="1" applyAlignment="1">
      <alignment vertical="center" shrinkToFit="1"/>
    </xf>
    <xf numFmtId="175" fontId="16" fillId="0" borderId="0" xfId="0" applyNumberFormat="1" applyFont="1" applyFill="1" applyBorder="1" applyAlignment="1">
      <alignment vertical="center" shrinkToFit="1"/>
    </xf>
    <xf numFmtId="0" fontId="14" fillId="10" borderId="20" xfId="0" applyFont="1" applyFill="1" applyBorder="1" applyAlignment="1">
      <alignment horizontal="center" vertical="center" shrinkToFit="1"/>
    </xf>
    <xf numFmtId="0" fontId="14" fillId="9" borderId="20" xfId="0" applyFont="1" applyFill="1" applyBorder="1" applyAlignment="1">
      <alignment vertical="center" shrinkToFit="1"/>
    </xf>
    <xf numFmtId="0" fontId="14" fillId="0" borderId="0" xfId="0" applyFont="1" applyFill="1" applyAlignment="1">
      <alignment vertical="center" shrinkToFit="1"/>
    </xf>
    <xf numFmtId="174" fontId="16" fillId="0" borderId="0" xfId="0" quotePrefix="1" applyNumberFormat="1" applyFont="1" applyAlignment="1">
      <alignment vertical="center" shrinkToFit="1"/>
    </xf>
    <xf numFmtId="174" fontId="4" fillId="0" borderId="19" xfId="0" applyNumberFormat="1" applyFont="1" applyBorder="1" applyAlignment="1">
      <alignment horizontal="centerContinuous" vertical="center" shrinkToFit="1"/>
    </xf>
    <xf numFmtId="174" fontId="16" fillId="0" borderId="19" xfId="0" applyNumberFormat="1" applyFont="1" applyBorder="1" applyAlignment="1">
      <alignment horizontal="centerContinuous" vertical="center" shrinkToFit="1"/>
    </xf>
    <xf numFmtId="0" fontId="16" fillId="0" borderId="19" xfId="0" applyFont="1" applyBorder="1" applyAlignment="1">
      <alignment horizontal="centerContinuous" vertical="center" shrinkToFit="1"/>
    </xf>
    <xf numFmtId="2" fontId="16" fillId="0" borderId="19" xfId="0" applyNumberFormat="1" applyFont="1" applyBorder="1" applyAlignment="1">
      <alignment vertical="center" shrinkToFit="1"/>
    </xf>
    <xf numFmtId="2" fontId="16" fillId="0" borderId="0" xfId="0" applyNumberFormat="1" applyFont="1" applyAlignment="1">
      <alignment horizontal="center" vertical="center" shrinkToFit="1"/>
    </xf>
    <xf numFmtId="0" fontId="4" fillId="0" borderId="4" xfId="0" applyFont="1" applyBorder="1" applyAlignment="1">
      <alignment horizontal="center" vertical="center" shrinkToFit="1"/>
    </xf>
    <xf numFmtId="174" fontId="4" fillId="0" borderId="4" xfId="0" applyNumberFormat="1" applyFont="1" applyBorder="1" applyAlignment="1">
      <alignment horizontal="center" vertical="center" shrinkToFit="1"/>
    </xf>
    <xf numFmtId="2" fontId="4" fillId="0" borderId="4" xfId="0" applyNumberFormat="1" applyFont="1" applyBorder="1" applyAlignment="1">
      <alignment vertical="center" shrinkToFit="1"/>
    </xf>
    <xf numFmtId="0" fontId="16" fillId="0" borderId="4" xfId="0" applyFont="1" applyBorder="1" applyAlignment="1">
      <alignment horizontal="center" vertical="center" shrinkToFit="1"/>
    </xf>
    <xf numFmtId="0" fontId="16" fillId="0" borderId="4" xfId="0" applyNumberFormat="1" applyFont="1" applyBorder="1" applyAlignment="1">
      <alignment horizontal="center" vertical="center" shrinkToFit="1"/>
    </xf>
    <xf numFmtId="0" fontId="16" fillId="0" borderId="4" xfId="0" applyFont="1" applyBorder="1" applyAlignment="1">
      <alignment vertical="center" shrinkToFit="1"/>
    </xf>
    <xf numFmtId="3" fontId="16" fillId="0" borderId="4" xfId="0" applyNumberFormat="1" applyFont="1" applyBorder="1" applyAlignment="1">
      <alignment vertical="center" shrinkToFit="1"/>
    </xf>
    <xf numFmtId="0" fontId="16" fillId="0" borderId="20" xfId="0" applyFont="1" applyBorder="1" applyAlignment="1">
      <alignment horizontal="center" vertical="center" shrinkToFit="1"/>
    </xf>
    <xf numFmtId="0" fontId="16" fillId="0" borderId="20" xfId="0" quotePrefix="1" applyNumberFormat="1" applyFont="1" applyBorder="1" applyAlignment="1">
      <alignment horizontal="center" vertical="center" shrinkToFit="1"/>
    </xf>
    <xf numFmtId="0" fontId="16" fillId="0" borderId="20" xfId="0" applyFont="1" applyBorder="1" applyAlignment="1">
      <alignment vertical="center" shrinkToFit="1"/>
    </xf>
    <xf numFmtId="3" fontId="16" fillId="0" borderId="20" xfId="0" applyNumberFormat="1" applyFont="1" applyBorder="1" applyAlignment="1">
      <alignment vertical="center" shrinkToFit="1"/>
    </xf>
    <xf numFmtId="0" fontId="14" fillId="8" borderId="0" xfId="0" applyFont="1" applyFill="1" applyAlignment="1">
      <alignment vertical="center" shrinkToFit="1"/>
    </xf>
    <xf numFmtId="0" fontId="43" fillId="23" borderId="37" xfId="0" applyFont="1"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3" fillId="15" borderId="37" xfId="0" applyFont="1" applyFill="1" applyBorder="1" applyAlignment="1" applyProtection="1">
      <alignment horizontal="centerContinuous" vertical="center"/>
      <protection locked="0"/>
    </xf>
    <xf numFmtId="0" fontId="44" fillId="15" borderId="37" xfId="0" applyFont="1" applyFill="1" applyBorder="1" applyAlignment="1" applyProtection="1">
      <alignment horizontal="centerContinuous" vertical="center"/>
      <protection locked="0"/>
    </xf>
    <xf numFmtId="0" fontId="43" fillId="18" borderId="37" xfId="0" applyFont="1" applyFill="1" applyBorder="1" applyAlignment="1" applyProtection="1">
      <alignment horizontal="centerContinuous" vertical="center"/>
    </xf>
    <xf numFmtId="0" fontId="44" fillId="18" borderId="37" xfId="0" applyFont="1" applyFill="1" applyBorder="1" applyAlignment="1" applyProtection="1">
      <alignment horizontal="centerContinuous" vertical="center"/>
    </xf>
    <xf numFmtId="0" fontId="43" fillId="18" borderId="37" xfId="0" applyFont="1" applyFill="1" applyBorder="1" applyAlignment="1" applyProtection="1">
      <alignment horizontal="centerContinuous" vertical="center" shrinkToFit="1"/>
    </xf>
    <xf numFmtId="0" fontId="44" fillId="23" borderId="37" xfId="0" applyFont="1" applyFill="1" applyBorder="1" applyAlignment="1" applyProtection="1">
      <alignment horizontal="left" vertical="center"/>
      <protection locked="0"/>
    </xf>
    <xf numFmtId="0" fontId="44" fillId="23" borderId="37" xfId="0" applyFont="1" applyFill="1" applyBorder="1" applyAlignment="1" applyProtection="1">
      <alignment horizontal="center" vertical="center"/>
      <protection locked="0"/>
    </xf>
    <xf numFmtId="0" fontId="44" fillId="15" borderId="37" xfId="0" applyFont="1" applyFill="1" applyBorder="1" applyAlignment="1" applyProtection="1">
      <alignment horizontal="left" vertical="center"/>
      <protection locked="0"/>
    </xf>
    <xf numFmtId="0" fontId="43" fillId="18" borderId="37" xfId="0" applyFont="1" applyFill="1" applyBorder="1" applyAlignment="1" applyProtection="1">
      <alignment horizontal="center" vertical="center"/>
    </xf>
    <xf numFmtId="3" fontId="44" fillId="18" borderId="37" xfId="1" applyNumberFormat="1" applyFont="1" applyFill="1" applyBorder="1" applyAlignment="1" applyProtection="1">
      <alignment horizontal="center" vertical="center"/>
    </xf>
    <xf numFmtId="0" fontId="44" fillId="18" borderId="37" xfId="0" applyFont="1" applyFill="1" applyBorder="1" applyAlignment="1" applyProtection="1">
      <alignment horizontal="center" vertical="center"/>
    </xf>
    <xf numFmtId="0" fontId="44" fillId="18" borderId="37" xfId="0" applyFont="1" applyFill="1" applyBorder="1" applyAlignment="1" applyProtection="1">
      <alignment horizontal="left" vertical="center" shrinkToFit="1"/>
    </xf>
    <xf numFmtId="0" fontId="44" fillId="18" borderId="37" xfId="0" applyFont="1" applyFill="1" applyBorder="1" applyAlignment="1" applyProtection="1">
      <alignment horizontal="centerContinuous" vertical="center" shrinkToFit="1"/>
    </xf>
    <xf numFmtId="0" fontId="44" fillId="18" borderId="37" xfId="0" applyFont="1" applyFill="1" applyBorder="1" applyAlignment="1" applyProtection="1">
      <alignment horizontal="center" vertical="center" shrinkToFit="1"/>
    </xf>
    <xf numFmtId="2"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right" vertical="center" shrinkToFit="1"/>
    </xf>
    <xf numFmtId="0" fontId="53" fillId="0" borderId="0" xfId="0" applyFont="1" applyAlignment="1" applyProtection="1">
      <alignment horizontal="left" vertical="center"/>
    </xf>
    <xf numFmtId="0" fontId="43" fillId="23" borderId="37" xfId="0" applyFont="1" applyFill="1" applyBorder="1" applyAlignment="1" applyProtection="1">
      <alignment horizontal="center" vertical="center"/>
    </xf>
    <xf numFmtId="0" fontId="53" fillId="0" borderId="0" xfId="0" applyFont="1" applyAlignment="1" applyProtection="1">
      <alignment horizontal="center" vertical="center" shrinkToFit="1"/>
      <protection locked="0"/>
    </xf>
    <xf numFmtId="0" fontId="53" fillId="0" borderId="0" xfId="0" applyFont="1" applyAlignment="1" applyProtection="1">
      <alignment horizontal="left" vertical="center" shrinkToFit="1"/>
      <protection locked="0"/>
    </xf>
    <xf numFmtId="0" fontId="44" fillId="23" borderId="37" xfId="0" applyFont="1" applyFill="1" applyBorder="1" applyAlignment="1" applyProtection="1">
      <alignment horizontal="left" vertical="center"/>
    </xf>
    <xf numFmtId="3" fontId="44" fillId="23" borderId="37" xfId="0" applyNumberFormat="1" applyFont="1" applyFill="1" applyBorder="1" applyAlignment="1" applyProtection="1">
      <alignment horizontal="center" vertical="center"/>
    </xf>
    <xf numFmtId="0" fontId="43" fillId="19" borderId="37" xfId="0" applyFont="1" applyFill="1" applyBorder="1" applyAlignment="1" applyProtection="1">
      <alignment horizontal="center" vertical="center" shrinkToFit="1"/>
    </xf>
    <xf numFmtId="0" fontId="44" fillId="19" borderId="37" xfId="0" applyFont="1" applyFill="1" applyBorder="1" applyAlignment="1" applyProtection="1">
      <alignment horizontal="center" vertical="center" shrinkToFit="1"/>
    </xf>
    <xf numFmtId="0" fontId="44" fillId="19" borderId="37" xfId="1" applyNumberFormat="1" applyFont="1" applyFill="1" applyBorder="1" applyAlignment="1" applyProtection="1">
      <alignment horizontal="center" vertical="center" shrinkToFit="1"/>
    </xf>
    <xf numFmtId="43" fontId="53" fillId="0" borderId="0" xfId="0" applyNumberFormat="1" applyFont="1" applyAlignment="1" applyProtection="1">
      <alignment horizontal="left" vertical="center"/>
      <protection locked="0"/>
    </xf>
    <xf numFmtId="43" fontId="53" fillId="0" borderId="0" xfId="0" applyNumberFormat="1" applyFont="1" applyAlignment="1" applyProtection="1">
      <alignment vertical="center"/>
      <protection locked="0"/>
    </xf>
    <xf numFmtId="0" fontId="43" fillId="15" borderId="37" xfId="0" applyFont="1" applyFill="1" applyBorder="1" applyAlignment="1" applyProtection="1">
      <alignment horizontal="center" vertical="center"/>
    </xf>
    <xf numFmtId="173" fontId="43" fillId="15" borderId="37" xfId="0" applyNumberFormat="1" applyFont="1" applyFill="1" applyBorder="1" applyAlignment="1" applyProtection="1">
      <alignment horizontal="center" vertical="center"/>
    </xf>
    <xf numFmtId="164" fontId="43" fillId="15" borderId="37" xfId="1" applyNumberFormat="1" applyFont="1" applyFill="1" applyBorder="1" applyAlignment="1" applyProtection="1">
      <alignment horizontal="center" vertical="center"/>
    </xf>
    <xf numFmtId="0" fontId="44" fillId="15" borderId="37" xfId="0" applyFont="1" applyFill="1" applyBorder="1" applyAlignment="1" applyProtection="1">
      <alignment horizontal="center" vertical="center"/>
    </xf>
    <xf numFmtId="165" fontId="44" fillId="15" borderId="37" xfId="1" applyNumberFormat="1" applyFont="1" applyFill="1" applyBorder="1" applyAlignment="1" applyProtection="1">
      <alignment horizontal="center" vertical="center"/>
    </xf>
    <xf numFmtId="164" fontId="44" fillId="15" borderId="37" xfId="1" applyNumberFormat="1" applyFont="1" applyFill="1" applyBorder="1" applyAlignment="1" applyProtection="1">
      <alignment horizontal="center" vertical="center"/>
    </xf>
    <xf numFmtId="173" fontId="44" fillId="15" borderId="37" xfId="0" applyNumberFormat="1" applyFont="1" applyFill="1" applyBorder="1" applyAlignment="1" applyProtection="1">
      <alignment horizontal="center" vertical="center"/>
    </xf>
    <xf numFmtId="43" fontId="44" fillId="15" borderId="37" xfId="1" applyNumberFormat="1" applyFont="1" applyFill="1" applyBorder="1" applyAlignment="1" applyProtection="1">
      <alignment horizontal="center" vertical="center"/>
    </xf>
    <xf numFmtId="0" fontId="43"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 vertical="center"/>
    </xf>
    <xf numFmtId="164" fontId="44" fillId="19" borderId="37" xfId="0" applyNumberFormat="1" applyFont="1" applyFill="1" applyBorder="1" applyAlignment="1" applyProtection="1">
      <alignment horizontal="center" vertical="center"/>
    </xf>
    <xf numFmtId="0" fontId="44" fillId="19" borderId="37" xfId="0" applyFont="1" applyFill="1" applyBorder="1" applyAlignment="1" applyProtection="1">
      <alignment horizontal="left" vertical="center"/>
    </xf>
    <xf numFmtId="0" fontId="53" fillId="0" borderId="0" xfId="0" applyFont="1" applyAlignment="1" applyProtection="1">
      <alignment horizontal="center" vertical="center"/>
      <protection locked="0"/>
    </xf>
    <xf numFmtId="174" fontId="43" fillId="24" borderId="37" xfId="0"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vertical="center" shrinkToFit="1"/>
    </xf>
    <xf numFmtId="0" fontId="43" fillId="24" borderId="45" xfId="0" applyFont="1" applyFill="1" applyBorder="1" applyAlignment="1" applyProtection="1">
      <alignment horizontal="center" vertical="center" shrinkToFit="1"/>
    </xf>
    <xf numFmtId="2" fontId="43" fillId="24" borderId="37" xfId="0" applyNumberFormat="1" applyFont="1" applyFill="1" applyBorder="1" applyAlignment="1" applyProtection="1">
      <alignment horizontal="center" vertical="center" shrinkToFit="1"/>
    </xf>
    <xf numFmtId="0" fontId="43" fillId="24" borderId="52" xfId="0" applyFont="1" applyFill="1" applyBorder="1" applyAlignment="1" applyProtection="1">
      <alignment horizontal="center" vertical="center" shrinkToFit="1"/>
    </xf>
    <xf numFmtId="164" fontId="43" fillId="24" borderId="51" xfId="1"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horizontal="center" vertical="center" shrinkToFit="1"/>
    </xf>
    <xf numFmtId="0" fontId="52" fillId="8" borderId="53" xfId="0" applyFont="1" applyFill="1" applyBorder="1" applyAlignment="1" applyProtection="1">
      <alignment horizontal="center" vertical="center" shrinkToFit="1"/>
    </xf>
    <xf numFmtId="174" fontId="44" fillId="24" borderId="51" xfId="0" quotePrefix="1" applyNumberFormat="1" applyFont="1" applyFill="1" applyBorder="1" applyAlignment="1" applyProtection="1">
      <alignment horizontal="center" vertical="center" shrinkToFit="1"/>
    </xf>
    <xf numFmtId="173" fontId="44" fillId="24" borderId="37" xfId="0" applyNumberFormat="1" applyFont="1" applyFill="1" applyBorder="1" applyAlignment="1" applyProtection="1">
      <alignment horizontal="center" vertical="center" shrinkToFit="1"/>
    </xf>
    <xf numFmtId="164" fontId="44" fillId="24" borderId="37" xfId="1" applyNumberFormat="1" applyFont="1" applyFill="1" applyBorder="1" applyAlignment="1" applyProtection="1">
      <alignment horizontal="center" vertical="center" shrinkToFit="1"/>
    </xf>
    <xf numFmtId="0" fontId="44" fillId="24" borderId="51" xfId="0" applyFont="1" applyFill="1" applyBorder="1" applyAlignment="1" applyProtection="1">
      <alignment horizontal="center" vertical="center" shrinkToFit="1"/>
    </xf>
    <xf numFmtId="0" fontId="43" fillId="24" borderId="53" xfId="0" applyFont="1" applyFill="1" applyBorder="1" applyAlignment="1" applyProtection="1">
      <alignment horizontal="center" vertical="center" shrinkToFit="1"/>
    </xf>
    <xf numFmtId="0" fontId="44" fillId="24" borderId="46" xfId="0" applyFont="1" applyFill="1" applyBorder="1" applyAlignment="1" applyProtection="1">
      <alignment horizontal="center" vertical="center" shrinkToFit="1"/>
    </xf>
    <xf numFmtId="0" fontId="44" fillId="24" borderId="37" xfId="0" applyFont="1" applyFill="1" applyBorder="1" applyAlignment="1" applyProtection="1">
      <alignment horizontal="center" vertical="center" shrinkToFit="1"/>
    </xf>
    <xf numFmtId="174" fontId="44" fillId="24" borderId="37" xfId="0" quotePrefix="1" applyNumberFormat="1" applyFont="1" applyFill="1" applyBorder="1" applyAlignment="1" applyProtection="1">
      <alignment horizontal="center" vertical="center" shrinkToFit="1"/>
    </xf>
    <xf numFmtId="38" fontId="4" fillId="0" borderId="1" xfId="0" applyNumberFormat="1" applyFont="1" applyBorder="1" applyAlignment="1">
      <alignment horizontal="left" vertical="center"/>
    </xf>
    <xf numFmtId="0" fontId="50" fillId="0" borderId="0" xfId="0" applyFont="1" applyAlignment="1">
      <alignment vertical="center"/>
    </xf>
    <xf numFmtId="0" fontId="50" fillId="0" borderId="19" xfId="0" applyFont="1" applyBorder="1" applyAlignment="1">
      <alignment horizontal="center" vertical="center"/>
    </xf>
    <xf numFmtId="3" fontId="50" fillId="0" borderId="19" xfId="1" applyNumberFormat="1" applyFont="1" applyBorder="1" applyAlignment="1">
      <alignment vertical="center"/>
    </xf>
    <xf numFmtId="0" fontId="50" fillId="0" borderId="4" xfId="0" applyFont="1" applyBorder="1" applyAlignment="1">
      <alignment horizontal="center" vertical="center"/>
    </xf>
    <xf numFmtId="3" fontId="50" fillId="0" borderId="4" xfId="1" applyNumberFormat="1" applyFont="1" applyBorder="1" applyAlignment="1">
      <alignment vertical="center"/>
    </xf>
    <xf numFmtId="0" fontId="50" fillId="0" borderId="20" xfId="0" applyFont="1" applyBorder="1" applyAlignment="1">
      <alignment horizontal="center" vertical="center"/>
    </xf>
    <xf numFmtId="3" fontId="50" fillId="0" borderId="20" xfId="1" applyNumberFormat="1" applyFont="1" applyBorder="1" applyAlignment="1">
      <alignment vertical="center"/>
    </xf>
    <xf numFmtId="164" fontId="50" fillId="0" borderId="19" xfId="1" applyNumberFormat="1" applyFont="1" applyBorder="1" applyAlignment="1">
      <alignment vertical="center"/>
    </xf>
    <xf numFmtId="164" fontId="50" fillId="0" borderId="4" xfId="1" applyNumberFormat="1" applyFont="1" applyBorder="1" applyAlignment="1">
      <alignment vertical="center"/>
    </xf>
    <xf numFmtId="164" fontId="50" fillId="0" borderId="20" xfId="1" applyNumberFormat="1" applyFont="1" applyBorder="1" applyAlignment="1">
      <alignment vertical="center"/>
    </xf>
    <xf numFmtId="182" fontId="50" fillId="0" borderId="19" xfId="1" applyNumberFormat="1" applyFont="1" applyBorder="1" applyAlignment="1">
      <alignment vertical="center"/>
    </xf>
    <xf numFmtId="182" fontId="50" fillId="0" borderId="4" xfId="1" applyNumberFormat="1" applyFont="1" applyBorder="1" applyAlignment="1">
      <alignment vertical="center"/>
    </xf>
    <xf numFmtId="182" fontId="50" fillId="0" borderId="20" xfId="1" applyNumberFormat="1" applyFont="1" applyBorder="1" applyAlignment="1">
      <alignment vertical="center"/>
    </xf>
    <xf numFmtId="183" fontId="50" fillId="0" borderId="19" xfId="1" applyNumberFormat="1" applyFont="1" applyBorder="1" applyAlignment="1">
      <alignment vertical="center"/>
    </xf>
    <xf numFmtId="183" fontId="50" fillId="0" borderId="4" xfId="1" applyNumberFormat="1" applyFont="1" applyBorder="1" applyAlignment="1">
      <alignment vertical="center"/>
    </xf>
    <xf numFmtId="183" fontId="50" fillId="0" borderId="20" xfId="1" applyNumberFormat="1" applyFont="1" applyBorder="1" applyAlignment="1">
      <alignment vertical="center"/>
    </xf>
    <xf numFmtId="0" fontId="50" fillId="0" borderId="19" xfId="0" applyFont="1" applyBorder="1" applyAlignment="1">
      <alignment vertical="center" shrinkToFit="1"/>
    </xf>
    <xf numFmtId="0" fontId="50" fillId="0" borderId="4" xfId="0" applyFont="1" applyBorder="1" applyAlignment="1">
      <alignment vertical="center" shrinkToFit="1"/>
    </xf>
    <xf numFmtId="0" fontId="50" fillId="0" borderId="20" xfId="0" applyFont="1" applyBorder="1" applyAlignment="1">
      <alignment vertical="center" shrinkToFit="1"/>
    </xf>
    <xf numFmtId="0" fontId="14" fillId="0" borderId="1" xfId="0" applyFont="1" applyBorder="1" applyAlignment="1">
      <alignment vertical="center" shrinkToFit="1"/>
    </xf>
    <xf numFmtId="0" fontId="14" fillId="0" borderId="0" xfId="0" applyFont="1" applyFill="1" applyAlignment="1">
      <alignment horizontal="center" textRotation="90"/>
    </xf>
    <xf numFmtId="43" fontId="7" fillId="0" borderId="0" xfId="0" applyNumberFormat="1" applyFont="1" applyAlignment="1">
      <alignment vertical="center"/>
    </xf>
    <xf numFmtId="49" fontId="14" fillId="0" borderId="8" xfId="0" applyNumberFormat="1" applyFont="1" applyBorder="1" applyAlignment="1">
      <alignment horizontal="center"/>
    </xf>
    <xf numFmtId="0" fontId="14" fillId="0" borderId="4" xfId="0" applyFont="1" applyBorder="1" applyAlignment="1">
      <alignment horizontal="center"/>
    </xf>
    <xf numFmtId="0" fontId="14" fillId="0" borderId="23" xfId="0" applyFont="1" applyBorder="1"/>
    <xf numFmtId="43" fontId="14" fillId="0" borderId="0" xfId="0" applyNumberFormat="1" applyFont="1" applyAlignment="1">
      <alignment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54" fillId="0" borderId="0" xfId="0" applyFont="1" applyAlignment="1">
      <alignment horizontal="center" vertical="center"/>
    </xf>
    <xf numFmtId="0" fontId="54" fillId="0" borderId="0" xfId="0" applyFont="1" applyAlignment="1">
      <alignment vertical="center"/>
    </xf>
    <xf numFmtId="0" fontId="54" fillId="0" borderId="0" xfId="0" applyFont="1" applyAlignment="1">
      <alignment horizontal="center"/>
    </xf>
    <xf numFmtId="183" fontId="14" fillId="0" borderId="4" xfId="1" applyNumberFormat="1" applyFont="1" applyBorder="1" applyAlignment="1">
      <alignment vertical="center"/>
    </xf>
    <xf numFmtId="182" fontId="14" fillId="0" borderId="4" xfId="1" applyNumberFormat="1" applyFont="1" applyBorder="1" applyAlignment="1">
      <alignment vertical="center"/>
    </xf>
    <xf numFmtId="0" fontId="15" fillId="0" borderId="1" xfId="0" applyFont="1" applyBorder="1" applyAlignment="1">
      <alignment vertical="center"/>
    </xf>
    <xf numFmtId="0" fontId="14" fillId="7" borderId="1" xfId="0" applyFont="1" applyFill="1" applyBorder="1" applyAlignment="1">
      <alignment vertical="center"/>
    </xf>
    <xf numFmtId="3" fontId="15" fillId="7" borderId="1" xfId="0" applyNumberFormat="1" applyFont="1" applyFill="1" applyBorder="1" applyAlignment="1">
      <alignment vertical="center"/>
    </xf>
    <xf numFmtId="182" fontId="15" fillId="7" borderId="1" xfId="0" applyNumberFormat="1" applyFont="1" applyFill="1" applyBorder="1" applyAlignment="1">
      <alignment vertical="center"/>
    </xf>
    <xf numFmtId="0" fontId="15" fillId="22" borderId="4" xfId="0" applyFont="1" applyFill="1" applyBorder="1" applyAlignment="1">
      <alignment horizontal="centerContinuous" vertical="center"/>
    </xf>
    <xf numFmtId="38" fontId="4" fillId="2" borderId="1" xfId="0" applyNumberFormat="1"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25"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38" fontId="4" fillId="2" borderId="16" xfId="0" applyNumberFormat="1" applyFont="1" applyFill="1" applyBorder="1" applyAlignment="1">
      <alignment horizontal="center" vertical="center"/>
    </xf>
    <xf numFmtId="0" fontId="14" fillId="0" borderId="56" xfId="0" applyFont="1" applyBorder="1" applyAlignment="1">
      <alignment horizontal="center" vertical="center"/>
    </xf>
    <xf numFmtId="2" fontId="16" fillId="0" borderId="4" xfId="1" applyNumberFormat="1" applyFont="1" applyFill="1" applyBorder="1" applyAlignment="1">
      <alignment horizontal="center" vertical="center"/>
    </xf>
    <xf numFmtId="0" fontId="55" fillId="0" borderId="0" xfId="0" applyFont="1" applyFill="1" applyBorder="1" applyAlignment="1">
      <alignment vertical="center"/>
    </xf>
    <xf numFmtId="0" fontId="55" fillId="0" borderId="0" xfId="0" applyNumberFormat="1" applyFont="1" applyFill="1" applyBorder="1" applyAlignment="1">
      <alignment horizontal="centerContinuous" vertical="center"/>
    </xf>
    <xf numFmtId="0" fontId="55" fillId="0" borderId="27" xfId="0" applyNumberFormat="1" applyFont="1" applyFill="1" applyBorder="1" applyAlignment="1">
      <alignment horizontal="centerContinuous" vertical="center"/>
    </xf>
    <xf numFmtId="0" fontId="56" fillId="0" borderId="3" xfId="0" applyNumberFormat="1" applyFont="1" applyFill="1" applyBorder="1" applyAlignment="1">
      <alignment horizontal="center" vertical="center" wrapText="1"/>
    </xf>
    <xf numFmtId="0" fontId="55" fillId="0" borderId="7" xfId="0" applyNumberFormat="1" applyFont="1" applyFill="1" applyBorder="1" applyAlignment="1">
      <alignment horizontal="center" vertical="center"/>
    </xf>
    <xf numFmtId="0" fontId="55" fillId="0" borderId="31" xfId="0" applyNumberFormat="1" applyFont="1" applyFill="1" applyBorder="1" applyAlignment="1">
      <alignment horizontal="center" vertical="center"/>
    </xf>
    <xf numFmtId="0" fontId="55" fillId="0" borderId="33" xfId="0" applyNumberFormat="1" applyFont="1" applyFill="1" applyBorder="1" applyAlignment="1">
      <alignment horizontal="center" vertical="center"/>
    </xf>
    <xf numFmtId="0" fontId="55" fillId="0" borderId="34" xfId="0" applyNumberFormat="1" applyFont="1" applyFill="1" applyBorder="1" applyAlignment="1">
      <alignment horizontal="center" vertical="center"/>
    </xf>
    <xf numFmtId="0" fontId="55" fillId="0" borderId="3" xfId="0" applyNumberFormat="1" applyFont="1" applyFill="1" applyBorder="1" applyAlignment="1">
      <alignment horizontal="center" vertical="center" wrapText="1"/>
    </xf>
    <xf numFmtId="0" fontId="55" fillId="0" borderId="4" xfId="0" applyNumberFormat="1" applyFont="1" applyFill="1" applyBorder="1" applyAlignment="1">
      <alignment horizontal="center" vertical="center"/>
    </xf>
    <xf numFmtId="0" fontId="54" fillId="0" borderId="0" xfId="0" applyFont="1" applyBorder="1" applyAlignment="1">
      <alignment horizontal="center" vertical="center"/>
    </xf>
    <xf numFmtId="0" fontId="54" fillId="0" borderId="0" xfId="0" quotePrefix="1" applyFont="1" applyBorder="1" applyAlignment="1">
      <alignment horizontal="center" vertical="center"/>
    </xf>
    <xf numFmtId="38" fontId="4" fillId="0" borderId="1" xfId="0" applyNumberFormat="1" applyFont="1" applyBorder="1" applyAlignment="1">
      <alignment horizontal="center" vertical="center"/>
    </xf>
    <xf numFmtId="0" fontId="15" fillId="0" borderId="0" xfId="0" applyFont="1" applyFill="1"/>
    <xf numFmtId="0" fontId="16" fillId="17" borderId="4" xfId="0" applyFont="1" applyFill="1" applyBorder="1" applyAlignment="1">
      <alignment horizontal="left" vertical="center" wrapText="1"/>
    </xf>
    <xf numFmtId="0" fontId="14" fillId="0" borderId="6" xfId="1" applyNumberFormat="1" applyFont="1" applyBorder="1" applyAlignment="1">
      <alignment vertical="center"/>
    </xf>
    <xf numFmtId="0" fontId="14" fillId="0" borderId="5" xfId="1" applyNumberFormat="1" applyFont="1" applyBorder="1" applyAlignment="1">
      <alignment vertical="center"/>
    </xf>
    <xf numFmtId="0" fontId="14" fillId="0" borderId="6" xfId="0" applyFont="1" applyBorder="1" applyAlignment="1">
      <alignment horizontal="center" vertical="center"/>
    </xf>
    <xf numFmtId="38" fontId="4" fillId="2" borderId="1" xfId="0" applyNumberFormat="1" applyFont="1" applyFill="1" applyBorder="1" applyAlignment="1">
      <alignment horizontal="center" vertical="center"/>
    </xf>
    <xf numFmtId="38" fontId="4" fillId="2" borderId="16" xfId="0" applyNumberFormat="1" applyFont="1" applyFill="1" applyBorder="1" applyAlignment="1">
      <alignment horizontal="center" vertical="center"/>
    </xf>
    <xf numFmtId="38" fontId="4" fillId="3" borderId="4" xfId="0" applyNumberFormat="1" applyFont="1" applyFill="1" applyBorder="1" applyAlignment="1">
      <alignment horizontal="center" vertical="center" wrapText="1"/>
    </xf>
    <xf numFmtId="0" fontId="57" fillId="0" borderId="0" xfId="0" applyFont="1" applyFill="1" applyAlignment="1">
      <alignment horizontal="centerContinuous" vertical="center"/>
    </xf>
    <xf numFmtId="9" fontId="16" fillId="0" borderId="0" xfId="2" applyFont="1" applyFill="1" applyAlignment="1">
      <alignment horizontal="centerContinuous" vertical="center"/>
    </xf>
    <xf numFmtId="0" fontId="55" fillId="0" borderId="0" xfId="0" applyFont="1" applyFill="1" applyAlignment="1">
      <alignment vertical="center"/>
    </xf>
    <xf numFmtId="9" fontId="4" fillId="0" borderId="1" xfId="2" applyFont="1" applyFill="1" applyBorder="1" applyAlignment="1">
      <alignment horizontal="centerContinuous" vertical="center"/>
    </xf>
    <xf numFmtId="3" fontId="4" fillId="0" borderId="1" xfId="0" applyNumberFormat="1" applyFont="1" applyFill="1" applyBorder="1" applyAlignment="1">
      <alignment horizontal="centerContinuous" vertical="center"/>
    </xf>
    <xf numFmtId="9" fontId="4" fillId="0" borderId="25" xfId="2" applyFont="1" applyFill="1" applyBorder="1" applyAlignment="1">
      <alignment horizontal="center" vertical="center"/>
    </xf>
    <xf numFmtId="3" fontId="4" fillId="0" borderId="25"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38" fontId="4" fillId="0" borderId="1" xfId="0" applyNumberFormat="1" applyFont="1" applyFill="1" applyBorder="1" applyAlignment="1">
      <alignment horizontal="left" vertical="center"/>
    </xf>
    <xf numFmtId="38" fontId="16" fillId="0" borderId="1" xfId="0" applyNumberFormat="1" applyFont="1" applyFill="1" applyBorder="1" applyAlignment="1">
      <alignment horizontal="center" vertical="center"/>
    </xf>
    <xf numFmtId="3" fontId="4" fillId="0" borderId="1" xfId="1" applyNumberFormat="1" applyFont="1" applyFill="1" applyBorder="1" applyAlignment="1">
      <alignment horizontal="right" vertical="center"/>
    </xf>
    <xf numFmtId="9" fontId="16" fillId="0" borderId="1" xfId="2" applyFont="1" applyFill="1" applyBorder="1" applyAlignment="1">
      <alignment horizontal="center" vertical="center"/>
    </xf>
    <xf numFmtId="0" fontId="16" fillId="0" borderId="1" xfId="0" applyNumberFormat="1" applyFont="1" applyFill="1" applyBorder="1" applyAlignment="1">
      <alignment horizontal="center" vertical="center"/>
    </xf>
    <xf numFmtId="38" fontId="16" fillId="0" borderId="1" xfId="0" applyNumberFormat="1" applyFont="1" applyFill="1" applyBorder="1" applyAlignment="1">
      <alignment horizontal="left" vertical="center"/>
    </xf>
    <xf numFmtId="3" fontId="16" fillId="0" borderId="1" xfId="1" applyNumberFormat="1" applyFont="1" applyFill="1" applyBorder="1" applyAlignment="1">
      <alignment horizontal="right" vertical="center"/>
    </xf>
    <xf numFmtId="49" fontId="21" fillId="0" borderId="1" xfId="0" quotePrefix="1" applyNumberFormat="1" applyFont="1" applyFill="1" applyBorder="1" applyAlignment="1">
      <alignment horizontal="left" vertical="center"/>
    </xf>
    <xf numFmtId="38" fontId="21" fillId="0" borderId="1" xfId="0" applyNumberFormat="1" applyFont="1" applyFill="1" applyBorder="1" applyAlignment="1">
      <alignment horizontal="center" vertical="center"/>
    </xf>
    <xf numFmtId="3" fontId="21" fillId="0" borderId="1" xfId="1" applyNumberFormat="1" applyFont="1" applyFill="1" applyBorder="1" applyAlignment="1">
      <alignment vertical="center"/>
    </xf>
    <xf numFmtId="9" fontId="21" fillId="0" borderId="1" xfId="2" applyFont="1" applyFill="1" applyBorder="1" applyAlignment="1">
      <alignment horizontal="center" vertical="center"/>
    </xf>
    <xf numFmtId="0" fontId="4" fillId="0" borderId="5" xfId="0" applyNumberFormat="1" applyFont="1" applyBorder="1" applyAlignment="1">
      <alignment horizontal="center" vertical="center"/>
    </xf>
    <xf numFmtId="49" fontId="16" fillId="0" borderId="5" xfId="0" quotePrefix="1" applyNumberFormat="1" applyFont="1" applyBorder="1" applyAlignment="1">
      <alignment horizontal="left" vertical="center" indent="3"/>
    </xf>
    <xf numFmtId="38" fontId="16" fillId="0" borderId="5" xfId="0" applyNumberFormat="1" applyFont="1" applyBorder="1" applyAlignment="1">
      <alignment horizontal="center" vertical="center"/>
    </xf>
    <xf numFmtId="3" fontId="16" fillId="0" borderId="5" xfId="1" applyNumberFormat="1" applyFont="1" applyBorder="1" applyAlignment="1">
      <alignment vertical="center"/>
    </xf>
    <xf numFmtId="9" fontId="16" fillId="0" borderId="5" xfId="2" applyFont="1" applyFill="1" applyBorder="1" applyAlignment="1">
      <alignment horizontal="center" vertical="center"/>
    </xf>
    <xf numFmtId="0" fontId="4" fillId="0" borderId="6" xfId="0" applyNumberFormat="1" applyFont="1" applyBorder="1" applyAlignment="1">
      <alignment horizontal="center" vertical="center"/>
    </xf>
    <xf numFmtId="49" fontId="16" fillId="0" borderId="6" xfId="0" quotePrefix="1" applyNumberFormat="1" applyFont="1" applyBorder="1" applyAlignment="1">
      <alignment horizontal="left" vertical="center" indent="3"/>
    </xf>
    <xf numFmtId="38" fontId="16" fillId="0" borderId="6" xfId="0" quotePrefix="1" applyNumberFormat="1" applyFont="1" applyBorder="1" applyAlignment="1">
      <alignment horizontal="center" vertical="center"/>
    </xf>
    <xf numFmtId="3" fontId="16" fillId="0" borderId="6" xfId="1" applyNumberFormat="1" applyFont="1" applyBorder="1" applyAlignment="1">
      <alignment vertical="center"/>
    </xf>
    <xf numFmtId="9" fontId="16" fillId="0" borderId="6" xfId="2" applyFont="1" applyBorder="1" applyAlignment="1">
      <alignment horizontal="center" vertical="center"/>
    </xf>
    <xf numFmtId="3" fontId="16" fillId="0" borderId="6" xfId="1" applyNumberFormat="1" applyFont="1" applyBorder="1" applyAlignment="1">
      <alignment horizontal="right" vertical="center"/>
    </xf>
    <xf numFmtId="49" fontId="16" fillId="0" borderId="1" xfId="0" quotePrefix="1" applyNumberFormat="1" applyFont="1" applyFill="1" applyBorder="1" applyAlignment="1">
      <alignment horizontal="left" vertical="center"/>
    </xf>
    <xf numFmtId="3" fontId="21" fillId="0" borderId="1" xfId="1" applyNumberFormat="1" applyFont="1" applyFill="1" applyBorder="1" applyAlignment="1">
      <alignment horizontal="right" vertical="center"/>
    </xf>
    <xf numFmtId="0" fontId="16" fillId="0" borderId="5" xfId="0" applyNumberFormat="1" applyFont="1" applyBorder="1" applyAlignment="1">
      <alignment horizontal="center" vertical="center"/>
    </xf>
    <xf numFmtId="3" fontId="16" fillId="0" borderId="5" xfId="1" applyNumberFormat="1" applyFont="1" applyBorder="1" applyAlignment="1">
      <alignment horizontal="right" vertical="center"/>
    </xf>
    <xf numFmtId="0" fontId="4" fillId="0" borderId="1" xfId="0" applyFont="1" applyFill="1" applyBorder="1" applyAlignment="1">
      <alignment vertical="center"/>
    </xf>
    <xf numFmtId="3" fontId="4" fillId="0" borderId="1" xfId="0" applyNumberFormat="1" applyFont="1" applyFill="1" applyBorder="1" applyAlignment="1">
      <alignment vertical="center"/>
    </xf>
    <xf numFmtId="9" fontId="4" fillId="0" borderId="1" xfId="2" applyFont="1" applyFill="1" applyBorder="1" applyAlignment="1">
      <alignment vertical="center"/>
    </xf>
    <xf numFmtId="0" fontId="56" fillId="0" borderId="0" xfId="0" applyFont="1" applyFill="1" applyAlignment="1">
      <alignment horizontal="center" vertical="center"/>
    </xf>
    <xf numFmtId="3" fontId="16" fillId="0" borderId="0" xfId="0" applyNumberFormat="1" applyFont="1" applyFill="1" applyAlignment="1">
      <alignment vertical="center"/>
    </xf>
    <xf numFmtId="9" fontId="16" fillId="0" borderId="0" xfId="2" applyFont="1" applyFill="1" applyAlignment="1">
      <alignment vertical="center"/>
    </xf>
    <xf numFmtId="0" fontId="55" fillId="0" borderId="0" xfId="0" applyFont="1" applyFill="1" applyAlignment="1">
      <alignment horizontal="center" vertical="center"/>
    </xf>
    <xf numFmtId="0" fontId="57" fillId="0" borderId="0" xfId="0" applyFont="1" applyFill="1" applyAlignment="1">
      <alignment horizontal="centerContinuous" vertical="center" wrapText="1"/>
    </xf>
    <xf numFmtId="0" fontId="16" fillId="0" borderId="0" xfId="0" applyFont="1" applyFill="1" applyAlignment="1">
      <alignment horizontal="centerContinuous" vertical="center" wrapText="1"/>
    </xf>
    <xf numFmtId="0" fontId="16" fillId="0" borderId="0" xfId="0" applyFont="1" applyFill="1" applyAlignment="1">
      <alignment vertical="center" wrapText="1"/>
    </xf>
    <xf numFmtId="0" fontId="16" fillId="0" borderId="0" xfId="0" applyFont="1" applyFill="1" applyAlignment="1">
      <alignment horizontal="center" vertical="center" wrapText="1"/>
    </xf>
    <xf numFmtId="0"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38" fontId="16" fillId="0" borderId="1" xfId="0" quotePrefix="1" applyNumberFormat="1" applyFont="1" applyFill="1" applyBorder="1" applyAlignment="1">
      <alignment horizontal="left" vertical="center" wrapText="1"/>
    </xf>
    <xf numFmtId="38" fontId="16" fillId="0" borderId="1" xfId="0" applyNumberFormat="1" applyFont="1" applyFill="1" applyBorder="1" applyAlignment="1">
      <alignment horizontal="center" vertical="center" wrapText="1"/>
    </xf>
    <xf numFmtId="0" fontId="4" fillId="0" borderId="0" xfId="0" applyFont="1" applyFill="1" applyAlignment="1">
      <alignment vertical="center" wrapText="1"/>
    </xf>
    <xf numFmtId="0" fontId="4" fillId="0" borderId="1" xfId="0" applyFont="1" applyFill="1" applyBorder="1" applyAlignment="1">
      <alignment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3" fontId="16"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wrapText="1"/>
    </xf>
    <xf numFmtId="3" fontId="4" fillId="0" borderId="0" xfId="0" applyNumberFormat="1" applyFont="1" applyFill="1" applyAlignment="1">
      <alignment vertical="center" wrapText="1"/>
    </xf>
    <xf numFmtId="0" fontId="14" fillId="0" borderId="58" xfId="0" applyFont="1" applyBorder="1" applyAlignment="1">
      <alignment horizontal="center" vertical="center"/>
    </xf>
    <xf numFmtId="0" fontId="59" fillId="0" borderId="0" xfId="0" applyFont="1" applyAlignment="1">
      <alignment horizontal="centerContinuous" vertical="center"/>
    </xf>
    <xf numFmtId="0" fontId="4" fillId="7" borderId="1" xfId="0" applyFont="1" applyFill="1" applyBorder="1" applyAlignment="1" applyProtection="1">
      <alignment horizontal="center" vertical="center" wrapText="1"/>
      <protection hidden="1"/>
    </xf>
    <xf numFmtId="0" fontId="14" fillId="0" borderId="59" xfId="0" applyFont="1" applyBorder="1" applyAlignment="1">
      <alignment horizontal="center" vertical="center"/>
    </xf>
    <xf numFmtId="3" fontId="14" fillId="0" borderId="6" xfId="1" applyNumberFormat="1" applyFont="1" applyBorder="1" applyAlignment="1">
      <alignment horizontal="right" vertical="center"/>
    </xf>
    <xf numFmtId="3" fontId="14" fillId="0" borderId="60" xfId="1" applyNumberFormat="1" applyFont="1" applyBorder="1" applyAlignment="1">
      <alignment horizontal="right" vertical="center"/>
    </xf>
    <xf numFmtId="0" fontId="14" fillId="0" borderId="61" xfId="0" applyFont="1" applyBorder="1" applyAlignment="1">
      <alignment horizontal="center" vertical="center"/>
    </xf>
    <xf numFmtId="0" fontId="14" fillId="0" borderId="28" xfId="1" applyNumberFormat="1" applyFont="1" applyBorder="1" applyAlignment="1">
      <alignment vertical="center"/>
    </xf>
    <xf numFmtId="0" fontId="14" fillId="0" borderId="28" xfId="0" applyFont="1" applyBorder="1" applyAlignment="1">
      <alignment horizontal="center" vertical="center"/>
    </xf>
    <xf numFmtId="3" fontId="14" fillId="0" borderId="28" xfId="1" applyNumberFormat="1" applyFont="1" applyBorder="1" applyAlignment="1">
      <alignment horizontal="right" vertical="center"/>
    </xf>
    <xf numFmtId="3" fontId="14" fillId="0" borderId="62" xfId="1" applyNumberFormat="1" applyFont="1" applyBorder="1" applyAlignment="1">
      <alignment horizontal="right" vertical="center"/>
    </xf>
    <xf numFmtId="3" fontId="14" fillId="0" borderId="5" xfId="1" applyNumberFormat="1" applyFont="1" applyBorder="1" applyAlignment="1">
      <alignment horizontal="right" vertical="center"/>
    </xf>
    <xf numFmtId="3" fontId="14" fillId="0" borderId="11" xfId="1" applyNumberFormat="1" applyFont="1" applyBorder="1" applyAlignment="1">
      <alignment horizontal="right" vertical="center"/>
    </xf>
    <xf numFmtId="3" fontId="15" fillId="0" borderId="63" xfId="0" applyNumberFormat="1" applyFont="1" applyBorder="1"/>
    <xf numFmtId="3" fontId="15" fillId="0" borderId="64" xfId="0" applyNumberFormat="1" applyFont="1" applyBorder="1"/>
    <xf numFmtId="3" fontId="15" fillId="0" borderId="65" xfId="0" applyNumberFormat="1" applyFont="1" applyBorder="1"/>
    <xf numFmtId="0" fontId="14" fillId="0" borderId="20" xfId="1" applyNumberFormat="1" applyFont="1" applyBorder="1" applyAlignment="1">
      <alignment vertical="center"/>
    </xf>
    <xf numFmtId="3" fontId="14" fillId="0" borderId="20" xfId="1" applyNumberFormat="1" applyFont="1" applyBorder="1" applyAlignment="1">
      <alignment horizontal="right" vertical="center"/>
    </xf>
    <xf numFmtId="0" fontId="14" fillId="0" borderId="19" xfId="1" applyNumberFormat="1" applyFont="1" applyBorder="1" applyAlignment="1">
      <alignment vertical="center"/>
    </xf>
    <xf numFmtId="3" fontId="14" fillId="0" borderId="19" xfId="1" applyNumberFormat="1" applyFont="1" applyBorder="1" applyAlignment="1">
      <alignment horizontal="right" vertical="center"/>
    </xf>
    <xf numFmtId="0" fontId="14" fillId="0" borderId="19" xfId="1" applyNumberFormat="1" applyFont="1" applyBorder="1" applyAlignment="1">
      <alignment vertical="center" wrapText="1"/>
    </xf>
    <xf numFmtId="0" fontId="16" fillId="0" borderId="5" xfId="0" applyFont="1" applyBorder="1" applyAlignment="1" applyProtection="1">
      <alignment vertical="center"/>
      <protection hidden="1"/>
    </xf>
    <xf numFmtId="167" fontId="16" fillId="0" borderId="5" xfId="1" applyNumberFormat="1" applyFont="1" applyBorder="1" applyAlignment="1" applyProtection="1">
      <alignment vertical="center"/>
    </xf>
    <xf numFmtId="164" fontId="14" fillId="0" borderId="5" xfId="1" applyNumberFormat="1" applyFont="1" applyBorder="1" applyAlignment="1">
      <alignment vertical="center"/>
    </xf>
    <xf numFmtId="164" fontId="14" fillId="0" borderId="11" xfId="1" applyNumberFormat="1" applyFont="1" applyBorder="1" applyAlignment="1">
      <alignment vertical="center"/>
    </xf>
    <xf numFmtId="0" fontId="16" fillId="6" borderId="66" xfId="0" applyFont="1" applyFill="1" applyBorder="1" applyAlignment="1" applyProtection="1">
      <alignment horizontal="center" vertical="center"/>
      <protection hidden="1"/>
    </xf>
    <xf numFmtId="0" fontId="4" fillId="6" borderId="20" xfId="0" applyFont="1" applyFill="1" applyBorder="1" applyAlignment="1" applyProtection="1">
      <alignment horizontal="center" vertical="center"/>
      <protection hidden="1"/>
    </xf>
    <xf numFmtId="167" fontId="21" fillId="6" borderId="20" xfId="1" applyNumberFormat="1" applyFont="1" applyFill="1" applyBorder="1" applyAlignment="1" applyProtection="1">
      <alignment vertical="center"/>
    </xf>
    <xf numFmtId="164" fontId="15" fillId="6" borderId="20" xfId="1" applyNumberFormat="1" applyFont="1" applyFill="1" applyBorder="1" applyAlignment="1">
      <alignment vertical="center"/>
    </xf>
    <xf numFmtId="164" fontId="15" fillId="6" borderId="67" xfId="1" applyNumberFormat="1" applyFont="1" applyFill="1" applyBorder="1" applyAlignment="1">
      <alignment vertical="center"/>
    </xf>
    <xf numFmtId="0" fontId="16" fillId="0" borderId="43" xfId="0" applyFont="1" applyFill="1" applyBorder="1" applyAlignment="1">
      <alignment horizontal="centerContinuous" vertical="center"/>
    </xf>
    <xf numFmtId="0" fontId="16" fillId="0" borderId="25" xfId="0" applyFont="1" applyFill="1" applyBorder="1" applyAlignment="1">
      <alignment horizontal="center" vertical="center"/>
    </xf>
    <xf numFmtId="173" fontId="4" fillId="0" borderId="16" xfId="0" applyNumberFormat="1" applyFont="1" applyFill="1" applyBorder="1" applyAlignment="1">
      <alignment horizontal="centerContinuous" vertical="center"/>
    </xf>
    <xf numFmtId="43" fontId="4" fillId="0" borderId="33" xfId="0" applyNumberFormat="1" applyFont="1" applyFill="1" applyBorder="1" applyAlignment="1">
      <alignment vertical="center"/>
    </xf>
    <xf numFmtId="43" fontId="4" fillId="0" borderId="16" xfId="0" applyNumberFormat="1" applyFont="1" applyFill="1" applyBorder="1" applyAlignment="1">
      <alignment horizontal="centerContinuous" vertical="center"/>
    </xf>
    <xf numFmtId="0" fontId="60" fillId="0" borderId="0" xfId="0" applyFont="1" applyFill="1" applyAlignment="1">
      <alignment horizontal="centerContinuous" vertical="center" wrapText="1"/>
    </xf>
    <xf numFmtId="1" fontId="4" fillId="0" borderId="19" xfId="0" applyNumberFormat="1" applyFont="1" applyFill="1" applyBorder="1" applyAlignment="1" applyProtection="1">
      <alignment horizontal="center" vertical="center"/>
      <protection hidden="1"/>
    </xf>
    <xf numFmtId="175" fontId="4" fillId="0" borderId="19" xfId="0" applyNumberFormat="1" applyFont="1" applyFill="1" applyBorder="1" applyAlignment="1">
      <alignment horizontal="left" vertical="center"/>
    </xf>
    <xf numFmtId="0" fontId="16" fillId="0" borderId="19" xfId="0" applyFont="1" applyFill="1" applyBorder="1" applyAlignment="1">
      <alignment horizontal="left" vertical="center"/>
    </xf>
    <xf numFmtId="0" fontId="16" fillId="0" borderId="19" xfId="0" applyFont="1" applyFill="1" applyBorder="1" applyAlignment="1">
      <alignment horizontal="center" vertical="center"/>
    </xf>
    <xf numFmtId="164" fontId="16" fillId="0" borderId="19" xfId="1" applyNumberFormat="1" applyFont="1" applyFill="1" applyBorder="1" applyAlignment="1">
      <alignment horizontal="center" vertical="center"/>
    </xf>
    <xf numFmtId="0" fontId="16" fillId="0" borderId="19" xfId="0" quotePrefix="1" applyNumberFormat="1" applyFont="1" applyFill="1" applyBorder="1" applyAlignment="1">
      <alignment horizontal="center" vertical="center"/>
    </xf>
    <xf numFmtId="173" fontId="16" fillId="0" borderId="19" xfId="0" applyNumberFormat="1" applyFont="1" applyFill="1" applyBorder="1" applyAlignment="1">
      <alignment vertical="center"/>
    </xf>
    <xf numFmtId="2" fontId="16" fillId="0" borderId="19" xfId="0" applyNumberFormat="1" applyFont="1" applyFill="1" applyBorder="1" applyAlignment="1">
      <alignment vertical="center"/>
    </xf>
    <xf numFmtId="1" fontId="16" fillId="0" borderId="19" xfId="0" applyNumberFormat="1" applyFont="1" applyFill="1" applyBorder="1" applyAlignment="1">
      <alignment horizontal="center" vertical="center"/>
    </xf>
    <xf numFmtId="165" fontId="16" fillId="0" borderId="19" xfId="0" applyNumberFormat="1" applyFont="1" applyFill="1" applyBorder="1" applyAlignment="1">
      <alignment vertical="center"/>
    </xf>
    <xf numFmtId="175" fontId="22" fillId="0" borderId="4" xfId="0" quotePrefix="1" applyNumberFormat="1" applyFont="1" applyFill="1" applyBorder="1" applyAlignment="1">
      <alignment horizontal="center"/>
    </xf>
    <xf numFmtId="0" fontId="16" fillId="0" borderId="1" xfId="0" applyFont="1" applyFill="1" applyBorder="1" applyAlignment="1">
      <alignment horizontal="left" vertical="center"/>
    </xf>
    <xf numFmtId="173" fontId="4" fillId="0" borderId="1" xfId="0" applyNumberFormat="1" applyFont="1" applyFill="1" applyBorder="1" applyAlignment="1">
      <alignment horizontal="right" vertical="center"/>
    </xf>
    <xf numFmtId="2" fontId="34" fillId="0" borderId="1" xfId="0" applyNumberFormat="1" applyFont="1" applyFill="1" applyBorder="1" applyAlignment="1">
      <alignment horizontal="right" vertical="center"/>
    </xf>
    <xf numFmtId="173" fontId="34" fillId="0" borderId="1" xfId="0" applyNumberFormat="1" applyFont="1" applyFill="1" applyBorder="1" applyAlignment="1">
      <alignment horizontal="right" vertical="center"/>
    </xf>
    <xf numFmtId="37" fontId="4" fillId="0" borderId="1" xfId="0" applyNumberFormat="1" applyFont="1" applyFill="1" applyBorder="1" applyAlignment="1">
      <alignment vertical="center"/>
    </xf>
    <xf numFmtId="0" fontId="16" fillId="0" borderId="4" xfId="0" applyFont="1" applyFill="1" applyBorder="1" applyAlignment="1">
      <alignment horizontal="left" vertical="center" wrapText="1"/>
    </xf>
    <xf numFmtId="37" fontId="35" fillId="0" borderId="1" xfId="0" applyNumberFormat="1" applyFont="1" applyFill="1" applyBorder="1" applyAlignment="1">
      <alignment vertical="center"/>
    </xf>
    <xf numFmtId="0" fontId="54" fillId="0" borderId="0" xfId="0" applyFont="1" applyFill="1"/>
    <xf numFmtId="0" fontId="62" fillId="0" borderId="0" xfId="0" applyFont="1" applyFill="1" applyAlignment="1">
      <alignment horizontal="centerContinuous" vertical="center"/>
    </xf>
    <xf numFmtId="0" fontId="14" fillId="0" borderId="0" xfId="0" applyFont="1" applyFill="1" applyAlignment="1">
      <alignment vertical="center"/>
    </xf>
    <xf numFmtId="0" fontId="15" fillId="0" borderId="1" xfId="0" applyFont="1" applyFill="1" applyBorder="1" applyAlignment="1">
      <alignment horizontal="center" vertical="center"/>
    </xf>
    <xf numFmtId="0" fontId="15" fillId="0" borderId="1" xfId="0" applyFont="1" applyFill="1" applyBorder="1" applyAlignment="1">
      <alignment vertical="center"/>
    </xf>
    <xf numFmtId="0" fontId="14" fillId="0" borderId="5" xfId="0" applyFont="1" applyFill="1" applyBorder="1" applyAlignment="1">
      <alignment horizontal="center" vertical="center"/>
    </xf>
    <xf numFmtId="0" fontId="14" fillId="0" borderId="5" xfId="0" applyFont="1" applyFill="1" applyBorder="1" applyAlignment="1">
      <alignment vertical="center"/>
    </xf>
    <xf numFmtId="0" fontId="14" fillId="0" borderId="4" xfId="0" applyFont="1" applyFill="1" applyBorder="1" applyAlignment="1">
      <alignment vertical="center"/>
    </xf>
    <xf numFmtId="3" fontId="14" fillId="0" borderId="4"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Font="1" applyFill="1" applyBorder="1" applyAlignment="1">
      <alignment vertical="center"/>
    </xf>
    <xf numFmtId="3" fontId="15" fillId="0" borderId="6" xfId="0" applyNumberFormat="1" applyFont="1" applyFill="1" applyBorder="1" applyAlignment="1">
      <alignment horizontal="center" vertical="center"/>
    </xf>
    <xf numFmtId="3" fontId="15" fillId="0" borderId="1" xfId="0" applyNumberFormat="1" applyFont="1" applyFill="1" applyBorder="1" applyAlignment="1">
      <alignment horizontal="center" vertical="center"/>
    </xf>
    <xf numFmtId="0" fontId="39" fillId="0" borderId="0" xfId="0" applyFont="1" applyFill="1" applyAlignment="1">
      <alignment horizontal="center" vertical="center"/>
    </xf>
    <xf numFmtId="0" fontId="27" fillId="0" borderId="0" xfId="0" quotePrefix="1" applyFont="1" applyFill="1" applyAlignment="1">
      <alignment vertical="center"/>
    </xf>
    <xf numFmtId="177" fontId="27" fillId="0" borderId="0" xfId="0" applyNumberFormat="1" applyFont="1" applyFill="1" applyAlignment="1">
      <alignment horizontal="center" vertical="center"/>
    </xf>
    <xf numFmtId="0" fontId="59" fillId="0" borderId="0" xfId="0" applyFont="1" applyFill="1" applyAlignment="1">
      <alignment horizontal="centerContinuous" vertical="center"/>
    </xf>
    <xf numFmtId="0" fontId="15" fillId="0" borderId="0" xfId="0" applyFont="1" applyFill="1" applyAlignment="1">
      <alignment horizontal="centerContinuous" vertical="center" shrinkToFit="1"/>
    </xf>
    <xf numFmtId="3" fontId="14" fillId="0" borderId="0" xfId="0" applyNumberFormat="1" applyFont="1" applyFill="1" applyAlignment="1">
      <alignment horizontal="center" vertical="center"/>
    </xf>
    <xf numFmtId="0" fontId="54" fillId="0" borderId="0" xfId="0" applyFont="1" applyFill="1" applyAlignment="1">
      <alignment horizontal="center" vertical="center"/>
    </xf>
    <xf numFmtId="0" fontId="15" fillId="0" borderId="0" xfId="0" applyFont="1" applyFill="1" applyAlignment="1">
      <alignment vertical="center"/>
    </xf>
    <xf numFmtId="0" fontId="15" fillId="0" borderId="1" xfId="0" applyFont="1" applyFill="1" applyBorder="1" applyAlignment="1">
      <alignment horizontal="center" vertical="center" shrinkToFit="1"/>
    </xf>
    <xf numFmtId="0" fontId="15" fillId="0" borderId="1"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1" xfId="0" applyFont="1" applyFill="1" applyBorder="1" applyAlignment="1">
      <alignment vertical="center" shrinkToFit="1"/>
    </xf>
    <xf numFmtId="173" fontId="14" fillId="0" borderId="1" xfId="0" applyNumberFormat="1" applyFont="1" applyFill="1" applyBorder="1" applyAlignment="1">
      <alignment vertical="center"/>
    </xf>
    <xf numFmtId="3" fontId="15" fillId="0" borderId="1" xfId="1" applyNumberFormat="1" applyFont="1" applyFill="1" applyBorder="1" applyAlignment="1">
      <alignment horizontal="center" vertical="center"/>
    </xf>
    <xf numFmtId="176" fontId="14" fillId="0" borderId="1" xfId="1" applyNumberFormat="1" applyFont="1" applyFill="1" applyBorder="1" applyAlignment="1">
      <alignment horizontal="center" vertical="center"/>
    </xf>
    <xf numFmtId="176" fontId="14" fillId="0" borderId="1" xfId="0" applyNumberFormat="1" applyFont="1" applyFill="1" applyBorder="1" applyAlignment="1">
      <alignment horizontal="center" vertical="center"/>
    </xf>
    <xf numFmtId="0" fontId="14" fillId="0" borderId="1" xfId="0" applyFont="1" applyFill="1" applyBorder="1" applyAlignment="1">
      <alignment vertical="center" shrinkToFit="1"/>
    </xf>
    <xf numFmtId="3" fontId="14" fillId="0" borderId="1" xfId="1" applyNumberFormat="1" applyFont="1" applyFill="1" applyBorder="1" applyAlignment="1">
      <alignment horizontal="center" vertical="center"/>
    </xf>
    <xf numFmtId="3" fontId="15" fillId="0" borderId="16" xfId="0" applyNumberFormat="1" applyFont="1" applyFill="1" applyBorder="1" applyAlignment="1">
      <alignment horizontal="center" vertical="center"/>
    </xf>
    <xf numFmtId="0" fontId="61" fillId="0" borderId="0" xfId="0" applyFont="1" applyFill="1" applyAlignment="1">
      <alignment horizontal="centerContinuous" vertical="center"/>
    </xf>
    <xf numFmtId="0" fontId="14" fillId="0" borderId="1" xfId="0" applyFont="1" applyFill="1" applyBorder="1" applyAlignment="1">
      <alignment horizontal="center" textRotation="90"/>
    </xf>
    <xf numFmtId="0" fontId="14" fillId="0" borderId="26" xfId="0" applyFont="1" applyFill="1" applyBorder="1" applyAlignment="1">
      <alignment horizontal="center" textRotation="90"/>
    </xf>
    <xf numFmtId="0" fontId="14" fillId="0" borderId="1" xfId="0" applyFont="1" applyFill="1" applyBorder="1" applyAlignment="1">
      <alignment horizontal="center" textRotation="90" wrapText="1"/>
    </xf>
    <xf numFmtId="0" fontId="14" fillId="0" borderId="26" xfId="0" applyFont="1" applyFill="1" applyBorder="1" applyAlignment="1">
      <alignment horizontal="center" textRotation="90" wrapText="1"/>
    </xf>
    <xf numFmtId="0" fontId="15" fillId="0" borderId="1" xfId="0" applyFont="1" applyFill="1" applyBorder="1" applyAlignment="1">
      <alignment horizontal="left" vertical="center"/>
    </xf>
    <xf numFmtId="0" fontId="14" fillId="0" borderId="26" xfId="0" applyFont="1" applyFill="1" applyBorder="1" applyAlignment="1">
      <alignment horizontal="center" vertical="center"/>
    </xf>
    <xf numFmtId="49" fontId="14" fillId="0" borderId="5" xfId="0" applyNumberFormat="1" applyFont="1" applyFill="1" applyBorder="1" applyAlignment="1">
      <alignment horizontal="center" vertical="center"/>
    </xf>
    <xf numFmtId="0" fontId="14" fillId="0" borderId="40" xfId="0" applyFont="1" applyFill="1" applyBorder="1" applyAlignment="1">
      <alignment horizontal="center" vertical="center"/>
    </xf>
    <xf numFmtId="49" fontId="14" fillId="0" borderId="4" xfId="0" applyNumberFormat="1" applyFont="1" applyFill="1" applyBorder="1" applyAlignment="1">
      <alignment horizontal="center" vertical="center"/>
    </xf>
    <xf numFmtId="0" fontId="14" fillId="0" borderId="57"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6" xfId="0" applyFont="1" applyFill="1" applyBorder="1" applyAlignment="1">
      <alignment horizontal="center" vertical="center"/>
    </xf>
    <xf numFmtId="0" fontId="14" fillId="0" borderId="41" xfId="0" applyFont="1" applyFill="1" applyBorder="1" applyAlignment="1">
      <alignment horizontal="center" vertical="center"/>
    </xf>
    <xf numFmtId="0" fontId="14" fillId="0" borderId="28" xfId="0" applyFont="1" applyFill="1" applyBorder="1" applyAlignment="1">
      <alignment horizontal="center" vertical="center"/>
    </xf>
    <xf numFmtId="174" fontId="15" fillId="0" borderId="1" xfId="0" applyNumberFormat="1" applyFont="1" applyFill="1" applyBorder="1" applyAlignment="1">
      <alignment horizontal="center" vertical="center"/>
    </xf>
    <xf numFmtId="0" fontId="16" fillId="0" borderId="66" xfId="0" applyFont="1" applyBorder="1" applyAlignment="1" applyProtection="1">
      <alignment horizontal="center" vertical="center"/>
      <protection hidden="1"/>
    </xf>
    <xf numFmtId="0" fontId="16" fillId="0" borderId="20" xfId="0" applyFont="1" applyBorder="1" applyAlignment="1" applyProtection="1">
      <alignment vertical="center"/>
      <protection hidden="1"/>
    </xf>
    <xf numFmtId="0" fontId="16" fillId="0" borderId="20" xfId="0" applyFont="1" applyBorder="1" applyAlignment="1" applyProtection="1">
      <alignment horizontal="center" vertical="center"/>
      <protection hidden="1"/>
    </xf>
    <xf numFmtId="167" fontId="16" fillId="0" borderId="20" xfId="1" applyNumberFormat="1" applyFont="1" applyFill="1" applyBorder="1" applyAlignment="1" applyProtection="1">
      <alignment vertical="center"/>
    </xf>
    <xf numFmtId="164" fontId="14" fillId="0" borderId="20" xfId="1" applyNumberFormat="1" applyFont="1" applyBorder="1" applyAlignment="1">
      <alignment vertical="center"/>
    </xf>
    <xf numFmtId="164" fontId="14" fillId="0" borderId="67" xfId="1" applyNumberFormat="1" applyFont="1" applyBorder="1" applyAlignment="1">
      <alignment vertical="center"/>
    </xf>
    <xf numFmtId="0" fontId="16" fillId="0" borderId="68" xfId="0" applyFont="1" applyBorder="1" applyAlignment="1" applyProtection="1">
      <alignment horizontal="center" vertical="center"/>
      <protection hidden="1"/>
    </xf>
    <xf numFmtId="0" fontId="16" fillId="0" borderId="19" xfId="0" applyFont="1" applyBorder="1" applyAlignment="1" applyProtection="1">
      <alignment vertical="center"/>
      <protection hidden="1"/>
    </xf>
    <xf numFmtId="0" fontId="16" fillId="0" borderId="19" xfId="0" applyFont="1" applyBorder="1" applyAlignment="1" applyProtection="1">
      <alignment horizontal="center" vertical="center"/>
      <protection hidden="1"/>
    </xf>
    <xf numFmtId="167" fontId="16" fillId="0" borderId="19" xfId="1" applyNumberFormat="1" applyFont="1" applyFill="1" applyBorder="1" applyAlignment="1" applyProtection="1">
      <alignment vertical="center"/>
    </xf>
    <xf numFmtId="164" fontId="14" fillId="0" borderId="19" xfId="1" applyNumberFormat="1" applyFont="1" applyBorder="1" applyAlignment="1">
      <alignment vertical="center"/>
    </xf>
    <xf numFmtId="164" fontId="14" fillId="0" borderId="69" xfId="1" applyNumberFormat="1" applyFont="1" applyBorder="1" applyAlignment="1">
      <alignment vertical="center"/>
    </xf>
    <xf numFmtId="167" fontId="16" fillId="0" borderId="20" xfId="1" applyNumberFormat="1" applyFont="1" applyBorder="1" applyAlignment="1" applyProtection="1">
      <alignment vertical="center"/>
    </xf>
    <xf numFmtId="167" fontId="16" fillId="0" borderId="19" xfId="1" applyNumberFormat="1" applyFont="1" applyBorder="1" applyAlignment="1" applyProtection="1">
      <alignment vertical="center"/>
    </xf>
    <xf numFmtId="170" fontId="16" fillId="0" borderId="70" xfId="0" applyNumberFormat="1" applyFont="1" applyBorder="1" applyAlignment="1" applyProtection="1">
      <alignment horizontal="center" vertical="center"/>
      <protection hidden="1"/>
    </xf>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164" fontId="16" fillId="0" borderId="6" xfId="1" applyNumberFormat="1" applyFont="1" applyBorder="1" applyAlignment="1" applyProtection="1">
      <alignment vertical="center"/>
    </xf>
    <xf numFmtId="164" fontId="14" fillId="0" borderId="6" xfId="1" applyNumberFormat="1" applyFont="1" applyBorder="1" applyAlignment="1">
      <alignment vertical="center"/>
    </xf>
    <xf numFmtId="164" fontId="14" fillId="0" borderId="60" xfId="1" applyNumberFormat="1" applyFont="1" applyBorder="1" applyAlignment="1">
      <alignment vertical="center"/>
    </xf>
    <xf numFmtId="170" fontId="16" fillId="0" borderId="68" xfId="0" applyNumberFormat="1" applyFont="1" applyBorder="1" applyAlignment="1" applyProtection="1">
      <alignment horizontal="center" vertical="center"/>
      <protection hidden="1"/>
    </xf>
    <xf numFmtId="164" fontId="16" fillId="0" borderId="19" xfId="1" applyNumberFormat="1" applyFont="1" applyBorder="1" applyAlignment="1" applyProtection="1">
      <alignment vertical="center"/>
    </xf>
    <xf numFmtId="0" fontId="16" fillId="0" borderId="70" xfId="0" applyFont="1" applyBorder="1" applyAlignment="1" applyProtection="1">
      <alignment horizontal="center" vertical="center"/>
      <protection hidden="1"/>
    </xf>
    <xf numFmtId="167" fontId="16" fillId="0" borderId="6" xfId="1" applyNumberFormat="1" applyFont="1" applyFill="1" applyBorder="1" applyAlignment="1" applyProtection="1">
      <alignment vertical="center"/>
    </xf>
    <xf numFmtId="0" fontId="16" fillId="0" borderId="28" xfId="0" applyFont="1" applyFill="1" applyBorder="1" applyAlignment="1">
      <alignment horizontal="left" vertical="center"/>
    </xf>
    <xf numFmtId="0" fontId="14" fillId="0" borderId="1" xfId="1" applyNumberFormat="1" applyFont="1" applyBorder="1" applyAlignment="1">
      <alignment vertical="center"/>
    </xf>
    <xf numFmtId="3" fontId="14" fillId="0" borderId="1" xfId="1" applyNumberFormat="1" applyFont="1" applyBorder="1" applyAlignment="1">
      <alignment horizontal="right" vertical="center"/>
    </xf>
    <xf numFmtId="0" fontId="0" fillId="0" borderId="1" xfId="0" applyBorder="1"/>
    <xf numFmtId="3" fontId="15" fillId="0" borderId="1" xfId="1" applyNumberFormat="1" applyFont="1" applyBorder="1" applyAlignment="1">
      <alignment horizontal="right" vertical="center"/>
    </xf>
    <xf numFmtId="0" fontId="15" fillId="0" borderId="1" xfId="0" applyFont="1" applyBorder="1" applyAlignment="1">
      <alignment horizontal="center" vertical="center"/>
    </xf>
    <xf numFmtId="0" fontId="15" fillId="0" borderId="1" xfId="1" applyNumberFormat="1" applyFont="1" applyBorder="1" applyAlignment="1">
      <alignment vertical="center"/>
    </xf>
    <xf numFmtId="3" fontId="63" fillId="0" borderId="1" xfId="1" applyNumberFormat="1" applyFont="1" applyBorder="1" applyAlignment="1">
      <alignment horizontal="right" vertical="center"/>
    </xf>
    <xf numFmtId="0" fontId="64" fillId="0" borderId="1" xfId="0" applyFont="1" applyFill="1" applyBorder="1" applyAlignment="1">
      <alignment horizontal="center" vertical="center"/>
    </xf>
    <xf numFmtId="0" fontId="64" fillId="0" borderId="1" xfId="0" applyFont="1" applyFill="1" applyBorder="1" applyAlignment="1">
      <alignment horizontal="left" vertical="center"/>
    </xf>
    <xf numFmtId="164" fontId="64" fillId="0" borderId="1" xfId="1" applyNumberFormat="1" applyFont="1" applyFill="1" applyBorder="1" applyAlignment="1">
      <alignment horizontal="center" vertical="center"/>
    </xf>
    <xf numFmtId="0" fontId="64" fillId="0" borderId="1" xfId="0" applyNumberFormat="1" applyFont="1" applyFill="1" applyBorder="1" applyAlignment="1">
      <alignment horizontal="center" vertical="center"/>
    </xf>
    <xf numFmtId="164" fontId="65" fillId="0" borderId="1" xfId="1" applyNumberFormat="1" applyFont="1" applyFill="1" applyBorder="1" applyAlignment="1">
      <alignment horizontal="right" vertical="center"/>
    </xf>
    <xf numFmtId="0" fontId="63" fillId="0" borderId="1" xfId="0" applyFont="1" applyBorder="1" applyAlignment="1">
      <alignment horizontal="center" vertical="center"/>
    </xf>
    <xf numFmtId="0" fontId="63" fillId="0" borderId="1" xfId="1" applyNumberFormat="1" applyFont="1" applyBorder="1" applyAlignment="1">
      <alignment vertical="center"/>
    </xf>
    <xf numFmtId="0" fontId="64" fillId="0" borderId="1" xfId="0" applyNumberFormat="1" applyFont="1" applyFill="1" applyBorder="1" applyAlignment="1">
      <alignment horizontal="left" vertical="center"/>
    </xf>
    <xf numFmtId="0" fontId="63" fillId="0" borderId="1" xfId="1" applyNumberFormat="1" applyFont="1" applyBorder="1" applyAlignment="1">
      <alignment vertical="center" wrapText="1"/>
    </xf>
    <xf numFmtId="1" fontId="65" fillId="0" borderId="1" xfId="0" applyNumberFormat="1" applyFont="1" applyFill="1" applyBorder="1" applyAlignment="1" applyProtection="1">
      <alignment horizontal="center" vertical="center"/>
      <protection hidden="1"/>
    </xf>
    <xf numFmtId="175" fontId="65" fillId="0" borderId="1" xfId="0" applyNumberFormat="1" applyFont="1" applyFill="1" applyBorder="1" applyAlignment="1">
      <alignment horizontal="left" vertical="center"/>
    </xf>
    <xf numFmtId="0" fontId="64" fillId="0" borderId="1" xfId="0" quotePrefix="1" applyNumberFormat="1" applyFont="1" applyFill="1" applyBorder="1" applyAlignment="1">
      <alignment horizontal="center" vertical="center"/>
    </xf>
    <xf numFmtId="173" fontId="64" fillId="0" borderId="1" xfId="0" applyNumberFormat="1" applyFont="1" applyFill="1" applyBorder="1" applyAlignment="1">
      <alignment vertical="center"/>
    </xf>
    <xf numFmtId="1" fontId="64" fillId="0" borderId="1" xfId="0" applyNumberFormat="1" applyFont="1" applyFill="1" applyBorder="1" applyAlignment="1" applyProtection="1">
      <alignment horizontal="center" vertical="center"/>
      <protection hidden="1"/>
    </xf>
    <xf numFmtId="175" fontId="64" fillId="0" borderId="1" xfId="0" applyNumberFormat="1" applyFont="1" applyFill="1" applyBorder="1" applyAlignment="1">
      <alignment horizontal="left" vertical="center"/>
    </xf>
    <xf numFmtId="175" fontId="64" fillId="0" borderId="1" xfId="0" applyNumberFormat="1" applyFont="1" applyFill="1" applyBorder="1" applyAlignment="1">
      <alignment horizontal="center" vertical="center"/>
    </xf>
    <xf numFmtId="0" fontId="64" fillId="0" borderId="1" xfId="1" applyNumberFormat="1" applyFont="1" applyFill="1" applyBorder="1" applyAlignment="1">
      <alignment horizontal="center" vertical="center"/>
    </xf>
    <xf numFmtId="164" fontId="64" fillId="0" borderId="1" xfId="0" quotePrefix="1" applyNumberFormat="1" applyFont="1" applyFill="1" applyBorder="1" applyAlignment="1">
      <alignment horizontal="center" vertical="center"/>
    </xf>
    <xf numFmtId="164" fontId="64" fillId="0" borderId="1" xfId="0" applyNumberFormat="1" applyFont="1" applyFill="1" applyBorder="1" applyAlignment="1">
      <alignment vertical="center"/>
    </xf>
    <xf numFmtId="1" fontId="64" fillId="0" borderId="1" xfId="0" applyNumberFormat="1" applyFont="1" applyFill="1" applyBorder="1" applyAlignment="1">
      <alignment vertical="center"/>
    </xf>
    <xf numFmtId="1" fontId="64" fillId="0" borderId="1" xfId="0" applyNumberFormat="1" applyFont="1" applyFill="1" applyBorder="1" applyAlignment="1">
      <alignment horizontal="center" vertical="center"/>
    </xf>
    <xf numFmtId="0" fontId="66" fillId="0" borderId="1" xfId="0" applyFont="1" applyFill="1" applyBorder="1" applyAlignment="1">
      <alignment horizontal="left" vertical="center"/>
    </xf>
    <xf numFmtId="165" fontId="64" fillId="0" borderId="1" xfId="0" applyNumberFormat="1" applyFont="1" applyFill="1" applyBorder="1" applyAlignment="1">
      <alignment vertical="center"/>
    </xf>
    <xf numFmtId="0" fontId="64" fillId="0" borderId="1" xfId="0" applyFont="1" applyFill="1" applyBorder="1" applyAlignment="1">
      <alignment horizontal="left" vertical="center" wrapText="1"/>
    </xf>
    <xf numFmtId="173" fontId="65" fillId="0" borderId="1" xfId="0" applyNumberFormat="1" applyFont="1" applyFill="1" applyBorder="1" applyAlignment="1">
      <alignment horizontal="left" vertical="center"/>
    </xf>
    <xf numFmtId="164" fontId="64" fillId="0" borderId="1" xfId="1" applyNumberFormat="1" applyFont="1" applyFill="1" applyBorder="1" applyAlignment="1">
      <alignment horizontal="left" vertical="center"/>
    </xf>
    <xf numFmtId="173" fontId="67" fillId="0" borderId="1" xfId="0" applyNumberFormat="1" applyFont="1" applyFill="1" applyBorder="1" applyAlignment="1">
      <alignment horizontal="centerContinuous" vertical="center"/>
    </xf>
    <xf numFmtId="0" fontId="16" fillId="0" borderId="28" xfId="0" applyFont="1" applyFill="1" applyBorder="1" applyAlignment="1">
      <alignment horizontal="center" vertical="center"/>
    </xf>
    <xf numFmtId="164" fontId="16" fillId="0" borderId="28" xfId="1" applyNumberFormat="1" applyFont="1" applyFill="1" applyBorder="1" applyAlignment="1">
      <alignment horizontal="center" vertical="center"/>
    </xf>
    <xf numFmtId="0" fontId="16" fillId="0" borderId="28" xfId="0" applyNumberFormat="1" applyFont="1" applyFill="1" applyBorder="1" applyAlignment="1">
      <alignment horizontal="center" vertical="center"/>
    </xf>
    <xf numFmtId="0" fontId="68" fillId="0" borderId="1" xfId="0" applyFont="1" applyBorder="1"/>
    <xf numFmtId="164" fontId="68" fillId="0" borderId="1" xfId="1" applyNumberFormat="1" applyFont="1" applyBorder="1"/>
    <xf numFmtId="0" fontId="4" fillId="0" borderId="1" xfId="0" applyNumberFormat="1" applyFont="1" applyFill="1" applyBorder="1" applyAlignment="1">
      <alignment horizontal="center" vertical="center"/>
    </xf>
    <xf numFmtId="0" fontId="4" fillId="0" borderId="25" xfId="0" applyNumberFormat="1" applyFont="1" applyFill="1" applyBorder="1" applyAlignment="1">
      <alignment horizontal="center" vertical="center"/>
    </xf>
    <xf numFmtId="38" fontId="4" fillId="0" borderId="1" xfId="0" applyNumberFormat="1" applyFont="1" applyFill="1" applyBorder="1" applyAlignment="1">
      <alignment horizontal="center" vertical="center"/>
    </xf>
    <xf numFmtId="38" fontId="4" fillId="0" borderId="25" xfId="0" applyNumberFormat="1" applyFont="1" applyFill="1" applyBorder="1" applyAlignment="1">
      <alignment horizontal="center" vertical="center"/>
    </xf>
    <xf numFmtId="3" fontId="4" fillId="0" borderId="25" xfId="0" applyNumberFormat="1" applyFont="1" applyFill="1" applyBorder="1" applyAlignment="1">
      <alignment horizontal="center" vertical="center" wrapText="1"/>
    </xf>
    <xf numFmtId="3" fontId="4" fillId="0" borderId="28"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xf>
    <xf numFmtId="3" fontId="4" fillId="2" borderId="25" xfId="0" applyNumberFormat="1" applyFont="1" applyFill="1" applyBorder="1" applyAlignment="1">
      <alignment horizontal="center" vertical="center" wrapText="1"/>
    </xf>
    <xf numFmtId="3" fontId="4" fillId="2" borderId="16" xfId="0" applyNumberFormat="1" applyFont="1" applyFill="1" applyBorder="1" applyAlignment="1">
      <alignment horizontal="center" vertical="center"/>
    </xf>
    <xf numFmtId="0" fontId="4" fillId="7" borderId="25" xfId="0" applyFont="1" applyFill="1" applyBorder="1" applyAlignment="1" applyProtection="1">
      <alignment horizontal="center" vertical="center" wrapText="1"/>
      <protection hidden="1"/>
    </xf>
    <xf numFmtId="0" fontId="4" fillId="7" borderId="1" xfId="0" applyFont="1" applyFill="1" applyBorder="1" applyAlignment="1" applyProtection="1">
      <alignment horizontal="center" vertical="center" wrapText="1"/>
      <protection hidden="1"/>
    </xf>
    <xf numFmtId="0" fontId="4" fillId="7" borderId="42" xfId="0" applyFont="1" applyFill="1" applyBorder="1" applyAlignment="1" applyProtection="1">
      <alignment horizontal="center" vertical="center" wrapText="1"/>
      <protection hidden="1"/>
    </xf>
    <xf numFmtId="0" fontId="4" fillId="7" borderId="29" xfId="0" applyFont="1" applyFill="1" applyBorder="1" applyAlignment="1" applyProtection="1">
      <alignment horizontal="center" vertical="center" wrapText="1"/>
      <protection hidden="1"/>
    </xf>
    <xf numFmtId="0" fontId="4" fillId="7" borderId="33" xfId="0" applyFont="1" applyFill="1" applyBorder="1" applyAlignment="1" applyProtection="1">
      <alignment horizontal="center" vertical="center" wrapText="1"/>
      <protection hidden="1"/>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15" fillId="0" borderId="0" xfId="0" applyFont="1" applyAlignment="1">
      <alignment horizontal="center" vertical="center"/>
    </xf>
    <xf numFmtId="3" fontId="4" fillId="7" borderId="1" xfId="0" applyNumberFormat="1" applyFont="1" applyFill="1" applyBorder="1" applyAlignment="1" applyProtection="1">
      <alignment horizontal="center" vertical="center" wrapText="1"/>
    </xf>
    <xf numFmtId="0" fontId="15" fillId="7" borderId="19" xfId="0" applyFont="1" applyFill="1" applyBorder="1" applyAlignment="1">
      <alignment horizontal="center" vertical="center"/>
    </xf>
    <xf numFmtId="3" fontId="15" fillId="0" borderId="4" xfId="1" applyNumberFormat="1" applyFont="1" applyBorder="1" applyAlignment="1">
      <alignment horizontal="center" vertical="center"/>
    </xf>
    <xf numFmtId="0" fontId="15" fillId="22" borderId="4" xfId="0" applyFont="1" applyFill="1" applyBorder="1" applyAlignment="1">
      <alignment horizontal="center" vertical="center"/>
    </xf>
    <xf numFmtId="0" fontId="14" fillId="0" borderId="4" xfId="0" applyFont="1" applyBorder="1" applyAlignment="1">
      <alignment horizontal="left" vertical="center"/>
    </xf>
    <xf numFmtId="0" fontId="15" fillId="0" borderId="4" xfId="0" applyFont="1" applyBorder="1" applyAlignment="1">
      <alignment horizontal="center" vertical="center"/>
    </xf>
    <xf numFmtId="0" fontId="15" fillId="7" borderId="19" xfId="0" applyFont="1" applyFill="1" applyBorder="1" applyAlignment="1">
      <alignment horizontal="left" vertical="center"/>
    </xf>
    <xf numFmtId="0" fontId="15" fillId="22" borderId="4" xfId="0" applyFont="1" applyFill="1" applyBorder="1" applyAlignment="1">
      <alignment horizontal="left" vertical="center"/>
    </xf>
    <xf numFmtId="0" fontId="15" fillId="7" borderId="4" xfId="0" applyFont="1" applyFill="1" applyBorder="1" applyAlignment="1">
      <alignment horizontal="left" vertical="center"/>
    </xf>
    <xf numFmtId="0" fontId="15" fillId="7" borderId="4" xfId="0" applyFont="1" applyFill="1" applyBorder="1" applyAlignment="1">
      <alignment horizontal="center" vertical="center"/>
    </xf>
    <xf numFmtId="0" fontId="15" fillId="0" borderId="20" xfId="0" applyFont="1" applyBorder="1" applyAlignment="1">
      <alignment horizontal="center" vertical="center"/>
    </xf>
    <xf numFmtId="0" fontId="14" fillId="7" borderId="1" xfId="0" applyFont="1" applyFill="1" applyBorder="1" applyAlignment="1">
      <alignment horizontal="center" vertical="center"/>
    </xf>
    <xf numFmtId="0" fontId="59" fillId="0" borderId="0" xfId="0" applyFont="1" applyAlignment="1">
      <alignment horizontal="center" vertical="center"/>
    </xf>
    <xf numFmtId="3" fontId="4" fillId="7" borderId="26" xfId="0" applyNumberFormat="1" applyFont="1" applyFill="1" applyBorder="1" applyAlignment="1" applyProtection="1">
      <alignment horizontal="center" vertical="center" wrapText="1"/>
    </xf>
    <xf numFmtId="3" fontId="15" fillId="0" borderId="20" xfId="1" applyNumberFormat="1" applyFont="1" applyBorder="1" applyAlignment="1">
      <alignment horizontal="center" vertical="center"/>
    </xf>
    <xf numFmtId="0" fontId="14" fillId="0" borderId="20" xfId="0" applyFont="1" applyBorder="1" applyAlignment="1">
      <alignment horizontal="left" vertical="center"/>
    </xf>
    <xf numFmtId="0" fontId="15" fillId="7" borderId="1" xfId="0" applyFont="1" applyFill="1" applyBorder="1" applyAlignment="1">
      <alignment horizontal="center" vertical="center"/>
    </xf>
    <xf numFmtId="1" fontId="4" fillId="0" borderId="25" xfId="0" applyNumberFormat="1" applyFont="1" applyFill="1" applyBorder="1" applyAlignment="1" applyProtection="1">
      <alignment horizontal="center" vertical="center"/>
      <protection hidden="1"/>
    </xf>
    <xf numFmtId="1" fontId="4" fillId="0" borderId="28" xfId="0" applyNumberFormat="1" applyFont="1" applyFill="1" applyBorder="1" applyAlignment="1" applyProtection="1">
      <alignment horizontal="center" vertical="center"/>
      <protection hidden="1"/>
    </xf>
    <xf numFmtId="1" fontId="4" fillId="0" borderId="16" xfId="0" applyNumberFormat="1" applyFont="1" applyFill="1" applyBorder="1" applyAlignment="1" applyProtection="1">
      <alignment horizontal="center" vertical="center"/>
      <protection hidden="1"/>
    </xf>
    <xf numFmtId="175" fontId="4" fillId="0" borderId="25" xfId="0" applyNumberFormat="1" applyFont="1" applyFill="1" applyBorder="1" applyAlignment="1">
      <alignment horizontal="center" vertical="center"/>
    </xf>
    <xf numFmtId="175" fontId="4" fillId="0" borderId="28" xfId="0" applyNumberFormat="1" applyFont="1" applyFill="1" applyBorder="1" applyAlignment="1">
      <alignment horizontal="center" vertical="center"/>
    </xf>
    <xf numFmtId="175" fontId="4" fillId="0" borderId="16" xfId="0"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44"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34" xfId="0"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38" fontId="4" fillId="7" borderId="26" xfId="0" applyNumberFormat="1" applyFont="1" applyFill="1" applyBorder="1" applyAlignment="1">
      <alignment horizontal="center" vertical="center" wrapText="1"/>
    </xf>
    <xf numFmtId="38" fontId="4" fillId="7" borderId="3" xfId="0" applyNumberFormat="1" applyFont="1" applyFill="1" applyBorder="1" applyAlignment="1">
      <alignment horizontal="center" vertical="center" wrapText="1"/>
    </xf>
    <xf numFmtId="1" fontId="4" fillId="7" borderId="25" xfId="0" applyNumberFormat="1" applyFont="1" applyFill="1" applyBorder="1" applyAlignment="1" applyProtection="1">
      <alignment horizontal="center" vertical="center"/>
      <protection hidden="1"/>
    </xf>
    <xf numFmtId="1" fontId="4" fillId="7" borderId="28" xfId="0" applyNumberFormat="1" applyFont="1" applyFill="1" applyBorder="1" applyAlignment="1" applyProtection="1">
      <alignment horizontal="center" vertical="center"/>
      <protection hidden="1"/>
    </xf>
    <xf numFmtId="1" fontId="4" fillId="7" borderId="16" xfId="0" applyNumberFormat="1" applyFont="1" applyFill="1" applyBorder="1" applyAlignment="1" applyProtection="1">
      <alignment horizontal="center" vertical="center"/>
      <protection hidden="1"/>
    </xf>
    <xf numFmtId="175" fontId="4" fillId="7" borderId="25" xfId="0" applyNumberFormat="1" applyFont="1" applyFill="1" applyBorder="1" applyAlignment="1">
      <alignment horizontal="center" vertical="center"/>
    </xf>
    <xf numFmtId="175" fontId="4" fillId="7" borderId="28" xfId="0" applyNumberFormat="1" applyFont="1" applyFill="1" applyBorder="1" applyAlignment="1">
      <alignment horizontal="center" vertical="center"/>
    </xf>
    <xf numFmtId="175" fontId="4" fillId="7" borderId="16" xfId="0" applyNumberFormat="1" applyFont="1" applyFill="1" applyBorder="1" applyAlignment="1">
      <alignment horizontal="center" vertical="center"/>
    </xf>
    <xf numFmtId="0" fontId="4" fillId="7" borderId="42" xfId="0" applyFont="1" applyFill="1" applyBorder="1" applyAlignment="1">
      <alignment horizontal="center" vertical="center"/>
    </xf>
    <xf numFmtId="0" fontId="4" fillId="7" borderId="29" xfId="0" applyFont="1" applyFill="1" applyBorder="1" applyAlignment="1">
      <alignment horizontal="center" vertical="center"/>
    </xf>
    <xf numFmtId="0" fontId="4" fillId="7" borderId="33" xfId="0" applyFont="1" applyFill="1" applyBorder="1" applyAlignment="1">
      <alignment horizontal="center" vertical="center"/>
    </xf>
    <xf numFmtId="0" fontId="4" fillId="7" borderId="30" xfId="0" applyFont="1" applyFill="1" applyBorder="1" applyAlignment="1">
      <alignment horizontal="center" vertical="center"/>
    </xf>
    <xf numFmtId="0" fontId="4" fillId="7" borderId="0" xfId="0" applyFont="1" applyFill="1" applyBorder="1" applyAlignment="1">
      <alignment horizontal="center" vertical="center"/>
    </xf>
    <xf numFmtId="0" fontId="4" fillId="7" borderId="43" xfId="0" applyFont="1" applyFill="1" applyBorder="1" applyAlignment="1">
      <alignment horizontal="center" vertical="center"/>
    </xf>
    <xf numFmtId="0" fontId="4" fillId="7" borderId="44" xfId="0" applyFont="1" applyFill="1" applyBorder="1" applyAlignment="1">
      <alignment horizontal="center" vertical="center"/>
    </xf>
    <xf numFmtId="0" fontId="4" fillId="7" borderId="27" xfId="0" applyFont="1" applyFill="1" applyBorder="1" applyAlignment="1">
      <alignment horizontal="center" vertical="center"/>
    </xf>
    <xf numFmtId="0" fontId="4" fillId="7" borderId="34" xfId="0" applyFont="1" applyFill="1" applyBorder="1" applyAlignment="1">
      <alignment horizontal="center" vertical="center"/>
    </xf>
    <xf numFmtId="0" fontId="43" fillId="18" borderId="45" xfId="0" applyFont="1" applyFill="1" applyBorder="1" applyAlignment="1" applyProtection="1">
      <alignment horizontal="center" vertical="center" shrinkToFit="1"/>
    </xf>
    <xf numFmtId="0" fontId="43" fillId="18" borderId="46" xfId="0" applyFont="1" applyFill="1" applyBorder="1" applyAlignment="1" applyProtection="1">
      <alignment horizontal="center" vertical="center" shrinkToFit="1"/>
    </xf>
    <xf numFmtId="0" fontId="43" fillId="18" borderId="47" xfId="0" applyFont="1" applyFill="1" applyBorder="1" applyAlignment="1" applyProtection="1">
      <alignment horizontal="center" vertical="center" shrinkToFit="1"/>
    </xf>
    <xf numFmtId="0" fontId="43" fillId="18" borderId="48" xfId="0" applyFont="1" applyFill="1" applyBorder="1" applyAlignment="1" applyProtection="1">
      <alignment horizontal="center" vertical="center" shrinkToFit="1"/>
    </xf>
    <xf numFmtId="0" fontId="43" fillId="18" borderId="49" xfId="0" applyFont="1" applyFill="1" applyBorder="1" applyAlignment="1" applyProtection="1">
      <alignment horizontal="center" vertical="center" shrinkToFit="1"/>
    </xf>
    <xf numFmtId="0" fontId="43" fillId="18" borderId="50" xfId="0" applyFont="1" applyFill="1" applyBorder="1" applyAlignment="1" applyProtection="1">
      <alignment horizontal="center" vertical="center" shrinkToFit="1"/>
    </xf>
    <xf numFmtId="0" fontId="44" fillId="18" borderId="54" xfId="0" applyFont="1" applyFill="1" applyBorder="1" applyAlignment="1" applyProtection="1">
      <alignment horizontal="center" vertical="center" shrinkToFit="1"/>
    </xf>
    <xf numFmtId="0" fontId="44" fillId="18" borderId="55" xfId="0" applyFont="1" applyFill="1" applyBorder="1" applyAlignment="1" applyProtection="1">
      <alignment horizontal="center" vertical="center" shrinkToFit="1"/>
    </xf>
    <xf numFmtId="0" fontId="44" fillId="18" borderId="51" xfId="0" applyFont="1" applyFill="1" applyBorder="1" applyAlignment="1" applyProtection="1">
      <alignment horizontal="center" vertical="center" shrinkToFit="1"/>
    </xf>
    <xf numFmtId="0" fontId="44" fillId="18" borderId="54" xfId="0" applyFont="1" applyFill="1" applyBorder="1" applyAlignment="1" applyProtection="1">
      <alignment horizontal="left" vertical="center" shrinkToFit="1"/>
    </xf>
    <xf numFmtId="0" fontId="44" fillId="18" borderId="55" xfId="0" applyFont="1" applyFill="1" applyBorder="1" applyAlignment="1" applyProtection="1">
      <alignment horizontal="left" vertical="center" shrinkToFit="1"/>
    </xf>
    <xf numFmtId="0" fontId="44" fillId="18" borderId="51" xfId="0" applyFont="1" applyFill="1" applyBorder="1" applyAlignment="1" applyProtection="1">
      <alignment horizontal="left" vertical="center" shrinkToFit="1"/>
    </xf>
    <xf numFmtId="174" fontId="43" fillId="24" borderId="37" xfId="0" applyNumberFormat="1" applyFont="1" applyFill="1" applyBorder="1" applyAlignment="1" applyProtection="1">
      <alignment horizontal="center" vertical="center" shrinkToFit="1"/>
    </xf>
    <xf numFmtId="0" fontId="10" fillId="7" borderId="12" xfId="0" applyFont="1" applyFill="1" applyBorder="1" applyAlignment="1">
      <alignment horizontal="center" vertical="center"/>
    </xf>
    <xf numFmtId="0" fontId="10" fillId="7" borderId="13"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0" fontId="4" fillId="7" borderId="26" xfId="0" applyFont="1" applyFill="1" applyBorder="1" applyAlignment="1" applyProtection="1">
      <alignment horizontal="center" vertical="center" wrapText="1"/>
      <protection hidden="1"/>
    </xf>
    <xf numFmtId="0" fontId="4" fillId="7" borderId="2" xfId="0" applyFont="1" applyFill="1" applyBorder="1" applyAlignment="1" applyProtection="1">
      <alignment horizontal="center" vertical="center" wrapText="1"/>
      <protection hidden="1"/>
    </xf>
    <xf numFmtId="0" fontId="4" fillId="7" borderId="3" xfId="0" applyFont="1" applyFill="1" applyBorder="1" applyAlignment="1" applyProtection="1">
      <alignment horizontal="center" vertical="center" wrapText="1"/>
      <protection hidden="1"/>
    </xf>
    <xf numFmtId="38" fontId="4" fillId="2" borderId="25" xfId="0" applyNumberFormat="1" applyFont="1" applyFill="1" applyBorder="1" applyAlignment="1">
      <alignment horizontal="center" vertical="center" wrapText="1"/>
    </xf>
    <xf numFmtId="38" fontId="4" fillId="2" borderId="16" xfId="0" applyNumberFormat="1" applyFont="1" applyFill="1" applyBorder="1" applyAlignment="1">
      <alignment horizontal="center" vertical="center"/>
    </xf>
    <xf numFmtId="0" fontId="15" fillId="0" borderId="1" xfId="0" applyFont="1" applyBorder="1" applyAlignment="1">
      <alignment horizontal="center" vertical="center" wrapText="1"/>
    </xf>
    <xf numFmtId="0" fontId="4" fillId="7" borderId="25" xfId="0" applyFont="1" applyFill="1" applyBorder="1" applyAlignment="1">
      <alignment horizontal="center" vertical="center"/>
    </xf>
  </cellXfs>
  <cellStyles count="6">
    <cellStyle name="Comma" xfId="1" builtinId="3"/>
    <cellStyle name="Hyperlink" xfId="3" builtinId="8"/>
    <cellStyle name="Normal" xfId="0" builtinId="0"/>
    <cellStyle name="Normal_du toan THCS Xuan An 250kva - Long Khanh" xfId="5"/>
    <cellStyle name="Normal_xuan tan xuan dinh_14. ket qua tham tra du toan chieu sangLTV NTT of PGH" xfId="4"/>
    <cellStyle name="Percent" xfId="2" builtinId="5"/>
  </cellStyles>
  <dxfs count="1">
    <dxf>
      <fill>
        <patternFill patternType="solid">
          <fgColor rgb="FFFCE4D6"/>
          <bgColor rgb="FF000000"/>
        </patternFill>
      </fill>
    </dxf>
  </dxfs>
  <tableStyles count="0" defaultTableStyle="TableStyleMedium2" defaultPivotStyle="PivotStyleLight16"/>
  <colors>
    <mruColors>
      <color rgb="FFFF9797"/>
      <color rgb="FFFF3300"/>
      <color rgb="FF4BFF21"/>
      <color rgb="FFFF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6626</xdr:rowOff>
    </xdr:from>
    <xdr:to>
      <xdr:col>10</xdr:col>
      <xdr:colOff>34344</xdr:colOff>
      <xdr:row>9</xdr:row>
      <xdr:rowOff>13397</xdr:rowOff>
    </xdr:to>
    <xdr:pic>
      <xdr:nvPicPr>
        <xdr:cNvPr id="2" name="Picture 1">
          <a:extLst>
            <a:ext uri="{FF2B5EF4-FFF2-40B4-BE49-F238E27FC236}">
              <a16:creationId xmlns:a16="http://schemas.microsoft.com/office/drawing/2014/main" xmlns="" id="{00000000-0008-0000-1900-000002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6400"/>
                  </a14:imgEffect>
                </a14:imgLayer>
              </a14:imgProps>
            </a:ext>
            <a:ext uri="{28A0092B-C50C-407E-A947-70E740481C1C}">
              <a14:useLocalDpi xmlns:a14="http://schemas.microsoft.com/office/drawing/2010/main" val="0"/>
            </a:ext>
          </a:extLst>
        </a:blip>
        <a:stretch/>
      </xdr:blipFill>
      <xdr:spPr>
        <a:xfrm>
          <a:off x="0" y="6626"/>
          <a:ext cx="6355631" cy="16765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268940</xdr:colOff>
      <xdr:row>1</xdr:row>
      <xdr:rowOff>235324</xdr:rowOff>
    </xdr:from>
    <xdr:to>
      <xdr:col>18</xdr:col>
      <xdr:colOff>717176</xdr:colOff>
      <xdr:row>3</xdr:row>
      <xdr:rowOff>0</xdr:rowOff>
    </xdr:to>
    <xdr:sp macro="[0]!taobangma" textlink="">
      <xdr:nvSpPr>
        <xdr:cNvPr id="4" name="Rectangle 3">
          <a:extLst>
            <a:ext uri="{FF2B5EF4-FFF2-40B4-BE49-F238E27FC236}">
              <a16:creationId xmlns:a16="http://schemas.microsoft.com/office/drawing/2014/main" xmlns="" id="{00000000-0008-0000-1B00-000004000000}"/>
            </a:ext>
          </a:extLst>
        </xdr:cNvPr>
        <xdr:cNvSpPr/>
      </xdr:nvSpPr>
      <xdr:spPr>
        <a:xfrm>
          <a:off x="13581528" y="481853"/>
          <a:ext cx="1916207"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Calibri" panose="020F0502020204030204" pitchFamily="34" charset="0"/>
              <a:cs typeface="Times New Roman" panose="02020603050405020304" pitchFamily="18" charset="0"/>
            </a:rPr>
            <a:t>THỐNG</a:t>
          </a:r>
          <a:r>
            <a:rPr lang="en-US" sz="1300" b="1" baseline="0">
              <a:latin typeface="Calibri" panose="020F0502020204030204" pitchFamily="34" charset="0"/>
              <a:cs typeface="Times New Roman" panose="02020603050405020304" pitchFamily="18" charset="0"/>
            </a:rPr>
            <a:t> KÊ ĐƠN GIÁ</a:t>
          </a:r>
          <a:endParaRPr lang="en-US" sz="1300" b="1">
            <a:latin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UNG%20HIEU/CONG%20TY%20TRUNG%20NAM%20VN/12.%20NAM%202020/2.%20XUAN%20LOC/1.%20DUONG%20XUAN%20BAC%20-%20BAO%20QUANG%20(BUOC%20BVTC)/TK%20BVTC/5.%20HO%20SO%20THAM%20DINH%20(23-04-2020)/4.%20DI%20DOI%20HE%20THONG%20DIEN%20(30.3.2020)/Du%20toan%20di%20doi%20dien%20trung%20ha%20th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hucTran/HSTT/KhachHang/20200909-DuongXuanBac-BaoQuang/XuanBac-BaoQua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TH"/>
      <sheetName val="THXL"/>
      <sheetName val="GT"/>
      <sheetName val="CT-DD"/>
      <sheetName val="CT-TBA"/>
      <sheetName val="CT-CS"/>
      <sheetName val="CT-TL"/>
      <sheetName val="LDTB"/>
      <sheetName val="CPHC"/>
      <sheetName val="TNHC"/>
      <sheetName val="BKCS"/>
      <sheetName val="BK"/>
      <sheetName val="R_ADDROUTE"/>
      <sheetName val="R_TL"/>
      <sheetName val="Enable Macro"/>
      <sheetName val="SETTING"/>
      <sheetName val="DG"/>
      <sheetName val="R_SETTING"/>
      <sheetName val="R_DD"/>
      <sheetName val="R_TBA"/>
      <sheetName val="R_DG"/>
      <sheetName val="R_GT"/>
      <sheetName val="R_BK"/>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K2" t="str">
            <v xml:space="preserve">ĐƯỜNG XUÂN BẮC  - BẢO QUANG. </v>
          </cell>
        </row>
        <row r="3">
          <cell r="K3" t="str">
            <v>DI DỜI HỆ THỐNG ĐIỆN TRUNG HẠ THẾ</v>
          </cell>
        </row>
        <row r="5">
          <cell r="K5" t="str">
            <v>CÔNG TY TNHH TRANG SONG ANH</v>
          </cell>
        </row>
        <row r="6">
          <cell r="K6" t="str">
            <v>NGUYỄN ĐỨC SƠN</v>
          </cell>
        </row>
        <row r="7">
          <cell r="K7" t="str">
            <v>TRƯƠNG HỒNG CHINH</v>
          </cell>
        </row>
        <row r="9">
          <cell r="K9" t="str">
            <v>TRẦN QUANG NINH</v>
          </cell>
        </row>
      </sheetData>
      <sheetData sheetId="17" refreshError="1"/>
      <sheetData sheetId="18">
        <row r="31">
          <cell r="A31" t="str">
            <v>LẬP DỰ TOÁN</v>
          </cell>
          <cell r="C31" t="str">
            <v>KIỂM TRA</v>
          </cell>
        </row>
      </sheetData>
      <sheetData sheetId="19" refreshError="1"/>
      <sheetData sheetId="20" refreshError="1"/>
      <sheetData sheetId="21" refreshError="1"/>
      <sheetData sheetId="22" refreshError="1"/>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Sheet2"/>
      <sheetName val="Sheet1"/>
      <sheetName val="BKT"/>
      <sheetName val="pp1p"/>
      <sheetName val="PPHTCS"/>
      <sheetName val="klHTDL"/>
      <sheetName val="ppht NC"/>
      <sheetName val="ppht"/>
      <sheetName val="pp3p1m"/>
      <sheetName val="kl3p1m"/>
      <sheetName val="kl1p"/>
      <sheetName val="CT_tram (2)"/>
      <sheetName val="CT_tram"/>
      <sheetName val="chitiet"/>
      <sheetName val="PL-1"/>
      <sheetName val="PL-2"/>
      <sheetName val="PL-3"/>
      <sheetName val="PL-4"/>
      <sheetName val="NT-VTTB"/>
      <sheetName val="TongHopKL"/>
      <sheetName val="Solieu"/>
      <sheetName val="NT-VT"/>
      <sheetName val="B_CAP"/>
      <sheetName val="NT-A"/>
      <sheetName val="2Mong"/>
      <sheetName val="3Tru"/>
      <sheetName val="4Neo"/>
      <sheetName val="5BT"/>
      <sheetName val="6PK"/>
      <sheetName val="7day"/>
      <sheetName val="8TB"/>
      <sheetName val="9TD"/>
      <sheetName val="10DN"/>
      <sheetName val="NK"/>
      <sheetName val="A_CAP"/>
    </sheetNames>
    <sheetDataSet>
      <sheetData sheetId="0">
        <row r="1">
          <cell r="A1" t="str">
            <v>buộc</v>
          </cell>
          <cell r="B1" t="str">
            <v>MHĐG</v>
          </cell>
          <cell r="C1" t="str">
            <v>Tên vật tư</v>
          </cell>
        </row>
        <row r="2">
          <cell r="B2">
            <v>2</v>
          </cell>
          <cell r="C2">
            <v>3</v>
          </cell>
        </row>
        <row r="3">
          <cell r="A3" t="str">
            <v>D12</v>
          </cell>
          <cell r="B3" t="str">
            <v>04.4001</v>
          </cell>
          <cell r="C3" t="str">
            <v>Đà cản BTCT 1,2m</v>
          </cell>
        </row>
        <row r="4">
          <cell r="A4" t="str">
            <v>D15</v>
          </cell>
          <cell r="B4" t="str">
            <v>04.3801</v>
          </cell>
          <cell r="C4" t="str">
            <v>Đà cản BTCT 1,5m</v>
          </cell>
        </row>
        <row r="5">
          <cell r="A5" t="str">
            <v>D20</v>
          </cell>
          <cell r="B5" t="str">
            <v>04.3802</v>
          </cell>
          <cell r="C5" t="str">
            <v>Đà cản BTCT 2,0m</v>
          </cell>
        </row>
        <row r="6">
          <cell r="A6" t="str">
            <v>D25</v>
          </cell>
          <cell r="B6" t="str">
            <v>04.3802</v>
          </cell>
          <cell r="C6" t="str">
            <v>Đà cản BTCT 2,5m</v>
          </cell>
        </row>
        <row r="7">
          <cell r="A7" t="str">
            <v>DN0212</v>
          </cell>
          <cell r="B7" t="str">
            <v>04.3801</v>
          </cell>
          <cell r="C7" t="str">
            <v>Đế neo BTCT 200x1200</v>
          </cell>
        </row>
        <row r="8">
          <cell r="A8" t="str">
            <v>DN0412</v>
          </cell>
          <cell r="B8" t="str">
            <v>04.3801</v>
          </cell>
          <cell r="C8" t="str">
            <v>Đế neo BTCT 400x1200</v>
          </cell>
        </row>
        <row r="9">
          <cell r="A9" t="str">
            <v>DN0415</v>
          </cell>
          <cell r="B9" t="str">
            <v>04.3802</v>
          </cell>
          <cell r="C9" t="str">
            <v>Đế neo BTCT 400x1500</v>
          </cell>
        </row>
        <row r="10">
          <cell r="A10" t="str">
            <v>DN0615</v>
          </cell>
          <cell r="B10" t="str">
            <v>04.3802</v>
          </cell>
          <cell r="C10" t="str">
            <v>Đế neo BTCT 600x1500</v>
          </cell>
        </row>
        <row r="11">
          <cell r="A11" t="str">
            <v>DN0618</v>
          </cell>
          <cell r="B11" t="str">
            <v>04.3802</v>
          </cell>
          <cell r="C11" t="str">
            <v>Đế neo BTCT 600x1800</v>
          </cell>
        </row>
        <row r="12">
          <cell r="A12" t="str">
            <v>DN1500</v>
          </cell>
          <cell r="B12" t="str">
            <v>04.3802</v>
          </cell>
          <cell r="C12" t="str">
            <v>Đế neo BTCT 1500x500</v>
          </cell>
        </row>
        <row r="13">
          <cell r="A13" t="str">
            <v>DN1200</v>
          </cell>
          <cell r="B13" t="str">
            <v>04.3801</v>
          </cell>
          <cell r="C13" t="str">
            <v>Đế neo BTCT 1200x500</v>
          </cell>
        </row>
        <row r="14">
          <cell r="A14" t="str">
            <v>BNH</v>
          </cell>
          <cell r="C14" t="str">
            <v>Biển số - Bảng nguy hiểm</v>
          </cell>
        </row>
        <row r="15">
          <cell r="A15" t="str">
            <v>BBD</v>
          </cell>
          <cell r="C15" t="str">
            <v>Biển báo độ cao</v>
          </cell>
        </row>
        <row r="16">
          <cell r="A16" t="str">
            <v>B460</v>
          </cell>
          <cell r="C16" t="str">
            <v>Boulon 4x60+ 2 long đền vuông</v>
          </cell>
        </row>
        <row r="17">
          <cell r="A17" t="str">
            <v>B630</v>
          </cell>
          <cell r="C17" t="str">
            <v>Boulon 6x30+ 2 long đền vuông</v>
          </cell>
        </row>
        <row r="18">
          <cell r="A18" t="str">
            <v>B1030TH</v>
          </cell>
          <cell r="C18" t="str">
            <v>Boulon thau 10x30 + 2 long đền vuông</v>
          </cell>
        </row>
        <row r="19">
          <cell r="A19" t="str">
            <v>B1040</v>
          </cell>
          <cell r="C19" t="str">
            <v>Boulon 10x40+ 2 long đền vuông D12-50x50x3/Zn</v>
          </cell>
        </row>
        <row r="20">
          <cell r="A20" t="str">
            <v>B1050</v>
          </cell>
          <cell r="C20" t="str">
            <v>Boulon 10x50+ 2 long đền vuông D12-50x50x3/Zn</v>
          </cell>
        </row>
        <row r="21">
          <cell r="A21" t="str">
            <v>B10250</v>
          </cell>
          <cell r="C21" t="str">
            <v>Boulon 10x250+ 2 long đền vuông D14-50x50x3/Zn</v>
          </cell>
        </row>
        <row r="22">
          <cell r="A22" t="str">
            <v>B1230</v>
          </cell>
          <cell r="C22" t="str">
            <v>Boulon 12x30+ 2 long đền vuông D14-50x50x3/Zn</v>
          </cell>
        </row>
        <row r="23">
          <cell r="A23" t="str">
            <v>B1240</v>
          </cell>
          <cell r="C23" t="str">
            <v>Boulon 12x40+ 2 long đền vuông D14-50x50x3/Zn</v>
          </cell>
        </row>
        <row r="24">
          <cell r="A24" t="str">
            <v>B1250</v>
          </cell>
          <cell r="C24" t="str">
            <v>Boulon 12x50+ 2 long đền vuông D14-50x50x3/Zn</v>
          </cell>
        </row>
        <row r="25">
          <cell r="A25" t="str">
            <v>B1260</v>
          </cell>
          <cell r="C25" t="str">
            <v>Boulon 12x60+ 2 long đền vuông D14-50x50x3/Zn</v>
          </cell>
        </row>
        <row r="26">
          <cell r="A26" t="str">
            <v>B1280</v>
          </cell>
          <cell r="C26" t="str">
            <v>Boulon 12x80+ 2 long đền vuông D14-50x50x3/Zn</v>
          </cell>
        </row>
        <row r="27">
          <cell r="A27" t="str">
            <v>B12100</v>
          </cell>
          <cell r="C27" t="str">
            <v>Boulon 12x100+ 2 long đền vuông D14-50x50x3/Zn</v>
          </cell>
        </row>
        <row r="28">
          <cell r="A28" t="str">
            <v>B12150</v>
          </cell>
          <cell r="C28" t="str">
            <v>Boulon 12x150+ 2 long đền vuông D14-50x50x3/Zn</v>
          </cell>
        </row>
        <row r="29">
          <cell r="A29" t="str">
            <v>B12200</v>
          </cell>
          <cell r="C29" t="str">
            <v>Boulon 12x200+ 2 long đền vuông D14-50x50x3/Zn</v>
          </cell>
        </row>
        <row r="30">
          <cell r="A30" t="str">
            <v>B1230TH</v>
          </cell>
          <cell r="C30" t="str">
            <v>Boulon thau 12x30 + 2 long đền vuông D14-50x50x3/Zn</v>
          </cell>
        </row>
        <row r="31">
          <cell r="A31" t="str">
            <v>B1240TH</v>
          </cell>
          <cell r="C31" t="str">
            <v>Boulon thau 12x40 + 2 long đền vuông D14-50x50x3/Zn</v>
          </cell>
        </row>
        <row r="32">
          <cell r="A32" t="str">
            <v>B1250TH</v>
          </cell>
          <cell r="C32" t="str">
            <v>Boulon thau 12x50 + 2 long đền vuông D14-50x50x3/Zn</v>
          </cell>
        </row>
        <row r="33">
          <cell r="A33" t="str">
            <v>B14100</v>
          </cell>
          <cell r="C33" t="str">
            <v>Boulon 14x100+ 2 long đền vuông D16-50x50x3/Zn</v>
          </cell>
        </row>
        <row r="34">
          <cell r="A34" t="str">
            <v>B14150</v>
          </cell>
          <cell r="C34" t="str">
            <v>Boulon 14x150+ 2 long đền vuông D16-50x50x3/Zn</v>
          </cell>
        </row>
        <row r="35">
          <cell r="A35" t="str">
            <v>B1635</v>
          </cell>
          <cell r="C35" t="str">
            <v>Boulon 16x35+ 2 long đền vuông D18-50x50x3/Zn</v>
          </cell>
        </row>
        <row r="36">
          <cell r="A36" t="str">
            <v>B1640</v>
          </cell>
          <cell r="C36" t="str">
            <v>Boulon 16x40+ 2 long đền vuông D18-50x50x3/Zn</v>
          </cell>
        </row>
        <row r="37">
          <cell r="A37" t="str">
            <v>B1650</v>
          </cell>
          <cell r="C37" t="str">
            <v>Boulon 16x50+ 2 long đền vuông D18-50x50x3/Zn</v>
          </cell>
        </row>
        <row r="38">
          <cell r="A38" t="str">
            <v>B1680</v>
          </cell>
          <cell r="C38" t="str">
            <v>Boulon 16x80+ 2 long đền vuông D18-50x50x3/Zn</v>
          </cell>
        </row>
        <row r="39">
          <cell r="A39" t="str">
            <v>B16100</v>
          </cell>
          <cell r="C39" t="str">
            <v>Boulon 16x100+ 2 long đền vuông D18-50x50x3/Zn</v>
          </cell>
        </row>
        <row r="40">
          <cell r="A40" t="str">
            <v>B16150</v>
          </cell>
          <cell r="C40" t="str">
            <v>Boulon 16x150+ 2 long đền vuông D18-50x50x3/Zn</v>
          </cell>
        </row>
        <row r="41">
          <cell r="A41" t="str">
            <v>B16200</v>
          </cell>
          <cell r="C41" t="str">
            <v>Boulon 16x200+ 2 long đền vuông D18-50x50x3/Zn</v>
          </cell>
        </row>
        <row r="42">
          <cell r="A42" t="str">
            <v>B16230</v>
          </cell>
          <cell r="C42" t="str">
            <v>Boulon 16x230/80+ 2 long đền vuông D18-50x50x3/Zn</v>
          </cell>
        </row>
        <row r="43">
          <cell r="A43" t="str">
            <v>B16240</v>
          </cell>
          <cell r="C43" t="str">
            <v>Boulon 16x240/80+ 2 long đền vuông D18-50x50x3/Zn</v>
          </cell>
        </row>
        <row r="44">
          <cell r="A44" t="str">
            <v>B16250</v>
          </cell>
          <cell r="C44" t="str">
            <v>Boulon 16x250+ 2 long đền vuông D18-50x50x3/Zn</v>
          </cell>
        </row>
        <row r="45">
          <cell r="A45" t="str">
            <v>B16260</v>
          </cell>
          <cell r="C45" t="str">
            <v>Boulon 16x260/80+ 2 long đền vuông D18-50x50x3/Zn</v>
          </cell>
        </row>
        <row r="46">
          <cell r="A46" t="str">
            <v>B16270</v>
          </cell>
          <cell r="C46" t="str">
            <v>Boulon 16x270/80+ 2 long đền vuông D18-50x50x3/Zn</v>
          </cell>
        </row>
        <row r="47">
          <cell r="A47" t="str">
            <v>B16280</v>
          </cell>
          <cell r="C47" t="str">
            <v>Boulon 16x280/80+ 2 long đền vuông D18-50x50x3/Zn</v>
          </cell>
        </row>
        <row r="48">
          <cell r="A48" t="str">
            <v>B16300</v>
          </cell>
          <cell r="C48" t="str">
            <v>Boulon 16x300+ 2 long đền vuông D18-50x50x3/Zn</v>
          </cell>
        </row>
        <row r="49">
          <cell r="A49" t="str">
            <v>B16320</v>
          </cell>
          <cell r="C49" t="str">
            <v>Boulon 16x320+ 2 long đền vuông D18-50x50x3/Zn</v>
          </cell>
        </row>
        <row r="50">
          <cell r="A50" t="str">
            <v>B16350</v>
          </cell>
          <cell r="C50" t="str">
            <v>Boulon 16x350+ 2 long đền vuông D18-50x50x3/Zn</v>
          </cell>
        </row>
        <row r="51">
          <cell r="A51" t="str">
            <v>B16400</v>
          </cell>
          <cell r="C51" t="str">
            <v>Boulon 16x400+ 2 long đền vuông D18-50x50x3/Zn</v>
          </cell>
        </row>
        <row r="52">
          <cell r="A52" t="str">
            <v>B16450</v>
          </cell>
          <cell r="C52" t="str">
            <v>Boulon 16x450+ 2 long đền vuông D18-50x50x3/Zn</v>
          </cell>
        </row>
        <row r="53">
          <cell r="A53" t="str">
            <v>B16500</v>
          </cell>
          <cell r="C53" t="str">
            <v>Boulon 16x500+ 2 long đền vuông D18-50x50x3/Zn</v>
          </cell>
        </row>
        <row r="54">
          <cell r="A54" t="str">
            <v>B16600</v>
          </cell>
          <cell r="C54" t="str">
            <v>Boulon 16x600+ 2 long đền vuông D18-50x50x3/Zn</v>
          </cell>
        </row>
        <row r="55">
          <cell r="A55" t="str">
            <v>B1680V</v>
          </cell>
          <cell r="C55" t="str">
            <v>Boulon 16x80VRS+ 4 long đền vuông D18-50x50x3/Zn</v>
          </cell>
        </row>
        <row r="56">
          <cell r="A56" t="str">
            <v>B16100V</v>
          </cell>
          <cell r="C56" t="str">
            <v>Boulon 16x100VRS+ 4 long đền vuông D18-50x50x3/Zn</v>
          </cell>
        </row>
        <row r="57">
          <cell r="A57" t="str">
            <v>B16200V</v>
          </cell>
          <cell r="C57" t="str">
            <v>Boulon 16x200VRS+ 4 long đền vuông D18-50x50x3/Zn</v>
          </cell>
        </row>
        <row r="58">
          <cell r="A58" t="str">
            <v>B16250V</v>
          </cell>
          <cell r="C58" t="str">
            <v>Boulon 16x250VRS+ 4 long đền vuông D18-50x50x3/Zn</v>
          </cell>
        </row>
        <row r="59">
          <cell r="A59" t="str">
            <v>B16300V</v>
          </cell>
          <cell r="C59" t="str">
            <v>Boulon 16x300VRS+ 4 long đền vuông D18-50x50x3/Zn</v>
          </cell>
        </row>
        <row r="60">
          <cell r="A60" t="str">
            <v>B16350V</v>
          </cell>
          <cell r="C60" t="str">
            <v>Boulon 16x350VRS+ 4 long đền vuông D18-50x50x3/Zn</v>
          </cell>
        </row>
        <row r="61">
          <cell r="A61" t="str">
            <v>B16400v</v>
          </cell>
          <cell r="C61" t="str">
            <v>Boulon 16x400VRS+ 4 long đền vuông D18-50x50x3/Zn</v>
          </cell>
        </row>
        <row r="62">
          <cell r="A62" t="str">
            <v>B16500V</v>
          </cell>
          <cell r="C62" t="str">
            <v>Boulon 16x500VRS+ 4 long đền vuông D18-50x50x3/Zn</v>
          </cell>
        </row>
        <row r="63">
          <cell r="A63" t="str">
            <v>B16450V</v>
          </cell>
          <cell r="C63" t="str">
            <v>Boulon 16x450VRS+ 4 long đền vuông D18-50x50x3/Zn</v>
          </cell>
        </row>
        <row r="64">
          <cell r="A64" t="str">
            <v>B16550V</v>
          </cell>
          <cell r="C64" t="str">
            <v>Boulon 16x550VRS+ 4 long đền vuông D18-50x50x3/Zn</v>
          </cell>
        </row>
        <row r="65">
          <cell r="A65" t="str">
            <v>B16550</v>
          </cell>
          <cell r="C65" t="str">
            <v>Boulon 16x550+ long đền vuông D18-50x50x3/Zn</v>
          </cell>
        </row>
        <row r="66">
          <cell r="A66" t="str">
            <v>B16600V</v>
          </cell>
          <cell r="C66" t="str">
            <v>Boulon 16x600VRS+ 4 long đền vuông D18-50x50x3/Zn</v>
          </cell>
        </row>
        <row r="67">
          <cell r="A67" t="str">
            <v>B16650V</v>
          </cell>
          <cell r="C67" t="str">
            <v>Boulon 16x650VRS+ 4 long đền vuông D18-50x50x3/Zn</v>
          </cell>
        </row>
        <row r="68">
          <cell r="A68" t="str">
            <v>B16700V</v>
          </cell>
          <cell r="C68" t="str">
            <v>Boulon 16x700VRS+ 4 long đền vuông D18-50x50x3/Zn</v>
          </cell>
        </row>
        <row r="69">
          <cell r="A69" t="str">
            <v>B22260</v>
          </cell>
          <cell r="C69" t="str">
            <v>Boulon 22x260+ 2 long đền vuông D24-50x50x3/Zn</v>
          </cell>
        </row>
        <row r="70">
          <cell r="A70" t="str">
            <v>B22450</v>
          </cell>
          <cell r="C70" t="str">
            <v>Boulon 22x450+ 2 long đền vuông D24-50x50x3/Zn</v>
          </cell>
        </row>
        <row r="71">
          <cell r="A71" t="str">
            <v>B22500</v>
          </cell>
          <cell r="C71" t="str">
            <v>Boulon 22x500+ 2 long đền vuông D24-50x50x3/Zn</v>
          </cell>
        </row>
        <row r="72">
          <cell r="A72" t="str">
            <v>B22550</v>
          </cell>
          <cell r="C72" t="str">
            <v>Boulon 22x550/100+ 2 long đền vuông D24-50x50x3/Zn</v>
          </cell>
        </row>
        <row r="73">
          <cell r="A73" t="str">
            <v>B22600</v>
          </cell>
          <cell r="B73" t="str">
            <v xml:space="preserve"> </v>
          </cell>
          <cell r="C73" t="str">
            <v>Boulon 22x600+ 2 long đền vuông D24-50x50x3/Zn</v>
          </cell>
        </row>
        <row r="74">
          <cell r="A74" t="str">
            <v>B22650</v>
          </cell>
          <cell r="C74" t="str">
            <v>Boulon 22x650+ 2 long đền vuông D24-50x50x3/Zn</v>
          </cell>
        </row>
        <row r="75">
          <cell r="A75" t="str">
            <v>B22700</v>
          </cell>
          <cell r="C75" t="str">
            <v>Boulon 22x700+ 2 long đền vuông D24-50x50x3/Zn</v>
          </cell>
        </row>
        <row r="76">
          <cell r="A76" t="str">
            <v>B22750</v>
          </cell>
          <cell r="C76" t="str">
            <v>Boulon 22x750+ 2 long đền vuông D24-50x50x3/Zn</v>
          </cell>
        </row>
        <row r="77">
          <cell r="A77" t="str">
            <v>B22800</v>
          </cell>
          <cell r="C77" t="str">
            <v>Boulon 22x800+ 2 long đền vuông D24-50x50x3/Zn</v>
          </cell>
        </row>
        <row r="78">
          <cell r="A78" t="str">
            <v>B22850</v>
          </cell>
          <cell r="C78" t="str">
            <v>Boulon 22x850+ 2 long đền vuông D24-50x50x3/Zn</v>
          </cell>
        </row>
        <row r="79">
          <cell r="A79" t="str">
            <v>B221000</v>
          </cell>
          <cell r="C79" t="str">
            <v>Boulon 22x1000+ 2 long đền vuông D24-50x50x3/Zn</v>
          </cell>
        </row>
        <row r="80">
          <cell r="A80" t="str">
            <v>B22500C</v>
          </cell>
          <cell r="C80" t="str">
            <v>Boulon 22x500/150 chẻ đuôi cá + 2 long đền vuông D24-50x50x3/Zn</v>
          </cell>
        </row>
        <row r="81">
          <cell r="A81" t="str">
            <v>B30800</v>
          </cell>
          <cell r="C81" t="str">
            <v>Boulon 30x800+ 2 long đền vuông D18-50x50x3/Zn</v>
          </cell>
        </row>
        <row r="82">
          <cell r="A82" t="str">
            <v>B301000</v>
          </cell>
          <cell r="C82" t="str">
            <v>Boulon 30x1000+ 2 long đền vuông D18-50x50x3/Zn</v>
          </cell>
        </row>
        <row r="83">
          <cell r="A83" t="str">
            <v>BM16230</v>
          </cell>
          <cell r="C83" t="str">
            <v>Boulon mắt 16x230+ 2 long đền vuông D18-50x50x3/Zn</v>
          </cell>
        </row>
        <row r="84">
          <cell r="A84" t="str">
            <v>BM16250</v>
          </cell>
          <cell r="C84" t="str">
            <v>Boulon mắt 16x250+ 2 long đền vuông D18-50x50x3/Zn</v>
          </cell>
        </row>
        <row r="85">
          <cell r="A85" t="str">
            <v>BM16300</v>
          </cell>
          <cell r="C85" t="str">
            <v>Boulon mắt 16x300+ 2 long đền vuông D18-50x50x3/Zn</v>
          </cell>
        </row>
        <row r="86">
          <cell r="A86" t="str">
            <v>BM16350</v>
          </cell>
          <cell r="C86" t="str">
            <v>Boulon mắt 16x350+ 2 long đền vuông D18-50x50x3/Zn</v>
          </cell>
        </row>
        <row r="87">
          <cell r="A87" t="str">
            <v>BMOC16250</v>
          </cell>
          <cell r="C87" t="str">
            <v>Boulon móc 16x250+ long đền vuông D18-50x50x3/Zn</v>
          </cell>
        </row>
        <row r="88">
          <cell r="A88" t="str">
            <v>BMOC16300</v>
          </cell>
          <cell r="C88" t="str">
            <v>Boulon móc 16x300+ long đền vuông D18-50x50x3/Zn</v>
          </cell>
        </row>
        <row r="89">
          <cell r="A89" t="str">
            <v>BulonVRS + ĐO</v>
          </cell>
          <cell r="C89" t="str">
            <v>Boulon 16x500VRS + đai ốc mắt + 2 long đền vuông D18-50x50x3/Zn</v>
          </cell>
        </row>
        <row r="90">
          <cell r="A90" t="str">
            <v>LD tron</v>
          </cell>
          <cell r="C90" t="str">
            <v>Long đền tròn 12-14-16-18</v>
          </cell>
        </row>
        <row r="91">
          <cell r="A91" t="str">
            <v>LD 40</v>
          </cell>
          <cell r="C91" t="str">
            <v>Long đền vuông 14-22 (50x50x3)</v>
          </cell>
        </row>
        <row r="92">
          <cell r="A92" t="str">
            <v>LD 60</v>
          </cell>
          <cell r="C92" t="str">
            <v>Long đền vuông 18-24 (60x60x6)</v>
          </cell>
        </row>
        <row r="93">
          <cell r="A93" t="str">
            <v>BATLI</v>
          </cell>
          <cell r="C93" t="str">
            <v>Bass LI bắt FCO</v>
          </cell>
        </row>
        <row r="94">
          <cell r="A94" t="str">
            <v>BATLA</v>
          </cell>
          <cell r="C94" t="str">
            <v>Bass LI bắt LA</v>
          </cell>
        </row>
        <row r="95">
          <cell r="A95" t="str">
            <v>BATLL</v>
          </cell>
          <cell r="C95" t="str">
            <v>Bass LL bắt FCO, LA</v>
          </cell>
        </row>
        <row r="96">
          <cell r="A96" t="str">
            <v>CT25</v>
          </cell>
          <cell r="B96" t="str">
            <v>04.5142</v>
          </cell>
          <cell r="C96" t="str">
            <v>Cừ tràm 2,5m</v>
          </cell>
        </row>
        <row r="97">
          <cell r="A97" t="str">
            <v>CT3</v>
          </cell>
          <cell r="B97" t="str">
            <v>04.5142</v>
          </cell>
          <cell r="C97" t="str">
            <v>Cừ tràm 3m</v>
          </cell>
        </row>
        <row r="98">
          <cell r="A98" t="str">
            <v>cong 1</v>
          </cell>
          <cell r="B98" t="str">
            <v>04.5142</v>
          </cell>
          <cell r="C98" t="str">
            <v>Cong D1000x1000mm</v>
          </cell>
        </row>
        <row r="99">
          <cell r="A99" t="str">
            <v>cong 2</v>
          </cell>
          <cell r="B99" t="str">
            <v>04.5142</v>
          </cell>
          <cell r="C99" t="str">
            <v>Cong D1000x400mm</v>
          </cell>
        </row>
        <row r="100">
          <cell r="A100" t="str">
            <v>CT5</v>
          </cell>
          <cell r="B100" t="str">
            <v>04.5142</v>
          </cell>
          <cell r="C100" t="str">
            <v>Cừ tràm 5m</v>
          </cell>
        </row>
        <row r="101">
          <cell r="A101" t="str">
            <v>MongTB</v>
          </cell>
          <cell r="C101" t="str">
            <v>Móng đặt tủ bù (0,2x0,2x0,4)x4 móng</v>
          </cell>
        </row>
        <row r="102">
          <cell r="A102" t="str">
            <v>M11</v>
          </cell>
          <cell r="C102" t="str">
            <v>Cáp đồng trần M11mm2</v>
          </cell>
        </row>
        <row r="103">
          <cell r="A103" t="str">
            <v>M22</v>
          </cell>
          <cell r="C103" t="str">
            <v>Cáp đồng trần M22mm2</v>
          </cell>
        </row>
        <row r="104">
          <cell r="A104" t="str">
            <v>M25</v>
          </cell>
          <cell r="C104" t="str">
            <v>Cáp đồng trần M25mm2</v>
          </cell>
        </row>
        <row r="105">
          <cell r="A105" t="str">
            <v>M38</v>
          </cell>
          <cell r="C105" t="str">
            <v>Cáp đồng trần M38mm2</v>
          </cell>
        </row>
        <row r="106">
          <cell r="A106" t="str">
            <v>MTBU</v>
          </cell>
          <cell r="C106" t="str">
            <v>Bộ móng tủ bù 0,2x0,2x0,4x4móng</v>
          </cell>
        </row>
        <row r="107">
          <cell r="A107" t="str">
            <v>M50</v>
          </cell>
          <cell r="C107" t="str">
            <v>Cáp đồng trần M50mm2</v>
          </cell>
        </row>
        <row r="108">
          <cell r="A108" t="str">
            <v>XLPE22</v>
          </cell>
          <cell r="C108" t="str">
            <v>Cáp 24KV C/XLPE/PVC 22mm2</v>
          </cell>
        </row>
        <row r="109">
          <cell r="A109" t="str">
            <v>XLPE25</v>
          </cell>
          <cell r="C109" t="str">
            <v>Cáp 24KV C/XLPE/PVC 25mm2</v>
          </cell>
        </row>
        <row r="110">
          <cell r="A110" t="str">
            <v>XLPE35</v>
          </cell>
          <cell r="C110" t="str">
            <v>Cáp 24KV C/XLPE/PVC 35mm2</v>
          </cell>
        </row>
        <row r="111">
          <cell r="A111" t="str">
            <v>XLPE50</v>
          </cell>
          <cell r="C111" t="str">
            <v>Cáp 24KV C/XLPE/PVC 50mm2</v>
          </cell>
        </row>
        <row r="112">
          <cell r="A112" t="str">
            <v>XLPE70</v>
          </cell>
          <cell r="C112" t="str">
            <v>Cáp 24KV C/XLPE/PVC 70mm2</v>
          </cell>
        </row>
        <row r="113">
          <cell r="A113" t="str">
            <v>XLPE95</v>
          </cell>
          <cell r="C113" t="str">
            <v>Cáp 24KV C/XLPE/PVC 95mm2</v>
          </cell>
        </row>
        <row r="114">
          <cell r="A114" t="str">
            <v>XLPE120</v>
          </cell>
          <cell r="C114" t="str">
            <v>Cáp 24KV C/XLPE/PVC 120mm2</v>
          </cell>
        </row>
        <row r="115">
          <cell r="A115" t="str">
            <v>XLPE150</v>
          </cell>
          <cell r="C115" t="str">
            <v>Cáp 24KV C/XLPE/PVC 150mm2</v>
          </cell>
        </row>
        <row r="116">
          <cell r="A116" t="str">
            <v>XLPE185</v>
          </cell>
          <cell r="C116" t="str">
            <v>Cáp 24KV C/XLPE/PVC 185mm2</v>
          </cell>
        </row>
        <row r="117">
          <cell r="A117" t="str">
            <v>XLPE240</v>
          </cell>
          <cell r="C117" t="str">
            <v>Cáp 24KV C/XLPE/PVC 240mm2</v>
          </cell>
        </row>
        <row r="118">
          <cell r="A118" t="str">
            <v>XLPE250</v>
          </cell>
          <cell r="C118" t="str">
            <v>Cáp 24KV C/XLPE/PVC 250mm2</v>
          </cell>
        </row>
        <row r="119">
          <cell r="A119" t="str">
            <v>XLPE25A</v>
          </cell>
          <cell r="C119" t="str">
            <v>Cáp 24KV A/XLPE/PVC 25mm2</v>
          </cell>
        </row>
        <row r="120">
          <cell r="A120" t="str">
            <v>XLPE35A</v>
          </cell>
          <cell r="C120" t="str">
            <v>Cáp 24KV A/XLPE/PVC 35mm2</v>
          </cell>
        </row>
        <row r="121">
          <cell r="A121" t="str">
            <v>XLPE50A</v>
          </cell>
          <cell r="C121" t="str">
            <v>Cáp 24KV A/XLPE/PVC 50mm2</v>
          </cell>
        </row>
        <row r="122">
          <cell r="A122" t="str">
            <v>XLPE70A</v>
          </cell>
          <cell r="C122" t="str">
            <v>Cáp 24KV A/XLPE/PVC 70mm2</v>
          </cell>
        </row>
        <row r="123">
          <cell r="A123" t="str">
            <v>XLPE95A</v>
          </cell>
          <cell r="C123" t="str">
            <v>Cáp 24KV A/XLPE/PVC 95mm2</v>
          </cell>
        </row>
        <row r="124">
          <cell r="A124" t="str">
            <v>XLPE120A</v>
          </cell>
          <cell r="C124" t="str">
            <v>Cáp 24KV A/XLPE/PVC 120mm2</v>
          </cell>
        </row>
        <row r="125">
          <cell r="A125" t="str">
            <v>XLPE150A</v>
          </cell>
          <cell r="C125" t="str">
            <v>Cáp 24KV A/XLPE/PVC 150mm2</v>
          </cell>
        </row>
        <row r="126">
          <cell r="A126" t="str">
            <v>XLPE185A</v>
          </cell>
          <cell r="C126" t="str">
            <v>Cáp 24KV A/XLPE/PVC 185mm2</v>
          </cell>
        </row>
        <row r="127">
          <cell r="A127" t="str">
            <v>XLPE240A</v>
          </cell>
          <cell r="C127" t="str">
            <v>Cáp 24KV A/XLPE/PVC 240mm2</v>
          </cell>
        </row>
        <row r="128">
          <cell r="A128" t="str">
            <v>XLPE211HT</v>
          </cell>
          <cell r="C128" t="str">
            <v>Cáp C/XLPE/PVC -0.6/1kV-2x11mm2</v>
          </cell>
        </row>
        <row r="129">
          <cell r="A129" t="str">
            <v>XLPE216HT</v>
          </cell>
          <cell r="C129" t="str">
            <v>Cáp C/XLPE/PVC -0.6/1kV-2x16mm2</v>
          </cell>
        </row>
        <row r="130">
          <cell r="A130" t="str">
            <v>XLPE316HT</v>
          </cell>
          <cell r="C130" t="str">
            <v>Cáp C/XLPE/PVC -0.6/1kV-3x16mm2</v>
          </cell>
        </row>
        <row r="131">
          <cell r="A131" t="str">
            <v>XLPE350HT</v>
          </cell>
          <cell r="C131" t="str">
            <v>Cáp C/XLPE/PVC -0.6/1kV-3x50mm2</v>
          </cell>
        </row>
        <row r="132">
          <cell r="A132" t="str">
            <v>XLPE416HT</v>
          </cell>
          <cell r="C132" t="str">
            <v>Cáp C/XLPE/PVC -0.6/1kV-4x16mm2</v>
          </cell>
        </row>
        <row r="133">
          <cell r="A133" t="str">
            <v>XLPE316+10HT</v>
          </cell>
          <cell r="C133" t="str">
            <v>Cáp C/XLPE/PVC -0.6/1kV-3x16+10mm2</v>
          </cell>
        </row>
        <row r="134">
          <cell r="A134" t="str">
            <v>XLPE350+35HT</v>
          </cell>
          <cell r="C134" t="str">
            <v>Cáp C/XLPE/PVC -0.6/1kV-3x50+35mm2</v>
          </cell>
        </row>
        <row r="135">
          <cell r="A135" t="str">
            <v>XLPE370+50HT</v>
          </cell>
          <cell r="C135" t="str">
            <v>Cáp C/XLPE/PVC -0.6/1kV-3x70+50mm2</v>
          </cell>
        </row>
        <row r="136">
          <cell r="A136" t="str">
            <v>XLPE395+50HT</v>
          </cell>
          <cell r="C136" t="str">
            <v>Cáp C/XLPE/PVC -0.6/1kV-3x95+50mm2</v>
          </cell>
        </row>
        <row r="137">
          <cell r="A137" t="str">
            <v>XLPE3120+70HT</v>
          </cell>
          <cell r="C137" t="str">
            <v>Cáp C/XLPE/PVC -0.6/1kV-3x120+70mm2</v>
          </cell>
        </row>
        <row r="138">
          <cell r="A138" t="str">
            <v>XLPE3150+95HT</v>
          </cell>
          <cell r="C138" t="str">
            <v>Cáp C/XLPE/PVC -0.6/1kV-3x150+95mm2</v>
          </cell>
        </row>
        <row r="139">
          <cell r="A139" t="str">
            <v>XLPE3185+120HT</v>
          </cell>
          <cell r="C139" t="str">
            <v>Cáp C/XLPE/PVC -0.6/1kV-3x185+120mm2</v>
          </cell>
        </row>
        <row r="140">
          <cell r="A140" t="str">
            <v>XLPE350+35DHT</v>
          </cell>
          <cell r="C140" t="str">
            <v>Cáp C/XLPE/DSTA/PVC -0.6/1kV-3x50+35mm2</v>
          </cell>
        </row>
        <row r="141">
          <cell r="A141" t="str">
            <v>XLPE370+35DHT</v>
          </cell>
          <cell r="C141" t="str">
            <v>Cáp C/XLPE/DSTA/PVC -0.6/1kV-3x70+35mm2</v>
          </cell>
        </row>
        <row r="142">
          <cell r="A142" t="str">
            <v>XLPE325D</v>
          </cell>
          <cell r="C142" t="str">
            <v>Cáp 24kV C/XLPE/DSTA/PVC3x25</v>
          </cell>
        </row>
        <row r="143">
          <cell r="A143" t="str">
            <v>XLPE350D</v>
          </cell>
          <cell r="C143" t="str">
            <v>Cáp 24kV C/XLPE/DSTA/PVC3x50</v>
          </cell>
        </row>
        <row r="144">
          <cell r="A144" t="str">
            <v>XLPE370D</v>
          </cell>
          <cell r="C144" t="str">
            <v>Cáp 24kV C/XLPE/DSTA/PVC3x70mm2</v>
          </cell>
        </row>
        <row r="145">
          <cell r="A145" t="str">
            <v>XLPE395D</v>
          </cell>
          <cell r="C145" t="str">
            <v>Cáp 24kV C/XLPE/DSTA/PVC3x95mm2</v>
          </cell>
        </row>
        <row r="146">
          <cell r="A146" t="str">
            <v>XLPE3120D</v>
          </cell>
          <cell r="C146" t="str">
            <v>Cáp 24kV C/XLPE/DSTA/PVC3x120mm2</v>
          </cell>
        </row>
        <row r="147">
          <cell r="A147" t="str">
            <v>XLPE3150D</v>
          </cell>
          <cell r="C147" t="str">
            <v>Cáp 24kV C/XLPE/DSTA/PVC3x150mm2</v>
          </cell>
        </row>
        <row r="148">
          <cell r="A148" t="str">
            <v>XLPE3185D</v>
          </cell>
          <cell r="C148" t="str">
            <v>Cáp 24kV C/XLPE/DSTA/PVC3x185mm2</v>
          </cell>
        </row>
        <row r="149">
          <cell r="A149" t="str">
            <v>XLPE3240D</v>
          </cell>
          <cell r="C149" t="str">
            <v>Cáp 24kV C/XLPE/DSTA/PVC3x240mm2</v>
          </cell>
        </row>
        <row r="150">
          <cell r="A150" t="str">
            <v>XLPE200HT</v>
          </cell>
          <cell r="C150" t="str">
            <v>Cáp 0,6/1KV C/XLPE/PVC 200mm2</v>
          </cell>
        </row>
        <row r="151">
          <cell r="A151" t="str">
            <v>XLPE240HT</v>
          </cell>
          <cell r="C151" t="str">
            <v>Cáp 0,6/1KV C/XLPE/PVC 240mm2</v>
          </cell>
        </row>
        <row r="152">
          <cell r="A152" t="str">
            <v>XLPE250HT</v>
          </cell>
          <cell r="C152" t="str">
            <v>Cáp 0,6/1KV C/XLPE/PVC 250mm2</v>
          </cell>
        </row>
        <row r="153">
          <cell r="A153" t="str">
            <v>XLPE300HT</v>
          </cell>
          <cell r="C153" t="str">
            <v>Cáp 0,6/1KV C/XLPE/PVC 300mm2</v>
          </cell>
        </row>
        <row r="154">
          <cell r="A154" t="str">
            <v>ACKP35</v>
          </cell>
          <cell r="C154" t="str">
            <v>Cáp nhôm lõi thép ACKP-35/6,2</v>
          </cell>
        </row>
        <row r="155">
          <cell r="A155" t="str">
            <v>ACKP50</v>
          </cell>
          <cell r="C155" t="str">
            <v>Cáp nhôm lõi thép ACKP-50/8</v>
          </cell>
        </row>
        <row r="156">
          <cell r="A156" t="str">
            <v>ACKP70</v>
          </cell>
          <cell r="C156" t="str">
            <v>Cáp nhôm lõi thép ACKP-70/11</v>
          </cell>
        </row>
        <row r="157">
          <cell r="A157" t="str">
            <v>ACKP95</v>
          </cell>
          <cell r="C157" t="str">
            <v>Cáp nhôm lõi thép ACKP-95/16</v>
          </cell>
        </row>
        <row r="158">
          <cell r="A158" t="str">
            <v>ACKP120</v>
          </cell>
          <cell r="C158" t="str">
            <v>Cáp nhôm lõi thép ACKP-120/19</v>
          </cell>
        </row>
        <row r="159">
          <cell r="A159" t="str">
            <v>ACKP150</v>
          </cell>
          <cell r="C159" t="str">
            <v>Cáp nhôm lõi thép ACKP-150/24</v>
          </cell>
        </row>
        <row r="160">
          <cell r="A160" t="str">
            <v>ACKP185</v>
          </cell>
          <cell r="C160" t="str">
            <v>Cáp nhôm lõi thép ACKP-185/29</v>
          </cell>
        </row>
        <row r="161">
          <cell r="A161" t="str">
            <v>ACKP240</v>
          </cell>
          <cell r="C161" t="str">
            <v>Cáp nhôm lõi thép ACKP-240/32</v>
          </cell>
        </row>
        <row r="162">
          <cell r="A162" t="str">
            <v>ACXV150</v>
          </cell>
          <cell r="C162" t="str">
            <v>Cáp nhôm lõi thép bọc 24KV AC/XLPE/PVC150 mm2</v>
          </cell>
        </row>
        <row r="163">
          <cell r="A163" t="str">
            <v>ACXV50</v>
          </cell>
          <cell r="C163" t="str">
            <v>Cáp 24KV ACX 50mm2</v>
          </cell>
        </row>
        <row r="164">
          <cell r="A164" t="str">
            <v>AC35</v>
          </cell>
          <cell r="C164" t="str">
            <v>Cáp nhôm lõi thép AC-35/6,2</v>
          </cell>
        </row>
        <row r="165">
          <cell r="A165" t="str">
            <v>AC50</v>
          </cell>
          <cell r="C165" t="str">
            <v>Cáp nhôm lõi thép AC-50/8</v>
          </cell>
        </row>
        <row r="166">
          <cell r="A166" t="str">
            <v>AC70</v>
          </cell>
          <cell r="C166" t="str">
            <v>Cáp nhôm lõi thép AC-70/11</v>
          </cell>
        </row>
        <row r="167">
          <cell r="A167" t="str">
            <v>AC95</v>
          </cell>
          <cell r="C167" t="str">
            <v>Cáp nhôm lõi thép AC-95/16</v>
          </cell>
        </row>
        <row r="168">
          <cell r="A168" t="str">
            <v>AC120</v>
          </cell>
          <cell r="C168" t="str">
            <v>Cáp nhôm lõi thép AC-120/19</v>
          </cell>
        </row>
        <row r="169">
          <cell r="A169" t="str">
            <v>AC150</v>
          </cell>
          <cell r="C169" t="str">
            <v>Cáp nhôm lõi thép AC-150/24</v>
          </cell>
        </row>
        <row r="170">
          <cell r="A170" t="str">
            <v>AC185</v>
          </cell>
          <cell r="C170" t="str">
            <v>Cáp nhôm lõi thép AC-185/29</v>
          </cell>
        </row>
        <row r="171">
          <cell r="A171" t="str">
            <v>AC240</v>
          </cell>
          <cell r="C171" t="str">
            <v>Cáp nhôm lõi thép AC-240/39</v>
          </cell>
        </row>
        <row r="172">
          <cell r="A172" t="str">
            <v>av35</v>
          </cell>
          <cell r="C172" t="str">
            <v>Cáp nhôm bọc AV35</v>
          </cell>
        </row>
        <row r="173">
          <cell r="A173" t="str">
            <v>av50</v>
          </cell>
          <cell r="C173" t="str">
            <v>Cáp nhôm bọc AV50</v>
          </cell>
        </row>
        <row r="174">
          <cell r="A174" t="str">
            <v>av70</v>
          </cell>
          <cell r="C174" t="str">
            <v>Cáp nhôm bọc AV70</v>
          </cell>
        </row>
        <row r="175">
          <cell r="A175" t="str">
            <v>av95</v>
          </cell>
          <cell r="C175" t="str">
            <v>Cáp nhôm bọc AV95</v>
          </cell>
        </row>
        <row r="176">
          <cell r="A176" t="str">
            <v>av120</v>
          </cell>
          <cell r="C176" t="str">
            <v>Cáp nhôm bọc AV120</v>
          </cell>
        </row>
        <row r="177">
          <cell r="A177" t="str">
            <v>av150</v>
          </cell>
          <cell r="C177" t="str">
            <v>Cáp nhôm bọc AV150</v>
          </cell>
        </row>
        <row r="178">
          <cell r="A178" t="str">
            <v>av185</v>
          </cell>
          <cell r="C178" t="str">
            <v>Cáp nhôm bọc AV185</v>
          </cell>
        </row>
        <row r="179">
          <cell r="A179" t="str">
            <v>av240</v>
          </cell>
          <cell r="C179" t="str">
            <v>Cáp nhôm bọc AV240</v>
          </cell>
        </row>
        <row r="180">
          <cell r="A180" t="str">
            <v>av300</v>
          </cell>
          <cell r="C180" t="str">
            <v>Cáp nhôm bọc AV300</v>
          </cell>
        </row>
        <row r="181">
          <cell r="A181" t="str">
            <v>ABC3x50</v>
          </cell>
          <cell r="C181" t="str">
            <v>Cáp nhôm ABC 3x50mm2</v>
          </cell>
        </row>
        <row r="182">
          <cell r="A182" t="str">
            <v>ABC3x70</v>
          </cell>
          <cell r="C182" t="str">
            <v>Cáp nhôm ABC 3x70mm2</v>
          </cell>
        </row>
        <row r="183">
          <cell r="A183" t="str">
            <v>ABC4x50</v>
          </cell>
          <cell r="C183" t="str">
            <v>Cáp nhôm ABC 4x50mm2</v>
          </cell>
        </row>
        <row r="184">
          <cell r="A184" t="str">
            <v>ABC4x70</v>
          </cell>
          <cell r="C184" t="str">
            <v>Cáp nhôm ABC 4x70mm2</v>
          </cell>
        </row>
        <row r="185">
          <cell r="A185" t="str">
            <v>ABC3x95</v>
          </cell>
          <cell r="C185" t="str">
            <v>Cáp nhôm ABC 3x95mm2</v>
          </cell>
        </row>
        <row r="186">
          <cell r="A186" t="str">
            <v>ABC4x95</v>
          </cell>
          <cell r="C186" t="str">
            <v>Cáp nhôm ABC 4x95mm2</v>
          </cell>
        </row>
        <row r="187">
          <cell r="A187" t="str">
            <v>ABC4x120</v>
          </cell>
          <cell r="C187" t="str">
            <v>Cáp nhôm ABC 4x120mm2</v>
          </cell>
        </row>
        <row r="188">
          <cell r="A188" t="str">
            <v>ABC4x150</v>
          </cell>
          <cell r="C188" t="str">
            <v>Cáp nhôm ABC 4x150mm2</v>
          </cell>
        </row>
        <row r="189">
          <cell r="A189" t="str">
            <v>CVV2x2,5</v>
          </cell>
          <cell r="B189" t="str">
            <v>03.1401</v>
          </cell>
          <cell r="C189" t="str">
            <v xml:space="preserve">Cáp CVV 2x2,5mm2  </v>
          </cell>
        </row>
        <row r="190">
          <cell r="A190" t="str">
            <v>CVV316</v>
          </cell>
          <cell r="B190" t="str">
            <v>03.1401</v>
          </cell>
          <cell r="C190" t="str">
            <v>Cáp CVV 3x16mm2</v>
          </cell>
        </row>
        <row r="191">
          <cell r="A191" t="str">
            <v>CVV4X2,5</v>
          </cell>
          <cell r="B191" t="str">
            <v>03.1401</v>
          </cell>
          <cell r="C191" t="str">
            <v xml:space="preserve">Cáp CVV 4x2,5mm2  </v>
          </cell>
        </row>
        <row r="192">
          <cell r="A192" t="str">
            <v>M5M</v>
          </cell>
          <cell r="C192" t="str">
            <v>Dây đồng trần mềm dẹt</v>
          </cell>
        </row>
        <row r="193">
          <cell r="A193" t="str">
            <v>CVV4X4</v>
          </cell>
          <cell r="B193" t="str">
            <v>03.1401</v>
          </cell>
          <cell r="C193" t="str">
            <v xml:space="preserve">Cáp CVV 4x4mm2  </v>
          </cell>
        </row>
        <row r="194">
          <cell r="A194" t="str">
            <v>CV2,5</v>
          </cell>
          <cell r="B194" t="str">
            <v>04.4201</v>
          </cell>
          <cell r="C194" t="str">
            <v>Cáp đồng mềm CV2,5</v>
          </cell>
        </row>
        <row r="195">
          <cell r="A195" t="str">
            <v>cv11</v>
          </cell>
          <cell r="B195" t="str">
            <v>04.4201</v>
          </cell>
          <cell r="C195" t="str">
            <v>Cáp đồng bọc CV11</v>
          </cell>
        </row>
        <row r="196">
          <cell r="A196" t="str">
            <v>cv16</v>
          </cell>
          <cell r="B196" t="str">
            <v>04.4201</v>
          </cell>
          <cell r="C196" t="str">
            <v>Cáp đồng bọc CV16</v>
          </cell>
        </row>
        <row r="197">
          <cell r="A197" t="str">
            <v>cv25</v>
          </cell>
          <cell r="C197" t="str">
            <v>Cáp đồng bọc CV25</v>
          </cell>
        </row>
        <row r="198">
          <cell r="A198" t="str">
            <v>cxv25</v>
          </cell>
          <cell r="C198" t="str">
            <v>Cáp đồng bọc 24KV-CXV-25</v>
          </cell>
        </row>
        <row r="199">
          <cell r="A199" t="str">
            <v>cxv95</v>
          </cell>
          <cell r="C199" t="str">
            <v>Cáp đồng bọc 24KV-CXV-95</v>
          </cell>
        </row>
        <row r="200">
          <cell r="A200" t="str">
            <v>cv35</v>
          </cell>
          <cell r="C200" t="str">
            <v>Cáp đồng bọc CV35</v>
          </cell>
        </row>
        <row r="201">
          <cell r="A201" t="str">
            <v>cv50</v>
          </cell>
          <cell r="C201" t="str">
            <v>Cáp đồng bọc CV50</v>
          </cell>
        </row>
        <row r="202">
          <cell r="A202" t="str">
            <v>cv70</v>
          </cell>
          <cell r="C202" t="str">
            <v>Cáp đồng bọc CV70</v>
          </cell>
        </row>
        <row r="203">
          <cell r="A203" t="str">
            <v>cv95</v>
          </cell>
          <cell r="C203" t="str">
            <v>Cáp đồng bọc CV95</v>
          </cell>
        </row>
        <row r="204">
          <cell r="A204" t="str">
            <v>cv120</v>
          </cell>
          <cell r="C204" t="str">
            <v>Cáp đồng bọc CV120</v>
          </cell>
        </row>
        <row r="205">
          <cell r="A205" t="str">
            <v>cv150</v>
          </cell>
          <cell r="C205" t="str">
            <v>Cáp đồng bọc CV150</v>
          </cell>
        </row>
        <row r="206">
          <cell r="A206" t="str">
            <v>cv185</v>
          </cell>
          <cell r="C206" t="str">
            <v>Cáp đồng bọc CV185</v>
          </cell>
        </row>
        <row r="207">
          <cell r="A207" t="str">
            <v>cv200</v>
          </cell>
          <cell r="C207" t="str">
            <v>Cáp đồng bọc CV200</v>
          </cell>
        </row>
        <row r="208">
          <cell r="A208" t="str">
            <v>cv240</v>
          </cell>
          <cell r="C208" t="str">
            <v>Cáp đồng bọc CV240</v>
          </cell>
        </row>
        <row r="209">
          <cell r="A209" t="str">
            <v>cv250</v>
          </cell>
          <cell r="C209" t="str">
            <v>Cáp đồng bọc CV250</v>
          </cell>
        </row>
        <row r="210">
          <cell r="A210" t="str">
            <v>cv300</v>
          </cell>
          <cell r="C210" t="str">
            <v>Cáp đồng bọc CV300</v>
          </cell>
        </row>
        <row r="211">
          <cell r="A211" t="str">
            <v>cv400</v>
          </cell>
          <cell r="C211" t="str">
            <v>Cáp đồng bọc CV400</v>
          </cell>
        </row>
        <row r="212">
          <cell r="A212" t="str">
            <v>acv35</v>
          </cell>
          <cell r="C212" t="str">
            <v>Cáp nhôm lõi thép ACV35</v>
          </cell>
        </row>
        <row r="213">
          <cell r="A213" t="str">
            <v>acv50</v>
          </cell>
          <cell r="C213" t="str">
            <v>Cáp nhôm lõi thép ACV50</v>
          </cell>
        </row>
        <row r="214">
          <cell r="A214" t="str">
            <v>acv70</v>
          </cell>
          <cell r="C214" t="str">
            <v>Cáp nhôm lõi thép ACV70</v>
          </cell>
        </row>
        <row r="215">
          <cell r="A215" t="str">
            <v>acv95</v>
          </cell>
          <cell r="C215" t="str">
            <v>Cáp nhôm lõi thép ACV95</v>
          </cell>
        </row>
        <row r="216">
          <cell r="A216" t="str">
            <v>acv120</v>
          </cell>
          <cell r="C216" t="str">
            <v>Cáp nhôm lõi thép ACV120</v>
          </cell>
        </row>
        <row r="217">
          <cell r="A217" t="str">
            <v>acv150</v>
          </cell>
          <cell r="C217" t="str">
            <v>Cáp nhôm lõi thép ACV150</v>
          </cell>
        </row>
        <row r="218">
          <cell r="A218" t="str">
            <v>acv185</v>
          </cell>
          <cell r="C218" t="str">
            <v>Cáp nhôm lõi thép ACV185</v>
          </cell>
        </row>
        <row r="219">
          <cell r="A219" t="str">
            <v>acv240</v>
          </cell>
          <cell r="C219" t="str">
            <v>Cáp nhôm lõi thép ACV240</v>
          </cell>
        </row>
        <row r="220">
          <cell r="A220" t="str">
            <v>A35</v>
          </cell>
          <cell r="C220" t="str">
            <v>Cáp nhôm A-35</v>
          </cell>
        </row>
        <row r="221">
          <cell r="A221" t="str">
            <v>A50</v>
          </cell>
          <cell r="C221" t="str">
            <v>Cáp nhôm A-50</v>
          </cell>
        </row>
        <row r="222">
          <cell r="A222" t="str">
            <v>A70</v>
          </cell>
          <cell r="C222" t="str">
            <v>Cáp nhôm A-70</v>
          </cell>
        </row>
        <row r="223">
          <cell r="A223" t="str">
            <v>A95</v>
          </cell>
          <cell r="C223" t="str">
            <v>Cáp nhôm A-95</v>
          </cell>
        </row>
        <row r="224">
          <cell r="A224" t="str">
            <v>A120</v>
          </cell>
          <cell r="C224" t="str">
            <v>Cáp nhôm A-120</v>
          </cell>
        </row>
        <row r="225">
          <cell r="A225" t="str">
            <v>A150</v>
          </cell>
          <cell r="C225" t="str">
            <v>Cáp nhôm A-150</v>
          </cell>
        </row>
        <row r="226">
          <cell r="A226" t="str">
            <v>A185</v>
          </cell>
          <cell r="C226" t="str">
            <v>Cáp nhôm A-185</v>
          </cell>
        </row>
        <row r="227">
          <cell r="A227" t="str">
            <v>A240</v>
          </cell>
          <cell r="C227" t="str">
            <v>Cáp nhôm A-240</v>
          </cell>
        </row>
        <row r="228">
          <cell r="A228" t="str">
            <v>C3/8</v>
          </cell>
          <cell r="C228" t="str">
            <v>Cáp thép 3/8"</v>
          </cell>
        </row>
        <row r="229">
          <cell r="A229" t="str">
            <v>C5/8m</v>
          </cell>
          <cell r="C229" t="str">
            <v>Cáp thép 5/8"</v>
          </cell>
        </row>
        <row r="230">
          <cell r="A230" t="str">
            <v>C5/8</v>
          </cell>
          <cell r="C230" t="str">
            <v>Cáp thép 5/8"</v>
          </cell>
        </row>
        <row r="231">
          <cell r="A231" t="str">
            <v>CSDI</v>
          </cell>
          <cell r="C231" t="str">
            <v>Chân sứ đỉnh thẳng dài 870mm</v>
          </cell>
        </row>
        <row r="232">
          <cell r="A232" t="str">
            <v>CSDG</v>
          </cell>
          <cell r="C232" t="str">
            <v>Chân sứ đỉnh đỡ góc dài 870mm</v>
          </cell>
        </row>
        <row r="233">
          <cell r="A233" t="str">
            <v>CSD</v>
          </cell>
          <cell r="C233" t="str">
            <v>Chân sứ đứng D20</v>
          </cell>
        </row>
        <row r="234">
          <cell r="A234" t="str">
            <v>DAYA</v>
          </cell>
          <cell r="C234" t="str">
            <v xml:space="preserve">Dây nhôm buộc </v>
          </cell>
        </row>
        <row r="235">
          <cell r="A235" t="str">
            <v>DAYA70</v>
          </cell>
          <cell r="C235" t="str">
            <v>Cáp nhôm A-70: buộc cổ sứ</v>
          </cell>
        </row>
        <row r="236">
          <cell r="A236" t="str">
            <v>GDFCO</v>
          </cell>
          <cell r="B236" t="str">
            <v>05.6100</v>
          </cell>
          <cell r="C236" t="str">
            <v>Giá chữ "T" lắp FCO, LA (V63x63x6)</v>
          </cell>
        </row>
        <row r="237">
          <cell r="A237" t="str">
            <v>GUFCO</v>
          </cell>
          <cell r="B237" t="str">
            <v>05.6100</v>
          </cell>
          <cell r="C237" t="str">
            <v>Giá U 80x600 lắp FCO</v>
          </cell>
        </row>
        <row r="238">
          <cell r="A238" t="str">
            <v>GIATFCO</v>
          </cell>
          <cell r="B238" t="str">
            <v>05.6001</v>
          </cell>
          <cell r="C238" t="str">
            <v>Giá chữ "T" lắp FCO, LA (V50x50x5)</v>
          </cell>
        </row>
        <row r="239">
          <cell r="A239" t="str">
            <v>Gianoi1600</v>
          </cell>
          <cell r="C239" t="str">
            <v>Giá nới + Thanh cái tủ CB</v>
          </cell>
        </row>
        <row r="240">
          <cell r="A240" t="str">
            <v>Gianoi2500</v>
          </cell>
          <cell r="C240" t="str">
            <v>Giá nới + Thanh cái tủ CB</v>
          </cell>
        </row>
        <row r="241">
          <cell r="A241" t="str">
            <v>GianoiCB</v>
          </cell>
          <cell r="C241" t="str">
            <v>Giá nới + Thanh cái tủ CB</v>
          </cell>
        </row>
        <row r="242">
          <cell r="A242" t="str">
            <v>GCST</v>
          </cell>
          <cell r="C242" t="str">
            <v>Gia công sắt thép</v>
          </cell>
        </row>
        <row r="243">
          <cell r="A243" t="str">
            <v>G</v>
          </cell>
          <cell r="C243" t="str">
            <v>Vật liệu dựng trụ</v>
          </cell>
        </row>
        <row r="244">
          <cell r="A244" t="str">
            <v>K3B</v>
          </cell>
          <cell r="C244" t="str">
            <v>Kẹp cáp 3 boulon</v>
          </cell>
        </row>
        <row r="245">
          <cell r="A245" t="str">
            <v>CTD</v>
          </cell>
          <cell r="C245" t="str">
            <v>Cọc tiếp đất Ø16 - 2,4m</v>
          </cell>
        </row>
        <row r="246">
          <cell r="A246" t="str">
            <v>CTD+K</v>
          </cell>
          <cell r="C246" t="str">
            <v>Cọc tiếp đất Þ 16- 2,4m + kẹp cọc mạ đồng</v>
          </cell>
        </row>
        <row r="247">
          <cell r="A247" t="str">
            <v>K-Cu</v>
          </cell>
          <cell r="C247" t="str">
            <v>Kẹp cọc tiếp đất Cu</v>
          </cell>
        </row>
        <row r="248">
          <cell r="A248" t="str">
            <v>K-Fe</v>
          </cell>
          <cell r="C248" t="str">
            <v>Kẹp cọc tiếp đất Fe</v>
          </cell>
        </row>
        <row r="249">
          <cell r="A249" t="str">
            <v>K35</v>
          </cell>
          <cell r="C249" t="str">
            <v>Kẹp 2 rãnh cỡ dây 35mm2</v>
          </cell>
        </row>
        <row r="250">
          <cell r="A250" t="str">
            <v>K50</v>
          </cell>
          <cell r="C250" t="str">
            <v>Kẹp 2 rãnh cỡ dây 50mm2</v>
          </cell>
        </row>
        <row r="251">
          <cell r="A251" t="str">
            <v>K70</v>
          </cell>
          <cell r="C251" t="str">
            <v>Kẹp 2 rãnh cỡ dây 70mm2</v>
          </cell>
        </row>
        <row r="252">
          <cell r="A252" t="str">
            <v>K95</v>
          </cell>
          <cell r="C252" t="str">
            <v>Kẹp 2 rãnh cỡ dây 95mm2</v>
          </cell>
        </row>
        <row r="253">
          <cell r="A253" t="str">
            <v>K120</v>
          </cell>
          <cell r="C253" t="str">
            <v>Kẹp 2 rãnh cỡ dây 120mm2</v>
          </cell>
        </row>
        <row r="254">
          <cell r="A254" t="str">
            <v>K150</v>
          </cell>
          <cell r="C254" t="str">
            <v>Kẹp 2 rãnh cỡ dây 150mm2</v>
          </cell>
        </row>
        <row r="255">
          <cell r="A255" t="str">
            <v>K185</v>
          </cell>
          <cell r="C255" t="str">
            <v>Kẹp 2 rãnh cỡ dây 185mm2</v>
          </cell>
        </row>
        <row r="256">
          <cell r="A256" t="str">
            <v>K240</v>
          </cell>
          <cell r="C256" t="str">
            <v>Kẹp 2 rãnh cỡ dây 240 mm2</v>
          </cell>
        </row>
        <row r="257">
          <cell r="A257" t="str">
            <v>KTREO211</v>
          </cell>
          <cell r="C257" t="str">
            <v>Kẹp treo cáp ABC2x11mm2</v>
          </cell>
        </row>
        <row r="258">
          <cell r="A258" t="str">
            <v>KTREO11</v>
          </cell>
          <cell r="C258" t="str">
            <v>Kẹp treo cáp ABC4x11mm2</v>
          </cell>
        </row>
        <row r="259">
          <cell r="A259" t="str">
            <v>KTREO22</v>
          </cell>
          <cell r="C259" t="str">
            <v>Kẹp treo cáp ABC4x22mm2</v>
          </cell>
        </row>
        <row r="260">
          <cell r="A260" t="str">
            <v>KTREO35</v>
          </cell>
          <cell r="C260" t="str">
            <v>Kẹp treo cáp ABC4x35mm2</v>
          </cell>
        </row>
        <row r="261">
          <cell r="A261" t="str">
            <v>KTREO50</v>
          </cell>
          <cell r="C261" t="str">
            <v>Kẹp treo cáp ABC4x50mm2</v>
          </cell>
        </row>
        <row r="262">
          <cell r="A262" t="str">
            <v>KTREO70</v>
          </cell>
          <cell r="B262" t="str">
            <v>06.1201</v>
          </cell>
          <cell r="C262" t="str">
            <v>Kẹp treo cáp ABC4x70mm2</v>
          </cell>
        </row>
        <row r="263">
          <cell r="A263" t="str">
            <v>KTREO95</v>
          </cell>
          <cell r="C263" t="str">
            <v>Kẹp treo cáp ABC4x95mm2</v>
          </cell>
        </row>
        <row r="264">
          <cell r="A264" t="str">
            <v>KTREO120</v>
          </cell>
          <cell r="C264" t="str">
            <v>Kẹp treo cáp ABC4x120mm2</v>
          </cell>
        </row>
        <row r="265">
          <cell r="A265" t="str">
            <v>KTREO150</v>
          </cell>
          <cell r="C265" t="str">
            <v>Kẹp treo cáp ABC4x150mm2</v>
          </cell>
        </row>
        <row r="266">
          <cell r="A266" t="str">
            <v>MTREO A</v>
          </cell>
          <cell r="C266" t="str">
            <v>Móc treo chữ A</v>
          </cell>
        </row>
        <row r="267">
          <cell r="A267" t="str">
            <v>MOCDUNG</v>
          </cell>
          <cell r="C267" t="str">
            <v xml:space="preserve">Móc dừng </v>
          </cell>
        </row>
        <row r="268">
          <cell r="A268" t="str">
            <v xml:space="preserve">MTREO </v>
          </cell>
          <cell r="C268" t="str">
            <v xml:space="preserve">Móc đơn treo cáp </v>
          </cell>
        </row>
        <row r="269">
          <cell r="A269" t="str">
            <v>KDPLY</v>
          </cell>
          <cell r="C269" t="str">
            <v>Khánh bắt sứ kép polymer</v>
          </cell>
        </row>
        <row r="270">
          <cell r="A270" t="str">
            <v>KNGUNG211</v>
          </cell>
          <cell r="C270" t="str">
            <v>Kẹp ngừng cáp ABC2x11mm2</v>
          </cell>
        </row>
        <row r="271">
          <cell r="A271" t="str">
            <v>KNGUNG11</v>
          </cell>
          <cell r="C271" t="str">
            <v>Kẹp ngừng cáp ABC4x11mm2</v>
          </cell>
        </row>
        <row r="272">
          <cell r="A272" t="str">
            <v>KNGUNG22</v>
          </cell>
          <cell r="C272" t="str">
            <v>Kẹp ngừng cáp ABC4x22mm2</v>
          </cell>
        </row>
        <row r="273">
          <cell r="A273" t="str">
            <v>KNGUNG35</v>
          </cell>
          <cell r="C273" t="str">
            <v>Kẹp ngừng cáp ABC4x35mm2</v>
          </cell>
        </row>
        <row r="274">
          <cell r="A274" t="str">
            <v>KNGUNG50</v>
          </cell>
          <cell r="C274" t="str">
            <v>Kẹp ngừng cáp ABC4x50mm2</v>
          </cell>
        </row>
        <row r="275">
          <cell r="A275" t="str">
            <v>KNGUNG70</v>
          </cell>
          <cell r="B275" t="str">
            <v>06.1201</v>
          </cell>
          <cell r="C275" t="str">
            <v>Kẹp ngừng cáp ABC4x70mm2</v>
          </cell>
        </row>
        <row r="276">
          <cell r="A276" t="str">
            <v>KNGUNG95</v>
          </cell>
          <cell r="C276" t="str">
            <v>Kẹp ngừng cáp ABC4x95mm2</v>
          </cell>
        </row>
        <row r="277">
          <cell r="A277" t="str">
            <v>KNGUNG120</v>
          </cell>
          <cell r="C277" t="str">
            <v>Kẹp ngừng cáp ABC4x120mm2</v>
          </cell>
        </row>
        <row r="278">
          <cell r="A278" t="str">
            <v>KNGUNG150</v>
          </cell>
          <cell r="C278" t="str">
            <v>Kẹp ngừng cáp ABC4x150mm2</v>
          </cell>
        </row>
        <row r="279">
          <cell r="A279" t="str">
            <v>Hopcap240</v>
          </cell>
          <cell r="C279" t="str">
            <v>Hộp nối cáp ngầm 24kV 3x240mm2</v>
          </cell>
        </row>
        <row r="280">
          <cell r="A280" t="str">
            <v>Hopcap185</v>
          </cell>
          <cell r="C280" t="str">
            <v>Hộp nối cáp ngầm 24kV 3x185mm2</v>
          </cell>
        </row>
        <row r="281">
          <cell r="A281" t="str">
            <v>Hopcap150</v>
          </cell>
          <cell r="C281" t="str">
            <v>Hộp nối cáp ngầm 24kV 3x150mm2</v>
          </cell>
        </row>
        <row r="282">
          <cell r="A282" t="str">
            <v>Hopcap120</v>
          </cell>
          <cell r="C282" t="str">
            <v>Hộp nối cáp ngầm 24kV 3x120mm2</v>
          </cell>
        </row>
        <row r="283">
          <cell r="A283" t="str">
            <v>Hopcap95</v>
          </cell>
          <cell r="C283" t="str">
            <v>Hộp nối cáp ngầm 24kV 3x95mm2</v>
          </cell>
        </row>
        <row r="284">
          <cell r="A284" t="str">
            <v>Hopcap70</v>
          </cell>
          <cell r="C284" t="str">
            <v>Hộp nối cáp ngầm 24kV 3x70mm2</v>
          </cell>
        </row>
        <row r="285">
          <cell r="A285" t="str">
            <v>Hopcap50</v>
          </cell>
          <cell r="C285" t="str">
            <v>Hộp nối cáp ngầm 24kV 3x50mm2</v>
          </cell>
        </row>
        <row r="286">
          <cell r="A286" t="str">
            <v>HOP9C</v>
          </cell>
          <cell r="B286" t="str">
            <v>06.1201</v>
          </cell>
          <cell r="C286" t="str">
            <v>Hộp phân phối 9CB-32A( hộp rỗng)</v>
          </cell>
        </row>
        <row r="287">
          <cell r="A287" t="str">
            <v>HOP6C</v>
          </cell>
          <cell r="C287" t="str">
            <v>Hộp phân phối (hộp rỗng)</v>
          </cell>
        </row>
        <row r="288">
          <cell r="A288" t="str">
            <v>BTNN</v>
          </cell>
          <cell r="C288" t="str">
            <v>Bêtông nhựa nóng hạt thô</v>
          </cell>
        </row>
        <row r="289">
          <cell r="A289" t="str">
            <v>BTNN min</v>
          </cell>
          <cell r="C289" t="str">
            <v>Bêtông nhựa nóng hạt mịn</v>
          </cell>
        </row>
        <row r="290">
          <cell r="A290" t="str">
            <v>BTNN-TL</v>
          </cell>
          <cell r="B290" t="str">
            <v>ED.2005</v>
          </cell>
          <cell r="C290" t="str">
            <v>Tái lập bêtông nhựa nóng hạt thô 7mm</v>
          </cell>
        </row>
        <row r="291">
          <cell r="A291" t="str">
            <v>BTNN-TL min</v>
          </cell>
          <cell r="B291" t="str">
            <v>ED.3001</v>
          </cell>
          <cell r="C291" t="str">
            <v>Tái lập bêtông nhựa nóng hạt mịn 3mm</v>
          </cell>
        </row>
        <row r="292">
          <cell r="A292" t="str">
            <v>BT</v>
          </cell>
          <cell r="B292" t="str">
            <v>04.9001</v>
          </cell>
          <cell r="C292" t="str">
            <v>Bitum</v>
          </cell>
        </row>
        <row r="293">
          <cell r="A293" t="str">
            <v>BIT150</v>
          </cell>
          <cell r="C293" t="str">
            <v>Nắp bịt đầu cáp ABC150mm2</v>
          </cell>
        </row>
        <row r="294">
          <cell r="A294" t="str">
            <v>BIT120</v>
          </cell>
          <cell r="C294" t="str">
            <v>Nắp bịt đầu cáp ABC120mm2</v>
          </cell>
        </row>
        <row r="295">
          <cell r="A295" t="str">
            <v>BIT95</v>
          </cell>
          <cell r="C295" t="str">
            <v>Nắp bịt đầu cáp ABC95mm2</v>
          </cell>
        </row>
        <row r="296">
          <cell r="A296" t="str">
            <v>BIT70</v>
          </cell>
          <cell r="C296" t="str">
            <v>Nắp bịt đầu cáp ABC70mm2</v>
          </cell>
        </row>
        <row r="297">
          <cell r="A297" t="str">
            <v>BIT50</v>
          </cell>
          <cell r="C297" t="str">
            <v>Nắp bịt đầu cáp ABC50mm2</v>
          </cell>
        </row>
        <row r="298">
          <cell r="A298" t="str">
            <v>BIT35</v>
          </cell>
          <cell r="C298" t="str">
            <v>Nắp bịt đầu cáp 35mm2</v>
          </cell>
        </row>
        <row r="299">
          <cell r="A299" t="str">
            <v>KE399</v>
          </cell>
          <cell r="C299" t="str">
            <v>Kẹp ép WR 399</v>
          </cell>
        </row>
        <row r="300">
          <cell r="A300" t="str">
            <v>KE25</v>
          </cell>
          <cell r="C300" t="str">
            <v>Kẹp ép cỡ dây 25mm2</v>
          </cell>
        </row>
        <row r="301">
          <cell r="A301" t="str">
            <v>KE35</v>
          </cell>
          <cell r="C301" t="str">
            <v>Kẹp ép WR cỡ dây 35mm2</v>
          </cell>
        </row>
        <row r="302">
          <cell r="A302" t="str">
            <v>KE50</v>
          </cell>
          <cell r="C302" t="str">
            <v>Kẹp ép WR cỡ dây 50mm2</v>
          </cell>
        </row>
        <row r="303">
          <cell r="A303" t="str">
            <v>KE70</v>
          </cell>
          <cell r="C303" t="str">
            <v>Kẹp ép WR cỡ dây 70mm2</v>
          </cell>
        </row>
        <row r="304">
          <cell r="A304" t="str">
            <v>KE95</v>
          </cell>
          <cell r="C304" t="str">
            <v>Kẹp ép WR cỡ dây 95mm2</v>
          </cell>
        </row>
        <row r="305">
          <cell r="A305" t="str">
            <v>KE120</v>
          </cell>
          <cell r="C305" t="str">
            <v>Kẹp ép WR cỡ dây 120mm2</v>
          </cell>
        </row>
        <row r="306">
          <cell r="A306" t="str">
            <v>KE150</v>
          </cell>
          <cell r="C306" t="str">
            <v>Kẹp ép WR cỡ dây 150mm2</v>
          </cell>
        </row>
        <row r="307">
          <cell r="A307" t="str">
            <v>KE185</v>
          </cell>
          <cell r="C307" t="str">
            <v>Kẹp ép WR cỡ dây 185mm2</v>
          </cell>
        </row>
        <row r="308">
          <cell r="A308" t="str">
            <v>KE240</v>
          </cell>
          <cell r="C308" t="str">
            <v>Kẹp ép WR cỡ dây 240mm2</v>
          </cell>
        </row>
        <row r="309">
          <cell r="A309" t="str">
            <v>KCUAL</v>
          </cell>
          <cell r="C309" t="str">
            <v>Kẹp nối đồng-nhôm</v>
          </cell>
        </row>
        <row r="310">
          <cell r="A310" t="str">
            <v>KCUAL60</v>
          </cell>
          <cell r="C310" t="str">
            <v>Kẹp nối đồng-nhôm 60mm2</v>
          </cell>
        </row>
        <row r="311">
          <cell r="A311" t="str">
            <v>KQ2/0</v>
          </cell>
          <cell r="B311" t="str">
            <v>04.3007</v>
          </cell>
          <cell r="C311" t="str">
            <v>Kẹp quai 2/0</v>
          </cell>
        </row>
        <row r="312">
          <cell r="A312" t="str">
            <v>KQ2/0-C</v>
          </cell>
          <cell r="B312" t="str">
            <v>04.3007</v>
          </cell>
          <cell r="C312" t="str">
            <v>Kẹp quai 2/0 + chụp cách điện</v>
          </cell>
        </row>
        <row r="313">
          <cell r="A313" t="str">
            <v>KQ4/0</v>
          </cell>
          <cell r="B313" t="str">
            <v>04.3007</v>
          </cell>
          <cell r="C313" t="str">
            <v>Kẹp quai 4/0</v>
          </cell>
        </row>
        <row r="314">
          <cell r="A314" t="str">
            <v>KQ4/0-C</v>
          </cell>
          <cell r="B314" t="str">
            <v>04.3007</v>
          </cell>
          <cell r="C314" t="str">
            <v>Kẹp quai 4/0 + chụp cách điện</v>
          </cell>
        </row>
        <row r="315">
          <cell r="A315" t="str">
            <v>KH2/0</v>
          </cell>
          <cell r="B315" t="str">
            <v>04.3007</v>
          </cell>
          <cell r="C315" t="str">
            <v>Kẹp hotline 2/0</v>
          </cell>
        </row>
        <row r="316">
          <cell r="A316" t="str">
            <v>KH4/0</v>
          </cell>
          <cell r="B316" t="str">
            <v>04.3007</v>
          </cell>
          <cell r="C316" t="str">
            <v>Kẹp hotline 4/0</v>
          </cell>
        </row>
        <row r="317">
          <cell r="A317" t="str">
            <v>KH350M</v>
          </cell>
          <cell r="B317" t="str">
            <v>04.3007</v>
          </cell>
          <cell r="C317" t="str">
            <v>Kẹp hotline 350MCM</v>
          </cell>
        </row>
        <row r="318">
          <cell r="A318" t="str">
            <v>KEU35</v>
          </cell>
          <cell r="C318" t="str">
            <v>Kẹp U bolt dây 35mm2</v>
          </cell>
        </row>
        <row r="319">
          <cell r="A319" t="str">
            <v>KEU50</v>
          </cell>
          <cell r="C319" t="str">
            <v>Kẹp U bolt dây 50mm2</v>
          </cell>
        </row>
        <row r="320">
          <cell r="A320" t="str">
            <v>KEU70</v>
          </cell>
          <cell r="C320" t="str">
            <v>Kẹp U bolt dây 70mm2</v>
          </cell>
        </row>
        <row r="321">
          <cell r="A321" t="str">
            <v>KEU95</v>
          </cell>
          <cell r="C321" t="str">
            <v>Kẹp U bolt dây 95mm2</v>
          </cell>
        </row>
        <row r="322">
          <cell r="A322" t="str">
            <v>Kd50</v>
          </cell>
          <cell r="C322" t="str">
            <v>Khóa đỡ dây cỡ dây 50</v>
          </cell>
        </row>
        <row r="323">
          <cell r="A323" t="str">
            <v>Kd70</v>
          </cell>
          <cell r="C323" t="str">
            <v>Khóa đỡ dây cỡ dây 70</v>
          </cell>
        </row>
        <row r="324">
          <cell r="A324" t="str">
            <v>Kd95</v>
          </cell>
          <cell r="C324" t="str">
            <v>Khóa đỡ dây cỡ dây 95</v>
          </cell>
        </row>
        <row r="325">
          <cell r="A325" t="str">
            <v>Kd120</v>
          </cell>
          <cell r="C325" t="str">
            <v>Khóa đỡ dây cỡ dây 120</v>
          </cell>
        </row>
        <row r="326">
          <cell r="A326" t="str">
            <v>Kd150</v>
          </cell>
          <cell r="C326" t="str">
            <v>Khóa đỡ dây cỡ dây 150</v>
          </cell>
        </row>
        <row r="327">
          <cell r="A327" t="str">
            <v>Kd185</v>
          </cell>
          <cell r="C327" t="str">
            <v>Khóa đỡ dây cỡ dây 185</v>
          </cell>
        </row>
        <row r="328">
          <cell r="A328" t="str">
            <v>Kd240</v>
          </cell>
          <cell r="C328" t="str">
            <v>Khóa đỡ dây cỡ dây 240</v>
          </cell>
        </row>
        <row r="329">
          <cell r="A329" t="str">
            <v>KD357</v>
          </cell>
          <cell r="C329" t="str">
            <v>Khóa đỡ Đ357</v>
          </cell>
        </row>
        <row r="330">
          <cell r="A330" t="str">
            <v>KD912</v>
          </cell>
          <cell r="C330" t="str">
            <v>Khóa đỡ Đ912</v>
          </cell>
        </row>
        <row r="331">
          <cell r="A331" t="str">
            <v>KD158</v>
          </cell>
          <cell r="C331" t="str">
            <v>Khóa đỡ Đ158</v>
          </cell>
        </row>
        <row r="332">
          <cell r="A332" t="str">
            <v>KN35</v>
          </cell>
          <cell r="C332" t="str">
            <v>Khóa néo dây cỡ dây 35</v>
          </cell>
        </row>
        <row r="333">
          <cell r="A333" t="str">
            <v>KN50</v>
          </cell>
          <cell r="C333" t="str">
            <v>Khóa néo dây cỡ dây 50</v>
          </cell>
        </row>
        <row r="334">
          <cell r="A334" t="str">
            <v>KN70</v>
          </cell>
          <cell r="C334" t="str">
            <v>Khóa néo dây cỡ dây 70</v>
          </cell>
        </row>
        <row r="335">
          <cell r="A335" t="str">
            <v>KN95</v>
          </cell>
          <cell r="C335" t="str">
            <v>Khóa néo dây cỡ dây 95</v>
          </cell>
        </row>
        <row r="336">
          <cell r="A336" t="str">
            <v>KN120</v>
          </cell>
          <cell r="C336" t="str">
            <v>Khóa néo dây cỡ dây 120</v>
          </cell>
        </row>
        <row r="337">
          <cell r="A337" t="str">
            <v>KN150</v>
          </cell>
          <cell r="C337" t="str">
            <v>Khóa néo dây cỡ dây 150</v>
          </cell>
        </row>
        <row r="338">
          <cell r="A338" t="str">
            <v>KN185</v>
          </cell>
          <cell r="C338" t="str">
            <v>Khóa néo dây cỡ dây 185</v>
          </cell>
        </row>
        <row r="339">
          <cell r="A339" t="str">
            <v>KN240</v>
          </cell>
          <cell r="C339" t="str">
            <v>Khóa néo dây cỡ dây 240</v>
          </cell>
        </row>
        <row r="340">
          <cell r="A340" t="str">
            <v>KN158</v>
          </cell>
          <cell r="C340" t="str">
            <v>Khóa néo N158</v>
          </cell>
        </row>
        <row r="341">
          <cell r="A341" t="str">
            <v>KN912</v>
          </cell>
          <cell r="C341" t="str">
            <v>Khóa néo N912</v>
          </cell>
        </row>
        <row r="342">
          <cell r="A342" t="str">
            <v>KN357</v>
          </cell>
          <cell r="C342" t="str">
            <v>Khóa néo N357</v>
          </cell>
        </row>
        <row r="343">
          <cell r="A343" t="str">
            <v>GNIU</v>
          </cell>
          <cell r="C343" t="str">
            <v>Giáp níu dừng dây bọc ACX50</v>
          </cell>
        </row>
        <row r="344">
          <cell r="A344" t="str">
            <v>MANG</v>
          </cell>
          <cell r="C344" t="str">
            <v>Máng che dây chằng dày 1,6mm</v>
          </cell>
        </row>
        <row r="345">
          <cell r="A345" t="str">
            <v>MND</v>
          </cell>
          <cell r="C345" t="str">
            <v>Mắt nối đơn</v>
          </cell>
        </row>
        <row r="346">
          <cell r="A346" t="str">
            <v>MNTG</v>
          </cell>
          <cell r="C346" t="str">
            <v xml:space="preserve">Mắt nối t/ gian </v>
          </cell>
        </row>
        <row r="347">
          <cell r="A347" t="str">
            <v>MT</v>
          </cell>
          <cell r="C347" t="str">
            <v xml:space="preserve">Móc treo chữ U </v>
          </cell>
        </row>
        <row r="348">
          <cell r="A348" t="str">
            <v>MT61A</v>
          </cell>
          <cell r="C348" t="str">
            <v>Móc treo CK61A</v>
          </cell>
        </row>
        <row r="349">
          <cell r="A349" t="str">
            <v>VT</v>
          </cell>
          <cell r="C349" t="str">
            <v>Vòng treo đầu tròn</v>
          </cell>
        </row>
        <row r="350">
          <cell r="A350" t="str">
            <v>ON240A</v>
          </cell>
          <cell r="C350" t="str">
            <v>Ống nối dây A-240</v>
          </cell>
        </row>
        <row r="351">
          <cell r="A351" t="str">
            <v>ON185A</v>
          </cell>
          <cell r="C351" t="str">
            <v>Ống nối dây A-185</v>
          </cell>
        </row>
        <row r="352">
          <cell r="A352" t="str">
            <v>ON120A</v>
          </cell>
          <cell r="C352" t="str">
            <v>Ống nối dây A-120</v>
          </cell>
        </row>
        <row r="353">
          <cell r="A353" t="str">
            <v>ON95A</v>
          </cell>
          <cell r="C353" t="str">
            <v>Ống nối dây A-95</v>
          </cell>
        </row>
        <row r="354">
          <cell r="A354" t="str">
            <v>ON70A</v>
          </cell>
          <cell r="C354" t="str">
            <v>Ống nối dây A-70</v>
          </cell>
        </row>
        <row r="355">
          <cell r="A355" t="str">
            <v>ON50A</v>
          </cell>
          <cell r="C355" t="str">
            <v>Ống nối dây A-50</v>
          </cell>
        </row>
        <row r="356">
          <cell r="A356" t="str">
            <v>ON35A</v>
          </cell>
          <cell r="C356" t="str">
            <v>Ống nối dây A-35</v>
          </cell>
        </row>
        <row r="357">
          <cell r="A357" t="str">
            <v>ON-AC-240</v>
          </cell>
          <cell r="C357" t="str">
            <v>Ống nối dây AC-240</v>
          </cell>
        </row>
        <row r="358">
          <cell r="A358" t="str">
            <v>ON-AC-185</v>
          </cell>
          <cell r="C358" t="str">
            <v>Ống nối dây AC-185</v>
          </cell>
        </row>
        <row r="359">
          <cell r="A359" t="str">
            <v>ON-AC-120</v>
          </cell>
          <cell r="C359" t="str">
            <v>Ống nối dây AC-120</v>
          </cell>
        </row>
        <row r="360">
          <cell r="A360" t="str">
            <v>ON-AC-85</v>
          </cell>
          <cell r="C360" t="str">
            <v>Ống nối dây AC-85</v>
          </cell>
        </row>
        <row r="361">
          <cell r="A361" t="str">
            <v>ON-AC-70</v>
          </cell>
          <cell r="C361" t="str">
            <v>Ống nối dây AC-70</v>
          </cell>
        </row>
        <row r="362">
          <cell r="A362" t="str">
            <v>ON-AC-50</v>
          </cell>
          <cell r="C362" t="str">
            <v>Ống nối dây AC-50</v>
          </cell>
        </row>
        <row r="363">
          <cell r="A363" t="str">
            <v>ON-AC-35</v>
          </cell>
          <cell r="C363" t="str">
            <v>Ống nối dây AC-35</v>
          </cell>
        </row>
        <row r="364">
          <cell r="A364" t="str">
            <v>ON35</v>
          </cell>
          <cell r="C364" t="str">
            <v>Ống nối dây cỡ 35mm2</v>
          </cell>
        </row>
        <row r="365">
          <cell r="A365" t="str">
            <v>ON50</v>
          </cell>
          <cell r="C365" t="str">
            <v>Ống nối dây cỡ 50mm2</v>
          </cell>
        </row>
        <row r="366">
          <cell r="A366" t="str">
            <v>ON70</v>
          </cell>
          <cell r="C366" t="str">
            <v>Ống nối dây cỡ 70mm2</v>
          </cell>
        </row>
        <row r="367">
          <cell r="A367" t="str">
            <v>ON95</v>
          </cell>
          <cell r="C367" t="str">
            <v>Ống nối dây cỡ 95mm2</v>
          </cell>
        </row>
        <row r="368">
          <cell r="A368" t="str">
            <v>ON120</v>
          </cell>
          <cell r="C368" t="str">
            <v>Ống nối dây cỡ 120mm2</v>
          </cell>
        </row>
        <row r="369">
          <cell r="A369" t="str">
            <v>ON150</v>
          </cell>
          <cell r="C369" t="str">
            <v>Ống nối dây cỡ 150mm2</v>
          </cell>
        </row>
        <row r="370">
          <cell r="A370" t="str">
            <v>ON185</v>
          </cell>
          <cell r="C370" t="str">
            <v>Ống nối dây cỡ 185mm2</v>
          </cell>
        </row>
        <row r="371">
          <cell r="A371" t="str">
            <v>ON240</v>
          </cell>
          <cell r="C371" t="str">
            <v>Ống nối dây cỡ 240mm2</v>
          </cell>
        </row>
        <row r="372">
          <cell r="A372" t="str">
            <v>ON50B</v>
          </cell>
          <cell r="C372" t="str">
            <v>Ống nối dây chịu sức căng cỡ 50mm2</v>
          </cell>
        </row>
        <row r="373">
          <cell r="A373" t="str">
            <v>PU</v>
          </cell>
          <cell r="C373" t="str">
            <v>Puli</v>
          </cell>
        </row>
        <row r="374">
          <cell r="A374" t="str">
            <v>R1</v>
          </cell>
          <cell r="C374" t="str">
            <v>Uclevis + sứ ống chỉ</v>
          </cell>
        </row>
        <row r="375">
          <cell r="A375" t="str">
            <v>R2</v>
          </cell>
          <cell r="C375" t="str">
            <v>Rack 2 sứ + sứ ống chỉ</v>
          </cell>
        </row>
        <row r="376">
          <cell r="A376" t="str">
            <v>R3</v>
          </cell>
          <cell r="C376" t="str">
            <v>Rack 3 sứ + sứ ống chỉ</v>
          </cell>
        </row>
        <row r="377">
          <cell r="A377" t="str">
            <v>R4</v>
          </cell>
          <cell r="C377" t="str">
            <v>Rack 4</v>
          </cell>
        </row>
        <row r="378">
          <cell r="A378" t="str">
            <v>R4S</v>
          </cell>
          <cell r="C378" t="str">
            <v>Rack 4 sứ + sứ ống chỉ</v>
          </cell>
        </row>
        <row r="379">
          <cell r="A379" t="str">
            <v>SD</v>
          </cell>
          <cell r="C379" t="str">
            <v xml:space="preserve">Sứ đứng 24KV </v>
          </cell>
        </row>
        <row r="380">
          <cell r="A380" t="str">
            <v>SDC</v>
          </cell>
          <cell r="C380" t="str">
            <v>Sứ đứng 24KV ĐR 540mm (bọc chì)</v>
          </cell>
        </row>
        <row r="381">
          <cell r="A381" t="str">
            <v>CSDC</v>
          </cell>
          <cell r="C381" t="str">
            <v>Chân sứ đứng D20-265 (bọc chì)</v>
          </cell>
        </row>
        <row r="382">
          <cell r="A382" t="str">
            <v>SD35</v>
          </cell>
          <cell r="C382" t="str">
            <v>Sứ đứng 35KV + ty</v>
          </cell>
        </row>
        <row r="383">
          <cell r="A383" t="str">
            <v>SDI35</v>
          </cell>
          <cell r="C383" t="str">
            <v>Sứ đứng 35KV + ty sứ đỉnh</v>
          </cell>
        </row>
        <row r="384">
          <cell r="A384" t="str">
            <v>SDCM</v>
          </cell>
          <cell r="C384" t="str">
            <v>Sứ đứng 24KV chống nhiễm mặn</v>
          </cell>
        </row>
        <row r="385">
          <cell r="A385" t="str">
            <v>SN</v>
          </cell>
          <cell r="C385" t="str">
            <v>Sứ chằng</v>
          </cell>
        </row>
        <row r="386">
          <cell r="A386" t="str">
            <v>SOC</v>
          </cell>
          <cell r="C386" t="str">
            <v xml:space="preserve">Sứ ống chỉ </v>
          </cell>
        </row>
        <row r="387">
          <cell r="A387" t="str">
            <v>ST</v>
          </cell>
          <cell r="C387" t="str">
            <v>Sứ treo loại 70kN</v>
          </cell>
        </row>
        <row r="388">
          <cell r="A388" t="str">
            <v>ST120</v>
          </cell>
          <cell r="C388" t="str">
            <v>Sứ treo loại 120kN</v>
          </cell>
        </row>
        <row r="389">
          <cell r="A389" t="str">
            <v>STply</v>
          </cell>
          <cell r="C389" t="str">
            <v>Sứ treo polymer</v>
          </cell>
        </row>
        <row r="390">
          <cell r="A390" t="str">
            <v>Stply-HT</v>
          </cell>
          <cell r="C390" t="str">
            <v>Sứ polymer cách điện hạ thế thanh cái tủ</v>
          </cell>
        </row>
        <row r="391">
          <cell r="A391" t="str">
            <v>S40</v>
          </cell>
          <cell r="C391" t="str">
            <v>Sắt dẹt 40 x 4</v>
          </cell>
        </row>
        <row r="392">
          <cell r="A392" t="str">
            <v>S50</v>
          </cell>
          <cell r="C392" t="str">
            <v>Sắt dẹt 50x5</v>
          </cell>
        </row>
        <row r="393">
          <cell r="A393" t="str">
            <v>S60</v>
          </cell>
          <cell r="C393" t="str">
            <v>Sắt dẹt 60 x 6</v>
          </cell>
        </row>
        <row r="394">
          <cell r="A394" t="str">
            <v>S70</v>
          </cell>
          <cell r="C394" t="str">
            <v>Sắt dẹt 70 x 7</v>
          </cell>
        </row>
        <row r="395">
          <cell r="A395" t="str">
            <v>S806</v>
          </cell>
          <cell r="C395" t="str">
            <v>Sắt dẹt 80 x 6</v>
          </cell>
        </row>
        <row r="396">
          <cell r="A396" t="str">
            <v>S80</v>
          </cell>
          <cell r="C396" t="str">
            <v>Sắt dẹt 80 x 8</v>
          </cell>
        </row>
        <row r="397">
          <cell r="A397" t="str">
            <v>S1008</v>
          </cell>
          <cell r="C397" t="str">
            <v>Sắt dẹt 100 x 8</v>
          </cell>
        </row>
        <row r="398">
          <cell r="A398" t="str">
            <v>SL32</v>
          </cell>
          <cell r="C398" t="str">
            <v>Sắt góc L32 x 32 x 3</v>
          </cell>
        </row>
        <row r="399">
          <cell r="A399" t="str">
            <v>SL40</v>
          </cell>
          <cell r="C399" t="str">
            <v>Sắt góc L40 x40 x4</v>
          </cell>
        </row>
        <row r="400">
          <cell r="A400" t="str">
            <v>SL45</v>
          </cell>
          <cell r="C400" t="str">
            <v>Sắt góc L45 x45 x 4</v>
          </cell>
        </row>
        <row r="401">
          <cell r="A401" t="str">
            <v>SL50</v>
          </cell>
          <cell r="C401" t="str">
            <v>Sắt góc L50 x50 x5</v>
          </cell>
        </row>
        <row r="402">
          <cell r="A402" t="str">
            <v>SL50-720</v>
          </cell>
          <cell r="C402" t="str">
            <v>Sắt góc L50 x50 x5 x720</v>
          </cell>
        </row>
        <row r="403">
          <cell r="A403" t="str">
            <v>SL50-810</v>
          </cell>
          <cell r="C403" t="str">
            <v>Sắt góc L50 x50 x5 - 810</v>
          </cell>
        </row>
        <row r="404">
          <cell r="A404" t="str">
            <v>SL50-920</v>
          </cell>
          <cell r="C404" t="str">
            <v>Sắt góc L50 x50 x5 x920</v>
          </cell>
        </row>
        <row r="405">
          <cell r="A405" t="str">
            <v>SL50-1190</v>
          </cell>
          <cell r="C405" t="str">
            <v>Sắt góc L50 x50 x5 x1190</v>
          </cell>
        </row>
        <row r="406">
          <cell r="A406" t="str">
            <v>SL50kg</v>
          </cell>
          <cell r="C406" t="str">
            <v>Sắt góc L50 x50 x5</v>
          </cell>
        </row>
        <row r="407">
          <cell r="A407" t="str">
            <v>SL70</v>
          </cell>
          <cell r="C407" t="str">
            <v>Sắt góc L70 x70 x7</v>
          </cell>
        </row>
        <row r="408">
          <cell r="A408" t="str">
            <v>SL75kg</v>
          </cell>
          <cell r="C408" t="str">
            <v>Sắt góc L75 x75 x8</v>
          </cell>
        </row>
        <row r="409">
          <cell r="A409" t="str">
            <v>SL75</v>
          </cell>
          <cell r="C409" t="str">
            <v>Sắt góc L75 x75 x8</v>
          </cell>
        </row>
        <row r="410">
          <cell r="A410" t="str">
            <v>SL75-1660</v>
          </cell>
          <cell r="C410" t="str">
            <v>Sắt góc L75 x75 x8 x1660</v>
          </cell>
        </row>
        <row r="411">
          <cell r="A411" t="str">
            <v>SL75-2000</v>
          </cell>
          <cell r="C411" t="str">
            <v>Sắt góc L75 x75 x8-2.200</v>
          </cell>
        </row>
        <row r="412">
          <cell r="A412" t="str">
            <v>SL75-1990</v>
          </cell>
          <cell r="C412" t="str">
            <v>Sắt góc L50 x50 x5-1990</v>
          </cell>
        </row>
        <row r="413">
          <cell r="A413" t="str">
            <v>SL75-2100</v>
          </cell>
          <cell r="C413" t="str">
            <v>Sắt góc L75 x75 x8-2100</v>
          </cell>
        </row>
        <row r="414">
          <cell r="A414" t="str">
            <v>SL75-2200</v>
          </cell>
          <cell r="C414" t="str">
            <v>Sắt góc L75 x75 x8 x2200</v>
          </cell>
        </row>
        <row r="415">
          <cell r="A415" t="str">
            <v>SL75-2400</v>
          </cell>
          <cell r="C415" t="str">
            <v>Sắt góc L75 x75 x8 x2400</v>
          </cell>
        </row>
        <row r="416">
          <cell r="A416" t="str">
            <v>SL75-2600</v>
          </cell>
          <cell r="C416" t="str">
            <v>Sắt góc L75 x75 x8 x2600</v>
          </cell>
        </row>
        <row r="417">
          <cell r="A417" t="str">
            <v>SO6</v>
          </cell>
          <cell r="C417" t="str">
            <v>Sắt Ø6</v>
          </cell>
        </row>
        <row r="418">
          <cell r="A418" t="str">
            <v>SO8</v>
          </cell>
          <cell r="C418" t="str">
            <v>Sắt Ø8</v>
          </cell>
        </row>
        <row r="419">
          <cell r="A419" t="str">
            <v>SO10</v>
          </cell>
          <cell r="C419" t="str">
            <v>Sắt Ø10</v>
          </cell>
        </row>
        <row r="420">
          <cell r="A420" t="str">
            <v>SO12</v>
          </cell>
          <cell r="C420" t="str">
            <v>Sắt Ø12</v>
          </cell>
        </row>
        <row r="421">
          <cell r="A421" t="str">
            <v>SO16</v>
          </cell>
          <cell r="C421" t="str">
            <v>Sắt Ø16</v>
          </cell>
        </row>
        <row r="422">
          <cell r="A422" t="str">
            <v>SO24</v>
          </cell>
          <cell r="C422" t="str">
            <v>Sắt Ø24</v>
          </cell>
        </row>
        <row r="423">
          <cell r="A423" t="str">
            <v>EKE300</v>
          </cell>
          <cell r="C423" t="str">
            <v>Ê KE 5x300x300\Zn</v>
          </cell>
        </row>
        <row r="424">
          <cell r="A424" t="str">
            <v>thept6</v>
          </cell>
          <cell r="C424" t="str">
            <v>Thép tấm 6mm</v>
          </cell>
        </row>
        <row r="425">
          <cell r="A425" t="str">
            <v>thept5</v>
          </cell>
          <cell r="C425" t="str">
            <v>Thép tấm 5mm</v>
          </cell>
        </row>
        <row r="426">
          <cell r="A426" t="str">
            <v>thept4</v>
          </cell>
          <cell r="C426" t="str">
            <v>Thép tấm 4mm</v>
          </cell>
        </row>
        <row r="427">
          <cell r="A427" t="str">
            <v>thept2</v>
          </cell>
          <cell r="C427" t="str">
            <v>Thép tấm 2mm</v>
          </cell>
        </row>
        <row r="428">
          <cell r="A428" t="str">
            <v>CL</v>
          </cell>
          <cell r="C428" t="str">
            <v>Bộ chống chằng hẹp Ø60/50x1500+2BL12x40+BL16x250/80</v>
          </cell>
        </row>
        <row r="429">
          <cell r="A429" t="str">
            <v>CLHT</v>
          </cell>
          <cell r="C429" t="str">
            <v>Bộ chống chằng hẹp Ø60/50x1200+2BL12x40+BL16x200/50</v>
          </cell>
        </row>
        <row r="430">
          <cell r="A430" t="str">
            <v>TN1618</v>
          </cell>
          <cell r="C430" t="str">
            <v>Ty neo Ø16x1800</v>
          </cell>
        </row>
        <row r="431">
          <cell r="A431" t="str">
            <v>TN1624</v>
          </cell>
          <cell r="C431" t="str">
            <v>Ty neo Ø16x2400</v>
          </cell>
        </row>
        <row r="432">
          <cell r="A432" t="str">
            <v>TN1824</v>
          </cell>
          <cell r="C432" t="str">
            <v>Ty neo Ø18x2400</v>
          </cell>
        </row>
        <row r="433">
          <cell r="A433" t="str">
            <v>TN2224</v>
          </cell>
          <cell r="C433" t="str">
            <v>Ty neo Ø22x2400</v>
          </cell>
        </row>
        <row r="434">
          <cell r="A434" t="str">
            <v>TN30</v>
          </cell>
          <cell r="C434" t="str">
            <v>Ty neo Ø22x3000</v>
          </cell>
        </row>
        <row r="435">
          <cell r="A435" t="str">
            <v>TN37</v>
          </cell>
          <cell r="C435" t="str">
            <v>Ty neo Ø22x3700</v>
          </cell>
        </row>
        <row r="436">
          <cell r="A436" t="str">
            <v>NX</v>
          </cell>
          <cell r="B436" t="str">
            <v>04.4001</v>
          </cell>
          <cell r="C436" t="str">
            <v>Neo xòe 8 hướng (dày 3,2mm)</v>
          </cell>
        </row>
        <row r="437">
          <cell r="A437" t="str">
            <v>CD142</v>
          </cell>
          <cell r="B437" t="str">
            <v>06.3231</v>
          </cell>
          <cell r="C437" t="str">
            <v>Cổ dê CD.X-142</v>
          </cell>
        </row>
        <row r="438">
          <cell r="A438" t="str">
            <v>CD142a</v>
          </cell>
          <cell r="B438" t="str">
            <v>06.3231</v>
          </cell>
          <cell r="C438" t="str">
            <v>Cổ dê CD.X-142A</v>
          </cell>
        </row>
        <row r="439">
          <cell r="A439" t="str">
            <v>CD146</v>
          </cell>
          <cell r="B439" t="str">
            <v>06.3231</v>
          </cell>
          <cell r="C439" t="str">
            <v>Cổ dê CD.X-146</v>
          </cell>
        </row>
        <row r="440">
          <cell r="A440" t="str">
            <v>CD146a</v>
          </cell>
          <cell r="B440" t="str">
            <v>06.3231</v>
          </cell>
          <cell r="C440" t="str">
            <v>Cổ dê CD.X-146A</v>
          </cell>
        </row>
        <row r="441">
          <cell r="A441" t="str">
            <v>CD682</v>
          </cell>
          <cell r="B441" t="str">
            <v>06.3231</v>
          </cell>
          <cell r="C441" t="str">
            <v>Cổ dê 6,82kg</v>
          </cell>
        </row>
        <row r="442">
          <cell r="A442" t="str">
            <v>LCD</v>
          </cell>
          <cell r="B442" t="str">
            <v>06.2110</v>
          </cell>
          <cell r="C442" t="str">
            <v>Lắp cổ dê</v>
          </cell>
        </row>
        <row r="443">
          <cell r="A443" t="str">
            <v>CD21</v>
          </cell>
          <cell r="B443" t="str">
            <v>06.3231</v>
          </cell>
          <cell r="C443" t="str">
            <v>Cổ dê kẹp ống PVC  21</v>
          </cell>
        </row>
        <row r="444">
          <cell r="A444" t="str">
            <v>CD21S10</v>
          </cell>
          <cell r="B444" t="str">
            <v>06.3231</v>
          </cell>
          <cell r="C444" t="str">
            <v>Cổ dê kẹp sắt Ø 10</v>
          </cell>
        </row>
        <row r="445">
          <cell r="A445" t="str">
            <v>CD60</v>
          </cell>
          <cell r="B445" t="str">
            <v>06.3231</v>
          </cell>
          <cell r="C445" t="str">
            <v>Cổ dê kẹp ống PVC Ø 60</v>
          </cell>
        </row>
        <row r="446">
          <cell r="A446" t="str">
            <v>CD90</v>
          </cell>
          <cell r="B446" t="str">
            <v>06.3231</v>
          </cell>
          <cell r="C446" t="str">
            <v>Cổ dê kẹp ống PVC Ø 90</v>
          </cell>
        </row>
        <row r="447">
          <cell r="A447" t="str">
            <v>CD114</v>
          </cell>
          <cell r="B447" t="str">
            <v>06.3231</v>
          </cell>
          <cell r="C447" t="str">
            <v>Cổ dê kẹp ống PVC Ø 114</v>
          </cell>
        </row>
        <row r="448">
          <cell r="A448" t="str">
            <v>CD140</v>
          </cell>
          <cell r="B448" t="str">
            <v>06.3231</v>
          </cell>
          <cell r="C448" t="str">
            <v>Cổ dê kẹp ống PVC Ø 140</v>
          </cell>
        </row>
        <row r="449">
          <cell r="A449" t="str">
            <v>CD140TK</v>
          </cell>
          <cell r="B449" t="str">
            <v>06.3231</v>
          </cell>
          <cell r="C449" t="str">
            <v>Cổ dê kẹp ống sắt Ø 140</v>
          </cell>
        </row>
        <row r="450">
          <cell r="A450" t="str">
            <v>CD195</v>
          </cell>
          <cell r="B450" t="str">
            <v>06.3231</v>
          </cell>
          <cell r="C450" t="str">
            <v>Cổ dê Ø 195 nẹp trụ</v>
          </cell>
        </row>
        <row r="451">
          <cell r="A451" t="str">
            <v>CD207</v>
          </cell>
          <cell r="B451" t="str">
            <v>06.3231</v>
          </cell>
          <cell r="C451" t="str">
            <v>Cổ dê Ø 207 nẹp trụ</v>
          </cell>
        </row>
        <row r="452">
          <cell r="A452" t="str">
            <v>CD220</v>
          </cell>
          <cell r="B452" t="str">
            <v>06.3231</v>
          </cell>
          <cell r="C452" t="str">
            <v>Cổ dê Ø 220 nẹp trụ</v>
          </cell>
        </row>
        <row r="453">
          <cell r="A453" t="str">
            <v>CD240</v>
          </cell>
          <cell r="B453" t="str">
            <v>06.3231</v>
          </cell>
          <cell r="C453" t="str">
            <v>Cổ dê  Ø 240-Fe 8x100</v>
          </cell>
        </row>
        <row r="454">
          <cell r="A454" t="str">
            <v>CD250</v>
          </cell>
          <cell r="B454" t="str">
            <v>06.3231</v>
          </cell>
          <cell r="C454" t="str">
            <v>Cổ dê Ø 250-Fe 8x100</v>
          </cell>
        </row>
        <row r="455">
          <cell r="A455" t="str">
            <v>CD320</v>
          </cell>
          <cell r="B455" t="str">
            <v>06.3231</v>
          </cell>
          <cell r="C455" t="str">
            <v>Cổ dê CDĐKĐT( bắt thùng điện kế)</v>
          </cell>
        </row>
        <row r="456">
          <cell r="A456" t="str">
            <v>Cdtrudoi</v>
          </cell>
          <cell r="B456" t="str">
            <v>06.3231</v>
          </cell>
          <cell r="C456" t="str">
            <v>Cổ dê trụ đôi bắt sứ treo</v>
          </cell>
        </row>
        <row r="457">
          <cell r="A457" t="str">
            <v>CdtrudoiHT</v>
          </cell>
          <cell r="B457" t="str">
            <v>06.3231</v>
          </cell>
          <cell r="C457" t="str">
            <v xml:space="preserve">Cổ dê trụ đôi 8,4m bắt móc dừng </v>
          </cell>
        </row>
        <row r="458">
          <cell r="A458" t="str">
            <v>Cdedaucap</v>
          </cell>
          <cell r="B458" t="str">
            <v>06.3231</v>
          </cell>
          <cell r="C458" t="str">
            <v xml:space="preserve">Cổ dê giữ dầu cáp+Bulon </v>
          </cell>
        </row>
        <row r="459">
          <cell r="A459" t="str">
            <v>Cdtrudoi140</v>
          </cell>
          <cell r="B459" t="str">
            <v>06.3231</v>
          </cell>
          <cell r="C459" t="str">
            <v xml:space="preserve">Cổ dê giữ ống D140 vào trụ đôi + Bulon </v>
          </cell>
        </row>
        <row r="460">
          <cell r="A460" t="str">
            <v>Cdtru140</v>
          </cell>
          <cell r="B460" t="str">
            <v>06.3231</v>
          </cell>
          <cell r="C460" t="str">
            <v xml:space="preserve">Cổ dê giữ ống D140 vào trụ + Bulon </v>
          </cell>
        </row>
        <row r="461">
          <cell r="A461" t="str">
            <v>Cdeoptru</v>
          </cell>
          <cell r="B461" t="str">
            <v>06.3231</v>
          </cell>
          <cell r="C461" t="str">
            <v xml:space="preserve">Cổ dê giữ ống PVC D168+Bulon </v>
          </cell>
        </row>
        <row r="462">
          <cell r="A462" t="str">
            <v>CD bắt xà</v>
          </cell>
          <cell r="B462" t="str">
            <v>06.3231</v>
          </cell>
          <cell r="C462" t="str">
            <v>Cổ dê bắt xà + bulon</v>
          </cell>
        </row>
        <row r="463">
          <cell r="A463" t="str">
            <v>CD30x3</v>
          </cell>
          <cell r="B463" t="str">
            <v>06.3231</v>
          </cell>
          <cell r="C463" t="str">
            <v>Côllier 30x3 (290-320)</v>
          </cell>
        </row>
        <row r="464">
          <cell r="A464" t="str">
            <v>CD25x2</v>
          </cell>
          <cell r="B464" t="str">
            <v>06.3231</v>
          </cell>
          <cell r="C464" t="str">
            <v>Côllier 25x2</v>
          </cell>
        </row>
        <row r="465">
          <cell r="A465" t="str">
            <v>CD21T</v>
          </cell>
          <cell r="B465" t="str">
            <v>06.3231</v>
          </cell>
          <cell r="C465" t="str">
            <v>Cổ dê giữ ống PVC Ø 21 vào tường + Bulon + long đền + tắc kê sắt</v>
          </cell>
        </row>
        <row r="466">
          <cell r="A466" t="str">
            <v>Cd42T</v>
          </cell>
          <cell r="B466" t="str">
            <v>06.3231</v>
          </cell>
          <cell r="C466" t="str">
            <v>Cổ dê giữ ống PVC D42</v>
          </cell>
        </row>
        <row r="467">
          <cell r="A467" t="str">
            <v>Cd114T</v>
          </cell>
          <cell r="B467" t="str">
            <v>06.3231</v>
          </cell>
          <cell r="C467" t="str">
            <v>Cổ dê giữ 2 ống PVC D114 vào tường+Boulon+long đền+tắc ke sắt</v>
          </cell>
        </row>
        <row r="468">
          <cell r="A468" t="str">
            <v>Cd140T</v>
          </cell>
          <cell r="B468" t="str">
            <v>06.3231</v>
          </cell>
          <cell r="C468" t="str">
            <v>Cổ dê giữ ống STK D140 vào tường+Boulon+long đền+tắc ke sắt</v>
          </cell>
        </row>
        <row r="469">
          <cell r="A469" t="str">
            <v>CD5x50</v>
          </cell>
          <cell r="B469" t="str">
            <v>06.3231</v>
          </cell>
          <cell r="C469" t="str">
            <v>Cổ dê bắt tủ</v>
          </cell>
        </row>
        <row r="470">
          <cell r="A470" t="str">
            <v>CD6x60</v>
          </cell>
          <cell r="B470" t="str">
            <v>06.3231</v>
          </cell>
          <cell r="C470" t="str">
            <v>Cổ dê bắt tủ trạm trụ ghép D320/60x6</v>
          </cell>
        </row>
        <row r="471">
          <cell r="A471" t="str">
            <v>CDXA</v>
          </cell>
          <cell r="B471" t="str">
            <v>06.3231</v>
          </cell>
          <cell r="C471" t="str">
            <v xml:space="preserve">Cổ dê chống lắc 8x80x800 </v>
          </cell>
        </row>
        <row r="472">
          <cell r="A472" t="str">
            <v>COM110x800x5-2,4</v>
          </cell>
          <cell r="C472" t="str">
            <v>Xà composite 110x800x5 dài 2,4m</v>
          </cell>
        </row>
        <row r="473">
          <cell r="A473" t="str">
            <v>COM110x800x5-2,6</v>
          </cell>
          <cell r="C473" t="str">
            <v>Xà composite 110x800x5 dài 2,6m</v>
          </cell>
        </row>
        <row r="474">
          <cell r="A474" t="str">
            <v>COM08</v>
          </cell>
          <cell r="C474" t="str">
            <v>Đà Composite 110x80x5x800</v>
          </cell>
        </row>
        <row r="475">
          <cell r="A475" t="str">
            <v>COM08-720</v>
          </cell>
          <cell r="C475" t="str">
            <v>Đà composite 0,8m + Thanh chống đà 720</v>
          </cell>
        </row>
        <row r="476">
          <cell r="A476" t="str">
            <v>com40x10x720</v>
          </cell>
          <cell r="C476" t="str">
            <v>Thanh chống Composite 10x40x720</v>
          </cell>
        </row>
        <row r="477">
          <cell r="A477" t="str">
            <v>COM110x800x5</v>
          </cell>
          <cell r="C477" t="str">
            <v>Xà composite 110x800x5</v>
          </cell>
        </row>
        <row r="478">
          <cell r="A478" t="str">
            <v>COM40X10X920</v>
          </cell>
          <cell r="C478" t="str">
            <v>Chống composite 40x10x920</v>
          </cell>
        </row>
        <row r="479">
          <cell r="A479" t="str">
            <v>T75</v>
          </cell>
          <cell r="C479" t="str">
            <v>Trụ BTLT 7,5m F200 dự ứng lực</v>
          </cell>
        </row>
        <row r="480">
          <cell r="A480" t="str">
            <v>T84</v>
          </cell>
          <cell r="C480" t="str">
            <v>Trụ BTLT 8,4m F200 dự ứng lực</v>
          </cell>
        </row>
        <row r="481">
          <cell r="A481" t="str">
            <v>T84td</v>
          </cell>
          <cell r="C481" t="str">
            <v>Trụ BTLT 8,4m F200 dự ứng lực có dây tiếp địa</v>
          </cell>
        </row>
        <row r="482">
          <cell r="A482" t="str">
            <v>T85</v>
          </cell>
          <cell r="C482" t="str">
            <v>Trụ BTLT 8,5m F200 dự ứng lực</v>
          </cell>
        </row>
        <row r="483">
          <cell r="A483" t="str">
            <v>T10</v>
          </cell>
          <cell r="C483" t="str">
            <v>Trụ BTLT 10,5m F480 dự ứng lực</v>
          </cell>
        </row>
        <row r="484">
          <cell r="A484" t="str">
            <v>T105</v>
          </cell>
          <cell r="C484" t="str">
            <v>Trụ BTLT 10,5m F350 dự ứng lực</v>
          </cell>
        </row>
        <row r="485">
          <cell r="A485" t="str">
            <v>T12</v>
          </cell>
          <cell r="C485" t="str">
            <v>Trụ BTLT 12m F540 dự ứng lực</v>
          </cell>
        </row>
        <row r="486">
          <cell r="A486" t="str">
            <v>T12TĐ</v>
          </cell>
          <cell r="C486" t="str">
            <v>Trụ BTLT 12m F540 dự ứng lực (tiếp địa có sẵn)</v>
          </cell>
        </row>
        <row r="487">
          <cell r="A487" t="str">
            <v>T14</v>
          </cell>
          <cell r="C487" t="str">
            <v>Trụ BTLT 14m F650 dự ứng lực</v>
          </cell>
        </row>
        <row r="488">
          <cell r="A488" t="str">
            <v>T20</v>
          </cell>
          <cell r="C488" t="str">
            <v>Trụ BTLT 20m F1000 dự ứng lực</v>
          </cell>
        </row>
        <row r="489">
          <cell r="A489" t="str">
            <v>SON</v>
          </cell>
          <cell r="C489" t="str">
            <v>Sơn màu</v>
          </cell>
        </row>
        <row r="490">
          <cell r="A490" t="str">
            <v>SONCR</v>
          </cell>
          <cell r="C490" t="str">
            <v>Sơn chống rỉ</v>
          </cell>
        </row>
        <row r="491">
          <cell r="A491" t="str">
            <v>NU</v>
          </cell>
          <cell r="C491" t="str">
            <v>Nước đổ bê tông</v>
          </cell>
        </row>
        <row r="492">
          <cell r="A492" t="str">
            <v>GO</v>
          </cell>
          <cell r="C492" t="str">
            <v>Gỗ ván khuôn</v>
          </cell>
        </row>
        <row r="493">
          <cell r="A493" t="str">
            <v>DINH</v>
          </cell>
          <cell r="C493" t="str">
            <v>Đinh các loại</v>
          </cell>
        </row>
        <row r="494">
          <cell r="A494" t="str">
            <v>D1x2</v>
          </cell>
          <cell r="C494" t="str">
            <v>Đá 1x2</v>
          </cell>
        </row>
        <row r="495">
          <cell r="A495" t="str">
            <v>D0x4</v>
          </cell>
          <cell r="C495" t="str">
            <v>Đá 0x4</v>
          </cell>
        </row>
        <row r="496">
          <cell r="A496" t="str">
            <v>D2x4</v>
          </cell>
          <cell r="C496" t="str">
            <v>Đá 2x4</v>
          </cell>
        </row>
        <row r="497">
          <cell r="A497" t="str">
            <v>D4x6</v>
          </cell>
          <cell r="C497" t="str">
            <v>Đá 4x6</v>
          </cell>
        </row>
        <row r="498">
          <cell r="A498" t="str">
            <v>cat</v>
          </cell>
          <cell r="C498" t="str">
            <v>Cát vàng</v>
          </cell>
        </row>
        <row r="499">
          <cell r="A499" t="str">
            <v>cv</v>
          </cell>
          <cell r="C499" t="str">
            <v>Cát vàng</v>
          </cell>
        </row>
        <row r="500">
          <cell r="A500" t="str">
            <v>gachong</v>
          </cell>
          <cell r="C500" t="str">
            <v>Gạch ống</v>
          </cell>
        </row>
        <row r="501">
          <cell r="A501" t="str">
            <v>gachtau</v>
          </cell>
          <cell r="C501" t="str">
            <v>Gạch tàu</v>
          </cell>
        </row>
        <row r="502">
          <cell r="A502" t="str">
            <v>gachthe</v>
          </cell>
          <cell r="C502" t="str">
            <v>Gạch thẻ</v>
          </cell>
        </row>
        <row r="503">
          <cell r="A503" t="str">
            <v>XM</v>
          </cell>
          <cell r="C503" t="str">
            <v>Ximăng (PC40)</v>
          </cell>
        </row>
        <row r="504">
          <cell r="A504" t="str">
            <v>qhan</v>
          </cell>
          <cell r="C504" t="str">
            <v>Que hàn điện</v>
          </cell>
        </row>
        <row r="505">
          <cell r="A505" t="str">
            <v>coson</v>
          </cell>
          <cell r="C505" t="str">
            <v>Cọ sơn</v>
          </cell>
        </row>
        <row r="506">
          <cell r="A506" t="str">
            <v>Nilong</v>
          </cell>
          <cell r="C506" t="str">
            <v>Tấm nilông màu cảnh báo</v>
          </cell>
        </row>
        <row r="507">
          <cell r="A507" t="str">
            <v>NLON</v>
          </cell>
          <cell r="C507" t="str">
            <v>Nylon làm dấu khổ 0.6m</v>
          </cell>
        </row>
        <row r="508">
          <cell r="A508" t="str">
            <v>thepb</v>
          </cell>
          <cell r="C508" t="str">
            <v>Dây thép buộc A70</v>
          </cell>
        </row>
        <row r="509">
          <cell r="A509" t="str">
            <v>daucap50</v>
          </cell>
          <cell r="C509" t="str">
            <v>Đầu cáp ngầm 24KV 3x50mm2 outdoor</v>
          </cell>
        </row>
        <row r="510">
          <cell r="A510" t="str">
            <v>daucap70</v>
          </cell>
          <cell r="C510" t="str">
            <v>Đầu cáp ngầm 24KV 3x70mm2 outdoor</v>
          </cell>
        </row>
        <row r="511">
          <cell r="A511" t="str">
            <v>daucap95</v>
          </cell>
          <cell r="C511" t="str">
            <v>Đầu cáp ngầm 24KV 3x95mm2 outdoor</v>
          </cell>
        </row>
        <row r="512">
          <cell r="A512" t="str">
            <v>daucap120</v>
          </cell>
          <cell r="C512" t="str">
            <v>Đầu cáp ngầm 24KV 3x120mm2 outdoor</v>
          </cell>
        </row>
        <row r="513">
          <cell r="A513" t="str">
            <v>daucap150</v>
          </cell>
          <cell r="C513" t="str">
            <v>Đầu cáp ngầm 24kV 3x150mm2 outdoor</v>
          </cell>
        </row>
        <row r="514">
          <cell r="A514" t="str">
            <v>daucap185</v>
          </cell>
          <cell r="C514" t="str">
            <v>Đầu cáp ngầm 24kV 3x185mm2 outdoor</v>
          </cell>
        </row>
        <row r="515">
          <cell r="A515" t="str">
            <v>daucap240</v>
          </cell>
          <cell r="C515" t="str">
            <v>Đầu cáp ngầm 24kV 3x240mm2 outdoor</v>
          </cell>
        </row>
        <row r="516">
          <cell r="A516" t="str">
            <v>daucap50in</v>
          </cell>
          <cell r="C516" t="str">
            <v>Đầu cáp ngầm 24KV 3x50mm2 indoor</v>
          </cell>
        </row>
        <row r="517">
          <cell r="A517" t="str">
            <v>daucap70in</v>
          </cell>
          <cell r="C517" t="str">
            <v>Đầu cáp ngầm 24KV 3x70mm2 indoor</v>
          </cell>
        </row>
        <row r="518">
          <cell r="A518" t="str">
            <v>daucap95in</v>
          </cell>
          <cell r="C518" t="str">
            <v>Đầu cáp ngầm 24KV 3x95mm2 indoor</v>
          </cell>
        </row>
        <row r="519">
          <cell r="A519" t="str">
            <v>daucap120in</v>
          </cell>
          <cell r="C519" t="str">
            <v>Đầu cáp ngầm 24KV 3x120mm2 indoor</v>
          </cell>
        </row>
        <row r="520">
          <cell r="A520" t="str">
            <v>daucap150in</v>
          </cell>
          <cell r="C520" t="str">
            <v>Đầu cáp ngầm 24kV 3x150mm2 indoor</v>
          </cell>
        </row>
        <row r="521">
          <cell r="A521" t="str">
            <v>daucap185in</v>
          </cell>
          <cell r="C521" t="str">
            <v>Đầu cáp ngầm 24kV 3x185mm2 indoor</v>
          </cell>
        </row>
        <row r="522">
          <cell r="A522" t="str">
            <v>daucap240in</v>
          </cell>
          <cell r="C522" t="str">
            <v>Đầu cáp ngầm 24kV 3x240mm2 indoor</v>
          </cell>
        </row>
        <row r="523">
          <cell r="A523" t="str">
            <v>DCAPHT3185</v>
          </cell>
          <cell r="C523" t="str">
            <v>Đầu cáp ngầm hạ thế 3x185+120mm2</v>
          </cell>
        </row>
        <row r="524">
          <cell r="A524" t="str">
            <v>DCAPHT3120</v>
          </cell>
          <cell r="C524" t="str">
            <v>Đầu cáp ngầm hạ thế 3x120+70mm2</v>
          </cell>
        </row>
        <row r="525">
          <cell r="A525" t="str">
            <v>DCAPHT395</v>
          </cell>
          <cell r="C525" t="str">
            <v>Đầu cáp ngầm hạ thế 3x95+50mm2</v>
          </cell>
        </row>
        <row r="526">
          <cell r="A526" t="str">
            <v>DCAPHT370</v>
          </cell>
          <cell r="C526" t="str">
            <v>Đầu cáp ngầm hạ thế 3x70+50mm2</v>
          </cell>
        </row>
        <row r="527">
          <cell r="A527" t="str">
            <v>DCAPHT350+35</v>
          </cell>
          <cell r="C527" t="str">
            <v>Đầu cáp ngầm hạ thế 3x50+35mm2</v>
          </cell>
        </row>
        <row r="528">
          <cell r="A528" t="str">
            <v>DCAPHT350</v>
          </cell>
          <cell r="C528" t="str">
            <v>Đầu cáp ngầm hạ thế 3x50</v>
          </cell>
        </row>
        <row r="529">
          <cell r="A529" t="str">
            <v>stk42</v>
          </cell>
          <cell r="C529" t="str">
            <v>ÔÁng sắt tráng kẽm D42</v>
          </cell>
        </row>
        <row r="530">
          <cell r="A530" t="str">
            <v>stk60</v>
          </cell>
          <cell r="C530" t="str">
            <v>ÔÁng sắt tráng kẽm D60</v>
          </cell>
        </row>
        <row r="531">
          <cell r="A531" t="str">
            <v>stk90</v>
          </cell>
          <cell r="B531" t="str">
            <v>07.2204</v>
          </cell>
          <cell r="C531" t="str">
            <v>ÔÁng sắt tráng kẽm D90</v>
          </cell>
        </row>
        <row r="532">
          <cell r="A532" t="str">
            <v>stk114</v>
          </cell>
          <cell r="B532" t="str">
            <v>07.2204</v>
          </cell>
          <cell r="C532" t="str">
            <v>ÔÁng sắt tráng kẽm D114</v>
          </cell>
        </row>
        <row r="533">
          <cell r="A533" t="str">
            <v>stk140</v>
          </cell>
          <cell r="B533" t="str">
            <v>07.2204</v>
          </cell>
          <cell r="C533" t="str">
            <v>ÔÁng sắt tráng kẽm D140</v>
          </cell>
        </row>
        <row r="534">
          <cell r="A534" t="str">
            <v>stk160</v>
          </cell>
          <cell r="B534" t="str">
            <v>07.2204</v>
          </cell>
          <cell r="C534" t="str">
            <v>ÔÁng sắt tráng kẽm D160</v>
          </cell>
        </row>
        <row r="535">
          <cell r="A535" t="str">
            <v>stk168</v>
          </cell>
          <cell r="B535" t="str">
            <v>07.2204</v>
          </cell>
          <cell r="C535" t="str">
            <v>ÔÁng sắt tráng kẽm D168</v>
          </cell>
        </row>
        <row r="536">
          <cell r="A536" t="str">
            <v>costk114</v>
          </cell>
          <cell r="C536" t="str">
            <v>Măng sông STK 114</v>
          </cell>
        </row>
        <row r="537">
          <cell r="A537" t="str">
            <v>costk90</v>
          </cell>
          <cell r="C537" t="str">
            <v>Măng sông STK 90</v>
          </cell>
        </row>
        <row r="538">
          <cell r="A538" t="str">
            <v>YC</v>
          </cell>
          <cell r="C538" t="str">
            <v>Yếm cáp dày 2mm</v>
          </cell>
        </row>
        <row r="539">
          <cell r="A539" t="str">
            <v>DBCST</v>
          </cell>
          <cell r="C539" t="str">
            <v>Dây phi kim buộc cổ sứ (trụ thẳng)</v>
          </cell>
        </row>
        <row r="540">
          <cell r="A540" t="str">
            <v>DBCSG</v>
          </cell>
          <cell r="C540" t="str">
            <v>Dây phi kim buộc cổ sứ (trụ góc)</v>
          </cell>
        </row>
        <row r="541">
          <cell r="A541" t="str">
            <v>ssf-50</v>
          </cell>
          <cell r="C541" t="str">
            <v>Dây buộc cổ sứ cỡ dây 50mm2</v>
          </cell>
        </row>
        <row r="542">
          <cell r="A542" t="str">
            <v>ke189</v>
          </cell>
          <cell r="C542" t="str">
            <v>Kẹp ép WR 189</v>
          </cell>
        </row>
        <row r="543">
          <cell r="A543" t="str">
            <v>Mã</v>
          </cell>
          <cell r="B543" t="str">
            <v>MHĐG</v>
          </cell>
          <cell r="C543" t="str">
            <v>Công việc</v>
          </cell>
        </row>
        <row r="544">
          <cell r="A544">
            <v>1</v>
          </cell>
          <cell r="B544">
            <v>2</v>
          </cell>
          <cell r="C544">
            <v>3</v>
          </cell>
        </row>
        <row r="545">
          <cell r="A545" t="str">
            <v>MDDA1</v>
          </cell>
          <cell r="B545" t="str">
            <v>03.8133</v>
          </cell>
          <cell r="C545" t="str">
            <v>Phá đá chân hố móng, đá cấp I</v>
          </cell>
        </row>
        <row r="546">
          <cell r="A546" t="str">
            <v>MDDA2</v>
          </cell>
          <cell r="B546" t="str">
            <v>03.8133</v>
          </cell>
          <cell r="C546" t="str">
            <v>Phá đá chân hố móng, đá cấp II</v>
          </cell>
        </row>
        <row r="547">
          <cell r="A547" t="str">
            <v>MDD11</v>
          </cell>
          <cell r="B547" t="str">
            <v>03.1101</v>
          </cell>
          <cell r="C547" t="str">
            <v>Đào hố móng đất cấp 1 sâu &lt;=1m</v>
          </cell>
        </row>
        <row r="548">
          <cell r="A548" t="str">
            <v>MDD21</v>
          </cell>
          <cell r="B548" t="str">
            <v>03.1102</v>
          </cell>
          <cell r="C548" t="str">
            <v>Đào hố móng đất cấp 2 sâu &lt;=1m</v>
          </cell>
        </row>
        <row r="549">
          <cell r="A549" t="str">
            <v>MDD31</v>
          </cell>
          <cell r="B549" t="str">
            <v>03.1103</v>
          </cell>
          <cell r="C549" t="str">
            <v>Đào hố móng đất cấp 3 sâu &lt;=1m</v>
          </cell>
        </row>
        <row r="550">
          <cell r="A550" t="str">
            <v>MDD41</v>
          </cell>
          <cell r="B550" t="str">
            <v>03.1104</v>
          </cell>
          <cell r="C550" t="str">
            <v>Đào hố móng đất cấp 4 sâu &lt;=1m</v>
          </cell>
        </row>
        <row r="551">
          <cell r="A551" t="str">
            <v>MDD2</v>
          </cell>
          <cell r="B551" t="str">
            <v>03.1112</v>
          </cell>
          <cell r="C551" t="str">
            <v>Đào hố móng đất cấp 2 sâu &gt;1m</v>
          </cell>
        </row>
        <row r="552">
          <cell r="A552" t="str">
            <v>MDD3</v>
          </cell>
          <cell r="B552" t="str">
            <v>03.1013</v>
          </cell>
          <cell r="C552" t="str">
            <v>Đào hố móng đất cấp 3 sâu &gt;1m</v>
          </cell>
        </row>
        <row r="553">
          <cell r="A553" t="str">
            <v>AH2120</v>
          </cell>
          <cell r="B553" t="str">
            <v>03.1113</v>
          </cell>
          <cell r="C553" t="str">
            <v>Khoan cắt BT bằng máy khoan cằm tay</v>
          </cell>
        </row>
        <row r="554">
          <cell r="A554" t="str">
            <v>MDD4</v>
          </cell>
          <cell r="B554" t="str">
            <v>03.1114</v>
          </cell>
          <cell r="C554" t="str">
            <v>Đào hố móng đất cấp 4 sâu &gt;1m</v>
          </cell>
        </row>
        <row r="555">
          <cell r="A555" t="str">
            <v>MDAP1</v>
          </cell>
          <cell r="B555" t="str">
            <v>03.2201</v>
          </cell>
          <cell r="C555" t="str">
            <v>Đắp đất hố móng, đất cấp 1</v>
          </cell>
        </row>
        <row r="556">
          <cell r="A556" t="str">
            <v>MDAP2</v>
          </cell>
          <cell r="B556" t="str">
            <v>03.2202</v>
          </cell>
          <cell r="C556" t="str">
            <v>Đắp đất hố móng, đất cấp 2</v>
          </cell>
        </row>
        <row r="557">
          <cell r="A557" t="str">
            <v>MDAP3</v>
          </cell>
          <cell r="B557" t="str">
            <v>03.4113</v>
          </cell>
          <cell r="C557" t="str">
            <v>Đắp đất hố móng, độ chặt k=0,95</v>
          </cell>
        </row>
        <row r="558">
          <cell r="A558" t="str">
            <v>MDAP4</v>
          </cell>
          <cell r="B558" t="str">
            <v>03.2203</v>
          </cell>
          <cell r="C558" t="str">
            <v>Đắp đất hố móng, đất cấp 4</v>
          </cell>
        </row>
        <row r="559">
          <cell r="A559" t="str">
            <v>DMC2</v>
          </cell>
          <cell r="B559" t="str">
            <v>03.3102</v>
          </cell>
          <cell r="C559" t="str">
            <v>Đào mương cáp ngầm đất cấp 2</v>
          </cell>
        </row>
        <row r="560">
          <cell r="A560" t="str">
            <v>DMC3</v>
          </cell>
          <cell r="B560" t="str">
            <v>03.3103</v>
          </cell>
          <cell r="C560" t="str">
            <v>Đào mương cáp ngầm đất cấp 3</v>
          </cell>
        </row>
        <row r="561">
          <cell r="A561" t="str">
            <v>DMC4</v>
          </cell>
          <cell r="B561" t="str">
            <v>03.3104</v>
          </cell>
          <cell r="C561" t="str">
            <v>Đào mương cáp ngầm đất cấp 4</v>
          </cell>
        </row>
        <row r="562">
          <cell r="A562" t="str">
            <v>DDMC2</v>
          </cell>
          <cell r="B562" t="str">
            <v>03.3202</v>
          </cell>
          <cell r="C562" t="str">
            <v>Đắp đất mương cáp ngầm, đất cấp 2</v>
          </cell>
        </row>
        <row r="563">
          <cell r="A563" t="str">
            <v>DDMC3</v>
          </cell>
          <cell r="B563" t="str">
            <v>03.3203</v>
          </cell>
          <cell r="C563" t="str">
            <v>Đắp đất mương cáp ngầm, đất cấp 3</v>
          </cell>
        </row>
        <row r="564">
          <cell r="A564" t="str">
            <v>DDMC4</v>
          </cell>
          <cell r="B564" t="str">
            <v>03.3203</v>
          </cell>
          <cell r="C564" t="str">
            <v>Đắp đất mương cáp ngầm, đất cấp 4</v>
          </cell>
        </row>
        <row r="565">
          <cell r="A565" t="str">
            <v>DCAT</v>
          </cell>
          <cell r="B565" t="str">
            <v>03.7000</v>
          </cell>
          <cell r="C565" t="str">
            <v xml:space="preserve">Đắp cát </v>
          </cell>
        </row>
        <row r="566">
          <cell r="A566" t="str">
            <v>DD1x2</v>
          </cell>
          <cell r="B566" t="str">
            <v>03.7000</v>
          </cell>
          <cell r="C566" t="str">
            <v>Đắp đá 1x2</v>
          </cell>
        </row>
        <row r="567">
          <cell r="A567" t="str">
            <v>DD2x4</v>
          </cell>
          <cell r="B567" t="str">
            <v>03.7000</v>
          </cell>
          <cell r="C567" t="str">
            <v>Đắp đá 2x4</v>
          </cell>
        </row>
        <row r="568">
          <cell r="A568" t="str">
            <v>DTD2</v>
          </cell>
          <cell r="B568" t="str">
            <v>03.3102</v>
          </cell>
          <cell r="C568" t="str">
            <v>Đào rãnh tiếp địa đất cấp 2</v>
          </cell>
        </row>
        <row r="569">
          <cell r="A569" t="str">
            <v>DTD3</v>
          </cell>
          <cell r="B569" t="str">
            <v>03.3123</v>
          </cell>
          <cell r="C569" t="str">
            <v>Đào rãnh tiếp địa đất cấp 3</v>
          </cell>
        </row>
        <row r="570">
          <cell r="A570" t="str">
            <v>DTD4</v>
          </cell>
          <cell r="B570" t="str">
            <v>03.3103</v>
          </cell>
          <cell r="C570" t="str">
            <v>Đào rãnh tiếp địa đất cấp 4</v>
          </cell>
        </row>
        <row r="571">
          <cell r="A571" t="str">
            <v>DATD2</v>
          </cell>
          <cell r="B571" t="str">
            <v>03.3202</v>
          </cell>
          <cell r="C571" t="str">
            <v>Đắp đất rãnh tiếp địa cấp 2</v>
          </cell>
        </row>
        <row r="572">
          <cell r="A572" t="str">
            <v>DATD3</v>
          </cell>
          <cell r="B572" t="str">
            <v>03.4123</v>
          </cell>
          <cell r="C572" t="str">
            <v>Đắp đất rãnh tiếp độ chặt k=0,85</v>
          </cell>
        </row>
        <row r="573">
          <cell r="A573" t="str">
            <v>DATD4</v>
          </cell>
          <cell r="B573" t="str">
            <v>03.3203</v>
          </cell>
          <cell r="C573" t="str">
            <v>Đắp đất rãnh tiếp địa cấp 4</v>
          </cell>
        </row>
        <row r="574">
          <cell r="A574" t="str">
            <v>LGIA</v>
          </cell>
          <cell r="B574" t="str">
            <v>05.6101</v>
          </cell>
          <cell r="C574" t="str">
            <v>Lắp Giá đỡ cáp</v>
          </cell>
        </row>
        <row r="575">
          <cell r="A575" t="str">
            <v>lapkep</v>
          </cell>
          <cell r="B575" t="str">
            <v>04.3107</v>
          </cell>
          <cell r="C575" t="str">
            <v>Lắp kẹp các loại</v>
          </cell>
        </row>
        <row r="576">
          <cell r="A576" t="str">
            <v>LGACH</v>
          </cell>
          <cell r="B576" t="str">
            <v>07.2104</v>
          </cell>
          <cell r="C576" t="str">
            <v>Lắp gạch làm dấu</v>
          </cell>
        </row>
        <row r="577">
          <cell r="A577" t="str">
            <v>LNLON</v>
          </cell>
          <cell r="C577" t="str">
            <v>Lắp Nylon làm dấu</v>
          </cell>
        </row>
        <row r="578">
          <cell r="A578" t="str">
            <v>M15</v>
          </cell>
          <cell r="B578" t="str">
            <v>04.3801</v>
          </cell>
          <cell r="C578" t="str">
            <v>Đặt đà cản 1,5m</v>
          </cell>
        </row>
        <row r="579">
          <cell r="A579" t="str">
            <v>MD25</v>
          </cell>
          <cell r="B579" t="str">
            <v>04.3802</v>
          </cell>
          <cell r="C579" t="str">
            <v xml:space="preserve">Đặt đà cản 2,5m </v>
          </cell>
        </row>
        <row r="580">
          <cell r="A580" t="str">
            <v>DCT25</v>
          </cell>
          <cell r="B580" t="str">
            <v>04.5142</v>
          </cell>
          <cell r="C580" t="str">
            <v>Đóng cừ tràm 2,5 m</v>
          </cell>
        </row>
        <row r="581">
          <cell r="A581" t="str">
            <v>DCT30</v>
          </cell>
          <cell r="B581" t="str">
            <v>04.5142</v>
          </cell>
          <cell r="C581" t="str">
            <v>Đóng cừ tràm 3 m</v>
          </cell>
        </row>
        <row r="582">
          <cell r="A582" t="str">
            <v>DCT50</v>
          </cell>
          <cell r="B582" t="str">
            <v>04.5142</v>
          </cell>
          <cell r="C582" t="str">
            <v>Đóng cừ tràm 5 m</v>
          </cell>
        </row>
        <row r="583">
          <cell r="A583" t="str">
            <v>QBT</v>
          </cell>
          <cell r="B583" t="str">
            <v>04.9001</v>
          </cell>
          <cell r="C583" t="str">
            <v>Quét nhựa bi tum nóng (0,2kg/m2)</v>
          </cell>
        </row>
        <row r="584">
          <cell r="A584" t="str">
            <v>VCDA1</v>
          </cell>
          <cell r="B584" t="str">
            <v>02.1451</v>
          </cell>
          <cell r="C584" t="str">
            <v>V/c đà cản vào vị trí (cự ly &lt;=100m)</v>
          </cell>
        </row>
        <row r="585">
          <cell r="A585" t="str">
            <v>VCDA2</v>
          </cell>
          <cell r="B585" t="str">
            <v>02.1452</v>
          </cell>
          <cell r="C585" t="str">
            <v>V/c đà cản vào vị trí (cự ly &lt;=300m)</v>
          </cell>
        </row>
        <row r="586">
          <cell r="A586" t="str">
            <v>VCDA3</v>
          </cell>
          <cell r="B586" t="str">
            <v>02.1453</v>
          </cell>
          <cell r="C586" t="str">
            <v>V/c đà cản vào vị trí (cự ly &lt;=500m)</v>
          </cell>
        </row>
        <row r="587">
          <cell r="A587" t="str">
            <v>VCDA4</v>
          </cell>
          <cell r="B587" t="str">
            <v>02.1454</v>
          </cell>
          <cell r="C587" t="str">
            <v>V/c đà cản vào vị trí (cự ly&gt;500m)</v>
          </cell>
        </row>
        <row r="588">
          <cell r="A588" t="str">
            <v>VCDN1</v>
          </cell>
          <cell r="B588" t="str">
            <v>02.1451</v>
          </cell>
          <cell r="C588" t="str">
            <v>V/c đế néo vào vị trí (cự ly &lt;=100m)</v>
          </cell>
        </row>
        <row r="589">
          <cell r="A589" t="str">
            <v>VCDN2</v>
          </cell>
          <cell r="B589" t="str">
            <v>02.1452</v>
          </cell>
          <cell r="C589" t="str">
            <v>V/c đế néo vào vị trí (cự ly &lt;=300m)</v>
          </cell>
        </row>
        <row r="590">
          <cell r="A590" t="str">
            <v>VCDN3</v>
          </cell>
          <cell r="B590" t="str">
            <v>02.1453</v>
          </cell>
          <cell r="C590" t="str">
            <v>V/c đế néo vào vị trí (cự ly &lt;=500m)</v>
          </cell>
        </row>
        <row r="591">
          <cell r="A591" t="str">
            <v>VCDN4</v>
          </cell>
          <cell r="B591" t="str">
            <v>02.1454</v>
          </cell>
          <cell r="C591" t="str">
            <v>V/c đế néo vào vị trí (cự ly&gt;500m)</v>
          </cell>
        </row>
        <row r="592">
          <cell r="A592" t="str">
            <v>VCNX1</v>
          </cell>
          <cell r="B592" t="str">
            <v>02.1421</v>
          </cell>
          <cell r="C592" t="str">
            <v>V/c neo xòe vào vị trí (cự ly &lt;=100m)</v>
          </cell>
        </row>
        <row r="593">
          <cell r="A593" t="str">
            <v>VCNX2</v>
          </cell>
          <cell r="B593" t="str">
            <v>02.1422</v>
          </cell>
          <cell r="C593" t="str">
            <v>V/c neo xòe vào vị trí (cự ly &lt;=300m)</v>
          </cell>
        </row>
        <row r="594">
          <cell r="A594" t="str">
            <v>VCNX3</v>
          </cell>
          <cell r="B594" t="str">
            <v>02.1423</v>
          </cell>
          <cell r="C594" t="str">
            <v>V/c neo xòe vào vị trí (cự ly &lt;=500m)</v>
          </cell>
        </row>
        <row r="595">
          <cell r="A595" t="str">
            <v>VCNX4</v>
          </cell>
          <cell r="B595" t="str">
            <v>02.1424</v>
          </cell>
          <cell r="C595" t="str">
            <v>V/c neo xòe vào vị trí (cự ly&gt;500m)</v>
          </cell>
        </row>
        <row r="596">
          <cell r="A596" t="str">
            <v>VCC1</v>
          </cell>
          <cell r="B596" t="str">
            <v>02.1461</v>
          </cell>
          <cell r="C596" t="str">
            <v>V/c cột vào vị trí (cự ly &lt;=100m)</v>
          </cell>
        </row>
        <row r="597">
          <cell r="A597" t="str">
            <v>VCC2</v>
          </cell>
          <cell r="B597" t="str">
            <v>02.1462</v>
          </cell>
          <cell r="C597" t="str">
            <v>V/c cột vào vị trí (cự ly &lt;=300m)</v>
          </cell>
        </row>
        <row r="598">
          <cell r="A598" t="str">
            <v>VCC3</v>
          </cell>
          <cell r="B598" t="str">
            <v>02.1463</v>
          </cell>
          <cell r="C598" t="str">
            <v>V/c cột vào vị trí (cự ly &lt;=500m)</v>
          </cell>
        </row>
        <row r="599">
          <cell r="A599" t="str">
            <v>VCC4</v>
          </cell>
          <cell r="B599" t="str">
            <v>02.1464</v>
          </cell>
          <cell r="C599" t="str">
            <v>V/c cột vào vị trí (cự ly &gt;500m)</v>
          </cell>
        </row>
        <row r="600">
          <cell r="A600" t="str">
            <v>VCPK1</v>
          </cell>
          <cell r="B600" t="str">
            <v>02.1421</v>
          </cell>
          <cell r="C600" t="str">
            <v>V/c phụ kiện vào vị trí ( cự ly &lt;=100m)</v>
          </cell>
        </row>
        <row r="601">
          <cell r="A601" t="str">
            <v>VCPK2</v>
          </cell>
          <cell r="B601" t="str">
            <v>02.1422</v>
          </cell>
          <cell r="C601" t="str">
            <v>V/c phụ kiện vào vị trí ( cự ly &lt;=300m)</v>
          </cell>
        </row>
        <row r="602">
          <cell r="A602" t="str">
            <v>VCPK3</v>
          </cell>
          <cell r="B602" t="str">
            <v>02.1423</v>
          </cell>
          <cell r="C602" t="str">
            <v>V/c phụ kiện vào vị trí ( cự ly &lt;=500m)</v>
          </cell>
        </row>
        <row r="603">
          <cell r="A603" t="str">
            <v>VCPK4</v>
          </cell>
          <cell r="B603" t="str">
            <v>02.1424</v>
          </cell>
          <cell r="C603" t="str">
            <v>V/c phụ kiện vào vị trí ( cự ly &gt;500m)</v>
          </cell>
        </row>
        <row r="604">
          <cell r="A604" t="str">
            <v>VCTD1</v>
          </cell>
          <cell r="B604" t="str">
            <v>02.1351</v>
          </cell>
          <cell r="C604" t="str">
            <v>V/c tiếp địa vào vị trí ( cự ly &lt;=100m)</v>
          </cell>
        </row>
        <row r="605">
          <cell r="A605" t="str">
            <v>VCTD2</v>
          </cell>
          <cell r="B605" t="str">
            <v>02.1352</v>
          </cell>
          <cell r="C605" t="str">
            <v>V/c tiếp địa vào vị trí ( cự ly &lt;=300m)</v>
          </cell>
        </row>
        <row r="606">
          <cell r="A606" t="str">
            <v>VCTD3</v>
          </cell>
          <cell r="B606" t="str">
            <v>02.1353</v>
          </cell>
          <cell r="C606" t="str">
            <v>V/c tiếp địa vào vị trí ( cự ly &lt;=500m)</v>
          </cell>
        </row>
        <row r="607">
          <cell r="A607" t="str">
            <v>VCTD4</v>
          </cell>
          <cell r="B607" t="str">
            <v>02.1354</v>
          </cell>
          <cell r="C607" t="str">
            <v>V/c tiếp địa vào vị trí ( cự ly &gt;500m)</v>
          </cell>
        </row>
        <row r="608">
          <cell r="A608" t="str">
            <v>VCD1</v>
          </cell>
          <cell r="B608" t="str">
            <v>02.1441</v>
          </cell>
          <cell r="C608" t="str">
            <v>V/c dây vào vị trí (cự ly &lt;=100m)</v>
          </cell>
        </row>
        <row r="609">
          <cell r="A609" t="str">
            <v>VCD2</v>
          </cell>
          <cell r="B609" t="str">
            <v>02.1442</v>
          </cell>
          <cell r="C609" t="str">
            <v>V/c dây vào vị trí (cự ly &lt;=300m)</v>
          </cell>
        </row>
        <row r="610">
          <cell r="A610" t="str">
            <v>VCD3</v>
          </cell>
          <cell r="B610" t="str">
            <v>02.1443</v>
          </cell>
          <cell r="C610" t="str">
            <v>V/c dây vào vị trí (cự ly &lt;=500m)</v>
          </cell>
        </row>
        <row r="611">
          <cell r="A611" t="str">
            <v>VCD4</v>
          </cell>
          <cell r="B611" t="str">
            <v>02.1444</v>
          </cell>
          <cell r="C611" t="str">
            <v>V/c dây vào vị trí (cự ly &gt; 500m)</v>
          </cell>
        </row>
        <row r="612">
          <cell r="A612" t="str">
            <v>VCS1</v>
          </cell>
          <cell r="B612" t="str">
            <v>02.1431</v>
          </cell>
          <cell r="C612" t="str">
            <v>V/c sứ và phụ kiện vào vị trí (cự ly &lt;=100m)</v>
          </cell>
        </row>
        <row r="613">
          <cell r="A613" t="str">
            <v>VCS2</v>
          </cell>
          <cell r="B613" t="str">
            <v>02.1432</v>
          </cell>
          <cell r="C613" t="str">
            <v>V/c sứ và phụ kiện vào vị trí (cự ly &lt;=300m)</v>
          </cell>
        </row>
        <row r="614">
          <cell r="A614" t="str">
            <v>VCS3</v>
          </cell>
          <cell r="B614" t="str">
            <v>02.1433</v>
          </cell>
          <cell r="C614" t="str">
            <v>V/c sứ và phụ kiện vào vị trí (cự ly &lt;=500m)</v>
          </cell>
        </row>
        <row r="615">
          <cell r="A615" t="str">
            <v>VCS4</v>
          </cell>
          <cell r="B615" t="str">
            <v>02.1434</v>
          </cell>
          <cell r="C615" t="str">
            <v>V/c sứ và phụ kiện vào vị trí (cự ly &gt; 500m)</v>
          </cell>
        </row>
        <row r="616">
          <cell r="A616" t="str">
            <v>VCX1</v>
          </cell>
          <cell r="B616" t="str">
            <v>02.1361</v>
          </cell>
          <cell r="C616" t="str">
            <v>V/c xà vào vị trí (cư ly &lt;=100m)</v>
          </cell>
        </row>
        <row r="617">
          <cell r="A617" t="str">
            <v>VCX2</v>
          </cell>
          <cell r="B617" t="str">
            <v>02.1362</v>
          </cell>
          <cell r="C617" t="str">
            <v>V/c xà vào vị trí (cư ly &lt;=300m)</v>
          </cell>
        </row>
        <row r="618">
          <cell r="A618" t="str">
            <v>VCX3</v>
          </cell>
          <cell r="B618" t="str">
            <v>02.1363</v>
          </cell>
          <cell r="C618" t="str">
            <v>V/c xà vào vị trí (cư ly &lt;=500m)</v>
          </cell>
        </row>
        <row r="619">
          <cell r="A619" t="str">
            <v>VCX4</v>
          </cell>
          <cell r="B619" t="str">
            <v>02.1364</v>
          </cell>
          <cell r="C619" t="str">
            <v>V/c xà vào vị trí (cư ly &gt;500m)</v>
          </cell>
        </row>
        <row r="620">
          <cell r="A620" t="str">
            <v>VCDC1</v>
          </cell>
          <cell r="B620" t="str">
            <v>02.1482</v>
          </cell>
          <cell r="C620" t="str">
            <v>V/c dụng cụ thi công ( cự ly &lt;=100m)</v>
          </cell>
        </row>
        <row r="621">
          <cell r="A621" t="str">
            <v>VCDC2</v>
          </cell>
          <cell r="B621" t="str">
            <v>02.1483</v>
          </cell>
          <cell r="C621" t="str">
            <v>V/c dụng cụ thi công ( cự ly &lt;=300m)</v>
          </cell>
        </row>
        <row r="622">
          <cell r="A622" t="str">
            <v>VCDC3</v>
          </cell>
          <cell r="B622" t="str">
            <v>02.1484</v>
          </cell>
          <cell r="C622" t="str">
            <v>V/c dụng cụ thi công ( cự ly &lt;=500m)</v>
          </cell>
        </row>
        <row r="623">
          <cell r="A623" t="str">
            <v>VCDC4</v>
          </cell>
          <cell r="B623" t="str">
            <v>02.1485</v>
          </cell>
          <cell r="C623" t="str">
            <v>V/c dụng cụ thi công ( cự ly &gt; 500m)</v>
          </cell>
        </row>
        <row r="624">
          <cell r="A624" t="str">
            <v>VCCT1</v>
          </cell>
          <cell r="B624" t="str">
            <v>02.1391</v>
          </cell>
          <cell r="C624" t="str">
            <v>V/c cừ tràm 2,5 -3m( cự ly &lt;=100m)</v>
          </cell>
        </row>
        <row r="625">
          <cell r="A625" t="str">
            <v>VCCT2</v>
          </cell>
          <cell r="B625" t="str">
            <v>02.1392</v>
          </cell>
          <cell r="C625" t="str">
            <v>V/c cừ tràm 2,5-3m ( cự ly &lt;=300m)</v>
          </cell>
        </row>
        <row r="626">
          <cell r="A626" t="str">
            <v>VCCT3</v>
          </cell>
          <cell r="B626" t="str">
            <v>02.1393</v>
          </cell>
          <cell r="C626" t="str">
            <v>V/c cừ tràm 2,5-3m ( cự ly &lt;=500m)</v>
          </cell>
        </row>
        <row r="627">
          <cell r="A627" t="str">
            <v>VCCT4</v>
          </cell>
          <cell r="B627" t="str">
            <v>02.1394</v>
          </cell>
          <cell r="C627" t="str">
            <v>V/c cừ tràm 2,5-3m ( cự ly &gt; 500m)</v>
          </cell>
        </row>
        <row r="628">
          <cell r="A628" t="str">
            <v>VCCT5</v>
          </cell>
          <cell r="B628" t="str">
            <v>02.1411</v>
          </cell>
          <cell r="C628" t="str">
            <v>V/c cừ tràm 5m ( cự ly &lt;=100m)</v>
          </cell>
        </row>
        <row r="629">
          <cell r="A629" t="str">
            <v>VCCT6</v>
          </cell>
          <cell r="B629" t="str">
            <v>02.1412</v>
          </cell>
          <cell r="C629" t="str">
            <v>V/c cừ tràm 5m ( cự ly &lt;=300m)</v>
          </cell>
        </row>
        <row r="630">
          <cell r="A630" t="str">
            <v>VCCT7</v>
          </cell>
          <cell r="B630" t="str">
            <v>02.1413</v>
          </cell>
          <cell r="C630" t="str">
            <v>V/c cừ tràm 5m ( cự ly &lt;=500m)</v>
          </cell>
        </row>
        <row r="631">
          <cell r="A631" t="str">
            <v>VCCT8</v>
          </cell>
          <cell r="B631" t="str">
            <v>02.1414</v>
          </cell>
          <cell r="C631" t="str">
            <v>V/c cừ tràm 5m ( cự ly &gt; 500m)</v>
          </cell>
        </row>
        <row r="632">
          <cell r="A632" t="str">
            <v>VCXM1</v>
          </cell>
          <cell r="B632" t="str">
            <v>02.1211</v>
          </cell>
          <cell r="C632" t="str">
            <v>V/c xi măng ( cự ly &lt;=100m)</v>
          </cell>
        </row>
        <row r="633">
          <cell r="A633" t="str">
            <v>VCXM2</v>
          </cell>
          <cell r="B633" t="str">
            <v>02.1212</v>
          </cell>
          <cell r="C633" t="str">
            <v>V/c xi măng ( cự ly &lt;=300m)</v>
          </cell>
        </row>
        <row r="634">
          <cell r="A634" t="str">
            <v>VCXM3</v>
          </cell>
          <cell r="B634" t="str">
            <v>02.1213</v>
          </cell>
          <cell r="C634" t="str">
            <v>V/c xi măng ( cự ly &lt;=500m)</v>
          </cell>
        </row>
        <row r="635">
          <cell r="A635" t="str">
            <v>VCXM4</v>
          </cell>
          <cell r="B635" t="str">
            <v>02.1214</v>
          </cell>
          <cell r="C635" t="str">
            <v>V/c xi măng ( cự ly &gt;500m)</v>
          </cell>
        </row>
        <row r="636">
          <cell r="A636" t="str">
            <v>VCLD1</v>
          </cell>
          <cell r="B636" t="str">
            <v>02.1241</v>
          </cell>
          <cell r="C636" t="str">
            <v>V/c đá dăm ( cự ly &lt;=100m)</v>
          </cell>
        </row>
        <row r="637">
          <cell r="A637" t="str">
            <v>VCLD2</v>
          </cell>
          <cell r="B637" t="str">
            <v>02.1242</v>
          </cell>
          <cell r="C637" t="str">
            <v>V/c đá dăm ( cự ly &lt;=300m)</v>
          </cell>
        </row>
        <row r="638">
          <cell r="A638" t="str">
            <v>VCLD3</v>
          </cell>
          <cell r="B638" t="str">
            <v>02.1243</v>
          </cell>
          <cell r="C638" t="str">
            <v>V/c đá dăm ( cự ly &lt;=500m)</v>
          </cell>
        </row>
        <row r="639">
          <cell r="A639" t="str">
            <v>VCLD4</v>
          </cell>
          <cell r="B639" t="str">
            <v>02.1244</v>
          </cell>
          <cell r="C639" t="str">
            <v>V/c đá dăm ( cự ly &gt;500m)</v>
          </cell>
        </row>
        <row r="640">
          <cell r="A640" t="str">
            <v>VCDAT1</v>
          </cell>
          <cell r="B640" t="str">
            <v>02.1264</v>
          </cell>
          <cell r="C640" t="str">
            <v>V/c đất đi đổ ( cự ly &gt;500m) Cấp I</v>
          </cell>
        </row>
        <row r="641">
          <cell r="A641" t="str">
            <v>VCDAT2</v>
          </cell>
          <cell r="B641" t="str">
            <v>02.1274</v>
          </cell>
          <cell r="C641" t="str">
            <v>V/c đất đi đổ ( cự ly &gt;500m) Cấp II</v>
          </cell>
        </row>
        <row r="642">
          <cell r="A642" t="str">
            <v>VCDAT3</v>
          </cell>
          <cell r="B642" t="str">
            <v>02.1284</v>
          </cell>
          <cell r="C642" t="str">
            <v>V/c đất đi đổ ( cự ly &gt;500m) Cấp III</v>
          </cell>
        </row>
        <row r="643">
          <cell r="A643" t="str">
            <v>VCDAT4</v>
          </cell>
          <cell r="B643" t="str">
            <v>02.1294</v>
          </cell>
          <cell r="C643" t="str">
            <v>V/c đất đi đổ ( cự ly &gt;500m) Cấp IV</v>
          </cell>
        </row>
        <row r="644">
          <cell r="A644" t="str">
            <v>VCCAT1D</v>
          </cell>
          <cell r="B644" t="str">
            <v>021221</v>
          </cell>
          <cell r="C644" t="str">
            <v>V/c cát đen cự ly &lt;=100m</v>
          </cell>
        </row>
        <row r="645">
          <cell r="A645" t="str">
            <v>VCCAT2d</v>
          </cell>
          <cell r="B645" t="str">
            <v>021222</v>
          </cell>
          <cell r="C645" t="str">
            <v>V/c cát đen cự ly &lt;=300m</v>
          </cell>
        </row>
        <row r="646">
          <cell r="A646" t="str">
            <v>VCCAT3d</v>
          </cell>
          <cell r="B646" t="str">
            <v>021223</v>
          </cell>
          <cell r="C646" t="str">
            <v>V/c cát đen cự ly &lt;=500m</v>
          </cell>
        </row>
        <row r="647">
          <cell r="A647" t="str">
            <v>VCCAT4d</v>
          </cell>
          <cell r="B647" t="str">
            <v>021224</v>
          </cell>
          <cell r="C647" t="str">
            <v>V/c cát đen cự ly &gt;500m</v>
          </cell>
        </row>
        <row r="648">
          <cell r="A648" t="str">
            <v>VCCAT1</v>
          </cell>
          <cell r="B648" t="str">
            <v>02.1231</v>
          </cell>
          <cell r="C648" t="str">
            <v>V/c cát vàng cự ly &lt;=100m</v>
          </cell>
        </row>
        <row r="649">
          <cell r="A649" t="str">
            <v>VCCAT2</v>
          </cell>
          <cell r="B649" t="str">
            <v>02.1232</v>
          </cell>
          <cell r="C649" t="str">
            <v>V/c cát vàng cự ly &lt;=300m</v>
          </cell>
        </row>
        <row r="650">
          <cell r="A650" t="str">
            <v>VCCAT3</v>
          </cell>
          <cell r="B650" t="str">
            <v>02.1233</v>
          </cell>
          <cell r="C650" t="str">
            <v>V/c cát vàng cự ly &lt;=500m</v>
          </cell>
        </row>
        <row r="651">
          <cell r="A651" t="str">
            <v>VCCAT4</v>
          </cell>
          <cell r="B651" t="str">
            <v>02.1234</v>
          </cell>
          <cell r="C651" t="str">
            <v>V/c cát cự vàng ly &gt;500m</v>
          </cell>
        </row>
        <row r="652">
          <cell r="A652" t="str">
            <v>VCFE1</v>
          </cell>
          <cell r="B652" t="str">
            <v>02.1351</v>
          </cell>
          <cell r="C652" t="str">
            <v>V/c cốt thép ( cự ly &lt;=100m)</v>
          </cell>
        </row>
        <row r="653">
          <cell r="A653" t="str">
            <v>VCFE2</v>
          </cell>
          <cell r="B653" t="str">
            <v>02.1352</v>
          </cell>
          <cell r="C653" t="str">
            <v>V/c cốt thép ( cự ly &lt;=300m)</v>
          </cell>
        </row>
        <row r="654">
          <cell r="A654" t="str">
            <v>VCFE3</v>
          </cell>
          <cell r="B654" t="str">
            <v>02.1353</v>
          </cell>
          <cell r="C654" t="str">
            <v>V/c cốt thép ( cự ly &lt;=500m)</v>
          </cell>
        </row>
        <row r="655">
          <cell r="A655" t="str">
            <v>VCFE4</v>
          </cell>
          <cell r="B655" t="str">
            <v>02.1354</v>
          </cell>
          <cell r="C655" t="str">
            <v>V/c cốt thép ( cự ly &gt;500m)</v>
          </cell>
        </row>
        <row r="656">
          <cell r="A656" t="str">
            <v>BOCDC</v>
          </cell>
          <cell r="B656" t="str">
            <v>02.1123</v>
          </cell>
          <cell r="C656" t="str">
            <v>Bốc dỡ đà cản, đế néo</v>
          </cell>
        </row>
        <row r="657">
          <cell r="A657" t="str">
            <v>BOCNX</v>
          </cell>
          <cell r="B657" t="str">
            <v>02.3111</v>
          </cell>
          <cell r="C657" t="str">
            <v>Bốc dỡ neo xèo</v>
          </cell>
        </row>
        <row r="658">
          <cell r="A658" t="str">
            <v>BOCTR</v>
          </cell>
          <cell r="B658" t="str">
            <v>02.1124</v>
          </cell>
          <cell r="C658" t="str">
            <v xml:space="preserve">Bốc dỡ trụ </v>
          </cell>
        </row>
        <row r="659">
          <cell r="A659" t="str">
            <v>BOCX</v>
          </cell>
          <cell r="B659" t="str">
            <v>02.1115</v>
          </cell>
          <cell r="C659" t="str">
            <v>Bốc dỡ xà, thép thanh</v>
          </cell>
        </row>
        <row r="660">
          <cell r="A660" t="str">
            <v>BOCD</v>
          </cell>
          <cell r="B660" t="str">
            <v>02.1122</v>
          </cell>
          <cell r="C660" t="str">
            <v>Bốc dỡ dây</v>
          </cell>
        </row>
        <row r="661">
          <cell r="A661" t="str">
            <v>BOCPK</v>
          </cell>
          <cell r="B661" t="str">
            <v>02.1120</v>
          </cell>
          <cell r="C661" t="str">
            <v>Bốc dỡ phụ kiện</v>
          </cell>
        </row>
        <row r="662">
          <cell r="A662" t="str">
            <v>BOCS</v>
          </cell>
          <cell r="B662" t="str">
            <v>02.1121</v>
          </cell>
          <cell r="C662" t="str">
            <v>Bốc dỡ sứ</v>
          </cell>
        </row>
        <row r="663">
          <cell r="A663" t="str">
            <v>BOCTH</v>
          </cell>
          <cell r="B663" t="str">
            <v>02.1114</v>
          </cell>
          <cell r="C663" t="str">
            <v>Bốc dỡ cốt thép</v>
          </cell>
        </row>
        <row r="664">
          <cell r="A664" t="str">
            <v>BOCXI</v>
          </cell>
          <cell r="B664" t="str">
            <v>02.1101</v>
          </cell>
          <cell r="C664" t="str">
            <v>Bốc dỡ xi măng</v>
          </cell>
        </row>
        <row r="665">
          <cell r="A665" t="str">
            <v>BOCCAT</v>
          </cell>
          <cell r="B665" t="str">
            <v>02.1103</v>
          </cell>
          <cell r="C665" t="str">
            <v>Bốc dỡ cát</v>
          </cell>
        </row>
        <row r="666">
          <cell r="A666" t="str">
            <v>BOCDA</v>
          </cell>
          <cell r="B666" t="str">
            <v>02.1104</v>
          </cell>
          <cell r="C666" t="str">
            <v>Bốc dỡ đá dăm</v>
          </cell>
        </row>
        <row r="667">
          <cell r="A667" t="str">
            <v>BOBT</v>
          </cell>
          <cell r="B667" t="str">
            <v>02.1110</v>
          </cell>
          <cell r="C667" t="str">
            <v>Bốc dỡ bê tông</v>
          </cell>
        </row>
        <row r="668">
          <cell r="A668" t="str">
            <v>BOCCT5</v>
          </cell>
          <cell r="B668" t="str">
            <v>02.1119</v>
          </cell>
          <cell r="C668" t="str">
            <v>Bốc dỡ cừ tràm 5m</v>
          </cell>
        </row>
        <row r="669">
          <cell r="A669" t="str">
            <v>KTD</v>
          </cell>
          <cell r="B669" t="str">
            <v>05.7001</v>
          </cell>
          <cell r="C669" t="str">
            <v xml:space="preserve">Kéo dây tiếp địa </v>
          </cell>
        </row>
        <row r="670">
          <cell r="A670" t="str">
            <v>KTDTBA</v>
          </cell>
          <cell r="B670" t="str">
            <v>04.7002</v>
          </cell>
          <cell r="C670" t="str">
            <v>Kéo dây tiếp địa trong TBA</v>
          </cell>
        </row>
        <row r="671">
          <cell r="A671" t="str">
            <v>DCTD3</v>
          </cell>
          <cell r="B671" t="str">
            <v>05.8103</v>
          </cell>
          <cell r="C671" t="str">
            <v>Đóng cọc tiếp địa đất cấp 3</v>
          </cell>
        </row>
        <row r="672">
          <cell r="A672" t="str">
            <v>DCTD4</v>
          </cell>
          <cell r="B672" t="str">
            <v>05.8003</v>
          </cell>
          <cell r="C672" t="str">
            <v>Đóng cọc tiếp địa đất cấp 4</v>
          </cell>
        </row>
        <row r="673">
          <cell r="A673" t="str">
            <v>DCTDTBA</v>
          </cell>
          <cell r="B673" t="str">
            <v>04.7001</v>
          </cell>
          <cell r="C673" t="str">
            <v>Đóng cọc tiếp địa trong TBA</v>
          </cell>
        </row>
        <row r="674">
          <cell r="A674" t="str">
            <v>C8</v>
          </cell>
          <cell r="B674" t="str">
            <v>05.5211</v>
          </cell>
          <cell r="C674" t="str">
            <v>Dựng trụ BTLT &lt;8m bằng thủ công</v>
          </cell>
        </row>
        <row r="675">
          <cell r="A675" t="str">
            <v>C10</v>
          </cell>
          <cell r="B675" t="str">
            <v>05.5212</v>
          </cell>
          <cell r="C675" t="str">
            <v>Dựng trụ BTLT &lt;=10m bằng thủ công</v>
          </cell>
        </row>
        <row r="676">
          <cell r="A676" t="str">
            <v>C105</v>
          </cell>
          <cell r="B676" t="str">
            <v>05.5213</v>
          </cell>
          <cell r="C676" t="str">
            <v>Dựng trụ BTLT 10,5m bằng thủ công</v>
          </cell>
        </row>
        <row r="677">
          <cell r="A677" t="str">
            <v>C12</v>
          </cell>
          <cell r="B677" t="str">
            <v>05.5213</v>
          </cell>
          <cell r="C677" t="str">
            <v>Dựng trụ BTLT 12m bằng thủ công</v>
          </cell>
        </row>
        <row r="678">
          <cell r="A678" t="str">
            <v>C14</v>
          </cell>
          <cell r="B678" t="str">
            <v>05.5214</v>
          </cell>
          <cell r="C678" t="str">
            <v>Dựng trụ BTLT 14m bằng thủ công</v>
          </cell>
        </row>
        <row r="679">
          <cell r="A679" t="str">
            <v>C20</v>
          </cell>
          <cell r="B679" t="str">
            <v>05.5217</v>
          </cell>
          <cell r="C679" t="str">
            <v>Dựng trụ BTLT 20m bằng thủ công</v>
          </cell>
        </row>
        <row r="680">
          <cell r="A680" t="str">
            <v>C8m</v>
          </cell>
          <cell r="B680" t="str">
            <v>05.5202</v>
          </cell>
          <cell r="C680" t="str">
            <v>Dựng trụ BTLT &lt;8m thủ công +cơ giới</v>
          </cell>
        </row>
        <row r="681">
          <cell r="A681" t="str">
            <v>C10m</v>
          </cell>
          <cell r="B681" t="str">
            <v>05.5302</v>
          </cell>
          <cell r="C681" t="str">
            <v>Dựng trụ BTLT &lt;10m thủ công +cơ giới</v>
          </cell>
        </row>
        <row r="682">
          <cell r="A682" t="str">
            <v>C105m</v>
          </cell>
          <cell r="B682" t="str">
            <v>05.5402</v>
          </cell>
          <cell r="C682" t="str">
            <v>Dựng trụ BTLT 10,5m thủ công + cơ giới</v>
          </cell>
        </row>
        <row r="683">
          <cell r="A683" t="str">
            <v>C12m</v>
          </cell>
          <cell r="B683" t="str">
            <v>05.5402</v>
          </cell>
          <cell r="C683" t="str">
            <v>Dựng trụ BTLT 12m thủ công + cơ giới</v>
          </cell>
        </row>
        <row r="684">
          <cell r="A684" t="str">
            <v>C14m</v>
          </cell>
          <cell r="B684" t="str">
            <v>05.5224</v>
          </cell>
          <cell r="C684" t="str">
            <v>Dựng trụ BTLT 14m thủ công + cơ giới</v>
          </cell>
        </row>
        <row r="685">
          <cell r="A685" t="str">
            <v>C20m</v>
          </cell>
          <cell r="B685" t="str">
            <v>05.5227</v>
          </cell>
          <cell r="C685" t="str">
            <v>Dựng trụ BTLT 20m thủ công + cơ giới</v>
          </cell>
        </row>
        <row r="686">
          <cell r="A686" t="str">
            <v>C12m-TBA</v>
          </cell>
          <cell r="B686" t="str">
            <v>04.9203</v>
          </cell>
          <cell r="C686" t="str">
            <v>Dựng trụ BTLT 12m trong TBA bằng thủ công + cơ giới</v>
          </cell>
        </row>
        <row r="687">
          <cell r="A687" t="str">
            <v>C10m-TBA</v>
          </cell>
          <cell r="B687" t="str">
            <v>04.9203</v>
          </cell>
          <cell r="C687" t="str">
            <v>Dựng trụ BTLT 10,5m trong TBA bằng thủ công + cơ giới</v>
          </cell>
        </row>
        <row r="688">
          <cell r="A688" t="str">
            <v>LXIT</v>
          </cell>
          <cell r="B688" t="str">
            <v>05.6401</v>
          </cell>
          <cell r="C688" t="str">
            <v>Lắp xà đỡ ≤ 25kg</v>
          </cell>
        </row>
        <row r="689">
          <cell r="A689" t="str">
            <v>LXITL</v>
          </cell>
          <cell r="B689" t="str">
            <v>05.6102</v>
          </cell>
          <cell r="C689" t="str">
            <v>Lắp xà đỡ ≤ 50kg</v>
          </cell>
        </row>
        <row r="690">
          <cell r="A690" t="str">
            <v>LXINN</v>
          </cell>
          <cell r="B690" t="str">
            <v>05.6201</v>
          </cell>
          <cell r="C690" t="str">
            <v>Lắp xà néo ≤ 25kg</v>
          </cell>
        </row>
        <row r="691">
          <cell r="A691" t="str">
            <v>LXIN</v>
          </cell>
          <cell r="B691" t="str">
            <v>05.6202</v>
          </cell>
          <cell r="C691" t="str">
            <v>Lắp xà néo ≤ 50kg</v>
          </cell>
        </row>
        <row r="692">
          <cell r="A692" t="str">
            <v>LXINL</v>
          </cell>
          <cell r="B692" t="str">
            <v>05.6203</v>
          </cell>
          <cell r="C692" t="str">
            <v>Lắp xà néo ≤ 100kg</v>
          </cell>
        </row>
        <row r="693">
          <cell r="A693" t="str">
            <v>LXID</v>
          </cell>
          <cell r="B693" t="str">
            <v>05.6301</v>
          </cell>
          <cell r="C693" t="str">
            <v>Lắp xà trụ ghép ≤ 140kg</v>
          </cell>
        </row>
        <row r="694">
          <cell r="A694" t="str">
            <v>LXIDL</v>
          </cell>
          <cell r="B694" t="str">
            <v>05.6302</v>
          </cell>
          <cell r="C694" t="str">
            <v>Lắp xà trụ ghép ≤ 230kg</v>
          </cell>
        </row>
        <row r="695">
          <cell r="A695" t="str">
            <v>LXHN1</v>
          </cell>
          <cell r="B695" t="str">
            <v>05.6044</v>
          </cell>
          <cell r="C695" t="str">
            <v>Lắp xà cột Pi loại ≤140kg/xà</v>
          </cell>
        </row>
        <row r="696">
          <cell r="A696" t="str">
            <v>LXHN2</v>
          </cell>
          <cell r="B696" t="str">
            <v>05.6402</v>
          </cell>
          <cell r="C696" t="str">
            <v>Lắp xà cột Pi loại ≤ 230kg/xà</v>
          </cell>
        </row>
        <row r="697">
          <cell r="A697" t="str">
            <v>LXHN3</v>
          </cell>
          <cell r="B697" t="str">
            <v>05.6403</v>
          </cell>
          <cell r="C697" t="str">
            <v>Lắp xà cột Pi loại ≤ 320kg/xà</v>
          </cell>
        </row>
        <row r="698">
          <cell r="A698" t="str">
            <v>LDAUCAP70</v>
          </cell>
          <cell r="B698" t="str">
            <v>07.4312</v>
          </cell>
          <cell r="C698" t="str">
            <v>Lắp đầu cáp trung thế 3x50mm2, 70mm2</v>
          </cell>
        </row>
        <row r="699">
          <cell r="A699" t="str">
            <v>LDAUCAP120</v>
          </cell>
          <cell r="B699" t="str">
            <v>07.4313</v>
          </cell>
          <cell r="C699" t="str">
            <v>Lắp đầu cáp trung thế 3x120mm2, 95mm2</v>
          </cell>
        </row>
        <row r="700">
          <cell r="A700" t="str">
            <v>LDAUCAP185</v>
          </cell>
          <cell r="B700" t="str">
            <v>07.4314</v>
          </cell>
          <cell r="C700" t="str">
            <v>Lắp đầu cáp trung thế 3x150mm2, 185mm2</v>
          </cell>
        </row>
        <row r="701">
          <cell r="A701" t="str">
            <v>LDAUCAP70HT</v>
          </cell>
          <cell r="B701" t="str">
            <v>07.4102</v>
          </cell>
          <cell r="C701" t="str">
            <v>Lắp đầu cáp hạ thế 3x50mm2, 70mm2</v>
          </cell>
        </row>
        <row r="702">
          <cell r="A702" t="str">
            <v>LDAUCAP120HT</v>
          </cell>
          <cell r="B702" t="str">
            <v>07.4103</v>
          </cell>
          <cell r="C702" t="str">
            <v>Lắp đầu cáp hạ thế 3x120mm2, 95mm2</v>
          </cell>
        </row>
        <row r="703">
          <cell r="A703" t="str">
            <v>LDAUCAP185HT</v>
          </cell>
          <cell r="B703" t="str">
            <v>07.4104</v>
          </cell>
          <cell r="C703" t="str">
            <v>Lắp đầu cáp hạ thế 3x150mm2, 185mm2</v>
          </cell>
        </row>
        <row r="704">
          <cell r="A704" t="str">
            <v>XLCD</v>
          </cell>
          <cell r="B704" t="str">
            <v>06.2110</v>
          </cell>
          <cell r="C704" t="str">
            <v>Lắp cổ dê</v>
          </cell>
        </row>
        <row r="705">
          <cell r="A705" t="str">
            <v>LBAKE</v>
          </cell>
          <cell r="C705" t="str">
            <v>Lắp tấm bakelit</v>
          </cell>
        </row>
        <row r="706">
          <cell r="A706" t="str">
            <v>LCHI</v>
          </cell>
          <cell r="C706" t="str">
            <v>Lắp cầu chì 5A</v>
          </cell>
        </row>
        <row r="707">
          <cell r="A707" t="str">
            <v>LCSD</v>
          </cell>
          <cell r="B707" t="str">
            <v>06.3231</v>
          </cell>
          <cell r="C707" t="str">
            <v>Lắp chân sứ đỉnh</v>
          </cell>
        </row>
        <row r="708">
          <cell r="A708" t="str">
            <v>LCL</v>
          </cell>
          <cell r="B708" t="str">
            <v>05.6011</v>
          </cell>
          <cell r="C708" t="str">
            <v>Lắp bộ chống lệch</v>
          </cell>
        </row>
        <row r="709">
          <cell r="A709" t="str">
            <v>LDN</v>
          </cell>
          <cell r="B709" t="str">
            <v>06.3241</v>
          </cell>
          <cell r="C709" t="str">
            <v>Lắp bộ dây néo</v>
          </cell>
        </row>
        <row r="710">
          <cell r="A710" t="str">
            <v>NXOE</v>
          </cell>
          <cell r="B710" t="str">
            <v>04.3801</v>
          </cell>
          <cell r="C710" t="str">
            <v>Đặt neo xòe 8 hướng (dày 3,2mm)</v>
          </cell>
        </row>
        <row r="711">
          <cell r="A711" t="str">
            <v>LDN0212</v>
          </cell>
          <cell r="B711" t="str">
            <v>04.3801</v>
          </cell>
          <cell r="C711" t="str">
            <v>Đặt đế néo BTCT 200x1200</v>
          </cell>
        </row>
        <row r="712">
          <cell r="A712" t="str">
            <v>LDN0412</v>
          </cell>
          <cell r="B712" t="str">
            <v>04.3801</v>
          </cell>
          <cell r="C712" t="str">
            <v>Đặt đế néo BTCT 400x1200</v>
          </cell>
        </row>
        <row r="713">
          <cell r="A713" t="str">
            <v>LDN0415</v>
          </cell>
          <cell r="B713" t="str">
            <v>04.3802</v>
          </cell>
          <cell r="C713" t="str">
            <v>Đặt đế néo BTCT 400x1500</v>
          </cell>
        </row>
        <row r="714">
          <cell r="A714" t="str">
            <v>LDN0615</v>
          </cell>
          <cell r="B714" t="str">
            <v>04.3802</v>
          </cell>
          <cell r="C714" t="str">
            <v>Đặt đế néo BTCT 600x1500</v>
          </cell>
        </row>
        <row r="715">
          <cell r="A715" t="str">
            <v>LDN4</v>
          </cell>
          <cell r="B715" t="str">
            <v>04.3801</v>
          </cell>
          <cell r="C715" t="str">
            <v>Đặt đế néo BTCT 500x1200</v>
          </cell>
        </row>
        <row r="716">
          <cell r="A716" t="str">
            <v>LDN6</v>
          </cell>
          <cell r="B716" t="str">
            <v>04.3802</v>
          </cell>
          <cell r="C716" t="str">
            <v>Đặt đế néo BTCT 500x1500</v>
          </cell>
        </row>
        <row r="717">
          <cell r="A717" t="str">
            <v>DBT10046</v>
          </cell>
          <cell r="B717" t="str">
            <v>04.3112</v>
          </cell>
          <cell r="C717" t="str">
            <v>Đổ bê tông mác M100 đá 4x6</v>
          </cell>
        </row>
        <row r="718">
          <cell r="A718" t="str">
            <v>DBT15012</v>
          </cell>
          <cell r="B718" t="str">
            <v>04.1203b</v>
          </cell>
          <cell r="C718" t="str">
            <v>Đổ bê tông mác M150 đá 1x2</v>
          </cell>
        </row>
        <row r="719">
          <cell r="A719" t="str">
            <v>DBT20012</v>
          </cell>
          <cell r="B719" t="str">
            <v>04.1203c</v>
          </cell>
          <cell r="C719" t="str">
            <v>Đổ bê tông móng trụ &lt;=250cm-M200 đá 1x2</v>
          </cell>
        </row>
        <row r="720">
          <cell r="A720" t="str">
            <v>LCT10</v>
          </cell>
          <cell r="B720" t="str">
            <v>04.5101</v>
          </cell>
          <cell r="C720" t="str">
            <v>Gia công và lắp dựng cốt thép D&lt;=10</v>
          </cell>
        </row>
        <row r="721">
          <cell r="A721" t="str">
            <v>LCT18</v>
          </cell>
          <cell r="B721" t="str">
            <v>04.1102</v>
          </cell>
          <cell r="C721" t="str">
            <v>Gia công và lắp dựng cốt thép D&lt;=18</v>
          </cell>
        </row>
        <row r="722">
          <cell r="A722" t="str">
            <v>LCT&gt;18</v>
          </cell>
          <cell r="B722" t="str">
            <v>04.1103</v>
          </cell>
          <cell r="C722" t="str">
            <v>Gia công và lắp dựng cốt thép D&gt;18</v>
          </cell>
        </row>
        <row r="723">
          <cell r="A723" t="str">
            <v>LDVANK</v>
          </cell>
          <cell r="B723" t="str">
            <v>04.2001</v>
          </cell>
          <cell r="C723" t="str">
            <v>Gia công và lắp dựng ván khuôn</v>
          </cell>
        </row>
        <row r="724">
          <cell r="A724" t="str">
            <v>KDA35</v>
          </cell>
          <cell r="B724" t="str">
            <v>06.6123</v>
          </cell>
          <cell r="C724" t="str">
            <v>Kéo dây nhôm cỡ dây 35mm2</v>
          </cell>
        </row>
        <row r="725">
          <cell r="A725" t="str">
            <v>KDA50</v>
          </cell>
          <cell r="B725" t="str">
            <v>06.6124</v>
          </cell>
          <cell r="C725" t="str">
            <v>Kéo dây nhôm cỡ dây 50mm2</v>
          </cell>
        </row>
        <row r="726">
          <cell r="A726" t="str">
            <v>KDA70</v>
          </cell>
          <cell r="B726" t="str">
            <v>06.6125</v>
          </cell>
          <cell r="C726" t="str">
            <v>Kéo dây nhôm cỡ dây 70mm2</v>
          </cell>
        </row>
        <row r="727">
          <cell r="A727" t="str">
            <v>KDA95</v>
          </cell>
          <cell r="B727" t="str">
            <v>06.6126</v>
          </cell>
          <cell r="C727" t="str">
            <v>Kéo dây nhôm cỡ dây 95mm2</v>
          </cell>
        </row>
        <row r="728">
          <cell r="A728" t="str">
            <v>KDA35B</v>
          </cell>
          <cell r="B728" t="str">
            <v>06.6103</v>
          </cell>
          <cell r="C728" t="str">
            <v>Kéo dây nhôm bọc 35mm2</v>
          </cell>
        </row>
        <row r="729">
          <cell r="A729" t="str">
            <v>KDA50B</v>
          </cell>
          <cell r="B729" t="str">
            <v>06.6124</v>
          </cell>
          <cell r="C729" t="str">
            <v>Kéo dây nhôm bọc 50mm2</v>
          </cell>
        </row>
        <row r="730">
          <cell r="A730" t="str">
            <v>KDA70B</v>
          </cell>
          <cell r="B730" t="str">
            <v>06.6105</v>
          </cell>
          <cell r="C730" t="str">
            <v>Kéo dây nhôm bọc 70mm2</v>
          </cell>
        </row>
        <row r="731">
          <cell r="A731" t="str">
            <v>KDA95B</v>
          </cell>
          <cell r="B731" t="str">
            <v>06.6106</v>
          </cell>
          <cell r="C731" t="str">
            <v>Kéo dây nhôm bọc 95mm2</v>
          </cell>
        </row>
        <row r="732">
          <cell r="A732" t="str">
            <v>KDA120B</v>
          </cell>
          <cell r="B732" t="str">
            <v>06.6107</v>
          </cell>
          <cell r="C732" t="str">
            <v>Kéo dây nhôm bọc 120mm2</v>
          </cell>
        </row>
        <row r="733">
          <cell r="A733" t="str">
            <v>KDA150B</v>
          </cell>
          <cell r="B733" t="str">
            <v>06.6108</v>
          </cell>
          <cell r="C733" t="str">
            <v>Kéo dây nhôm bọc 150mm2</v>
          </cell>
        </row>
        <row r="734">
          <cell r="A734" t="str">
            <v>KDA185B</v>
          </cell>
          <cell r="B734" t="str">
            <v>06.6109</v>
          </cell>
          <cell r="C734" t="str">
            <v>Kéo dây nhôm bọc 185mm2</v>
          </cell>
        </row>
        <row r="735">
          <cell r="A735" t="str">
            <v>KDA240B</v>
          </cell>
          <cell r="B735" t="str">
            <v>06.6110</v>
          </cell>
          <cell r="C735" t="str">
            <v>Kéo dây nhôm bọc 240mm2</v>
          </cell>
        </row>
        <row r="736">
          <cell r="A736" t="str">
            <v>KDAABC150</v>
          </cell>
          <cell r="B736" t="str">
            <v>06.7007</v>
          </cell>
          <cell r="C736" t="str">
            <v>Kéo dây ABC 4x150mm2</v>
          </cell>
        </row>
        <row r="737">
          <cell r="A737" t="str">
            <v>KDAABC120</v>
          </cell>
          <cell r="B737" t="str">
            <v>06.7007</v>
          </cell>
          <cell r="C737" t="str">
            <v>Kéo dây ABC 4x120mm2</v>
          </cell>
        </row>
        <row r="738">
          <cell r="A738" t="str">
            <v>KDAABC95</v>
          </cell>
          <cell r="B738" t="str">
            <v>06.7006</v>
          </cell>
          <cell r="C738" t="str">
            <v>Kéo dây ABC 3x95mm2</v>
          </cell>
        </row>
        <row r="739">
          <cell r="A739" t="str">
            <v>KDAABC70</v>
          </cell>
          <cell r="B739" t="str">
            <v>06.6505</v>
          </cell>
          <cell r="C739" t="str">
            <v>Kéo dây ABC 4x70mm2</v>
          </cell>
        </row>
        <row r="740">
          <cell r="A740" t="str">
            <v>KDAABC50</v>
          </cell>
          <cell r="B740" t="str">
            <v>06.6504</v>
          </cell>
          <cell r="C740" t="str">
            <v>Kéo dây ABC 4x50mm2</v>
          </cell>
        </row>
        <row r="741">
          <cell r="A741" t="str">
            <v>KDAC35</v>
          </cell>
          <cell r="B741" t="str">
            <v>06.6103</v>
          </cell>
          <cell r="C741" t="str">
            <v>Kéo dây nhôm lõi thép cỡ dây 35mm2</v>
          </cell>
        </row>
        <row r="742">
          <cell r="A742" t="str">
            <v>KDAC50</v>
          </cell>
          <cell r="B742" t="str">
            <v>06.6114</v>
          </cell>
          <cell r="C742" t="str">
            <v>Kéo dây nhôm lõi thép cỡ dây 50mm2</v>
          </cell>
        </row>
        <row r="743">
          <cell r="A743" t="str">
            <v>KDAC70</v>
          </cell>
          <cell r="B743" t="str">
            <v>06.6105</v>
          </cell>
          <cell r="C743" t="str">
            <v>Kéo dây nhôm lõi thép cỡ dây 70mm2</v>
          </cell>
        </row>
        <row r="744">
          <cell r="A744" t="str">
            <v>KDAC95</v>
          </cell>
          <cell r="B744" t="str">
            <v>06.6106</v>
          </cell>
          <cell r="C744" t="str">
            <v>Kéo dây nhôm lõi thép cỡ dây 95mm2</v>
          </cell>
        </row>
        <row r="745">
          <cell r="A745" t="str">
            <v>KDAC120</v>
          </cell>
          <cell r="B745" t="str">
            <v>06.6107</v>
          </cell>
          <cell r="C745" t="str">
            <v>Kéo dây nhôm lõi thép cỡ dây 120mm2</v>
          </cell>
        </row>
        <row r="746">
          <cell r="A746" t="str">
            <v>KDAC150</v>
          </cell>
          <cell r="B746" t="str">
            <v>06.6108</v>
          </cell>
          <cell r="C746" t="str">
            <v>Kéo dây nhôm lõi thép cỡ dây 150mm2</v>
          </cell>
        </row>
        <row r="747">
          <cell r="A747" t="str">
            <v>KDACXV50</v>
          </cell>
          <cell r="B747" t="str">
            <v>06.6114</v>
          </cell>
          <cell r="C747" t="str">
            <v>Kéo dây nhôm bọc cỡ dây 50mm2</v>
          </cell>
        </row>
        <row r="748">
          <cell r="A748" t="str">
            <v>KDACXV150</v>
          </cell>
          <cell r="B748" t="str">
            <v>06.6108</v>
          </cell>
          <cell r="C748" t="str">
            <v>Kéo dây nhôm lõi thép bọc XLPE cỡ dây 150mm2</v>
          </cell>
        </row>
        <row r="749">
          <cell r="A749" t="str">
            <v>KDAC185</v>
          </cell>
          <cell r="B749" t="str">
            <v>06.6109</v>
          </cell>
          <cell r="C749" t="str">
            <v>Kéo dây nhôm lõi thép cỡ dây 185mm2</v>
          </cell>
        </row>
        <row r="750">
          <cell r="A750" t="str">
            <v>KDAC240</v>
          </cell>
          <cell r="B750" t="str">
            <v>06.6110</v>
          </cell>
          <cell r="C750" t="str">
            <v>Kéo dây nhôm lõi thép cỡ dây 240mm2</v>
          </cell>
        </row>
        <row r="751">
          <cell r="A751" t="str">
            <v>KDM22</v>
          </cell>
          <cell r="B751" t="str">
            <v>06.6142</v>
          </cell>
          <cell r="C751" t="str">
            <v>Kéo dây đồng trần 22mm2</v>
          </cell>
        </row>
        <row r="752">
          <cell r="A752" t="str">
            <v>KDM25</v>
          </cell>
          <cell r="B752" t="str">
            <v>06.6142</v>
          </cell>
          <cell r="C752" t="str">
            <v>Kéo dây đồng trần 25mm2</v>
          </cell>
        </row>
        <row r="753">
          <cell r="A753" t="str">
            <v>KDM35</v>
          </cell>
          <cell r="B753" t="str">
            <v>06.6143</v>
          </cell>
          <cell r="C753" t="str">
            <v>Kéo dây đồng trần 35mm2</v>
          </cell>
        </row>
        <row r="754">
          <cell r="A754" t="str">
            <v>KDM48</v>
          </cell>
          <cell r="B754" t="str">
            <v>06.6144</v>
          </cell>
          <cell r="C754" t="str">
            <v>Kéo dây đồng trần 48mm2</v>
          </cell>
        </row>
        <row r="755">
          <cell r="A755" t="str">
            <v>KDM50</v>
          </cell>
          <cell r="B755" t="str">
            <v>06.6144</v>
          </cell>
          <cell r="C755" t="str">
            <v>Kéo dây đồng trần 50mm2</v>
          </cell>
        </row>
        <row r="756">
          <cell r="A756" t="str">
            <v>KDM70</v>
          </cell>
          <cell r="B756" t="str">
            <v>06.6145</v>
          </cell>
          <cell r="C756" t="str">
            <v>Kéo dây đồng trần 70mm2</v>
          </cell>
        </row>
        <row r="757">
          <cell r="A757" t="str">
            <v>KDM95</v>
          </cell>
          <cell r="B757" t="str">
            <v>06.6146</v>
          </cell>
          <cell r="C757" t="str">
            <v>Kéo dây đồng trần 95mm2</v>
          </cell>
        </row>
        <row r="758">
          <cell r="A758" t="str">
            <v>KDM25B</v>
          </cell>
          <cell r="B758" t="str">
            <v>06.6142</v>
          </cell>
          <cell r="C758" t="str">
            <v>Kéo dây đồng bọc 25mm2</v>
          </cell>
        </row>
        <row r="759">
          <cell r="A759" t="str">
            <v>KDM50B</v>
          </cell>
          <cell r="B759" t="str">
            <v>06.6144</v>
          </cell>
          <cell r="C759" t="str">
            <v>Kéo dây đồng bọc 50mm3</v>
          </cell>
        </row>
        <row r="760">
          <cell r="A760" t="str">
            <v>KDM95B</v>
          </cell>
          <cell r="B760" t="str">
            <v>06.6146</v>
          </cell>
          <cell r="C760" t="str">
            <v>Kéo dây đồng bọc 95mm2</v>
          </cell>
        </row>
        <row r="761">
          <cell r="A761" t="str">
            <v>KDQG1</v>
          </cell>
          <cell r="B761" t="str">
            <v>06.5071</v>
          </cell>
          <cell r="C761" t="str">
            <v>Kéo dây qua vị trí bẻ góc dây &lt;=50mm2</v>
          </cell>
        </row>
        <row r="762">
          <cell r="A762" t="str">
            <v>KDQG2</v>
          </cell>
          <cell r="B762" t="str">
            <v>06.5072</v>
          </cell>
          <cell r="C762" t="str">
            <v xml:space="preserve">Kéo dây qua vị trí bẻ góc dây </v>
          </cell>
        </row>
        <row r="763">
          <cell r="A763" t="str">
            <v>KDQS</v>
          </cell>
          <cell r="B763" t="str">
            <v>06.5082</v>
          </cell>
          <cell r="C763" t="str">
            <v>Kéo dây qua sông ( S&lt;=300)</v>
          </cell>
        </row>
        <row r="764">
          <cell r="A764" t="str">
            <v>KDQMR</v>
          </cell>
          <cell r="B764" t="str">
            <v>06.5082</v>
          </cell>
          <cell r="C764" t="str">
            <v>Kéo dây qua mương rạch</v>
          </cell>
        </row>
        <row r="765">
          <cell r="A765" t="str">
            <v>KDQD</v>
          </cell>
          <cell r="B765" t="str">
            <v>06.5051</v>
          </cell>
          <cell r="C765" t="str">
            <v>Kéo dây vượt đường ( dây &lt;=50mm2)</v>
          </cell>
        </row>
        <row r="766">
          <cell r="A766" t="str">
            <v>KDQD1</v>
          </cell>
          <cell r="B766" t="str">
            <v>06.5052</v>
          </cell>
          <cell r="C766" t="str">
            <v>Kéo dây vượt đường (dây &lt;=95mm2)</v>
          </cell>
        </row>
        <row r="767">
          <cell r="A767" t="str">
            <v>LSTK100</v>
          </cell>
          <cell r="B767" t="str">
            <v>07.2204</v>
          </cell>
          <cell r="C767" t="str">
            <v>Lắp ống sắt bảo vệ cáp d&lt;100mm</v>
          </cell>
        </row>
        <row r="768">
          <cell r="A768" t="str">
            <v>LSTK70</v>
          </cell>
          <cell r="B768" t="str">
            <v>07.2203</v>
          </cell>
          <cell r="C768" t="str">
            <v>Lắp ống sắt bảo vệ cáp d&lt;70mm</v>
          </cell>
        </row>
        <row r="769">
          <cell r="A769" t="str">
            <v>LSTK50</v>
          </cell>
          <cell r="B769" t="str">
            <v>07.2202</v>
          </cell>
          <cell r="C769" t="str">
            <v>Lắp ống sắt bảo vệ cáp d&lt;50mm</v>
          </cell>
        </row>
        <row r="770">
          <cell r="A770" t="str">
            <v>LSTK120d</v>
          </cell>
          <cell r="B770" t="str">
            <v>07.2301</v>
          </cell>
          <cell r="C770" t="str">
            <v>Lắp ống sắt bảo vệ cáp qua đường d&lt;120mm</v>
          </cell>
        </row>
        <row r="771">
          <cell r="A771" t="str">
            <v>LSTK220d</v>
          </cell>
          <cell r="B771" t="str">
            <v>07.2302</v>
          </cell>
          <cell r="C771" t="str">
            <v>Lắp ống sắt bảo vệ cáp qua đường d&lt;220mm</v>
          </cell>
        </row>
        <row r="772">
          <cell r="A772" t="str">
            <v>LPVC42CL</v>
          </cell>
          <cell r="B772" t="str">
            <v>07,2403</v>
          </cell>
          <cell r="C772" t="str">
            <v>Lắp ống nhựa PVC D42</v>
          </cell>
        </row>
        <row r="773">
          <cell r="A773" t="str">
            <v>LPVC60CL</v>
          </cell>
          <cell r="B773" t="str">
            <v>07,2404</v>
          </cell>
          <cell r="C773" t="str">
            <v>Lắp ống nhựa PVC D60</v>
          </cell>
        </row>
        <row r="774">
          <cell r="A774" t="str">
            <v>LPVC90CL</v>
          </cell>
          <cell r="B774" t="str">
            <v>07.2415</v>
          </cell>
          <cell r="C774" t="str">
            <v>Lắp ống nhựa PVC D90</v>
          </cell>
        </row>
        <row r="775">
          <cell r="A775" t="str">
            <v>LPVC114CL</v>
          </cell>
          <cell r="B775" t="str">
            <v>07,2407</v>
          </cell>
          <cell r="C775" t="str">
            <v>Lắp ống nhựa PVC D114</v>
          </cell>
        </row>
        <row r="776">
          <cell r="A776" t="str">
            <v>LPVC140CL</v>
          </cell>
          <cell r="B776" t="str">
            <v>07,2403</v>
          </cell>
          <cell r="C776" t="str">
            <v>Lắp ống nhựa PVC D140</v>
          </cell>
        </row>
        <row r="777">
          <cell r="A777" t="str">
            <v>LPVC</v>
          </cell>
          <cell r="B777" t="str">
            <v>04.8103</v>
          </cell>
          <cell r="C777" t="str">
            <v xml:space="preserve">Lắp ống PVC </v>
          </cell>
        </row>
        <row r="778">
          <cell r="A778" t="str">
            <v>KCN1kg</v>
          </cell>
          <cell r="B778" t="str">
            <v>07.3401</v>
          </cell>
          <cell r="C778" t="str">
            <v>Lắp cáp trong ống bảo vệ loại &lt;=1kg</v>
          </cell>
        </row>
        <row r="779">
          <cell r="A779" t="str">
            <v>KCN2kg</v>
          </cell>
          <cell r="B779" t="str">
            <v>07.3402</v>
          </cell>
          <cell r="C779" t="str">
            <v>Lắp cáp trong ống bảo vệ loại &lt;=2kg</v>
          </cell>
        </row>
        <row r="780">
          <cell r="A780" t="str">
            <v>KCN3kg</v>
          </cell>
          <cell r="B780" t="str">
            <v>07.3403</v>
          </cell>
          <cell r="C780" t="str">
            <v>Lắp cáp trong ống bảo vệ loại &lt;=3kg</v>
          </cell>
        </row>
        <row r="781">
          <cell r="A781" t="str">
            <v>KCN4kg</v>
          </cell>
          <cell r="B781" t="str">
            <v>07.3404</v>
          </cell>
          <cell r="C781" t="str">
            <v>Lắp cáp trong ống bảo vệ loại &lt;=4.5kg</v>
          </cell>
        </row>
        <row r="782">
          <cell r="A782" t="str">
            <v>KCN6kg</v>
          </cell>
          <cell r="B782" t="str">
            <v>07.3405</v>
          </cell>
          <cell r="C782" t="str">
            <v>Lắp cáp trong ống bảo vệ loại &lt;=6kg</v>
          </cell>
        </row>
        <row r="783">
          <cell r="A783" t="str">
            <v>KCN7kg</v>
          </cell>
          <cell r="B783" t="str">
            <v>07.3406</v>
          </cell>
          <cell r="C783" t="str">
            <v>Lắp cáp trong ống bảo vệ loại &lt;=7.5kg</v>
          </cell>
        </row>
        <row r="784">
          <cell r="A784" t="str">
            <v>KCN9kg</v>
          </cell>
          <cell r="B784" t="str">
            <v>07.3407</v>
          </cell>
          <cell r="C784" t="str">
            <v>Lắp cáp trong ống bảo vệ loại &lt;=9kg</v>
          </cell>
        </row>
        <row r="785">
          <cell r="A785" t="str">
            <v>KCN10kg</v>
          </cell>
          <cell r="B785" t="str">
            <v>07.3408</v>
          </cell>
          <cell r="C785" t="str">
            <v>Lắp cáp trong ống bảo vệ loại &lt;=10.5kg</v>
          </cell>
        </row>
        <row r="786">
          <cell r="A786" t="str">
            <v>KCN12kg</v>
          </cell>
          <cell r="B786" t="str">
            <v>07.3409</v>
          </cell>
          <cell r="C786" t="str">
            <v>Lắp cáp trong ống bảo vệ loại &lt;=12kg</v>
          </cell>
        </row>
        <row r="787">
          <cell r="A787" t="str">
            <v>KCNT1kg</v>
          </cell>
          <cell r="B787" t="str">
            <v>03.1401</v>
          </cell>
          <cell r="C787" t="str">
            <v>Lắp cáp trong ống bảo vệ trong TBA loại &lt;=1kg</v>
          </cell>
        </row>
        <row r="788">
          <cell r="A788" t="str">
            <v>KCNT2kg</v>
          </cell>
          <cell r="B788" t="str">
            <v>03.1402</v>
          </cell>
          <cell r="C788" t="str">
            <v>Lắp cáp trong ống bảo vệ trong TBA loại &lt;=2kg</v>
          </cell>
        </row>
        <row r="789">
          <cell r="A789" t="str">
            <v>KCNT3kg</v>
          </cell>
          <cell r="B789" t="str">
            <v>03.1403</v>
          </cell>
          <cell r="C789" t="str">
            <v>Lắp cáp trong ống bảo vệ trong TBA loại &lt;=3kg</v>
          </cell>
        </row>
        <row r="790">
          <cell r="A790" t="str">
            <v>KCNT4kg</v>
          </cell>
          <cell r="B790" t="str">
            <v>03.1404</v>
          </cell>
          <cell r="C790" t="str">
            <v>Lắp cáp trong ống bảo vệ trong TBA loại &lt;=4.5kg</v>
          </cell>
        </row>
        <row r="791">
          <cell r="A791" t="str">
            <v>KCNT6kg</v>
          </cell>
          <cell r="B791" t="str">
            <v>03.1405</v>
          </cell>
          <cell r="C791" t="str">
            <v>Lắp cáp trong ống bảo vệ trong TBA loại &lt;=6kg</v>
          </cell>
        </row>
        <row r="792">
          <cell r="A792" t="str">
            <v>KCNT7kg</v>
          </cell>
          <cell r="B792" t="str">
            <v>03.1406</v>
          </cell>
          <cell r="C792" t="str">
            <v>Lắp cáp trong ống bảo vệ trong TBA loại &lt;=7.5kg</v>
          </cell>
        </row>
        <row r="793">
          <cell r="A793" t="str">
            <v>KCNT9kg</v>
          </cell>
          <cell r="B793" t="str">
            <v>03.1407</v>
          </cell>
          <cell r="C793" t="str">
            <v>Lắp cáp trong ống bảo vệ trong TBA loại &lt;=9kg</v>
          </cell>
        </row>
        <row r="794">
          <cell r="A794" t="str">
            <v>LSD</v>
          </cell>
          <cell r="B794" t="str">
            <v>06.1115</v>
          </cell>
          <cell r="C794" t="str">
            <v>Lắp sứ đứng 24KV</v>
          </cell>
        </row>
        <row r="795">
          <cell r="A795" t="str">
            <v>TLSD24</v>
          </cell>
          <cell r="B795" t="str">
            <v>06.1115</v>
          </cell>
          <cell r="C795" t="str">
            <v>Tháo (lắp) sứ đứng 24KV</v>
          </cell>
        </row>
        <row r="796">
          <cell r="A796" t="str">
            <v>TLSD04</v>
          </cell>
          <cell r="B796" t="str">
            <v>06.1115</v>
          </cell>
          <cell r="C796" t="str">
            <v>Tháo (lắp) sứ hạ thế các loại</v>
          </cell>
        </row>
        <row r="797">
          <cell r="A797" t="str">
            <v>TCH2x16</v>
          </cell>
          <cell r="B797" t="str">
            <v>06.1115</v>
          </cell>
          <cell r="C797" t="str">
            <v>Tháo căng hạ dây DuCV 2x16 mm2</v>
          </cell>
        </row>
        <row r="798">
          <cell r="A798" t="str">
            <v>lsd35</v>
          </cell>
          <cell r="B798" t="str">
            <v>06.1116</v>
          </cell>
          <cell r="C798" t="str">
            <v>Lắp sứ đứng 35KV</v>
          </cell>
        </row>
        <row r="799">
          <cell r="A799" t="str">
            <v>LCHSD</v>
          </cell>
          <cell r="B799" t="str">
            <v>06.1410</v>
          </cell>
          <cell r="C799" t="str">
            <v>Lắp chuỗi sứ đỡ 2 bát/chuỗi</v>
          </cell>
        </row>
        <row r="800">
          <cell r="A800" t="str">
            <v>LCHSN</v>
          </cell>
          <cell r="B800" t="str">
            <v>06.1511</v>
          </cell>
          <cell r="C800" t="str">
            <v>Lắp chuỗi sứ néo 2 bát/chuỗi</v>
          </cell>
        </row>
        <row r="801">
          <cell r="A801" t="str">
            <v>LCHSNply</v>
          </cell>
          <cell r="B801" t="str">
            <v>06.2201</v>
          </cell>
          <cell r="C801" t="str">
            <v>Lắp chuỗi sứ néo Polymer</v>
          </cell>
        </row>
        <row r="802">
          <cell r="A802" t="str">
            <v>LCHSN3</v>
          </cell>
          <cell r="B802" t="str">
            <v>06.1521</v>
          </cell>
          <cell r="C802" t="str">
            <v>Lắp chuỗi sứ néo 3 bát/chuỗi</v>
          </cell>
        </row>
        <row r="803">
          <cell r="A803" t="str">
            <v>LSOC</v>
          </cell>
          <cell r="B803" t="str">
            <v>06.1211</v>
          </cell>
          <cell r="C803" t="str">
            <v>Lắp rack sứ + sứ ống chỉ</v>
          </cell>
        </row>
        <row r="804">
          <cell r="A804" t="str">
            <v>LR2</v>
          </cell>
          <cell r="B804" t="str">
            <v>06.1213</v>
          </cell>
          <cell r="C804" t="str">
            <v>Lắp rack 2 sứ + sứ ống chỉ</v>
          </cell>
        </row>
        <row r="805">
          <cell r="A805" t="str">
            <v>LR3</v>
          </cell>
          <cell r="B805" t="str">
            <v>06.1214</v>
          </cell>
          <cell r="C805" t="str">
            <v>Lắp rack 3 sứ + sứ ống chỉ</v>
          </cell>
        </row>
        <row r="806">
          <cell r="A806" t="str">
            <v>LR4</v>
          </cell>
          <cell r="B806" t="str">
            <v>06.1215</v>
          </cell>
          <cell r="C806" t="str">
            <v>Lắp rack 4 sứ + sứ ống chỉ</v>
          </cell>
        </row>
        <row r="807">
          <cell r="A807" t="str">
            <v>LTRUHL-I</v>
          </cell>
          <cell r="B807" t="str">
            <v>HL16</v>
          </cell>
          <cell r="C807" t="str">
            <v xml:space="preserve">Dựng trụ đỡ đường dây 3 pha </v>
          </cell>
        </row>
        <row r="808">
          <cell r="A808" t="str">
            <v>LSDHL-DX</v>
          </cell>
          <cell r="B808" t="str">
            <v>HL02</v>
          </cell>
          <cell r="C808" t="str">
            <v>Lắp sứ đứng đường dây 3 pha xà đối xứng</v>
          </cell>
        </row>
        <row r="809">
          <cell r="A809" t="str">
            <v>LCHSNplyHL</v>
          </cell>
          <cell r="B809" t="str">
            <v>HL05</v>
          </cell>
          <cell r="C809" t="str">
            <v>Lắp chuỗi sứ néo Polymer đường dây 3 pha</v>
          </cell>
        </row>
        <row r="810">
          <cell r="A810" t="str">
            <v>DN CL</v>
          </cell>
          <cell r="B810" t="str">
            <v>HL07</v>
          </cell>
          <cell r="C810" t="str">
            <v>Đấu cò lèo đường dây 3 pha</v>
          </cell>
        </row>
        <row r="811">
          <cell r="A811" t="str">
            <v>LXHL</v>
          </cell>
          <cell r="B811" t="str">
            <v>HL13</v>
          </cell>
          <cell r="C811" t="str">
            <v>Lắp xà</v>
          </cell>
        </row>
        <row r="812">
          <cell r="A812" t="str">
            <v>LSDHL-V</v>
          </cell>
          <cell r="B812" t="str">
            <v>HL03</v>
          </cell>
          <cell r="C812" t="str">
            <v>Lắp sứ đứng đường dây 3 pha xà vectical</v>
          </cell>
        </row>
        <row r="813">
          <cell r="A813" t="str">
            <v>LFCOHL</v>
          </cell>
          <cell r="B813" t="str">
            <v>HL09</v>
          </cell>
          <cell r="C813" t="str">
            <v>Lắp FCO, LBFCO đường dây 3 pha</v>
          </cell>
        </row>
        <row r="814">
          <cell r="A814" t="str">
            <v>LLAHL</v>
          </cell>
          <cell r="B814" t="str">
            <v>HL09</v>
          </cell>
          <cell r="C814" t="str">
            <v>Lắp LA</v>
          </cell>
        </row>
        <row r="815">
          <cell r="A815" t="str">
            <v>LBNH</v>
          </cell>
          <cell r="B815" t="str">
            <v>06.2070</v>
          </cell>
          <cell r="C815" t="str">
            <v>Sơn biển số- bảng nguy hiểm</v>
          </cell>
        </row>
        <row r="816">
          <cell r="A816" t="str">
            <v>LcapdongTB95</v>
          </cell>
          <cell r="B816" t="str">
            <v>04.4201</v>
          </cell>
          <cell r="C816" t="str">
            <v>Lắp cáp đồng xuống thiết bị D ≤ 95mm2</v>
          </cell>
        </row>
        <row r="817">
          <cell r="A817" t="str">
            <v>LcapdongTB150</v>
          </cell>
          <cell r="B817" t="str">
            <v>04.4202</v>
          </cell>
          <cell r="C817" t="str">
            <v>Lắp cáp đồng xuống thiết bị D ≤ 150mm2</v>
          </cell>
        </row>
        <row r="818">
          <cell r="A818" t="str">
            <v>LcapdongTB240</v>
          </cell>
          <cell r="B818" t="str">
            <v>04.4203</v>
          </cell>
          <cell r="C818" t="str">
            <v>Lắp cáp đồng xuống thiết bị D &gt; 150mm2</v>
          </cell>
        </row>
        <row r="819">
          <cell r="A819" t="str">
            <v>LFCO</v>
          </cell>
          <cell r="B819" t="str">
            <v>02.3505</v>
          </cell>
          <cell r="C819" t="str">
            <v>Lắp FCO 24KV</v>
          </cell>
        </row>
        <row r="820">
          <cell r="A820" t="str">
            <v>LLBFCO</v>
          </cell>
          <cell r="B820" t="str">
            <v>02.3505</v>
          </cell>
          <cell r="C820" t="str">
            <v>Lắp LBFCO 24KV</v>
          </cell>
        </row>
        <row r="821">
          <cell r="A821" t="str">
            <v>LGFCO</v>
          </cell>
          <cell r="B821" t="str">
            <v>06.2110</v>
          </cell>
          <cell r="C821" t="str">
            <v>Lắp giá đỡ FCO</v>
          </cell>
        </row>
        <row r="822">
          <cell r="A822" t="str">
            <v>PT</v>
          </cell>
          <cell r="B822" t="str">
            <v>01.1112</v>
          </cell>
          <cell r="C822" t="str">
            <v>Phát tuyến</v>
          </cell>
        </row>
        <row r="823">
          <cell r="A823" t="str">
            <v>PHABETONG</v>
          </cell>
          <cell r="B823" t="str">
            <v>07.1113</v>
          </cell>
          <cell r="C823" t="str">
            <v>Phá đường nhựa bằng thủ công</v>
          </cell>
        </row>
        <row r="824">
          <cell r="A824" t="str">
            <v>TR15</v>
          </cell>
          <cell r="B824" t="str">
            <v>01.1161</v>
          </cell>
          <cell r="C824" t="str">
            <v>Máy biến áp 8,6(12,7)/0,22- 0,44kV  15kVA</v>
          </cell>
        </row>
        <row r="825">
          <cell r="A825" t="str">
            <v>TR25</v>
          </cell>
          <cell r="B825" t="str">
            <v>01.1161</v>
          </cell>
          <cell r="C825" t="str">
            <v>Máy biến áp 8,6(12,7)/0,22- 0,44kV  25kVA</v>
          </cell>
        </row>
        <row r="826">
          <cell r="A826" t="str">
            <v>TR37</v>
          </cell>
          <cell r="B826" t="str">
            <v>01.1162</v>
          </cell>
          <cell r="C826" t="str">
            <v>Máy biến áp 8,6(12,7)/0,22-0,44kV- 37,5kVA</v>
          </cell>
        </row>
        <row r="827">
          <cell r="A827" t="str">
            <v>TR50</v>
          </cell>
          <cell r="B827" t="str">
            <v>01.1162</v>
          </cell>
          <cell r="C827" t="str">
            <v>Máy biến áp 8,6(12,7)/0,22-0,44kV- 50kVA</v>
          </cell>
        </row>
        <row r="828">
          <cell r="A828" t="str">
            <v>TR75</v>
          </cell>
          <cell r="B828" t="str">
            <v>01.1163</v>
          </cell>
          <cell r="C828" t="str">
            <v>Máy biến áp 8,6(12,7)/0,22-0,44kV- 75kVA</v>
          </cell>
        </row>
        <row r="829">
          <cell r="A829" t="str">
            <v>T100</v>
          </cell>
          <cell r="B829" t="str">
            <v>01.1164</v>
          </cell>
          <cell r="C829" t="str">
            <v>Máy biến áp 8,6(12,7)/0,22-0,44kV- 100kVA</v>
          </cell>
        </row>
        <row r="830">
          <cell r="A830" t="str">
            <v>TR151</v>
          </cell>
          <cell r="B830" t="str">
            <v>01.1161</v>
          </cell>
          <cell r="C830" t="str">
            <v>Máy biến áp 12,7/0,22-0,44kV  15kVA</v>
          </cell>
        </row>
        <row r="831">
          <cell r="A831" t="str">
            <v>TR251</v>
          </cell>
          <cell r="B831" t="str">
            <v>01.1161</v>
          </cell>
          <cell r="C831" t="str">
            <v>Máy biến áp 12,7/0,22-0,44kV  25kVA</v>
          </cell>
        </row>
        <row r="832">
          <cell r="A832" t="str">
            <v>TR371</v>
          </cell>
          <cell r="B832" t="str">
            <v>01.1412</v>
          </cell>
          <cell r="C832" t="str">
            <v>Máy biến áp 12,7/0,22-0,44kV  37,5kVA</v>
          </cell>
        </row>
        <row r="833">
          <cell r="A833" t="str">
            <v>TR501</v>
          </cell>
          <cell r="B833" t="str">
            <v>01.1162</v>
          </cell>
          <cell r="C833" t="str">
            <v>Máy biến áp 12,7/0,23-0,46kV 50kVA</v>
          </cell>
        </row>
        <row r="834">
          <cell r="A834" t="str">
            <v>TR751</v>
          </cell>
          <cell r="B834" t="str">
            <v>01.1163</v>
          </cell>
          <cell r="C834" t="str">
            <v>Máy biến áp 12,7/0,23-0,46kV  75kVA</v>
          </cell>
        </row>
        <row r="835">
          <cell r="A835" t="str">
            <v>T1001</v>
          </cell>
          <cell r="B835" t="str">
            <v>01.1164</v>
          </cell>
          <cell r="C835" t="str">
            <v>Máy biến áp 12,7/0,22-0,44kV  100kVA</v>
          </cell>
        </row>
        <row r="836">
          <cell r="A836" t="str">
            <v>TR100</v>
          </cell>
          <cell r="B836" t="str">
            <v>01.1153</v>
          </cell>
          <cell r="C836" t="str">
            <v>Máy biến áp 15(22)/0,4kV- 100kVA</v>
          </cell>
        </row>
        <row r="837">
          <cell r="A837" t="str">
            <v>TR160</v>
          </cell>
          <cell r="B837" t="str">
            <v>01.1154</v>
          </cell>
          <cell r="C837" t="str">
            <v>Máy biến áp 15(22)/0,4kV- 160kVA</v>
          </cell>
        </row>
        <row r="838">
          <cell r="A838" t="str">
            <v>TR180</v>
          </cell>
          <cell r="B838" t="str">
            <v>01.1154</v>
          </cell>
          <cell r="C838" t="str">
            <v>Máy biến áp 15(22)/0,4kV- 180kVA</v>
          </cell>
        </row>
        <row r="839">
          <cell r="A839" t="str">
            <v>TR250</v>
          </cell>
          <cell r="B839" t="str">
            <v>01.1155</v>
          </cell>
          <cell r="C839" t="str">
            <v>Máy biến áp 15(22)/0,4kV- 250kVA</v>
          </cell>
        </row>
        <row r="840">
          <cell r="A840" t="str">
            <v>TR320</v>
          </cell>
          <cell r="B840" t="str">
            <v>01.1155</v>
          </cell>
          <cell r="C840" t="str">
            <v>Máy biến áp 15(22)/0,4kV- 320kVA</v>
          </cell>
        </row>
        <row r="841">
          <cell r="A841" t="str">
            <v>TR400</v>
          </cell>
          <cell r="B841" t="str">
            <v>01.1155</v>
          </cell>
          <cell r="C841" t="str">
            <v>Máy biến áp 15(22)/0,4kV- 400kVA</v>
          </cell>
        </row>
        <row r="842">
          <cell r="A842" t="str">
            <v>TR560</v>
          </cell>
          <cell r="B842" t="str">
            <v>01.1156</v>
          </cell>
          <cell r="C842" t="str">
            <v>Máy biến áp 15(22)/0,4kV- 560kVA</v>
          </cell>
        </row>
        <row r="843">
          <cell r="A843" t="str">
            <v>TR630</v>
          </cell>
          <cell r="B843" t="str">
            <v>01.1156</v>
          </cell>
          <cell r="C843" t="str">
            <v>Máy biến áp 15(22)/0,4kV- 630kVA</v>
          </cell>
        </row>
        <row r="844">
          <cell r="A844" t="str">
            <v>TR750</v>
          </cell>
          <cell r="B844" t="str">
            <v>01.1157</v>
          </cell>
          <cell r="C844" t="str">
            <v>Máy biến áp 15(22)/0,4kV- 750kVA</v>
          </cell>
        </row>
        <row r="845">
          <cell r="A845" t="str">
            <v>TR1000</v>
          </cell>
          <cell r="B845" t="str">
            <v>01.1157</v>
          </cell>
          <cell r="C845" t="str">
            <v>Máy biến áp 15(22)/0,4kV- 1000kVA</v>
          </cell>
        </row>
        <row r="846">
          <cell r="A846" t="str">
            <v>TR1250</v>
          </cell>
          <cell r="B846" t="str">
            <v>01.1157</v>
          </cell>
          <cell r="C846" t="str">
            <v>Máy biến áp 15(22)/0,4kV- 1250kVA</v>
          </cell>
        </row>
        <row r="847">
          <cell r="A847" t="str">
            <v>TR1500</v>
          </cell>
          <cell r="B847" t="str">
            <v>01.1157</v>
          </cell>
          <cell r="C847" t="str">
            <v>Máy biến áp 15(22)/0,4kV- 1500kVA</v>
          </cell>
        </row>
        <row r="848">
          <cell r="A848" t="str">
            <v>TR1600</v>
          </cell>
          <cell r="B848" t="str">
            <v>01.1157</v>
          </cell>
          <cell r="C848" t="str">
            <v>Máy biến áp 15(22)/0,4kV- 1600kVA</v>
          </cell>
        </row>
        <row r="849">
          <cell r="A849" t="str">
            <v>TR2000</v>
          </cell>
          <cell r="B849" t="str">
            <v>01.1157</v>
          </cell>
          <cell r="C849" t="str">
            <v>Máy biến áp 15(22)/0,4kV- 2000kVA</v>
          </cell>
        </row>
        <row r="850">
          <cell r="A850" t="str">
            <v>TR2500</v>
          </cell>
          <cell r="B850" t="str">
            <v>01.1157</v>
          </cell>
          <cell r="C850" t="str">
            <v>Máy biến áp 15(22)/0,4kV- 2500kVA</v>
          </cell>
        </row>
        <row r="851">
          <cell r="A851" t="str">
            <v>TR3000</v>
          </cell>
          <cell r="B851" t="str">
            <v>01.1157</v>
          </cell>
          <cell r="C851" t="str">
            <v>Máy biến áp 15(22)/0,4kV- 3000kVA</v>
          </cell>
        </row>
        <row r="852">
          <cell r="A852" t="str">
            <v>TR4000</v>
          </cell>
          <cell r="B852" t="str">
            <v>01.1157</v>
          </cell>
          <cell r="C852" t="str">
            <v>Máy biến áp 15(22)/0,4kV- 4000kVA</v>
          </cell>
        </row>
        <row r="853">
          <cell r="A853" t="str">
            <v>TR1001</v>
          </cell>
          <cell r="B853" t="str">
            <v>01.1143</v>
          </cell>
          <cell r="C853" t="str">
            <v>MBA 1 PHA 12,7/0,22-0,44KV -100KVA ( TC Amorphous)</v>
          </cell>
        </row>
        <row r="854">
          <cell r="A854" t="str">
            <v>TR1601</v>
          </cell>
          <cell r="B854" t="str">
            <v>01.1144</v>
          </cell>
          <cell r="C854" t="str">
            <v>Máy biến áp 22/0,4kV  160kVA</v>
          </cell>
        </row>
        <row r="855">
          <cell r="A855" t="str">
            <v>TR1801</v>
          </cell>
          <cell r="B855" t="str">
            <v>01.1144</v>
          </cell>
          <cell r="C855" t="str">
            <v>Máy biến áp 22/0,4kV  180kVA</v>
          </cell>
        </row>
        <row r="856">
          <cell r="A856" t="str">
            <v>TR2501</v>
          </cell>
          <cell r="B856" t="str">
            <v>01.1415</v>
          </cell>
          <cell r="C856" t="str">
            <v>Máy biến áp 22/0,4kV- 250kVA</v>
          </cell>
        </row>
        <row r="857">
          <cell r="A857" t="str">
            <v>TR3201</v>
          </cell>
          <cell r="B857" t="str">
            <v>01.1145</v>
          </cell>
          <cell r="C857" t="str">
            <v>Máy biến áp 22/0,4kV- 320kVA</v>
          </cell>
        </row>
        <row r="858">
          <cell r="A858" t="str">
            <v>TR4001</v>
          </cell>
          <cell r="B858" t="str">
            <v>01.1146</v>
          </cell>
          <cell r="C858" t="str">
            <v>Máy biến áp 22/0,4kV- 400kVA</v>
          </cell>
        </row>
        <row r="859">
          <cell r="A859" t="str">
            <v>TR5601</v>
          </cell>
          <cell r="B859" t="str">
            <v>01.1146</v>
          </cell>
          <cell r="C859" t="str">
            <v>Máy biến áp 22/0,4kV- 560kVA</v>
          </cell>
        </row>
        <row r="860">
          <cell r="A860" t="str">
            <v>TR6301</v>
          </cell>
          <cell r="B860" t="str">
            <v>01.1146</v>
          </cell>
          <cell r="C860" t="str">
            <v>Máy biến áp 22/0,4kV- 630kVA</v>
          </cell>
        </row>
        <row r="861">
          <cell r="A861" t="str">
            <v>TR7501</v>
          </cell>
          <cell r="B861" t="str">
            <v>01.1147</v>
          </cell>
          <cell r="C861" t="str">
            <v>Máy biến áp 22/0,4kV- 750kVA</v>
          </cell>
        </row>
        <row r="862">
          <cell r="A862" t="str">
            <v>TR10001</v>
          </cell>
          <cell r="B862" t="str">
            <v>01.1147</v>
          </cell>
          <cell r="C862" t="str">
            <v>Máy biến áp 22/0,4kV- 1000kVA</v>
          </cell>
        </row>
        <row r="863">
          <cell r="A863" t="str">
            <v>TR12501</v>
          </cell>
          <cell r="B863" t="str">
            <v>01.1147</v>
          </cell>
          <cell r="C863" t="str">
            <v>Máy biến áp 22/0,4kV- 1250kVA</v>
          </cell>
        </row>
        <row r="864">
          <cell r="A864" t="str">
            <v>TR15001</v>
          </cell>
          <cell r="B864" t="str">
            <v>01.1147</v>
          </cell>
          <cell r="C864" t="str">
            <v>Máy biến áp 22/0,4kV- 1500kVA</v>
          </cell>
        </row>
        <row r="865">
          <cell r="A865" t="str">
            <v>TR16001</v>
          </cell>
          <cell r="B865" t="str">
            <v>01.1147</v>
          </cell>
          <cell r="C865" t="str">
            <v>Máy biến áp 22/0,4kV- 1600kVA</v>
          </cell>
        </row>
        <row r="866">
          <cell r="A866" t="str">
            <v>TR20001</v>
          </cell>
          <cell r="B866" t="str">
            <v>01.1147</v>
          </cell>
          <cell r="C866" t="str">
            <v>Máy biến áp 22/0,4kV- 2000kVA</v>
          </cell>
        </row>
        <row r="867">
          <cell r="A867" t="str">
            <v>TR25001</v>
          </cell>
          <cell r="B867" t="str">
            <v>01.1147</v>
          </cell>
          <cell r="C867" t="str">
            <v>Máy biến áp 22/0,4kV- 2500kVA</v>
          </cell>
        </row>
        <row r="868">
          <cell r="A868" t="str">
            <v>TR30001</v>
          </cell>
          <cell r="B868" t="str">
            <v>01.1147</v>
          </cell>
          <cell r="C868" t="str">
            <v>Máy biến áp 22/0,4kV- 3000kVA</v>
          </cell>
        </row>
        <row r="869">
          <cell r="A869" t="str">
            <v>TR40001</v>
          </cell>
          <cell r="B869" t="str">
            <v>01.1147</v>
          </cell>
          <cell r="C869" t="str">
            <v>Máy biến áp 22/0,4kV- 4000kVA</v>
          </cell>
        </row>
        <row r="870">
          <cell r="A870" t="str">
            <v>FCO200-15</v>
          </cell>
          <cell r="B870" t="str">
            <v>02.3504</v>
          </cell>
          <cell r="C870" t="str">
            <v xml:space="preserve">FCO 24KV - 200A </v>
          </cell>
        </row>
        <row r="871">
          <cell r="A871" t="str">
            <v>FCO100-22</v>
          </cell>
          <cell r="B871" t="str">
            <v>02.3155</v>
          </cell>
          <cell r="C871" t="str">
            <v>FCO 24kV - 100A</v>
          </cell>
        </row>
        <row r="872">
          <cell r="A872" t="str">
            <v>FCO200-22</v>
          </cell>
          <cell r="B872" t="str">
            <v>02.3505</v>
          </cell>
          <cell r="C872" t="str">
            <v xml:space="preserve">FCO 24KV - 200A </v>
          </cell>
        </row>
        <row r="873">
          <cell r="A873" t="str">
            <v>lbfco100-15</v>
          </cell>
          <cell r="B873" t="str">
            <v>02.3504</v>
          </cell>
          <cell r="C873" t="str">
            <v>LBFCO-24KV-100A</v>
          </cell>
        </row>
        <row r="874">
          <cell r="A874" t="str">
            <v>LBFCO200-15</v>
          </cell>
          <cell r="B874" t="str">
            <v>02.3504</v>
          </cell>
          <cell r="C874" t="str">
            <v>LBFCO-24KV-200A</v>
          </cell>
        </row>
        <row r="875">
          <cell r="A875" t="str">
            <v>lbfco100-22</v>
          </cell>
          <cell r="B875" t="str">
            <v>02.3505</v>
          </cell>
          <cell r="C875" t="str">
            <v>LBFCO-24KV-100A</v>
          </cell>
        </row>
        <row r="876">
          <cell r="A876" t="str">
            <v>LBFCO200-22</v>
          </cell>
          <cell r="B876" t="str">
            <v>02.3505</v>
          </cell>
          <cell r="C876" t="str">
            <v>LBFCO-24KV-200A</v>
          </cell>
        </row>
        <row r="877">
          <cell r="A877" t="str">
            <v>DS1P</v>
          </cell>
          <cell r="B877" t="str">
            <v>02.3302</v>
          </cell>
          <cell r="C877" t="str">
            <v xml:space="preserve">DS 1P - 24KV - 600A </v>
          </cell>
        </row>
        <row r="878">
          <cell r="A878" t="str">
            <v>DS3P</v>
          </cell>
          <cell r="B878" t="str">
            <v>02.3302</v>
          </cell>
          <cell r="C878" t="str">
            <v xml:space="preserve">DS 3P - 24KV - 630A </v>
          </cell>
        </row>
        <row r="879">
          <cell r="A879" t="str">
            <v>DS1PDD</v>
          </cell>
          <cell r="B879" t="str">
            <v>02.3109</v>
          </cell>
          <cell r="C879" t="str">
            <v xml:space="preserve">DS 1P - 24KV - 600A </v>
          </cell>
        </row>
        <row r="880">
          <cell r="A880" t="str">
            <v>DS3PDD</v>
          </cell>
          <cell r="B880" t="str">
            <v>02.3207</v>
          </cell>
          <cell r="C880" t="str">
            <v xml:space="preserve">DS 3P - 24KV - 630A </v>
          </cell>
        </row>
        <row r="881">
          <cell r="A881" t="str">
            <v>LBS 16</v>
          </cell>
          <cell r="B881" t="str">
            <v>02.2124</v>
          </cell>
          <cell r="C881" t="str">
            <v>LBS SF6 3pha 24kV 630A - 16kA</v>
          </cell>
        </row>
        <row r="882">
          <cell r="A882" t="str">
            <v>LBS treo</v>
          </cell>
          <cell r="B882" t="str">
            <v>02.2124</v>
          </cell>
          <cell r="C882" t="str">
            <v>LBS SF6 3pha 24kV 630A 12kA + bộ truyền động</v>
          </cell>
        </row>
        <row r="883">
          <cell r="A883" t="str">
            <v>REC</v>
          </cell>
          <cell r="B883" t="str">
            <v>02.2113</v>
          </cell>
          <cell r="C883" t="str">
            <v>Recloser 24kV 630A - 800A (MBA cấp nguồn + Phụ kiện)</v>
          </cell>
        </row>
        <row r="884">
          <cell r="A884" t="str">
            <v>LTD</v>
          </cell>
          <cell r="B884" t="str">
            <v>02.3104</v>
          </cell>
          <cell r="C884" t="str">
            <v>LTD 1P 24KV - 800A</v>
          </cell>
        </row>
        <row r="885">
          <cell r="A885" t="str">
            <v>LA12</v>
          </cell>
          <cell r="B885" t="str">
            <v>02.5114</v>
          </cell>
          <cell r="C885" t="str">
            <v>LA 12kV 10kA</v>
          </cell>
        </row>
        <row r="886">
          <cell r="A886" t="str">
            <v>LA18</v>
          </cell>
          <cell r="B886" t="str">
            <v>02.5114</v>
          </cell>
          <cell r="C886" t="str">
            <v>Chống sét van LA-18KV-10KA</v>
          </cell>
        </row>
        <row r="887">
          <cell r="A887" t="str">
            <v>TI10</v>
          </cell>
          <cell r="B887" t="str">
            <v>02.1124</v>
          </cell>
          <cell r="C887" t="str">
            <v>Biến dòng 24kV  10/5A</v>
          </cell>
        </row>
        <row r="888">
          <cell r="A888" t="str">
            <v>TI15</v>
          </cell>
          <cell r="B888" t="str">
            <v>02.1124</v>
          </cell>
          <cell r="C888" t="str">
            <v>Biến dòng 24kV  15/5A</v>
          </cell>
        </row>
        <row r="889">
          <cell r="A889" t="str">
            <v>TI20</v>
          </cell>
          <cell r="B889" t="str">
            <v>02.1124</v>
          </cell>
          <cell r="C889" t="str">
            <v>Biến dòng 24kV  20/5A</v>
          </cell>
        </row>
        <row r="890">
          <cell r="A890" t="str">
            <v>TI25</v>
          </cell>
          <cell r="B890" t="str">
            <v>02.1124</v>
          </cell>
          <cell r="C890" t="str">
            <v>Biến dòng 24kV  25/5A</v>
          </cell>
        </row>
        <row r="891">
          <cell r="A891" t="str">
            <v>TI30</v>
          </cell>
          <cell r="B891" t="str">
            <v>02.1124</v>
          </cell>
          <cell r="C891" t="str">
            <v>Biến dòng 24kV  30/5A</v>
          </cell>
        </row>
        <row r="892">
          <cell r="A892" t="str">
            <v>TI40</v>
          </cell>
          <cell r="B892" t="str">
            <v>02.1124</v>
          </cell>
          <cell r="C892" t="str">
            <v>Biến dòng 24kV  40/5A</v>
          </cell>
        </row>
        <row r="893">
          <cell r="A893" t="str">
            <v>TI50</v>
          </cell>
          <cell r="B893" t="str">
            <v>02.1124</v>
          </cell>
          <cell r="C893" t="str">
            <v>Biến dòng 24kV  50/5A</v>
          </cell>
        </row>
        <row r="894">
          <cell r="A894" t="str">
            <v>TI60</v>
          </cell>
          <cell r="B894" t="str">
            <v>02.1124</v>
          </cell>
          <cell r="C894" t="str">
            <v>Biến dòng 24kV  60/5A</v>
          </cell>
        </row>
        <row r="895">
          <cell r="A895" t="str">
            <v>TI75</v>
          </cell>
          <cell r="B895" t="str">
            <v>02.1124</v>
          </cell>
          <cell r="C895" t="str">
            <v>Biến dòng 24kV  75/5A</v>
          </cell>
        </row>
        <row r="896">
          <cell r="A896" t="str">
            <v>TI100</v>
          </cell>
          <cell r="B896" t="str">
            <v>02.1124</v>
          </cell>
          <cell r="C896" t="str">
            <v>Biến dòng 24kV  100/5A</v>
          </cell>
        </row>
        <row r="897">
          <cell r="A897" t="str">
            <v>TI150</v>
          </cell>
          <cell r="B897" t="str">
            <v>02.1124</v>
          </cell>
          <cell r="C897" t="str">
            <v>Biến dòng 24kV  150/5A</v>
          </cell>
        </row>
        <row r="898">
          <cell r="A898" t="str">
            <v>TI755</v>
          </cell>
          <cell r="C898" t="str">
            <v xml:space="preserve">Biến dòng 600V - 75/5A </v>
          </cell>
        </row>
        <row r="899">
          <cell r="A899" t="str">
            <v>TI1005</v>
          </cell>
          <cell r="C899" t="str">
            <v>Biến dòng 600V - 100/5A</v>
          </cell>
        </row>
        <row r="900">
          <cell r="A900" t="str">
            <v>TI1255</v>
          </cell>
          <cell r="C900" t="str">
            <v xml:space="preserve">Biến dòng 600V - 125/5A </v>
          </cell>
        </row>
        <row r="901">
          <cell r="A901" t="str">
            <v>TI1505</v>
          </cell>
          <cell r="C901" t="str">
            <v xml:space="preserve">Biến dòng 600V - 150/5A </v>
          </cell>
        </row>
        <row r="902">
          <cell r="A902" t="str">
            <v>TI200</v>
          </cell>
          <cell r="C902" t="str">
            <v xml:space="preserve">Biến dòng 600V - 200/5A </v>
          </cell>
        </row>
        <row r="903">
          <cell r="A903" t="str">
            <v>TI250</v>
          </cell>
          <cell r="C903" t="str">
            <v>Biến dòng 600V - 250/5A</v>
          </cell>
        </row>
        <row r="904">
          <cell r="A904" t="str">
            <v>TI300</v>
          </cell>
          <cell r="C904" t="str">
            <v xml:space="preserve">Biến dòng 600V - 300/5A </v>
          </cell>
        </row>
        <row r="905">
          <cell r="A905" t="str">
            <v>TI400</v>
          </cell>
          <cell r="C905" t="str">
            <v>Biến dòng 600V - 400/5A</v>
          </cell>
        </row>
        <row r="906">
          <cell r="A906" t="str">
            <v>TI500</v>
          </cell>
          <cell r="C906" t="str">
            <v>Biến dòng 600V - 500/5A</v>
          </cell>
        </row>
        <row r="907">
          <cell r="A907" t="str">
            <v>TI600</v>
          </cell>
          <cell r="C907" t="str">
            <v>Biến dòng 600V - 600/5A</v>
          </cell>
        </row>
        <row r="908">
          <cell r="A908" t="str">
            <v>TI800</v>
          </cell>
          <cell r="C908" t="str">
            <v>Biến dòng 600V - 800/5A</v>
          </cell>
        </row>
        <row r="909">
          <cell r="A909" t="str">
            <v>TU15</v>
          </cell>
          <cell r="B909" t="str">
            <v>02.1114</v>
          </cell>
          <cell r="C909" t="str">
            <v>Biến điện áp 8400/120(60)V</v>
          </cell>
        </row>
        <row r="910">
          <cell r="A910" t="str">
            <v>TU22</v>
          </cell>
          <cell r="B910" t="str">
            <v>02.1114</v>
          </cell>
          <cell r="C910" t="str">
            <v>Biến điện áp 22000/√3/100/√3 V</v>
          </cell>
        </row>
        <row r="911">
          <cell r="A911" t="str">
            <v>TIMER</v>
          </cell>
          <cell r="C911" t="str">
            <v>Relay Timer + cầu chì</v>
          </cell>
        </row>
        <row r="912">
          <cell r="A912" t="str">
            <v>COTATOR</v>
          </cell>
          <cell r="C912" t="str">
            <v>Contactor 3P-50A</v>
          </cell>
        </row>
        <row r="913">
          <cell r="A913" t="str">
            <v>CONTACTOR 100</v>
          </cell>
          <cell r="C913" t="str">
            <v>Contactor 3P-100A</v>
          </cell>
        </row>
        <row r="914">
          <cell r="A914" t="str">
            <v>CONTACTOR 125</v>
          </cell>
          <cell r="C914" t="str">
            <v>Contactor 3P-125A</v>
          </cell>
        </row>
        <row r="915">
          <cell r="A915" t="str">
            <v>TUBU1000</v>
          </cell>
          <cell r="B915" t="str">
            <v>02.8534</v>
          </cell>
          <cell r="C915" t="str">
            <v>Tủ tụ bù hạ thế 1000kVAr</v>
          </cell>
        </row>
        <row r="916">
          <cell r="A916" t="str">
            <v>TUBU750</v>
          </cell>
          <cell r="B916" t="str">
            <v>02.8534</v>
          </cell>
          <cell r="C916" t="str">
            <v>Tủ tụ bù hạ thế 750kVAr</v>
          </cell>
        </row>
        <row r="917">
          <cell r="A917" t="str">
            <v>TUBU600</v>
          </cell>
          <cell r="B917" t="str">
            <v>02.8534</v>
          </cell>
          <cell r="C917" t="str">
            <v>Tủ tụ bù hạ thế 600kVAr</v>
          </cell>
        </row>
        <row r="918">
          <cell r="A918" t="str">
            <v>TUBU400</v>
          </cell>
          <cell r="B918" t="str">
            <v>02.8534</v>
          </cell>
          <cell r="C918" t="str">
            <v>Tủ tụ bù hạ thế 400kVAr</v>
          </cell>
        </row>
        <row r="919">
          <cell r="A919" t="str">
            <v>TUBU380</v>
          </cell>
          <cell r="B919" t="str">
            <v>02.8534</v>
          </cell>
          <cell r="C919" t="str">
            <v>Tủ tụ bù hạ thế 380kVAr</v>
          </cell>
        </row>
        <row r="920">
          <cell r="A920" t="str">
            <v>TUBU300</v>
          </cell>
          <cell r="B920" t="str">
            <v>02.8534</v>
          </cell>
          <cell r="C920" t="str">
            <v>Tủ tụ bù hạ thế 300kVAr</v>
          </cell>
        </row>
        <row r="921">
          <cell r="A921" t="str">
            <v>TUBU250</v>
          </cell>
          <cell r="B921" t="str">
            <v>02.8534</v>
          </cell>
          <cell r="C921" t="str">
            <v>Tủ tụ bù hạ thế 250kVAr</v>
          </cell>
        </row>
        <row r="922">
          <cell r="A922" t="str">
            <v>TUBU220</v>
          </cell>
          <cell r="B922" t="str">
            <v>02.8534</v>
          </cell>
          <cell r="C922" t="str">
            <v>Tủ tụ bù hạ thế 220kVAr</v>
          </cell>
        </row>
        <row r="923">
          <cell r="A923" t="str">
            <v>TUBU160</v>
          </cell>
          <cell r="B923" t="str">
            <v>02.8534</v>
          </cell>
          <cell r="C923" t="str">
            <v>Tủ tụ bù hạ thế 160kVAr</v>
          </cell>
        </row>
        <row r="924">
          <cell r="A924" t="str">
            <v>TUBU135</v>
          </cell>
          <cell r="B924" t="str">
            <v>02.8534</v>
          </cell>
          <cell r="C924" t="str">
            <v>Tủ tụ bù hạ thế 135kVAr</v>
          </cell>
        </row>
        <row r="925">
          <cell r="A925" t="str">
            <v>TUBU130</v>
          </cell>
          <cell r="B925" t="str">
            <v>02.8534</v>
          </cell>
          <cell r="C925" t="str">
            <v>Tủ tụ bù hạ thế 130kVAr</v>
          </cell>
        </row>
        <row r="926">
          <cell r="A926" t="str">
            <v>TUBU100</v>
          </cell>
          <cell r="B926" t="str">
            <v>02.8504a</v>
          </cell>
          <cell r="C926" t="str">
            <v>Tủ tụ bù hạ thế 100kVAr</v>
          </cell>
        </row>
        <row r="927">
          <cell r="A927" t="str">
            <v>TUBU90</v>
          </cell>
          <cell r="B927" t="str">
            <v>02.8534</v>
          </cell>
          <cell r="C927" t="str">
            <v>Tủ tụ bù hạ thế 90kVAr</v>
          </cell>
        </row>
        <row r="928">
          <cell r="A928" t="str">
            <v>TUBU80</v>
          </cell>
          <cell r="B928" t="str">
            <v>02.8534</v>
          </cell>
          <cell r="C928" t="str">
            <v>Tủ tụ bù hạ thế 80kVAr</v>
          </cell>
        </row>
        <row r="929">
          <cell r="A929" t="str">
            <v>TUBU60</v>
          </cell>
          <cell r="B929" t="str">
            <v>02.8534</v>
          </cell>
          <cell r="C929" t="str">
            <v>Tủ tụ bù hạ thế 60kVAr</v>
          </cell>
        </row>
        <row r="930">
          <cell r="A930" t="str">
            <v>TUBU40</v>
          </cell>
          <cell r="B930" t="str">
            <v>02.8534</v>
          </cell>
          <cell r="C930" t="str">
            <v>Tụ bù 1 pha 30Kvar</v>
          </cell>
        </row>
        <row r="931">
          <cell r="A931" t="str">
            <v>TULBS</v>
          </cell>
          <cell r="B931" t="str">
            <v>05.2102</v>
          </cell>
          <cell r="C931" t="str">
            <v>Tủ LBS 3 pha 630-800A</v>
          </cell>
        </row>
        <row r="932">
          <cell r="A932" t="str">
            <v>TU LBS</v>
          </cell>
          <cell r="B932" t="str">
            <v>05.2102</v>
          </cell>
          <cell r="C932" t="str">
            <v>Tủ + LBS 24kV 3 pha 630A -16kA + Fuse 80A</v>
          </cell>
        </row>
        <row r="933">
          <cell r="A933" t="str">
            <v>TUTC LBS</v>
          </cell>
          <cell r="B933" t="str">
            <v>05.2102</v>
          </cell>
          <cell r="C933" t="str">
            <v>Tủ đấu nối thanh cái LBS (GAM2)</v>
          </cell>
        </row>
        <row r="934">
          <cell r="A934" t="str">
            <v>TUDS</v>
          </cell>
          <cell r="B934" t="str">
            <v>05.2102</v>
          </cell>
          <cell r="C934" t="str">
            <v>Tủ DS 3 pha 630-800A</v>
          </cell>
        </row>
        <row r="935">
          <cell r="A935" t="str">
            <v>TUACB</v>
          </cell>
          <cell r="B935" t="str">
            <v>05.1102</v>
          </cell>
          <cell r="C935" t="str">
            <v>Tủ ACB trạm 3 pha + khoá</v>
          </cell>
        </row>
        <row r="936">
          <cell r="A936" t="str">
            <v>TUACB3200</v>
          </cell>
          <cell r="B936" t="str">
            <v>05.1102</v>
          </cell>
          <cell r="C936" t="str">
            <v>Tủ ACB 3200 + giá nới + khoá</v>
          </cell>
        </row>
        <row r="937">
          <cell r="A937" t="str">
            <v>TUACB4000</v>
          </cell>
          <cell r="B937" t="str">
            <v>05.1102</v>
          </cell>
          <cell r="C937" t="str">
            <v>Tủ ACB 4000 + giá nới + khoá</v>
          </cell>
        </row>
        <row r="938">
          <cell r="A938" t="str">
            <v>TUAP3-N</v>
          </cell>
          <cell r="B938" t="str">
            <v>05.1002</v>
          </cell>
          <cell r="C938" t="str">
            <v>Tủ CB trạm 3 pha + khoá + bulon</v>
          </cell>
        </row>
        <row r="939">
          <cell r="A939" t="str">
            <v>TUAP1</v>
          </cell>
          <cell r="B939" t="str">
            <v>05.1001</v>
          </cell>
          <cell r="C939" t="str">
            <v>Tủ CB trạm 1 pha + khóa + boulon</v>
          </cell>
        </row>
        <row r="940">
          <cell r="A940" t="str">
            <v>TUN</v>
          </cell>
          <cell r="B940" t="str">
            <v>05.1101</v>
          </cell>
          <cell r="C940" t="str">
            <v>Tủ điện kế 1 pha</v>
          </cell>
        </row>
        <row r="941">
          <cell r="A941" t="str">
            <v>TUDKDT</v>
          </cell>
          <cell r="B941" t="str">
            <v>05.1101</v>
          </cell>
          <cell r="C941" t="str">
            <v>Thùng điện kế 450x300x200mm đo đếm trung thế</v>
          </cell>
        </row>
        <row r="942">
          <cell r="A942" t="str">
            <v>TUAP3</v>
          </cell>
          <cell r="B942" t="str">
            <v>05.1102</v>
          </cell>
          <cell r="C942" t="str">
            <v>Vỏ tủ + khóa tủ</v>
          </cell>
        </row>
        <row r="943">
          <cell r="A943" t="str">
            <v>TUAP3L</v>
          </cell>
          <cell r="B943" t="str">
            <v>05.1002</v>
          </cell>
          <cell r="C943" t="str">
            <v>Vỏ tủ trạm giàn 2 ngăn + khóa tủ</v>
          </cell>
        </row>
        <row r="944">
          <cell r="A944" t="str">
            <v>KHUNG TU</v>
          </cell>
          <cell r="B944" t="str">
            <v>05.1102</v>
          </cell>
          <cell r="C944" t="str">
            <v>Khung đỡ tủ MCCB và tủ bù</v>
          </cell>
        </row>
        <row r="945">
          <cell r="A945" t="str">
            <v>TUPP</v>
          </cell>
          <cell r="B945" t="str">
            <v>05.1101</v>
          </cell>
          <cell r="C945" t="str">
            <v>Tủ phân phối hạ thế</v>
          </cell>
        </row>
        <row r="946">
          <cell r="A946" t="str">
            <v>ATM30A</v>
          </cell>
          <cell r="C946" t="str">
            <v>Aptomat 2 cực 220V - 30A - 2,5kA</v>
          </cell>
        </row>
        <row r="947">
          <cell r="A947" t="str">
            <v>ATM40A</v>
          </cell>
          <cell r="C947" t="str">
            <v>Aptomat 2 cực 220V - 40A - 7,5kA</v>
          </cell>
        </row>
        <row r="948">
          <cell r="A948" t="str">
            <v>ATM100A</v>
          </cell>
          <cell r="C948" t="str">
            <v>Aptomat 2 cực 220V -100A</v>
          </cell>
        </row>
        <row r="949">
          <cell r="A949" t="str">
            <v>ATM50</v>
          </cell>
          <cell r="B949" t="str">
            <v>02.8401</v>
          </cell>
          <cell r="C949" t="str">
            <v xml:space="preserve">MCCB - 3P-400V-63A-25KA  Icu=Ics </v>
          </cell>
        </row>
        <row r="950">
          <cell r="A950" t="str">
            <v>ATM80</v>
          </cell>
          <cell r="B950" t="str">
            <v>02.8401</v>
          </cell>
          <cell r="C950" t="str">
            <v>MCCB 3 cực 400V-80A - 10KA</v>
          </cell>
        </row>
        <row r="951">
          <cell r="A951" t="str">
            <v>ATM75</v>
          </cell>
          <cell r="B951" t="str">
            <v>02.8401</v>
          </cell>
          <cell r="C951" t="str">
            <v>MCCB 3 cực 400V-75A - 10KA</v>
          </cell>
        </row>
        <row r="952">
          <cell r="A952" t="str">
            <v>ATM100</v>
          </cell>
          <cell r="B952" t="str">
            <v>02.8401</v>
          </cell>
          <cell r="C952" t="str">
            <v>MCCB 3 cực 400V-100A - 30KA</v>
          </cell>
        </row>
        <row r="953">
          <cell r="A953" t="str">
            <v>ATM125</v>
          </cell>
          <cell r="B953" t="str">
            <v>02.8401</v>
          </cell>
          <cell r="C953" t="str">
            <v>MCCB 3 cực 400V -125A - 30KA</v>
          </cell>
        </row>
        <row r="954">
          <cell r="A954" t="str">
            <v>ATM150</v>
          </cell>
          <cell r="B954" t="str">
            <v>02.8401</v>
          </cell>
          <cell r="C954" t="str">
            <v>MCCB 3 cực 400V -150A - 35KA</v>
          </cell>
        </row>
        <row r="955">
          <cell r="A955" t="str">
            <v>ATM200</v>
          </cell>
          <cell r="B955" t="str">
            <v>02.8401</v>
          </cell>
          <cell r="C955" t="str">
            <v>MCCB 3 cực 400V -200A - 35KA</v>
          </cell>
        </row>
        <row r="956">
          <cell r="A956" t="str">
            <v>ATM250</v>
          </cell>
          <cell r="B956" t="str">
            <v>02.8401</v>
          </cell>
          <cell r="C956" t="str">
            <v xml:space="preserve">MCCB 3 cực 600V -250A - 36KA </v>
          </cell>
        </row>
        <row r="957">
          <cell r="A957" t="str">
            <v>ATM400</v>
          </cell>
          <cell r="B957" t="str">
            <v>02.8402</v>
          </cell>
          <cell r="C957" t="str">
            <v>MCCB 3 cực 690V - 400A - 50KA</v>
          </cell>
        </row>
        <row r="958">
          <cell r="A958" t="str">
            <v>ATM500</v>
          </cell>
          <cell r="B958" t="str">
            <v>02.8403</v>
          </cell>
          <cell r="C958" t="str">
            <v>MCCB 3 cực 400V -500A - 50KA</v>
          </cell>
        </row>
        <row r="959">
          <cell r="A959" t="str">
            <v>ATM600</v>
          </cell>
          <cell r="B959" t="str">
            <v>02.8403</v>
          </cell>
          <cell r="C959" t="str">
            <v>MCCB 3 cực 400V -600A - 35KA</v>
          </cell>
        </row>
        <row r="960">
          <cell r="A960" t="str">
            <v>ATM630</v>
          </cell>
          <cell r="B960" t="str">
            <v>02.8403</v>
          </cell>
          <cell r="C960" t="str">
            <v>MCCB 3 cực 400V -630A - 35KA</v>
          </cell>
        </row>
        <row r="961">
          <cell r="A961" t="str">
            <v>ATM800</v>
          </cell>
          <cell r="B961" t="str">
            <v>02.8403</v>
          </cell>
          <cell r="C961" t="str">
            <v>MCCB 3 cực 400V -800A - 50KA</v>
          </cell>
        </row>
        <row r="962">
          <cell r="A962" t="str">
            <v>ATM1000</v>
          </cell>
          <cell r="B962" t="str">
            <v>02.8404</v>
          </cell>
          <cell r="C962" t="str">
            <v>MCCB 3 cực 400V -1000A - 50KA</v>
          </cell>
        </row>
        <row r="963">
          <cell r="A963" t="str">
            <v>ATM1250</v>
          </cell>
          <cell r="B963" t="str">
            <v>02.8404</v>
          </cell>
          <cell r="C963" t="str">
            <v>MCCB 3 cực 400V -1250A - 85KA</v>
          </cell>
        </row>
        <row r="964">
          <cell r="A964" t="str">
            <v>ATM1600</v>
          </cell>
          <cell r="B964" t="str">
            <v>02.8404</v>
          </cell>
          <cell r="C964" t="str">
            <v>MCCB 3 cực 400V -1600A - 85KA</v>
          </cell>
        </row>
        <row r="965">
          <cell r="A965" t="str">
            <v>ACB1600</v>
          </cell>
          <cell r="B965" t="str">
            <v>02.8404</v>
          </cell>
          <cell r="C965" t="str">
            <v>ACB 3P - 1600A - 65KA (nạp lò xo bằng tay)</v>
          </cell>
        </row>
        <row r="966">
          <cell r="A966" t="str">
            <v>ACB2000</v>
          </cell>
          <cell r="B966" t="str">
            <v>02.8404</v>
          </cell>
          <cell r="C966" t="str">
            <v>ACB 3P - 2000A - 85KA (nạp lò xo bằng tay)</v>
          </cell>
        </row>
        <row r="967">
          <cell r="A967" t="str">
            <v>ACB2500</v>
          </cell>
          <cell r="B967" t="str">
            <v>02.8404</v>
          </cell>
          <cell r="C967" t="str">
            <v>ACB 3P - 2500A - 85KA (nạp lò xo bằng tay)</v>
          </cell>
        </row>
        <row r="968">
          <cell r="A968" t="str">
            <v>ACB3200</v>
          </cell>
          <cell r="B968" t="str">
            <v>02.8404</v>
          </cell>
          <cell r="C968" t="str">
            <v>ACB 3P - 3200A - 85KA (nạp lò xo bằng tay)</v>
          </cell>
        </row>
        <row r="969">
          <cell r="A969" t="str">
            <v>ACB4000</v>
          </cell>
          <cell r="B969" t="str">
            <v>02.8404</v>
          </cell>
          <cell r="C969" t="str">
            <v>ACB 3P - 4000A - 85KA (nạp lò xo bằng tay)</v>
          </cell>
        </row>
        <row r="970">
          <cell r="A970" t="str">
            <v>ACB4000-130</v>
          </cell>
          <cell r="B970" t="str">
            <v>02.8404</v>
          </cell>
          <cell r="C970" t="str">
            <v>ACB 3P - 4000A - 130KA (nạp lò xo bằng tay)</v>
          </cell>
        </row>
        <row r="971">
          <cell r="A971" t="str">
            <v>ACB6300</v>
          </cell>
          <cell r="B971" t="str">
            <v>02.8404</v>
          </cell>
          <cell r="C971" t="str">
            <v>ACB 3P - 6300A - 130KA (nạp lò xo bằng tay)</v>
          </cell>
        </row>
        <row r="972">
          <cell r="A972" t="str">
            <v>AP250</v>
          </cell>
          <cell r="C972" t="str">
            <v>Áp tô mát CBXE 200NC -250A-600V (TERASAKY-Nhật)</v>
          </cell>
        </row>
        <row r="973">
          <cell r="A973" t="str">
            <v>AP150</v>
          </cell>
          <cell r="C973" t="str">
            <v>Áp tô mát CBXE 200NC -150A-600V (TERASAKY-Nhật)</v>
          </cell>
        </row>
        <row r="974">
          <cell r="A974" t="str">
            <v>CHI3K</v>
          </cell>
          <cell r="C974" t="str">
            <v>Dây chảy 3K</v>
          </cell>
        </row>
        <row r="975">
          <cell r="A975" t="str">
            <v>CHI6K</v>
          </cell>
          <cell r="C975" t="str">
            <v>Dây chảy 6K</v>
          </cell>
        </row>
        <row r="976">
          <cell r="A976" t="str">
            <v>CHI8K</v>
          </cell>
          <cell r="C976" t="str">
            <v>Dây chảy 8K</v>
          </cell>
        </row>
        <row r="977">
          <cell r="A977" t="str">
            <v>CHI10K</v>
          </cell>
          <cell r="C977" t="str">
            <v>Dây chảy 10K</v>
          </cell>
        </row>
        <row r="978">
          <cell r="A978" t="str">
            <v>CHI12K</v>
          </cell>
          <cell r="C978" t="str">
            <v>Dây chảy 12K</v>
          </cell>
        </row>
        <row r="979">
          <cell r="A979" t="str">
            <v>CHI15K</v>
          </cell>
          <cell r="C979" t="str">
            <v>Dây chảy 15K</v>
          </cell>
        </row>
        <row r="980">
          <cell r="A980" t="str">
            <v>CHI20K</v>
          </cell>
          <cell r="C980" t="str">
            <v>Dây chảy 20K</v>
          </cell>
        </row>
        <row r="981">
          <cell r="A981" t="str">
            <v>CHI25K</v>
          </cell>
          <cell r="C981" t="str">
            <v>Dây chảy 25K</v>
          </cell>
        </row>
        <row r="982">
          <cell r="A982" t="str">
            <v>CHI30K</v>
          </cell>
          <cell r="C982" t="str">
            <v>Dây chảy 30K</v>
          </cell>
        </row>
        <row r="983">
          <cell r="A983" t="str">
            <v>CHI40K</v>
          </cell>
          <cell r="C983" t="str">
            <v>Dây chảy 40K</v>
          </cell>
        </row>
        <row r="984">
          <cell r="A984" t="str">
            <v>CHI50K</v>
          </cell>
          <cell r="C984" t="str">
            <v>Dây chảy 50K</v>
          </cell>
        </row>
        <row r="985">
          <cell r="A985" t="str">
            <v>CHI65K</v>
          </cell>
          <cell r="C985" t="str">
            <v>Dây chảy 65K</v>
          </cell>
        </row>
        <row r="986">
          <cell r="A986" t="str">
            <v>CHI80K</v>
          </cell>
          <cell r="C986" t="str">
            <v>Dây chảy 80K</v>
          </cell>
        </row>
        <row r="987">
          <cell r="A987" t="str">
            <v>CHI100K</v>
          </cell>
          <cell r="C987" t="str">
            <v>Dây chảy 100K</v>
          </cell>
        </row>
        <row r="988">
          <cell r="A988" t="str">
            <v>CHI140K</v>
          </cell>
          <cell r="C988" t="str">
            <v>Dây chảy 140K</v>
          </cell>
        </row>
        <row r="989">
          <cell r="A989" t="str">
            <v>DK1p100A</v>
          </cell>
          <cell r="C989" t="str">
            <v>Điện kế 1 pha 2 dây 220V-100A</v>
          </cell>
        </row>
        <row r="990">
          <cell r="A990" t="str">
            <v>DK1p80A</v>
          </cell>
          <cell r="C990" t="str">
            <v>Điện kế 1 pha 2 dây 220V-80A</v>
          </cell>
        </row>
        <row r="991">
          <cell r="A991" t="str">
            <v>DK1p5A</v>
          </cell>
          <cell r="C991" t="str">
            <v>Điện kế 1 pha 2 dây 220V-5A</v>
          </cell>
        </row>
        <row r="992">
          <cell r="A992" t="str">
            <v>DK3p50(100)A</v>
          </cell>
          <cell r="C992" t="str">
            <v>Điện kế 3 pha 4 dây 220/380V-50(100)A</v>
          </cell>
        </row>
        <row r="993">
          <cell r="A993" t="str">
            <v>DK3p5A</v>
          </cell>
          <cell r="B993" t="str">
            <v>05.5104</v>
          </cell>
          <cell r="C993" t="str">
            <v>Điện kế 3 pha 4 dây 220/380V-5A</v>
          </cell>
        </row>
        <row r="994">
          <cell r="A994" t="str">
            <v>DK380-5A</v>
          </cell>
          <cell r="B994" t="str">
            <v>05.5104</v>
          </cell>
          <cell r="C994" t="str">
            <v>Điện kế 3 pha điện tử 220/380V-5A</v>
          </cell>
        </row>
        <row r="995">
          <cell r="A995" t="str">
            <v>DK3DT</v>
          </cell>
          <cell r="C995" t="str">
            <v>Điện kế 3 pha điện tử 600V-5A</v>
          </cell>
        </row>
        <row r="996">
          <cell r="A996" t="str">
            <v>DK3P</v>
          </cell>
          <cell r="B996" t="str">
            <v>05.5104</v>
          </cell>
          <cell r="C996" t="str">
            <v>Điện năng kế 3 pha 380V-5A</v>
          </cell>
        </row>
        <row r="997">
          <cell r="A997" t="str">
            <v>BANG</v>
          </cell>
          <cell r="B997" t="str">
            <v>06.3191</v>
          </cell>
          <cell r="C997" t="str">
            <v>Bảng tên trạm, bảng báo nguy hiểm + đinh vít</v>
          </cell>
        </row>
        <row r="998">
          <cell r="A998" t="str">
            <v>GTD</v>
          </cell>
          <cell r="C998" t="str">
            <v>Giếng tiếp địa khoan đất</v>
          </cell>
        </row>
        <row r="999">
          <cell r="A999" t="str">
            <v>GTDĐ</v>
          </cell>
          <cell r="C999" t="str">
            <v>Giếng tiếp địa khoan đá</v>
          </cell>
        </row>
        <row r="1000">
          <cell r="A1000" t="str">
            <v>SXTg</v>
          </cell>
          <cell r="B1000" t="str">
            <v>04.2301</v>
          </cell>
          <cell r="C1000" t="str">
            <v>Sứ xuyên tường 24kV</v>
          </cell>
        </row>
        <row r="1001">
          <cell r="A1001" t="str">
            <v>GSXTg</v>
          </cell>
          <cell r="C1001" t="str">
            <v>Giá lắp sứ xuyên tường</v>
          </cell>
        </row>
        <row r="1002">
          <cell r="A1002" t="str">
            <v>GCAP</v>
          </cell>
          <cell r="C1002" t="str">
            <v>Giá đỡ cáp ngầm (V63x6)</v>
          </cell>
        </row>
        <row r="1003">
          <cell r="A1003" t="str">
            <v>SDTC</v>
          </cell>
          <cell r="B1003" t="str">
            <v>04.2201</v>
          </cell>
          <cell r="C1003" t="str">
            <v>Sứ đỡ thanh cái 24kV</v>
          </cell>
        </row>
        <row r="1004">
          <cell r="A1004" t="str">
            <v>TC450</v>
          </cell>
          <cell r="B1004" t="str">
            <v>04.5102</v>
          </cell>
          <cell r="C1004" t="str">
            <v>Thanh cái đồng 4x50</v>
          </cell>
        </row>
        <row r="1005">
          <cell r="A1005" t="str">
            <v>TC430</v>
          </cell>
          <cell r="B1005" t="str">
            <v>04.5102</v>
          </cell>
          <cell r="C1005" t="str">
            <v>Thanh cái đồng 4x30</v>
          </cell>
        </row>
        <row r="1006">
          <cell r="A1006" t="str">
            <v>TC420</v>
          </cell>
          <cell r="B1006" t="str">
            <v>04.5101</v>
          </cell>
          <cell r="C1006" t="str">
            <v>Thanh cái đồng 4x20</v>
          </cell>
        </row>
        <row r="1007">
          <cell r="A1007" t="str">
            <v>GiacapTT-2m</v>
          </cell>
          <cell r="C1007" t="str">
            <v>Giá đỡ cáp trung thế</v>
          </cell>
        </row>
        <row r="1008">
          <cell r="A1008" t="str">
            <v>GiacapTT-6m</v>
          </cell>
          <cell r="C1008" t="str">
            <v>Giá đỡ cáp trung thế</v>
          </cell>
        </row>
        <row r="1009">
          <cell r="A1009" t="str">
            <v>GiacapTT-8m</v>
          </cell>
          <cell r="C1009" t="str">
            <v>Giá đỡ cáp trung thế</v>
          </cell>
        </row>
        <row r="1010">
          <cell r="A1010" t="str">
            <v>GiacapTT-15m</v>
          </cell>
          <cell r="C1010" t="str">
            <v>Giá đỡ cáp trung thế</v>
          </cell>
        </row>
        <row r="1011">
          <cell r="A1011" t="str">
            <v>GiacapTHT-10m</v>
          </cell>
          <cell r="C1011" t="str">
            <v>Giá đỡ cáp trung hạ thế</v>
          </cell>
        </row>
        <row r="1012">
          <cell r="A1012" t="str">
            <v>GiacapHT-1m</v>
          </cell>
          <cell r="C1012" t="str">
            <v xml:space="preserve">Giá đỡ cáp hạ thế </v>
          </cell>
        </row>
        <row r="1013">
          <cell r="A1013" t="str">
            <v>GiacapHT-2m</v>
          </cell>
          <cell r="C1013" t="str">
            <v xml:space="preserve">Giá đỡ cáp hạ thế </v>
          </cell>
        </row>
        <row r="1014">
          <cell r="A1014" t="str">
            <v>GiacapHT-3m</v>
          </cell>
          <cell r="C1014" t="str">
            <v xml:space="preserve">Giá đỡ cáp hạ thế </v>
          </cell>
        </row>
        <row r="1015">
          <cell r="A1015" t="str">
            <v>GiacapHT-4m</v>
          </cell>
          <cell r="C1015" t="str">
            <v xml:space="preserve">Giá đỡ cáp hạ thế </v>
          </cell>
        </row>
        <row r="1016">
          <cell r="A1016" t="str">
            <v>GiacapHT</v>
          </cell>
          <cell r="C1016" t="str">
            <v xml:space="preserve">Giá đỡ cáp hạ thế </v>
          </cell>
        </row>
        <row r="1017">
          <cell r="A1017" t="str">
            <v>GiacapHT-30m</v>
          </cell>
          <cell r="C1017" t="str">
            <v xml:space="preserve">Giá đỡ cáp hạ thế </v>
          </cell>
        </row>
        <row r="1018">
          <cell r="A1018" t="str">
            <v>GTMBA15</v>
          </cell>
          <cell r="B1018" t="str">
            <v>05.6100</v>
          </cell>
          <cell r="C1018" t="str">
            <v>Giá chùm treo máy biến áp 3x15</v>
          </cell>
        </row>
        <row r="1019">
          <cell r="A1019" t="str">
            <v>GTMBA25</v>
          </cell>
          <cell r="B1019" t="str">
            <v>05.6100</v>
          </cell>
          <cell r="C1019" t="str">
            <v>Giá chùm treo máy biến áp 3x25</v>
          </cell>
        </row>
        <row r="1020">
          <cell r="A1020" t="str">
            <v>GTMBA37,5</v>
          </cell>
          <cell r="B1020" t="str">
            <v>05.6100</v>
          </cell>
          <cell r="C1020" t="str">
            <v>Giá chùm treo máy biến áp 3x37,5</v>
          </cell>
        </row>
        <row r="1021">
          <cell r="A1021" t="str">
            <v>GTMBA50</v>
          </cell>
          <cell r="B1021" t="str">
            <v>05.6100</v>
          </cell>
          <cell r="C1021" t="str">
            <v>Giá chùm treo máy biến áp 3x50</v>
          </cell>
        </row>
        <row r="1022">
          <cell r="A1022" t="str">
            <v>LapGTMBA</v>
          </cell>
          <cell r="B1022" t="str">
            <v>05.6100</v>
          </cell>
          <cell r="C1022" t="str">
            <v>Lắp giá treo máy biến áp</v>
          </cell>
        </row>
        <row r="1023">
          <cell r="A1023" t="str">
            <v>COSe16</v>
          </cell>
          <cell r="B1023" t="str">
            <v>03.4001</v>
          </cell>
          <cell r="C1023" t="str">
            <v>Đầu cosse ép Cu-Al 16mm2</v>
          </cell>
        </row>
        <row r="1024">
          <cell r="A1024" t="str">
            <v>COSe25</v>
          </cell>
          <cell r="B1024" t="str">
            <v>03.4001</v>
          </cell>
          <cell r="C1024" t="str">
            <v>Đầu cosse ép Cu-Al 25mm2</v>
          </cell>
        </row>
        <row r="1025">
          <cell r="A1025" t="str">
            <v>COSe50</v>
          </cell>
          <cell r="B1025" t="str">
            <v>03.4002</v>
          </cell>
          <cell r="C1025" t="str">
            <v>Đầu cosse ép Cu-Al 50mm2</v>
          </cell>
        </row>
        <row r="1026">
          <cell r="A1026" t="str">
            <v>COSe70</v>
          </cell>
          <cell r="B1026" t="str">
            <v>03.4003</v>
          </cell>
          <cell r="C1026" t="str">
            <v>Đầu cosse ép Cu-Al 70mm2</v>
          </cell>
        </row>
        <row r="1027">
          <cell r="A1027" t="str">
            <v>COSe95</v>
          </cell>
          <cell r="B1027" t="str">
            <v>03.4004</v>
          </cell>
          <cell r="C1027" t="str">
            <v>Đầu cosse ép Cu-Al 95mm2</v>
          </cell>
        </row>
        <row r="1028">
          <cell r="A1028" t="str">
            <v>COSe120</v>
          </cell>
          <cell r="B1028" t="str">
            <v>03.4005</v>
          </cell>
          <cell r="C1028" t="str">
            <v>Đầu cosse ép Cu-Al 120mm2</v>
          </cell>
        </row>
        <row r="1029">
          <cell r="A1029" t="str">
            <v>COSe150</v>
          </cell>
          <cell r="B1029" t="str">
            <v>03.4006</v>
          </cell>
          <cell r="C1029" t="str">
            <v>Đầu cosse ép Cu-Al 150mm2</v>
          </cell>
        </row>
        <row r="1030">
          <cell r="A1030" t="str">
            <v>COSe185</v>
          </cell>
          <cell r="B1030" t="str">
            <v>03.4007</v>
          </cell>
          <cell r="C1030" t="str">
            <v>Đầu cosse ép Cu-Al 185mm2</v>
          </cell>
        </row>
        <row r="1031">
          <cell r="A1031" t="str">
            <v>COSe200</v>
          </cell>
          <cell r="B1031" t="str">
            <v>03.4008</v>
          </cell>
          <cell r="C1031" t="str">
            <v>Đầu cosse ép Cu-Al 200mm2</v>
          </cell>
        </row>
        <row r="1032">
          <cell r="A1032" t="str">
            <v>COSe240</v>
          </cell>
          <cell r="B1032" t="str">
            <v>03.4008</v>
          </cell>
          <cell r="C1032" t="str">
            <v>Đầu cosse ép Cu-Al 240mm2</v>
          </cell>
        </row>
        <row r="1033">
          <cell r="A1033" t="str">
            <v>COSe250</v>
          </cell>
          <cell r="B1033" t="str">
            <v>03.4008</v>
          </cell>
          <cell r="C1033" t="str">
            <v>Đầu cosse ép Cu-Al 250mm2</v>
          </cell>
        </row>
        <row r="1034">
          <cell r="A1034" t="str">
            <v>COSe300</v>
          </cell>
          <cell r="B1034" t="str">
            <v>03.4008</v>
          </cell>
          <cell r="C1034" t="str">
            <v>Đầu cosse ép Cu-Al 300mm2</v>
          </cell>
        </row>
        <row r="1035">
          <cell r="A1035" t="str">
            <v>COSe400</v>
          </cell>
          <cell r="B1035" t="str">
            <v>03.4008</v>
          </cell>
          <cell r="C1035" t="str">
            <v>Đầu cosse ép Cu-Al 400mm2</v>
          </cell>
        </row>
        <row r="1036">
          <cell r="A1036" t="str">
            <v>COS2,5</v>
          </cell>
          <cell r="B1036" t="str">
            <v>03.4001</v>
          </cell>
          <cell r="C1036" t="str">
            <v xml:space="preserve">Đầu cosse ép Cu 2,5mm2 + bao PVC </v>
          </cell>
        </row>
        <row r="1037">
          <cell r="A1037" t="str">
            <v>COS5</v>
          </cell>
          <cell r="B1037" t="str">
            <v>03.4001</v>
          </cell>
          <cell r="C1037" t="str">
            <v>Đầu cosse ép Cu 5mm2</v>
          </cell>
        </row>
        <row r="1038">
          <cell r="A1038" t="str">
            <v>COS11</v>
          </cell>
          <cell r="B1038" t="str">
            <v>03.4001</v>
          </cell>
          <cell r="C1038" t="str">
            <v>Đầu cosse ép Cu 11mm2</v>
          </cell>
        </row>
        <row r="1039">
          <cell r="A1039" t="str">
            <v>COS16</v>
          </cell>
          <cell r="B1039" t="str">
            <v>03.4001</v>
          </cell>
          <cell r="C1039" t="str">
            <v>Đầu cosse ép Cu 16mm2</v>
          </cell>
        </row>
        <row r="1040">
          <cell r="A1040" t="str">
            <v>COS22</v>
          </cell>
          <cell r="B1040" t="str">
            <v>03.4001</v>
          </cell>
          <cell r="C1040" t="str">
            <v>Đầu cosse ép Cu 22mm2</v>
          </cell>
        </row>
        <row r="1041">
          <cell r="A1041" t="str">
            <v>COS25</v>
          </cell>
          <cell r="B1041" t="str">
            <v>03.4001</v>
          </cell>
          <cell r="C1041" t="str">
            <v>Đầu cosse ép Cu 25mm2</v>
          </cell>
        </row>
        <row r="1042">
          <cell r="A1042" t="str">
            <v>COS35</v>
          </cell>
          <cell r="B1042" t="str">
            <v>03.4002</v>
          </cell>
          <cell r="C1042" t="str">
            <v>Đầu cosse ép Cu 35mm2</v>
          </cell>
        </row>
        <row r="1043">
          <cell r="A1043" t="str">
            <v>COS38</v>
          </cell>
          <cell r="B1043" t="str">
            <v>03.4002</v>
          </cell>
          <cell r="C1043" t="str">
            <v>Đầu cosse ép Cu 38mm2</v>
          </cell>
        </row>
        <row r="1044">
          <cell r="A1044" t="str">
            <v>COS50</v>
          </cell>
          <cell r="B1044" t="str">
            <v>03.4002</v>
          </cell>
          <cell r="C1044" t="str">
            <v>Đầu cosse ép Cu 50mm2</v>
          </cell>
        </row>
        <row r="1045">
          <cell r="A1045" t="str">
            <v>COS70</v>
          </cell>
          <cell r="B1045" t="str">
            <v>03.4003</v>
          </cell>
          <cell r="C1045" t="str">
            <v>Đầu cosse ép Cu 70mm2</v>
          </cell>
        </row>
        <row r="1046">
          <cell r="A1046" t="str">
            <v>COS95</v>
          </cell>
          <cell r="B1046" t="str">
            <v>03.4004</v>
          </cell>
          <cell r="C1046" t="str">
            <v>Đầu cosse ép Cu 95mm2</v>
          </cell>
        </row>
        <row r="1047">
          <cell r="A1047" t="str">
            <v>COS120</v>
          </cell>
          <cell r="B1047" t="str">
            <v>03.4005</v>
          </cell>
          <cell r="C1047" t="str">
            <v>Đầu cosse ép Cu 120mm2</v>
          </cell>
        </row>
        <row r="1048">
          <cell r="A1048" t="str">
            <v>COS150</v>
          </cell>
          <cell r="B1048" t="str">
            <v>03.4006</v>
          </cell>
          <cell r="C1048" t="str">
            <v>Đầu cosse ép Cu 150mm2</v>
          </cell>
        </row>
        <row r="1049">
          <cell r="A1049" t="str">
            <v>COS185</v>
          </cell>
          <cell r="B1049" t="str">
            <v>03.4007</v>
          </cell>
          <cell r="C1049" t="str">
            <v>Đầu cosse ép Cu 185mm2</v>
          </cell>
        </row>
        <row r="1050">
          <cell r="A1050" t="str">
            <v>COS200</v>
          </cell>
          <cell r="B1050" t="str">
            <v>03.4008</v>
          </cell>
          <cell r="C1050" t="str">
            <v>Đầu cosse ép Cu 200mm2</v>
          </cell>
        </row>
        <row r="1051">
          <cell r="A1051" t="str">
            <v>COS240</v>
          </cell>
          <cell r="B1051" t="str">
            <v>03.4008</v>
          </cell>
          <cell r="C1051" t="str">
            <v>Đầu cosse ép Cu 240mm2</v>
          </cell>
        </row>
        <row r="1052">
          <cell r="A1052" t="str">
            <v>COS250</v>
          </cell>
          <cell r="B1052" t="str">
            <v>03.4009</v>
          </cell>
          <cell r="C1052" t="str">
            <v>Đầu cosse ép Cu 250mm2</v>
          </cell>
        </row>
        <row r="1053">
          <cell r="A1053" t="str">
            <v>COS300</v>
          </cell>
          <cell r="B1053" t="str">
            <v>03.4009</v>
          </cell>
          <cell r="C1053" t="str">
            <v>Đầu cosse ép Cu 300mm2</v>
          </cell>
        </row>
        <row r="1054">
          <cell r="A1054" t="str">
            <v>CHCOS11</v>
          </cell>
          <cell r="C1054" t="str">
            <v>Chụp đầu cosse  11mm2</v>
          </cell>
        </row>
        <row r="1055">
          <cell r="A1055" t="str">
            <v>CHCOS16</v>
          </cell>
          <cell r="C1055" t="str">
            <v>Chụp đầu cosse  16mm2</v>
          </cell>
        </row>
        <row r="1056">
          <cell r="A1056" t="str">
            <v>CHCOS25</v>
          </cell>
          <cell r="C1056" t="str">
            <v>Chụp đầu cosse  25mm2</v>
          </cell>
        </row>
        <row r="1057">
          <cell r="A1057" t="str">
            <v>CHCOS35</v>
          </cell>
          <cell r="C1057" t="str">
            <v>Chụp đầu cosse  35mm2</v>
          </cell>
        </row>
        <row r="1058">
          <cell r="A1058" t="str">
            <v>CHCOS50</v>
          </cell>
          <cell r="C1058" t="str">
            <v>Chụp đầu cosse  50mm2</v>
          </cell>
        </row>
        <row r="1059">
          <cell r="A1059" t="str">
            <v>CHCOS70</v>
          </cell>
          <cell r="C1059" t="str">
            <v>Chụp đầu cosse  70mm2</v>
          </cell>
        </row>
        <row r="1060">
          <cell r="A1060" t="str">
            <v>CHCOS95</v>
          </cell>
          <cell r="C1060" t="str">
            <v>Chụp đầu cosse  95mm2</v>
          </cell>
        </row>
        <row r="1061">
          <cell r="A1061" t="str">
            <v>CHCOS120</v>
          </cell>
          <cell r="C1061" t="str">
            <v>Chụp đầu cosse  120mm2</v>
          </cell>
        </row>
        <row r="1062">
          <cell r="A1062" t="str">
            <v>CHCOS150</v>
          </cell>
          <cell r="C1062" t="str">
            <v>Chụp đầu cosse  150mm2</v>
          </cell>
        </row>
        <row r="1063">
          <cell r="A1063" t="str">
            <v>CHCOS185</v>
          </cell>
          <cell r="C1063" t="str">
            <v>Chụp đầu cosse  185mm2</v>
          </cell>
        </row>
        <row r="1064">
          <cell r="A1064" t="str">
            <v>CHCOS200</v>
          </cell>
          <cell r="C1064" t="str">
            <v>Chụp đầu cosse  200mm2</v>
          </cell>
        </row>
        <row r="1065">
          <cell r="A1065" t="str">
            <v>CHCOS240</v>
          </cell>
          <cell r="C1065" t="str">
            <v>Chụp đầu cosse  240mm2</v>
          </cell>
        </row>
        <row r="1066">
          <cell r="A1066" t="str">
            <v>CHCOS250</v>
          </cell>
          <cell r="C1066" t="str">
            <v>Chụp đầu cosse  250mm2</v>
          </cell>
        </row>
        <row r="1067">
          <cell r="A1067" t="str">
            <v>CHCOS300</v>
          </cell>
          <cell r="C1067" t="str">
            <v>Chụp đầu cosse  300mm2</v>
          </cell>
        </row>
        <row r="1068">
          <cell r="A1068" t="str">
            <v>CHFCO</v>
          </cell>
          <cell r="C1068" t="str">
            <v>Chụp đầu cực FCO (bộ 2 cái)</v>
          </cell>
        </row>
        <row r="1069">
          <cell r="A1069" t="str">
            <v>CHLA</v>
          </cell>
          <cell r="C1069" t="str">
            <v>Chụp đầu cực LA</v>
          </cell>
        </row>
        <row r="1070">
          <cell r="A1070" t="str">
            <v>CHMBA</v>
          </cell>
          <cell r="C1070" t="str">
            <v>Chụp đầu MBA</v>
          </cell>
        </row>
        <row r="1071">
          <cell r="A1071" t="str">
            <v>CHLBS-REC</v>
          </cell>
          <cell r="C1071" t="str">
            <v>Chụp đầu cực LBS, Recloser</v>
          </cell>
        </row>
        <row r="1072">
          <cell r="A1072" t="str">
            <v>CHQ-H</v>
          </cell>
          <cell r="C1072" t="str">
            <v>Nắp chụp kẹp quai + hotline</v>
          </cell>
        </row>
        <row r="1073">
          <cell r="A1073" t="str">
            <v>DK2x11</v>
          </cell>
          <cell r="C1073" t="str">
            <v>Cáp điện kế DK - 2x11</v>
          </cell>
        </row>
        <row r="1074">
          <cell r="A1074" t="str">
            <v>DVV7x1.5</v>
          </cell>
          <cell r="C1074" t="str">
            <v>Cáp điều khiển 7x1,5</v>
          </cell>
        </row>
        <row r="1075">
          <cell r="A1075" t="str">
            <v>Duplex 211</v>
          </cell>
          <cell r="C1075" t="str">
            <v>Cáp Duplex 2x11</v>
          </cell>
        </row>
        <row r="1076">
          <cell r="A1076" t="str">
            <v>Duplex 216</v>
          </cell>
          <cell r="C1076" t="str">
            <v>Cáp Duplex 2x16</v>
          </cell>
        </row>
        <row r="1077">
          <cell r="A1077" t="str">
            <v>Duplex 311</v>
          </cell>
          <cell r="C1077" t="str">
            <v>Cáp Triplex 3x11</v>
          </cell>
        </row>
        <row r="1078">
          <cell r="A1078" t="str">
            <v>Duplex 316</v>
          </cell>
          <cell r="C1078" t="str">
            <v>Cáp Triplex 3x16</v>
          </cell>
        </row>
        <row r="1079">
          <cell r="A1079" t="str">
            <v>Duplex 411</v>
          </cell>
          <cell r="C1079" t="str">
            <v>Cáp Quadruplex 4x11</v>
          </cell>
        </row>
        <row r="1080">
          <cell r="A1080" t="str">
            <v>Duplex 416</v>
          </cell>
          <cell r="C1080" t="str">
            <v>Cáp Quadruplex 4x16</v>
          </cell>
        </row>
        <row r="1081">
          <cell r="A1081" t="str">
            <v>DENHQ</v>
          </cell>
          <cell r="B1081" t="str">
            <v>E2.003</v>
          </cell>
          <cell r="C1081" t="str">
            <v>Bộ đèn huỳnh quang đơn 1,2m-40W</v>
          </cell>
        </row>
        <row r="1082">
          <cell r="A1082" t="str">
            <v>D16/10</v>
          </cell>
          <cell r="C1082" t="str">
            <v>Dây điện đôi 16/10</v>
          </cell>
        </row>
        <row r="1083">
          <cell r="A1083" t="str">
            <v>D20/10</v>
          </cell>
          <cell r="C1083" t="str">
            <v>Dây điện đôi 20/10</v>
          </cell>
        </row>
        <row r="1084">
          <cell r="A1084" t="str">
            <v>D30/10</v>
          </cell>
          <cell r="C1084" t="str">
            <v>Dây điện đôi 30/10</v>
          </cell>
        </row>
        <row r="1085">
          <cell r="A1085" t="str">
            <v>DRC</v>
          </cell>
          <cell r="C1085" t="str">
            <v>Dây rút cáp</v>
          </cell>
        </row>
        <row r="1086">
          <cell r="A1086" t="str">
            <v>CDAO15</v>
          </cell>
          <cell r="B1086" t="str">
            <v>02.8401</v>
          </cell>
          <cell r="C1086" t="str">
            <v>Cầu dao 15A - 600V</v>
          </cell>
        </row>
        <row r="1087">
          <cell r="A1087" t="str">
            <v>CDAO30</v>
          </cell>
          <cell r="B1087" t="str">
            <v>02.8401</v>
          </cell>
          <cell r="C1087" t="str">
            <v>Cầu dao 30A - 600V</v>
          </cell>
        </row>
        <row r="1088">
          <cell r="A1088" t="str">
            <v>CDAO60</v>
          </cell>
          <cell r="B1088" t="str">
            <v>02.8401</v>
          </cell>
          <cell r="C1088" t="str">
            <v>Cầu dao 60A - 600V</v>
          </cell>
        </row>
        <row r="1089">
          <cell r="A1089" t="str">
            <v>CDAO100</v>
          </cell>
          <cell r="B1089" t="str">
            <v>02.8401</v>
          </cell>
          <cell r="C1089" t="str">
            <v>Cầu dao 100A - 600V</v>
          </cell>
        </row>
        <row r="1090">
          <cell r="A1090" t="str">
            <v>CDAO150</v>
          </cell>
          <cell r="B1090" t="str">
            <v>02.8401</v>
          </cell>
          <cell r="C1090" t="str">
            <v>Cầu dao 150A - 600V</v>
          </cell>
        </row>
        <row r="1091">
          <cell r="A1091" t="str">
            <v>CDAO200</v>
          </cell>
          <cell r="B1091" t="str">
            <v>02.8401</v>
          </cell>
          <cell r="C1091" t="str">
            <v>Cầu dao 200A - 600V</v>
          </cell>
        </row>
        <row r="1092">
          <cell r="A1092" t="str">
            <v>CDAO250</v>
          </cell>
          <cell r="B1092" t="str">
            <v>02.8401</v>
          </cell>
          <cell r="C1092" t="str">
            <v>Cầu dao 250A - 600V</v>
          </cell>
        </row>
        <row r="1093">
          <cell r="A1093" t="str">
            <v>CDAO300</v>
          </cell>
          <cell r="B1093" t="str">
            <v>02.8401</v>
          </cell>
          <cell r="C1093" t="str">
            <v>Cầu dao 300A - 600V</v>
          </cell>
        </row>
        <row r="1094">
          <cell r="A1094" t="str">
            <v>PVC200</v>
          </cell>
          <cell r="C1094" t="str">
            <v>Ống PVC D200 dày 9,6mm</v>
          </cell>
        </row>
        <row r="1095">
          <cell r="A1095" t="str">
            <v>PVC168</v>
          </cell>
          <cell r="C1095" t="str">
            <v>Ống PVC D168 dày 7,0mm</v>
          </cell>
        </row>
        <row r="1096">
          <cell r="A1096" t="str">
            <v>PVC140</v>
          </cell>
          <cell r="C1096" t="str">
            <v>Ống PVC D140x6,7mm</v>
          </cell>
        </row>
        <row r="1097">
          <cell r="A1097" t="str">
            <v>PVC114</v>
          </cell>
          <cell r="C1097" t="str">
            <v xml:space="preserve">Ống PVC D114x4,9mm </v>
          </cell>
        </row>
        <row r="1098">
          <cell r="A1098" t="str">
            <v>PVC90</v>
          </cell>
          <cell r="B1098" t="str">
            <v>04.8003</v>
          </cell>
          <cell r="C1098" t="str">
            <v xml:space="preserve">Ống PVC D90x3,8mm </v>
          </cell>
        </row>
        <row r="1099">
          <cell r="A1099" t="str">
            <v>PVC60</v>
          </cell>
          <cell r="B1099" t="str">
            <v>07.2404</v>
          </cell>
          <cell r="C1099" t="str">
            <v>Ống PVC D60x2,8mm</v>
          </cell>
        </row>
        <row r="1100">
          <cell r="A1100" t="str">
            <v>PVC49</v>
          </cell>
          <cell r="B1100" t="str">
            <v>07.2403</v>
          </cell>
          <cell r="C1100" t="str">
            <v>Ống PVC D49x2,4mm</v>
          </cell>
        </row>
        <row r="1101">
          <cell r="A1101" t="str">
            <v>PVC42</v>
          </cell>
          <cell r="B1101" t="str">
            <v>07.2403</v>
          </cell>
          <cell r="C1101" t="str">
            <v>Ống PVC D42x2,1mm</v>
          </cell>
        </row>
        <row r="1102">
          <cell r="A1102" t="str">
            <v>PVC21</v>
          </cell>
          <cell r="B1102" t="str">
            <v>07.2403</v>
          </cell>
          <cell r="C1102" t="str">
            <v xml:space="preserve">Ống PVC D21x1,6mm </v>
          </cell>
        </row>
        <row r="1103">
          <cell r="A1103" t="str">
            <v>ODH42</v>
          </cell>
          <cell r="C1103" t="str">
            <v>Ống nhựa đàn hồi</v>
          </cell>
        </row>
        <row r="1104">
          <cell r="A1104" t="str">
            <v>ONGDH168</v>
          </cell>
          <cell r="B1104" t="str">
            <v>04.8103</v>
          </cell>
          <cell r="C1104" t="str">
            <v>Ống đàn hồi 168</v>
          </cell>
        </row>
        <row r="1105">
          <cell r="A1105" t="str">
            <v>ONGDH42</v>
          </cell>
          <cell r="B1105" t="str">
            <v>04.8103</v>
          </cell>
          <cell r="C1105" t="str">
            <v>Ống đàn hồi 42</v>
          </cell>
        </row>
        <row r="1106">
          <cell r="A1106" t="str">
            <v>ONGDH114</v>
          </cell>
          <cell r="B1106" t="str">
            <v>04.8103</v>
          </cell>
          <cell r="C1106" t="str">
            <v>Ống đàn hồi 114</v>
          </cell>
        </row>
        <row r="1107">
          <cell r="A1107" t="str">
            <v>CUT21</v>
          </cell>
          <cell r="C1107" t="str">
            <v>Cut PVC 21</v>
          </cell>
        </row>
        <row r="1108">
          <cell r="A1108" t="str">
            <v>CUT4245</v>
          </cell>
          <cell r="C1108" t="str">
            <v>Co 45 độ PVC 42</v>
          </cell>
        </row>
        <row r="1109">
          <cell r="A1109" t="str">
            <v>CUT42</v>
          </cell>
          <cell r="C1109" t="str">
            <v>Co 90 độ PVC 42</v>
          </cell>
        </row>
        <row r="1110">
          <cell r="A1110" t="str">
            <v>CUT42T</v>
          </cell>
          <cell r="C1110" t="str">
            <v>Co chữ T ống PVC 42</v>
          </cell>
        </row>
        <row r="1111">
          <cell r="A1111" t="str">
            <v>CUT60</v>
          </cell>
          <cell r="C1111" t="str">
            <v>Co 90 độ PVC 60</v>
          </cell>
        </row>
        <row r="1112">
          <cell r="A1112" t="str">
            <v>CUT60135</v>
          </cell>
          <cell r="C1112" t="str">
            <v>Co 135 độ PVC 60</v>
          </cell>
        </row>
        <row r="1113">
          <cell r="A1113" t="str">
            <v>CUT90</v>
          </cell>
          <cell r="C1113" t="str">
            <v>Co sừng 90 độ PVC 90</v>
          </cell>
        </row>
        <row r="1114">
          <cell r="A1114" t="str">
            <v>CUT90135</v>
          </cell>
          <cell r="C1114" t="str">
            <v>Co 135 độ PVC 90</v>
          </cell>
        </row>
        <row r="1115">
          <cell r="A1115" t="str">
            <v>CUT90T</v>
          </cell>
          <cell r="C1115" t="str">
            <v>Co  90 độ PVC 90</v>
          </cell>
        </row>
        <row r="1116">
          <cell r="A1116" t="str">
            <v>CUT114T</v>
          </cell>
          <cell r="C1116" t="str">
            <v>Co  90 độ PVC 114</v>
          </cell>
        </row>
        <row r="1117">
          <cell r="A1117" t="str">
            <v>CUT114L</v>
          </cell>
          <cell r="C1117" t="str">
            <v>Co 135 độ PVC 114</v>
          </cell>
        </row>
        <row r="1118">
          <cell r="A1118" t="str">
            <v>CUT114</v>
          </cell>
          <cell r="C1118" t="str">
            <v>Co sừng 90 độ PVC 114</v>
          </cell>
        </row>
        <row r="1119">
          <cell r="A1119" t="str">
            <v>CUT140t</v>
          </cell>
          <cell r="C1119" t="str">
            <v>Co 90 độ PVC 140</v>
          </cell>
        </row>
        <row r="1120">
          <cell r="A1120" t="str">
            <v>CUT140</v>
          </cell>
          <cell r="C1120" t="str">
            <v>Co sừng 90 độ PVC 140</v>
          </cell>
        </row>
        <row r="1121">
          <cell r="A1121" t="str">
            <v>CUT168</v>
          </cell>
          <cell r="C1121" t="str">
            <v>Co sừng 90 độ PVC 168</v>
          </cell>
        </row>
        <row r="1122">
          <cell r="A1122" t="str">
            <v>NPVC114</v>
          </cell>
          <cell r="C1122" t="str">
            <v>Nối ống PVC 114</v>
          </cell>
        </row>
        <row r="1123">
          <cell r="A1123" t="str">
            <v>NPVC140</v>
          </cell>
          <cell r="C1123" t="str">
            <v>Nối ống PVC 140</v>
          </cell>
        </row>
        <row r="1124">
          <cell r="A1124" t="str">
            <v>NPVC114-90</v>
          </cell>
          <cell r="C1124" t="str">
            <v>Nối ống PVC 114 - 90</v>
          </cell>
        </row>
        <row r="1125">
          <cell r="A1125" t="str">
            <v>NPVC90</v>
          </cell>
          <cell r="C1125" t="str">
            <v xml:space="preserve">Nối thẳng ống PVC 90 </v>
          </cell>
        </row>
        <row r="1126">
          <cell r="A1126" t="str">
            <v>NPVC42</v>
          </cell>
          <cell r="C1126" t="str">
            <v>Nối thẳng ống PVC 42</v>
          </cell>
        </row>
        <row r="1127">
          <cell r="A1127" t="str">
            <v>NPVC21</v>
          </cell>
          <cell r="C1127" t="str">
            <v>Nối thẳng ống PVC 21</v>
          </cell>
        </row>
        <row r="1128">
          <cell r="A1128" t="str">
            <v>NT42</v>
          </cell>
          <cell r="C1128" t="str">
            <v>Nối ống PVC 42 chữ T</v>
          </cell>
        </row>
        <row r="1129">
          <cell r="A1129" t="str">
            <v>BAKE6200</v>
          </cell>
          <cell r="C1129" t="str">
            <v>Tấm bakelit hay nhựa cách điện 600V (200x60x6)</v>
          </cell>
        </row>
        <row r="1130">
          <cell r="A1130" t="str">
            <v>BAKE</v>
          </cell>
          <cell r="C1130" t="str">
            <v xml:space="preserve">Bakelit 550x450 dầy 10mm </v>
          </cell>
        </row>
        <row r="1131">
          <cell r="A1131" t="str">
            <v>BAKEDKDT</v>
          </cell>
          <cell r="C1131" t="str">
            <v>Bakelit 350x510 dầy 5mm</v>
          </cell>
        </row>
        <row r="1132">
          <cell r="A1132" t="str">
            <v>BAKETu</v>
          </cell>
          <cell r="C1132" t="str">
            <v xml:space="preserve">Bakelit 300x200 dầy 5mm </v>
          </cell>
        </row>
        <row r="1133">
          <cell r="A1133" t="str">
            <v>BANGG</v>
          </cell>
          <cell r="C1133" t="str">
            <v>Bảng gắn aptomat và điện kế dày 15mm</v>
          </cell>
        </row>
        <row r="1134">
          <cell r="A1134" t="str">
            <v>BANGNHUA</v>
          </cell>
          <cell r="C1134" t="str">
            <v>Bảng nhựa gắn tủ điện kế điện tử</v>
          </cell>
        </row>
        <row r="1135">
          <cell r="A1135" t="str">
            <v>BANGKEO</v>
          </cell>
          <cell r="C1135" t="str">
            <v>Băng keo cách điện</v>
          </cell>
        </row>
        <row r="1136">
          <cell r="A1136" t="str">
            <v>BAKE16-200X200</v>
          </cell>
          <cell r="C1136" t="str">
            <v>Bake D16 - 200x200</v>
          </cell>
        </row>
        <row r="1137">
          <cell r="A1137" t="str">
            <v>KEOBIT</v>
          </cell>
          <cell r="C1137" t="str">
            <v>Keo silicon bít miệng ống</v>
          </cell>
        </row>
        <row r="1138">
          <cell r="A1138" t="str">
            <v>KEM</v>
          </cell>
          <cell r="C1138" t="str">
            <v>Kẽm</v>
          </cell>
        </row>
        <row r="1139">
          <cell r="A1139" t="str">
            <v>keodan</v>
          </cell>
          <cell r="C1139" t="str">
            <v>Keo dán ống PVC (100gr)</v>
          </cell>
        </row>
        <row r="1140">
          <cell r="A1140" t="str">
            <v>KEO</v>
          </cell>
          <cell r="C1140" t="str">
            <v>Keo dán ống PVC (500gr)</v>
          </cell>
        </row>
        <row r="1141">
          <cell r="A1141" t="str">
            <v>KVRT42</v>
          </cell>
          <cell r="C1141" t="str">
            <v>Khâu ven răng trong D42</v>
          </cell>
        </row>
        <row r="1142">
          <cell r="A1142" t="str">
            <v>KVRT90</v>
          </cell>
          <cell r="C1142" t="str">
            <v>Khâu ven răng trong D90</v>
          </cell>
        </row>
        <row r="1143">
          <cell r="A1143" t="str">
            <v>KVRT114</v>
          </cell>
          <cell r="C1143" t="str">
            <v>Khâu ven răng trong D114</v>
          </cell>
        </row>
        <row r="1144">
          <cell r="A1144" t="str">
            <v>KVRT140</v>
          </cell>
          <cell r="C1144" t="str">
            <v>Khâu ven răng trong D140</v>
          </cell>
        </row>
        <row r="1145">
          <cell r="A1145" t="str">
            <v>KVRN42</v>
          </cell>
          <cell r="C1145" t="str">
            <v>Khâu ven răng ngoài D42</v>
          </cell>
        </row>
        <row r="1146">
          <cell r="A1146" t="str">
            <v>KVRN90</v>
          </cell>
          <cell r="C1146" t="str">
            <v>Khâu ven răng ngoài D90</v>
          </cell>
        </row>
        <row r="1147">
          <cell r="A1147" t="str">
            <v>KVRN114</v>
          </cell>
          <cell r="C1147" t="str">
            <v>Khâu ven răng ngoài D114</v>
          </cell>
        </row>
        <row r="1148">
          <cell r="A1148" t="str">
            <v>KVRN140</v>
          </cell>
          <cell r="C1148" t="str">
            <v>Khâu ven răng ngoài D140</v>
          </cell>
        </row>
        <row r="1149">
          <cell r="A1149" t="str">
            <v>OXC1/0</v>
          </cell>
          <cell r="B1149" t="str">
            <v>04.3107</v>
          </cell>
          <cell r="C1149" t="str">
            <v>Ốc siết cáp Cu - Al 1/0</v>
          </cell>
        </row>
        <row r="1150">
          <cell r="A1150" t="str">
            <v>OXC2/0</v>
          </cell>
          <cell r="B1150" t="str">
            <v>04.3107</v>
          </cell>
          <cell r="C1150" t="str">
            <v>Ốc siết cáp Cu - Al 2/0</v>
          </cell>
        </row>
        <row r="1151">
          <cell r="A1151" t="str">
            <v>OXCth</v>
          </cell>
          <cell r="B1151" t="str">
            <v>04.3107</v>
          </cell>
          <cell r="C1151" t="str">
            <v xml:space="preserve">Ốc siết cáp Cu-AL cở thích hợp </v>
          </cell>
        </row>
        <row r="1152">
          <cell r="A1152" t="str">
            <v>OXC11</v>
          </cell>
          <cell r="B1152" t="str">
            <v>04.3107</v>
          </cell>
          <cell r="C1152" t="str">
            <v xml:space="preserve">Ốc siết cáp cỡ 11mm2 </v>
          </cell>
        </row>
        <row r="1153">
          <cell r="A1153" t="str">
            <v>OXC22</v>
          </cell>
          <cell r="B1153" t="str">
            <v>04.3107</v>
          </cell>
          <cell r="C1153" t="str">
            <v xml:space="preserve">Ốc siết cáp cỡ 22mm2 </v>
          </cell>
        </row>
        <row r="1154">
          <cell r="A1154" t="str">
            <v>OXC25</v>
          </cell>
          <cell r="B1154" t="str">
            <v>04.3107</v>
          </cell>
          <cell r="C1154" t="str">
            <v>Ốc siết cáp cỡ 25mm2</v>
          </cell>
        </row>
        <row r="1155">
          <cell r="A1155" t="str">
            <v>OXC38</v>
          </cell>
          <cell r="B1155" t="str">
            <v>04.3107</v>
          </cell>
          <cell r="C1155" t="str">
            <v xml:space="preserve">Ốc siết cáp cỡ 38mm2 </v>
          </cell>
        </row>
        <row r="1156">
          <cell r="A1156" t="str">
            <v>OXC50</v>
          </cell>
          <cell r="B1156" t="str">
            <v>04.3107</v>
          </cell>
          <cell r="C1156" t="str">
            <v xml:space="preserve">Ốc siết cáp cỡ 50mm2 </v>
          </cell>
        </row>
        <row r="1157">
          <cell r="A1157" t="str">
            <v>OXC70</v>
          </cell>
          <cell r="B1157" t="str">
            <v>04.3107</v>
          </cell>
          <cell r="C1157" t="str">
            <v xml:space="preserve">Ốc siết cáp cỡ 70mm2 </v>
          </cell>
        </row>
        <row r="1158">
          <cell r="A1158" t="str">
            <v>OXC95</v>
          </cell>
          <cell r="B1158" t="str">
            <v>04.3107</v>
          </cell>
          <cell r="C1158" t="str">
            <v xml:space="preserve">Ốc siết cáp cỡ 95mm2 </v>
          </cell>
        </row>
        <row r="1159">
          <cell r="A1159" t="str">
            <v>OXC120</v>
          </cell>
          <cell r="B1159" t="str">
            <v>04.3107</v>
          </cell>
          <cell r="C1159" t="str">
            <v xml:space="preserve">Ốc siết cáp cỡ 120mm2 </v>
          </cell>
        </row>
        <row r="1160">
          <cell r="A1160" t="str">
            <v>OXC150</v>
          </cell>
          <cell r="B1160" t="str">
            <v>04.3107</v>
          </cell>
          <cell r="C1160" t="str">
            <v>Ốc siết cáp cỡ 150mm2</v>
          </cell>
        </row>
        <row r="1161">
          <cell r="A1161" t="str">
            <v>OXC185</v>
          </cell>
          <cell r="B1161" t="str">
            <v>04.3107</v>
          </cell>
          <cell r="C1161" t="str">
            <v>Ốc siết cáp cỡ 185mm2</v>
          </cell>
        </row>
        <row r="1162">
          <cell r="A1162" t="str">
            <v>OXC240</v>
          </cell>
          <cell r="B1162" t="str">
            <v>04.3107</v>
          </cell>
          <cell r="C1162" t="str">
            <v>Ốc siết cáp cỡ 240mm2</v>
          </cell>
        </row>
        <row r="1163">
          <cell r="A1163" t="str">
            <v>KHOA</v>
          </cell>
          <cell r="C1163" t="str">
            <v>Ổ khóa</v>
          </cell>
        </row>
        <row r="1164">
          <cell r="A1164" t="str">
            <v>oxy</v>
          </cell>
          <cell r="C1164" t="str">
            <v>Ô xy gió</v>
          </cell>
        </row>
        <row r="1165">
          <cell r="A1165" t="str">
            <v>LCbh9</v>
          </cell>
          <cell r="B1165" t="str">
            <v>NB.1110</v>
          </cell>
          <cell r="C1165" t="str">
            <v>Gia công và lắp dựng cột báo hiệu cao 9m</v>
          </cell>
        </row>
        <row r="1166">
          <cell r="A1166" t="str">
            <v>LBbh</v>
          </cell>
          <cell r="B1166" t="str">
            <v>NB.1710</v>
          </cell>
          <cell r="C1166" t="str">
            <v>Gia công và lắp dựng bảng báo hiệu</v>
          </cell>
        </row>
        <row r="1167">
          <cell r="A1167" t="str">
            <v>LTC</v>
          </cell>
          <cell r="C1167" t="str">
            <v>Gia công và lắp thanh cái và phụ kiện trong tủ</v>
          </cell>
        </row>
        <row r="1168">
          <cell r="A1168" t="str">
            <v>SonCBH</v>
          </cell>
          <cell r="B1168" t="str">
            <v>S2.118</v>
          </cell>
          <cell r="C1168" t="str">
            <v>Sơn cột báo hiệu</v>
          </cell>
        </row>
        <row r="1169">
          <cell r="A1169" t="str">
            <v>SonBBH</v>
          </cell>
          <cell r="B1169" t="str">
            <v>S2.118</v>
          </cell>
          <cell r="C1169" t="str">
            <v>Sơn biển báo hiệu</v>
          </cell>
        </row>
        <row r="1170">
          <cell r="A1170" t="str">
            <v>VCT</v>
          </cell>
          <cell r="B1170" t="str">
            <v>021351</v>
          </cell>
          <cell r="C1170" t="str">
            <v>Vận Chuyển thép</v>
          </cell>
        </row>
        <row r="1171">
          <cell r="A1171" t="str">
            <v>U16-280</v>
          </cell>
          <cell r="B1171" t="str">
            <v>05.6105</v>
          </cell>
          <cell r="C1171" t="str">
            <v>Đà U160x68x5x2800 đỡ MBA</v>
          </cell>
        </row>
        <row r="1172">
          <cell r="A1172" t="str">
            <v>U20-280</v>
          </cell>
          <cell r="B1172" t="str">
            <v>05.6105</v>
          </cell>
          <cell r="C1172" t="str">
            <v>Đà U200x80x5x2800 đỡ MBA</v>
          </cell>
        </row>
        <row r="1173">
          <cell r="A1173" t="str">
            <v>U1008</v>
          </cell>
          <cell r="B1173" t="str">
            <v>05.6101</v>
          </cell>
          <cell r="C1173" t="str">
            <v xml:space="preserve">Đà U100x46x5x800 </v>
          </cell>
        </row>
        <row r="1174">
          <cell r="A1174" t="str">
            <v>U8034</v>
          </cell>
          <cell r="B1174" t="str">
            <v>04.8105</v>
          </cell>
          <cell r="C1174" t="str">
            <v>Đà sắt U80x340</v>
          </cell>
        </row>
        <row r="1175">
          <cell r="A1175" t="str">
            <v>U1004</v>
          </cell>
          <cell r="B1175" t="str">
            <v>05.6101</v>
          </cell>
          <cell r="C1175" t="str">
            <v xml:space="preserve">Đà U100x46x4.5x400 </v>
          </cell>
        </row>
        <row r="1176">
          <cell r="A1176" t="str">
            <v>U100-500</v>
          </cell>
          <cell r="C1176" t="str">
            <v>Đà U100x46x4.5x500</v>
          </cell>
        </row>
        <row r="1177">
          <cell r="A1177" t="str">
            <v>U100-700</v>
          </cell>
          <cell r="C1177" t="str">
            <v>Đà U100x46x4.5x700</v>
          </cell>
        </row>
        <row r="1178">
          <cell r="A1178" t="str">
            <v>U160-740</v>
          </cell>
          <cell r="C1178" t="str">
            <v>Đà U100x68x5x740</v>
          </cell>
        </row>
        <row r="1179">
          <cell r="A1179" t="str">
            <v>U160-1100</v>
          </cell>
          <cell r="C1179" t="str">
            <v>Đà U100x68x5x1100</v>
          </cell>
        </row>
        <row r="1180">
          <cell r="A1180" t="str">
            <v>U160-1449</v>
          </cell>
          <cell r="C1180" t="str">
            <v>Đà U100x68x5x1449</v>
          </cell>
        </row>
        <row r="1181">
          <cell r="A1181" t="str">
            <v>U160-1700</v>
          </cell>
          <cell r="C1181" t="str">
            <v>Đà U100x68x5x1700</v>
          </cell>
        </row>
        <row r="1182">
          <cell r="A1182" t="str">
            <v>U160-2100</v>
          </cell>
          <cell r="C1182" t="str">
            <v>Đà U100x68x5x2100</v>
          </cell>
        </row>
        <row r="1183">
          <cell r="A1183" t="str">
            <v>XATUTI</v>
          </cell>
          <cell r="B1183" t="str">
            <v>05.6101</v>
          </cell>
          <cell r="C1183" t="str">
            <v>Xà kẹp TU, TI U50x32x4 350</v>
          </cell>
        </row>
        <row r="1184">
          <cell r="A1184" t="str">
            <v>AK1</v>
          </cell>
          <cell r="C1184" t="str">
            <v xml:space="preserve">Ampe kế 100/5A-600v +AS </v>
          </cell>
        </row>
        <row r="1185">
          <cell r="A1185" t="str">
            <v>VK1</v>
          </cell>
          <cell r="C1185" t="str">
            <v>Volt kế 500V + VS + 2xChì ống 1A-230V</v>
          </cell>
        </row>
        <row r="1186">
          <cell r="A1186" t="str">
            <v>AVK1</v>
          </cell>
          <cell r="C1186" t="str">
            <v>Bộ Ampe kế + Volt kế (trạm 1 pha)</v>
          </cell>
        </row>
        <row r="1187">
          <cell r="A1187" t="str">
            <v>AVK3</v>
          </cell>
          <cell r="C1187" t="str">
            <v>Bộ Ampe kế + Volt kế (trạm 3 pha)</v>
          </cell>
        </row>
        <row r="1188">
          <cell r="A1188" t="str">
            <v>axetylen</v>
          </cell>
          <cell r="C1188" t="str">
            <v>Hơi Axetylen</v>
          </cell>
        </row>
        <row r="1189">
          <cell r="A1189" t="str">
            <v>GIP11-11</v>
          </cell>
          <cell r="C1189" t="str">
            <v>Ghíp nối IPC 11-11</v>
          </cell>
        </row>
        <row r="1190">
          <cell r="A1190" t="str">
            <v>GIP22-11</v>
          </cell>
          <cell r="C1190" t="str">
            <v>Ghíp nối IPC 22-11</v>
          </cell>
        </row>
        <row r="1191">
          <cell r="A1191" t="str">
            <v>GIP22-22</v>
          </cell>
          <cell r="C1191" t="str">
            <v>Ghíp nối IPC 22-22</v>
          </cell>
        </row>
        <row r="1192">
          <cell r="A1192" t="str">
            <v>GIP35-35</v>
          </cell>
          <cell r="C1192" t="str">
            <v>Ghíp nối IPC 35-35</v>
          </cell>
        </row>
        <row r="1193">
          <cell r="A1193" t="str">
            <v>GIP50-25</v>
          </cell>
          <cell r="C1193" t="str">
            <v>Ghíp nối IPC 50-25 1 bulong</v>
          </cell>
        </row>
        <row r="1194">
          <cell r="A1194" t="str">
            <v>GIP50-35</v>
          </cell>
          <cell r="C1194" t="str">
            <v>Ghíp nối IPC 50-35</v>
          </cell>
        </row>
        <row r="1195">
          <cell r="A1195" t="str">
            <v>GIP70-35</v>
          </cell>
          <cell r="C1195" t="str">
            <v>Ghíp nối IPC 70-35</v>
          </cell>
        </row>
        <row r="1196">
          <cell r="A1196" t="str">
            <v>GIP95-25</v>
          </cell>
          <cell r="C1196" t="str">
            <v>Ghíp nối IPC 95-25 (2 boulon)</v>
          </cell>
        </row>
        <row r="1197">
          <cell r="A1197" t="str">
            <v>GIP95-35</v>
          </cell>
          <cell r="C1197" t="str">
            <v>Ghíp nối IPC 95-35</v>
          </cell>
        </row>
        <row r="1198">
          <cell r="A1198" t="str">
            <v>GIP120-25</v>
          </cell>
          <cell r="C1198" t="str">
            <v>Ghíp nối IPC 120-25</v>
          </cell>
        </row>
        <row r="1199">
          <cell r="A1199" t="str">
            <v>GIP120-35</v>
          </cell>
          <cell r="C1199" t="str">
            <v>Ghíp nối IPC 120-35</v>
          </cell>
        </row>
        <row r="1200">
          <cell r="A1200" t="str">
            <v>GIP50-50</v>
          </cell>
          <cell r="C1200" t="str">
            <v>Ghíp nối IPC 50-50 1 bulong</v>
          </cell>
        </row>
        <row r="1201">
          <cell r="A1201" t="str">
            <v>GIP70-50</v>
          </cell>
          <cell r="C1201" t="str">
            <v>Ghíp nối IPC 70-50 1 bulong</v>
          </cell>
        </row>
        <row r="1202">
          <cell r="A1202" t="str">
            <v>GIP95-50</v>
          </cell>
          <cell r="C1202" t="str">
            <v>Ghíp nối IPC 95-50 1 bulong</v>
          </cell>
        </row>
        <row r="1203">
          <cell r="A1203" t="str">
            <v>GIP120-50</v>
          </cell>
          <cell r="C1203" t="str">
            <v>Ghíp nối IPC 120-50</v>
          </cell>
        </row>
        <row r="1204">
          <cell r="A1204" t="str">
            <v>GIP150-50</v>
          </cell>
          <cell r="C1204" t="str">
            <v>Ghíp nối IPC 150-50</v>
          </cell>
        </row>
        <row r="1205">
          <cell r="A1205" t="str">
            <v>GIP70-70</v>
          </cell>
          <cell r="C1205" t="str">
            <v>Ghíp nối IPC 70-70</v>
          </cell>
        </row>
        <row r="1206">
          <cell r="A1206" t="str">
            <v>GIP95-70</v>
          </cell>
          <cell r="C1206" t="str">
            <v>Ghíp nối IPC 95-70</v>
          </cell>
        </row>
        <row r="1207">
          <cell r="A1207" t="str">
            <v>GIP120-70</v>
          </cell>
          <cell r="C1207" t="str">
            <v>Ghíp nối IPC 120-70</v>
          </cell>
        </row>
        <row r="1208">
          <cell r="A1208" t="str">
            <v>GIP150-70</v>
          </cell>
          <cell r="C1208" t="str">
            <v>Ghíp nối IPC 150-70</v>
          </cell>
        </row>
        <row r="1209">
          <cell r="A1209" t="str">
            <v>GIP95-95</v>
          </cell>
          <cell r="C1209" t="str">
            <v>Ghíp nối IPC 95-95</v>
          </cell>
        </row>
        <row r="1210">
          <cell r="A1210" t="str">
            <v>GIP95-120</v>
          </cell>
          <cell r="C1210" t="str">
            <v>Ghíp nối IPC 95-120</v>
          </cell>
        </row>
        <row r="1211">
          <cell r="A1211" t="str">
            <v>GIP95-150</v>
          </cell>
          <cell r="C1211" t="str">
            <v>Ghíp nối IPC 95-150</v>
          </cell>
        </row>
        <row r="1212">
          <cell r="A1212" t="str">
            <v>KQDUPLEX35</v>
          </cell>
          <cell r="B1212" t="str">
            <v>06.7003</v>
          </cell>
          <cell r="C1212" t="str">
            <v>Kéo dây quadruplex CV-4x35-0.6/1kV</v>
          </cell>
        </row>
        <row r="1213">
          <cell r="A1213" t="str">
            <v>KQDUPLEX22</v>
          </cell>
          <cell r="B1213" t="str">
            <v>06.7002</v>
          </cell>
          <cell r="C1213" t="str">
            <v>Kéo dây quadruplex CV-4x22-0.6/1kV</v>
          </cell>
        </row>
        <row r="1214">
          <cell r="A1214" t="str">
            <v>KQDUPLEX16</v>
          </cell>
          <cell r="B1214" t="str">
            <v>06.7001</v>
          </cell>
          <cell r="C1214" t="str">
            <v>Kéo dây quadruplex CV-4x16-0.6/1kV</v>
          </cell>
        </row>
        <row r="1215">
          <cell r="A1215" t="str">
            <v>KQDUPLEX14</v>
          </cell>
          <cell r="B1215" t="str">
            <v>06.7001</v>
          </cell>
          <cell r="C1215" t="str">
            <v>Kéo dây quadruplex CV-4x14-0.6/1kV</v>
          </cell>
        </row>
        <row r="1216">
          <cell r="A1216" t="str">
            <v>KQDUPLEX11</v>
          </cell>
          <cell r="B1216" t="str">
            <v>06.7001</v>
          </cell>
          <cell r="C1216" t="str">
            <v>Kéo dây quadruplex CV-4x11-0.6/1kV</v>
          </cell>
        </row>
        <row r="1217">
          <cell r="A1217" t="str">
            <v>KTriplex16</v>
          </cell>
          <cell r="B1217" t="str">
            <v>06.7001</v>
          </cell>
          <cell r="C1217" t="str">
            <v>Kéo dây triplex CV-3x16-0.6/1kV</v>
          </cell>
        </row>
        <row r="1218">
          <cell r="A1218" t="str">
            <v>KDUPLEX11</v>
          </cell>
          <cell r="B1218" t="str">
            <v>06.7001</v>
          </cell>
          <cell r="C1218" t="str">
            <v>Kéo dây duplex CV-2x11-0.6/1kV</v>
          </cell>
        </row>
        <row r="1219">
          <cell r="A1219" t="str">
            <v>Diabaohieu</v>
          </cell>
          <cell r="C1219" t="str">
            <v>Đĩa sứ trắng báo hiệu cáp ngầm</v>
          </cell>
        </row>
        <row r="1220">
          <cell r="A1220" t="str">
            <v>Denbao</v>
          </cell>
          <cell r="C1220" t="str">
            <v>Đèn báo hiệu pha 5W-220V</v>
          </cell>
        </row>
        <row r="1221">
          <cell r="A1221" t="str">
            <v>Đơn giá chiếu sáng</v>
          </cell>
        </row>
        <row r="1222">
          <cell r="A1222" t="str">
            <v>TUDKCS</v>
          </cell>
          <cell r="B1222" t="str">
            <v>CS4.09.021</v>
          </cell>
          <cell r="C1222" t="str">
            <v>Tủ điều khiển chiếu sáng</v>
          </cell>
        </row>
        <row r="1223">
          <cell r="A1223" t="str">
            <v>TRTHEP6</v>
          </cell>
          <cell r="C1223" t="str">
            <v>Trụ thép tròn cao 6 mét</v>
          </cell>
        </row>
        <row r="1224">
          <cell r="A1224" t="str">
            <v>TRTHEP7</v>
          </cell>
          <cell r="C1224" t="str">
            <v>Trụ thép tròn cao 7 mét</v>
          </cell>
        </row>
        <row r="1225">
          <cell r="A1225" t="str">
            <v>D12 CS</v>
          </cell>
          <cell r="B1225" t="str">
            <v>04.3801</v>
          </cell>
          <cell r="C1225" t="str">
            <v>Đà cản BTCT 1,2m (Nhân công đã qui đổi sang ĐG chiếu sáng)</v>
          </cell>
        </row>
        <row r="1226">
          <cell r="A1226" t="str">
            <v>CDDON</v>
          </cell>
          <cell r="C1226" t="str">
            <v>Cần đèn STK D60 đơn cao 2m vươn 1,5m nghiêng 15 độ</v>
          </cell>
        </row>
        <row r="1227">
          <cell r="A1227" t="str">
            <v>CDDOI</v>
          </cell>
          <cell r="C1227" t="str">
            <v>Cần đèn STK D60 đôi cao 2m vươn 1,5m nghiêng 15 độ</v>
          </cell>
        </row>
        <row r="1228">
          <cell r="A1228" t="str">
            <v>CD-Sonadezi</v>
          </cell>
          <cell r="C1228" t="str">
            <v>Cần đèn STK D60 đơn cao 1,7m vươn 2,8m (CĐT cung cấp)</v>
          </cell>
        </row>
        <row r="1229">
          <cell r="A1229" t="str">
            <v>CDDON+C</v>
          </cell>
          <cell r="C1229" t="str">
            <v>Cần đèn STK D60 đơn cao 1m vươn 1,8m nghiêng 15 độ + chụp đầu trụ</v>
          </cell>
        </row>
        <row r="1230">
          <cell r="A1230" t="str">
            <v>CDDOI+C</v>
          </cell>
          <cell r="C1230" t="str">
            <v>Cần đèn STK D60 đôi cao 1m vươn 1,8m nghiêng 15 độ + chụp đầu trụ</v>
          </cell>
        </row>
        <row r="1231">
          <cell r="A1231" t="str">
            <v>CDBA</v>
          </cell>
          <cell r="C1231" t="str">
            <v>Cần đèn STK D60 ba cao 1mét vươn 1,8 mét góc nghiêng 15 độ</v>
          </cell>
        </row>
        <row r="1232">
          <cell r="A1232" t="str">
            <v>DEN</v>
          </cell>
          <cell r="C1232" t="str">
            <v>Choá đèn 73FS 10 + bóng OSAM-250W + tụ điện + ballast</v>
          </cell>
        </row>
        <row r="1233">
          <cell r="A1233" t="str">
            <v>DEN-sonadezi</v>
          </cell>
          <cell r="C1233" t="str">
            <v>Choá đèn + bóng 250W (CĐT cung cấp)</v>
          </cell>
        </row>
        <row r="1234">
          <cell r="A1234" t="str">
            <v>CHI5</v>
          </cell>
          <cell r="C1234" t="str">
            <v>Cầu chì nhựa trong nhà 5A+ chì 5A</v>
          </cell>
        </row>
        <row r="1235">
          <cell r="A1235" t="str">
            <v>DOMINO</v>
          </cell>
          <cell r="C1235" t="str">
            <v>Đômino đấu nối trong trụ đèn</v>
          </cell>
        </row>
        <row r="1237">
          <cell r="A1237" t="str">
            <v>LCAN+C</v>
          </cell>
          <cell r="B1237" t="str">
            <v>CS3.02.011</v>
          </cell>
          <cell r="C1237" t="str">
            <v>Lắp cần đèn +  chụp đầu cột hạ thế ≤ 10,5m</v>
          </cell>
        </row>
        <row r="1238">
          <cell r="A1238" t="str">
            <v>LCAN2,8</v>
          </cell>
          <cell r="B1238" t="str">
            <v>CS3.03.011</v>
          </cell>
          <cell r="C1238" t="str">
            <v>Lắp cần đèn D60 ≤ 2,8m</v>
          </cell>
        </row>
        <row r="1239">
          <cell r="A1239" t="str">
            <v>LCAN3,2</v>
          </cell>
          <cell r="B1239" t="str">
            <v>CS3.03.012</v>
          </cell>
          <cell r="C1239" t="str">
            <v>Lắp cần đèn D60 ≤ 3,2m</v>
          </cell>
        </row>
        <row r="1240">
          <cell r="A1240" t="str">
            <v>LTD-DEN</v>
          </cell>
          <cell r="B1240" t="str">
            <v>CS3.07.023</v>
          </cell>
          <cell r="C1240" t="str">
            <v>Lắp dây tiếp địa CS</v>
          </cell>
        </row>
        <row r="1241">
          <cell r="A1241" t="str">
            <v>LDEN</v>
          </cell>
          <cell r="B1241" t="str">
            <v>CS3.05.001</v>
          </cell>
          <cell r="C1241" t="str">
            <v>Lắp chóa đèn chiếu sáng ≤ 12m</v>
          </cell>
        </row>
        <row r="1242">
          <cell r="A1242" t="str">
            <v>LTRUDEN</v>
          </cell>
          <cell r="B1242" t="str">
            <v>CS3.01.013</v>
          </cell>
          <cell r="C1242" t="str">
            <v>Lắp trụ thép ≤ 8m bằng thủ công</v>
          </cell>
        </row>
        <row r="1243">
          <cell r="A1243" t="str">
            <v>LBTLT</v>
          </cell>
          <cell r="B1243" t="str">
            <v>CS3.01.021</v>
          </cell>
          <cell r="C1243" t="str">
            <v>Lắp trụ BTLT ≤ 10m bằng cơ giới</v>
          </cell>
        </row>
        <row r="1244">
          <cell r="A1244" t="str">
            <v>LUONDAY</v>
          </cell>
          <cell r="B1244" t="str">
            <v>CS4.08.010</v>
          </cell>
          <cell r="C1244" t="str">
            <v>Luồn dây lên đèn</v>
          </cell>
        </row>
        <row r="1245">
          <cell r="A1245" t="str">
            <v>KCAPDEN</v>
          </cell>
          <cell r="B1245" t="str">
            <v>CS4.02.011</v>
          </cell>
          <cell r="C1245" t="str">
            <v>Kéo rải cáp chiếu sáng D&lt;25</v>
          </cell>
        </row>
        <row r="1246">
          <cell r="A1246" t="str">
            <v>KCAPDEN25</v>
          </cell>
          <cell r="B1246" t="str">
            <v>CS4.02.021</v>
          </cell>
          <cell r="C1246" t="str">
            <v>Kéo rải cáp chiếu sáng D&gt;25</v>
          </cell>
        </row>
        <row r="1247">
          <cell r="A1247" t="str">
            <v>LCAPDEN</v>
          </cell>
          <cell r="B1247" t="str">
            <v>CS4.04.010</v>
          </cell>
          <cell r="C1247" t="str">
            <v>Lắp rải cáp ngầm chiếu sáng</v>
          </cell>
        </row>
        <row r="1248">
          <cell r="A1248" t="str">
            <v>LDAUCAPCS</v>
          </cell>
          <cell r="B1248" t="str">
            <v>CS4.03.010</v>
          </cell>
          <cell r="C1248" t="str">
            <v>Lắp đầu cáp ngầm chiếu sáng</v>
          </cell>
        </row>
        <row r="1249">
          <cell r="A1249" t="str">
            <v>Lcauchi</v>
          </cell>
          <cell r="B1249" t="str">
            <v>CS4.03.020</v>
          </cell>
          <cell r="C1249" t="str">
            <v>Lắp cầu chì đuôi cá</v>
          </cell>
        </row>
        <row r="1250">
          <cell r="A1250" t="str">
            <v>LPVC60CL CS</v>
          </cell>
          <cell r="B1250" t="str">
            <v>07,2404</v>
          </cell>
          <cell r="C1250" t="str">
            <v>Lắp ống PVC D60 (Nhân công đã qui đổi về ĐG chiếu sáng)</v>
          </cell>
        </row>
        <row r="1251">
          <cell r="A1251" t="str">
            <v>LPVC90CL CS</v>
          </cell>
          <cell r="B1251" t="str">
            <v>07,2406</v>
          </cell>
          <cell r="C1251" t="str">
            <v>Lắp ống PVC D90 (Nhân công đã qui đổi về ĐG chiếu sáng)</v>
          </cell>
        </row>
        <row r="1252">
          <cell r="A1252" t="str">
            <v>LSTK120d CS</v>
          </cell>
          <cell r="B1252" t="str">
            <v>07.2301</v>
          </cell>
          <cell r="C1252" t="str">
            <v>Lắp ống sắt d&lt;120mm (Nhân công đã qui đổi về ĐG chiếu sáng)</v>
          </cell>
        </row>
        <row r="1253">
          <cell r="A1253" t="str">
            <v>LGACH CS</v>
          </cell>
          <cell r="B1253" t="str">
            <v>07.2104</v>
          </cell>
          <cell r="C1253" t="str">
            <v>Lắp gạch mương CS (Nhân công đã qui đổi về ĐG chiếu sáng)</v>
          </cell>
        </row>
        <row r="1254">
          <cell r="A1254" t="str">
            <v>DMCS</v>
          </cell>
          <cell r="B1254" t="str">
            <v>CS1.01.160</v>
          </cell>
          <cell r="C1254" t="str">
            <v>Đào đất mương cáp CS</v>
          </cell>
        </row>
        <row r="1255">
          <cell r="A1255" t="str">
            <v>DDMCS3</v>
          </cell>
          <cell r="B1255" t="str">
            <v>CS1.02.023</v>
          </cell>
          <cell r="C1255" t="str">
            <v>Đắp đất mương cáp CS đất cấp 3</v>
          </cell>
        </row>
        <row r="1256">
          <cell r="A1256" t="str">
            <v>DCatMCS</v>
          </cell>
          <cell r="B1256" t="str">
            <v>CS1.02.024</v>
          </cell>
          <cell r="C1256" t="str">
            <v>Đắp cát mương cáp CS</v>
          </cell>
        </row>
        <row r="1257">
          <cell r="A1257" t="str">
            <v>DMongCS</v>
          </cell>
          <cell r="B1257" t="str">
            <v>CS1.01.140</v>
          </cell>
          <cell r="C1257" t="str">
            <v>Đào móng trụ CS sâu ≤ 1m trên vỉa hè</v>
          </cell>
        </row>
        <row r="1258">
          <cell r="A1258" t="str">
            <v>DMongCS1</v>
          </cell>
          <cell r="B1258" t="str">
            <v>CS1.01.150</v>
          </cell>
          <cell r="C1258" t="str">
            <v>Đào móng trụ CS sâu &gt;1m trên vỉa hè</v>
          </cell>
        </row>
        <row r="1259">
          <cell r="A1259" t="str">
            <v>DDMongCS3</v>
          </cell>
          <cell r="B1259" t="str">
            <v>CS1.02.013</v>
          </cell>
          <cell r="C1259" t="str">
            <v>Đắp đất móng trụ CS, đất cấp 3</v>
          </cell>
        </row>
        <row r="1260">
          <cell r="A1260" t="str">
            <v>DCatMongCS</v>
          </cell>
          <cell r="B1260" t="str">
            <v>CS1.02.014</v>
          </cell>
          <cell r="C1260" t="str">
            <v>Đắp cát móng trụ CS</v>
          </cell>
        </row>
        <row r="1261">
          <cell r="A1261" t="str">
            <v>DongCTD</v>
          </cell>
          <cell r="B1261" t="str">
            <v>CS3.07.012</v>
          </cell>
          <cell r="C1261" t="str">
            <v>Đóng cọc tiếp địa hệ thống CS</v>
          </cell>
        </row>
        <row r="1262">
          <cell r="A1262" t="str">
            <v>DBTM150CS</v>
          </cell>
          <cell r="B1262" t="str">
            <v>CS2.01.011</v>
          </cell>
          <cell r="C1262" t="str">
            <v>Đổ bêtông móng trụ M150 &lt;=250cm</v>
          </cell>
        </row>
        <row r="1263">
          <cell r="A1263" t="str">
            <v>DBT20012CS</v>
          </cell>
          <cell r="B1263" t="str">
            <v>04.3323</v>
          </cell>
          <cell r="C1263" t="str">
            <v>Đổ betông M200 đá 1x2 (Nhân công đã qui đổi về ĐG chiếu sáng)</v>
          </cell>
        </row>
        <row r="1264">
          <cell r="A1264" t="str">
            <v>HopCBpd</v>
          </cell>
          <cell r="B1264" t="str">
            <v>06.3231</v>
          </cell>
          <cell r="C1264" t="str">
            <v>Hộp phân đoạn MCCB 3 cực 400V-125A - 30KA</v>
          </cell>
        </row>
        <row r="1265">
          <cell r="A1265" t="str">
            <v>CCĐMBA</v>
          </cell>
          <cell r="C1265" t="str">
            <v>Chụp cách điện đầu cực MBA</v>
          </cell>
        </row>
        <row r="1266">
          <cell r="A1266" t="str">
            <v>CCĐfco</v>
          </cell>
          <cell r="C1266" t="str">
            <v>Chụp cách điện đầu cực FCO (trên + dưới)</v>
          </cell>
        </row>
        <row r="1267">
          <cell r="A1267" t="str">
            <v>CCĐLA</v>
          </cell>
          <cell r="C1267" t="str">
            <v>Chụp cách điện đầu cực LA</v>
          </cell>
        </row>
        <row r="1268">
          <cell r="A1268" t="str">
            <v>CCDQU</v>
          </cell>
          <cell r="C1268" t="str">
            <v>Chụp cách điện kẹp quai</v>
          </cell>
        </row>
        <row r="1269">
          <cell r="A1269" t="str">
            <v>TDLLCD</v>
          </cell>
          <cell r="C1269" t="str">
            <v>Bộ tiếp địa cố định cáp ABC</v>
          </cell>
        </row>
        <row r="1270">
          <cell r="A1270" t="str">
            <v>PK</v>
          </cell>
          <cell r="B1270" t="str">
            <v>02.1421</v>
          </cell>
          <cell r="C1270" t="str">
            <v>V/c phụ kiện vào vị trí (cự ly &lt;=100m)</v>
          </cell>
        </row>
        <row r="1271">
          <cell r="A1271" t="str">
            <v>DAY</v>
          </cell>
          <cell r="B1271" t="str">
            <v>02.1441</v>
          </cell>
          <cell r="C1271" t="str">
            <v>V/c dây vào vị trí (cự ly &lt;=100m)</v>
          </cell>
        </row>
        <row r="1272">
          <cell r="A1272" t="str">
            <v>DCTC</v>
          </cell>
          <cell r="B1272" t="str">
            <v>02.1482</v>
          </cell>
          <cell r="C1272" t="str">
            <v>V/c dụng cụ thi công vào vị trí (cự ly &lt;=100m)</v>
          </cell>
        </row>
        <row r="1273">
          <cell r="A1273" t="str">
            <v>THEP</v>
          </cell>
          <cell r="B1273" t="str">
            <v>02.1351</v>
          </cell>
          <cell r="C1273" t="str">
            <v>V/c cốt thép ( cự ly &lt;=100m)</v>
          </cell>
        </row>
        <row r="1274">
          <cell r="A1274" t="str">
            <v>XIMANG</v>
          </cell>
          <cell r="B1274" t="str">
            <v>02.1211</v>
          </cell>
          <cell r="C1274" t="str">
            <v>V/c xi măng ( cự ly &lt;=100m)</v>
          </cell>
        </row>
        <row r="1275">
          <cell r="A1275" t="str">
            <v>vcCAT</v>
          </cell>
          <cell r="B1275" t="str">
            <v>02.1231</v>
          </cell>
          <cell r="C1275" t="str">
            <v>V/c cát vàng cự ly &lt;=100m</v>
          </cell>
        </row>
        <row r="1276">
          <cell r="A1276" t="str">
            <v>DADAM</v>
          </cell>
          <cell r="B1276" t="str">
            <v>02.1241</v>
          </cell>
          <cell r="C1276" t="str">
            <v>V/c đá dăm ( cự ly &lt;=100m)</v>
          </cell>
        </row>
        <row r="1277">
          <cell r="A1277" t="str">
            <v>DA</v>
          </cell>
          <cell r="B1277" t="str">
            <v>02.1451</v>
          </cell>
          <cell r="C1277" t="str">
            <v>V/c đà cản vào vị trí (cự ly &lt;=100m)</v>
          </cell>
        </row>
        <row r="1278">
          <cell r="A1278" t="str">
            <v>TD</v>
          </cell>
          <cell r="B1278" t="str">
            <v>02.1351</v>
          </cell>
          <cell r="C1278" t="str">
            <v>V/c tiếp địa vào vị trí ( cự ly &lt;=100m)</v>
          </cell>
        </row>
        <row r="1279">
          <cell r="A1279" t="str">
            <v>DN</v>
          </cell>
          <cell r="B1279" t="str">
            <v>02.1451</v>
          </cell>
          <cell r="C1279" t="str">
            <v>V/c đế néo vào vị trí (cự ly &lt;=100m)</v>
          </cell>
        </row>
        <row r="1280">
          <cell r="A1280" t="str">
            <v>vcNX</v>
          </cell>
          <cell r="B1280" t="str">
            <v>02.1421</v>
          </cell>
          <cell r="C1280" t="str">
            <v>V/c neo xòe vào vị trí (cự ly &lt;=100m)</v>
          </cell>
        </row>
        <row r="1281">
          <cell r="A1281" t="str">
            <v>COT</v>
          </cell>
          <cell r="B1281" t="str">
            <v>02.1461</v>
          </cell>
          <cell r="C1281" t="str">
            <v>V/c cột vào vị trí (cự ly &lt;=100m)</v>
          </cell>
        </row>
        <row r="1282">
          <cell r="A1282" t="str">
            <v>XA</v>
          </cell>
          <cell r="B1282" t="str">
            <v>02.1361</v>
          </cell>
          <cell r="C1282" t="str">
            <v>V/c xà vào vị trí (cư ly &lt;=100m)</v>
          </cell>
        </row>
        <row r="1283">
          <cell r="A1283" t="str">
            <v>ctram</v>
          </cell>
          <cell r="B1283" t="str">
            <v>02.1411</v>
          </cell>
          <cell r="C1283" t="str">
            <v>V/c cừ tràm 5m ( cự ly &lt;=100m)</v>
          </cell>
        </row>
        <row r="1284">
          <cell r="A1284" t="str">
            <v>CD114dd23</v>
          </cell>
          <cell r="C1284" t="str">
            <v>Cổ dê trụ đôi kẹp 1 ống PVC Þ 114 (D230)</v>
          </cell>
        </row>
        <row r="1285">
          <cell r="A1285" t="str">
            <v>CD114dd28</v>
          </cell>
          <cell r="C1285" t="str">
            <v>Cổ dê trụ đôi kẹp 1 ống PVC Þ 114 (D280)</v>
          </cell>
        </row>
        <row r="1286">
          <cell r="A1286" t="str">
            <v>M7</v>
          </cell>
          <cell r="C1286" t="str">
            <v>Móng M7</v>
          </cell>
        </row>
        <row r="1287">
          <cell r="A1287" t="str">
            <v>M7a</v>
          </cell>
          <cell r="C1287" t="str">
            <v>Móng M7a</v>
          </cell>
        </row>
        <row r="1288">
          <cell r="A1288" t="str">
            <v>M7b</v>
          </cell>
          <cell r="C1288" t="str">
            <v>Móng M7b</v>
          </cell>
        </row>
        <row r="1289">
          <cell r="A1289" t="str">
            <v>M7aa</v>
          </cell>
          <cell r="C1289" t="str">
            <v>Móng M7aa</v>
          </cell>
        </row>
        <row r="1290">
          <cell r="A1290" t="str">
            <v>M7ba</v>
          </cell>
          <cell r="C1290" t="str">
            <v>Móng M7ba</v>
          </cell>
        </row>
        <row r="1291">
          <cell r="A1291" t="str">
            <v>M7-2a</v>
          </cell>
          <cell r="C1291" t="str">
            <v>Móng M7-2a</v>
          </cell>
        </row>
        <row r="1292">
          <cell r="A1292" t="str">
            <v>M8</v>
          </cell>
          <cell r="C1292" t="str">
            <v>Móng M8</v>
          </cell>
        </row>
        <row r="1293">
          <cell r="A1293" t="str">
            <v>M8a</v>
          </cell>
          <cell r="C1293" t="str">
            <v>Móng M8a</v>
          </cell>
        </row>
        <row r="1294">
          <cell r="A1294" t="str">
            <v>M8BT Đơn</v>
          </cell>
          <cell r="C1294" t="str">
            <v>Móng bê tông trụ đơn 8,4m</v>
          </cell>
        </row>
        <row r="1295">
          <cell r="A1295" t="str">
            <v>M7BT Đôi</v>
          </cell>
          <cell r="C1295" t="str">
            <v>Móng bê tông trụ đôi 7,5m</v>
          </cell>
        </row>
        <row r="1296">
          <cell r="A1296" t="str">
            <v>M8b</v>
          </cell>
          <cell r="C1296" t="str">
            <v>Móng M8b</v>
          </cell>
        </row>
        <row r="1297">
          <cell r="A1297" t="str">
            <v>M8aa</v>
          </cell>
          <cell r="C1297" t="str">
            <v>Móng M8aa</v>
          </cell>
        </row>
        <row r="1298">
          <cell r="A1298" t="str">
            <v>M8ba</v>
          </cell>
          <cell r="C1298" t="str">
            <v>Móng M8ba</v>
          </cell>
        </row>
        <row r="1299">
          <cell r="A1299" t="str">
            <v>M8BT Đôi</v>
          </cell>
          <cell r="C1299" t="str">
            <v>Móng M8 bê tông trụ đôi</v>
          </cell>
        </row>
        <row r="1300">
          <cell r="A1300" t="str">
            <v>M8bb</v>
          </cell>
          <cell r="C1300" t="str">
            <v>Móng M8bb</v>
          </cell>
        </row>
        <row r="1301">
          <cell r="A1301" t="str">
            <v>M8-2a</v>
          </cell>
          <cell r="C1301" t="str">
            <v>Móng M8-2a</v>
          </cell>
        </row>
        <row r="1302">
          <cell r="A1302" t="str">
            <v>M10</v>
          </cell>
          <cell r="C1302" t="str">
            <v>Móng M10</v>
          </cell>
        </row>
        <row r="1303">
          <cell r="A1303" t="str">
            <v>M10a</v>
          </cell>
          <cell r="C1303" t="str">
            <v xml:space="preserve">Móng M10a </v>
          </cell>
        </row>
        <row r="1304">
          <cell r="A1304" t="str">
            <v>M10b</v>
          </cell>
          <cell r="C1304" t="str">
            <v>Móng M10b</v>
          </cell>
        </row>
        <row r="1305">
          <cell r="A1305" t="str">
            <v>M10BT ĐƠN</v>
          </cell>
          <cell r="C1305" t="str">
            <v>Móng bê tông trụ đơn 10.5m</v>
          </cell>
        </row>
        <row r="1306">
          <cell r="A1306" t="str">
            <v>M10aa</v>
          </cell>
          <cell r="C1306" t="str">
            <v>Móng M10aa</v>
          </cell>
        </row>
        <row r="1307">
          <cell r="A1307" t="str">
            <v>M10ba</v>
          </cell>
          <cell r="C1307" t="str">
            <v>Móng M10ba</v>
          </cell>
        </row>
        <row r="1308">
          <cell r="A1308" t="str">
            <v>M10bb</v>
          </cell>
          <cell r="C1308" t="str">
            <v>Móng M10bb</v>
          </cell>
        </row>
        <row r="1309">
          <cell r="A1309" t="str">
            <v>M10-2bn</v>
          </cell>
          <cell r="C1309" t="str">
            <v>Móng M10-2bn</v>
          </cell>
        </row>
        <row r="1310">
          <cell r="A1310" t="str">
            <v>M10-2a</v>
          </cell>
          <cell r="C1310" t="str">
            <v>Móng M10-2a</v>
          </cell>
        </row>
        <row r="1311">
          <cell r="A1311" t="str">
            <v>M10-2b</v>
          </cell>
          <cell r="C1311" t="str">
            <v>Móng M10-2b</v>
          </cell>
        </row>
        <row r="1312">
          <cell r="A1312" t="str">
            <v>M12</v>
          </cell>
          <cell r="C1312" t="str">
            <v>Móng M12</v>
          </cell>
        </row>
        <row r="1313">
          <cell r="A1313" t="str">
            <v>M12a</v>
          </cell>
          <cell r="C1313" t="str">
            <v>Móng M12a</v>
          </cell>
        </row>
        <row r="1314">
          <cell r="A1314" t="str">
            <v>M12b</v>
          </cell>
          <cell r="C1314" t="str">
            <v>Móng M12b</v>
          </cell>
        </row>
        <row r="1315">
          <cell r="A1315" t="str">
            <v>M12aa</v>
          </cell>
          <cell r="C1315" t="str">
            <v>Móng M12aa</v>
          </cell>
        </row>
        <row r="1316">
          <cell r="A1316" t="str">
            <v>M12ba</v>
          </cell>
          <cell r="C1316" t="str">
            <v>Móng M12ba</v>
          </cell>
        </row>
        <row r="1317">
          <cell r="A1317" t="str">
            <v>M12bb</v>
          </cell>
          <cell r="C1317" t="str">
            <v>Móng M12bb</v>
          </cell>
        </row>
        <row r="1318">
          <cell r="A1318" t="str">
            <v>M12-2bn</v>
          </cell>
          <cell r="C1318" t="str">
            <v>Móng M12-2bn</v>
          </cell>
        </row>
        <row r="1319">
          <cell r="A1319" t="str">
            <v>M12-2a</v>
          </cell>
          <cell r="C1319" t="str">
            <v>Móng M12-2a</v>
          </cell>
        </row>
        <row r="1320">
          <cell r="A1320" t="str">
            <v>M12-2b</v>
          </cell>
          <cell r="C1320" t="str">
            <v>Móng M12-2b</v>
          </cell>
        </row>
        <row r="1321">
          <cell r="A1321" t="str">
            <v>M12b-aa(hh)</v>
          </cell>
          <cell r="C1321" t="str">
            <v>Móng M12b-aa(hh)</v>
          </cell>
        </row>
        <row r="1322">
          <cell r="A1322" t="str">
            <v>M12b-2a(hh)</v>
          </cell>
          <cell r="C1322" t="str">
            <v>Móng M12b-2a(hh)</v>
          </cell>
        </row>
        <row r="1323">
          <cell r="A1323" t="str">
            <v>M12 PĐ</v>
          </cell>
          <cell r="C1323" t="str">
            <v>Móng M12 phá đá</v>
          </cell>
        </row>
        <row r="1324">
          <cell r="A1324" t="str">
            <v>M12BT ĐƠN</v>
          </cell>
          <cell r="C1324" t="str">
            <v>Móng bê tông trụ đơn 12m</v>
          </cell>
        </row>
        <row r="1325">
          <cell r="A1325" t="str">
            <v>M12BT ĐÔI</v>
          </cell>
          <cell r="C1325" t="str">
            <v>Móng bê tông trụ đôi 12m</v>
          </cell>
        </row>
        <row r="1326">
          <cell r="A1326" t="str">
            <v>M12 CN</v>
          </cell>
          <cell r="C1326" t="str">
            <v>Móng chống ngập nước</v>
          </cell>
        </row>
        <row r="1327">
          <cell r="A1327" t="str">
            <v>M12BT P500</v>
          </cell>
          <cell r="C1327" t="str">
            <v>Móng bê tông trụ đôi 12m tim 500</v>
          </cell>
        </row>
        <row r="1328">
          <cell r="A1328" t="str">
            <v>M14</v>
          </cell>
          <cell r="C1328" t="str">
            <v>Móng M14</v>
          </cell>
        </row>
        <row r="1329">
          <cell r="A1329" t="str">
            <v>M14a</v>
          </cell>
          <cell r="C1329" t="str">
            <v>Móng M14a</v>
          </cell>
        </row>
        <row r="1330">
          <cell r="A1330" t="str">
            <v>M14b</v>
          </cell>
          <cell r="C1330" t="str">
            <v>Móng M14b</v>
          </cell>
        </row>
        <row r="1331">
          <cell r="A1331" t="str">
            <v>M14BT ĐƠN</v>
          </cell>
          <cell r="C1331" t="str">
            <v>Móng bê tông trụ đơn 14m</v>
          </cell>
        </row>
        <row r="1332">
          <cell r="A1332" t="str">
            <v>M14BT Đôi</v>
          </cell>
          <cell r="C1332" t="str">
            <v>Móng bê tông trụ đôi 14m</v>
          </cell>
        </row>
        <row r="1333">
          <cell r="A1333" t="str">
            <v>MTuBu</v>
          </cell>
          <cell r="C1333" t="str">
            <v>Móng bê tông M200 nền tủ bù</v>
          </cell>
        </row>
        <row r="1334">
          <cell r="A1334" t="str">
            <v>M-TBA</v>
          </cell>
          <cell r="C1334" t="str">
            <v>Móng bê tông nền trạm biến áp</v>
          </cell>
        </row>
        <row r="1335">
          <cell r="A1335" t="str">
            <v>M14aa</v>
          </cell>
          <cell r="C1335" t="str">
            <v>Móng M14aa</v>
          </cell>
        </row>
        <row r="1336">
          <cell r="A1336" t="str">
            <v>M14ba</v>
          </cell>
          <cell r="C1336" t="str">
            <v>Móng M14ba</v>
          </cell>
        </row>
        <row r="1337">
          <cell r="A1337" t="str">
            <v>M14bb</v>
          </cell>
          <cell r="C1337" t="str">
            <v>Móng M14bb</v>
          </cell>
        </row>
        <row r="1338">
          <cell r="A1338" t="str">
            <v>M14-2bn</v>
          </cell>
          <cell r="C1338" t="str">
            <v>Móng M14-2bn</v>
          </cell>
        </row>
        <row r="1339">
          <cell r="A1339" t="str">
            <v>M14-2a</v>
          </cell>
          <cell r="C1339" t="str">
            <v>Móng M14-2a</v>
          </cell>
        </row>
        <row r="1340">
          <cell r="A1340" t="str">
            <v>M14-2b</v>
          </cell>
          <cell r="C1340" t="str">
            <v>Móng M14-2b</v>
          </cell>
        </row>
        <row r="1341">
          <cell r="A1341" t="str">
            <v>M14-4b</v>
          </cell>
          <cell r="C1341" t="str">
            <v>Móng M14-4b</v>
          </cell>
        </row>
        <row r="1342">
          <cell r="A1342" t="str">
            <v>BTCL-14-500</v>
          </cell>
          <cell r="C1342" t="str">
            <v>Móng BTCL-14-500</v>
          </cell>
        </row>
        <row r="1343">
          <cell r="A1343" t="str">
            <v>M20-4b</v>
          </cell>
          <cell r="C1343" t="str">
            <v>Móng M20-4b</v>
          </cell>
        </row>
        <row r="1344">
          <cell r="A1344" t="str">
            <v>MTUPP</v>
          </cell>
          <cell r="C1344" t="str">
            <v>Móng tủ phân phối hạ thế</v>
          </cell>
        </row>
        <row r="1345">
          <cell r="A1345" t="str">
            <v>MTUCS</v>
          </cell>
          <cell r="C1345" t="str">
            <v>Móng tủ điều khiển chiếu sáng</v>
          </cell>
        </row>
        <row r="1346">
          <cell r="A1346" t="str">
            <v>TD75</v>
          </cell>
          <cell r="C1346" t="str">
            <v>Tiếp địa lặp lại (trụ 7.5m)</v>
          </cell>
        </row>
        <row r="1347">
          <cell r="A1347" t="str">
            <v>TDLL84</v>
          </cell>
          <cell r="C1347" t="str">
            <v>Tiếp địa lặp lại (trụ 8.4m)</v>
          </cell>
        </row>
        <row r="1348">
          <cell r="A1348" t="str">
            <v>TD84ABC</v>
          </cell>
          <cell r="C1348" t="str">
            <v>Tiếp địa lặp lại trụ 8,4m cáp ABC</v>
          </cell>
        </row>
        <row r="1349">
          <cell r="A1349" t="str">
            <v>TDTUPP</v>
          </cell>
          <cell r="C1349" t="str">
            <v>Tiếp địa tủ phân phối hạ thế</v>
          </cell>
        </row>
        <row r="1350">
          <cell r="A1350" t="str">
            <v>TDTT105</v>
          </cell>
          <cell r="C1350" t="str">
            <v>Tiếp địa lặp lại (trụ 10.5m)</v>
          </cell>
        </row>
        <row r="1351">
          <cell r="A1351" t="str">
            <v>TDTT12</v>
          </cell>
          <cell r="C1351" t="str">
            <v>Tiếp địa lặp lại (trụ 12m)</v>
          </cell>
        </row>
        <row r="1352">
          <cell r="A1352" t="str">
            <v>TDLL12</v>
          </cell>
          <cell r="C1352" t="str">
            <v>Tiếp địa lặp lại trụ 12m</v>
          </cell>
        </row>
        <row r="1353">
          <cell r="A1353" t="str">
            <v>TDTB</v>
          </cell>
          <cell r="C1353" t="str">
            <v>Tiếp địa trụ Recloser, LBS</v>
          </cell>
        </row>
        <row r="1354">
          <cell r="A1354" t="str">
            <v>TDTT14</v>
          </cell>
          <cell r="C1354" t="str">
            <v>Tiếp địa lặp lại (trụ 14m)</v>
          </cell>
        </row>
        <row r="1355">
          <cell r="A1355" t="str">
            <v>TDTT20</v>
          </cell>
          <cell r="C1355" t="str">
            <v>Tiếp địa lặp lại (trụ 20m)</v>
          </cell>
        </row>
        <row r="1356">
          <cell r="A1356" t="str">
            <v>TDMT</v>
          </cell>
          <cell r="C1356" t="str">
            <v>Tiếp địa mái tole</v>
          </cell>
        </row>
        <row r="1357">
          <cell r="A1357" t="str">
            <v>TDDD</v>
          </cell>
          <cell r="C1357" t="str">
            <v>Tiếp địa trụ đo đếm</v>
          </cell>
        </row>
        <row r="1358">
          <cell r="A1358" t="str">
            <v>TDTBA</v>
          </cell>
          <cell r="C1358" t="str">
            <v>Tiếp địa trạm biến áp</v>
          </cell>
        </row>
        <row r="1359">
          <cell r="A1359" t="str">
            <v>TRUTHEP</v>
          </cell>
          <cell r="C1359" t="str">
            <v>Trụ thép bát giác cao 6m</v>
          </cell>
        </row>
        <row r="1360">
          <cell r="A1360" t="str">
            <v>BTLT 7.5</v>
          </cell>
          <cell r="C1360" t="str">
            <v>Trụ bê tông ly tâm 7.5m</v>
          </cell>
        </row>
        <row r="1361">
          <cell r="A1361" t="str">
            <v>BTLT 8.5</v>
          </cell>
          <cell r="C1361" t="str">
            <v>Trụ bê tông ly tâm 8.4m</v>
          </cell>
        </row>
        <row r="1362">
          <cell r="A1362" t="str">
            <v xml:space="preserve">BTLT 8.4 </v>
          </cell>
          <cell r="C1362" t="str">
            <v>Trụ bê tông ly tâm 8.4m không dây tiếp địa</v>
          </cell>
        </row>
        <row r="1363">
          <cell r="A1363" t="str">
            <v>BTLT 8.4TD</v>
          </cell>
          <cell r="C1363" t="str">
            <v>Trụ bê tông ly tâm 8.4m có dây tiếp địa</v>
          </cell>
        </row>
        <row r="1364">
          <cell r="A1364" t="str">
            <v>N-BTLT 8.4</v>
          </cell>
          <cell r="C1364" t="str">
            <v>Nhổ trụ 8,4m</v>
          </cell>
        </row>
        <row r="1365">
          <cell r="A1365" t="str">
            <v>N-T-BTLT 8.4</v>
          </cell>
          <cell r="C1365" t="str">
            <v>Nhổ và trồng trụ 8,4m</v>
          </cell>
        </row>
        <row r="1366">
          <cell r="A1366" t="str">
            <v>N-T-BTLT 12</v>
          </cell>
          <cell r="C1366" t="str">
            <v>Nhổ và trồng trụ 12m</v>
          </cell>
        </row>
        <row r="1367">
          <cell r="A1367" t="str">
            <v>BTLT 10.5</v>
          </cell>
          <cell r="C1367" t="str">
            <v>Trụ bê tông ly tâm 10.5m</v>
          </cell>
        </row>
        <row r="1368">
          <cell r="A1368" t="str">
            <v>N-BTLT 10.5</v>
          </cell>
          <cell r="C1368" t="str">
            <v>Nhổ trụ bê tông ly tâm 10.5m</v>
          </cell>
        </row>
        <row r="1369">
          <cell r="A1369" t="str">
            <v>BTLT 12 TC</v>
          </cell>
          <cell r="C1369" t="str">
            <v>Trụ bê tông ly tâm 12m trồng thủ công</v>
          </cell>
        </row>
        <row r="1370">
          <cell r="A1370" t="str">
            <v>BTLT 12</v>
          </cell>
          <cell r="C1370" t="str">
            <v>Trụ bê tông ly tâm 12m trồng thủ công+cơ giới</v>
          </cell>
        </row>
        <row r="1371">
          <cell r="A1371" t="str">
            <v>BTLT 12 TĐ</v>
          </cell>
          <cell r="C1371" t="str">
            <v>Trụ bê tông ly tâm 12m (tiếp địa có sẵn) trồng thủ công+cơ giới</v>
          </cell>
        </row>
        <row r="1372">
          <cell r="A1372" t="str">
            <v>BTLT 14</v>
          </cell>
          <cell r="C1372" t="str">
            <v>Trụ bê tông ly tâm 14m</v>
          </cell>
        </row>
        <row r="1373">
          <cell r="A1373" t="str">
            <v>BTLT 20</v>
          </cell>
          <cell r="C1373" t="str">
            <v>Trụ bê tông ly tâm 20m</v>
          </cell>
        </row>
        <row r="1374">
          <cell r="A1374" t="str">
            <v>X-24COMPOSITE</v>
          </cell>
          <cell r="C1374" t="str">
            <v>Bộ xà composite 2,4m bắt FCO</v>
          </cell>
        </row>
        <row r="1375">
          <cell r="A1375" t="str">
            <v>X-1,66Đ</v>
          </cell>
          <cell r="C1375" t="str">
            <v>Bộ xà đơn L75x75x8 dài 1,66m:  X-1,66Đ</v>
          </cell>
        </row>
        <row r="1376">
          <cell r="A1376" t="str">
            <v>X-1,66K</v>
          </cell>
          <cell r="C1376" t="str">
            <v>Bộ xà kép L75x75x8 dài 1,66m:  X-1,66K</v>
          </cell>
        </row>
        <row r="1377">
          <cell r="A1377" t="str">
            <v>X-22K-Đ</v>
          </cell>
          <cell r="C1377" t="str">
            <v>Bộ xà kép L75x75x8 dài 2.2m: X-22K-Đ - C810 (lắp trụ đơn)</v>
          </cell>
        </row>
        <row r="1378">
          <cell r="A1378" t="str">
            <v>X-20Đ</v>
          </cell>
          <cell r="C1378" t="str">
            <v>Bộ xà đơn L75x75x8 dài 2m:  X-20Đ</v>
          </cell>
        </row>
        <row r="1379">
          <cell r="A1379" t="str">
            <v>X-20K</v>
          </cell>
          <cell r="C1379" t="str">
            <v xml:space="preserve">Bộ xà kép L75x75x8 dài 2m: X-20K </v>
          </cell>
        </row>
        <row r="1380">
          <cell r="A1380" t="str">
            <v>X-22Đ</v>
          </cell>
          <cell r="C1380" t="str">
            <v>Bộ xà đơn L75x75x8 dài 2.2m: X-22Đ - C810</v>
          </cell>
        </row>
        <row r="1381">
          <cell r="A1381" t="str">
            <v>X-22Đ - C920</v>
          </cell>
          <cell r="C1381" t="str">
            <v>Bộ xà đơn L75x75x8 dài 2.2m: X-22Đ - C920</v>
          </cell>
        </row>
        <row r="1382">
          <cell r="A1382" t="str">
            <v>TL CV95</v>
          </cell>
          <cell r="C1382" t="str">
            <v>Tháo và lắp dây dẫn trong ống bảo vệ ≤ 95mm2</v>
          </cell>
        </row>
        <row r="1383">
          <cell r="A1383" t="str">
            <v>TL CV120</v>
          </cell>
          <cell r="C1383" t="str">
            <v>Tháo và lắp dây dẫn trong ống bảo vệ ≤ 120mm2</v>
          </cell>
        </row>
        <row r="1384">
          <cell r="A1384" t="str">
            <v>TL MCCB-300</v>
          </cell>
          <cell r="C1384" t="str">
            <v>Tháo và lắp MCCB Idm ≤300A</v>
          </cell>
        </row>
        <row r="1385">
          <cell r="A1385" t="str">
            <v>TL LA</v>
          </cell>
          <cell r="C1385" t="str">
            <v>Tháo và lắp LA</v>
          </cell>
        </row>
        <row r="1386">
          <cell r="A1386" t="str">
            <v>TL FCO</v>
          </cell>
          <cell r="C1386" t="str">
            <v>Tháo và lắp FCO</v>
          </cell>
        </row>
        <row r="1387">
          <cell r="A1387" t="str">
            <v>TL X-25</v>
          </cell>
          <cell r="C1387" t="str">
            <v>Tháo và lắp bộ xà M ≤ 25kg</v>
          </cell>
        </row>
        <row r="1388">
          <cell r="A1388" t="str">
            <v>TL X-100</v>
          </cell>
          <cell r="C1388" t="str">
            <v>Tháo và lắp bộ xà M ≤ 100kg</v>
          </cell>
        </row>
        <row r="1389">
          <cell r="A1389" t="str">
            <v>TL DK1</v>
          </cell>
          <cell r="C1389" t="str">
            <v>Tháo và lắp bộ công tơ 1 pha</v>
          </cell>
        </row>
        <row r="1390">
          <cell r="A1390" t="str">
            <v>TL DK3</v>
          </cell>
          <cell r="C1390" t="str">
            <v>Tháo và lắp bộ công tơ 3 pha</v>
          </cell>
        </row>
        <row r="1391">
          <cell r="A1391" t="str">
            <v>TL HopPP</v>
          </cell>
          <cell r="C1391" t="str">
            <v>Tháo và lắp hộp phân phối dây</v>
          </cell>
        </row>
        <row r="1392">
          <cell r="A1392" t="str">
            <v>TL X-21K</v>
          </cell>
          <cell r="C1392" t="str">
            <v xml:space="preserve">Tháo và lắp bộ xà kép L75x75x8 dài 2.1m: X-21K </v>
          </cell>
        </row>
        <row r="1393">
          <cell r="A1393" t="str">
            <v>X-22K-K</v>
          </cell>
          <cell r="C1393" t="str">
            <v>Bộ xà kép L75x75x8 dài 2.2m: X-22K-K - C810 (lắp theo hướng trụ ghép)</v>
          </cell>
        </row>
        <row r="1394">
          <cell r="A1394" t="str">
            <v>X-22K - C920</v>
          </cell>
          <cell r="C1394" t="str">
            <v>Bộ xà kép L75x75x8 dài 2.2m: X-22K - C920</v>
          </cell>
        </row>
        <row r="1395">
          <cell r="A1395" t="str">
            <v>X-24Đ</v>
          </cell>
          <cell r="C1395" t="str">
            <v xml:space="preserve">Bộ xà đơn L75x75x8 dài 2.4m: X-24Đ </v>
          </cell>
        </row>
        <row r="1396">
          <cell r="A1396" t="str">
            <v>X-24K</v>
          </cell>
          <cell r="C1396" t="str">
            <v xml:space="preserve">Bộ xà kép L75x75x8 dài 2.4m: X-24K </v>
          </cell>
        </row>
        <row r="1397">
          <cell r="A1397" t="str">
            <v>TL X-26K</v>
          </cell>
          <cell r="C1397" t="str">
            <v xml:space="preserve">Tháo và lắp bộ xà kép L75x75x8 dài 2.6m: X-26K_trụ PI </v>
          </cell>
        </row>
        <row r="1398">
          <cell r="A1398" t="str">
            <v>X-8ĐL</v>
          </cell>
          <cell r="C1398" t="str">
            <v>Bộ xà lệch đơn L75x75x8 dài 0,8m: X-8ĐL</v>
          </cell>
        </row>
        <row r="1399">
          <cell r="A1399" t="str">
            <v>X-8KL</v>
          </cell>
          <cell r="C1399" t="str">
            <v>Bộ xà lệch kép L75x75x8 dài 0,8m: X-8KL</v>
          </cell>
        </row>
        <row r="1400">
          <cell r="A1400" t="str">
            <v>X-21ĐL</v>
          </cell>
          <cell r="C1400" t="str">
            <v>Bộ xà lệch đơn L75x75x8 dài 2,1m: X-21ĐL</v>
          </cell>
        </row>
        <row r="1401">
          <cell r="A1401" t="str">
            <v>X-21KL</v>
          </cell>
          <cell r="C1401" t="str">
            <v>Bộ xà lệch kép L75x75x8 dài 2,1m: X-21KL</v>
          </cell>
        </row>
        <row r="1402">
          <cell r="A1402" t="str">
            <v>X-20ĐL2/3</v>
          </cell>
          <cell r="C1402" t="str">
            <v>Bộ xà lệch đơn L75x75x8 dài 2m: X-20ĐL2/3</v>
          </cell>
        </row>
        <row r="1403">
          <cell r="A1403" t="str">
            <v>X-20KL2/3</v>
          </cell>
          <cell r="C1403" t="str">
            <v>Bộ xà lệch kép L75x75x8 dài 2m: X-20KL2/3</v>
          </cell>
        </row>
        <row r="1404">
          <cell r="A1404" t="str">
            <v>X-24ĐP</v>
          </cell>
          <cell r="C1404" t="str">
            <v>Bộ xà đơn 2400 trụ Pi tim 1400: X-24ĐP</v>
          </cell>
        </row>
        <row r="1405">
          <cell r="A1405" t="str">
            <v>X-24KP</v>
          </cell>
          <cell r="C1405" t="str">
            <v>Bộ xà kép 2400 trụ Pi tim 1400: X-24KP</v>
          </cell>
        </row>
        <row r="1406">
          <cell r="A1406" t="str">
            <v>X-26ĐP</v>
          </cell>
          <cell r="C1406" t="str">
            <v>Bộ xà đơn 2600 trụ Pi tim 2400: X-26ĐP</v>
          </cell>
        </row>
        <row r="1407">
          <cell r="A1407" t="str">
            <v>X-26KP</v>
          </cell>
          <cell r="C1407" t="str">
            <v>Bộ xà kép 2600 trụ Pi tim 2400: X-26KP</v>
          </cell>
        </row>
        <row r="1408">
          <cell r="A1408" t="str">
            <v>X-28KP</v>
          </cell>
          <cell r="C1408" t="str">
            <v>Bộ xà kép 2800 trụ Pi tim 1400: X-28KP</v>
          </cell>
        </row>
        <row r="1409">
          <cell r="A1409" t="str">
            <v>X-30KP</v>
          </cell>
          <cell r="C1409" t="str">
            <v>Bộ xà kép 3000 trụ Pi tim 1400: X-30KP</v>
          </cell>
        </row>
        <row r="1410">
          <cell r="A1410" t="str">
            <v>X-38Đ</v>
          </cell>
          <cell r="C1410" t="str">
            <v>Bộ xà đỡ đơn L75x75x8 dài 3,8m: X-38Đ</v>
          </cell>
        </row>
        <row r="1411">
          <cell r="A1411" t="str">
            <v>X-42KP</v>
          </cell>
          <cell r="C1411" t="str">
            <v>Bộ xà kép 4200 trụ Pi tim 1700: X-42KP</v>
          </cell>
        </row>
        <row r="1412">
          <cell r="A1412" t="str">
            <v>X-24KP500</v>
          </cell>
          <cell r="C1412" t="str">
            <v>Bộ xà kép 2400 trụ Pi tim 500: X-24KP500</v>
          </cell>
        </row>
        <row r="1413">
          <cell r="A1413" t="str">
            <v>G-20KP</v>
          </cell>
          <cell r="C1413" t="str">
            <v>Bộ thanh giằng trụ Pi tim 1400: G-20KP</v>
          </cell>
        </row>
        <row r="1414">
          <cell r="A1414" t="str">
            <v>G-23KP</v>
          </cell>
          <cell r="C1414" t="str">
            <v>Bộ thanh giằng trụ Pi tim 1700: G-23KP</v>
          </cell>
        </row>
        <row r="1415">
          <cell r="A1415" t="str">
            <v>G-720</v>
          </cell>
          <cell r="C1415" t="str">
            <v>Bộ thanh giằng trụ Pi tim 500: G-720</v>
          </cell>
        </row>
        <row r="1416">
          <cell r="A1416" t="str">
            <v>CODE th-Þ240</v>
          </cell>
          <cell r="C1416" t="str">
            <v>Bộ CODE lắp néo trung hòa: CODE th-Þ240</v>
          </cell>
        </row>
        <row r="1417">
          <cell r="A1417" t="str">
            <v>CX-ht</v>
          </cell>
          <cell r="C1417" t="str">
            <v>Bộ chằng xuống đơn cho trụ hạ thế: CX.ht</v>
          </cell>
        </row>
        <row r="1418">
          <cell r="A1418" t="str">
            <v>T CL-ht</v>
          </cell>
          <cell r="C1418" t="str">
            <v>Tháo bộ chằng lệch đơn cho trụ hạ thế: CL.ht</v>
          </cell>
        </row>
        <row r="1419">
          <cell r="A1419" t="str">
            <v>CL-ht</v>
          </cell>
          <cell r="C1419" t="str">
            <v>Bộ chằng lệch đơn cho trụ hạ thế: CL.ht</v>
          </cell>
        </row>
        <row r="1420">
          <cell r="A1420" t="str">
            <v>CX10-B</v>
          </cell>
          <cell r="C1420" t="str">
            <v>Bộ chằng xuống đơn cho trụ 10,5m: CX10-B</v>
          </cell>
        </row>
        <row r="1421">
          <cell r="A1421" t="str">
            <v>CL10-B</v>
          </cell>
          <cell r="C1421" t="str">
            <v>Bộ chằng lệch đơn cho trụ 10,5m: CL10-B</v>
          </cell>
        </row>
        <row r="1422">
          <cell r="A1422" t="str">
            <v>CXX10-B</v>
          </cell>
          <cell r="C1422" t="str">
            <v>Bộ chằng xuống kép cho trụ 10,5m: CXX10-B</v>
          </cell>
        </row>
        <row r="1423">
          <cell r="A1423" t="str">
            <v>T CX12-B</v>
          </cell>
          <cell r="C1423" t="str">
            <v>Tháo bộ chằng xuống đơn cho trụ 12m: CX12-B</v>
          </cell>
        </row>
        <row r="1424">
          <cell r="A1424" t="str">
            <v>CX12-B</v>
          </cell>
          <cell r="C1424" t="str">
            <v>Bộ chằng xuống đơn cho trụ 12m: CX12-B</v>
          </cell>
        </row>
        <row r="1425">
          <cell r="A1425" t="str">
            <v>T CL12-B</v>
          </cell>
          <cell r="C1425" t="str">
            <v>Tháo bộ chằng lệch đơn cho trụ 12m: CL12-B</v>
          </cell>
        </row>
        <row r="1426">
          <cell r="A1426" t="str">
            <v>CL12-B</v>
          </cell>
          <cell r="C1426" t="str">
            <v>Bộ chằng lệch đơn cho trụ 12m: CL12-B</v>
          </cell>
        </row>
        <row r="1427">
          <cell r="A1427" t="str">
            <v>CXX12-B</v>
          </cell>
          <cell r="C1427" t="str">
            <v>Bộ chằng xuống kép cho trụ 12m: CXX12-B</v>
          </cell>
        </row>
        <row r="1428">
          <cell r="A1428" t="str">
            <v>CX14-B</v>
          </cell>
          <cell r="C1428" t="str">
            <v>Bộ chằng xuống đơn cho trụ 14m: CX14-B</v>
          </cell>
        </row>
        <row r="1429">
          <cell r="A1429" t="str">
            <v>CL14-B</v>
          </cell>
          <cell r="C1429" t="str">
            <v>Bộ chằng lệch đơn cho trụ 14m: CL14-B</v>
          </cell>
        </row>
        <row r="1430">
          <cell r="A1430" t="str">
            <v>CXX14-B</v>
          </cell>
          <cell r="C1430" t="str">
            <v>Bộ chằng xuống kép cho trụ 14m: CXX14-B</v>
          </cell>
        </row>
        <row r="1431">
          <cell r="A1431" t="str">
            <v>CK-B</v>
          </cell>
          <cell r="C1431" t="str">
            <v>Bộ chằng vượt đơn: CK-B</v>
          </cell>
        </row>
        <row r="1432">
          <cell r="A1432" t="str">
            <v>CKK-B</v>
          </cell>
          <cell r="C1432" t="str">
            <v>Bộ chằng vượt kép: CKK-B</v>
          </cell>
        </row>
        <row r="1433">
          <cell r="A1433" t="str">
            <v>CX10-C</v>
          </cell>
          <cell r="C1433" t="str">
            <v>Bộ chằng xuống đơn cho trụ 10,5m: CX10-C</v>
          </cell>
        </row>
        <row r="1434">
          <cell r="A1434" t="str">
            <v>CL10-C</v>
          </cell>
          <cell r="C1434" t="str">
            <v>Bộ chằng lệch đơn cho trụ 10,5m: CL10-C</v>
          </cell>
        </row>
        <row r="1435">
          <cell r="A1435" t="str">
            <v>CXX10-C</v>
          </cell>
          <cell r="C1435" t="str">
            <v>Bộ chằng xuống kép cho trụ 10,5m: CXX10-C</v>
          </cell>
        </row>
        <row r="1436">
          <cell r="A1436" t="str">
            <v>CX12-C</v>
          </cell>
          <cell r="C1436" t="str">
            <v>Bộ chằng xuống đơn cho trụ 12m: CX12-C</v>
          </cell>
        </row>
        <row r="1437">
          <cell r="A1437" t="str">
            <v>CL12-C</v>
          </cell>
          <cell r="C1437" t="str">
            <v>Bộ chằng lệch đơn cho trụ 12m: CL12-C</v>
          </cell>
        </row>
        <row r="1438">
          <cell r="A1438" t="str">
            <v>CXX12-C</v>
          </cell>
          <cell r="C1438" t="str">
            <v>Bộ chằng xuống kép cho trụ 12m: CXX12-C</v>
          </cell>
        </row>
        <row r="1439">
          <cell r="A1439" t="str">
            <v>CX14-C</v>
          </cell>
          <cell r="C1439" t="str">
            <v>Bộ chằng xuống đơn cho trụ 14m: CX14-C</v>
          </cell>
        </row>
        <row r="1440">
          <cell r="A1440" t="str">
            <v>CL14-C</v>
          </cell>
          <cell r="C1440" t="str">
            <v>Bộ chằng lệch đơn cho trụ 14m: CL14-C</v>
          </cell>
        </row>
        <row r="1441">
          <cell r="A1441" t="str">
            <v>CXX14-C</v>
          </cell>
          <cell r="C1441" t="str">
            <v>Bộ chằng xuống kép cho trụ 14m: CXX14-C</v>
          </cell>
        </row>
        <row r="1442">
          <cell r="A1442" t="str">
            <v>CX20-C</v>
          </cell>
          <cell r="C1442" t="str">
            <v>Bộ chằng xuống đơn cho trụ 20m: CX20-C</v>
          </cell>
        </row>
        <row r="1443">
          <cell r="A1443" t="str">
            <v>CK-C</v>
          </cell>
          <cell r="C1443" t="str">
            <v>Bộ chằng vượt đơn: CK-C</v>
          </cell>
        </row>
        <row r="1444">
          <cell r="A1444" t="str">
            <v>CKK-C</v>
          </cell>
          <cell r="C1444" t="str">
            <v>Bộ chằng vượt kép: CKK-C</v>
          </cell>
        </row>
        <row r="1445">
          <cell r="A1445" t="str">
            <v>NXX</v>
          </cell>
          <cell r="C1445" t="str">
            <v>Bộ móng neo xòe cho chằng xuống: NXX</v>
          </cell>
        </row>
        <row r="1446">
          <cell r="A1446" t="str">
            <v>NXL</v>
          </cell>
          <cell r="C1446" t="str">
            <v>Bộ móng neo xòe cho chằng lệch: NXL</v>
          </cell>
        </row>
        <row r="1447">
          <cell r="A1447" t="str">
            <v xml:space="preserve">MNX12-2 </v>
          </cell>
          <cell r="C1447" t="str">
            <v>Bộ móng neo 1200x200 cho chằng xuống: MNX12-2</v>
          </cell>
        </row>
        <row r="1448">
          <cell r="A1448" t="str">
            <v>MNL12-2</v>
          </cell>
          <cell r="C1448" t="str">
            <v>Bộ móng neo 1200x200 cho chằng lệch: MNL12-2</v>
          </cell>
        </row>
        <row r="1449">
          <cell r="A1449" t="str">
            <v xml:space="preserve">MNX12-4 </v>
          </cell>
          <cell r="C1449" t="str">
            <v>Bộ móng neo 1200x400 cho chằng xuống: MNX12-4</v>
          </cell>
        </row>
        <row r="1450">
          <cell r="A1450" t="str">
            <v xml:space="preserve">MNL12-4 </v>
          </cell>
          <cell r="C1450" t="str">
            <v>Bộ móng neo 1200x400 cho chằng lệch: MNL12-4</v>
          </cell>
        </row>
        <row r="1451">
          <cell r="A1451" t="str">
            <v xml:space="preserve">MNX15-4 </v>
          </cell>
          <cell r="C1451" t="str">
            <v>Bộ móng neo 1500x400 cho chằng xuống: MNX15-4</v>
          </cell>
        </row>
        <row r="1452">
          <cell r="A1452" t="str">
            <v>MNL15-4</v>
          </cell>
          <cell r="C1452" t="str">
            <v>Bộ móng neo 1500x400 cho chằng lệch: MNL15-4</v>
          </cell>
        </row>
        <row r="1453">
          <cell r="A1453" t="str">
            <v xml:space="preserve">MNX15-6 </v>
          </cell>
          <cell r="C1453" t="str">
            <v>Bộ móng neo 1500x600 cho chằng xuống: MNX15-6</v>
          </cell>
        </row>
        <row r="1454">
          <cell r="A1454" t="str">
            <v xml:space="preserve">MNL15-6 </v>
          </cell>
          <cell r="C1454" t="str">
            <v>Bộ móng neo 1500x600 cho chằng lệch: MNL15-6</v>
          </cell>
        </row>
        <row r="1455">
          <cell r="A1455" t="str">
            <v>DDTT3P-ct</v>
          </cell>
          <cell r="C1455" t="str">
            <v>Phần trung thế cải tạo</v>
          </cell>
        </row>
        <row r="1456">
          <cell r="A1456" t="str">
            <v>DDTT3P2m-m</v>
          </cell>
          <cell r="C1456" t="str">
            <v>Phân trung thế 3 pha XD mới 2 mạch</v>
          </cell>
        </row>
        <row r="1457">
          <cell r="A1457" t="str">
            <v>DDTT3P1m-m</v>
          </cell>
          <cell r="C1457" t="str">
            <v>Phần trung thế 3 pha xây dựng mới</v>
          </cell>
        </row>
        <row r="1458">
          <cell r="A1458" t="str">
            <v>DDTT1P-m</v>
          </cell>
          <cell r="C1458" t="str">
            <v>Phân trung thế 1 pha XD mới</v>
          </cell>
        </row>
        <row r="1459">
          <cell r="A1459" t="str">
            <v>DDHTDL</v>
          </cell>
          <cell r="C1459" t="str">
            <v>Phần hạ thế độc lập xây dựng mới</v>
          </cell>
        </row>
        <row r="1460">
          <cell r="A1460" t="str">
            <v>DDHTHH</v>
          </cell>
          <cell r="C1460" t="str">
            <v>Phần hạ thế cải tạo</v>
          </cell>
        </row>
        <row r="1461">
          <cell r="A1461" t="str">
            <v>HTCS</v>
          </cell>
          <cell r="C1461" t="str">
            <v>Phần hạ thế chiếu sáng</v>
          </cell>
        </row>
        <row r="1462">
          <cell r="A1462" t="str">
            <v>Hotline</v>
          </cell>
          <cell r="C1462" t="str">
            <v>Phần đấu nối HOTLINE</v>
          </cell>
        </row>
        <row r="1463">
          <cell r="A1463" t="str">
            <v>TBDD3pct</v>
          </cell>
          <cell r="C1463" t="str">
            <v>Phần thiết bị đường dây 3 pha cải tạo</v>
          </cell>
        </row>
        <row r="1464">
          <cell r="A1464" t="str">
            <v>TBDD3p2m</v>
          </cell>
          <cell r="C1464" t="str">
            <v>Phần thiết bị đường dây 3 pha XDM 2 mạch</v>
          </cell>
        </row>
        <row r="1465">
          <cell r="A1465" t="str">
            <v>TBDD3p1m</v>
          </cell>
          <cell r="C1465" t="str">
            <v>Phần thiết bị đường dây 3 pha 1 mạch</v>
          </cell>
        </row>
        <row r="1466">
          <cell r="A1466" t="str">
            <v>TĐĐ</v>
          </cell>
          <cell r="C1466" t="str">
            <v>Phần vật liệu trụ đo đếm</v>
          </cell>
        </row>
        <row r="1467">
          <cell r="A1467" t="str">
            <v>TBDD1p</v>
          </cell>
          <cell r="C1467" t="str">
            <v>Phần thiết bị đường dây trung thế 1 pha XDM</v>
          </cell>
        </row>
        <row r="1468">
          <cell r="A1468" t="str">
            <v>TBHT</v>
          </cell>
          <cell r="C1468" t="str">
            <v xml:space="preserve">Phần thiết bị đường dây hạ thế </v>
          </cell>
        </row>
        <row r="1469">
          <cell r="A1469" t="str">
            <v>BBVS</v>
          </cell>
          <cell r="C1469" t="str">
            <v>Phần biển báo vượt sông</v>
          </cell>
        </row>
        <row r="1470">
          <cell r="A1470" t="str">
            <v>CBH9</v>
          </cell>
          <cell r="C1470" t="str">
            <v>Cột báo hiệu cao 9m</v>
          </cell>
        </row>
        <row r="1471">
          <cell r="A1471" t="str">
            <v>BBH1212</v>
          </cell>
          <cell r="C1471" t="str">
            <v>Biển báo hiệu 1.2mx1.2m</v>
          </cell>
        </row>
        <row r="1472">
          <cell r="A1472" t="str">
            <v>MCBH1212</v>
          </cell>
          <cell r="C1472" t="str">
            <v>Móng cột báo hiệu 1.2mx1.2m</v>
          </cell>
        </row>
        <row r="1473">
          <cell r="A1473" t="str">
            <v>Đth-U</v>
          </cell>
          <cell r="C1473" t="str">
            <v>Bộ Uclevis đỡ dây trung hòa: Đth-U</v>
          </cell>
        </row>
        <row r="1474">
          <cell r="A1474" t="str">
            <v>Nth-U</v>
          </cell>
          <cell r="C1474" t="str">
            <v>Bộ Uclevis néo dây trung hòa vào trụ: Nth-U</v>
          </cell>
        </row>
        <row r="1475">
          <cell r="A1475" t="str">
            <v>Nth-T</v>
          </cell>
          <cell r="C1475" t="str">
            <v>Bộ khóa néo dây trung hòa vào trụ đơn</v>
          </cell>
        </row>
        <row r="1476">
          <cell r="A1476" t="str">
            <v>Nth-X</v>
          </cell>
          <cell r="C1476" t="str">
            <v>Bộ khóa néo dây trung hòa vào xà</v>
          </cell>
        </row>
        <row r="1477">
          <cell r="A1477" t="str">
            <v>SĐU</v>
          </cell>
          <cell r="C1477" t="str">
            <v>Bộ cách điện đứng+ty sứ : SĐU</v>
          </cell>
        </row>
        <row r="1478">
          <cell r="A1478" t="str">
            <v>SĐI</v>
          </cell>
          <cell r="C1478" t="str">
            <v>Bộ cách điện đỉnh+ty sứ đơn : SĐI</v>
          </cell>
        </row>
        <row r="1479">
          <cell r="A1479" t="str">
            <v>SĐG</v>
          </cell>
          <cell r="C1479" t="str">
            <v>Bộ cách điện đỉnh góc + ty sứ đơn : SĐG</v>
          </cell>
        </row>
        <row r="1480">
          <cell r="A1480" t="str">
            <v>CĐT 2BAT-T</v>
          </cell>
          <cell r="C1480" t="str">
            <v>Chuỗi sứ treo 2bát 25kV lắp vào trụ : CĐT 2BAT-T</v>
          </cell>
        </row>
        <row r="1481">
          <cell r="A1481" t="str">
            <v>CĐT 2BAT-X</v>
          </cell>
          <cell r="C1481" t="str">
            <v>Chuỗi sứ treo 2bát 24kV lắp vào xà : CĐT 2BAT-X</v>
          </cell>
        </row>
        <row r="1482">
          <cell r="A1482" t="str">
            <v>CĐT ply-X</v>
          </cell>
          <cell r="C1482" t="str">
            <v>Chuỗi sứ treo Polymer 25kV lắp vào xà</v>
          </cell>
        </row>
        <row r="1483">
          <cell r="A1483" t="str">
            <v>CĐT ply-XK</v>
          </cell>
          <cell r="C1483" t="str">
            <v>Chuỗi sứ treo Polymer kép 25kV lắp vào xà</v>
          </cell>
        </row>
        <row r="1484">
          <cell r="A1484" t="str">
            <v>CĐT pty-X</v>
          </cell>
          <cell r="C1484" t="str">
            <v>Chuỗi sứ treo Polymer 25kV lắp vào xà</v>
          </cell>
        </row>
        <row r="1485">
          <cell r="A1485" t="str">
            <v>Đth-U-g</v>
          </cell>
          <cell r="C1485" t="str">
            <v>Bộ Uclevis đỡ dây trung hòa trụ ghép: Đth-U-g (trụ ghép)</v>
          </cell>
        </row>
        <row r="1486">
          <cell r="A1486" t="str">
            <v>Đth-X</v>
          </cell>
          <cell r="C1486" t="str">
            <v>Bộ Uclevis đỡ dây trung hòa vào xà: Đth-X</v>
          </cell>
        </row>
        <row r="1487">
          <cell r="A1487" t="str">
            <v>Nth-T-g</v>
          </cell>
          <cell r="C1487" t="str">
            <v>Bộ khóa néo dây trung hòa vào trụ ghép</v>
          </cell>
        </row>
        <row r="1488">
          <cell r="A1488" t="str">
            <v>CĐTply-X</v>
          </cell>
          <cell r="C1488" t="str">
            <v>Chuỗi sứ treo Polymer 25kV lắp vào xà</v>
          </cell>
        </row>
        <row r="1489">
          <cell r="A1489" t="str">
            <v>CĐTply-T</v>
          </cell>
          <cell r="C1489" t="str">
            <v>Chuỗi sứ treo Polymer 25kV lắp vào trụ</v>
          </cell>
        </row>
        <row r="1490">
          <cell r="A1490" t="str">
            <v>ttf-50</v>
          </cell>
          <cell r="C1490" t="str">
            <v>Dây buộc đầu sứ cỡ dây 50mm2</v>
          </cell>
        </row>
        <row r="1491">
          <cell r="A1491" t="str">
            <v>ssf-70</v>
          </cell>
          <cell r="C1491" t="str">
            <v>Dây buộc cổ sứ cỡ dây 70mm2</v>
          </cell>
        </row>
        <row r="1492">
          <cell r="A1492" t="str">
            <v>GO-CH</v>
          </cell>
          <cell r="C1492" t="str">
            <v>Gỗ chống</v>
          </cell>
        </row>
        <row r="1493">
          <cell r="A1493" t="str">
            <v>GO-DN</v>
          </cell>
          <cell r="C1493" t="str">
            <v>Gỗ đà nẹp</v>
          </cell>
        </row>
        <row r="1494">
          <cell r="A1494" t="str">
            <v>GO-V</v>
          </cell>
          <cell r="C1494" t="str">
            <v>Gỗ ván (cả nẹp)</v>
          </cell>
        </row>
        <row r="1495">
          <cell r="A1495" t="str">
            <v>MDD3R1</v>
          </cell>
          <cell r="C1495" t="str">
            <v>Đo đất mĩng cột, trụ, hố kiểm tra rộng &gt;1m, su &gt;1m, đất cấp 3 bằng thủ cơng</v>
          </cell>
        </row>
        <row r="1496">
          <cell r="A1496" t="str">
            <v>B16750V</v>
          </cell>
          <cell r="C1496" t="str">
            <v>Boulon 16x750VRS+ 4 long đền vuông D18-50x50x3/Zn</v>
          </cell>
        </row>
        <row r="1497">
          <cell r="A1497" t="str">
            <v>B16800V</v>
          </cell>
          <cell r="C1497" t="str">
            <v>Boulon 16x800VRS+ 4 long đền vuông D18-50x50x3/Zn</v>
          </cell>
        </row>
        <row r="1498">
          <cell r="A1498" t="str">
            <v>LVANK</v>
          </cell>
          <cell r="C1498" t="str">
            <v>Ván khuôn gỗ móng - móng vuông, chữ nhật</v>
          </cell>
        </row>
        <row r="1499">
          <cell r="A1499" t="str">
            <v>T12540</v>
          </cell>
          <cell r="C1499" t="str">
            <v>Trụ BTLT 12m F540 dự ứng lực</v>
          </cell>
        </row>
        <row r="1500">
          <cell r="A1500" t="str">
            <v>d22</v>
          </cell>
          <cell r="C1500" t="str">
            <v>Đà Sắt góc L75 x75 x8 dài 2,2m (4 ốp)</v>
          </cell>
        </row>
        <row r="1501">
          <cell r="A1501" t="str">
            <v>t81</v>
          </cell>
          <cell r="C1501" t="str">
            <v>Thanh chống đà sắt góc L50x50x5 dài 0,81m</v>
          </cell>
        </row>
        <row r="1502">
          <cell r="A1502" t="str">
            <v>d200</v>
          </cell>
          <cell r="C1502" t="str">
            <v>Đà Sắt góc L75 x75 x8 dài 2m (3 ốp)</v>
          </cell>
        </row>
        <row r="1503">
          <cell r="A1503" t="str">
            <v>t115</v>
          </cell>
          <cell r="C1503" t="str">
            <v>Thanh chống đà sắt góc L50x50x5 dài 1,15m</v>
          </cell>
        </row>
        <row r="1504">
          <cell r="A1504" t="str">
            <v>XT2</v>
          </cell>
          <cell r="C1504" t="str">
            <v>Xà đỡ thẳng lệch 3 pha 2m - 1 mạch</v>
          </cell>
        </row>
        <row r="1505">
          <cell r="A1505" t="str">
            <v>XTK2</v>
          </cell>
          <cell r="C1505" t="str">
            <v>Xà đỡ lệch góc 3 pha 2m - 1 mạch</v>
          </cell>
        </row>
        <row r="1506">
          <cell r="A1506" t="str">
            <v>MANG4</v>
          </cell>
          <cell r="C1506" t="str">
            <v>Máng che dây chằng dày 0,4x2000</v>
          </cell>
        </row>
        <row r="1507">
          <cell r="A1507" t="str">
            <v>ACX50</v>
          </cell>
          <cell r="C1507" t="str">
            <v>Cáp nhôm lõi thép bọc 24KV AC/XLPE50 mm2</v>
          </cell>
        </row>
        <row r="1508">
          <cell r="A1508" t="str">
            <v>GNIU 185</v>
          </cell>
          <cell r="C1508" t="str">
            <v>Giáp níu dừng dây bọc 185 + yếm móng U + Mắt nối yếm</v>
          </cell>
        </row>
        <row r="1509">
          <cell r="A1509" t="str">
            <v>GNIU50</v>
          </cell>
          <cell r="C1509" t="str">
            <v>Giáp níu dừng dây bọc 50mm2 + yếm móng U + Mắt nối yếm</v>
          </cell>
        </row>
        <row r="1510">
          <cell r="A1510" t="str">
            <v>ke279</v>
          </cell>
          <cell r="C1510" t="str">
            <v>Kẹp ép WR 279</v>
          </cell>
        </row>
        <row r="1511">
          <cell r="A1511" t="str">
            <v>ke419</v>
          </cell>
          <cell r="C1511" t="str">
            <v>Kẹp ép WR 419</v>
          </cell>
        </row>
        <row r="1512">
          <cell r="A1512" t="str">
            <v>ke929</v>
          </cell>
          <cell r="C1512" t="str">
            <v>Kẹp ép WR 929</v>
          </cell>
        </row>
        <row r="1513">
          <cell r="A1513" t="str">
            <v>OCN</v>
          </cell>
          <cell r="C1513" t="str">
            <v>Ong co nhiệt</v>
          </cell>
        </row>
        <row r="1514">
          <cell r="A1514" t="str">
            <v>chupU</v>
          </cell>
          <cell r="C1514" t="str">
            <v>Chụp kẹp Uquai</v>
          </cell>
        </row>
        <row r="1515">
          <cell r="A1515" t="str">
            <v>KDIN</v>
          </cell>
          <cell r="C1515" t="str">
            <v>Dây đai + khóa đai Inoc</v>
          </cell>
        </row>
        <row r="1516">
          <cell r="A1516" t="str">
            <v>ttf-70</v>
          </cell>
          <cell r="C1516" t="str">
            <v>Dây buộc đầu sứ cỡ dây 70mm2</v>
          </cell>
        </row>
        <row r="1517">
          <cell r="A1517" t="str">
            <v>ssf-95</v>
          </cell>
          <cell r="C1517" t="str">
            <v>Dây buộc cổ sứ cỡ dây 95mm2</v>
          </cell>
        </row>
        <row r="1518">
          <cell r="A1518" t="str">
            <v>LSDD</v>
          </cell>
          <cell r="C1518" t="str">
            <v>Lắp sứ đứng 24KV + ty</v>
          </cell>
        </row>
        <row r="1519">
          <cell r="A1519" t="str">
            <v>BTLT 12 F540</v>
          </cell>
          <cell r="C1519" t="str">
            <v>Trụ bê tông ly tâm 12m</v>
          </cell>
        </row>
        <row r="1520">
          <cell r="A1520" t="str">
            <v>TC920</v>
          </cell>
          <cell r="C1520" t="str">
            <v>Thanh chống đà 920</v>
          </cell>
        </row>
        <row r="1521">
          <cell r="A1521" t="str">
            <v>TC810</v>
          </cell>
          <cell r="C1521" t="str">
            <v>Thanh chống đà  810</v>
          </cell>
        </row>
        <row r="1522">
          <cell r="A1522" t="str">
            <v>TC1150</v>
          </cell>
          <cell r="C1522" t="str">
            <v>Thanh chống đà  1150</v>
          </cell>
        </row>
        <row r="1523">
          <cell r="A1523" t="str">
            <v>Xa1660</v>
          </cell>
          <cell r="C1523" t="str">
            <v>Đà 1,66m X-16Đ</v>
          </cell>
        </row>
        <row r="1524">
          <cell r="A1524" t="str">
            <v>xa2000</v>
          </cell>
          <cell r="C1524" t="str">
            <v>Đà 2m X-20Đ</v>
          </cell>
        </row>
        <row r="1525">
          <cell r="A1525" t="str">
            <v>xa2200</v>
          </cell>
          <cell r="C1525" t="str">
            <v>Đà 2,2m X-2,2Đ</v>
          </cell>
        </row>
        <row r="1526">
          <cell r="A1526" t="str">
            <v>com800</v>
          </cell>
          <cell r="C1526" t="str">
            <v>Đà composite 0,8m</v>
          </cell>
        </row>
        <row r="1527">
          <cell r="A1527" t="str">
            <v>len</v>
          </cell>
          <cell r="C1527" t="str">
            <v>Lem yên ngựa</v>
          </cell>
        </row>
        <row r="1528">
          <cell r="A1528" t="str">
            <v>Kep3U</v>
          </cell>
          <cell r="C1528" t="str">
            <v>Kẹo dừng 3 U</v>
          </cell>
        </row>
        <row r="1529">
          <cell r="A1529" t="str">
            <v>Kep5U</v>
          </cell>
          <cell r="C1529" t="str">
            <v>Kẹo dừng 5 U</v>
          </cell>
        </row>
        <row r="1530">
          <cell r="A1530" t="str">
            <v>tsd20</v>
          </cell>
          <cell r="C1530" t="str">
            <v>Ty sứ đứng D20</v>
          </cell>
        </row>
        <row r="1531">
          <cell r="A1531" t="str">
            <v>STTT-2BAT</v>
          </cell>
          <cell r="C1531" t="str">
            <v>Chuỗi sứ treo thủy tinh 2 bát</v>
          </cell>
        </row>
        <row r="1532">
          <cell r="A1532" t="str">
            <v>cl1200</v>
          </cell>
          <cell r="C1532" t="str">
            <v>Bộ chống lệch 1,2m</v>
          </cell>
        </row>
        <row r="1533">
          <cell r="A1533" t="str">
            <v>BMOC16200</v>
          </cell>
          <cell r="C1533" t="str">
            <v>Boulon móc 16x200</v>
          </cell>
        </row>
        <row r="1534">
          <cell r="A1534" t="str">
            <v>X-com800</v>
          </cell>
          <cell r="C1534" t="str">
            <v>Bộ đà composite 0,8m</v>
          </cell>
        </row>
        <row r="1535">
          <cell r="A1535" t="str">
            <v>GIP</v>
          </cell>
          <cell r="C1535" t="str">
            <v>Ghíp nối IPC</v>
          </cell>
        </row>
        <row r="1536">
          <cell r="A1536" t="str">
            <v>khanhkep</v>
          </cell>
          <cell r="C1536" t="str">
            <v>Khánh lắp chuỗi sứ polymer kép</v>
          </cell>
        </row>
        <row r="1537">
          <cell r="A1537" t="str">
            <v>X-22K-Đ-C920</v>
          </cell>
          <cell r="C1537" t="str">
            <v>Bộ xà kép L75x75x8 dài 2.2m: X-22K-Đ-C920 lắp trụ đơn</v>
          </cell>
        </row>
        <row r="1538">
          <cell r="A1538" t="str">
            <v>X-22K-K-C920</v>
          </cell>
          <cell r="C1538" t="str">
            <v>Bộ xà kép L75x75x8 dài 2.2m: X-22K-Đ-C920 lắp trụ ghép</v>
          </cell>
        </row>
        <row r="1539">
          <cell r="A1539" t="str">
            <v>OXC</v>
          </cell>
          <cell r="C1539" t="str">
            <v>Ốc xiết cáp</v>
          </cell>
        </row>
        <row r="1540">
          <cell r="A1540" t="str">
            <v>Comp24</v>
          </cell>
          <cell r="C1540" t="str">
            <v>Xà compoxit 110x80x5-2400mm (bắt FCO, LA)</v>
          </cell>
        </row>
        <row r="1541">
          <cell r="A1541" t="str">
            <v>TCX</v>
          </cell>
          <cell r="C1541" t="str">
            <v>Thanh chống đà Compoxit dẹp 10x40x920 cho đà 2,4m</v>
          </cell>
        </row>
        <row r="1542">
          <cell r="A1542" t="str">
            <v>d21</v>
          </cell>
          <cell r="C1542" t="str">
            <v>Đà Sắt góc L75 x75 x8 dài 2,1m (3 ốp)</v>
          </cell>
        </row>
        <row r="1543">
          <cell r="A1543" t="str">
            <v>t199</v>
          </cell>
          <cell r="C1543" t="str">
            <v>Thanh chống đà sắt góc L50x50x5 dài 1,99m</v>
          </cell>
        </row>
        <row r="1544">
          <cell r="A1544" t="str">
            <v>ttf-95</v>
          </cell>
          <cell r="C1544" t="str">
            <v>Dây buộc đầu sứ cỡ dây 95mm2</v>
          </cell>
        </row>
        <row r="1545">
          <cell r="A1545" t="str">
            <v>HOPPP</v>
          </cell>
          <cell r="C1545" t="str">
            <v>Hộp phân phối (loại 9 cực đấu trực tiếp)</v>
          </cell>
        </row>
        <row r="1546">
          <cell r="A1546" t="str">
            <v>Chupm</v>
          </cell>
          <cell r="C1546" t="str">
            <v>Chụp đầu cực MBA</v>
          </cell>
        </row>
        <row r="1547">
          <cell r="A1547" t="str">
            <v>Chupl</v>
          </cell>
          <cell r="C1547" t="str">
            <v>Chụp đầu cực LA</v>
          </cell>
        </row>
        <row r="1548">
          <cell r="A1548" t="str">
            <v>CUT114135</v>
          </cell>
          <cell r="C1548" t="str">
            <v>Co 135 độ PVC 114 (45 độ)</v>
          </cell>
        </row>
        <row r="1558">
          <cell r="A1558" t="str">
            <v>LD15</v>
          </cell>
          <cell r="B1558" t="str">
            <v>04.4001</v>
          </cell>
          <cell r="C1558" t="str">
            <v>Lắp đà cản BTCT 1,5m</v>
          </cell>
        </row>
        <row r="1559">
          <cell r="A1559" t="str">
            <v>B850</v>
          </cell>
          <cell r="C1559" t="str">
            <v>Boulon 8x50+ 2 long đền vuông</v>
          </cell>
        </row>
        <row r="1560">
          <cell r="A1560" t="str">
            <v>B10150</v>
          </cell>
          <cell r="C1560" t="str">
            <v>Boulon 10x150+ 2 long đền vuông D14-50x50x3/Zn</v>
          </cell>
        </row>
        <row r="1561">
          <cell r="A1561" t="str">
            <v>B1260TH</v>
          </cell>
          <cell r="C1561" t="str">
            <v>Boulon thau 12x60 + 2 long đền vuông D14-50x50x3/Zn</v>
          </cell>
        </row>
        <row r="1562">
          <cell r="A1562" t="str">
            <v>B1450</v>
          </cell>
          <cell r="C1562" t="str">
            <v>Boulon 14x50+ 2 long đền vuông D16-50x50x3/Zn</v>
          </cell>
        </row>
        <row r="1563">
          <cell r="A1563" t="str">
            <v>B14350</v>
          </cell>
          <cell r="C1563" t="str">
            <v>Boulon 14x350+ 2 long đền vuông D16-50x50x3/Zn</v>
          </cell>
        </row>
        <row r="1564">
          <cell r="A1564" t="str">
            <v>B16750</v>
          </cell>
          <cell r="C1564" t="str">
            <v>Boulon 16x750+ 2 long đền vuông D18-50x50x3/Zn</v>
          </cell>
        </row>
        <row r="1565">
          <cell r="A1565" t="str">
            <v>B16150V</v>
          </cell>
          <cell r="C1565" t="str">
            <v>Boulon 16x150VRS+ 4 long đền vuông D18-50x50x3/Zn</v>
          </cell>
        </row>
        <row r="1566">
          <cell r="A1566" t="str">
            <v>B22550V</v>
          </cell>
          <cell r="C1566" t="str">
            <v>Boulon 16x750VRS+ 4 long đền vuông D18-50x50x3/Zn</v>
          </cell>
        </row>
        <row r="1567">
          <cell r="A1567" t="str">
            <v>B22250</v>
          </cell>
          <cell r="C1567" t="str">
            <v>Boulon 22x250+ 2 long đền vuông D24-60x60x3/Zn</v>
          </cell>
        </row>
        <row r="1568">
          <cell r="A1568" t="str">
            <v>B22300</v>
          </cell>
          <cell r="C1568" t="str">
            <v>Boulon 22x250+ 2 long đền vuông D24-60x60x3/Zn</v>
          </cell>
        </row>
        <row r="1569">
          <cell r="A1569" t="str">
            <v>B22350</v>
          </cell>
          <cell r="C1569" t="str">
            <v>Boulon 22x250+ 2 long đền vuông D24-60x60x3/Zn</v>
          </cell>
        </row>
        <row r="1570">
          <cell r="A1570" t="str">
            <v>B22400</v>
          </cell>
          <cell r="C1570" t="str">
            <v>Boulon 22x250+ 2 long đền vuông D24-60x60x3/Zn</v>
          </cell>
        </row>
        <row r="1571">
          <cell r="A1571" t="str">
            <v>BM16550</v>
          </cell>
          <cell r="C1571" t="str">
            <v>Boulon mắt 16x550+ 1 long đền vuông D18-50x50x3/Zn</v>
          </cell>
        </row>
        <row r="1572">
          <cell r="A1572" t="str">
            <v>BMOC16500</v>
          </cell>
          <cell r="C1572" t="str">
            <v>Boulon móc 16x500+ 1 long đền vuông D18-50x50x3/Zn</v>
          </cell>
        </row>
        <row r="1573">
          <cell r="A1573" t="str">
            <v>MỐC CN</v>
          </cell>
          <cell r="C1573" t="str">
            <v>Cột mốc bê tông làm dấu cáp ngầm</v>
          </cell>
        </row>
        <row r="1574">
          <cell r="A1574" t="str">
            <v>XLPE25C</v>
          </cell>
          <cell r="C1574" t="str">
            <v>Cáp 24KV C/XLPE- 25mm2</v>
          </cell>
        </row>
        <row r="1575">
          <cell r="A1575" t="str">
            <v>XLPE50C</v>
          </cell>
          <cell r="C1575" t="str">
            <v>Cáp 24KV C/XLPE- 50mm2</v>
          </cell>
        </row>
        <row r="1576">
          <cell r="A1576" t="str">
            <v>XLPE70C</v>
          </cell>
          <cell r="C1576" t="str">
            <v>Cáp 24KV C/XLPE-70mm2</v>
          </cell>
        </row>
        <row r="1577">
          <cell r="A1577" t="str">
            <v>XLPE95ACX</v>
          </cell>
          <cell r="C1577" t="str">
            <v>Cáp 24KV C/XLPE/PVC 95mm2</v>
          </cell>
        </row>
        <row r="1578">
          <cell r="A1578" t="str">
            <v>XLPE50ACX</v>
          </cell>
          <cell r="C1578" t="str">
            <v>Cáp 24KV AC/XLPE 50mm2</v>
          </cell>
        </row>
        <row r="1579">
          <cell r="A1579" t="str">
            <v>XLPE70ACX</v>
          </cell>
          <cell r="C1579" t="str">
            <v>Cáp 24KV AC/XLPE 70mm2</v>
          </cell>
        </row>
        <row r="1580">
          <cell r="A1580" t="str">
            <v>ACXH95</v>
          </cell>
          <cell r="C1580" t="str">
            <v>Cáp 24KV ACXH 95mm2</v>
          </cell>
        </row>
        <row r="1581">
          <cell r="A1581" t="str">
            <v>ACXH70</v>
          </cell>
          <cell r="C1581" t="str">
            <v>Cáp 24KV ACXH 70mm2</v>
          </cell>
        </row>
        <row r="1582">
          <cell r="A1582" t="str">
            <v xml:space="preserve">ACXH120
</v>
          </cell>
          <cell r="C1582" t="str">
            <v>Cáp 24KV ACXH 120mm2</v>
          </cell>
        </row>
        <row r="1583">
          <cell r="A1583" t="str">
            <v>XLPE150ACX</v>
          </cell>
          <cell r="C1583" t="str">
            <v>Cáp 24KV AC/XLPE 150mm2</v>
          </cell>
        </row>
        <row r="1584">
          <cell r="A1584" t="str">
            <v>XLPE185ACX</v>
          </cell>
          <cell r="C1584" t="str">
            <v>Cáp 24KV AC/XLPE 185mm2</v>
          </cell>
        </row>
        <row r="1585">
          <cell r="A1585" t="str">
            <v>XLPE240ACX</v>
          </cell>
          <cell r="C1585" t="str">
            <v>Cáp 24KV AC/XLPE 240mm2</v>
          </cell>
        </row>
        <row r="1586">
          <cell r="A1586" t="str">
            <v>XLPE50AC</v>
          </cell>
          <cell r="C1586" t="str">
            <v>Cáp 24KV AC/XLPE/PVC 50mm2</v>
          </cell>
        </row>
        <row r="1587">
          <cell r="A1587" t="str">
            <v>XLPE70AC</v>
          </cell>
          <cell r="C1587" t="str">
            <v>Cáp 24KV AC/XLPE/PVC 70mm2</v>
          </cell>
        </row>
        <row r="1588">
          <cell r="A1588" t="str">
            <v>XLPE95AC</v>
          </cell>
          <cell r="C1588" t="str">
            <v>Cáp 24KV AC/XLPE/PVC 95mm2</v>
          </cell>
        </row>
        <row r="1589">
          <cell r="A1589" t="str">
            <v>XLPE120AC</v>
          </cell>
          <cell r="C1589" t="str">
            <v>Cáp 24KV AC/XLPE/PVC 120mm2</v>
          </cell>
        </row>
        <row r="1590">
          <cell r="A1590" t="str">
            <v>XLPE150AC</v>
          </cell>
          <cell r="C1590" t="str">
            <v>Cáp 24KV AC/XLPE/PVC 150mm2</v>
          </cell>
        </row>
        <row r="1591">
          <cell r="A1591" t="str">
            <v>XLPE185AC</v>
          </cell>
          <cell r="C1591" t="str">
            <v>Cáp 24KV AC/XLPE/PVC 185mm2</v>
          </cell>
        </row>
        <row r="1592">
          <cell r="A1592" t="str">
            <v>XLPE240AC</v>
          </cell>
          <cell r="C1592" t="str">
            <v>Cáp 24KV AC/XLPE/PVC 240mm2</v>
          </cell>
        </row>
        <row r="1593">
          <cell r="A1593" t="str">
            <v>XLPE322HT</v>
          </cell>
          <cell r="C1593" t="str">
            <v>Cáp C/XLPE/PVC -0.6/1kV-3x22mm2</v>
          </cell>
        </row>
        <row r="1594">
          <cell r="A1594" t="str">
            <v>XLPE325HT</v>
          </cell>
          <cell r="C1594" t="str">
            <v>Cáp C/XLPE/PVC -0.6/1kV-3x25mm2</v>
          </cell>
        </row>
        <row r="1595">
          <cell r="A1595" t="str">
            <v>XLPE335HT</v>
          </cell>
          <cell r="C1595" t="str">
            <v>Cáp C/XLPE/PVC -0.6/1kV-3x35mm2</v>
          </cell>
        </row>
        <row r="1596">
          <cell r="A1596" t="str">
            <v>XLPE316+8HT</v>
          </cell>
          <cell r="C1596" t="str">
            <v>Cáp C/XLPE/PVC -0.6/1kV-3x16+8mm2</v>
          </cell>
        </row>
        <row r="1597">
          <cell r="A1597" t="str">
            <v>XLPE322+11HT</v>
          </cell>
          <cell r="C1597" t="str">
            <v>Cáp C/XLPE/PVC -0.6/1kV-3x22+11mm2</v>
          </cell>
        </row>
        <row r="1598">
          <cell r="A1598" t="str">
            <v>XLPE338+22HT</v>
          </cell>
          <cell r="C1598" t="str">
            <v>Cáp C/XLPE/PVC -0.6/1kV-3x38+22mm3</v>
          </cell>
        </row>
        <row r="1599">
          <cell r="A1599" t="str">
            <v>XLPE350+25HT</v>
          </cell>
          <cell r="C1599" t="str">
            <v>Cáp C/XLPE/PVC -0.6/1kV-3x50+25mm2</v>
          </cell>
        </row>
        <row r="1600">
          <cell r="A1600" t="str">
            <v>XLPE360+30HT</v>
          </cell>
          <cell r="C1600" t="str">
            <v>Cáp C/XLPE/PVC -0.6/1kV-3x60+30mm3</v>
          </cell>
        </row>
        <row r="1601">
          <cell r="A1601" t="str">
            <v>XLPE370+35HT</v>
          </cell>
          <cell r="C1601" t="str">
            <v>Cáp C/XLPE/PVC -0.6/1kV-3x70+35mm2</v>
          </cell>
        </row>
        <row r="1602">
          <cell r="A1602" t="str">
            <v>XLPE3120+60HT</v>
          </cell>
          <cell r="C1602" t="str">
            <v>Cáp C/XLPE/PVC -0.6/1kV-3x120+60mm2</v>
          </cell>
        </row>
        <row r="1603">
          <cell r="A1603" t="str">
            <v>XLPE3185+95HT</v>
          </cell>
          <cell r="C1603" t="str">
            <v>Cáp C/XLPE/PVC -0.6/1kV-3x185+95mm2</v>
          </cell>
        </row>
        <row r="1604">
          <cell r="A1604" t="str">
            <v>XLPE3300D</v>
          </cell>
          <cell r="C1604" t="str">
            <v>Cáp 24kV C/XLPE/DSTA/PVC3x300mm2</v>
          </cell>
        </row>
        <row r="1605">
          <cell r="A1605" t="str">
            <v>ABC3x120</v>
          </cell>
          <cell r="C1605" t="str">
            <v>Cáp nhôm ABC 3x120mm2</v>
          </cell>
        </row>
        <row r="1606">
          <cell r="A1606" t="str">
            <v>ABC4x35</v>
          </cell>
          <cell r="C1606" t="str">
            <v>Cáp nhôm ABC 4x35mm2</v>
          </cell>
        </row>
        <row r="1607">
          <cell r="A1607" t="str">
            <v>cv38</v>
          </cell>
          <cell r="C1607" t="str">
            <v>Cáp đồng bọc CV38</v>
          </cell>
        </row>
        <row r="1608">
          <cell r="A1608" t="str">
            <v>ssf-120</v>
          </cell>
          <cell r="C1608" t="str">
            <v>Dây buộc cổ sứ cỡ dây 120mm2</v>
          </cell>
        </row>
        <row r="1609">
          <cell r="A1609" t="str">
            <v>ssf-150</v>
          </cell>
          <cell r="C1609" t="str">
            <v>Dây buộc cổ sứ cỡ dây 150mm2</v>
          </cell>
        </row>
        <row r="1610">
          <cell r="A1610" t="str">
            <v>ssf-185</v>
          </cell>
          <cell r="C1610" t="str">
            <v>Dây buộc cổ sứ cỡ dây 185mm2</v>
          </cell>
        </row>
        <row r="1611">
          <cell r="A1611" t="str">
            <v>ssf-240</v>
          </cell>
          <cell r="C1611" t="str">
            <v>Dây buộc cổ sứ cỡ dây 240mm2</v>
          </cell>
        </row>
        <row r="1612">
          <cell r="A1612" t="str">
            <v>ttf-120</v>
          </cell>
          <cell r="C1612" t="str">
            <v>Dây buộc đầu sứ cỡ dây 120mm2</v>
          </cell>
        </row>
        <row r="1613">
          <cell r="A1613" t="str">
            <v>ttf-150</v>
          </cell>
          <cell r="C1613" t="str">
            <v>Dây buộc đầu sứ cỡ dây 150mm2</v>
          </cell>
        </row>
        <row r="1614">
          <cell r="A1614" t="str">
            <v>ttf-185</v>
          </cell>
          <cell r="C1614" t="str">
            <v>Dây buộc đầu sứ cỡ dây 185mm2</v>
          </cell>
        </row>
        <row r="1615">
          <cell r="A1615" t="str">
            <v>ssf</v>
          </cell>
          <cell r="C1615" t="str">
            <v>Dây buộc cổ sứ</v>
          </cell>
        </row>
        <row r="1616">
          <cell r="A1616" t="str">
            <v>LGIATFCO</v>
          </cell>
          <cell r="B1616" t="str">
            <v>D2.6011</v>
          </cell>
          <cell r="C1616" t="str">
            <v>Giá chữ "T" lắp FCO, LA (5,65kg)</v>
          </cell>
        </row>
        <row r="1617">
          <cell r="A1617" t="str">
            <v>G20</v>
          </cell>
          <cell r="C1617" t="str">
            <v>Vật liệu dựng trụ</v>
          </cell>
        </row>
        <row r="1618">
          <cell r="A1618" t="str">
            <v>CPS110x5-24</v>
          </cell>
          <cell r="C1618" t="str">
            <v>Đà Composite 110x80x5x2400</v>
          </cell>
        </row>
        <row r="1619">
          <cell r="A1619" t="str">
            <v>CPS110x5-30</v>
          </cell>
          <cell r="C1619" t="str">
            <v>Đà Composite 110x80x5x3000</v>
          </cell>
        </row>
        <row r="1620">
          <cell r="A1620" t="str">
            <v>CPS110x5-26</v>
          </cell>
          <cell r="C1620" t="str">
            <v>Đà Composite 110x80x5x2600</v>
          </cell>
        </row>
        <row r="1621">
          <cell r="A1621" t="str">
            <v>CPS110x5-8</v>
          </cell>
          <cell r="C1621" t="str">
            <v>Đà Composite 110x80x5x800</v>
          </cell>
        </row>
        <row r="1622">
          <cell r="A1622" t="str">
            <v>CPS40x10x920</v>
          </cell>
          <cell r="C1622" t="str">
            <v>Chống Composite 40x10x920</v>
          </cell>
        </row>
        <row r="1623">
          <cell r="A1623" t="str">
            <v>CPS40x10x810</v>
          </cell>
          <cell r="C1623" t="str">
            <v>Chống Composite 40x10x710</v>
          </cell>
        </row>
        <row r="1624">
          <cell r="A1624" t="str">
            <v>SATV5</v>
          </cell>
          <cell r="C1624" t="str">
            <v>Thanh sắt V50x50x5-4000 - 16kg/thanh</v>
          </cell>
        </row>
        <row r="1625">
          <cell r="A1625" t="str">
            <v>SATV4</v>
          </cell>
          <cell r="C1625" t="str">
            <v>Thanh sắt V40x40x3-6000 - 17,7kg/thanh</v>
          </cell>
        </row>
        <row r="1626">
          <cell r="A1626" t="str">
            <v>HANSATV5</v>
          </cell>
          <cell r="B1626" t="str">
            <v>07.1201</v>
          </cell>
          <cell r="C1626" t="str">
            <v>Hàn thanh sắt V50x50x5-4000/Zn thành cọc dài 20 mét</v>
          </cell>
        </row>
        <row r="1627">
          <cell r="A1627" t="str">
            <v>FE D8-1,2M</v>
          </cell>
          <cell r="C1627" t="str">
            <v>Sắt tròn Þ8 thanh dài 1,2m (hàn bass 2 đầu, mạ kẽm)</v>
          </cell>
        </row>
        <row r="1628">
          <cell r="A1628" t="str">
            <v>FE D8-2M</v>
          </cell>
          <cell r="C1628" t="str">
            <v>Sắt tròn Þ8 thanh dài 2m (hàn bass 2 đầu, mạ kẽm)</v>
          </cell>
        </row>
        <row r="1629">
          <cell r="A1629" t="str">
            <v>FE D8-2,5M</v>
          </cell>
          <cell r="C1629" t="str">
            <v>Sắt tròn Þ8 thanh dài 2,5m (hàn bass 2 đầu, mạ kẽm)</v>
          </cell>
        </row>
        <row r="1630">
          <cell r="A1630" t="str">
            <v>FE D8-3M</v>
          </cell>
          <cell r="C1630" t="str">
            <v>Sắt tròn Þ8 thanh dài 3m (hàn bass 2 đầu, mạ kẽm)</v>
          </cell>
        </row>
        <row r="1631">
          <cell r="A1631" t="str">
            <v>DTINOX</v>
          </cell>
          <cell r="C1631" t="str">
            <v>Đai thép Inox</v>
          </cell>
        </row>
        <row r="1632">
          <cell r="A1632" t="str">
            <v>KDINOX</v>
          </cell>
          <cell r="C1632" t="str">
            <v>Khóa đai Inox</v>
          </cell>
        </row>
        <row r="1633">
          <cell r="A1633" t="str">
            <v xml:space="preserve">KTREO211 </v>
          </cell>
          <cell r="C1633" t="str">
            <v>Kẹp treo cáp ABC2x11mm2</v>
          </cell>
        </row>
        <row r="1634">
          <cell r="A1634" t="str">
            <v xml:space="preserve">KTREO11 </v>
          </cell>
          <cell r="C1634" t="str">
            <v>Kẹp treo cáp ABC4x11mm2</v>
          </cell>
        </row>
        <row r="1635">
          <cell r="A1635" t="str">
            <v xml:space="preserve">KTREO22 </v>
          </cell>
          <cell r="C1635" t="str">
            <v>Kẹp treo cáp ABC4x22mm2</v>
          </cell>
        </row>
        <row r="1636">
          <cell r="A1636" t="str">
            <v xml:space="preserve">KTREO35 </v>
          </cell>
          <cell r="C1636" t="str">
            <v>Kẹp treo cáp ABC4x35mm2</v>
          </cell>
        </row>
        <row r="1637">
          <cell r="A1637" t="str">
            <v xml:space="preserve">KTREO50 </v>
          </cell>
          <cell r="C1637" t="str">
            <v>Kẹp treo cáp ABC4x50mm2</v>
          </cell>
        </row>
        <row r="1638">
          <cell r="A1638" t="str">
            <v xml:space="preserve">KTREO70 </v>
          </cell>
          <cell r="C1638" t="str">
            <v>Kẹp treo cáp ABC4x70mm2</v>
          </cell>
        </row>
        <row r="1639">
          <cell r="A1639" t="str">
            <v xml:space="preserve">KTREO95 </v>
          </cell>
          <cell r="C1639" t="str">
            <v>Kẹp treo cáp ABC4x95mm2</v>
          </cell>
        </row>
        <row r="1640">
          <cell r="A1640" t="str">
            <v xml:space="preserve">KTREO120 </v>
          </cell>
          <cell r="C1640" t="str">
            <v>Kẹp treo cáp ABC4x120mm2</v>
          </cell>
        </row>
        <row r="1641">
          <cell r="A1641" t="str">
            <v xml:space="preserve">KTREO150 </v>
          </cell>
          <cell r="C1641" t="str">
            <v>Kẹp treo cáp ABC4x150mm2</v>
          </cell>
        </row>
        <row r="1642">
          <cell r="A1642" t="str">
            <v xml:space="preserve">KNGUNG211 </v>
          </cell>
          <cell r="C1642" t="str">
            <v>Kẹp ngừng cáp ABC2x11mm2</v>
          </cell>
        </row>
        <row r="1643">
          <cell r="A1643" t="str">
            <v xml:space="preserve">KNGUNG11 </v>
          </cell>
          <cell r="C1643" t="str">
            <v>Kẹp ngừng cáp ABC4x11mm2</v>
          </cell>
        </row>
        <row r="1644">
          <cell r="A1644" t="str">
            <v xml:space="preserve">KNGUNG22 </v>
          </cell>
          <cell r="C1644" t="str">
            <v>Kẹp ngừng cáp ABC4x22mm2</v>
          </cell>
        </row>
        <row r="1645">
          <cell r="A1645" t="str">
            <v xml:space="preserve">KNGUNG35 </v>
          </cell>
          <cell r="C1645" t="str">
            <v>Kẹp ngừng cáp ABC4x35mm2</v>
          </cell>
        </row>
        <row r="1646">
          <cell r="A1646" t="str">
            <v xml:space="preserve">KNGUNG50 </v>
          </cell>
          <cell r="C1646" t="str">
            <v>Kẹp ngừng cáp ABC4x50mm2</v>
          </cell>
        </row>
        <row r="1647">
          <cell r="A1647" t="str">
            <v xml:space="preserve">KNGUNG70 </v>
          </cell>
          <cell r="C1647" t="str">
            <v>Kẹp ngừng cáp ABC4x70mm2</v>
          </cell>
        </row>
        <row r="1648">
          <cell r="A1648" t="str">
            <v xml:space="preserve">KNGUNG95 </v>
          </cell>
          <cell r="C1648" t="str">
            <v>Kẹp ngừng cáp ABC4x95mm2</v>
          </cell>
        </row>
        <row r="1649">
          <cell r="A1649" t="str">
            <v xml:space="preserve">KNGUNG120 </v>
          </cell>
          <cell r="C1649" t="str">
            <v>Kẹp ngừng cáp ABC4x120mm2</v>
          </cell>
        </row>
        <row r="1650">
          <cell r="A1650" t="str">
            <v xml:space="preserve">KNGUNG150 </v>
          </cell>
          <cell r="C1650" t="str">
            <v>Kẹp ngừng cáp ABC4x150mm2</v>
          </cell>
        </row>
        <row r="1651">
          <cell r="A1651" t="str">
            <v xml:space="preserve">HOP9C </v>
          </cell>
          <cell r="B1651" t="str">
            <v>06.2111</v>
          </cell>
          <cell r="C1651" t="str">
            <v>Hộp phân phối 9 cực rỗng</v>
          </cell>
        </row>
        <row r="1652">
          <cell r="A1652" t="str">
            <v xml:space="preserve">HOP6C </v>
          </cell>
          <cell r="B1652" t="str">
            <v>06.2111</v>
          </cell>
          <cell r="C1652" t="str">
            <v>Hộp phân phối 6 cực rỗng</v>
          </cell>
        </row>
        <row r="1653">
          <cell r="A1653" t="str">
            <v xml:space="preserve">BIT150 </v>
          </cell>
          <cell r="C1653" t="str">
            <v>Nắp bịt đầu cáp ABC150mm2</v>
          </cell>
        </row>
        <row r="1654">
          <cell r="A1654" t="str">
            <v xml:space="preserve">BIT120 </v>
          </cell>
          <cell r="C1654" t="str">
            <v>Nắp bịt đầu cáp ABC120mm2</v>
          </cell>
        </row>
        <row r="1655">
          <cell r="A1655" t="str">
            <v xml:space="preserve">BIT95 </v>
          </cell>
          <cell r="C1655" t="str">
            <v>Nắp bịt đầu cáp ABC95mm2</v>
          </cell>
        </row>
        <row r="1656">
          <cell r="A1656" t="str">
            <v xml:space="preserve">BIT70 </v>
          </cell>
          <cell r="C1656" t="str">
            <v>Nắp bịt đầu cáp ABC70mm2</v>
          </cell>
        </row>
        <row r="1657">
          <cell r="A1657" t="str">
            <v xml:space="preserve">BIT50 </v>
          </cell>
          <cell r="C1657" t="str">
            <v>Nắp bịt đầu cáp ABC50mm2</v>
          </cell>
        </row>
        <row r="1658">
          <cell r="A1658" t="str">
            <v>LKQ+H</v>
          </cell>
          <cell r="C1658" t="str">
            <v>Kẹp quai + hotline</v>
          </cell>
        </row>
        <row r="1659">
          <cell r="A1659" t="str">
            <v>KEU120</v>
          </cell>
          <cell r="C1659" t="str">
            <v>Kẹp U bolt dây 120mm2</v>
          </cell>
        </row>
        <row r="1660">
          <cell r="A1660" t="str">
            <v>GNIU95b</v>
          </cell>
          <cell r="C1660" t="str">
            <v>Giáp níu dừng dây bọc (70-95mm2)</v>
          </cell>
        </row>
        <row r="1661">
          <cell r="A1661" t="str">
            <v>GNIU150b</v>
          </cell>
          <cell r="C1661" t="str">
            <v>Giáp níu dừng dây bọc (120-150mm2)</v>
          </cell>
        </row>
        <row r="1662">
          <cell r="A1662" t="str">
            <v>GNIU240b</v>
          </cell>
          <cell r="C1662" t="str">
            <v>Giáp níu dừng dây bọc (185-240mm2)</v>
          </cell>
        </row>
        <row r="1663">
          <cell r="A1663" t="str">
            <v>Khkep</v>
          </cell>
          <cell r="C1663" t="str">
            <v>Khánh treo chuỗi polymer kép</v>
          </cell>
        </row>
        <row r="1664">
          <cell r="A1664" t="str">
            <v>ONABC95</v>
          </cell>
          <cell r="C1664" t="str">
            <v>Ống nối MJPB 95 (ABC)</v>
          </cell>
        </row>
        <row r="1665">
          <cell r="A1665" t="str">
            <v>SL50810</v>
          </cell>
          <cell r="C1665" t="str">
            <v>Sắt góc L50 x50 x5x810</v>
          </cell>
        </row>
        <row r="1666">
          <cell r="A1666" t="str">
            <v>SL50-1150</v>
          </cell>
          <cell r="C1666" t="str">
            <v>Sắt góc L50 x50 x5 x1150</v>
          </cell>
        </row>
        <row r="1667">
          <cell r="A1667" t="str">
            <v>SL501990</v>
          </cell>
          <cell r="C1667" t="str">
            <v>Sắt góc L50 x50 x5x1990</v>
          </cell>
        </row>
        <row r="1668">
          <cell r="A1668" t="str">
            <v>SL758</v>
          </cell>
          <cell r="C1668" t="str">
            <v>Sắt góc L75 x75 x8x800 (1 ốp)</v>
          </cell>
        </row>
        <row r="1669">
          <cell r="A1669" t="str">
            <v>SL7516</v>
          </cell>
          <cell r="C1669" t="str">
            <v>Sắt góc L75 x75 x8x1660 (2 ốp)</v>
          </cell>
        </row>
        <row r="1670">
          <cell r="A1670" t="str">
            <v>SL7522</v>
          </cell>
          <cell r="C1670" t="str">
            <v>Sắt góc L75 x75 x8x2200 (4 ốp)</v>
          </cell>
        </row>
        <row r="1671">
          <cell r="A1671" t="str">
            <v>SL7524</v>
          </cell>
          <cell r="C1671" t="str">
            <v>Sắt góc L75 x75 x8x2400 (4 ốp)</v>
          </cell>
        </row>
        <row r="1672">
          <cell r="A1672" t="str">
            <v>SL7520</v>
          </cell>
          <cell r="C1672" t="str">
            <v>Sắt góc L75 x75 x8 x2000 (3 ốp)</v>
          </cell>
        </row>
        <row r="1673">
          <cell r="A1673" t="str">
            <v>SL7526</v>
          </cell>
          <cell r="C1673" t="str">
            <v>Sắt góc L75 x75 x8x2600 (3 ốp)</v>
          </cell>
        </row>
        <row r="1674">
          <cell r="A1674" t="str">
            <v>SL7521</v>
          </cell>
          <cell r="C1674" t="str">
            <v>Sắt góc L75 x75 x8x2100 (3 ốp)</v>
          </cell>
        </row>
        <row r="1675">
          <cell r="A1675" t="str">
            <v>CLHT09</v>
          </cell>
          <cell r="C1675" t="str">
            <v>Bộ chống chằng hẹp Þ60/50x900+2BL12x40+BL16x200/50</v>
          </cell>
        </row>
        <row r="1676">
          <cell r="A1676" t="str">
            <v>CDbr</v>
          </cell>
          <cell r="C1676" t="str">
            <v>Cổ dê bắt rack</v>
          </cell>
        </row>
        <row r="1677">
          <cell r="A1677" t="str">
            <v>CD34</v>
          </cell>
          <cell r="C1677" t="str">
            <v>Cổ dê kẹp ống PVC (STK) Þ 34</v>
          </cell>
        </row>
        <row r="1678">
          <cell r="A1678" t="str">
            <v>CD42</v>
          </cell>
          <cell r="C1678" t="str">
            <v>Cổ dê kẹp ống PVC (STK) Þ 42</v>
          </cell>
        </row>
        <row r="1679">
          <cell r="A1679" t="str">
            <v>CD168TK</v>
          </cell>
          <cell r="C1679" t="str">
            <v>Cổ dê kẹp ống sắt Þ 168</v>
          </cell>
        </row>
        <row r="1680">
          <cell r="A1680" t="str">
            <v>CD114TK</v>
          </cell>
          <cell r="C1680" t="str">
            <v>Cổ dê kẹp ống sắt Þ 114</v>
          </cell>
        </row>
        <row r="1681">
          <cell r="A1681" t="str">
            <v>CD90TK</v>
          </cell>
          <cell r="C1681" t="str">
            <v>Cổ dê kẹp ống sắt Þ 90</v>
          </cell>
        </row>
        <row r="1682">
          <cell r="A1682" t="str">
            <v>CD114TK-LAP</v>
          </cell>
          <cell r="C1682" t="str">
            <v>Lắp Cổ dê kẹp ống sắt Þ 114</v>
          </cell>
        </row>
        <row r="1683">
          <cell r="A1683" t="str">
            <v>CD168TK-LAP</v>
          </cell>
          <cell r="C1683" t="str">
            <v>Lắp Cổ dê kẹp ống sắt Þ 168</v>
          </cell>
        </row>
        <row r="1684">
          <cell r="A1684" t="str">
            <v>LapCD</v>
          </cell>
          <cell r="B1684" t="str">
            <v>D3.3241</v>
          </cell>
          <cell r="C1684" t="str">
            <v>Lắp đặt cổ dê, chiều cao &lt;=20m</v>
          </cell>
        </row>
        <row r="1685">
          <cell r="A1685" t="str">
            <v>T12TE</v>
          </cell>
          <cell r="C1685" t="str">
            <v>Trụ BTLT 12m F540 dự ứng lực có dây tiếp địa trong thân trụ</v>
          </cell>
        </row>
        <row r="1686">
          <cell r="A1686" t="str">
            <v>T12f54</v>
          </cell>
          <cell r="C1686" t="str">
            <v>Trụ BTLT 12m F540 dự ứng lực, K=2</v>
          </cell>
        </row>
        <row r="1687">
          <cell r="A1687" t="str">
            <v>T12f54TE</v>
          </cell>
          <cell r="C1687" t="str">
            <v>Trụ BTLT 12m F540 dự ứng lực có dây tiếp địa trong thân trụ</v>
          </cell>
        </row>
        <row r="1688">
          <cell r="A1688" t="str">
            <v>T14f95</v>
          </cell>
          <cell r="C1688" t="str">
            <v>Trụ BTLT 14m F950 dự ứng lực</v>
          </cell>
        </row>
        <row r="1689">
          <cell r="A1689" t="str">
            <v>T16</v>
          </cell>
          <cell r="C1689" t="str">
            <v>Trụ BTLT 16m F650 dự ứng lực</v>
          </cell>
        </row>
        <row r="1690">
          <cell r="A1690" t="str">
            <v>T16f95</v>
          </cell>
          <cell r="C1690" t="str">
            <v>Trụ BTLT 16m F950 dự ứng lực</v>
          </cell>
        </row>
        <row r="1691">
          <cell r="A1691" t="str">
            <v>T18</v>
          </cell>
          <cell r="C1691" t="str">
            <v>Trụ BTLT 18m F920 dự ứng lực</v>
          </cell>
        </row>
        <row r="1692">
          <cell r="A1692" t="str">
            <v>CSL</v>
          </cell>
          <cell r="C1692" t="str">
            <v>Cát san lấp</v>
          </cell>
        </row>
        <row r="1693">
          <cell r="A1693" t="str">
            <v>hopnoi50</v>
          </cell>
          <cell r="C1693" t="str">
            <v xml:space="preserve">Hộp nối cáp ngầm 24KV 3x50mm2 </v>
          </cell>
        </row>
        <row r="1694">
          <cell r="A1694" t="str">
            <v>daucap300</v>
          </cell>
          <cell r="C1694" t="str">
            <v>Đầu cáp ngầm 24kV 3x300mm2 outdoor</v>
          </cell>
        </row>
        <row r="1695">
          <cell r="A1695" t="str">
            <v>daucap300in</v>
          </cell>
          <cell r="C1695" t="str">
            <v>Đầu cáp ngầm 24kV 3x300mm2 indoor</v>
          </cell>
        </row>
        <row r="1696">
          <cell r="A1696" t="str">
            <v>DCAPHT3150</v>
          </cell>
          <cell r="C1696" t="str">
            <v>Đầu cáp ngầm hạ thế 3x150+95mm2</v>
          </cell>
        </row>
        <row r="1697">
          <cell r="A1697" t="str">
            <v>stk21</v>
          </cell>
          <cell r="B1697" t="str">
            <v>07.2201</v>
          </cell>
          <cell r="C1697" t="str">
            <v>Ông sắt tráng kẽm D21</v>
          </cell>
        </row>
        <row r="1698">
          <cell r="A1698" t="str">
            <v>stk76</v>
          </cell>
          <cell r="B1698" t="str">
            <v>D4.1204</v>
          </cell>
          <cell r="C1698" t="str">
            <v>Ông sắt tráng kẽm D76</v>
          </cell>
        </row>
        <row r="1699">
          <cell r="A1699" t="str">
            <v>stk168-LAP</v>
          </cell>
          <cell r="B1699" t="str">
            <v>D4.1205</v>
          </cell>
          <cell r="C1699" t="str">
            <v>Lắp ống sắt tráng kẽm D168</v>
          </cell>
        </row>
        <row r="1700">
          <cell r="A1700" t="str">
            <v>B40</v>
          </cell>
          <cell r="C1700" t="str">
            <v>Lưới B40 - 1800-3/Zn</v>
          </cell>
        </row>
        <row r="1701">
          <cell r="A1701" t="str">
            <v>Bảng kê đơn gía nhân công  ( 67/1999/QĐ-BCN )</v>
          </cell>
        </row>
        <row r="1702">
          <cell r="A1702" t="str">
            <v>MDDA3</v>
          </cell>
          <cell r="B1702" t="str">
            <v>AB.51613</v>
          </cell>
          <cell r="C1702" t="str">
            <v>Đào đá chiều dày &lt;0,5m, dùng búa căn, đá cấp III</v>
          </cell>
        </row>
        <row r="1703">
          <cell r="A1703" t="str">
            <v>MDA1</v>
          </cell>
          <cell r="B1703" t="str">
            <v>03.5121</v>
          </cell>
          <cell r="C1703" t="str">
            <v>Đào hố móng đá cấp 1 rộng &lt;=50m2 sâu 0,5m-3m</v>
          </cell>
        </row>
        <row r="1704">
          <cell r="A1704" t="str">
            <v>MDA2</v>
          </cell>
          <cell r="B1704" t="str">
            <v>03.5122</v>
          </cell>
          <cell r="C1704" t="str">
            <v>Đào hố móng đá cấp 2 rộng &lt;=50m2 sâu 0,5m-3m</v>
          </cell>
        </row>
        <row r="1705">
          <cell r="A1705" t="str">
            <v>MDA3</v>
          </cell>
          <cell r="B1705" t="str">
            <v>AB.11423</v>
          </cell>
          <cell r="C1705" t="str">
            <v>Đào hố móng kiểm tra đất cấp III rộng &lt;=1m, sâu &gt;1m</v>
          </cell>
        </row>
        <row r="1706">
          <cell r="A1706" t="str">
            <v>DMC3KTL</v>
          </cell>
          <cell r="B1706" t="str">
            <v>03.3143</v>
          </cell>
          <cell r="C1706" t="str">
            <v>Đào mương cáp ngầm đất cấp 3 không mở ta luy</v>
          </cell>
        </row>
        <row r="1707">
          <cell r="A1707" t="str">
            <v>DATD33</v>
          </cell>
          <cell r="B1707" t="str">
            <v>AB.13112</v>
          </cell>
          <cell r="C1707" t="str">
            <v>Đắp đất rãnh tiếp địa cấp 3 (độ chặt k = 0.9)</v>
          </cell>
        </row>
        <row r="1708">
          <cell r="A1708" t="str">
            <v>DCTD2</v>
          </cell>
          <cell r="B1708" t="str">
            <v>D2.8102</v>
          </cell>
          <cell r="C1708" t="str">
            <v>Đóng cọc tiếp địa đất cấp 2 dài 2,5m</v>
          </cell>
        </row>
        <row r="1709">
          <cell r="A1709" t="str">
            <v>DCTDTBA3</v>
          </cell>
          <cell r="B1709" t="str">
            <v>04.7001</v>
          </cell>
          <cell r="C1709" t="str">
            <v>Đóng cọc tiếp địa trong TBA đất cấp 3</v>
          </cell>
        </row>
        <row r="1710">
          <cell r="A1710" t="str">
            <v>DCTDTBA4</v>
          </cell>
          <cell r="B1710" t="str">
            <v>04.7001</v>
          </cell>
          <cell r="C1710" t="str">
            <v>Đóng cọc tiếp địa trong TBA đaất cấp 4</v>
          </cell>
        </row>
        <row r="1711">
          <cell r="A1711" t="str">
            <v>C18m</v>
          </cell>
          <cell r="B1711" t="str">
            <v>D2.5262</v>
          </cell>
          <cell r="C1711" t="str">
            <v>Dựng trụ BTLT 18m thủ công + cơ giới</v>
          </cell>
        </row>
        <row r="1712">
          <cell r="A1712" t="str">
            <v>C20mMB</v>
          </cell>
          <cell r="B1712" t="str">
            <v>AI.53111</v>
          </cell>
          <cell r="C1712" t="str">
            <v>Mặt bích nối cột bêt tông loại 200x200x5, 04 lỗ D16</v>
          </cell>
        </row>
        <row r="1713">
          <cell r="A1713" t="str">
            <v>C14m-TBA</v>
          </cell>
          <cell r="B1713" t="str">
            <v>04.9203</v>
          </cell>
          <cell r="C1713" t="str">
            <v>Dựng trụ BTLT 14m trong TBA bằng thủ công + cơ giới</v>
          </cell>
        </row>
        <row r="1714">
          <cell r="A1714" t="str">
            <v>LXIco08</v>
          </cell>
          <cell r="B1714" t="str">
            <v>D2.6011</v>
          </cell>
          <cell r="C1714" t="str">
            <v>Lắp xà đỡ composite dài 800mm (3kg)</v>
          </cell>
        </row>
        <row r="1715">
          <cell r="A1715" t="str">
            <v>LXIco24</v>
          </cell>
          <cell r="B1715" t="str">
            <v>D2.6011</v>
          </cell>
          <cell r="C1715" t="str">
            <v>Lắp xà đỡ composite dài 2400mm (7,5kg)</v>
          </cell>
        </row>
        <row r="1716">
          <cell r="A1716" t="str">
            <v>LXIco26</v>
          </cell>
          <cell r="B1716" t="str">
            <v>D2.6011</v>
          </cell>
          <cell r="C1716" t="str">
            <v>Lắp xà đỡ composite dài 2600mm (8,5kg)</v>
          </cell>
        </row>
        <row r="1717">
          <cell r="A1717" t="str">
            <v>LXI</v>
          </cell>
          <cell r="B1717" t="str">
            <v>D2.6011</v>
          </cell>
          <cell r="C1717" t="str">
            <v>Lắp xà đỡ 15kg</v>
          </cell>
        </row>
        <row r="1718">
          <cell r="A1718" t="str">
            <v>LX8D</v>
          </cell>
          <cell r="B1718" t="str">
            <v>D2.6011a</v>
          </cell>
          <cell r="C1718" t="str">
            <v>Lắp xà đỡ 0,8m đơn (11,987kg)</v>
          </cell>
        </row>
        <row r="1719">
          <cell r="A1719" t="str">
            <v>LX8K</v>
          </cell>
          <cell r="B1719" t="str">
            <v>D2.6011b</v>
          </cell>
          <cell r="C1719" t="str">
            <v>Lắp xà đỡ 0,8m kép (23,084kg)</v>
          </cell>
        </row>
        <row r="1720">
          <cell r="A1720" t="str">
            <v>LX16</v>
          </cell>
          <cell r="B1720" t="str">
            <v>D2.6011c</v>
          </cell>
          <cell r="C1720" t="str">
            <v>Lắp xà đỡ 1,66m đơn (26,550kg)</v>
          </cell>
        </row>
        <row r="1721">
          <cell r="A1721" t="str">
            <v>LX16K</v>
          </cell>
          <cell r="B1721" t="str">
            <v>D2.6031c</v>
          </cell>
          <cell r="C1721" t="str">
            <v>Lắp xà đỡ 1,66m kép (51,575kg)</v>
          </cell>
        </row>
        <row r="1722">
          <cell r="A1722" t="str">
            <v>LX20D</v>
          </cell>
          <cell r="B1722" t="str">
            <v>D2.6021a</v>
          </cell>
          <cell r="C1722" t="str">
            <v>Lắp xà đỡ 2,0m đơn (25,356kg)</v>
          </cell>
        </row>
        <row r="1723">
          <cell r="A1723" t="str">
            <v>LX20K</v>
          </cell>
          <cell r="B1723" t="str">
            <v>D2.6031a</v>
          </cell>
          <cell r="C1723" t="str">
            <v>Lắp xà đỡ 2,0m kép (50,751kg)</v>
          </cell>
        </row>
        <row r="1724">
          <cell r="A1724" t="str">
            <v>LXU160D</v>
          </cell>
          <cell r="B1724" t="str">
            <v>D2.6021e</v>
          </cell>
          <cell r="C1724" t="str">
            <v>Lắp xà đỡ 2,8m đơn (42,84kg)</v>
          </cell>
        </row>
        <row r="1725">
          <cell r="A1725" t="str">
            <v>LX21D</v>
          </cell>
          <cell r="B1725" t="str">
            <v>D2.6021d</v>
          </cell>
          <cell r="C1725" t="str">
            <v>Lắp xà đỡ 2,1m đơn (29,425kg)</v>
          </cell>
        </row>
        <row r="1726">
          <cell r="A1726" t="str">
            <v>LX21K</v>
          </cell>
          <cell r="B1726" t="str">
            <v>D2.6031d</v>
          </cell>
          <cell r="C1726" t="str">
            <v>Lắp xà đỡ 2,1m kép (58,889kg)</v>
          </cell>
        </row>
        <row r="1727">
          <cell r="A1727" t="str">
            <v>LX22D</v>
          </cell>
          <cell r="B1727" t="str">
            <v>D2.6021e</v>
          </cell>
          <cell r="C1727" t="str">
            <v>Lắp xà đỡ 2,2m đơn (29,759kg)</v>
          </cell>
        </row>
        <row r="1728">
          <cell r="A1728" t="str">
            <v>LX22K</v>
          </cell>
          <cell r="B1728" t="str">
            <v>05.6021f</v>
          </cell>
          <cell r="C1728" t="str">
            <v>Lắp xà 2,2m kép (58,628kg)</v>
          </cell>
        </row>
        <row r="1729">
          <cell r="A1729" t="str">
            <v>LX24D</v>
          </cell>
          <cell r="B1729" t="str">
            <v>05.6011f</v>
          </cell>
          <cell r="C1729" t="str">
            <v>Lắp xà đỡ 2,4m đơn (31,563kg)</v>
          </cell>
        </row>
        <row r="1730">
          <cell r="A1730" t="str">
            <v>LXTD</v>
          </cell>
          <cell r="B1730" t="str">
            <v>05.6031a</v>
          </cell>
          <cell r="C1730" t="str">
            <v>Lắp đặt bộ tháp sắt (78kg)</v>
          </cell>
        </row>
        <row r="1731">
          <cell r="A1731" t="str">
            <v>LXTG</v>
          </cell>
          <cell r="B1731" t="str">
            <v>05.6031b</v>
          </cell>
          <cell r="C1731" t="str">
            <v>Lắp đặt bộ tháp sắt (93kg)</v>
          </cell>
        </row>
        <row r="1732">
          <cell r="A1732" t="str">
            <v>LXITL-TBA</v>
          </cell>
          <cell r="B1732" t="str">
            <v>05.6022</v>
          </cell>
          <cell r="C1732" t="str">
            <v>Lắp xà đỡ 50kg trong phạm vi trạm</v>
          </cell>
        </row>
        <row r="1733">
          <cell r="A1733" t="str">
            <v>LXTBA</v>
          </cell>
          <cell r="B1733" t="str">
            <v>T4.9302</v>
          </cell>
          <cell r="C1733" t="str">
            <v>Lắp xà thép trong phạm vi trạm</v>
          </cell>
        </row>
        <row r="1734">
          <cell r="A1734" t="str">
            <v>LTG1400</v>
          </cell>
          <cell r="B1734" t="str">
            <v>05.6044b</v>
          </cell>
          <cell r="C1734" t="str">
            <v>Lắp bộ thanh giằng trụ PI tim 1400 - 68.16kg</v>
          </cell>
        </row>
        <row r="1735">
          <cell r="A1735" t="str">
            <v>LXHD24</v>
          </cell>
          <cell r="B1735" t="str">
            <v>05.6044b1</v>
          </cell>
          <cell r="C1735" t="str">
            <v>Lắp xà đỡ 2,4m đơn cột PI (25,8982kg)</v>
          </cell>
        </row>
        <row r="1736">
          <cell r="A1736" t="str">
            <v>LXHK24</v>
          </cell>
          <cell r="B1736" t="str">
            <v>05.6044b2</v>
          </cell>
          <cell r="C1736" t="str">
            <v>Lắp xà néo 2,4m kép cột PI (50,2507kg)</v>
          </cell>
        </row>
        <row r="1737">
          <cell r="A1737" t="str">
            <v>LTG20</v>
          </cell>
          <cell r="B1737" t="str">
            <v>05.6044b3</v>
          </cell>
          <cell r="C1737" t="str">
            <v>Lắp bộ thanh giằng cột PI (50,14kg)</v>
          </cell>
        </row>
        <row r="1738">
          <cell r="A1738" t="str">
            <v>LX24DPI</v>
          </cell>
          <cell r="B1738" t="str">
            <v>05.6022c</v>
          </cell>
          <cell r="C1738" t="str">
            <v>Lắp xà pi 2,4m đơn</v>
          </cell>
        </row>
        <row r="1739">
          <cell r="A1739" t="str">
            <v>LX24KPI</v>
          </cell>
          <cell r="B1739" t="str">
            <v>05.6044b</v>
          </cell>
          <cell r="C1739" t="str">
            <v>Lắp xà pi 2,4m kép (101,967kg)</v>
          </cell>
        </row>
        <row r="1740">
          <cell r="A1740" t="str">
            <v>LX26DPI</v>
          </cell>
          <cell r="B1740" t="str">
            <v>05.6011b</v>
          </cell>
          <cell r="C1740" t="str">
            <v>Lắp xà pi 2,6m đơn (26,236kg)</v>
          </cell>
        </row>
        <row r="1741">
          <cell r="A1741" t="str">
            <v>LX26KPI</v>
          </cell>
          <cell r="B1741" t="str">
            <v>05.6022a</v>
          </cell>
          <cell r="C1741" t="str">
            <v>Lắp xà pi 2,6m kép (52,512kg)</v>
          </cell>
        </row>
        <row r="1742">
          <cell r="A1742" t="str">
            <v>daucap50T</v>
          </cell>
          <cell r="C1742" t="str">
            <v>Đầu cáp ngầm 24KV 3x50mm2 Tplug</v>
          </cell>
        </row>
        <row r="1743">
          <cell r="A1743" t="str">
            <v>daucap50E</v>
          </cell>
          <cell r="C1743" t="str">
            <v>Đầu cáp ngầm 24KV 3x50mm2 Elbow</v>
          </cell>
        </row>
        <row r="1744">
          <cell r="A1744" t="str">
            <v>LDAUCAP70tram</v>
          </cell>
          <cell r="B1744" t="str">
            <v>03.2312a</v>
          </cell>
          <cell r="C1744" t="str">
            <v>Lắp đầu cáp trung thế 3x50mm2, 70mm2</v>
          </cell>
        </row>
        <row r="1745">
          <cell r="A1745" t="str">
            <v>LDAUCAP300</v>
          </cell>
          <cell r="B1745">
            <v>74316</v>
          </cell>
          <cell r="C1745" t="str">
            <v>Làm đầu cáp &lt;=300mm2</v>
          </cell>
        </row>
        <row r="1746">
          <cell r="A1746" t="str">
            <v>LHOPNOI70</v>
          </cell>
          <cell r="B1746" t="str">
            <v>D4.4312</v>
          </cell>
          <cell r="C1746" t="str">
            <v>Lắp hộp nối cáp trung thế 3x50mm2, 70mm2</v>
          </cell>
        </row>
        <row r="1747">
          <cell r="A1747" t="str">
            <v>LDAUCAP150HT</v>
          </cell>
          <cell r="B1747" t="str">
            <v>07.4103</v>
          </cell>
          <cell r="C1747" t="str">
            <v>Lắp đầu cáp hạ thế 3x150mm2, 95mm2</v>
          </cell>
        </row>
        <row r="1748">
          <cell r="A1748" t="str">
            <v>LDAUCAP85HT</v>
          </cell>
          <cell r="B1748">
            <v>74316</v>
          </cell>
          <cell r="C1748" t="str">
            <v>Làm đầu cáp &lt;=300mm2</v>
          </cell>
        </row>
        <row r="1749">
          <cell r="A1749" t="str">
            <v>DBT20024</v>
          </cell>
          <cell r="B1749" t="str">
            <v>AF.11210</v>
          </cell>
          <cell r="C1749" t="str">
            <v>Đổ bê tông mác M200 đá 2x4</v>
          </cell>
        </row>
        <row r="1750">
          <cell r="A1750" t="str">
            <v>LDKhungcua</v>
          </cell>
          <cell r="B1750" t="str">
            <v>AI.63121</v>
          </cell>
          <cell r="C1750" t="str">
            <v>Gia công và lắp dựng khung cửa sắt</v>
          </cell>
        </row>
        <row r="1751">
          <cell r="A1751" t="str">
            <v>BT200</v>
          </cell>
          <cell r="C1751" t="str">
            <v>Bêtông đá 1x2 mac 200</v>
          </cell>
        </row>
        <row r="1752">
          <cell r="A1752" t="str">
            <v>BT10046</v>
          </cell>
          <cell r="C1752" t="str">
            <v>Bêtông đá 4x6 mac 100</v>
          </cell>
        </row>
        <row r="1753">
          <cell r="A1753" t="str">
            <v>xaytuong</v>
          </cell>
          <cell r="B1753" t="str">
            <v>AE.61210</v>
          </cell>
          <cell r="C1753" t="str">
            <v>Xây tường gạch ống bề dày &lt;30cm</v>
          </cell>
        </row>
        <row r="1754">
          <cell r="A1754" t="str">
            <v xml:space="preserve">KDAABC150 </v>
          </cell>
          <cell r="B1754" t="str">
            <v>D3.6308</v>
          </cell>
          <cell r="C1754" t="str">
            <v>Kéo dây ABC 4x150mm2</v>
          </cell>
        </row>
        <row r="1755">
          <cell r="A1755" t="str">
            <v>KDAABC3x50</v>
          </cell>
          <cell r="B1755" t="str">
            <v>D3.6304</v>
          </cell>
          <cell r="C1755" t="str">
            <v>Kéo dây ABC 3x50mm2</v>
          </cell>
        </row>
        <row r="1756">
          <cell r="A1756" t="str">
            <v>KDAABC3x70</v>
          </cell>
          <cell r="B1756" t="str">
            <v>D3.6305</v>
          </cell>
          <cell r="C1756" t="str">
            <v>Kéo dây ABC 3x70mm2</v>
          </cell>
        </row>
        <row r="1757">
          <cell r="A1757" t="str">
            <v>KDAABC3x95</v>
          </cell>
          <cell r="B1757" t="str">
            <v>D3.6306</v>
          </cell>
          <cell r="C1757" t="str">
            <v>Kéo dây ABC 3x95mm2</v>
          </cell>
        </row>
        <row r="1758">
          <cell r="A1758" t="str">
            <v>KDAABC3x120</v>
          </cell>
          <cell r="B1758" t="str">
            <v>D3.6307</v>
          </cell>
          <cell r="C1758" t="str">
            <v>Kéo dây ABC 3x120mm2</v>
          </cell>
        </row>
        <row r="1759">
          <cell r="A1759" t="str">
            <v>KDAABC3x150</v>
          </cell>
          <cell r="B1759" t="str">
            <v>D3.6308</v>
          </cell>
          <cell r="C1759" t="str">
            <v>Kéo dây ABC 3x150mm2</v>
          </cell>
        </row>
        <row r="1760">
          <cell r="A1760" t="str">
            <v>KDAABC2x50</v>
          </cell>
          <cell r="B1760" t="str">
            <v>D3.6304</v>
          </cell>
          <cell r="C1760" t="str">
            <v>Kéo dây ABC 2x50mm2</v>
          </cell>
        </row>
        <row r="1761">
          <cell r="A1761" t="str">
            <v>KDAABC2x70</v>
          </cell>
          <cell r="B1761" t="str">
            <v>D3.6305</v>
          </cell>
          <cell r="C1761" t="str">
            <v>Kéo dây ABC 2x70mm2</v>
          </cell>
        </row>
        <row r="1762">
          <cell r="A1762" t="str">
            <v>KDAABC2x95</v>
          </cell>
          <cell r="B1762" t="str">
            <v>D3.6306</v>
          </cell>
          <cell r="C1762" t="str">
            <v>Kéo dây ABC 2x95mm2</v>
          </cell>
        </row>
        <row r="1763">
          <cell r="A1763" t="str">
            <v>KDAABC2x120</v>
          </cell>
          <cell r="B1763" t="str">
            <v>D3.6307</v>
          </cell>
          <cell r="C1763" t="str">
            <v>Kéo dây ABC 2x120mm2</v>
          </cell>
        </row>
        <row r="1764">
          <cell r="A1764" t="str">
            <v>KDAABC2x150</v>
          </cell>
          <cell r="B1764" t="str">
            <v>D3.6308</v>
          </cell>
          <cell r="C1764" t="str">
            <v>Kéo dây ABC 2x150mm2</v>
          </cell>
        </row>
        <row r="1765">
          <cell r="A1765" t="str">
            <v>KDACXV70</v>
          </cell>
          <cell r="B1765" t="str">
            <v>D3.6211</v>
          </cell>
          <cell r="C1765" t="str">
            <v>Kéo dây nhôm lõi thép bọc cỡ dây 70mm2 (TC + MK)</v>
          </cell>
        </row>
        <row r="1766">
          <cell r="A1766" t="str">
            <v>KDACXV95</v>
          </cell>
          <cell r="B1766" t="str">
            <v>D3.6212</v>
          </cell>
          <cell r="C1766" t="str">
            <v>Kéo dây nhôm lõi thép bọc cỡ dây 95mm2 (TC + MK)</v>
          </cell>
        </row>
        <row r="1767">
          <cell r="A1767" t="str">
            <v>KDACXV120</v>
          </cell>
          <cell r="B1767" t="str">
            <v>D3.6213</v>
          </cell>
          <cell r="C1767" t="str">
            <v>Kéo dây nhôm lõi thép bọc cỡ dây 120mm2</v>
          </cell>
        </row>
        <row r="1768">
          <cell r="A1768" t="str">
            <v>KDACXV185</v>
          </cell>
          <cell r="B1768" t="str">
            <v>D3.6215</v>
          </cell>
          <cell r="C1768" t="str">
            <v>Kéo dây nhôm lõi thép bọc cỡ dây 185mm2</v>
          </cell>
        </row>
        <row r="1769">
          <cell r="A1769" t="str">
            <v>KDACXV240</v>
          </cell>
          <cell r="B1769" t="str">
            <v>D3.6251</v>
          </cell>
          <cell r="C1769" t="str">
            <v>Kéo dây nhôm lõi thép bọc cỡ dây 240mm2</v>
          </cell>
        </row>
        <row r="1770">
          <cell r="A1770" t="str">
            <v>KDM16</v>
          </cell>
          <cell r="B1770" t="str">
            <v>D3.6141</v>
          </cell>
          <cell r="C1770" t="str">
            <v>Kéo dây  đồng (M), tiết diện &lt;=16mm2, bằng thủ công</v>
          </cell>
        </row>
        <row r="1771">
          <cell r="A1771" t="str">
            <v>KDM120</v>
          </cell>
          <cell r="B1771" t="str">
            <v>D3.6171</v>
          </cell>
          <cell r="C1771" t="str">
            <v>Kéo dây  đồng (M), tiết diện &lt;=120mm2, bằng thủ công</v>
          </cell>
        </row>
        <row r="1772">
          <cell r="A1772" t="str">
            <v>KDM150</v>
          </cell>
          <cell r="B1772" t="str">
            <v>D3.6172</v>
          </cell>
          <cell r="C1772" t="str">
            <v>Kéo dây  đồng (M), tiết diện &lt;=150mm2, bằng thủ công</v>
          </cell>
        </row>
        <row r="1773">
          <cell r="A1773" t="str">
            <v>KDM185</v>
          </cell>
          <cell r="B1773" t="str">
            <v>D3.6173</v>
          </cell>
          <cell r="C1773" t="str">
            <v>Kéo dây  đồng (M), tiết diện &lt;=185mm2, bằng thủ công</v>
          </cell>
        </row>
        <row r="1774">
          <cell r="A1774" t="str">
            <v>KDM240</v>
          </cell>
          <cell r="B1774" t="str">
            <v>D3.6174</v>
          </cell>
          <cell r="C1774" t="str">
            <v>Kéo dây  đồng (M), tiết diện &lt;=240mm2, bằng thủ công</v>
          </cell>
        </row>
        <row r="1775">
          <cell r="A1775" t="str">
            <v>KDM70B</v>
          </cell>
          <cell r="B1775" t="str">
            <v>06.6146</v>
          </cell>
          <cell r="C1775" t="str">
            <v>Kéo dây đồng bọc 70mm2</v>
          </cell>
        </row>
        <row r="1776">
          <cell r="A1776" t="str">
            <v>LPVC114cap</v>
          </cell>
          <cell r="B1776" t="str">
            <v>D4.1413</v>
          </cell>
          <cell r="C1776" t="str">
            <v>Lắp ống nhựa PVC D&lt;=200mm</v>
          </cell>
        </row>
        <row r="1777">
          <cell r="A1777" t="str">
            <v>KCNT18kggia</v>
          </cell>
          <cell r="B1777">
            <v>73213</v>
          </cell>
          <cell r="C1777" t="str">
            <v>Lắp cáp ngầm trên giá đỡ loại &lt;=18kg</v>
          </cell>
        </row>
        <row r="1778">
          <cell r="A1778" t="str">
            <v>KCNT18kg</v>
          </cell>
          <cell r="B1778">
            <v>73413</v>
          </cell>
          <cell r="C1778" t="str">
            <v>Lắp cáp ngầm trong ống loại &lt;=18kg</v>
          </cell>
        </row>
        <row r="1779">
          <cell r="A1779" t="str">
            <v>LSDTBA</v>
          </cell>
          <cell r="B1779" t="str">
            <v>T4.2201</v>
          </cell>
          <cell r="C1779" t="str">
            <v>Lắp sứ đứng trong trạm, cấp điện áp 10-35kV</v>
          </cell>
        </row>
        <row r="1780">
          <cell r="A1780" t="str">
            <v>TSD</v>
          </cell>
          <cell r="B1780" t="str">
            <v>03.01.105</v>
          </cell>
          <cell r="C1780" t="str">
            <v>Tháo sứ đứng 24KV trên cột (theo ĐM 228)</v>
          </cell>
        </row>
        <row r="1781">
          <cell r="A1781" t="str">
            <v>LCHSNplyk</v>
          </cell>
          <cell r="B1781" t="str">
            <v>D3.2411</v>
          </cell>
          <cell r="C1781" t="str">
            <v>Lắp chuỗi sứ néo Polymer kép</v>
          </cell>
        </row>
        <row r="1782">
          <cell r="C1782" t="str">
            <v>Phần hotline</v>
          </cell>
        </row>
        <row r="1783">
          <cell r="A1783" t="str">
            <v>LcapdongTB400</v>
          </cell>
          <cell r="B1783" t="str">
            <v>T4.4204</v>
          </cell>
          <cell r="C1783" t="str">
            <v>Lắp cáp đồng xuống thiết bị tiết diện ≤ 400mm2</v>
          </cell>
        </row>
        <row r="1784">
          <cell r="A1784" t="str">
            <v>TFCO</v>
          </cell>
          <cell r="B1784" t="str">
            <v>02.3505</v>
          </cell>
          <cell r="C1784" t="str">
            <v>Tháo FCO 24KV (định mức 228)</v>
          </cell>
        </row>
        <row r="1785">
          <cell r="A1785" t="str">
            <v>Bảng kê đơn gía trạm biến áp ( 66/1999/QĐ-BCN)</v>
          </cell>
        </row>
        <row r="1786">
          <cell r="A1786" t="str">
            <v>TR10001Vo</v>
          </cell>
          <cell r="B1786" t="str">
            <v>05,3205</v>
          </cell>
          <cell r="C1786" t="str">
            <v>Tủ trạm hợp bộ đến 1000kVA</v>
          </cell>
        </row>
        <row r="1787">
          <cell r="A1787" t="str">
            <v>LA12DD</v>
          </cell>
          <cell r="B1787" t="str">
            <v>T2.5004</v>
          </cell>
          <cell r="C1787" t="str">
            <v>LA 12kV 10kA</v>
          </cell>
        </row>
        <row r="1788">
          <cell r="A1788" t="str">
            <v>LA18DD</v>
          </cell>
          <cell r="B1788" t="str">
            <v>T2.5004</v>
          </cell>
          <cell r="C1788" t="str">
            <v>LA 18kV 10kA</v>
          </cell>
        </row>
        <row r="1789">
          <cell r="A1789" t="str">
            <v>TI1000</v>
          </cell>
          <cell r="C1789" t="str">
            <v>Biến dòng 600V - 1000/5A</v>
          </cell>
        </row>
        <row r="1790">
          <cell r="A1790" t="str">
            <v>TI1200</v>
          </cell>
          <cell r="C1790" t="str">
            <v>Biến dòng 600V - 1200/5A</v>
          </cell>
        </row>
        <row r="1791">
          <cell r="A1791" t="str">
            <v>TI1600</v>
          </cell>
          <cell r="C1791" t="str">
            <v>Biến dòng 600V - 1600/5A</v>
          </cell>
        </row>
        <row r="1792">
          <cell r="A1792" t="str">
            <v>TUBU1200</v>
          </cell>
          <cell r="B1792" t="str">
            <v>T2.8506</v>
          </cell>
          <cell r="C1792" t="str">
            <v>Tủ tụ bù hạ thế 1200kVAr</v>
          </cell>
        </row>
        <row r="1793">
          <cell r="A1793" t="str">
            <v>TUBU800</v>
          </cell>
          <cell r="B1793" t="str">
            <v>05.1102</v>
          </cell>
          <cell r="C1793" t="str">
            <v>Tủ tụ bù hạ thế 800kVAr</v>
          </cell>
        </row>
        <row r="1794">
          <cell r="A1794" t="str">
            <v>TUBU500</v>
          </cell>
          <cell r="B1794" t="str">
            <v>05.1102</v>
          </cell>
          <cell r="C1794" t="str">
            <v>Tủ tụ bù hạ thế 500kVAr</v>
          </cell>
        </row>
        <row r="1795">
          <cell r="A1795" t="str">
            <v>TUBU140</v>
          </cell>
          <cell r="B1795" t="str">
            <v>T2.8505</v>
          </cell>
          <cell r="C1795" t="str">
            <v>Tủ tụ bù hạ thế 140kVAr</v>
          </cell>
        </row>
        <row r="1796">
          <cell r="A1796" t="str">
            <v>TUBU65</v>
          </cell>
          <cell r="B1796" t="str">
            <v>05.1102</v>
          </cell>
          <cell r="C1796" t="str">
            <v>Tủ tụ bù hạ thế 65kVAr</v>
          </cell>
        </row>
        <row r="1797">
          <cell r="A1797" t="str">
            <v>TU RMUIQI</v>
          </cell>
          <cell r="B1797" t="str">
            <v>05.2102</v>
          </cell>
          <cell r="C1797" t="str">
            <v>Tủ RMU 24kV 3 pha 630A -16kA IQI: 02 ngăn LBS 630A-16kA + 01 ngăn LBS Fuse 40A</v>
          </cell>
        </row>
        <row r="1798">
          <cell r="A1798" t="str">
            <v>RMU3L1T</v>
          </cell>
          <cell r="B1798" t="str">
            <v>T5.2002</v>
          </cell>
          <cell r="C1798" t="str">
            <v>Tủ RMU 4 ngăn IQII + 03 Bộ cảnh báo sự cố +phụ kiện + báo áp suất khí (20kA/S) + vỏ tủ</v>
          </cell>
        </row>
        <row r="1799">
          <cell r="A1799" t="str">
            <v>RMU2L1T</v>
          </cell>
          <cell r="B1799" t="str">
            <v>T5.2002</v>
          </cell>
          <cell r="C1799" t="str">
            <v>Tủ RMU 3 pha 630A -16kA 3 ngăn IQI + vỏ tủ +phụ kiện + báo áp suất khí (20kA/S)</v>
          </cell>
        </row>
        <row r="1800">
          <cell r="A1800" t="str">
            <v>TUACB1600</v>
          </cell>
          <cell r="B1800" t="str">
            <v>T5.1002</v>
          </cell>
          <cell r="C1800" t="str">
            <v>Tủ ACB + thanh cái 1600A</v>
          </cell>
        </row>
        <row r="1801">
          <cell r="A1801" t="str">
            <v>TUACB2000</v>
          </cell>
          <cell r="B1801" t="str">
            <v>T5.1002</v>
          </cell>
          <cell r="C1801" t="str">
            <v>Tủ ACB + thanh cái 2000A</v>
          </cell>
        </row>
        <row r="1802">
          <cell r="A1802" t="str">
            <v>TUACB2500</v>
          </cell>
          <cell r="B1802" t="str">
            <v>T5.1002</v>
          </cell>
          <cell r="C1802" t="str">
            <v>Tủ ACB + thanh cái 2500A</v>
          </cell>
        </row>
        <row r="1803">
          <cell r="A1803" t="str">
            <v>TUACB5000</v>
          </cell>
          <cell r="B1803" t="str">
            <v>T5.1002</v>
          </cell>
          <cell r="C1803" t="str">
            <v>Tủ ACB + thanh cái 5000A</v>
          </cell>
        </row>
        <row r="1804">
          <cell r="A1804" t="str">
            <v>TUMCCB-TG1</v>
          </cell>
          <cell r="B1804" t="str">
            <v>T5.1002</v>
          </cell>
          <cell r="C1804" t="str">
            <v>Tủ MCCB trạm giàn 1 ngăn</v>
          </cell>
        </row>
        <row r="1805">
          <cell r="A1805" t="str">
            <v>TUMCCB-TG</v>
          </cell>
          <cell r="B1805" t="str">
            <v>T5.1002</v>
          </cell>
          <cell r="C1805" t="str">
            <v>Tủ MCCB trạm giàn 2 ngăn</v>
          </cell>
        </row>
        <row r="1806">
          <cell r="A1806" t="str">
            <v>TUMCCB-TN</v>
          </cell>
          <cell r="B1806" t="str">
            <v>T5.1002</v>
          </cell>
          <cell r="C1806" t="str">
            <v xml:space="preserve">Tủ MCCB + tụ bù trạm nền </v>
          </cell>
        </row>
        <row r="1807">
          <cell r="A1807" t="str">
            <v>TUMCCB1250</v>
          </cell>
          <cell r="B1807" t="str">
            <v>T5.1002</v>
          </cell>
          <cell r="C1807" t="str">
            <v>Tủ MCCB + thanh cái 1250A</v>
          </cell>
        </row>
        <row r="1808">
          <cell r="A1808" t="str">
            <v>TUMCCB1600</v>
          </cell>
          <cell r="B1808" t="str">
            <v>T5.1002</v>
          </cell>
          <cell r="C1808" t="str">
            <v>Tủ MCCB + thanh cái 1600A</v>
          </cell>
        </row>
        <row r="1809">
          <cell r="A1809" t="str">
            <v>TuTG</v>
          </cell>
          <cell r="B1809" t="str">
            <v>T5.1002</v>
          </cell>
          <cell r="C1809" t="str">
            <v>Tủ MCCB trạm giàn 2 ngăn</v>
          </cell>
        </row>
        <row r="1810">
          <cell r="A1810" t="str">
            <v>TUMCCB1P-T</v>
          </cell>
          <cell r="B1810" t="str">
            <v>T5.1001</v>
          </cell>
          <cell r="C1810" t="str">
            <v>Tủ MCCB trạm treo 1 pha</v>
          </cell>
        </row>
        <row r="1811">
          <cell r="A1811" t="str">
            <v>TUMCCB3P-T</v>
          </cell>
          <cell r="B1811" t="str">
            <v>T5.1002</v>
          </cell>
          <cell r="C1811" t="str">
            <v>Tủ MCCB trạm treo 3 pha</v>
          </cell>
        </row>
        <row r="1812">
          <cell r="A1812" t="str">
            <v>TUMCCB3P</v>
          </cell>
          <cell r="B1812" t="str">
            <v>T5.1002</v>
          </cell>
          <cell r="C1812" t="str">
            <v>Tủ MCCB trạm 3 pha</v>
          </cell>
        </row>
        <row r="1813">
          <cell r="A1813" t="str">
            <v>VOTUDODEM</v>
          </cell>
          <cell r="B1813" t="str">
            <v>T5.1002</v>
          </cell>
          <cell r="C1813" t="str">
            <v>Vỏ tủ đo đếm trung thế sơn tỉnh điện</v>
          </cell>
        </row>
        <row r="1814">
          <cell r="A1814" t="str">
            <v>Hcongto</v>
          </cell>
          <cell r="B1814" t="str">
            <v>05.5104</v>
          </cell>
          <cell r="C1814" t="str">
            <v>Lắp hộp công tơ</v>
          </cell>
        </row>
        <row r="1815">
          <cell r="A1815" t="str">
            <v>CBtep32</v>
          </cell>
          <cell r="C1815" t="str">
            <v>CB tép 32A</v>
          </cell>
        </row>
        <row r="1816">
          <cell r="A1816" t="str">
            <v>CBtep63</v>
          </cell>
          <cell r="C1816" t="str">
            <v>CB tép 63A</v>
          </cell>
        </row>
        <row r="1817">
          <cell r="A1817" t="str">
            <v>ATM50A</v>
          </cell>
          <cell r="C1817" t="str">
            <v>Aptomat 2 cực 220V - 50A - 15kA</v>
          </cell>
        </row>
        <row r="1818">
          <cell r="A1818" t="str">
            <v>ATM60A</v>
          </cell>
          <cell r="C1818" t="str">
            <v>Aptomat 2 cực 220V - 60A - 15kA</v>
          </cell>
        </row>
        <row r="1819">
          <cell r="A1819" t="str">
            <v>ATM80A</v>
          </cell>
          <cell r="C1819" t="str">
            <v>Aptomat 2 cực 220V -80A-30kA</v>
          </cell>
        </row>
        <row r="1820">
          <cell r="A1820" t="str">
            <v>ATM125A</v>
          </cell>
          <cell r="C1820" t="str">
            <v>Aptomat 2 cực 220V -125A-30kA</v>
          </cell>
        </row>
        <row r="1821">
          <cell r="A1821" t="str">
            <v>ATM63</v>
          </cell>
          <cell r="C1821" t="str">
            <v>MCCB 3 cực 400V-63A - 7,5KA</v>
          </cell>
        </row>
        <row r="1822">
          <cell r="A1822" t="str">
            <v>ATM300</v>
          </cell>
          <cell r="C1822" t="str">
            <v>MCCB 3 cực 400V -300A - 36KA</v>
          </cell>
        </row>
        <row r="1823">
          <cell r="A1823" t="str">
            <v>ACB5000-130</v>
          </cell>
          <cell r="B1823" t="str">
            <v>T2.8407</v>
          </cell>
          <cell r="C1823" t="str">
            <v>ACB 3P - 5000A - 130KA (nạp lò xo bằng tay)</v>
          </cell>
        </row>
        <row r="1824">
          <cell r="A1824" t="str">
            <v>chiong25A</v>
          </cell>
          <cell r="C1824" t="str">
            <v>Chì ống 24kV - 25A</v>
          </cell>
        </row>
        <row r="1825">
          <cell r="A1825" t="str">
            <v>chiong100A</v>
          </cell>
          <cell r="C1825" t="str">
            <v>Chì ống 24kV - 100A</v>
          </cell>
        </row>
        <row r="1826">
          <cell r="A1826" t="str">
            <v>chupTuTi</v>
          </cell>
          <cell r="C1826" t="str">
            <v>Chụp đầu cực TI, TU</v>
          </cell>
        </row>
        <row r="1827">
          <cell r="A1827" t="str">
            <v>ChupFCO</v>
          </cell>
          <cell r="C1827" t="str">
            <v>Nắp che đầu cực FCO</v>
          </cell>
        </row>
        <row r="1828">
          <cell r="A1828" t="str">
            <v>ChuptrenFCO</v>
          </cell>
          <cell r="C1828" t="str">
            <v>Nắp che đầu cực dưới FCO</v>
          </cell>
        </row>
        <row r="1829">
          <cell r="A1829" t="str">
            <v>ChupduoiFCO</v>
          </cell>
          <cell r="C1829" t="str">
            <v>Nắp che đầu cực dưới FCO</v>
          </cell>
        </row>
        <row r="1830">
          <cell r="A1830" t="str">
            <v>chupkq</v>
          </cell>
          <cell r="C1830" t="str">
            <v>Chụp cách điện kẹp quai</v>
          </cell>
        </row>
        <row r="1831">
          <cell r="A1831" t="str">
            <v>ChupLA</v>
          </cell>
          <cell r="C1831" t="str">
            <v>Nắp che đầu cực LA</v>
          </cell>
        </row>
        <row r="1832">
          <cell r="A1832" t="str">
            <v>ChupMBA</v>
          </cell>
          <cell r="C1832" t="str">
            <v>Nắp che đầu sứ MBA</v>
          </cell>
        </row>
        <row r="1833">
          <cell r="A1833" t="str">
            <v>BANGdc</v>
          </cell>
          <cell r="C1833" t="str">
            <v>Bảng báo độ cao</v>
          </cell>
        </row>
        <row r="1834">
          <cell r="A1834" t="str">
            <v>GTMBA</v>
          </cell>
          <cell r="C1834" t="str">
            <v>Gía chùm treo máy biến áp 3x50</v>
          </cell>
        </row>
        <row r="1835">
          <cell r="A1835" t="str">
            <v>GTMBA75</v>
          </cell>
          <cell r="C1835" t="str">
            <v>Gía chùm treo máy biến áp 3x75</v>
          </cell>
        </row>
        <row r="1836">
          <cell r="A1836" t="str">
            <v>LGTMBA</v>
          </cell>
          <cell r="B1836" t="str">
            <v>T4.9302</v>
          </cell>
          <cell r="C1836" t="str">
            <v>Lắp gía chùm treo máy biến áp</v>
          </cell>
        </row>
        <row r="1837">
          <cell r="A1837" t="str">
            <v>GTMBA100</v>
          </cell>
          <cell r="B1837" t="str">
            <v>05.6101</v>
          </cell>
          <cell r="C1837" t="str">
            <v>Gía chùm treo máy biến áp 3x100</v>
          </cell>
        </row>
        <row r="1838">
          <cell r="A1838" t="str">
            <v>COS4</v>
          </cell>
          <cell r="B1838" t="str">
            <v>D4.5001</v>
          </cell>
          <cell r="C1838" t="str">
            <v xml:space="preserve">Đầu cosse ép Cu 4mm2 + bao PVC </v>
          </cell>
        </row>
        <row r="1839">
          <cell r="A1839" t="str">
            <v>COS25D</v>
          </cell>
          <cell r="B1839" t="str">
            <v>D4.5001</v>
          </cell>
          <cell r="C1839" t="str">
            <v xml:space="preserve">Đầu cosse ép Cu 25mm2 </v>
          </cell>
        </row>
        <row r="1840">
          <cell r="A1840" t="str">
            <v>COS35D</v>
          </cell>
          <cell r="B1840" t="str">
            <v>D4.5002</v>
          </cell>
          <cell r="C1840" t="str">
            <v>Đầu cosse ép Cu 35mm2</v>
          </cell>
        </row>
        <row r="1841">
          <cell r="A1841" t="str">
            <v>COS38D</v>
          </cell>
          <cell r="B1841" t="str">
            <v>D4.5002</v>
          </cell>
          <cell r="C1841" t="str">
            <v>Đầu cosse ép Cu 38mm2</v>
          </cell>
        </row>
        <row r="1842">
          <cell r="A1842" t="str">
            <v>COS50D</v>
          </cell>
          <cell r="B1842" t="str">
            <v>D4.5002</v>
          </cell>
          <cell r="C1842" t="str">
            <v>Đầu cosse ép Cu 50mm2</v>
          </cell>
        </row>
        <row r="1843">
          <cell r="A1843" t="str">
            <v>COS70D</v>
          </cell>
          <cell r="B1843" t="str">
            <v>D4.5003</v>
          </cell>
          <cell r="C1843" t="str">
            <v>Đầu cosse ép Cu 70mm2</v>
          </cell>
        </row>
        <row r="1844">
          <cell r="A1844" t="str">
            <v>COS95D</v>
          </cell>
          <cell r="B1844" t="str">
            <v>D4.5004</v>
          </cell>
          <cell r="C1844" t="str">
            <v>Đầu cosse ép Cu 95mm2</v>
          </cell>
        </row>
        <row r="1845">
          <cell r="A1845" t="str">
            <v>COS120D</v>
          </cell>
          <cell r="B1845" t="str">
            <v>D4.5005</v>
          </cell>
          <cell r="C1845" t="str">
            <v>Đầu cosse ép Cu 120mm2</v>
          </cell>
        </row>
        <row r="1846">
          <cell r="A1846" t="str">
            <v>COS150D</v>
          </cell>
          <cell r="B1846" t="str">
            <v>D4.5006</v>
          </cell>
          <cell r="C1846" t="str">
            <v>Đầu cosse ép Cu 150mm2</v>
          </cell>
        </row>
        <row r="1847">
          <cell r="A1847" t="str">
            <v>COS185D</v>
          </cell>
          <cell r="B1847" t="str">
            <v>D4.5007</v>
          </cell>
          <cell r="C1847" t="str">
            <v>Đầu cosse ép Cu 185mm2</v>
          </cell>
        </row>
        <row r="1848">
          <cell r="A1848" t="str">
            <v>COS200D</v>
          </cell>
          <cell r="B1848" t="str">
            <v>D4.5008</v>
          </cell>
          <cell r="C1848" t="str">
            <v>Đầu cosse ép Cu 200mm2</v>
          </cell>
        </row>
        <row r="1849">
          <cell r="A1849" t="str">
            <v>COS240D</v>
          </cell>
          <cell r="B1849" t="str">
            <v>D4.5008</v>
          </cell>
          <cell r="C1849" t="str">
            <v>Đầu cosse ép Cu 240mm2</v>
          </cell>
        </row>
        <row r="1850">
          <cell r="A1850" t="str">
            <v>COS250D</v>
          </cell>
          <cell r="B1850" t="str">
            <v>D4.5008</v>
          </cell>
          <cell r="C1850" t="str">
            <v>Đầu cosse ép Cu 250mm2</v>
          </cell>
        </row>
        <row r="1851">
          <cell r="A1851" t="str">
            <v>COS300D</v>
          </cell>
          <cell r="B1851" t="str">
            <v>D4.5009</v>
          </cell>
          <cell r="C1851" t="str">
            <v>Đầu cosse ép Cu 300mm2</v>
          </cell>
        </row>
        <row r="1852">
          <cell r="A1852" t="str">
            <v>COS400D</v>
          </cell>
          <cell r="B1852" t="str">
            <v>D4.5009</v>
          </cell>
          <cell r="C1852" t="str">
            <v>Đầu cosse ép Cu 400mm2</v>
          </cell>
        </row>
        <row r="1853">
          <cell r="A1853" t="str">
            <v>COS30</v>
          </cell>
          <cell r="B1853" t="str">
            <v>D4.5002</v>
          </cell>
          <cell r="C1853" t="str">
            <v>Đầu cosse ép Cu 35mm1</v>
          </cell>
        </row>
        <row r="1854">
          <cell r="A1854" t="str">
            <v>COS60</v>
          </cell>
          <cell r="B1854" t="str">
            <v>D4.5003</v>
          </cell>
          <cell r="C1854" t="str">
            <v>Đầu cosse ép Cu 60mm3</v>
          </cell>
        </row>
        <row r="1855">
          <cell r="A1855" t="str">
            <v>COS400</v>
          </cell>
          <cell r="B1855" t="str">
            <v>D4.5009</v>
          </cell>
          <cell r="C1855" t="str">
            <v>Đầu cosse ép Cu 400mm2</v>
          </cell>
        </row>
        <row r="1856">
          <cell r="A1856" t="str">
            <v>COS25-EP</v>
          </cell>
          <cell r="B1856" t="str">
            <v>D4.5001</v>
          </cell>
          <cell r="C1856" t="str">
            <v>Ép Đầu cosse 25mm2</v>
          </cell>
        </row>
        <row r="1857">
          <cell r="A1857" t="str">
            <v>COS50-EP</v>
          </cell>
          <cell r="B1857" t="str">
            <v>D4.5002</v>
          </cell>
          <cell r="C1857" t="str">
            <v>Ép Đầu cosse 50mm2</v>
          </cell>
        </row>
        <row r="1858">
          <cell r="A1858" t="str">
            <v>COS70-EP</v>
          </cell>
          <cell r="B1858" t="str">
            <v>D4.5003</v>
          </cell>
          <cell r="C1858" t="str">
            <v>Ép Đầu cosse 70mm2</v>
          </cell>
        </row>
        <row r="1859">
          <cell r="A1859" t="str">
            <v>COS95-EP</v>
          </cell>
          <cell r="B1859" t="str">
            <v>D4.5004</v>
          </cell>
          <cell r="C1859" t="str">
            <v>Ép Đầu cosse 95mm2</v>
          </cell>
        </row>
        <row r="1860">
          <cell r="A1860" t="str">
            <v>COS120-EP</v>
          </cell>
          <cell r="B1860" t="str">
            <v>D4.5005</v>
          </cell>
          <cell r="C1860" t="str">
            <v>Ép Đầu cosse 120mm2</v>
          </cell>
        </row>
        <row r="1861">
          <cell r="A1861" t="str">
            <v>COS150-EP</v>
          </cell>
          <cell r="B1861" t="str">
            <v>D4.5006</v>
          </cell>
          <cell r="C1861" t="str">
            <v>Ép Đầu cosse 150mm2</v>
          </cell>
        </row>
        <row r="1862">
          <cell r="A1862" t="str">
            <v>COS185-EP</v>
          </cell>
          <cell r="B1862" t="str">
            <v>D4.5007</v>
          </cell>
          <cell r="C1862" t="str">
            <v>Ép Đầu cosse 185mm2</v>
          </cell>
        </row>
        <row r="1863">
          <cell r="A1863" t="str">
            <v>COS200-EP</v>
          </cell>
          <cell r="B1863" t="str">
            <v>D4.5008</v>
          </cell>
          <cell r="C1863" t="str">
            <v>Ép Đầu cosse 200mm2</v>
          </cell>
        </row>
        <row r="1864">
          <cell r="A1864" t="str">
            <v>COS240-EP</v>
          </cell>
          <cell r="B1864" t="str">
            <v>D4.5008</v>
          </cell>
          <cell r="C1864" t="str">
            <v>Ép Đầu cosse 240mm2</v>
          </cell>
        </row>
        <row r="1865">
          <cell r="A1865" t="str">
            <v>COS250-EP</v>
          </cell>
          <cell r="B1865" t="str">
            <v>D4.5008</v>
          </cell>
          <cell r="C1865" t="str">
            <v>Ép Đầu cosse 250mm2</v>
          </cell>
        </row>
        <row r="1866">
          <cell r="A1866" t="str">
            <v>COS300-EP</v>
          </cell>
          <cell r="B1866" t="str">
            <v>D4.5009</v>
          </cell>
          <cell r="C1866" t="str">
            <v>Ép Đầu cosse 300mm2</v>
          </cell>
        </row>
        <row r="1867">
          <cell r="A1867" t="str">
            <v>COS400-EP</v>
          </cell>
          <cell r="B1867" t="str">
            <v>D4.5010</v>
          </cell>
          <cell r="C1867" t="str">
            <v>Ép Đầu cosse 400mm2</v>
          </cell>
        </row>
        <row r="1868">
          <cell r="A1868" t="str">
            <v>Duplex 222</v>
          </cell>
          <cell r="C1868" t="str">
            <v>Cáp Duplex 2x22</v>
          </cell>
        </row>
        <row r="1869">
          <cell r="A1869" t="str">
            <v>Duplex 322</v>
          </cell>
          <cell r="C1869" t="str">
            <v>Cáp Triplex 3x22</v>
          </cell>
        </row>
        <row r="1870">
          <cell r="A1870" t="str">
            <v>Duplex 422</v>
          </cell>
          <cell r="C1870" t="str">
            <v>Cáp Quadruplex 4x22</v>
          </cell>
        </row>
        <row r="1871">
          <cell r="A1871" t="str">
            <v>PVC34</v>
          </cell>
          <cell r="C1871" t="str">
            <v xml:space="preserve">Ống PVC D34 </v>
          </cell>
        </row>
        <row r="1872">
          <cell r="A1872" t="str">
            <v>ONGDH60</v>
          </cell>
          <cell r="C1872" t="str">
            <v>Ống đàn hồi 60</v>
          </cell>
        </row>
        <row r="1873">
          <cell r="A1873" t="str">
            <v>ONGDH34</v>
          </cell>
          <cell r="C1873" t="str">
            <v>Ống đàn hồi 34</v>
          </cell>
        </row>
        <row r="1874">
          <cell r="A1874" t="str">
            <v>ONGDH90</v>
          </cell>
          <cell r="C1874" t="str">
            <v>Ống đàn hồi 90 (Ruột gà)</v>
          </cell>
        </row>
        <row r="1875">
          <cell r="A1875" t="str">
            <v>BANGKEOTT</v>
          </cell>
          <cell r="C1875" t="str">
            <v>Băng keo cách điện trung thế</v>
          </cell>
        </row>
        <row r="1876">
          <cell r="A1876" t="str">
            <v>TĐCĐABC120</v>
          </cell>
          <cell r="C1876" t="str">
            <v>Tiếp địa cố định cáp ABC 120mm2</v>
          </cell>
        </row>
        <row r="1877">
          <cell r="A1877" t="str">
            <v>TĐCĐABC95</v>
          </cell>
          <cell r="C1877" t="str">
            <v>Tiếp địa cố định cáp ABC 95mm2</v>
          </cell>
        </row>
        <row r="1878">
          <cell r="A1878" t="str">
            <v>KVRT34</v>
          </cell>
          <cell r="C1878" t="str">
            <v>Khâu ven răng trong D34</v>
          </cell>
        </row>
        <row r="1879">
          <cell r="A1879" t="str">
            <v>KVRT60</v>
          </cell>
          <cell r="C1879" t="str">
            <v>Khâu ven răng trong D60</v>
          </cell>
        </row>
        <row r="1880">
          <cell r="A1880" t="str">
            <v>KVRN34</v>
          </cell>
          <cell r="C1880" t="str">
            <v>Khâu ven răng ngoài D34</v>
          </cell>
        </row>
        <row r="1881">
          <cell r="A1881" t="str">
            <v>KVRN60</v>
          </cell>
          <cell r="C1881" t="str">
            <v>Khâu ven răng ngoài D60</v>
          </cell>
        </row>
        <row r="1882">
          <cell r="A1882" t="str">
            <v>Noi60</v>
          </cell>
          <cell r="C1882" t="str">
            <v>Nối ống PVC 60</v>
          </cell>
        </row>
        <row r="1883">
          <cell r="A1883" t="str">
            <v>U16-196</v>
          </cell>
          <cell r="C1883" t="str">
            <v>Đà U160x64x5x1960 chống đà MBA (2 thanh)</v>
          </cell>
        </row>
        <row r="1884">
          <cell r="A1884" t="str">
            <v>U16-150</v>
          </cell>
          <cell r="C1884" t="str">
            <v>Đà U160x64x5x1500 đỡ MBA (2 thanh)</v>
          </cell>
        </row>
        <row r="1885">
          <cell r="A1885" t="str">
            <v>U16-145</v>
          </cell>
          <cell r="C1885" t="str">
            <v>Đà U160x64x5x1450 chống đà ngoài bắt MBA (1 thanh)</v>
          </cell>
        </row>
        <row r="1886">
          <cell r="A1886" t="str">
            <v>U16-100T</v>
          </cell>
          <cell r="C1886" t="str">
            <v>Đà U160x64x5x1000 đà trong bắt MBA (1 thanh)</v>
          </cell>
        </row>
        <row r="1887">
          <cell r="A1887" t="str">
            <v>U16-100N</v>
          </cell>
          <cell r="C1887" t="str">
            <v>Đà U160x64x5x1000 đà ngoài bắt MBA (1 thanh)</v>
          </cell>
        </row>
        <row r="1888">
          <cell r="A1888" t="str">
            <v>U10-100</v>
          </cell>
          <cell r="C1888" t="str">
            <v>Đà U100x46x5x1000 đà kẹp bắt MBA (1 thanh)</v>
          </cell>
        </row>
        <row r="1889">
          <cell r="A1889" t="str">
            <v>U10-75CT</v>
          </cell>
          <cell r="C1889" t="str">
            <v>Đà U100x46x5x750 đà ốp bắt chống đà trong bắt MBA (1 thanh)</v>
          </cell>
        </row>
        <row r="1890">
          <cell r="A1890" t="str">
            <v>U10-75CN</v>
          </cell>
          <cell r="C1890" t="str">
            <v>Đà U100x46x5x750 đà ốp bắt chống đà ngoài đỡ MBA (1 thanh)</v>
          </cell>
        </row>
        <row r="1891">
          <cell r="A1891" t="str">
            <v>U10-70</v>
          </cell>
          <cell r="C1891" t="str">
            <v>Đà U100x46x5x700 đà ốp đỡ MBA (2 thanh)</v>
          </cell>
        </row>
        <row r="1892">
          <cell r="A1892" t="str">
            <v>U10-40</v>
          </cell>
          <cell r="C1892" t="str">
            <v>Đà U100x46x5x400 đà ốp chống đà (2 thanh)</v>
          </cell>
        </row>
        <row r="1893">
          <cell r="A1893" t="str">
            <v>U12-285</v>
          </cell>
          <cell r="C1893" t="str">
            <v>Đà U120x52x4,8x2850mm</v>
          </cell>
        </row>
        <row r="1894">
          <cell r="A1894" t="str">
            <v>U16203</v>
          </cell>
          <cell r="C1894" t="str">
            <v>Đà U160x68x5x2033 chống MBA : 2 thanh</v>
          </cell>
        </row>
        <row r="1895">
          <cell r="A1895" t="str">
            <v>U20203</v>
          </cell>
          <cell r="C1895" t="str">
            <v>Đà U200x76x5,2x2033 chống MBA : 2 thanh</v>
          </cell>
        </row>
        <row r="1896">
          <cell r="A1896" t="str">
            <v>U10040</v>
          </cell>
          <cell r="C1896" t="str">
            <v>Đà U100x46x4,5x400 ốp đà chống : 2 thanh</v>
          </cell>
        </row>
        <row r="1897">
          <cell r="A1897" t="str">
            <v>U16142</v>
          </cell>
          <cell r="C1897" t="str">
            <v>Đà U160x68x5x1428 Chống ngoài bắt MBA : 1 thanh</v>
          </cell>
        </row>
        <row r="1898">
          <cell r="A1898" t="str">
            <v>U20142</v>
          </cell>
          <cell r="C1898" t="str">
            <v>Đà U200x76x5,2x1428 Chống ngoài bắt MBA : 1 thanh</v>
          </cell>
        </row>
        <row r="1899">
          <cell r="A1899" t="str">
            <v>U10075</v>
          </cell>
          <cell r="C1899" t="str">
            <v>Đà U100x46x4,5x750 ốp Chống ngoài bắt MBA : 1 thanh</v>
          </cell>
        </row>
        <row r="1900">
          <cell r="A1900" t="str">
            <v>U100750</v>
          </cell>
          <cell r="C1900" t="str">
            <v>Đà U100x46x4,5x750 Chống ngoài đỡ MBA : 1 thanh</v>
          </cell>
        </row>
        <row r="1901">
          <cell r="A1901" t="str">
            <v>U16150</v>
          </cell>
          <cell r="C1901" t="str">
            <v>Đà U160x68x5x1500 đỡ MBA : 2 thanh</v>
          </cell>
        </row>
        <row r="1902">
          <cell r="A1902" t="str">
            <v>U20150</v>
          </cell>
          <cell r="C1902" t="str">
            <v>Đà U200x76x5,2x1500 đỡ MBA : 2 thanh</v>
          </cell>
        </row>
        <row r="1903">
          <cell r="A1903" t="str">
            <v>U10070</v>
          </cell>
          <cell r="C1903" t="str">
            <v>Đà U100x46x4,5x700 ốp đà  đỡ MBA : 2 thanh</v>
          </cell>
        </row>
        <row r="1904">
          <cell r="A1904" t="str">
            <v>U1680</v>
          </cell>
          <cell r="C1904" t="str">
            <v>Đà U160x68x5x800 trong bắt MBA : 1 thanh</v>
          </cell>
        </row>
        <row r="1905">
          <cell r="A1905" t="str">
            <v>U2080</v>
          </cell>
          <cell r="C1905" t="str">
            <v>Đà U200x76x5,2x800 trong bắt MBA : 1 thanh</v>
          </cell>
        </row>
        <row r="1906">
          <cell r="A1906" t="str">
            <v>U100-70</v>
          </cell>
          <cell r="C1906" t="str">
            <v>Đà U100x46x4,5x700 kẹp bắt MBA : 1 thanh</v>
          </cell>
        </row>
        <row r="1907">
          <cell r="A1907" t="str">
            <v>U16-80</v>
          </cell>
          <cell r="C1907" t="str">
            <v>Đà U160x68x5x800 ngoài bắt MBA : 1 thanh</v>
          </cell>
        </row>
        <row r="1908">
          <cell r="A1908" t="str">
            <v>U20-80</v>
          </cell>
          <cell r="C1908" t="str">
            <v>Đà U200x76x5,2x800 ngoài bắt MBA : 1 thanh</v>
          </cell>
        </row>
        <row r="1909">
          <cell r="A1909" t="str">
            <v>GIP150-35</v>
          </cell>
          <cell r="C1909" t="str">
            <v>Ghíp nối IPC 150-35</v>
          </cell>
        </row>
        <row r="1910">
          <cell r="A1910" t="str">
            <v>GIP120-95</v>
          </cell>
          <cell r="C1910" t="str">
            <v>Ghíp nối IPC 120-95</v>
          </cell>
        </row>
        <row r="1911">
          <cell r="A1911" t="str">
            <v>GIP150-95</v>
          </cell>
          <cell r="C1911" t="str">
            <v>Ghíp nối IPC 150-95</v>
          </cell>
        </row>
        <row r="1912">
          <cell r="A1912" t="str">
            <v>GIP150-150</v>
          </cell>
          <cell r="C1912" t="str">
            <v>Ghíp nối IPC 150-150</v>
          </cell>
        </row>
        <row r="1913">
          <cell r="A1913" t="str">
            <v>GIP150-120</v>
          </cell>
          <cell r="C1913" t="str">
            <v>Ghíp nối IPC 150-120</v>
          </cell>
        </row>
        <row r="1914">
          <cell r="A1914" t="str">
            <v>GIP120-120</v>
          </cell>
          <cell r="C1914" t="str">
            <v>Ghíp nối IPC 120-120</v>
          </cell>
        </row>
        <row r="1915">
          <cell r="A1915" t="str">
            <v xml:space="preserve"> KQDUPLEX35 </v>
          </cell>
          <cell r="B1915" t="str">
            <v>06.7003</v>
          </cell>
          <cell r="C1915" t="str">
            <v>Kéo dây quadruplex CV-4x35-0.6/1kV</v>
          </cell>
        </row>
        <row r="1916">
          <cell r="A1916" t="str">
            <v xml:space="preserve"> KQDUPLEX22 </v>
          </cell>
          <cell r="B1916" t="str">
            <v>06.7002</v>
          </cell>
          <cell r="C1916" t="str">
            <v>Kéo dây quadruplex CV-4x22-0.6/1kV</v>
          </cell>
        </row>
        <row r="1917">
          <cell r="A1917" t="str">
            <v xml:space="preserve"> KQDUPLEX16 </v>
          </cell>
          <cell r="B1917" t="str">
            <v>06.7001</v>
          </cell>
          <cell r="C1917" t="str">
            <v>Kéo dây quadruplex CV-4x16-0.6/1kV</v>
          </cell>
        </row>
        <row r="1918">
          <cell r="A1918" t="str">
            <v xml:space="preserve"> KQDUPLEX14 </v>
          </cell>
          <cell r="B1918" t="str">
            <v>06.7001</v>
          </cell>
          <cell r="C1918" t="str">
            <v>Kéo dây quadruplex CV-4x14-0.6/1kV</v>
          </cell>
        </row>
        <row r="1919">
          <cell r="A1919" t="str">
            <v xml:space="preserve"> KQDUPLEX11 </v>
          </cell>
          <cell r="B1919" t="str">
            <v>06.7001</v>
          </cell>
          <cell r="C1919" t="str">
            <v>Kéo dây quadruplex CV-4x11-0.6/1kV</v>
          </cell>
        </row>
        <row r="1920">
          <cell r="A1920" t="str">
            <v xml:space="preserve"> KTriplex16 </v>
          </cell>
          <cell r="B1920" t="str">
            <v>06.7001</v>
          </cell>
          <cell r="C1920" t="str">
            <v>Kéo dây triplex CV-3x16-0.6/1kV</v>
          </cell>
        </row>
        <row r="1921">
          <cell r="A1921" t="str">
            <v xml:space="preserve"> KDUPLEX11 </v>
          </cell>
          <cell r="B1921" t="str">
            <v>06.7001</v>
          </cell>
          <cell r="C1921" t="str">
            <v>Kéo dây duplex CV-2x11-0.6/1kV</v>
          </cell>
        </row>
        <row r="1922">
          <cell r="A1922" t="str">
            <v>Diabaohieuhopnoi</v>
          </cell>
          <cell r="C1922" t="str">
            <v>Mốc báo hiệu hộp nối cáp ngầm</v>
          </cell>
        </row>
        <row r="1923">
          <cell r="A1923">
            <v>3</v>
          </cell>
          <cell r="B1923" t="str">
            <v>6</v>
          </cell>
          <cell r="C1923">
            <v>9</v>
          </cell>
        </row>
        <row r="1925">
          <cell r="A1925" t="str">
            <v>Ltkepquai</v>
          </cell>
          <cell r="B1925" t="str">
            <v>D4.6201</v>
          </cell>
          <cell r="C1925" t="str">
            <v>Lắp đặt và tháo kẹp quai</v>
          </cell>
        </row>
        <row r="1926">
          <cell r="A1926" t="str">
            <v>Lthotline</v>
          </cell>
          <cell r="B1926" t="str">
            <v>D4.6202</v>
          </cell>
          <cell r="C1926" t="str">
            <v>Lắp đặt và tháo kẹp hotline</v>
          </cell>
        </row>
        <row r="1927">
          <cell r="A1927" t="str">
            <v>LTIPC</v>
          </cell>
          <cell r="B1927" t="str">
            <v>D4.6203</v>
          </cell>
          <cell r="C1927" t="str">
            <v>Lắp đặt và tháo kẹp IPC</v>
          </cell>
        </row>
        <row r="1928">
          <cell r="A1928" t="str">
            <v>LTkepdung70</v>
          </cell>
          <cell r="B1928" t="str">
            <v>D4.6204</v>
          </cell>
          <cell r="C1928" t="str">
            <v>Lắp đặt và tháo kẹp dừng cáp ABC có tiết diện &lt;=70mm2</v>
          </cell>
        </row>
        <row r="1929">
          <cell r="A1929" t="str">
            <v>LTkepdung120</v>
          </cell>
          <cell r="B1929" t="str">
            <v>D4.6205</v>
          </cell>
          <cell r="C1929" t="str">
            <v>Lắp đặt và tháo kẹp dừng cáp ABC có tiết diện &lt;=120mm2</v>
          </cell>
        </row>
        <row r="1930">
          <cell r="A1930" t="str">
            <v>LTBulonduoiheo</v>
          </cell>
          <cell r="B1930" t="str">
            <v>D4.6206</v>
          </cell>
          <cell r="C1930" t="str">
            <v>Lắp đặt và tháo bulon đuôi heo</v>
          </cell>
        </row>
        <row r="1931">
          <cell r="A1931" t="str">
            <v>Tkepquai</v>
          </cell>
          <cell r="B1931" t="str">
            <v>D4.6201</v>
          </cell>
          <cell r="C1931" t="str">
            <v>Tháo kẹp quai</v>
          </cell>
        </row>
        <row r="1932">
          <cell r="A1932" t="str">
            <v>Thotline</v>
          </cell>
          <cell r="B1932" t="str">
            <v>D4.6202</v>
          </cell>
          <cell r="C1932" t="str">
            <v>Tháo kẹp hotline</v>
          </cell>
        </row>
        <row r="1933">
          <cell r="A1933" t="str">
            <v>TIPC</v>
          </cell>
          <cell r="B1933" t="str">
            <v>D4.6203</v>
          </cell>
          <cell r="C1933" t="str">
            <v>Tháo kẹp IPC</v>
          </cell>
        </row>
        <row r="1934">
          <cell r="A1934" t="str">
            <v>Tkepdung70</v>
          </cell>
          <cell r="B1934" t="str">
            <v>D4.6204</v>
          </cell>
          <cell r="C1934" t="str">
            <v>Tháo kẹp dừng cáp ABC có tiết diện &lt;=70mm2</v>
          </cell>
        </row>
        <row r="1935">
          <cell r="A1935" t="str">
            <v>Tkepdung120</v>
          </cell>
          <cell r="B1935" t="str">
            <v>D4.6205</v>
          </cell>
          <cell r="C1935" t="str">
            <v>Tháo kẹp dừng cáp ABC có tiết diện &lt;=120mm2</v>
          </cell>
        </row>
        <row r="1936">
          <cell r="A1936" t="str">
            <v>TBulonduoiheo</v>
          </cell>
          <cell r="B1936" t="str">
            <v>D4.6206</v>
          </cell>
          <cell r="C1936" t="str">
            <v>Tháo bulon đuôi heo</v>
          </cell>
        </row>
        <row r="1937">
          <cell r="A1937" t="str">
            <v>Ldke1pha</v>
          </cell>
          <cell r="B1937" t="str">
            <v>D4.6301</v>
          </cell>
          <cell r="C1937" t="str">
            <v>Lắp đặt điện kế 1 pha</v>
          </cell>
        </row>
        <row r="1938">
          <cell r="A1938" t="str">
            <v>Ldke3pha</v>
          </cell>
          <cell r="B1938" t="str">
            <v>D4.6302</v>
          </cell>
          <cell r="C1938" t="str">
            <v>Lắp đặt điện kế 3 pha</v>
          </cell>
        </row>
        <row r="1939">
          <cell r="A1939" t="str">
            <v>Lhopdke</v>
          </cell>
          <cell r="B1939" t="str">
            <v>D4.6303</v>
          </cell>
          <cell r="C1939" t="str">
            <v>Lắp đặt hộp điện kế</v>
          </cell>
        </row>
        <row r="1940">
          <cell r="A1940" t="str">
            <v>Tdke1pha</v>
          </cell>
          <cell r="B1940" t="str">
            <v>D4.6301</v>
          </cell>
          <cell r="C1940" t="str">
            <v>Tháo điện kế 1 pha</v>
          </cell>
        </row>
        <row r="1941">
          <cell r="A1941" t="str">
            <v>Tdke3pha</v>
          </cell>
          <cell r="B1941" t="str">
            <v>D4.6302</v>
          </cell>
          <cell r="C1941" t="str">
            <v>Tháo điện kế 3 pha</v>
          </cell>
        </row>
        <row r="1942">
          <cell r="A1942" t="str">
            <v>Thopdke</v>
          </cell>
          <cell r="B1942" t="str">
            <v>D4.6303</v>
          </cell>
          <cell r="C1942" t="str">
            <v>Tháo hộp điện kế</v>
          </cell>
        </row>
        <row r="1943">
          <cell r="A1943" t="str">
            <v>Lhopdke2</v>
          </cell>
          <cell r="B1943" t="str">
            <v>D4.6303</v>
          </cell>
          <cell r="C1943" t="str">
            <v>Lắp đặt hộp điện kế (2 hộp điện kế)</v>
          </cell>
        </row>
        <row r="1944">
          <cell r="A1944" t="str">
            <v>Lhopdke4</v>
          </cell>
          <cell r="B1944" t="str">
            <v>D4.6303</v>
          </cell>
          <cell r="C1944" t="str">
            <v>Lắp đặt hộp điện kế (4 hộp điện kế)</v>
          </cell>
        </row>
        <row r="1945">
          <cell r="A1945" t="str">
            <v>TL MBA1-50</v>
          </cell>
          <cell r="B1945" t="str">
            <v>T1.1411</v>
          </cell>
          <cell r="C1945" t="str">
            <v>Tháo lắp MBA 1 pha công suất &lt;=50kVA</v>
          </cell>
        </row>
        <row r="1946">
          <cell r="A1946" t="str">
            <v>TMBA3P30</v>
          </cell>
          <cell r="B1946" t="str">
            <v>T1.1411</v>
          </cell>
          <cell r="C1946" t="str">
            <v>Tháo MBA 3 pha công suất &lt;=30kVA, 35(22)/0,4kV</v>
          </cell>
        </row>
        <row r="1947">
          <cell r="A1947" t="str">
            <v>TMBA3P50</v>
          </cell>
          <cell r="B1947" t="str">
            <v>T1.1412</v>
          </cell>
          <cell r="C1947" t="str">
            <v>Tháo MBA 3 pha công suất &lt;=50kVA, 35(22)/0,4kV</v>
          </cell>
        </row>
        <row r="1948">
          <cell r="A1948" t="str">
            <v>TMBA3P100</v>
          </cell>
          <cell r="B1948" t="str">
            <v>T1.1413</v>
          </cell>
          <cell r="C1948" t="str">
            <v>Tháo MBA 3 pha công suất &lt;=100kVA, 35(22)/0,4kV</v>
          </cell>
        </row>
        <row r="1949">
          <cell r="A1949" t="str">
            <v>TMBA3P180</v>
          </cell>
          <cell r="B1949" t="str">
            <v>T1.1414</v>
          </cell>
          <cell r="C1949" t="str">
            <v>Tháo MBA 3 pha công suất &lt;=180kVA, 35(22)/0,4kV</v>
          </cell>
        </row>
        <row r="1950">
          <cell r="A1950" t="str">
            <v>TMBA3P320</v>
          </cell>
          <cell r="B1950" t="str">
            <v>T1.1415</v>
          </cell>
          <cell r="C1950" t="str">
            <v>Tháo MBA 3 pha công suất &lt;=320kVA, 35(22)/0,4kV</v>
          </cell>
        </row>
        <row r="1951">
          <cell r="A1951" t="str">
            <v>TMBA3P560</v>
          </cell>
          <cell r="B1951" t="str">
            <v>T1.1416</v>
          </cell>
          <cell r="C1951" t="str">
            <v>Tháo MBA 3 pha công suất &lt;=560kVA, 35(22)/0,4kV</v>
          </cell>
        </row>
        <row r="1952">
          <cell r="A1952" t="str">
            <v>TMBA3P750</v>
          </cell>
          <cell r="B1952" t="str">
            <v>T1.1417</v>
          </cell>
          <cell r="C1952" t="str">
            <v>Tháo MBA 3 pha công suất &lt;=750kVA, 35(22)/0,4kV</v>
          </cell>
        </row>
        <row r="1953">
          <cell r="A1953" t="str">
            <v>TMBA3P7501</v>
          </cell>
          <cell r="B1953" t="str">
            <v>T1.1418</v>
          </cell>
          <cell r="C1953" t="str">
            <v>Tháo MBA 3 pha công suất &gt;750kVA, 35(22)/0,4kV</v>
          </cell>
        </row>
        <row r="1954">
          <cell r="A1954" t="str">
            <v>TMBA1P30</v>
          </cell>
          <cell r="B1954" t="str">
            <v>T1.1431</v>
          </cell>
          <cell r="C1954" t="str">
            <v>Tháo MBA 1 pha công suất &lt;=30kVA, 15;(10);(6)/0,4kV</v>
          </cell>
        </row>
        <row r="1955">
          <cell r="A1955" t="str">
            <v>TMBA1P50</v>
          </cell>
          <cell r="B1955" t="str">
            <v>T1.1432</v>
          </cell>
          <cell r="C1955" t="str">
            <v>Tháo MBA 1 pha công suất &lt;=50kVA, 15;(10);(6)/0,4kV</v>
          </cell>
        </row>
        <row r="1956">
          <cell r="A1956" t="str">
            <v>TMBA1P75</v>
          </cell>
          <cell r="B1956" t="str">
            <v>T1.1433</v>
          </cell>
          <cell r="C1956" t="str">
            <v>Tháo MBA 1 pha công suất &lt;=75kVA, 15;(10);(6)/0,4kV</v>
          </cell>
        </row>
        <row r="1957">
          <cell r="A1957" t="str">
            <v>TMBA1P100</v>
          </cell>
          <cell r="B1957" t="str">
            <v>T1.1434</v>
          </cell>
          <cell r="C1957" t="str">
            <v>Tháo MBA 1 pha công suất &lt;=100kVA, 15;(10);(6)/0,4kV</v>
          </cell>
        </row>
        <row r="1958">
          <cell r="A1958" t="str">
            <v>TMBA1P150</v>
          </cell>
          <cell r="B1958" t="str">
            <v>T1.1435</v>
          </cell>
          <cell r="C1958" t="str">
            <v>Tháo MBA 1 pha công suất &lt;=150kVA, 15;(10);(6)/0,4kV</v>
          </cell>
        </row>
        <row r="1959">
          <cell r="A1959" t="str">
            <v>TMBA1P250</v>
          </cell>
          <cell r="B1959" t="str">
            <v>T1.1436</v>
          </cell>
          <cell r="C1959" t="str">
            <v>Tháo MBA 1 pha công suất &lt;=250kVA, 15;(10);(6)/0,4kV</v>
          </cell>
        </row>
        <row r="1960">
          <cell r="A1960" t="str">
            <v>TLBS35</v>
          </cell>
          <cell r="B1960" t="str">
            <v>T2.2204</v>
          </cell>
          <cell r="C1960" t="str">
            <v>Tháo LBS, recloser, cấp điện áp &lt;=35kV</v>
          </cell>
        </row>
        <row r="1961">
          <cell r="A1961" t="str">
            <v>TDCL1P</v>
          </cell>
          <cell r="B1961" t="str">
            <v>T2.3114</v>
          </cell>
          <cell r="C1961" t="str">
            <v>Tháo dao cách ly 1 pha không tiếp đất, cấp điện áp &lt;=35kV</v>
          </cell>
        </row>
        <row r="1962">
          <cell r="A1962" t="str">
            <v>TCSVCo</v>
          </cell>
          <cell r="B1962" t="str">
            <v>T2.5004</v>
          </cell>
          <cell r="C1962" t="str">
            <v>Tháo chống sét van dùng vật liệu composite, cấp điện áp &lt;=35kV</v>
          </cell>
        </row>
        <row r="1963">
          <cell r="C1963" t="str">
            <v>Phần nhân công áp dụng định mức 228</v>
          </cell>
        </row>
        <row r="1964">
          <cell r="A1964" t="str">
            <v>TTu1P_228</v>
          </cell>
          <cell r="B1964" t="str">
            <v>13.01.00</v>
          </cell>
          <cell r="C1964" t="str">
            <v>Tháo tủ điện hạ áp xoay chiều 1P (định mức 228)</v>
          </cell>
        </row>
        <row r="1965">
          <cell r="A1965" t="str">
            <v>TL Tu3P</v>
          </cell>
          <cell r="B1965" t="str">
            <v>13.01.00</v>
          </cell>
          <cell r="C1965" t="str">
            <v>Tháo tủ điện hạ áp 3P</v>
          </cell>
        </row>
        <row r="1966">
          <cell r="A1966" t="str">
            <v>TFCO_228</v>
          </cell>
          <cell r="B1966" t="str">
            <v>14.04.00</v>
          </cell>
          <cell r="C1966" t="str">
            <v>Tháo FCO (định mức 228)</v>
          </cell>
        </row>
        <row r="1967">
          <cell r="A1967" t="str">
            <v>TSD_228</v>
          </cell>
          <cell r="B1967" t="str">
            <v>03.01.105</v>
          </cell>
          <cell r="C1967" t="str">
            <v>Tháo sứ đứng 24KV trên cột (định mức 228)</v>
          </cell>
        </row>
        <row r="1968">
          <cell r="A1968" t="str">
            <v>C8m228H</v>
          </cell>
          <cell r="B1968" t="str">
            <v>04.02.10</v>
          </cell>
          <cell r="C1968" t="str">
            <v>Hạ trụ BTLT 8,5m (định mức 228)</v>
          </cell>
        </row>
        <row r="1969">
          <cell r="A1969" t="str">
            <v>C10m228H</v>
          </cell>
          <cell r="B1969" t="str">
            <v>04.02.20</v>
          </cell>
          <cell r="C1969" t="str">
            <v>Hạ trụ BTLT 10,5m (định mức 228)</v>
          </cell>
        </row>
        <row r="1970">
          <cell r="A1970" t="str">
            <v>C12m228H</v>
          </cell>
          <cell r="B1970" t="str">
            <v>04.02.30</v>
          </cell>
          <cell r="C1970" t="str">
            <v>Hạ trụ BTLT 12m (định mức 228)</v>
          </cell>
        </row>
        <row r="1971">
          <cell r="A1971" t="str">
            <v>C14m228H</v>
          </cell>
          <cell r="B1971" t="str">
            <v>04.02.40</v>
          </cell>
          <cell r="C1971" t="str">
            <v>Hạ trụ BTLT 14m (định mức 228)</v>
          </cell>
        </row>
        <row r="1972">
          <cell r="A1972" t="str">
            <v>TLCap1kg-228</v>
          </cell>
          <cell r="B1972" t="str">
            <v>06.08.401</v>
          </cell>
          <cell r="C1972" t="str">
            <v>Thay cáp luồn trong ống, trọng lượng cáp &lt;= 1 kg/m (&lt;=95mm2) (định mức 228)</v>
          </cell>
        </row>
        <row r="1973">
          <cell r="A1973" t="str">
            <v>TLCap2kg-228</v>
          </cell>
          <cell r="B1973" t="str">
            <v>06.08.402</v>
          </cell>
          <cell r="C1973" t="str">
            <v>Thay cáp luồn trong ống, trọng lượng cáp &lt;= 2 kg/m (&lt;=200mm2) (định mức 228)</v>
          </cell>
        </row>
        <row r="1974">
          <cell r="A1974" t="str">
            <v>TLCap3kg-228</v>
          </cell>
          <cell r="B1974" t="str">
            <v>06.08.403</v>
          </cell>
          <cell r="C1974" t="str">
            <v>Thay cáp luồn trong ống, trọng lượng cáp &lt;= 3 kg/m (&lt;=300mm2) (định mức 228)</v>
          </cell>
        </row>
        <row r="1975">
          <cell r="A1975" t="str">
            <v>TLCap4,5kg-228</v>
          </cell>
          <cell r="B1975" t="str">
            <v>06.08.404</v>
          </cell>
          <cell r="C1975" t="str">
            <v>Thay cáp luồn trong ống, trọng lượng cáp &lt;= 4,5 kg/m (&lt;=400mm2) (định mức 228)</v>
          </cell>
        </row>
        <row r="1976">
          <cell r="A1976" t="str">
            <v>TLCap6kg-228</v>
          </cell>
          <cell r="B1976" t="str">
            <v>06.08.405</v>
          </cell>
          <cell r="C1976" t="str">
            <v>Thay cáp luồn trong ống, trọng lượng cáp &lt;= 6 kg/m (định mức 228)</v>
          </cell>
        </row>
        <row r="1977">
          <cell r="C1977" t="str">
            <v>Tháo xà cho cột đỡ trên cột</v>
          </cell>
        </row>
        <row r="1978">
          <cell r="A1978" t="str">
            <v>TXĐ15KG-228</v>
          </cell>
          <cell r="B1978" t="str">
            <v>04.03.101</v>
          </cell>
          <cell r="C1978" t="str">
            <v>Tháo xà đỡ trên cột, trọng lượng xà 15kg</v>
          </cell>
        </row>
        <row r="1979">
          <cell r="A1979" t="str">
            <v>TXĐ25KG-228</v>
          </cell>
          <cell r="B1979" t="str">
            <v>04.03.111</v>
          </cell>
          <cell r="C1979" t="str">
            <v>Tháo xà đỡ trên cột, trọng lượng xà 25kg</v>
          </cell>
        </row>
        <row r="1980">
          <cell r="A1980" t="str">
            <v>TXĐ50KG-228</v>
          </cell>
          <cell r="B1980" t="str">
            <v>04.03.121</v>
          </cell>
          <cell r="C1980" t="str">
            <v>Tháo xà đỡ trên cột, trọng lượng xà 50kg</v>
          </cell>
        </row>
        <row r="1981">
          <cell r="A1981" t="str">
            <v>TXĐ100KG-228</v>
          </cell>
          <cell r="B1981" t="str">
            <v>04.03.131</v>
          </cell>
          <cell r="C1981" t="str">
            <v>Tháo xà đỡ trên cột, trọng lượng xà 100kg</v>
          </cell>
        </row>
        <row r="1982">
          <cell r="A1982" t="str">
            <v>TXĐ140KG-228</v>
          </cell>
          <cell r="B1982" t="str">
            <v>04.03.141</v>
          </cell>
          <cell r="C1982" t="str">
            <v>Tháo xà đỡ trên cột, trọng lượng xà 140kg</v>
          </cell>
        </row>
        <row r="1983">
          <cell r="A1983" t="str">
            <v>TXĐ230KG-228</v>
          </cell>
          <cell r="B1983" t="str">
            <v>04.03.151</v>
          </cell>
          <cell r="C1983" t="str">
            <v>Tháo xà đỡ trên cột, trọng lượng xà 230kg</v>
          </cell>
        </row>
        <row r="1984">
          <cell r="C1984" t="str">
            <v>Tháo xà cho cột néo trên cột</v>
          </cell>
        </row>
        <row r="1985">
          <cell r="A1985" t="str">
            <v>TXN15KG-228</v>
          </cell>
          <cell r="B1985" t="str">
            <v>04.03.102</v>
          </cell>
          <cell r="C1985" t="str">
            <v>Tháo xà néo trên cột, trọng lượng xà 15kg</v>
          </cell>
        </row>
        <row r="1986">
          <cell r="A1986" t="str">
            <v>TXN25KG-228</v>
          </cell>
          <cell r="B1986" t="str">
            <v>04.03.112</v>
          </cell>
          <cell r="C1986" t="str">
            <v>Tháo xà néo trên cột, trọng lượng xà 25kg</v>
          </cell>
        </row>
        <row r="1987">
          <cell r="A1987" t="str">
            <v>TXN50KG-228</v>
          </cell>
          <cell r="B1987" t="str">
            <v>04.03.122</v>
          </cell>
          <cell r="C1987" t="str">
            <v>Tháo xà néo trên cột, trọng lượng xà 50kg</v>
          </cell>
        </row>
        <row r="1988">
          <cell r="A1988" t="str">
            <v>TXN100KG-228</v>
          </cell>
          <cell r="B1988" t="str">
            <v>04.03.132</v>
          </cell>
          <cell r="C1988" t="str">
            <v>Tháo xà néo trên cột, trọng lượng xà 100kg</v>
          </cell>
        </row>
        <row r="1989">
          <cell r="A1989" t="str">
            <v>TXn140KG-228</v>
          </cell>
          <cell r="B1989" t="str">
            <v>04.03.142</v>
          </cell>
          <cell r="C1989" t="str">
            <v>Tháo xà néo trên cột, trọng lượng xà 140kg</v>
          </cell>
        </row>
        <row r="1990">
          <cell r="A1990" t="str">
            <v>TXN230KG-228</v>
          </cell>
          <cell r="B1990" t="str">
            <v>04.03.152</v>
          </cell>
          <cell r="C1990" t="str">
            <v>Tháo xà néo trên cột, trọng lượng xà 230kg</v>
          </cell>
        </row>
        <row r="1991">
          <cell r="C1991" t="str">
            <v>Tháo xà cho cột đúp trên cột</v>
          </cell>
        </row>
        <row r="1992">
          <cell r="A1992" t="str">
            <v>TXĐup140KG-228</v>
          </cell>
          <cell r="B1992" t="str">
            <v>04.03.143</v>
          </cell>
          <cell r="C1992" t="str">
            <v>Tháo xà néo đúp trên cột, trọng lượng xà 140kg</v>
          </cell>
        </row>
        <row r="1993">
          <cell r="A1993" t="str">
            <v>TXĐup230KG-228</v>
          </cell>
          <cell r="B1993" t="str">
            <v>04.03.153</v>
          </cell>
          <cell r="C1993" t="str">
            <v>Tháo xà néo đúp trên cột, trọng lượng xà 230kg</v>
          </cell>
        </row>
        <row r="1994">
          <cell r="A1994" t="str">
            <v>TXĐup320KG-228</v>
          </cell>
          <cell r="B1994" t="str">
            <v>04.03.163</v>
          </cell>
          <cell r="C1994" t="str">
            <v>Tháo xà néo đúp trên cột, trọng lượng xà 320kg</v>
          </cell>
        </row>
        <row r="1995">
          <cell r="A1995" t="str">
            <v>TXĐup410KG-228</v>
          </cell>
          <cell r="B1995" t="str">
            <v>04.03.173</v>
          </cell>
          <cell r="C1995" t="str">
            <v>Tháo xà néo đúp trên cột, trọng lượng xà 410kg</v>
          </cell>
        </row>
        <row r="1996">
          <cell r="C1996" t="str">
            <v>Tháo xà cho cột hình II, A trên cột</v>
          </cell>
        </row>
        <row r="1997">
          <cell r="A1997" t="str">
            <v>TXPi140KG-228</v>
          </cell>
          <cell r="B1997" t="str">
            <v>04.03.144</v>
          </cell>
          <cell r="C1997" t="str">
            <v>Tháo xà cho cột hình II, A trên cột, trọng lượng xà 140kg</v>
          </cell>
        </row>
        <row r="1998">
          <cell r="A1998" t="str">
            <v>TXPi230KG-228</v>
          </cell>
          <cell r="B1998" t="str">
            <v>04.03.154</v>
          </cell>
          <cell r="C1998" t="str">
            <v>Tháo xà cho cột hình II, A trên cột, trọng lượng xà 230kg</v>
          </cell>
        </row>
        <row r="1999">
          <cell r="A1999" t="str">
            <v>TXPi320KG-228</v>
          </cell>
          <cell r="B1999" t="str">
            <v>04.03.164</v>
          </cell>
          <cell r="C1999" t="str">
            <v>Tháo xà cho cột hình II, A trên cột, trọng lượng xà 320kg</v>
          </cell>
        </row>
        <row r="2000">
          <cell r="A2000" t="str">
            <v>TXPi410KG-228</v>
          </cell>
          <cell r="B2000" t="str">
            <v>04.03.174</v>
          </cell>
          <cell r="C2000" t="str">
            <v>Tháo xà cho cột hình II, A trên cột, trọng lượng xà 410kg</v>
          </cell>
        </row>
        <row r="2001">
          <cell r="C2001" t="str">
            <v>Tháo xà cho cột đỡ trên cột đà composite</v>
          </cell>
        </row>
        <row r="2002">
          <cell r="A2002" t="str">
            <v>TGIAT-228</v>
          </cell>
          <cell r="B2002" t="str">
            <v>04.03.101</v>
          </cell>
          <cell r="C2002" t="str">
            <v>Tháo xà giá chữ T đỡ FCO, LA trên cột, trọng lượng xà 5,65kg</v>
          </cell>
        </row>
        <row r="2003">
          <cell r="A2003" t="str">
            <v>TXCo800-228</v>
          </cell>
          <cell r="B2003" t="str">
            <v>04.03.101</v>
          </cell>
          <cell r="C2003" t="str">
            <v>Tháo xà đỡ Composite trên cột dài 0,8m, trọng lượng xà 3kg</v>
          </cell>
        </row>
        <row r="2004">
          <cell r="A2004" t="str">
            <v>TXCo240-228</v>
          </cell>
          <cell r="B2004" t="str">
            <v>04.03.101</v>
          </cell>
          <cell r="C2004" t="str">
            <v>Tháo xà đỡ Composite trên cột dài 2,4m, trọng lượng xà 7,5kg</v>
          </cell>
        </row>
        <row r="2005">
          <cell r="A2005" t="str">
            <v>TXCo260-228</v>
          </cell>
          <cell r="B2005" t="str">
            <v>04.03.101</v>
          </cell>
          <cell r="C2005" t="str">
            <v>Tháo xà đỡ Composite trên cột dài 0,8m, trọng lượng xà 8kg</v>
          </cell>
        </row>
        <row r="2006">
          <cell r="A2006" t="str">
            <v>X-com-fcola</v>
          </cell>
          <cell r="C2006" t="str">
            <v>Đà đơn Composite 2400 bắt FCO + LA</v>
          </cell>
        </row>
        <row r="2007">
          <cell r="A2007" t="str">
            <v>X-2400-K</v>
          </cell>
          <cell r="C2007" t="str">
            <v>Xà kép L75x75x8x2400 (4 ốp)  bắt TI, TU</v>
          </cell>
        </row>
        <row r="2008">
          <cell r="A2008" t="str">
            <v>X-2400-D</v>
          </cell>
          <cell r="C2008" t="str">
            <v>Xà đơn L75x75x8x2200 (4 ốp) đỡ sứ</v>
          </cell>
        </row>
        <row r="2010">
          <cell r="C2010" t="str">
            <v>Giá chùm treo 3 MBT</v>
          </cell>
        </row>
        <row r="2011">
          <cell r="C2011" t="str">
            <v xml:space="preserve">Trụ BTLT 12m </v>
          </cell>
        </row>
        <row r="2012">
          <cell r="A2012" t="str">
            <v>X-Com24-FCOLA</v>
          </cell>
          <cell r="C2012" t="str">
            <v xml:space="preserve">Xà Composit 110x80x5 dài 2,4m bắt FCO, LA </v>
          </cell>
        </row>
        <row r="2013">
          <cell r="C2013" t="str">
            <v>Bộ tiếp địa Trạm 3 pha</v>
          </cell>
        </row>
        <row r="2014">
          <cell r="C2014" t="str">
            <v>Tủ điện năng kế và CB 3 pha</v>
          </cell>
        </row>
        <row r="2015">
          <cell r="C2015" t="str">
            <v xml:space="preserve">Bêtông M200 đá 1x2 nền trạm 1000x1500x400 </v>
          </cell>
        </row>
        <row r="2016">
          <cell r="C2016" t="str">
            <v>Bộ dẫn cáp vào tủ tụ bù</v>
          </cell>
        </row>
        <row r="2017">
          <cell r="C2017" t="str">
            <v>Bộ dây dẫn xuống 22KV 3 pha</v>
          </cell>
        </row>
        <row r="2018">
          <cell r="C2018" t="str">
            <v xml:space="preserve">Bộ dây dẫn hạ thế Trạm 3x37,5KVA </v>
          </cell>
        </row>
        <row r="2019">
          <cell r="C2019" t="str">
            <v>Trụ bê tông ly tâm 10,5m</v>
          </cell>
        </row>
        <row r="2020">
          <cell r="C2020" t="str">
            <v>Móng M10a</v>
          </cell>
        </row>
        <row r="2021">
          <cell r="C2021" t="str">
            <v>Đà đặt MBA trạm giàn</v>
          </cell>
        </row>
        <row r="2022">
          <cell r="C2022" t="str">
            <v>Đà đặt MBA trạm ngồi</v>
          </cell>
        </row>
        <row r="2023">
          <cell r="C2023" t="str">
            <v xml:space="preserve">Xà kép L75x75x8x2600 (3 ốp) đở CT, PT và sứ </v>
          </cell>
        </row>
        <row r="2024">
          <cell r="C2024" t="str">
            <v xml:space="preserve">Xà đơn L75x75x8x2600 (3 ốp) đỡ sứ </v>
          </cell>
        </row>
        <row r="2025">
          <cell r="A2025" t="str">
            <v>X-Com26-FCOLA</v>
          </cell>
          <cell r="C2025" t="str">
            <v xml:space="preserve">Xà đơn composite 110x800x5-2600m bắt FCO và LA </v>
          </cell>
        </row>
        <row r="2026">
          <cell r="C2026" t="str">
            <v xml:space="preserve">Xà đơn L75x75x8x2600 (0 ốp) đở thùng CB </v>
          </cell>
        </row>
        <row r="2027">
          <cell r="C2027" t="str">
            <v>Xà kép L75x75x8x2400 (4 ốp)  bắt sứ treo, TI</v>
          </cell>
        </row>
        <row r="2028">
          <cell r="C2028" t="str">
            <v>Xà đơn L75x75x8x2400 (4 ốp) đỡ sú</v>
          </cell>
        </row>
        <row r="2029">
          <cell r="C2029" t="str">
            <v>Bộ tiếp địa Trạm biến áp</v>
          </cell>
        </row>
        <row r="2030">
          <cell r="C2030" t="str">
            <v xml:space="preserve">Bêtông M200 đá 1x2 nền tủ bù 1000x3000x400 </v>
          </cell>
        </row>
        <row r="2031">
          <cell r="C2031" t="str">
            <v>Bệ bêtông M200 đá 1x2 đỡ tủ và MBA</v>
          </cell>
        </row>
        <row r="2032">
          <cell r="C2032" t="str">
            <v>Tủ CB 3 pha dày 2mm sơn tĩnh điện</v>
          </cell>
        </row>
        <row r="2033">
          <cell r="C2033" t="str">
            <v>Mương đỡ cáp trung thế vào tủ LBS</v>
          </cell>
        </row>
        <row r="2034">
          <cell r="C2034" t="str">
            <v>Giá đỡ cáp hạ thế trong mương từ MBA đến tủ CB</v>
          </cell>
        </row>
        <row r="2035">
          <cell r="C2035" t="str">
            <v>Bộ dây dẫn trung thế 24kV 3 pha từ FCO vào MBA</v>
          </cell>
        </row>
        <row r="2036">
          <cell r="C2036" t="str">
            <v>Bộ dây dẫn trung thế 24kV 3 pha</v>
          </cell>
        </row>
        <row r="2037">
          <cell r="C2037" t="str">
            <v>Bộ dây dẫn cáp xuất hạ thế từ MBA vào tủ CB</v>
          </cell>
        </row>
        <row r="2038">
          <cell r="C2038" t="str">
            <v>Bộ đo đếm:</v>
          </cell>
        </row>
        <row r="2039">
          <cell r="C2039" t="str">
            <v>Trụ bê tông ly tâm 12m: Trụ trạm</v>
          </cell>
        </row>
        <row r="2040">
          <cell r="C2040" t="str">
            <v>Trụ bê tông ly tâm 10,5m: Trụ trạm</v>
          </cell>
        </row>
        <row r="2041">
          <cell r="A2041" t="str">
            <v>X-MBA</v>
          </cell>
          <cell r="C2041" t="str">
            <v>Đà đặt MBA</v>
          </cell>
        </row>
        <row r="2042">
          <cell r="C2042" t="str">
            <v xml:space="preserve">Xà  bắt FCO </v>
          </cell>
        </row>
        <row r="2043">
          <cell r="C2043" t="str">
            <v>Xà đơn L75x75x8x2600 (3 ốp) bắt LA, đỡ sứ</v>
          </cell>
        </row>
        <row r="2044">
          <cell r="C2044" t="str">
            <v>Tủ MCCB 3 pha dày 2mm sơn tĩnh điện</v>
          </cell>
        </row>
        <row r="2045">
          <cell r="A2045" t="str">
            <v>DayTT3P</v>
          </cell>
          <cell r="C2045" t="str">
            <v>Bộ dây dẫn trung thế 3 pha</v>
          </cell>
        </row>
        <row r="2046">
          <cell r="C2046" t="str">
            <v>Xà kép L75x75x8x2600 (3 ốp) đỡ sứ</v>
          </cell>
        </row>
        <row r="2047">
          <cell r="C2047" t="str">
            <v>Xà kép L75x75x8x2400 (4 ốp)  đỡ đường dây hiện hữu</v>
          </cell>
        </row>
        <row r="2048">
          <cell r="C2048" t="str">
            <v>Xà đơn L75x75x8x2200 (4 ốp) đỡ đường dây hiện hữu</v>
          </cell>
        </row>
        <row r="2049">
          <cell r="C2049" t="str">
            <v xml:space="preserve">Bêtông M200 đá 1x2 nền TBA 1000x3000x400 </v>
          </cell>
        </row>
        <row r="2050">
          <cell r="C2050" t="str">
            <v>Bộ dây dẫn trung thế 24kV 3 pha từ FCO vào MBA (ngầm)</v>
          </cell>
        </row>
        <row r="2051">
          <cell r="C2051" t="str">
            <v>Bộ dây dẫn cáp xuất hạ thế từ MBA vào tủ MCCB</v>
          </cell>
        </row>
        <row r="2052">
          <cell r="C2052" t="str">
            <v xml:space="preserve">Xà kép L75x75x8x2600 (3 ốp) đởø sứ </v>
          </cell>
        </row>
        <row r="2053">
          <cell r="C2053" t="str">
            <v>Bộ dây dẫn trung thế 24kV 3 pha trên không</v>
          </cell>
        </row>
        <row r="2054">
          <cell r="C2054" t="str">
            <v>Xà bắt FCO</v>
          </cell>
        </row>
        <row r="2055">
          <cell r="C2055" t="str">
            <v>Xà kép L75x75x8x2600 (3 ốp) đở CT, PT</v>
          </cell>
        </row>
        <row r="2056">
          <cell r="C2056" t="str">
            <v>Xà kép L75x75x8x2200 (4 ốp)  bắt sứ treo, TI</v>
          </cell>
        </row>
        <row r="2057">
          <cell r="C2057" t="str">
            <v xml:space="preserve">Bêtông M200 đá 1x2 nền tủ MCCB+ tủ bù 1000x3000x400 </v>
          </cell>
        </row>
        <row r="2058">
          <cell r="C2058" t="str">
            <v>Bộ dây dẫn cáp xuất hạ thế từ MBA vào tủ MCCB đến các MCCB con</v>
          </cell>
        </row>
        <row r="2059">
          <cell r="C2059" t="str">
            <v xml:space="preserve">Xà đơn L75x75x8x2600 (3 ốp) bắt FCO và đỡû sứ </v>
          </cell>
        </row>
        <row r="2060">
          <cell r="C2060" t="str">
            <v xml:space="preserve">Xà đơn L75x75x8x2600 (3 ốp) bắt  LA, FCO và  đở sứ </v>
          </cell>
        </row>
        <row r="2061">
          <cell r="C2061" t="str">
            <v xml:space="preserve">Xà kép L75x75x8x2400 (4 ốp) đỡ TU, TI </v>
          </cell>
        </row>
        <row r="2062">
          <cell r="C2062" t="str">
            <v>Xà đơn  L75x75x8x2400 (4 ốp) đỡ FCO, sú</v>
          </cell>
        </row>
        <row r="2063">
          <cell r="C2063" t="str">
            <v xml:space="preserve">Bộ tiếp địa Trạm 3 pha (chung với TBA 1600KVA) </v>
          </cell>
        </row>
        <row r="2064">
          <cell r="C2064" t="str">
            <v>Tủ CB 3 pha bằng tôn dày 2mm sơn tĩnh điện</v>
          </cell>
        </row>
        <row r="2065">
          <cell r="C2065" t="str">
            <v>Mương đỡ cáp trung thế vào FCO</v>
          </cell>
        </row>
        <row r="2066">
          <cell r="C2066" t="str">
            <v>Giá đỡ cáp trung thế từ mương lên FCO vào MBA</v>
          </cell>
        </row>
        <row r="2067">
          <cell r="C2067" t="str">
            <v>Giá đỡ cáp hạ thế xuất MBA và vào tủ:</v>
          </cell>
        </row>
        <row r="2068">
          <cell r="A2068" t="str">
            <v>DayMBACB</v>
          </cell>
          <cell r="C2068" t="str">
            <v>Bộ dây dẫn cáp xuất MBA vào tủ CB</v>
          </cell>
        </row>
        <row r="2069">
          <cell r="A2069" t="str">
            <v>DayTuBu</v>
          </cell>
          <cell r="C2069" t="str">
            <v>Bộ dây dẫn cáp vào tủ tụ bù</v>
          </cell>
        </row>
        <row r="2071">
          <cell r="A2071" t="str">
            <v>COM2400</v>
          </cell>
          <cell r="B2071" t="str">
            <v>D2.6011</v>
          </cell>
          <cell r="C2071" t="str">
            <v>Đà hộp composit L110x80x2400</v>
          </cell>
        </row>
        <row r="2072">
          <cell r="A2072" t="str">
            <v>COM2600</v>
          </cell>
          <cell r="B2072" t="str">
            <v>D2.6011</v>
          </cell>
          <cell r="C2072" t="str">
            <v>Đà hộp composit L110x80x2600</v>
          </cell>
        </row>
        <row r="2073">
          <cell r="A2073" t="str">
            <v>CCOM800</v>
          </cell>
          <cell r="B2073">
            <v>0</v>
          </cell>
          <cell r="C2073" t="str">
            <v>Thanh chống L10x60x710</v>
          </cell>
        </row>
        <row r="2074">
          <cell r="A2074" t="str">
            <v>CCOM2400</v>
          </cell>
          <cell r="C2074" t="str">
            <v>Thanh chống L10x40x920</v>
          </cell>
        </row>
        <row r="2075">
          <cell r="A2075" t="str">
            <v>BM10</v>
          </cell>
          <cell r="C2075" t="str">
            <v>Boulon giản chân M10</v>
          </cell>
        </row>
        <row r="2076">
          <cell r="A2076" t="str">
            <v>B16650</v>
          </cell>
          <cell r="B2076">
            <v>0</v>
          </cell>
          <cell r="C2076" t="str">
            <v>Boulon 16x650+ 2 long đền vuông D18-50x50x3/Zn</v>
          </cell>
        </row>
        <row r="2077">
          <cell r="A2077" t="str">
            <v>B16700</v>
          </cell>
          <cell r="B2077">
            <v>0</v>
          </cell>
          <cell r="C2077" t="str">
            <v>Boulon 16x700+ 2 long đền vuông D18-50x50x3/Zn</v>
          </cell>
        </row>
        <row r="2078">
          <cell r="A2078" t="str">
            <v>BM16200</v>
          </cell>
          <cell r="C2078" t="str">
            <v>Boulon mắt 16x200+ 2 long đền vuông D18-50x50x3/Zn</v>
          </cell>
        </row>
        <row r="2079">
          <cell r="A2079" t="str">
            <v>SATD10</v>
          </cell>
          <cell r="C2079" t="str">
            <v>Sắt tròn D10 (D=0,617kg/m)</v>
          </cell>
        </row>
        <row r="2080">
          <cell r="A2080" t="str">
            <v>SATD6</v>
          </cell>
          <cell r="C2080" t="str">
            <v>Sắt tròn D6 (D=0,222kg/m)</v>
          </cell>
        </row>
        <row r="2081">
          <cell r="A2081" t="str">
            <v>BATLIA</v>
          </cell>
          <cell r="C2081" t="str">
            <v>Bass LI bắt LA</v>
          </cell>
        </row>
        <row r="2082">
          <cell r="A2082" t="str">
            <v>XLPE4120D</v>
          </cell>
          <cell r="C2082" t="str">
            <v>Cáp 0,4/1kV C/XLPE/DSTA/PVC4x120mm2</v>
          </cell>
        </row>
        <row r="2083">
          <cell r="A2083" t="str">
            <v>ABC2X16</v>
          </cell>
          <cell r="C2083" t="str">
            <v>Cáp nhôm ABC 2x16mm2</v>
          </cell>
        </row>
        <row r="2084">
          <cell r="A2084" t="str">
            <v>ABC2X25</v>
          </cell>
          <cell r="C2084" t="str">
            <v>Cáp nhôm ABC 2x25mm2</v>
          </cell>
        </row>
        <row r="2085">
          <cell r="A2085" t="str">
            <v>ABC3X16</v>
          </cell>
          <cell r="C2085" t="str">
            <v>Cáp nhôm ABC 3x16mm2</v>
          </cell>
        </row>
        <row r="2086">
          <cell r="A2086" t="str">
            <v>ABC3X25</v>
          </cell>
          <cell r="C2086" t="str">
            <v>Cáp nhôm ABC 3x25mm2</v>
          </cell>
        </row>
        <row r="2087">
          <cell r="A2087" t="str">
            <v>ABC3X150</v>
          </cell>
          <cell r="C2087" t="str">
            <v>Cáp nhôm ABC 3x150mm2</v>
          </cell>
        </row>
        <row r="2088">
          <cell r="A2088" t="str">
            <v>ABC2X150</v>
          </cell>
          <cell r="C2088" t="str">
            <v>Cáp nhôm ABC 2x150mm2</v>
          </cell>
        </row>
        <row r="2089">
          <cell r="A2089" t="str">
            <v>CV22</v>
          </cell>
          <cell r="C2089" t="str">
            <v>Cáp đồng bọc CV22</v>
          </cell>
        </row>
        <row r="2090">
          <cell r="A2090" t="str">
            <v>DAYPOL150</v>
          </cell>
          <cell r="C2090" t="str">
            <v>Dây buộc cổ sứ phi kim cỡ 150mm2</v>
          </cell>
        </row>
        <row r="2091">
          <cell r="A2091" t="str">
            <v>DAYPOL50</v>
          </cell>
          <cell r="C2091" t="str">
            <v>Dây buộc cổ sứ phi kim cỡ 50mm2 (đỡ thẳng)</v>
          </cell>
        </row>
        <row r="2092">
          <cell r="A2092" t="str">
            <v>DAYPOL50G</v>
          </cell>
          <cell r="C2092" t="str">
            <v>Dây buộc cổ sứ phi kim cỡ 50mm2 (đỡ góc)</v>
          </cell>
        </row>
        <row r="2093">
          <cell r="A2093" t="str">
            <v>MTREOA</v>
          </cell>
          <cell r="B2093">
            <v>0</v>
          </cell>
          <cell r="C2093" t="str">
            <v>Móc treo chữ A</v>
          </cell>
        </row>
        <row r="2094">
          <cell r="A2094" t="str">
            <v>MTREO</v>
          </cell>
          <cell r="B2094">
            <v>0</v>
          </cell>
          <cell r="C2094" t="str">
            <v xml:space="preserve">Móc đơn treo cáp </v>
          </cell>
        </row>
        <row r="2095">
          <cell r="A2095" t="str">
            <v>HOPMCCB</v>
          </cell>
          <cell r="B2095" t="str">
            <v>11.03.204</v>
          </cell>
          <cell r="C2095" t="str">
            <v>Hộp MCCB phân đoạn</v>
          </cell>
        </row>
        <row r="2096">
          <cell r="A2096" t="str">
            <v>KN50-3</v>
          </cell>
          <cell r="B2096">
            <v>0</v>
          </cell>
          <cell r="C2096" t="str">
            <v>Khóa néo dây cỡ dây 50 (3U)</v>
          </cell>
        </row>
        <row r="2097">
          <cell r="A2097" t="str">
            <v>GNIU185</v>
          </cell>
          <cell r="C2097" t="str">
            <v>Giáp níu dừng dây bọc 185</v>
          </cell>
        </row>
        <row r="2098">
          <cell r="A2098" t="str">
            <v>GNIU150</v>
          </cell>
          <cell r="C2098" t="str">
            <v>Giáp níu dừng dây bọc 150</v>
          </cell>
        </row>
        <row r="2099">
          <cell r="A2099" t="str">
            <v>GNIU95</v>
          </cell>
          <cell r="C2099" t="str">
            <v>Giáp níu dừng dây bọc 95</v>
          </cell>
        </row>
        <row r="2100">
          <cell r="A2100" t="str">
            <v>GNIU70</v>
          </cell>
          <cell r="C2100" t="str">
            <v>Giáp níu dừng dây bọc 70</v>
          </cell>
        </row>
        <row r="2101">
          <cell r="A2101" t="str">
            <v>SCL</v>
          </cell>
          <cell r="B2101">
            <v>0</v>
          </cell>
          <cell r="C2101" t="str">
            <v>Sứ chằng lớn</v>
          </cell>
        </row>
        <row r="2102">
          <cell r="A2102" t="str">
            <v>THEPT3</v>
          </cell>
          <cell r="C2102" t="str">
            <v>Thép tấm 3mm mạ kẽm (23.55kg/m2)</v>
          </cell>
        </row>
        <row r="2103">
          <cell r="A2103" t="str">
            <v>T85300</v>
          </cell>
          <cell r="C2103" t="str">
            <v>Trụ BTLT 8,5m F300 dự ứng lực</v>
          </cell>
        </row>
        <row r="2104">
          <cell r="A2104" t="str">
            <v>DCAPHT4120</v>
          </cell>
          <cell r="C2104" t="str">
            <v>Đầu cáp ngầm hạ thế 4x120mm2</v>
          </cell>
        </row>
        <row r="2105">
          <cell r="A2105" t="str">
            <v>BASSB40</v>
          </cell>
          <cell r="B2105">
            <v>0</v>
          </cell>
          <cell r="C2105" t="str">
            <v>Bass bắt khung rào thép mạ kẽm 5mm</v>
          </cell>
        </row>
        <row r="2106">
          <cell r="A2106" t="str">
            <v>NONE</v>
          </cell>
        </row>
        <row r="2107">
          <cell r="A2107" t="str">
            <v/>
          </cell>
        </row>
        <row r="2108">
          <cell r="A2108" t="str">
            <v>BẢNG KÊ ĐƠN GÍA NHÂN CÔNG</v>
          </cell>
        </row>
        <row r="2109">
          <cell r="A2109" t="str">
            <v/>
          </cell>
        </row>
        <row r="2110">
          <cell r="A2110" t="str">
            <v>1</v>
          </cell>
          <cell r="B2110">
            <v>2</v>
          </cell>
          <cell r="C2110">
            <v>3</v>
          </cell>
        </row>
        <row r="2111">
          <cell r="A2111" t="str">
            <v>KDAABC1201P</v>
          </cell>
          <cell r="B2111" t="str">
            <v>D3.630</v>
          </cell>
          <cell r="C2111" t="str">
            <v>Kéo dây ABC 3x120mm2</v>
          </cell>
        </row>
        <row r="2112">
          <cell r="A2112" t="str">
            <v>LPVC42CN</v>
          </cell>
          <cell r="B2112" t="str">
            <v>T4.5202</v>
          </cell>
          <cell r="C2112" t="str">
            <v>Lắp ống nhựa PVC D42 bảo vệ cáp ngầm</v>
          </cell>
        </row>
        <row r="2113">
          <cell r="A2113" t="str">
            <v>LPVC60CN</v>
          </cell>
          <cell r="B2113" t="str">
            <v>T4.5202</v>
          </cell>
          <cell r="C2113" t="str">
            <v>Lắp ống nhựa PVC D60 bảo vệ cáp ngầm</v>
          </cell>
        </row>
        <row r="2114">
          <cell r="A2114" t="str">
            <v>LPVC90CN</v>
          </cell>
          <cell r="B2114" t="str">
            <v>T4.5202</v>
          </cell>
          <cell r="C2114" t="str">
            <v>Lắp ống nhựa PVC D90 bảo vệ cáp ngầm</v>
          </cell>
        </row>
        <row r="2115">
          <cell r="A2115" t="str">
            <v>LPVC114CN</v>
          </cell>
          <cell r="B2115" t="str">
            <v>T4.5202</v>
          </cell>
          <cell r="C2115" t="str">
            <v>Lắp ống nhựa PVC D114 bảo vệ cáp ngầm</v>
          </cell>
        </row>
        <row r="2116">
          <cell r="A2116" t="str">
            <v>LPVC140CN</v>
          </cell>
          <cell r="B2116" t="str">
            <v>T4.5202</v>
          </cell>
          <cell r="C2116" t="str">
            <v>Lắp ống nhựa PVC D140 bảo vệ cáp ngầm</v>
          </cell>
        </row>
        <row r="2117">
          <cell r="A2117" t="str">
            <v>LSD_T</v>
          </cell>
          <cell r="B2117" t="str">
            <v>06.1115</v>
          </cell>
          <cell r="C2117" t="str">
            <v>Tháo sứ đứng 24KV</v>
          </cell>
        </row>
        <row r="2118">
          <cell r="A2118" t="str">
            <v>LCAPDONGTB800</v>
          </cell>
          <cell r="B2118" t="str">
            <v>T4.4205</v>
          </cell>
          <cell r="C2118" t="str">
            <v>Lắp cáp đồng xuống thiết bị D ≤ 800mm2</v>
          </cell>
        </row>
        <row r="2119">
          <cell r="A2119" t="str">
            <v>LCAPDONGTBL800</v>
          </cell>
          <cell r="B2119" t="str">
            <v>T4.4206</v>
          </cell>
          <cell r="C2119" t="str">
            <v>Lắp cáp đồng xuống thiết bị D &gt; 800mm2</v>
          </cell>
        </row>
        <row r="2120">
          <cell r="A2120" t="str">
            <v>XTUONG</v>
          </cell>
          <cell r="B2120" t="str">
            <v>T4.4205</v>
          </cell>
          <cell r="C2120" t="str">
            <v>Xây tường gạch thẻ 4x8x18, dày 20cm, vữa M75</v>
          </cell>
        </row>
        <row r="2121">
          <cell r="A2121" t="str">
            <v>TRATTUONG</v>
          </cell>
          <cell r="B2121" t="str">
            <v>T4.4206</v>
          </cell>
          <cell r="C2121" t="str">
            <v>Trát tường bó nền dày 2cm vữa M75</v>
          </cell>
        </row>
        <row r="2122">
          <cell r="A2122" t="str">
            <v>LANGNEN</v>
          </cell>
          <cell r="B2122" t="str">
            <v>02.3505</v>
          </cell>
          <cell r="C2122" t="str">
            <v>Láng nền tủ dày 3cm, vữa M75</v>
          </cell>
        </row>
        <row r="2123">
          <cell r="A2123" t="str">
            <v>RAIDA</v>
          </cell>
          <cell r="B2123" t="str">
            <v>02.3505</v>
          </cell>
          <cell r="C2123" t="str">
            <v>Rải đá 4x6 dày 10cm</v>
          </cell>
        </row>
        <row r="2124">
          <cell r="A2124" t="str">
            <v>LHANGRAO</v>
          </cell>
          <cell r="B2124" t="str">
            <v>06.2110</v>
          </cell>
          <cell r="C2124" t="str">
            <v>Lắp dựng hàng rào lưới thép B40</v>
          </cell>
        </row>
        <row r="2125">
          <cell r="A2125" t="str">
            <v>LCOTTHEP</v>
          </cell>
          <cell r="B2125" t="str">
            <v>01.1112</v>
          </cell>
          <cell r="C2125" t="str">
            <v xml:space="preserve">Lắp dựng cột thép </v>
          </cell>
        </row>
        <row r="2126">
          <cell r="A2126" t="str">
            <v>SONTHEP</v>
          </cell>
          <cell r="B2126" t="str">
            <v>07.1113</v>
          </cell>
          <cell r="C2126" t="str">
            <v>Sơn sắt thép các loại 3 nước</v>
          </cell>
        </row>
        <row r="2127">
          <cell r="A2127" t="str">
            <v>LTHEP</v>
          </cell>
          <cell r="B2127" t="str">
            <v>AI.63311</v>
          </cell>
          <cell r="C2127" t="str">
            <v>Lắp dựng (tháo dỡ) kết cấu thép, hệ khung dàn</v>
          </cell>
        </row>
        <row r="2128">
          <cell r="A2128" t="str">
            <v/>
          </cell>
        </row>
        <row r="2129">
          <cell r="A2129" t="str">
            <v/>
          </cell>
        </row>
        <row r="2130">
          <cell r="A2130" t="str">
            <v/>
          </cell>
        </row>
        <row r="2131">
          <cell r="A2131" t="str">
            <v/>
          </cell>
        </row>
        <row r="2132">
          <cell r="A2132" t="str">
            <v/>
          </cell>
        </row>
        <row r="2134">
          <cell r="A2134" t="str">
            <v>TR37.51</v>
          </cell>
          <cell r="B2134" t="str">
            <v>T1.1411</v>
          </cell>
          <cell r="C2134" t="str">
            <v>Máy biến áp 12,7/0,22-0,44kV 37,5kVA - Amorphous</v>
          </cell>
        </row>
        <row r="2135">
          <cell r="A2135" t="str">
            <v>TR7601</v>
          </cell>
          <cell r="B2135" t="str">
            <v>T1.1428</v>
          </cell>
          <cell r="C2135" t="str">
            <v>Máy biến áp 22/0,4kV- 800kVA - Amorphous</v>
          </cell>
        </row>
        <row r="2136">
          <cell r="A2136" t="str">
            <v>FCO100-15</v>
          </cell>
          <cell r="B2136" t="str">
            <v>02.3504</v>
          </cell>
          <cell r="C2136" t="str">
            <v>FCO 24kV - 100A</v>
          </cell>
        </row>
        <row r="2137">
          <cell r="A2137" t="str">
            <v>RECLOSER</v>
          </cell>
          <cell r="B2137" t="str">
            <v>02.2124</v>
          </cell>
          <cell r="C2137" t="str">
            <v>Recloser 24kV 630-800A</v>
          </cell>
        </row>
        <row r="2138">
          <cell r="A2138" t="str">
            <v>TI125</v>
          </cell>
          <cell r="C2138" t="str">
            <v xml:space="preserve">Biến dòng 600V - 125/5A </v>
          </cell>
        </row>
        <row r="2139">
          <cell r="A2139" t="str">
            <v>TUBU95</v>
          </cell>
          <cell r="B2139" t="str">
            <v>T2.8505</v>
          </cell>
          <cell r="C2139" t="str">
            <v>Tủ tụ bù hạ thế 95kVAr  + bộ điều khiển 8 cấp LCD</v>
          </cell>
        </row>
        <row r="2140">
          <cell r="A2140" t="str">
            <v>ATM320</v>
          </cell>
          <cell r="B2140" t="str">
            <v>T2.8404</v>
          </cell>
          <cell r="C2140" t="str">
            <v xml:space="preserve">MCCB 3 cực 400V -250A - 35KA </v>
          </cell>
        </row>
        <row r="2141">
          <cell r="A2141" t="str">
            <v>DK3P50A</v>
          </cell>
          <cell r="C2141" t="str">
            <v>Điện kế 3 pha 4 dây 220/380V-50A</v>
          </cell>
        </row>
        <row r="2142">
          <cell r="A2142" t="str">
            <v>GTMBA37.5</v>
          </cell>
          <cell r="B2142" t="str">
            <v>D2.6041</v>
          </cell>
          <cell r="C2142" t="str">
            <v>Gía chùm treo máy biến áp 3x37,5</v>
          </cell>
        </row>
        <row r="2143">
          <cell r="A2143" t="str">
            <v>DUPLEX Al216</v>
          </cell>
          <cell r="C2143" t="str">
            <v>Cáp Duplex Al 2x16</v>
          </cell>
        </row>
        <row r="2144">
          <cell r="A2144" t="str">
            <v>U100-700-6</v>
          </cell>
          <cell r="C2144" t="str">
            <v>Đà U100x46x4.5x700 - 6 lỗ (8,59kg/m)</v>
          </cell>
        </row>
        <row r="2145">
          <cell r="A2145" t="str">
            <v>U160-1457</v>
          </cell>
          <cell r="C2145" t="str">
            <v>Đà U160x64x5x1810 (14,2kg/m)</v>
          </cell>
        </row>
        <row r="2146">
          <cell r="A2146" t="str">
            <v>U100650</v>
          </cell>
          <cell r="C2146" t="str">
            <v>Đà U100x4.5x650 (1m x 12,34kg/m)</v>
          </cell>
        </row>
        <row r="2147">
          <cell r="A2147" t="str">
            <v>L26-3</v>
          </cell>
          <cell r="C2147" t="str">
            <v>Đà sắt L75x75x8x2600 3 ốp (25,35kg/cái)</v>
          </cell>
        </row>
        <row r="2148">
          <cell r="A2148" t="str">
            <v>L26</v>
          </cell>
          <cell r="C2148" t="str">
            <v>Đà sắt L75x75x8x2600 0 ốp (23,45kg/cái)</v>
          </cell>
        </row>
        <row r="2149">
          <cell r="A2149" t="str">
            <v>L22</v>
          </cell>
          <cell r="C2149" t="str">
            <v>Đà sắt L75x75x8x2200 4 ốp (22,37kg/cái)</v>
          </cell>
        </row>
        <row r="2150">
          <cell r="A2150" t="str">
            <v>L21</v>
          </cell>
          <cell r="C2150" t="str">
            <v>Đà sắt L75x75x8x2100 lệch 100% 3 ốp (20,84kg/cái)</v>
          </cell>
        </row>
        <row r="2151">
          <cell r="A2151" t="str">
            <v>L20</v>
          </cell>
          <cell r="C2151" t="str">
            <v>Đà sắt L75x75x8x2000 lệch 2/3 3 ốp (19,93kg/cái)</v>
          </cell>
        </row>
        <row r="2152">
          <cell r="A2152" t="str">
            <v>L166</v>
          </cell>
          <cell r="C2152" t="str">
            <v>Đà sắt L75x75x8x1660 2 ốp (16,24kg/cái)</v>
          </cell>
        </row>
        <row r="2153">
          <cell r="A2153" t="str">
            <v>L08</v>
          </cell>
          <cell r="C2153" t="str">
            <v>Đà sắt L75x75x8x800 1 ốp (7,85kg/cái)</v>
          </cell>
        </row>
        <row r="2154">
          <cell r="A2154" t="str">
            <v>C800</v>
          </cell>
          <cell r="C2154" t="str">
            <v>Thanh chống L50x50x5x810 (2,47kg/cái)</v>
          </cell>
        </row>
        <row r="2155">
          <cell r="A2155" t="str">
            <v>C920</v>
          </cell>
          <cell r="C2155" t="str">
            <v>Thanh chống L50x50x5x920 (2,81kg/cái)</v>
          </cell>
        </row>
        <row r="2156">
          <cell r="A2156" t="str">
            <v>C710</v>
          </cell>
          <cell r="C2156" t="str">
            <v>Thanh chống L50x50x5x710 (2,17kg/cái)</v>
          </cell>
        </row>
        <row r="2157">
          <cell r="A2157" t="str">
            <v>C1990</v>
          </cell>
          <cell r="C2157" t="str">
            <v>Thanh chống L50x50x5x1990 (6,07kg/cái)</v>
          </cell>
        </row>
        <row r="2158">
          <cell r="A2158" t="str">
            <v>C1150</v>
          </cell>
          <cell r="C2158" t="str">
            <v>Thanh chống L50x50x5x1150 (3,51kg/cái)</v>
          </cell>
        </row>
        <row r="2159">
          <cell r="A2159" t="str">
            <v>L50x50x5</v>
          </cell>
          <cell r="C2159" t="str">
            <v>Thép CT3 V50x50x5/Zn (3,05kg/m)</v>
          </cell>
        </row>
        <row r="2160">
          <cell r="A2160" t="str">
            <v>L50x5</v>
          </cell>
          <cell r="C2160" t="str">
            <v>Thép CT3 dẹt 50x5/Zn (1,5kg/m)</v>
          </cell>
        </row>
        <row r="2161">
          <cell r="A2161" t="str">
            <v>GIP6-35</v>
          </cell>
          <cell r="C2161" t="str">
            <v>Ghíp nối IPC 6-35 2BL</v>
          </cell>
        </row>
        <row r="2162">
          <cell r="A2162" t="str">
            <v>GIP70-25</v>
          </cell>
          <cell r="C2162" t="str">
            <v>Ghíp nối IPC 70-25 2BL</v>
          </cell>
        </row>
        <row r="2163">
          <cell r="A2163" t="str">
            <v>GIP150-25</v>
          </cell>
          <cell r="C2163" t="str">
            <v>Ghíp nối IPC 150-25</v>
          </cell>
        </row>
        <row r="2164">
          <cell r="A2164" t="str">
            <v>LUOIB40</v>
          </cell>
          <cell r="C2164" t="str">
            <v>Lưới thép B40 3,5mm (2,2kg/m2)</v>
          </cell>
        </row>
        <row r="2165">
          <cell r="A2165" t="str">
            <v/>
          </cell>
        </row>
        <row r="2166">
          <cell r="A2166" t="str">
            <v/>
          </cell>
        </row>
        <row r="2167">
          <cell r="A2167" t="str">
            <v>LTUDKCS</v>
          </cell>
          <cell r="B2167" t="str">
            <v>CS.2.08.21</v>
          </cell>
          <cell r="C2167" t="str">
            <v>Lắp đặt tủ điều khiển độ cao &lt;2m</v>
          </cell>
        </row>
        <row r="2168">
          <cell r="A2168" t="str">
            <v>TRTHEP8</v>
          </cell>
          <cell r="C2168" t="str">
            <v>Trụ đèn chiếu sáng côn tròn STK cao 8m, dày 3mm, D60/191mm. Đế 375x375x10mm</v>
          </cell>
        </row>
        <row r="2169">
          <cell r="A2169" t="str">
            <v>TRTHEP9</v>
          </cell>
          <cell r="C2169" t="str">
            <v>Trụ đèn chiếu sáng côn tròn STK cao 9m, dày 4mm, D60/150mm. Đế 375x375x10mm</v>
          </cell>
        </row>
        <row r="2170">
          <cell r="A2170" t="str">
            <v>TRTHEP10</v>
          </cell>
          <cell r="C2170" t="str">
            <v>Trụ đèn chiếu sáng côn tròn STK cao 10m, dày 4mm, D60/191mm. Đế 375x375x10mm</v>
          </cell>
        </row>
        <row r="2171">
          <cell r="A2171" t="str">
            <v>TRTHEP11</v>
          </cell>
          <cell r="C2171" t="str">
            <v>Trụ đèn chiếu sáng côn tròn STK cao 11m, dày 4mm, D60/150mm. Đế 375x375x10mm</v>
          </cell>
        </row>
        <row r="2172">
          <cell r="A2172" t="str">
            <v>BLED150CS</v>
          </cell>
          <cell r="C2172" t="str">
            <v>Bộ đèn LED 150W (150x1), ánh sáng trắng, IP66, D49</v>
          </cell>
        </row>
        <row r="2173">
          <cell r="A2173" t="str">
            <v>BLED180CS</v>
          </cell>
          <cell r="C2173" t="str">
            <v>Bộ đèn LED 180W (180x1), ánh sáng trắng, IP66, D49</v>
          </cell>
        </row>
        <row r="2174">
          <cell r="A2174" t="str">
            <v>BLED200CS</v>
          </cell>
          <cell r="C2174" t="str">
            <v>Bộ đèn LED 200W (200x1), ánh sáng trắng, IP66, D49</v>
          </cell>
        </row>
        <row r="2175">
          <cell r="A2175" t="str">
            <v>CANDON1.5CS</v>
          </cell>
          <cell r="C2175" t="str">
            <v>Cần đèn đơn STK cao 2m, vươn xa 1.5m, dày 2mm, D60mm + ống nối D49mm</v>
          </cell>
        </row>
        <row r="2176">
          <cell r="A2176" t="str">
            <v>CANDOI1.5CS</v>
          </cell>
          <cell r="C2176" t="str">
            <v>Cần đèn đôi STK cao 2m, vươn xa 1.5m, dày 2mm, D60mm + ống nối D49mm</v>
          </cell>
        </row>
        <row r="2177">
          <cell r="A2177" t="str">
            <v>CANBA1.5CS</v>
          </cell>
          <cell r="C2177" t="str">
            <v>Cần đèn ba STK cao 2m, vươn xa 1.5m, dày 2mm, D60mm + ống nối D49mm (1 nhánh để rời bắt bass)</v>
          </cell>
        </row>
        <row r="2178">
          <cell r="A2178" t="str">
            <v>CANBON1.5CS</v>
          </cell>
          <cell r="C2178" t="str">
            <v>Cần đèn bốn STK cao 2m, vươn xa 1.5m, dày 2mm, D60mm + ống nối D49mm (2 nhánh để rời bắt bass)</v>
          </cell>
        </row>
        <row r="2179">
          <cell r="A2179" t="str">
            <v>CANDON1.8CS</v>
          </cell>
          <cell r="C2179" t="str">
            <v>Cần đèn đơn STK cao 2m, vươn xa 1.8m, dày 2mm, D60mm + ống nối D49mm</v>
          </cell>
        </row>
        <row r="2180">
          <cell r="A2180" t="str">
            <v>CANDOI1.8CS</v>
          </cell>
          <cell r="C2180" t="str">
            <v>Cần đèn đôi STK cao 2m, vươn xa 1.8m, dày 2mm, D60mm + ống nối D49mm</v>
          </cell>
        </row>
        <row r="2181">
          <cell r="A2181" t="str">
            <v>CDEND27V18</v>
          </cell>
          <cell r="C2181" t="str">
            <v>Cần đèn D27 cao 1m vươn 1,8m nghiêng 15 độ Fe/Zn</v>
          </cell>
        </row>
        <row r="2182">
          <cell r="A2182" t="str">
            <v>CHOADENLED</v>
          </cell>
          <cell r="C2182" t="str">
            <v>Bộ đèn hộp ngoài trời bóng LED 4U 40W</v>
          </cell>
        </row>
        <row r="2183">
          <cell r="A2183" t="str">
            <v>LED4U40</v>
          </cell>
          <cell r="C2183" t="str">
            <v>Bóng đèn LED 4U 40W</v>
          </cell>
        </row>
        <row r="2184">
          <cell r="A2184" t="str">
            <v>CHI2CS</v>
          </cell>
          <cell r="C2184" t="str">
            <v>Cầu chì đuôi cá 2A</v>
          </cell>
        </row>
        <row r="2185">
          <cell r="A2185" t="str">
            <v>DOMINOCS</v>
          </cell>
          <cell r="C2185" t="str">
            <v>Domino đấu nối trong trụ đèn</v>
          </cell>
        </row>
        <row r="2186">
          <cell r="A2186" t="str">
            <v>LCAND6028</v>
          </cell>
          <cell r="B2186" t="str">
            <v>CS.1.03.11</v>
          </cell>
          <cell r="C2186" t="str">
            <v>Lắp đặt cần đèn D60, L&lt;=2,8m</v>
          </cell>
        </row>
        <row r="2187">
          <cell r="A2187" t="str">
            <v>LCAND6032</v>
          </cell>
          <cell r="B2187" t="str">
            <v>CS.1.03.12</v>
          </cell>
          <cell r="C2187" t="str">
            <v>Lắp đặt cần đèn D60, L&lt;=3,2m</v>
          </cell>
        </row>
        <row r="2188">
          <cell r="A2188" t="str">
            <v>LCAND6036</v>
          </cell>
          <cell r="B2188" t="str">
            <v>CS.1.03.13</v>
          </cell>
          <cell r="C2188" t="str">
            <v>Lắp đặt cần đèn D60, L&lt;=3,6m</v>
          </cell>
        </row>
        <row r="2189">
          <cell r="A2189" t="str">
            <v>LTDCS</v>
          </cell>
          <cell r="B2189" t="str">
            <v>CS.1.07.31</v>
          </cell>
          <cell r="C2189" t="str">
            <v>Làm tiếp địa lặp lại cho hệ thống chiếu sáng cáp treo</v>
          </cell>
        </row>
        <row r="2190">
          <cell r="A2190" t="str">
            <v>LCHOA12CS</v>
          </cell>
          <cell r="B2190" t="str">
            <v>CS.1.04.11</v>
          </cell>
          <cell r="C2190" t="str">
            <v>Lắp chóa đèn chiếu sáng độ cao &lt;=12m</v>
          </cell>
        </row>
        <row r="2191">
          <cell r="A2191" t="str">
            <v>LCHOAL12CS</v>
          </cell>
          <cell r="B2191" t="str">
            <v>CS.1.04.11</v>
          </cell>
          <cell r="C2191" t="str">
            <v>Lắp chóa đèn chiếu sáng độ cao &gt;12m</v>
          </cell>
        </row>
        <row r="2192">
          <cell r="A2192" t="str">
            <v>LTRUDEN8CS</v>
          </cell>
          <cell r="B2192" t="str">
            <v>CS.1.01.23</v>
          </cell>
          <cell r="C2192" t="str">
            <v>Lắp trụ thép ≤ 8m bằng cơ giới</v>
          </cell>
        </row>
        <row r="2193">
          <cell r="A2193" t="str">
            <v>LTRUDEN10CS</v>
          </cell>
          <cell r="B2193" t="str">
            <v>CS.1.01.24</v>
          </cell>
          <cell r="C2193" t="str">
            <v>Lắp trụ thép ≤ 10m bằng cơ giới</v>
          </cell>
        </row>
        <row r="2194">
          <cell r="A2194" t="str">
            <v>LTRUDEN12CS</v>
          </cell>
          <cell r="B2194" t="str">
            <v>CS.1.01.25</v>
          </cell>
          <cell r="C2194" t="str">
            <v>Lắp trụ thép ≤ 12m bằng cơ giới</v>
          </cell>
        </row>
        <row r="2195">
          <cell r="A2195" t="str">
            <v>LBTLT10CS</v>
          </cell>
          <cell r="B2195" t="str">
            <v>CS.1.01.21</v>
          </cell>
          <cell r="C2195" t="str">
            <v>Lắp trụ BTLT ≤ 10m bằng cơ giới</v>
          </cell>
        </row>
        <row r="2196">
          <cell r="A2196" t="str">
            <v>LBTLTL10CS</v>
          </cell>
          <cell r="B2196" t="str">
            <v>CS.1.01.22</v>
          </cell>
          <cell r="C2196" t="str">
            <v>Lắp trụ BTLT &gt; 10m bằng cơ giới</v>
          </cell>
        </row>
        <row r="2197">
          <cell r="A2197" t="str">
            <v>LUONDAYNGAMCS</v>
          </cell>
          <cell r="B2197" t="str">
            <v>CS.2.07.20</v>
          </cell>
          <cell r="C2197" t="str">
            <v>Luồn dây từ cáp ngầm lên đèn</v>
          </cell>
        </row>
        <row r="2198">
          <cell r="A2198" t="str">
            <v>LUONDAYTREOCS</v>
          </cell>
          <cell r="B2198" t="str">
            <v>CS.2.07.10</v>
          </cell>
          <cell r="C2198" t="str">
            <v>Luồn dây từ cáp treo lên đèn</v>
          </cell>
        </row>
        <row r="2199">
          <cell r="A2199" t="str">
            <v>KCAPDEN50</v>
          </cell>
          <cell r="B2199" t="str">
            <v>CS.2.01.12</v>
          </cell>
          <cell r="C2199" t="str">
            <v>Kéo dây chiếu sáng tiết diện dây 26 ¸ 50mm²</v>
          </cell>
        </row>
        <row r="2200">
          <cell r="A2200" t="str">
            <v>LCAPDENCS</v>
          </cell>
          <cell r="B2200" t="str">
            <v>CS4.04.010</v>
          </cell>
          <cell r="C2200" t="str">
            <v>Lắp rải cáp ngầm chiếu sáng</v>
          </cell>
        </row>
        <row r="2201">
          <cell r="A2201" t="str">
            <v>LCAUCHICS</v>
          </cell>
          <cell r="B2201" t="str">
            <v>CS.2.02.21</v>
          </cell>
          <cell r="C2201" t="str">
            <v>Lắp cầu chì đuôi cá 2A</v>
          </cell>
        </row>
        <row r="2202">
          <cell r="A2202" t="str">
            <v>LBANGCS</v>
          </cell>
          <cell r="B2202" t="str">
            <v>CS.2.06.1</v>
          </cell>
          <cell r="C2202" t="str">
            <v>Lắp bảng điện của cột</v>
          </cell>
        </row>
        <row r="2203">
          <cell r="A2203" t="str">
            <v>LCUACS</v>
          </cell>
          <cell r="B2203" t="str">
            <v>CS.2.06.2</v>
          </cell>
          <cell r="C2203" t="str">
            <v>Lắp cửa cột</v>
          </cell>
        </row>
        <row r="2204">
          <cell r="A2204" t="str">
            <v>CONHIET34</v>
          </cell>
          <cell r="B2204">
            <v>0</v>
          </cell>
          <cell r="C2204" t="str">
            <v>Ống co nhiệt D34</v>
          </cell>
        </row>
        <row r="2205">
          <cell r="A2205" t="str">
            <v>CO.01103-3</v>
          </cell>
          <cell r="B2205" t="str">
            <v>CO.01103</v>
          </cell>
          <cell r="C2205" t="str">
            <v>Đo vẽ mặt cắt tuyến dọc tuyến</v>
          </cell>
        </row>
        <row r="2206">
          <cell r="A2206" t="str">
            <v>CO.01203-3</v>
          </cell>
          <cell r="B2206" t="str">
            <v>CO.01203</v>
          </cell>
          <cell r="C2206" t="str">
            <v>Đo vẽ mặt cắt tuyến ngang tuyến</v>
          </cell>
        </row>
        <row r="2207">
          <cell r="A2207" t="str">
            <v>CO.01103-2</v>
          </cell>
          <cell r="B2207" t="str">
            <v>CO.01103</v>
          </cell>
          <cell r="C2207" t="str">
            <v>Đo vẽ mặt cắt tuyến dọc tuyến</v>
          </cell>
        </row>
        <row r="2208">
          <cell r="A2208" t="str">
            <v>CO.01203-2</v>
          </cell>
          <cell r="B2208" t="str">
            <v>CO.01203</v>
          </cell>
          <cell r="C2208" t="str">
            <v>Đo vẽ mặt cắt tuyến ngang tuyến</v>
          </cell>
        </row>
        <row r="2209">
          <cell r="A2209" t="str">
            <v>CO.01103-1</v>
          </cell>
          <cell r="B2209" t="str">
            <v>CO.01103</v>
          </cell>
          <cell r="C2209" t="str">
            <v>Đo vẽ mặt cắt tuyến dọc tuyến</v>
          </cell>
        </row>
        <row r="2210">
          <cell r="A2210" t="str">
            <v>CO.01203-1</v>
          </cell>
          <cell r="B2210" t="str">
            <v>CO.01203</v>
          </cell>
          <cell r="C2210" t="str">
            <v>Đo vẽ mặt cắt tuyến ngang tuyến</v>
          </cell>
        </row>
        <row r="2214">
          <cell r="A2214" t="str">
            <v>TNDZLBSTREO</v>
          </cell>
          <cell r="B2214" t="str">
            <v>EB.11040</v>
          </cell>
          <cell r="C2214" t="str">
            <v>LBS SF6 3pha 24kV 630A 12kA + bộ truyền động</v>
          </cell>
        </row>
        <row r="2215">
          <cell r="A2215" t="str">
            <v>TNDZREC</v>
          </cell>
          <cell r="B2215" t="str">
            <v>EB.11040</v>
          </cell>
          <cell r="C2215" t="str">
            <v>Recloser 24kV 630A</v>
          </cell>
        </row>
        <row r="2216">
          <cell r="A2216" t="str">
            <v>TNDZFCO100-22</v>
          </cell>
          <cell r="B2216" t="str">
            <v>EB.22040</v>
          </cell>
          <cell r="C2216" t="str">
            <v xml:space="preserve">FCO 24KV - 100A </v>
          </cell>
        </row>
        <row r="2217">
          <cell r="A2217" t="str">
            <v>TNDZFCO200-22</v>
          </cell>
          <cell r="B2217" t="str">
            <v>EB.22040</v>
          </cell>
          <cell r="C2217" t="str">
            <v xml:space="preserve">FCO 24KV - 200A </v>
          </cell>
        </row>
        <row r="2218">
          <cell r="A2218" t="str">
            <v>TNDZLA18</v>
          </cell>
          <cell r="B2218" t="str">
            <v>EC.11040</v>
          </cell>
          <cell r="C2218" t="str">
            <v>LA 18kV 10kA</v>
          </cell>
        </row>
        <row r="2219">
          <cell r="A2219" t="str">
            <v>TNDZstply</v>
          </cell>
          <cell r="B2219" t="str">
            <v>EB.41040</v>
          </cell>
          <cell r="C2219" t="str">
            <v>Sứ treo Polyme 24kV</v>
          </cell>
        </row>
        <row r="2220">
          <cell r="A2220" t="str">
            <v>TNDZSD</v>
          </cell>
          <cell r="B2220" t="str">
            <v>EB.41020</v>
          </cell>
          <cell r="C2220" t="str">
            <v>Sứ đứng 24kV ĐR 540mm</v>
          </cell>
        </row>
        <row r="2221">
          <cell r="A2221" t="str">
            <v>TNDZAC50</v>
          </cell>
          <cell r="B2221" t="str">
            <v>EB.60040</v>
          </cell>
          <cell r="C2221" t="str">
            <v>Cáp AC50</v>
          </cell>
        </row>
        <row r="2222">
          <cell r="A2222" t="str">
            <v>TNDZXLPE25</v>
          </cell>
          <cell r="B2222" t="str">
            <v>EB.60030</v>
          </cell>
          <cell r="C2222" t="str">
            <v>Cáp CXV25</v>
          </cell>
        </row>
        <row r="2223">
          <cell r="A2223" t="str">
            <v>TNDZAC95</v>
          </cell>
          <cell r="B2223" t="str">
            <v>EB.60040</v>
          </cell>
          <cell r="C2223" t="str">
            <v>Cáp AC95</v>
          </cell>
        </row>
        <row r="2224">
          <cell r="A2224" t="str">
            <v>TNDZXLPE50AC</v>
          </cell>
          <cell r="B2224" t="str">
            <v>EB.60040</v>
          </cell>
          <cell r="C2224" t="str">
            <v>Cáp ACXV50</v>
          </cell>
        </row>
        <row r="2225">
          <cell r="A2225" t="str">
            <v>TNDZXLPE70AC</v>
          </cell>
          <cell r="B2225" t="str">
            <v>EB.60040</v>
          </cell>
          <cell r="C2225" t="str">
            <v>Cáp ACXV70</v>
          </cell>
        </row>
        <row r="2226">
          <cell r="A2226" t="str">
            <v>TNDZXLPE95AC</v>
          </cell>
          <cell r="B2226" t="str">
            <v>EB.60040</v>
          </cell>
          <cell r="C2226" t="str">
            <v>Cáp ACXV95</v>
          </cell>
        </row>
        <row r="2227">
          <cell r="A2227" t="str">
            <v>TNDZXLPE150AC</v>
          </cell>
          <cell r="B2227" t="str">
            <v>EB.60040</v>
          </cell>
          <cell r="C2227" t="str">
            <v>Cáp ngầm C/DSTA/PVC 0,6kV - 4x120mm2</v>
          </cell>
        </row>
        <row r="2228">
          <cell r="A2228" t="str">
            <v>TNDZABC4x95</v>
          </cell>
          <cell r="B2228" t="str">
            <v>EB.60040</v>
          </cell>
          <cell r="C2228" t="str">
            <v>Cáp ABC4x95</v>
          </cell>
        </row>
        <row r="2229">
          <cell r="A2229" t="str">
            <v>TNDZABC4x120</v>
          </cell>
          <cell r="B2229" t="str">
            <v>EB.60040</v>
          </cell>
          <cell r="C2229" t="str">
            <v>Cáp ABC4x120</v>
          </cell>
        </row>
        <row r="2230">
          <cell r="A2230" t="str">
            <v>TNDZABC4x150</v>
          </cell>
          <cell r="B2230" t="str">
            <v>EB.60040</v>
          </cell>
          <cell r="C2230" t="str">
            <v>Cáp ABC4x150</v>
          </cell>
        </row>
        <row r="2231">
          <cell r="A2231" t="str">
            <v>TNDZCVV4x4</v>
          </cell>
          <cell r="B2231" t="str">
            <v>EB.60040</v>
          </cell>
          <cell r="C2231" t="str">
            <v>Cáp CVV4x4</v>
          </cell>
        </row>
        <row r="2232">
          <cell r="A2232" t="str">
            <v>TNDZTD75</v>
          </cell>
          <cell r="B2232" t="str">
            <v>EC.22020</v>
          </cell>
          <cell r="C2232" t="str">
            <v>Tiếp địa lặp lại trụ 7,5m</v>
          </cell>
        </row>
        <row r="2233">
          <cell r="A2233" t="str">
            <v>TNDZTD85</v>
          </cell>
          <cell r="B2233" t="str">
            <v>EC.22020</v>
          </cell>
          <cell r="C2233" t="str">
            <v>Tiếp địa lặp lại trụ 8,5m</v>
          </cell>
        </row>
        <row r="2234">
          <cell r="A2234" t="str">
            <v>TNDZTD85ABC</v>
          </cell>
          <cell r="B2234" t="str">
            <v>EC.22020</v>
          </cell>
          <cell r="C2234" t="str">
            <v>Tiếp địa lặp lại trụ 8,5m cáp ABC</v>
          </cell>
        </row>
        <row r="2235">
          <cell r="A2235" t="str">
            <v>TNDZTDLL12</v>
          </cell>
          <cell r="B2235" t="str">
            <v>EC.22020</v>
          </cell>
          <cell r="C2235" t="str">
            <v>Tiếp địa lặp lại trụ 12m</v>
          </cell>
        </row>
        <row r="2236">
          <cell r="A2236" t="str">
            <v>TNTBATDTBA1P</v>
          </cell>
          <cell r="B2236" t="str">
            <v>RC.21040</v>
          </cell>
          <cell r="C2236" t="str">
            <v>Tiếp địa TBA 1 pha</v>
          </cell>
        </row>
        <row r="2237">
          <cell r="A2237" t="str">
            <v>TNTBATDTBA3P</v>
          </cell>
          <cell r="B2237" t="str">
            <v>RC.21040</v>
          </cell>
          <cell r="C2237" t="str">
            <v>Tiếp địa TBA 3 pha</v>
          </cell>
        </row>
        <row r="2238">
          <cell r="A2238" t="str">
            <v>TNTBATR10001</v>
          </cell>
          <cell r="B2238" t="str">
            <v>EA.22110</v>
          </cell>
          <cell r="C2238" t="str">
            <v>Máy biến áp 22/0,4kV- 1000kVA</v>
          </cell>
        </row>
        <row r="2239">
          <cell r="A2239" t="str">
            <v>TNTBATR7501</v>
          </cell>
          <cell r="B2239" t="str">
            <v>EA.22110</v>
          </cell>
          <cell r="C2239" t="str">
            <v>Máy biến áp 22/0,4kV- 750kVA</v>
          </cell>
        </row>
        <row r="2240">
          <cell r="A2240" t="str">
            <v>TNTBATR6301</v>
          </cell>
          <cell r="B2240" t="str">
            <v>EA.22110</v>
          </cell>
          <cell r="C2240" t="str">
            <v>Máy biến áp 22/0,4kV- 630kVA</v>
          </cell>
        </row>
        <row r="2241">
          <cell r="A2241" t="str">
            <v>TNTBATR5601</v>
          </cell>
          <cell r="B2241" t="str">
            <v>EA.22110</v>
          </cell>
          <cell r="C2241" t="str">
            <v>Máy biến áp 22/0,4kV- 560kVA</v>
          </cell>
        </row>
        <row r="2242">
          <cell r="A2242" t="str">
            <v>TNTBATR4001</v>
          </cell>
          <cell r="B2242" t="str">
            <v>EA.22110</v>
          </cell>
          <cell r="C2242" t="str">
            <v>Máy biến áp 22/0,4kV- 400kVA</v>
          </cell>
        </row>
        <row r="2243">
          <cell r="A2243" t="str">
            <v>TNTBATR3201</v>
          </cell>
          <cell r="B2243" t="str">
            <v>EA.22110</v>
          </cell>
          <cell r="C2243" t="str">
            <v>Máy biến áp 22/0,4kV- 320kVA</v>
          </cell>
        </row>
        <row r="2244">
          <cell r="A2244" t="str">
            <v>TNTBATR2501</v>
          </cell>
          <cell r="B2244" t="str">
            <v>EA.22110</v>
          </cell>
          <cell r="C2244" t="str">
            <v>Máy biến áp 22/0,4kV- 250kVA</v>
          </cell>
        </row>
        <row r="2245">
          <cell r="A2245" t="str">
            <v>TNTBATR1601</v>
          </cell>
          <cell r="B2245" t="str">
            <v>EA.22110</v>
          </cell>
          <cell r="C2245" t="str">
            <v>Máy biến áp 22/0,4kV  160kVA</v>
          </cell>
        </row>
        <row r="2246">
          <cell r="A2246" t="str">
            <v>TNTBATR501</v>
          </cell>
          <cell r="B2246" t="str">
            <v>EA.22130</v>
          </cell>
          <cell r="C2246" t="str">
            <v>Máy biến áp 12,7/0,22-0,44kV  50kVA</v>
          </cell>
        </row>
        <row r="2247">
          <cell r="A2247" t="str">
            <v>TNTBATR751</v>
          </cell>
          <cell r="B2247" t="str">
            <v>EA.22130</v>
          </cell>
          <cell r="C2247" t="str">
            <v>Máy biến áp 12,7/0,22-0,44kV  75kVA</v>
          </cell>
        </row>
        <row r="2248">
          <cell r="A2248" t="str">
            <v>TNTBATR37.51</v>
          </cell>
          <cell r="B2248" t="str">
            <v>EA.22130</v>
          </cell>
          <cell r="C2248" t="str">
            <v>Máy biến áp 12,7/0,22-0,44kV  37,5kVA</v>
          </cell>
        </row>
        <row r="2249">
          <cell r="A2249" t="str">
            <v>TNTBATR251</v>
          </cell>
          <cell r="B2249" t="str">
            <v>EA.22130</v>
          </cell>
          <cell r="C2249" t="str">
            <v>Máy biến áp 12,7/0,22-0,44kV  25kVA</v>
          </cell>
        </row>
        <row r="2250">
          <cell r="A2250" t="str">
            <v>TNTBATR151</v>
          </cell>
          <cell r="B2250" t="str">
            <v>EA.22130</v>
          </cell>
          <cell r="C2250" t="str">
            <v>Máy biến áp 12,7/0,22-0,44kV  15kVA</v>
          </cell>
        </row>
        <row r="2251">
          <cell r="A2251" t="str">
            <v>TNTBACV25</v>
          </cell>
          <cell r="B2251" t="str">
            <v>EB.60030</v>
          </cell>
          <cell r="C2251" t="str">
            <v>Cáp đồng bọc CV70</v>
          </cell>
        </row>
        <row r="2252">
          <cell r="A2252" t="str">
            <v>TNTBACV50</v>
          </cell>
          <cell r="B2252" t="str">
            <v>EB.60030</v>
          </cell>
          <cell r="C2252" t="str">
            <v>Cáp đồng bọc CV50</v>
          </cell>
        </row>
        <row r="2253">
          <cell r="A2253" t="str">
            <v>TNTBACV70</v>
          </cell>
          <cell r="B2253" t="str">
            <v>EB.60030</v>
          </cell>
          <cell r="C2253" t="str">
            <v>Cáp đồng bọc CV70</v>
          </cell>
        </row>
        <row r="2254">
          <cell r="A2254" t="str">
            <v>TNTBACV95</v>
          </cell>
          <cell r="B2254" t="str">
            <v>EB.60030</v>
          </cell>
          <cell r="C2254" t="str">
            <v>Cáp đồng bọc CV95</v>
          </cell>
        </row>
        <row r="2255">
          <cell r="A2255" t="str">
            <v>TNTBACV120</v>
          </cell>
          <cell r="B2255" t="str">
            <v>EB.60030</v>
          </cell>
          <cell r="C2255" t="str">
            <v>Cáp đồng bọc CV120</v>
          </cell>
        </row>
        <row r="2256">
          <cell r="A2256" t="str">
            <v>TNTBACV150</v>
          </cell>
          <cell r="B2256" t="str">
            <v>EB.60030</v>
          </cell>
          <cell r="C2256" t="str">
            <v>Cáp đồng bọc CV150</v>
          </cell>
        </row>
        <row r="2257">
          <cell r="A2257" t="str">
            <v>TNTBACV185</v>
          </cell>
          <cell r="B2257" t="str">
            <v>EB.60030</v>
          </cell>
          <cell r="C2257" t="str">
            <v>Cáp đồng bọc CV185</v>
          </cell>
        </row>
        <row r="2258">
          <cell r="A2258" t="str">
            <v>TNTBACV200</v>
          </cell>
          <cell r="B2258" t="str">
            <v>EB.60030</v>
          </cell>
          <cell r="C2258" t="str">
            <v>Cáp đồng bọc CV200</v>
          </cell>
        </row>
        <row r="2259">
          <cell r="A2259" t="str">
            <v>TNTBACV240</v>
          </cell>
          <cell r="B2259" t="str">
            <v>EB.60030</v>
          </cell>
          <cell r="C2259" t="str">
            <v>Cáp đồng bọc CV200</v>
          </cell>
        </row>
        <row r="2260">
          <cell r="A2260" t="str">
            <v>TNTBACV300</v>
          </cell>
          <cell r="B2260" t="str">
            <v>EB.60030</v>
          </cell>
          <cell r="C2260" t="str">
            <v>Cáp đồng bọc CV300</v>
          </cell>
        </row>
        <row r="2261">
          <cell r="A2261" t="str">
            <v>TNTBAFCO100-22</v>
          </cell>
          <cell r="B2261" t="str">
            <v>EB.22040</v>
          </cell>
          <cell r="C2261" t="str">
            <v>FCO 24kV - 100A</v>
          </cell>
        </row>
        <row r="2262">
          <cell r="A2262" t="str">
            <v>TNTBALA18</v>
          </cell>
          <cell r="B2262" t="str">
            <v>EC.11040</v>
          </cell>
          <cell r="C2262" t="str">
            <v>LA 18kV 10kA</v>
          </cell>
        </row>
        <row r="2263">
          <cell r="A2263" t="str">
            <v>TNTBAATM75</v>
          </cell>
          <cell r="B2263" t="str">
            <v>EB.72020</v>
          </cell>
          <cell r="C2263" t="str">
            <v>MCCB 3 cực 400V-75A - 10KA</v>
          </cell>
        </row>
        <row r="2264">
          <cell r="A2264" t="str">
            <v>TNTBAATM80</v>
          </cell>
          <cell r="B2264" t="str">
            <v>EB.72020</v>
          </cell>
          <cell r="C2264" t="str">
            <v>MCCB 3 cực 400V-80A - 10KA</v>
          </cell>
        </row>
        <row r="2265">
          <cell r="A2265" t="str">
            <v>TNTBAATM125</v>
          </cell>
          <cell r="B2265" t="str">
            <v>EB.72010</v>
          </cell>
          <cell r="C2265" t="str">
            <v>MCCB 3 cực 400V -125A - 30KA</v>
          </cell>
        </row>
        <row r="2266">
          <cell r="A2266" t="str">
            <v>TNTBAATM200</v>
          </cell>
          <cell r="B2266" t="str">
            <v>EB.72010</v>
          </cell>
          <cell r="C2266" t="str">
            <v>MCCB 3 cực 400V -200A - 35KA</v>
          </cell>
        </row>
        <row r="2267">
          <cell r="A2267" t="str">
            <v>TNTBAATM250</v>
          </cell>
          <cell r="B2267" t="str">
            <v>EB.72010</v>
          </cell>
          <cell r="C2267" t="str">
            <v xml:space="preserve">MCCB 3 cực 400V -250A - 35KA </v>
          </cell>
        </row>
        <row r="2268">
          <cell r="A2268" t="str">
            <v>TNTBAATM400</v>
          </cell>
          <cell r="B2268" t="str">
            <v>EB.71040</v>
          </cell>
          <cell r="C2268" t="str">
            <v>MCCB 3 cực 400V -400A - 35KA</v>
          </cell>
        </row>
        <row r="2269">
          <cell r="A2269" t="str">
            <v>TNTBAATM500</v>
          </cell>
          <cell r="B2269" t="str">
            <v>EB.71030</v>
          </cell>
          <cell r="C2269" t="str">
            <v>MCCB 3 cực 400V - 500A/35KA</v>
          </cell>
        </row>
        <row r="2270">
          <cell r="A2270" t="str">
            <v>TNTBAATM630</v>
          </cell>
          <cell r="B2270" t="str">
            <v>EB.71030</v>
          </cell>
          <cell r="C2270" t="str">
            <v>MCCB 3 cực 400V -630A - 35KA</v>
          </cell>
        </row>
        <row r="2271">
          <cell r="A2271" t="str">
            <v>TNTBAATM1000</v>
          </cell>
          <cell r="B2271" t="str">
            <v>EB.71020</v>
          </cell>
          <cell r="C2271" t="str">
            <v>MCCB 3 cực 400V -1000A - 50KA</v>
          </cell>
        </row>
        <row r="2272">
          <cell r="A2272" t="str">
            <v>TNTBAATM1250</v>
          </cell>
          <cell r="B2272" t="str">
            <v>EB.71020</v>
          </cell>
          <cell r="C2272" t="str">
            <v>MCCB 3 cực 400V -1250A - 85KA</v>
          </cell>
        </row>
        <row r="2273">
          <cell r="A2273" t="str">
            <v>TNTBAATM1600</v>
          </cell>
          <cell r="B2273" t="str">
            <v>EB.71020</v>
          </cell>
          <cell r="C2273" t="str">
            <v>MCCB 3 cực 400V -1600A - 85KA</v>
          </cell>
        </row>
        <row r="2274">
          <cell r="A2274" t="str">
            <v>TNTBAATM1600</v>
          </cell>
          <cell r="B2274" t="str">
            <v>EB.71020</v>
          </cell>
          <cell r="C2274" t="str">
            <v>MCCB 3 cực 400V -1600A - 85KA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sheetPr>
  <dimension ref="A1:H55"/>
  <sheetViews>
    <sheetView showGridLines="0" showZeros="0" view="pageBreakPreview" zoomScale="98" zoomScaleNormal="100" zoomScaleSheetLayoutView="115" workbookViewId="0">
      <selection activeCell="D57" sqref="D57"/>
    </sheetView>
  </sheetViews>
  <sheetFormatPr defaultColWidth="9.140625" defaultRowHeight="19.5" customHeight="1"/>
  <cols>
    <col min="1" max="1" width="7.140625" style="361" customWidth="1"/>
    <col min="2" max="2" width="40" style="361" customWidth="1"/>
    <col min="3" max="3" width="25" style="361" customWidth="1"/>
    <col min="4" max="4" width="20.5703125" style="1175" customWidth="1"/>
    <col min="5" max="5" width="10.5703125" style="1176" customWidth="1"/>
    <col min="6" max="7" width="20.5703125" style="1175" customWidth="1"/>
    <col min="8" max="8" width="9.28515625" style="1177" bestFit="1" customWidth="1"/>
    <col min="9" max="16384" width="9.140625" style="361"/>
  </cols>
  <sheetData>
    <row r="1" spans="1:8" ht="27" customHeight="1">
      <c r="A1" s="1137" t="s">
        <v>5124</v>
      </c>
      <c r="B1" s="454"/>
      <c r="C1" s="454"/>
      <c r="D1" s="386"/>
      <c r="E1" s="1138"/>
      <c r="F1" s="386"/>
      <c r="G1" s="386"/>
      <c r="H1" s="1139"/>
    </row>
    <row r="2" spans="1:8" ht="19.5" customHeight="1">
      <c r="A2" s="381" t="str">
        <f>"CÔNG TRÌNH: "&amp;[1]SETTING!$K$2</f>
        <v xml:space="preserve">CÔNG TRÌNH: ĐƯỜNG XUÂN BẮC  - BẢO QUANG. </v>
      </c>
      <c r="B2" s="454"/>
      <c r="C2" s="454"/>
      <c r="D2" s="386"/>
      <c r="E2" s="1138"/>
      <c r="F2" s="386"/>
      <c r="G2" s="386"/>
      <c r="H2" s="1139"/>
    </row>
    <row r="3" spans="1:8" ht="19.5" customHeight="1">
      <c r="A3" s="381" t="str">
        <f>"HẠNG MỤC: "&amp;[1]SETTING!$K$3</f>
        <v>HẠNG MỤC: DI DỜI HỆ THỐNG ĐIỆN TRUNG HẠ THẾ</v>
      </c>
      <c r="B3" s="454"/>
      <c r="C3" s="454"/>
      <c r="D3" s="386"/>
      <c r="E3" s="1138"/>
      <c r="F3" s="386"/>
      <c r="G3" s="386"/>
      <c r="H3" s="1139"/>
    </row>
    <row r="4" spans="1:8" ht="21.95" customHeight="1">
      <c r="A4" s="1361" t="s">
        <v>2347</v>
      </c>
      <c r="B4" s="1363" t="s">
        <v>2401</v>
      </c>
      <c r="C4" s="1363" t="s">
        <v>2402</v>
      </c>
      <c r="D4" s="1365" t="s">
        <v>3866</v>
      </c>
      <c r="E4" s="1140" t="s">
        <v>3867</v>
      </c>
      <c r="F4" s="1141"/>
      <c r="G4" s="1365" t="s">
        <v>3868</v>
      </c>
      <c r="H4" s="1139"/>
    </row>
    <row r="5" spans="1:8" ht="21.95" customHeight="1">
      <c r="A5" s="1362"/>
      <c r="B5" s="1364"/>
      <c r="C5" s="1364"/>
      <c r="D5" s="1366"/>
      <c r="E5" s="1142" t="s">
        <v>3869</v>
      </c>
      <c r="F5" s="1143" t="s">
        <v>2348</v>
      </c>
      <c r="G5" s="1366"/>
      <c r="H5" s="1139">
        <f>IF(SUM(G5:G5)&gt;0,1,0)</f>
        <v>0</v>
      </c>
    </row>
    <row r="6" spans="1:8" ht="21.95" hidden="1" customHeight="1">
      <c r="A6" s="1144"/>
      <c r="B6" s="1145" t="s">
        <v>3315</v>
      </c>
      <c r="C6" s="1146" t="s">
        <v>2403</v>
      </c>
      <c r="D6" s="1147" t="e">
        <f ca="1">D7+D14</f>
        <v>#REF!</v>
      </c>
      <c r="E6" s="1148"/>
      <c r="F6" s="1147" t="e">
        <f ca="1">F7+F14</f>
        <v>#REF!</v>
      </c>
      <c r="G6" s="1147" t="e">
        <f ca="1">D6+F6</f>
        <v>#REF!</v>
      </c>
      <c r="H6" s="1139" t="e">
        <f t="shared" ref="H6:H48" ca="1" si="0">IF(SUM(G6:G6)&gt;0,1,0)</f>
        <v>#REF!</v>
      </c>
    </row>
    <row r="7" spans="1:8" ht="21.95" customHeight="1">
      <c r="A7" s="1144" t="s">
        <v>2361</v>
      </c>
      <c r="B7" s="1145" t="s">
        <v>2404</v>
      </c>
      <c r="C7" s="1146"/>
      <c r="D7" s="1147" t="e">
        <f ca="1">D8+D11</f>
        <v>#REF!</v>
      </c>
      <c r="E7" s="1148"/>
      <c r="F7" s="1147" t="e">
        <f ca="1">F8+F11</f>
        <v>#REF!</v>
      </c>
      <c r="G7" s="1147" t="e">
        <f ca="1">G8+G11</f>
        <v>#REF!</v>
      </c>
      <c r="H7" s="1139" t="e">
        <f t="shared" ca="1" si="0"/>
        <v>#REF!</v>
      </c>
    </row>
    <row r="8" spans="1:8" ht="21.95" customHeight="1">
      <c r="A8" s="1149"/>
      <c r="B8" s="1150" t="s">
        <v>2405</v>
      </c>
      <c r="C8" s="1146" t="s">
        <v>2441</v>
      </c>
      <c r="D8" s="1151" t="e">
        <f ca="1">SUM(D9:D10)</f>
        <v>#REF!</v>
      </c>
      <c r="E8" s="1148"/>
      <c r="F8" s="1151" t="e">
        <f ca="1">SUM(F9:F10)</f>
        <v>#REF!</v>
      </c>
      <c r="G8" s="1151" t="e">
        <f ca="1">SUM(G9:G10)</f>
        <v>#REF!</v>
      </c>
      <c r="H8" s="1139" t="e">
        <f t="shared" ca="1" si="0"/>
        <v>#REF!</v>
      </c>
    </row>
    <row r="9" spans="1:8" ht="21.95" customHeight="1">
      <c r="A9" s="1149"/>
      <c r="B9" s="1152" t="s">
        <v>4982</v>
      </c>
      <c r="C9" s="1153" t="s">
        <v>5125</v>
      </c>
      <c r="D9" s="1154" t="e">
        <f ca="1">ROUND('THXL (2)'!E22,0)</f>
        <v>#REF!</v>
      </c>
      <c r="E9" s="1155">
        <v>0.1</v>
      </c>
      <c r="F9" s="1154" t="e">
        <f ca="1">ROUND(E9*D9,0)</f>
        <v>#REF!</v>
      </c>
      <c r="G9" s="1154" t="e">
        <f ca="1">ROUND(F9+D9,0)</f>
        <v>#REF!</v>
      </c>
      <c r="H9" s="1139" t="e">
        <f t="shared" ca="1" si="0"/>
        <v>#REF!</v>
      </c>
    </row>
    <row r="10" spans="1:8" s="371" customFormat="1" ht="20.100000000000001" hidden="1" customHeight="1">
      <c r="A10" s="1156" t="s">
        <v>3265</v>
      </c>
      <c r="B10" s="1157" t="s">
        <v>3263</v>
      </c>
      <c r="C10" s="1158" t="s">
        <v>2442</v>
      </c>
      <c r="D10" s="1159"/>
      <c r="E10" s="1160">
        <v>0.1</v>
      </c>
      <c r="F10" s="1159">
        <f>E10*D10</f>
        <v>0</v>
      </c>
      <c r="G10" s="1159">
        <f>F10+D10</f>
        <v>0</v>
      </c>
      <c r="H10" s="373">
        <f t="shared" si="0"/>
        <v>0</v>
      </c>
    </row>
    <row r="11" spans="1:8" s="371" customFormat="1" ht="20.100000000000001" hidden="1" customHeight="1">
      <c r="A11" s="343" t="s">
        <v>2650</v>
      </c>
      <c r="B11" s="297" t="s">
        <v>2434</v>
      </c>
      <c r="C11" s="298" t="s">
        <v>2439</v>
      </c>
      <c r="D11" s="671"/>
      <c r="E11" s="592"/>
      <c r="F11" s="671">
        <f>SUBTOTAL(9,F12:F12)</f>
        <v>0</v>
      </c>
      <c r="G11" s="671">
        <f>SUBTOTAL(9,G12:G12)</f>
        <v>0</v>
      </c>
      <c r="H11" s="373">
        <f t="shared" si="0"/>
        <v>0</v>
      </c>
    </row>
    <row r="12" spans="1:8" s="371" customFormat="1" ht="20.100000000000001" hidden="1" customHeight="1">
      <c r="A12" s="344" t="s">
        <v>3260</v>
      </c>
      <c r="B12" s="59" t="s">
        <v>3261</v>
      </c>
      <c r="C12" s="60" t="s">
        <v>2443</v>
      </c>
      <c r="D12" s="672"/>
      <c r="E12" s="597">
        <v>0.1</v>
      </c>
      <c r="F12" s="672">
        <f>E12*D12</f>
        <v>0</v>
      </c>
      <c r="G12" s="673">
        <f>F12+D12</f>
        <v>0</v>
      </c>
      <c r="H12" s="373">
        <f t="shared" si="0"/>
        <v>0</v>
      </c>
    </row>
    <row r="13" spans="1:8" s="371" customFormat="1" ht="20.100000000000001" hidden="1" customHeight="1">
      <c r="A13" s="1161" t="s">
        <v>3264</v>
      </c>
      <c r="B13" s="1162" t="s">
        <v>3262</v>
      </c>
      <c r="C13" s="1163" t="s">
        <v>2443</v>
      </c>
      <c r="D13" s="1164"/>
      <c r="E13" s="1165">
        <v>0.1</v>
      </c>
      <c r="F13" s="1164">
        <f>E13*D13</f>
        <v>0</v>
      </c>
      <c r="G13" s="1166">
        <f>F13+D13</f>
        <v>0</v>
      </c>
      <c r="H13" s="373">
        <f t="shared" si="0"/>
        <v>0</v>
      </c>
    </row>
    <row r="14" spans="1:8" ht="21.95" customHeight="1">
      <c r="A14" s="1144" t="s">
        <v>2379</v>
      </c>
      <c r="B14" s="1145" t="s">
        <v>5126</v>
      </c>
      <c r="C14" s="1146"/>
      <c r="D14" s="1147" t="e">
        <f ca="1">SUM(D15:D16)</f>
        <v>#REF!</v>
      </c>
      <c r="E14" s="1148"/>
      <c r="F14" s="1147" t="e">
        <f ca="1">ROUND(SUM(F15:F16),0)</f>
        <v>#REF!</v>
      </c>
      <c r="G14" s="1147" t="e">
        <f ca="1">SUM(G15:G16)</f>
        <v>#REF!</v>
      </c>
      <c r="H14" s="1139" t="e">
        <f t="shared" ca="1" si="0"/>
        <v>#REF!</v>
      </c>
    </row>
    <row r="15" spans="1:8" ht="21.95" customHeight="1">
      <c r="A15" s="1149"/>
      <c r="B15" s="1167" t="s">
        <v>4983</v>
      </c>
      <c r="C15" s="1153" t="s">
        <v>5127</v>
      </c>
      <c r="D15" s="1154" t="e">
        <f ca="1">ROUND('THXL (2)'!G22,0)</f>
        <v>#REF!</v>
      </c>
      <c r="E15" s="1155">
        <v>0.1</v>
      </c>
      <c r="F15" s="1168" t="e">
        <f ca="1">ROUND(E15*D15,0)</f>
        <v>#REF!</v>
      </c>
      <c r="G15" s="1168" t="e">
        <f ca="1">ROUND(F15+D15,0)</f>
        <v>#REF!</v>
      </c>
      <c r="H15" s="1139" t="e">
        <f t="shared" ca="1" si="0"/>
        <v>#REF!</v>
      </c>
    </row>
    <row r="16" spans="1:8" s="371" customFormat="1" ht="18.75" hidden="1">
      <c r="A16" s="1169" t="s">
        <v>2653</v>
      </c>
      <c r="B16" s="1157" t="s">
        <v>3271</v>
      </c>
      <c r="C16" s="1158" t="s">
        <v>2444</v>
      </c>
      <c r="D16" s="1170"/>
      <c r="E16" s="1160">
        <v>0.1</v>
      </c>
      <c r="F16" s="1170">
        <f>E16*D16</f>
        <v>0</v>
      </c>
      <c r="G16" s="1170">
        <f>+F16+D16</f>
        <v>0</v>
      </c>
      <c r="H16" s="373">
        <f t="shared" si="0"/>
        <v>0</v>
      </c>
    </row>
    <row r="17" spans="1:8" s="371" customFormat="1" ht="15.75" hidden="1">
      <c r="A17" s="48" t="s">
        <v>2371</v>
      </c>
      <c r="B17" s="118" t="s">
        <v>3316</v>
      </c>
      <c r="C17" s="56" t="s">
        <v>2645</v>
      </c>
      <c r="D17" s="674">
        <f>+D18+D22</f>
        <v>0</v>
      </c>
      <c r="E17" s="602"/>
      <c r="F17" s="674">
        <f>F18+F22</f>
        <v>0</v>
      </c>
      <c r="G17" s="674">
        <f>D17+F17</f>
        <v>0</v>
      </c>
      <c r="H17" s="373">
        <f t="shared" si="0"/>
        <v>0</v>
      </c>
    </row>
    <row r="18" spans="1:8" s="371" customFormat="1" ht="15.75" hidden="1">
      <c r="A18" s="168" t="s">
        <v>2654</v>
      </c>
      <c r="B18" s="119" t="s">
        <v>2646</v>
      </c>
      <c r="C18" s="120" t="s">
        <v>2829</v>
      </c>
      <c r="D18" s="670">
        <f>SUBTOTAL(9,D19:D21)</f>
        <v>0</v>
      </c>
      <c r="E18" s="590"/>
      <c r="F18" s="670">
        <f>SUBTOTAL(9,F19:F21)</f>
        <v>0</v>
      </c>
      <c r="G18" s="670">
        <f>SUBTOTAL(9,G19:G21)</f>
        <v>0</v>
      </c>
      <c r="H18" s="373">
        <f t="shared" si="0"/>
        <v>0</v>
      </c>
    </row>
    <row r="19" spans="1:8" s="371" customFormat="1" ht="15.75" hidden="1">
      <c r="A19" s="345" t="s">
        <v>3294</v>
      </c>
      <c r="B19" s="125" t="s">
        <v>2708</v>
      </c>
      <c r="C19" s="62" t="s">
        <v>2369</v>
      </c>
      <c r="D19" s="672">
        <f ca="1">vltbDD1</f>
        <v>0</v>
      </c>
      <c r="E19" s="597">
        <v>0.1</v>
      </c>
      <c r="F19" s="672">
        <f ca="1">E19*D19</f>
        <v>0</v>
      </c>
      <c r="G19" s="672">
        <f t="shared" ref="G19:G26" ca="1" si="1">F19+D19</f>
        <v>0</v>
      </c>
      <c r="H19" s="373">
        <f t="shared" ca="1" si="0"/>
        <v>0</v>
      </c>
    </row>
    <row r="20" spans="1:8" s="371" customFormat="1" ht="15.75" hidden="1">
      <c r="A20" s="345" t="s">
        <v>3295</v>
      </c>
      <c r="B20" s="125" t="s">
        <v>2709</v>
      </c>
      <c r="C20" s="62" t="s">
        <v>2369</v>
      </c>
      <c r="D20" s="672">
        <f ca="1">ldtb_ldtbdd1</f>
        <v>0</v>
      </c>
      <c r="E20" s="597">
        <v>0.1</v>
      </c>
      <c r="F20" s="672">
        <f ca="1">E20*D20</f>
        <v>0</v>
      </c>
      <c r="G20" s="672">
        <f t="shared" ca="1" si="1"/>
        <v>0</v>
      </c>
      <c r="H20" s="373">
        <f t="shared" ca="1" si="0"/>
        <v>0</v>
      </c>
    </row>
    <row r="21" spans="1:8" s="371" customFormat="1" ht="15.75" hidden="1">
      <c r="A21" s="345" t="s">
        <v>3296</v>
      </c>
      <c r="B21" s="125" t="s">
        <v>2710</v>
      </c>
      <c r="C21" s="62" t="s">
        <v>2369</v>
      </c>
      <c r="D21" s="672">
        <f ca="1">tnhc_gtdd1</f>
        <v>0</v>
      </c>
      <c r="E21" s="597">
        <v>0.1</v>
      </c>
      <c r="F21" s="672">
        <f ca="1">E21*D21</f>
        <v>0</v>
      </c>
      <c r="G21" s="672">
        <f t="shared" ca="1" si="1"/>
        <v>0</v>
      </c>
      <c r="H21" s="373">
        <f t="shared" ca="1" si="0"/>
        <v>0</v>
      </c>
    </row>
    <row r="22" spans="1:8" s="371" customFormat="1" ht="15.75" hidden="1">
      <c r="A22" s="168" t="s">
        <v>2655</v>
      </c>
      <c r="B22" s="119" t="s">
        <v>2647</v>
      </c>
      <c r="C22" s="120" t="s">
        <v>2831</v>
      </c>
      <c r="D22" s="670">
        <f>SUBTOTAL(9,D23:D26)</f>
        <v>0</v>
      </c>
      <c r="E22" s="590"/>
      <c r="F22" s="670">
        <f>SUBTOTAL(9,F23:F26)</f>
        <v>0</v>
      </c>
      <c r="G22" s="670">
        <f>SUBTOTAL(9,G23:G26)</f>
        <v>0</v>
      </c>
      <c r="H22" s="373">
        <f t="shared" si="0"/>
        <v>0</v>
      </c>
    </row>
    <row r="23" spans="1:8" s="371" customFormat="1" ht="15.75" hidden="1">
      <c r="A23" s="345" t="s">
        <v>3297</v>
      </c>
      <c r="B23" s="125" t="s">
        <v>2708</v>
      </c>
      <c r="C23" s="62" t="s">
        <v>2369</v>
      </c>
      <c r="D23" s="672">
        <f>cttba_vltb1_1</f>
        <v>0</v>
      </c>
      <c r="E23" s="597">
        <v>0.1</v>
      </c>
      <c r="F23" s="672">
        <f>E23*D23</f>
        <v>0</v>
      </c>
      <c r="G23" s="672">
        <f t="shared" si="1"/>
        <v>0</v>
      </c>
      <c r="H23" s="373">
        <f t="shared" si="0"/>
        <v>0</v>
      </c>
    </row>
    <row r="24" spans="1:8" s="371" customFormat="1" ht="15.75" hidden="1">
      <c r="A24" s="345" t="s">
        <v>3298</v>
      </c>
      <c r="B24" s="125" t="s">
        <v>2709</v>
      </c>
      <c r="C24" s="62" t="s">
        <v>2369</v>
      </c>
      <c r="D24" s="672">
        <f>ldtb_ldtbtba1</f>
        <v>0</v>
      </c>
      <c r="E24" s="597">
        <v>0.1</v>
      </c>
      <c r="F24" s="672">
        <f>E24*D24</f>
        <v>0</v>
      </c>
      <c r="G24" s="672">
        <f t="shared" si="1"/>
        <v>0</v>
      </c>
      <c r="H24" s="373">
        <f t="shared" si="0"/>
        <v>0</v>
      </c>
    </row>
    <row r="25" spans="1:8" s="371" customFormat="1" ht="15.75" hidden="1">
      <c r="A25" s="345" t="s">
        <v>3299</v>
      </c>
      <c r="B25" s="125" t="s">
        <v>2710</v>
      </c>
      <c r="C25" s="62" t="s">
        <v>2369</v>
      </c>
      <c r="D25" s="672">
        <f ca="1">tnhc_gttba1</f>
        <v>0</v>
      </c>
      <c r="E25" s="597">
        <v>0.1</v>
      </c>
      <c r="F25" s="672">
        <f ca="1">E25*D25</f>
        <v>0</v>
      </c>
      <c r="G25" s="672">
        <f t="shared" ca="1" si="1"/>
        <v>0</v>
      </c>
      <c r="H25" s="373">
        <f t="shared" ca="1" si="0"/>
        <v>0</v>
      </c>
    </row>
    <row r="26" spans="1:8" s="371" customFormat="1" ht="15.75" hidden="1">
      <c r="A26" s="345" t="s">
        <v>3300</v>
      </c>
      <c r="B26" s="125" t="s">
        <v>2711</v>
      </c>
      <c r="C26" s="62" t="s">
        <v>2369</v>
      </c>
      <c r="D26" s="672"/>
      <c r="E26" s="597">
        <v>0.1</v>
      </c>
      <c r="F26" s="672">
        <f>E26*D26</f>
        <v>0</v>
      </c>
      <c r="G26" s="672">
        <f t="shared" si="1"/>
        <v>0</v>
      </c>
      <c r="H26" s="373">
        <f t="shared" si="0"/>
        <v>0</v>
      </c>
    </row>
    <row r="27" spans="1:8" s="371" customFormat="1" ht="19.5" hidden="1" customHeight="1">
      <c r="A27" s="336" t="s">
        <v>2375</v>
      </c>
      <c r="B27" s="52" t="s">
        <v>2408</v>
      </c>
      <c r="C27" s="56" t="str">
        <f>HSQLDA&amp;" % x Gxd "</f>
        <v xml:space="preserve">3,453 % x Gxd </v>
      </c>
      <c r="D27" s="674" t="e">
        <f ca="1">HSQLDA/100*D6</f>
        <v>#REF!</v>
      </c>
      <c r="E27" s="602">
        <v>0.1</v>
      </c>
      <c r="F27" s="674" t="e">
        <f t="shared" ref="F27:F34" ca="1" si="2">D27*E27</f>
        <v>#REF!</v>
      </c>
      <c r="G27" s="674" t="e">
        <f ca="1">D27+F27</f>
        <v>#REF!</v>
      </c>
      <c r="H27" s="1095" t="e">
        <f t="shared" ca="1" si="0"/>
        <v>#REF!</v>
      </c>
    </row>
    <row r="28" spans="1:8" s="371" customFormat="1" ht="19.5" hidden="1" customHeight="1">
      <c r="A28" s="336" t="s">
        <v>2412</v>
      </c>
      <c r="B28" s="52" t="s">
        <v>2413</v>
      </c>
      <c r="C28" s="56" t="s">
        <v>2440</v>
      </c>
      <c r="D28" s="674" t="e">
        <f ca="1">SUM(D29:D35)</f>
        <v>#REF!</v>
      </c>
      <c r="E28" s="602"/>
      <c r="F28" s="674" t="e">
        <f ca="1">SUM(F29:F35)</f>
        <v>#REF!</v>
      </c>
      <c r="G28" s="674" t="e">
        <f t="shared" ref="G28:G29" ca="1" si="3">D28+F28</f>
        <v>#REF!</v>
      </c>
      <c r="H28" s="1095" t="e">
        <f t="shared" ca="1" si="0"/>
        <v>#REF!</v>
      </c>
    </row>
    <row r="29" spans="1:8" s="371" customFormat="1" ht="19.5" hidden="1" customHeight="1">
      <c r="A29" s="346" t="s">
        <v>2656</v>
      </c>
      <c r="B29" s="54" t="s">
        <v>5128</v>
      </c>
      <c r="C29" s="62" t="s">
        <v>5129</v>
      </c>
      <c r="D29" s="666" t="e">
        <f ca="1">th_gxdtt*6.7%</f>
        <v>#REF!</v>
      </c>
      <c r="E29" s="605">
        <v>0.1</v>
      </c>
      <c r="F29" s="676" t="e">
        <f t="shared" ca="1" si="2"/>
        <v>#REF!</v>
      </c>
      <c r="G29" s="675" t="e">
        <f t="shared" ca="1" si="3"/>
        <v>#REF!</v>
      </c>
      <c r="H29" s="1095" t="e">
        <f t="shared" ca="1" si="0"/>
        <v>#REF!</v>
      </c>
    </row>
    <row r="30" spans="1:8" s="371" customFormat="1" ht="20.100000000000001" hidden="1" customHeight="1">
      <c r="A30" s="346" t="s">
        <v>2662</v>
      </c>
      <c r="B30" s="54" t="s">
        <v>2417</v>
      </c>
      <c r="C30" s="62" t="s">
        <v>2415</v>
      </c>
      <c r="D30" s="666"/>
      <c r="E30" s="605">
        <v>0.1</v>
      </c>
      <c r="F30" s="676">
        <f t="shared" si="2"/>
        <v>0</v>
      </c>
      <c r="G30" s="675">
        <f>D30+F30</f>
        <v>0</v>
      </c>
      <c r="H30" s="373">
        <f t="shared" si="0"/>
        <v>0</v>
      </c>
    </row>
    <row r="31" spans="1:8" s="371" customFormat="1" ht="19.5" hidden="1" customHeight="1">
      <c r="A31" s="346" t="s">
        <v>2662</v>
      </c>
      <c r="B31" s="64" t="s">
        <v>2419</v>
      </c>
      <c r="C31" s="376" t="e">
        <f ca="1">IF(D31=2000000,"Giá tối thiểu",HSTTDT&amp;" % x Gxd ")</f>
        <v>#REF!</v>
      </c>
      <c r="D31" s="666" t="e">
        <f ca="1">IF(HSTTDT*D6/100&lt;2000000,2000000,HSTTDT*D6/100)</f>
        <v>#REF!</v>
      </c>
      <c r="E31" s="594">
        <v>0.1</v>
      </c>
      <c r="F31" s="678" t="e">
        <f t="shared" ca="1" si="2"/>
        <v>#REF!</v>
      </c>
      <c r="G31" s="679" t="e">
        <f t="shared" ref="G31:G34" ca="1" si="4">D31+F31</f>
        <v>#REF!</v>
      </c>
      <c r="H31" s="1095" t="e">
        <f t="shared" ca="1" si="0"/>
        <v>#REF!</v>
      </c>
    </row>
    <row r="32" spans="1:8" s="371" customFormat="1" ht="20.100000000000001" hidden="1" customHeight="1">
      <c r="A32" s="346" t="s">
        <v>2666</v>
      </c>
      <c r="B32" s="64" t="s">
        <v>2409</v>
      </c>
      <c r="C32" s="65" t="str">
        <f>HSHSDTTB&amp;" % x Gxd  "</f>
        <v xml:space="preserve">0,549 % x Gxd  </v>
      </c>
      <c r="D32" s="666">
        <f>HSHSDTTB*D17/100</f>
        <v>0</v>
      </c>
      <c r="E32" s="594">
        <v>0.1</v>
      </c>
      <c r="F32" s="678">
        <f t="shared" si="2"/>
        <v>0</v>
      </c>
      <c r="G32" s="679">
        <f t="shared" si="4"/>
        <v>0</v>
      </c>
      <c r="H32" s="373">
        <f t="shared" si="0"/>
        <v>0</v>
      </c>
    </row>
    <row r="33" spans="1:8" s="371" customFormat="1" ht="19.5" hidden="1" customHeight="1">
      <c r="A33" s="346" t="s">
        <v>2664</v>
      </c>
      <c r="B33" s="64" t="s">
        <v>2410</v>
      </c>
      <c r="C33" s="376" t="str">
        <f>HSGSTCXD&amp;" % x Gxd "</f>
        <v xml:space="preserve">3,508 % x Gxd </v>
      </c>
      <c r="D33" s="666" t="e">
        <f ca="1">HSGSTCXD*D6/100</f>
        <v>#REF!</v>
      </c>
      <c r="E33" s="594">
        <v>0.1</v>
      </c>
      <c r="F33" s="678" t="e">
        <f t="shared" ca="1" si="2"/>
        <v>#REF!</v>
      </c>
      <c r="G33" s="679" t="e">
        <f t="shared" ca="1" si="4"/>
        <v>#REF!</v>
      </c>
      <c r="H33" s="1095" t="e">
        <f t="shared" ca="1" si="0"/>
        <v>#REF!</v>
      </c>
    </row>
    <row r="34" spans="1:8" s="371" customFormat="1" ht="20.100000000000001" hidden="1" customHeight="1">
      <c r="A34" s="346" t="s">
        <v>2668</v>
      </c>
      <c r="B34" s="64" t="s">
        <v>2411</v>
      </c>
      <c r="C34" s="375" t="str">
        <f>HSGSLDTB&amp;" % x Gtb "</f>
        <v xml:space="preserve">1,147 % x Gtb </v>
      </c>
      <c r="D34" s="666">
        <f>HSGSLDTB*D17/100</f>
        <v>0</v>
      </c>
      <c r="E34" s="594">
        <v>0.1</v>
      </c>
      <c r="F34" s="678">
        <f t="shared" si="2"/>
        <v>0</v>
      </c>
      <c r="G34" s="679">
        <f t="shared" si="4"/>
        <v>0</v>
      </c>
      <c r="H34" s="373">
        <f t="shared" si="0"/>
        <v>0</v>
      </c>
    </row>
    <row r="35" spans="1:8" s="371" customFormat="1" ht="20.100000000000001" hidden="1" customHeight="1">
      <c r="A35" s="346" t="s">
        <v>2669</v>
      </c>
      <c r="B35" s="64" t="s">
        <v>2420</v>
      </c>
      <c r="C35" s="50" t="s">
        <v>2421</v>
      </c>
      <c r="D35" s="680"/>
      <c r="E35" s="597">
        <f>+E33</f>
        <v>0.1</v>
      </c>
      <c r="F35" s="677">
        <f>+E35*D35</f>
        <v>0</v>
      </c>
      <c r="G35" s="672">
        <f>+F35+D35</f>
        <v>0</v>
      </c>
      <c r="H35" s="373">
        <f t="shared" si="0"/>
        <v>0</v>
      </c>
    </row>
    <row r="36" spans="1:8" s="371" customFormat="1" ht="19.5" hidden="1" customHeight="1">
      <c r="A36" s="336" t="s">
        <v>2422</v>
      </c>
      <c r="B36" s="52" t="s">
        <v>2423</v>
      </c>
      <c r="C36" s="56"/>
      <c r="D36" s="674" t="e">
        <f ca="1">SUM(D37:D39)</f>
        <v>#REF!</v>
      </c>
      <c r="E36" s="602"/>
      <c r="F36" s="674" t="e">
        <f ca="1">SUM(F37:F39)</f>
        <v>#REF!</v>
      </c>
      <c r="G36" s="674" t="e">
        <f ca="1">SUM(G37:G39)</f>
        <v>#REF!</v>
      </c>
      <c r="H36" s="1095" t="e">
        <f t="shared" ca="1" si="0"/>
        <v>#REF!</v>
      </c>
    </row>
    <row r="37" spans="1:8" s="371" customFormat="1" ht="19.5" hidden="1" customHeight="1">
      <c r="A37" s="346" t="s">
        <v>2670</v>
      </c>
      <c r="B37" s="64" t="s">
        <v>2988</v>
      </c>
      <c r="C37" s="66" t="s">
        <v>2989</v>
      </c>
      <c r="D37" s="679" t="e">
        <f ca="1">1%*D6*0</f>
        <v>#REF!</v>
      </c>
      <c r="E37" s="594">
        <v>0.1</v>
      </c>
      <c r="F37" s="679" t="e">
        <f ca="1">D37*E37</f>
        <v>#REF!</v>
      </c>
      <c r="G37" s="679" t="e">
        <f ca="1">D37+F37</f>
        <v>#REF!</v>
      </c>
      <c r="H37" s="1095" t="e">
        <f t="shared" ca="1" si="0"/>
        <v>#REF!</v>
      </c>
    </row>
    <row r="38" spans="1:8" s="371" customFormat="1" ht="19.5" hidden="1" customHeight="1">
      <c r="A38" s="346" t="s">
        <v>2671</v>
      </c>
      <c r="B38" s="64" t="s">
        <v>2986</v>
      </c>
      <c r="C38" s="66" t="s">
        <v>2987</v>
      </c>
      <c r="D38" s="679" t="e">
        <f ca="1">2%*D6</f>
        <v>#REF!</v>
      </c>
      <c r="E38" s="594">
        <v>0.1</v>
      </c>
      <c r="F38" s="679" t="e">
        <f ca="1">D38*E38</f>
        <v>#REF!</v>
      </c>
      <c r="G38" s="679" t="e">
        <f ca="1">D38+F38</f>
        <v>#REF!</v>
      </c>
      <c r="H38" s="1095" t="e">
        <f t="shared" ca="1" si="0"/>
        <v>#REF!</v>
      </c>
    </row>
    <row r="39" spans="1:8" s="371" customFormat="1" ht="19.5" hidden="1" customHeight="1">
      <c r="A39" s="346" t="s">
        <v>2672</v>
      </c>
      <c r="B39" s="64" t="s">
        <v>2424</v>
      </c>
      <c r="C39" s="66" t="s">
        <v>2707</v>
      </c>
      <c r="D39" s="679" t="e">
        <f ca="1">SUM(D40:D41)</f>
        <v>#REF!</v>
      </c>
      <c r="E39" s="594">
        <v>0.1</v>
      </c>
      <c r="F39" s="679" t="e">
        <f ca="1">SUM(F40:F41)</f>
        <v>#REF!</v>
      </c>
      <c r="G39" s="679" t="e">
        <f ca="1">SUM(G40:G41)</f>
        <v>#REF!</v>
      </c>
      <c r="H39" s="1095" t="e">
        <f t="shared" ca="1" si="0"/>
        <v>#REF!</v>
      </c>
    </row>
    <row r="40" spans="1:8" s="371" customFormat="1" ht="19.5" hidden="1" customHeight="1">
      <c r="A40" s="346" t="s">
        <v>2673</v>
      </c>
      <c r="B40" s="67" t="s">
        <v>2425</v>
      </c>
      <c r="C40" s="66" t="s">
        <v>4729</v>
      </c>
      <c r="D40" s="679" t="e">
        <f ca="1">2*(D14+D22)/100*0</f>
        <v>#REF!</v>
      </c>
      <c r="E40" s="594">
        <v>0.1</v>
      </c>
      <c r="F40" s="679" t="e">
        <f ca="1">D40*E40</f>
        <v>#REF!</v>
      </c>
      <c r="G40" s="679" t="e">
        <f ca="1">D40+F40</f>
        <v>#REF!</v>
      </c>
      <c r="H40" s="1095" t="e">
        <f t="shared" ca="1" si="0"/>
        <v>#REF!</v>
      </c>
    </row>
    <row r="41" spans="1:8" s="371" customFormat="1" ht="19.5" hidden="1" customHeight="1">
      <c r="A41" s="347" t="s">
        <v>2674</v>
      </c>
      <c r="B41" s="68" t="s">
        <v>2426</v>
      </c>
      <c r="C41" s="69" t="s">
        <v>4730</v>
      </c>
      <c r="D41" s="681" t="e">
        <f ca="1">(D18+D7)*2/100*0</f>
        <v>#REF!</v>
      </c>
      <c r="E41" s="615">
        <v>0.1</v>
      </c>
      <c r="F41" s="681" t="e">
        <f ca="1">D41*E41</f>
        <v>#REF!</v>
      </c>
      <c r="G41" s="681" t="e">
        <f ca="1">D41+F41</f>
        <v>#REF!</v>
      </c>
      <c r="H41" s="1095" t="e">
        <f t="shared" ca="1" si="0"/>
        <v>#REF!</v>
      </c>
    </row>
    <row r="42" spans="1:8" s="371" customFormat="1" ht="19.5" hidden="1" customHeight="1">
      <c r="A42" s="1134" t="s">
        <v>2632</v>
      </c>
      <c r="B42" s="348" t="s">
        <v>2427</v>
      </c>
      <c r="C42" s="1135" t="str">
        <f>0&amp;"%(A+B+C+D+E)"</f>
        <v>0%(A+B+C+D+E)</v>
      </c>
      <c r="D42" s="682"/>
      <c r="E42" s="688"/>
      <c r="F42" s="682"/>
      <c r="G42" s="682" t="e">
        <f ca="1">0%*(G17+G27+G28+G36+G6)</f>
        <v>#REF!</v>
      </c>
      <c r="H42" s="1095" t="e">
        <f t="shared" ca="1" si="0"/>
        <v>#REF!</v>
      </c>
    </row>
    <row r="43" spans="1:8" s="371" customFormat="1" ht="20.100000000000001" hidden="1" customHeight="1">
      <c r="A43" s="128"/>
      <c r="B43" s="73"/>
      <c r="C43" s="74"/>
      <c r="D43" s="683"/>
      <c r="E43" s="689"/>
      <c r="F43" s="683"/>
      <c r="G43" s="684"/>
      <c r="H43" s="373">
        <f t="shared" si="0"/>
        <v>0</v>
      </c>
    </row>
    <row r="44" spans="1:8" s="371" customFormat="1" ht="20.100000000000001" hidden="1" customHeight="1">
      <c r="A44" s="71" t="str">
        <f>[1]R_SETTING!$A$31</f>
        <v>LẬP DỰ TOÁN</v>
      </c>
      <c r="B44" s="71"/>
      <c r="C44" s="71" t="str">
        <f>[1]R_SETTING!$C$31</f>
        <v>KIỂM TRA</v>
      </c>
      <c r="D44" s="664"/>
      <c r="E44" s="690" t="str">
        <f>[1]SETTING!$K$5</f>
        <v>CÔNG TY TNHH TRANG SONG ANH</v>
      </c>
      <c r="F44" s="664"/>
      <c r="G44" s="664"/>
      <c r="H44" s="373">
        <f t="shared" si="0"/>
        <v>0</v>
      </c>
    </row>
    <row r="45" spans="1:8" s="371" customFormat="1" ht="20.100000000000001" hidden="1" customHeight="1">
      <c r="A45" s="377"/>
      <c r="B45" s="377"/>
      <c r="C45" s="72"/>
      <c r="D45" s="75"/>
      <c r="E45" s="690" t="s">
        <v>3870</v>
      </c>
      <c r="F45" s="664"/>
      <c r="G45" s="664"/>
      <c r="H45" s="373">
        <f t="shared" si="0"/>
        <v>0</v>
      </c>
    </row>
    <row r="46" spans="1:8" s="371" customFormat="1" ht="20.100000000000001" hidden="1" customHeight="1">
      <c r="A46" s="377"/>
      <c r="B46" s="377"/>
      <c r="C46" s="72"/>
      <c r="D46" s="75"/>
      <c r="E46" s="691"/>
      <c r="F46" s="665"/>
      <c r="G46" s="665"/>
      <c r="H46" s="373">
        <f t="shared" si="0"/>
        <v>0</v>
      </c>
    </row>
    <row r="47" spans="1:8" s="371" customFormat="1" ht="20.100000000000001" hidden="1" customHeight="1">
      <c r="A47" s="377"/>
      <c r="B47" s="377"/>
      <c r="C47" s="72"/>
      <c r="D47" s="75"/>
      <c r="E47" s="691"/>
      <c r="F47" s="665"/>
      <c r="G47" s="665"/>
      <c r="H47" s="373">
        <f t="shared" si="0"/>
        <v>0</v>
      </c>
    </row>
    <row r="48" spans="1:8" s="371" customFormat="1" ht="20.100000000000001" hidden="1" customHeight="1">
      <c r="A48" s="792" t="str">
        <f>[1]SETTING!$K$6</f>
        <v>NGUYỄN ĐỨC SƠN</v>
      </c>
      <c r="B48" s="792"/>
      <c r="C48" s="792" t="str">
        <f>[1]SETTING!$K$7</f>
        <v>TRƯƠNG HỒNG CHINH</v>
      </c>
      <c r="D48" s="555"/>
      <c r="E48" s="793" t="str">
        <f>[1]SETTING!$K$9</f>
        <v>TRẦN QUANG NINH</v>
      </c>
      <c r="F48" s="555"/>
      <c r="G48" s="555"/>
      <c r="H48" s="373">
        <f t="shared" si="0"/>
        <v>0</v>
      </c>
    </row>
    <row r="49" spans="1:8" s="209" customFormat="1" ht="21.95" customHeight="1">
      <c r="A49" s="1171"/>
      <c r="B49" s="1145" t="s">
        <v>5130</v>
      </c>
      <c r="C49" s="1146" t="s">
        <v>2403</v>
      </c>
      <c r="D49" s="1172" t="e">
        <f ca="1">ROUND(D8+D14,0)</f>
        <v>#REF!</v>
      </c>
      <c r="E49" s="1173"/>
      <c r="F49" s="1172" t="e">
        <f ca="1">ROUND(D49*10%,0)</f>
        <v>#REF!</v>
      </c>
      <c r="G49" s="1172" t="e">
        <f ca="1">ROUND(F49+D49,0)</f>
        <v>#REF!</v>
      </c>
      <c r="H49" s="1174"/>
    </row>
    <row r="55" spans="1:8" ht="19.5" customHeight="1">
      <c r="C55" s="361" t="s">
        <v>5155</v>
      </c>
    </row>
  </sheetData>
  <autoFilter ref="H5:H48">
    <filterColumn colId="0">
      <customFilters>
        <customFilter operator="notEqual" val=" "/>
      </customFilters>
    </filterColumn>
  </autoFilter>
  <mergeCells count="5">
    <mergeCell ref="A4:A5"/>
    <mergeCell ref="B4:B5"/>
    <mergeCell ref="C4:C5"/>
    <mergeCell ref="D4:D5"/>
    <mergeCell ref="G4:G5"/>
  </mergeCells>
  <printOptions horizontalCentered="1"/>
  <pageMargins left="0" right="0" top="1" bottom="0.59055118110236204" header="0.31496062992126" footer="0.31496062992126"/>
  <pageSetup paperSize="9" scale="95" fitToHeight="0" orientation="landscape" blackAndWhite="1"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4"/>
  <sheetViews>
    <sheetView showGridLines="0" showZeros="0" view="pageBreakPreview" topLeftCell="A10" zoomScale="85" zoomScaleNormal="100" zoomScaleSheetLayoutView="85" workbookViewId="0">
      <selection activeCell="N12" sqref="N12"/>
    </sheetView>
  </sheetViews>
  <sheetFormatPr defaultColWidth="9.140625" defaultRowHeight="20.100000000000001" customHeight="1"/>
  <cols>
    <col min="1" max="1" width="7.5703125" style="1180" customWidth="1"/>
    <col min="2" max="2" width="46.5703125" style="1180" customWidth="1"/>
    <col min="3" max="3" width="8.140625" style="1180" customWidth="1"/>
    <col min="4" max="4" width="20.5703125" style="1180" customWidth="1"/>
    <col min="5" max="7" width="20.5703125" style="1181" customWidth="1"/>
    <col min="8" max="9" width="9.140625" style="1180"/>
    <col min="10" max="10" width="18.28515625" style="1180" customWidth="1"/>
    <col min="11" max="16384" width="9.140625" style="1180"/>
  </cols>
  <sheetData>
    <row r="1" spans="1:7" ht="30" customHeight="1">
      <c r="A1" s="1178" t="s">
        <v>3795</v>
      </c>
      <c r="B1" s="1179"/>
      <c r="C1" s="1179"/>
      <c r="D1" s="1179"/>
      <c r="E1" s="1179"/>
      <c r="F1" s="1179"/>
      <c r="G1" s="1179"/>
    </row>
    <row r="2" spans="1:7" ht="20.100000000000001" customHeight="1">
      <c r="A2" s="1230" t="str">
        <f>'TH (2)'!A2</f>
        <v xml:space="preserve">CÔNG TRÌNH: ĐƯỜNG XUÂN BẮC  - BẢO QUANG. </v>
      </c>
      <c r="B2" s="1179"/>
      <c r="C2" s="1179"/>
      <c r="D2" s="1179"/>
      <c r="E2" s="1179"/>
      <c r="F2" s="1179"/>
      <c r="G2" s="1179"/>
    </row>
    <row r="3" spans="1:7" ht="20.100000000000001" customHeight="1">
      <c r="A3" s="1230" t="str">
        <f>'TH (2)'!A3</f>
        <v>HẠNG MỤC: DI DỜI HỆ THỐNG ĐIỆN TRUNG HẠ THẾ</v>
      </c>
      <c r="B3" s="1179"/>
      <c r="C3" s="1179"/>
      <c r="D3" s="1179"/>
      <c r="E3" s="1179"/>
      <c r="F3" s="1179"/>
      <c r="G3" s="1179"/>
    </row>
    <row r="4" spans="1:7" ht="8.25" customHeight="1">
      <c r="A4" s="1181"/>
      <c r="C4" s="1181"/>
      <c r="D4" s="1181"/>
    </row>
    <row r="5" spans="1:7" ht="39" customHeight="1">
      <c r="A5" s="1182" t="s">
        <v>2347</v>
      </c>
      <c r="B5" s="1183" t="s">
        <v>2360</v>
      </c>
      <c r="C5" s="1183" t="s">
        <v>2398</v>
      </c>
      <c r="D5" s="1183" t="s">
        <v>5131</v>
      </c>
      <c r="E5" s="1183" t="s">
        <v>5132</v>
      </c>
      <c r="F5" s="1183" t="s">
        <v>3849</v>
      </c>
      <c r="G5" s="1183" t="s">
        <v>5133</v>
      </c>
    </row>
    <row r="6" spans="1:7" ht="20.100000000000001" customHeight="1">
      <c r="A6" s="1182" t="s">
        <v>2361</v>
      </c>
      <c r="B6" s="1184" t="s">
        <v>2362</v>
      </c>
      <c r="C6" s="1183" t="s">
        <v>2363</v>
      </c>
      <c r="D6" s="444" t="s">
        <v>5134</v>
      </c>
      <c r="E6" s="1183" t="e">
        <f ca="1">E7+E9+E12</f>
        <v>#REF!</v>
      </c>
      <c r="F6" s="444" t="s">
        <v>5134</v>
      </c>
      <c r="G6" s="1183" t="e">
        <f ca="1">G7+G9+G12</f>
        <v>#REF!</v>
      </c>
    </row>
    <row r="7" spans="1:7" ht="20.100000000000001" customHeight="1">
      <c r="A7" s="1182">
        <v>1</v>
      </c>
      <c r="B7" s="1184" t="s">
        <v>2364</v>
      </c>
      <c r="C7" s="1183" t="s">
        <v>3</v>
      </c>
      <c r="D7" s="1183" t="s">
        <v>5135</v>
      </c>
      <c r="E7" s="1183" t="e">
        <f ca="1">SUM(E8:E8)</f>
        <v>#REF!</v>
      </c>
      <c r="F7" s="1183" t="s">
        <v>5135</v>
      </c>
      <c r="G7" s="1183" t="e">
        <f>SUM(G8:G8)</f>
        <v>#REF!</v>
      </c>
    </row>
    <row r="8" spans="1:7" ht="20.100000000000001" customHeight="1">
      <c r="A8" s="1185" t="s">
        <v>2406</v>
      </c>
      <c r="B8" s="1186" t="s">
        <v>2365</v>
      </c>
      <c r="C8" s="1187" t="s">
        <v>2366</v>
      </c>
      <c r="D8" s="1187" t="s">
        <v>3</v>
      </c>
      <c r="E8" s="1187" t="e">
        <f ca="1">ROUND(gt_vl1,0)</f>
        <v>#REF!</v>
      </c>
      <c r="F8" s="1187" t="s">
        <v>3</v>
      </c>
      <c r="G8" s="1187" t="e">
        <f>cttba_vlvt1_1</f>
        <v>#REF!</v>
      </c>
    </row>
    <row r="9" spans="1:7" ht="20.100000000000001" customHeight="1">
      <c r="A9" s="1182">
        <v>2</v>
      </c>
      <c r="B9" s="1184" t="s">
        <v>2370</v>
      </c>
      <c r="C9" s="1183" t="s">
        <v>4</v>
      </c>
      <c r="D9" s="1183" t="s">
        <v>5136</v>
      </c>
      <c r="E9" s="1183">
        <f ca="1">SUM(E10:E11)</f>
        <v>198347015</v>
      </c>
      <c r="F9" s="1183" t="s">
        <v>5136</v>
      </c>
      <c r="G9" s="1183">
        <f ca="1">SUM(G10:G11)</f>
        <v>14954873</v>
      </c>
    </row>
    <row r="10" spans="1:7" ht="20.100000000000001" customHeight="1">
      <c r="A10" s="1185" t="s">
        <v>2406</v>
      </c>
      <c r="B10" s="1186" t="s">
        <v>2389</v>
      </c>
      <c r="C10" s="1187" t="s">
        <v>2372</v>
      </c>
      <c r="D10" s="1187" t="str">
        <f>"NC x "&amp;HSNCDD</f>
        <v>NC x 1</v>
      </c>
      <c r="E10" s="1187">
        <f ca="1">ROUND(gt_nc1*HSNCDD,0)</f>
        <v>50738802</v>
      </c>
      <c r="F10" s="1187" t="str">
        <f>"NC x "&amp;HSNCTBA</f>
        <v>NC x 1</v>
      </c>
      <c r="G10" s="1187">
        <f>cttba_ncvt1_1*HSNCTBA</f>
        <v>0</v>
      </c>
    </row>
    <row r="11" spans="1:7" ht="20.100000000000001" customHeight="1">
      <c r="A11" s="1185" t="s">
        <v>2675</v>
      </c>
      <c r="B11" s="1186" t="s">
        <v>2390</v>
      </c>
      <c r="C11" s="1187" t="s">
        <v>2373</v>
      </c>
      <c r="D11" s="1187" t="str">
        <f>"NC x "&amp;HSNCDD</f>
        <v>NC x 1</v>
      </c>
      <c r="E11" s="1187">
        <f ca="1">ROUND(cttl_ncdd1*HSNCDD,0)</f>
        <v>147608213</v>
      </c>
      <c r="F11" s="1187" t="str">
        <f>"NC x "&amp;HSNCTBA</f>
        <v>NC x 1</v>
      </c>
      <c r="G11" s="1187">
        <f ca="1">ROUND(cttl_nctba1*HSNCTBA,0)</f>
        <v>14954873</v>
      </c>
    </row>
    <row r="12" spans="1:7" s="1188" customFormat="1" ht="20.100000000000001" customHeight="1">
      <c r="A12" s="1182">
        <v>3</v>
      </c>
      <c r="B12" s="1184" t="s">
        <v>2374</v>
      </c>
      <c r="C12" s="1183" t="s">
        <v>1477</v>
      </c>
      <c r="D12" s="1183" t="s">
        <v>5137</v>
      </c>
      <c r="E12" s="1183">
        <f ca="1">SUM(E13:E14)</f>
        <v>11564574</v>
      </c>
      <c r="F12" s="1183" t="s">
        <v>5137</v>
      </c>
      <c r="G12" s="1183">
        <f ca="1">SUM(G13:G14)</f>
        <v>6308452</v>
      </c>
    </row>
    <row r="13" spans="1:7" ht="20.100000000000001" customHeight="1">
      <c r="A13" s="1185"/>
      <c r="B13" s="1186" t="s">
        <v>2391</v>
      </c>
      <c r="C13" s="1187" t="s">
        <v>2376</v>
      </c>
      <c r="D13" s="1187" t="str">
        <f>"MTC x "&amp;HSMTCDD</f>
        <v>MTC x 1</v>
      </c>
      <c r="E13" s="1187">
        <f ca="1">ROUND(gt_mtc1*HSMTCDD,0)</f>
        <v>1785589</v>
      </c>
      <c r="F13" s="1187" t="str">
        <f>"MTC x "&amp;HSMTCTBA</f>
        <v>MTC x 1</v>
      </c>
      <c r="G13" s="1187">
        <f>cttba_mtcvt1_1*HSMTCTBA</f>
        <v>0</v>
      </c>
    </row>
    <row r="14" spans="1:7" ht="20.100000000000001" customHeight="1">
      <c r="A14" s="1185"/>
      <c r="B14" s="1186" t="s">
        <v>2392</v>
      </c>
      <c r="C14" s="1187" t="s">
        <v>3231</v>
      </c>
      <c r="D14" s="1187" t="str">
        <f>"MTC x "&amp;HSMTCDD</f>
        <v>MTC x 1</v>
      </c>
      <c r="E14" s="1187">
        <f ca="1">ROUND(cttl_mtcdd1*HSMTCDD,0)</f>
        <v>9778985</v>
      </c>
      <c r="F14" s="1187" t="str">
        <f>"MTC x "&amp;HSMTCTBA</f>
        <v>MTC x 1</v>
      </c>
      <c r="G14" s="1187">
        <f ca="1">ROUND(cttl_mtctba1*HSMTCTBA,0)</f>
        <v>6308452</v>
      </c>
    </row>
    <row r="15" spans="1:7" s="1188" customFormat="1" ht="20.100000000000001" customHeight="1">
      <c r="A15" s="444" t="s">
        <v>3670</v>
      </c>
      <c r="B15" s="1189" t="s">
        <v>5138</v>
      </c>
      <c r="C15" s="444" t="s">
        <v>2363</v>
      </c>
      <c r="D15" s="444" t="s">
        <v>5134</v>
      </c>
      <c r="E15" s="1183" t="e">
        <f ca="1">+E6</f>
        <v>#REF!</v>
      </c>
      <c r="F15" s="444" t="s">
        <v>5134</v>
      </c>
      <c r="G15" s="1183" t="e">
        <f ca="1">+G6</f>
        <v>#REF!</v>
      </c>
    </row>
    <row r="16" spans="1:7" s="1188" customFormat="1" ht="20.100000000000001" customHeight="1">
      <c r="A16" s="444" t="s">
        <v>2379</v>
      </c>
      <c r="B16" s="1189" t="s">
        <v>5139</v>
      </c>
      <c r="C16" s="444"/>
      <c r="D16" s="444"/>
      <c r="E16" s="444"/>
      <c r="F16" s="444"/>
      <c r="G16" s="444"/>
    </row>
    <row r="17" spans="1:10" ht="20.100000000000001" customHeight="1">
      <c r="A17" s="1190">
        <v>1</v>
      </c>
      <c r="B17" s="1191" t="s">
        <v>2393</v>
      </c>
      <c r="C17" s="1190" t="s">
        <v>2375</v>
      </c>
      <c r="D17" s="1190" t="s">
        <v>5157</v>
      </c>
      <c r="E17" s="1192" t="e">
        <f ca="1">ROUND(E15*6.115%,0)</f>
        <v>#REF!</v>
      </c>
      <c r="F17" s="1190" t="s">
        <v>5157</v>
      </c>
      <c r="G17" s="1192" t="e">
        <f ca="1">ROUND(G15*6.115%,0)</f>
        <v>#REF!</v>
      </c>
      <c r="J17" s="1180">
        <v>6.1150000000000002</v>
      </c>
    </row>
    <row r="18" spans="1:10" ht="20.100000000000001" customHeight="1">
      <c r="A18" s="1190">
        <v>2</v>
      </c>
      <c r="B18" s="1191" t="s">
        <v>5140</v>
      </c>
      <c r="C18" s="1190" t="s">
        <v>5141</v>
      </c>
      <c r="D18" s="1190" t="s">
        <v>5156</v>
      </c>
      <c r="E18" s="1192" t="e">
        <f ca="1">ROUND(E15*2.286%,0)</f>
        <v>#REF!</v>
      </c>
      <c r="F18" s="1190" t="s">
        <v>5156</v>
      </c>
      <c r="G18" s="1192" t="e">
        <f ca="1">ROUND(G15*2.286%,0)</f>
        <v>#REF!</v>
      </c>
      <c r="J18" s="1180">
        <v>2.286</v>
      </c>
    </row>
    <row r="19" spans="1:10" ht="36" customHeight="1">
      <c r="A19" s="1190">
        <v>3</v>
      </c>
      <c r="B19" s="1191" t="s">
        <v>5142</v>
      </c>
      <c r="C19" s="1190" t="s">
        <v>2378</v>
      </c>
      <c r="D19" s="1190" t="s">
        <v>5143</v>
      </c>
      <c r="E19" s="1192" t="e">
        <f ca="1">ROUND(E15*2%,0)</f>
        <v>#REF!</v>
      </c>
      <c r="F19" s="1190" t="s">
        <v>5143</v>
      </c>
      <c r="G19" s="1192" t="e">
        <f ca="1">ROUND(G15*2%,0)</f>
        <v>#REF!</v>
      </c>
    </row>
    <row r="20" spans="1:10" ht="20.100000000000001" customHeight="1">
      <c r="A20" s="1190"/>
      <c r="B20" s="1191" t="s">
        <v>5144</v>
      </c>
      <c r="C20" s="1190" t="s">
        <v>5145</v>
      </c>
      <c r="D20" s="1190" t="s">
        <v>5146</v>
      </c>
      <c r="E20" s="1192" t="e">
        <f ca="1">+E19+E18+E17</f>
        <v>#REF!</v>
      </c>
      <c r="F20" s="1190" t="s">
        <v>5146</v>
      </c>
      <c r="G20" s="1192" t="e">
        <f ca="1">+G19+G18+G17</f>
        <v>#REF!</v>
      </c>
    </row>
    <row r="21" spans="1:10" s="1188" customFormat="1" ht="20.100000000000001" customHeight="1">
      <c r="A21" s="444" t="s">
        <v>2380</v>
      </c>
      <c r="B21" s="1189" t="s">
        <v>2725</v>
      </c>
      <c r="C21" s="444" t="s">
        <v>2381</v>
      </c>
      <c r="D21" s="444" t="s">
        <v>5147</v>
      </c>
      <c r="E21" s="1193" t="e">
        <f ca="1">ROUND((E15+E20)*6%,0)</f>
        <v>#REF!</v>
      </c>
      <c r="F21" s="444" t="s">
        <v>5147</v>
      </c>
      <c r="G21" s="1193" t="e">
        <f ca="1">ROUND((G15+G20)*6%,0)</f>
        <v>#REF!</v>
      </c>
    </row>
    <row r="22" spans="1:10" ht="20.100000000000001" customHeight="1">
      <c r="A22" s="1190" t="s">
        <v>3670</v>
      </c>
      <c r="B22" s="1191" t="s">
        <v>5148</v>
      </c>
      <c r="C22" s="1190" t="s">
        <v>398</v>
      </c>
      <c r="D22" s="1190" t="s">
        <v>5149</v>
      </c>
      <c r="E22" s="1192" t="e">
        <f ca="1">+E21+E20+E15</f>
        <v>#REF!</v>
      </c>
      <c r="F22" s="1190" t="s">
        <v>5149</v>
      </c>
      <c r="G22" s="1192" t="e">
        <f ca="1">+G21+G20+G15</f>
        <v>#REF!</v>
      </c>
    </row>
    <row r="23" spans="1:10" s="1188" customFormat="1" ht="20.100000000000001" customHeight="1">
      <c r="A23" s="1190" t="s">
        <v>2384</v>
      </c>
      <c r="B23" s="1191" t="s">
        <v>3002</v>
      </c>
      <c r="C23" s="1190" t="s">
        <v>5150</v>
      </c>
      <c r="D23" s="1190" t="s">
        <v>5151</v>
      </c>
      <c r="E23" s="1192" t="e">
        <f ca="1">ROUND(E22*10%,0)</f>
        <v>#REF!</v>
      </c>
      <c r="F23" s="1190" t="s">
        <v>5151</v>
      </c>
      <c r="G23" s="1192" t="e">
        <f ca="1">ROUND(G22*10%,0)</f>
        <v>#REF!</v>
      </c>
    </row>
    <row r="24" spans="1:10" s="1188" customFormat="1" ht="20.100000000000001" customHeight="1">
      <c r="A24" s="444" t="s">
        <v>2399</v>
      </c>
      <c r="B24" s="1189" t="s">
        <v>5152</v>
      </c>
      <c r="C24" s="444" t="s">
        <v>5153</v>
      </c>
      <c r="D24" s="444" t="s">
        <v>5154</v>
      </c>
      <c r="E24" s="1193" t="e">
        <f ca="1">+E23+E22</f>
        <v>#REF!</v>
      </c>
      <c r="F24" s="444" t="s">
        <v>5154</v>
      </c>
      <c r="G24" s="1193" t="e">
        <f ca="1">+G23+G22</f>
        <v>#REF!</v>
      </c>
      <c r="J24" s="1194" t="e">
        <f ca="1">E24+G24</f>
        <v>#REF!</v>
      </c>
    </row>
  </sheetData>
  <printOptions horizontalCentered="1"/>
  <pageMargins left="0" right="0" top="1" bottom="0.59055118110236204" header="0.31496062992126" footer="0.31496062992126"/>
  <pageSetup paperSize="9" scale="90" fitToHeight="0" orientation="landscape" blackAndWhite="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filterMode="1">
    <tabColor theme="4"/>
    <pageSetUpPr fitToPage="1"/>
  </sheetPr>
  <dimension ref="A1:C39"/>
  <sheetViews>
    <sheetView showGridLines="0" showZeros="0" view="pageBreakPreview" zoomScale="85" zoomScaleNormal="100" zoomScaleSheetLayoutView="85" workbookViewId="0">
      <selection activeCell="B41" sqref="B41"/>
    </sheetView>
  </sheetViews>
  <sheetFormatPr defaultColWidth="9.140625" defaultRowHeight="15.75"/>
  <cols>
    <col min="1" max="1" width="4.5703125" style="371" customWidth="1"/>
    <col min="2" max="2" width="90.5703125" style="371" customWidth="1"/>
    <col min="3" max="3" width="9.140625" style="374"/>
    <col min="4" max="16384" width="9.140625" style="371"/>
  </cols>
  <sheetData>
    <row r="1" spans="1:3">
      <c r="A1" s="74" t="str">
        <f>SETTING!$K$5</f>
        <v>CÔNG TY TNHH TRANG SONG ANH</v>
      </c>
      <c r="C1" s="371"/>
    </row>
    <row r="2" spans="1:3">
      <c r="A2" s="74" t="str">
        <f>SETTING!$K$8</f>
        <v>THIẾT KẾ BẢN VẼ THI CÔNG - DỰ TOÁN</v>
      </c>
      <c r="C2" s="371"/>
    </row>
    <row r="3" spans="1:3">
      <c r="A3" s="193"/>
      <c r="B3" s="74"/>
      <c r="C3" s="371"/>
    </row>
    <row r="4" spans="1:3">
      <c r="A4" s="193"/>
      <c r="B4" s="147" t="s">
        <v>2874</v>
      </c>
      <c r="C4" s="371"/>
    </row>
    <row r="5" spans="1:3">
      <c r="A5" s="193"/>
      <c r="B5" s="74"/>
      <c r="C5" s="371"/>
    </row>
    <row r="6" spans="1:3" ht="31.5">
      <c r="A6" s="374"/>
      <c r="B6" s="199" t="str">
        <f>"Công trình: "&amp;SETTING!$K$2&amp;" được triển khai các bước lập "&amp;A2&amp;" trên các cơ sở:"</f>
        <v>Công trình: ĐƯỜNG XUÂN BẮC  - BẢO QUANG.  được triển khai các bước lập THIẾT KẾ BẢN VẼ THI CÔNG - DỰ TOÁN trên các cơ sở:</v>
      </c>
      <c r="C6" s="371"/>
    </row>
    <row r="7" spans="1:3" ht="42.75" customHeight="1">
      <c r="A7" s="194"/>
      <c r="B7" s="195" t="str">
        <f>"    - Hợp đồng kinh tế giữa "&amp;SETTING!$K$4&amp;" và "&amp;SETTING!$K$5&amp;" về việc lập "&amp;A2&amp;"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C7" s="371"/>
    </row>
    <row r="8" spans="1:3">
      <c r="A8" s="194"/>
      <c r="B8" s="196" t="str">
        <f>"    -Kết quả khảo sát tại công trường của "&amp;SETTING!$K$5</f>
        <v xml:space="preserve">    -Kết quả khảo sát tại công trường của CÔNG TY TNHH TRANG SONG ANH</v>
      </c>
      <c r="C8" s="371"/>
    </row>
    <row r="9" spans="1:3">
      <c r="A9" s="193"/>
      <c r="B9" s="73" t="str">
        <f>"         "&amp;A2&amp;" được biên chế thành hai tập:"</f>
        <v xml:space="preserve">         THIẾT KẾ BẢN VẼ THI CÔNG - DỰ TOÁN được biên chế thành hai tập:</v>
      </c>
      <c r="C9" s="371"/>
    </row>
    <row r="10" spans="1:3">
      <c r="A10" s="193"/>
      <c r="B10" s="73" t="s">
        <v>2875</v>
      </c>
      <c r="C10" s="371"/>
    </row>
    <row r="11" spans="1:3">
      <c r="A11" s="193"/>
      <c r="B11" s="73" t="s">
        <v>2876</v>
      </c>
      <c r="C11" s="371"/>
    </row>
    <row r="12" spans="1:3">
      <c r="A12" s="193"/>
      <c r="B12" s="197" t="s">
        <v>2880</v>
      </c>
      <c r="C12" s="371"/>
    </row>
    <row r="13" spans="1:3">
      <c r="A13" s="193"/>
      <c r="B13" s="73" t="s">
        <v>2877</v>
      </c>
      <c r="C13" s="371"/>
    </row>
    <row r="14" spans="1:3">
      <c r="A14" s="193"/>
      <c r="B14" s="73" t="s">
        <v>2878</v>
      </c>
      <c r="C14" s="371"/>
    </row>
    <row r="15" spans="1:3">
      <c r="A15" s="193"/>
      <c r="B15" s="73" t="s">
        <v>2879</v>
      </c>
      <c r="C15" s="371"/>
    </row>
    <row r="16" spans="1:3">
      <c r="A16" s="193"/>
      <c r="B16" s="191" t="s">
        <v>2432</v>
      </c>
      <c r="C16" s="371"/>
    </row>
    <row r="17" spans="1:3">
      <c r="A17" s="374"/>
      <c r="B17" s="373" t="str">
        <f>SETTING!$O$7</f>
        <v>BẢNG 1: TỔNG DỰ TOÁN</v>
      </c>
      <c r="C17" s="371">
        <f>SETTING!$N$7</f>
        <v>1</v>
      </c>
    </row>
    <row r="18" spans="1:3">
      <c r="A18" s="374"/>
      <c r="B18" s="373" t="str">
        <f>SETTING!$O$8</f>
        <v>BẢNG 2: TỔNG HỢP CHI PHÍ XÂY DỰNG, THIẾT BỊ, QUẢN LÝ DỰ ÁN, TƯ VẤN VÀ CHI PHÍ KHÁC</v>
      </c>
      <c r="C18" s="371">
        <f>SETTING!$N$8</f>
        <v>1</v>
      </c>
    </row>
    <row r="19" spans="1:3">
      <c r="A19" s="374"/>
      <c r="B19" s="373" t="str">
        <f>SETTING!$O$9</f>
        <v>BẢNG 3: DỰ TOÁN CHI PHÍ XÂY DỰNG CÔNG TRÌNH</v>
      </c>
      <c r="C19" s="371">
        <f>SETTING!$N$9</f>
        <v>1</v>
      </c>
    </row>
    <row r="20" spans="1:3">
      <c r="A20" s="374"/>
      <c r="B20" s="373" t="e">
        <f ca="1">SETTING!$O$10</f>
        <v>#REF!</v>
      </c>
      <c r="C20" s="371" t="e">
        <f ca="1">SETTING!$N$10</f>
        <v>#REF!</v>
      </c>
    </row>
    <row r="21" spans="1:3">
      <c r="A21" s="374"/>
      <c r="B21" s="373" t="e">
        <f ca="1">SETTING!$O$11</f>
        <v>#REF!</v>
      </c>
      <c r="C21" s="371" t="e">
        <f ca="1">SETTING!$N$11</f>
        <v>#REF!</v>
      </c>
    </row>
    <row r="22" spans="1:3" hidden="1">
      <c r="A22" s="374"/>
      <c r="B22" s="373" t="e">
        <f ca="1">SETTING!$O$12</f>
        <v>#REF!</v>
      </c>
      <c r="C22" s="371">
        <f>SETTING!$N$12</f>
        <v>0</v>
      </c>
    </row>
    <row r="23" spans="1:3" hidden="1">
      <c r="A23" s="374"/>
      <c r="B23" s="373" t="e">
        <f ca="1">SETTING!$O$13</f>
        <v>#REF!</v>
      </c>
      <c r="C23" s="371">
        <f>SETTING!$N$13</f>
        <v>0</v>
      </c>
    </row>
    <row r="24" spans="1:3">
      <c r="A24" s="374"/>
      <c r="B24" s="373" t="str">
        <f ca="1">SETTING!$O$14</f>
        <v>BẢNG 4: KHỐI LƯỢNG CHI TIẾT PHẦN CẢI TẠO</v>
      </c>
      <c r="C24" s="371">
        <f ca="1">SETTING!$N$14</f>
        <v>1</v>
      </c>
    </row>
    <row r="25" spans="1:3" hidden="1">
      <c r="A25" s="374"/>
      <c r="B25" s="373" t="str">
        <f ca="1">SETTING!$O$15</f>
        <v>BẢNG 4: TỔNG HỢP CHI PHÍ LẮP ĐẶT THIẾT BỊ</v>
      </c>
      <c r="C25" s="371">
        <f ca="1">SETTING!$N$15</f>
        <v>0</v>
      </c>
    </row>
    <row r="26" spans="1:3" hidden="1">
      <c r="A26" s="374"/>
      <c r="B26" s="373" t="str">
        <f ca="1">SETTING!$O$16</f>
        <v>BẢNG 4: TỔNG HỢP CHI PHÍ THỬ NGHIỆM HIỆU CHỈNH</v>
      </c>
      <c r="C26" s="371">
        <f ca="1">SETTING!$N$16</f>
        <v>0</v>
      </c>
    </row>
    <row r="27" spans="1:3" hidden="1">
      <c r="A27" s="374"/>
      <c r="B27" s="373" t="str">
        <f ca="1">SETTING!$O$17</f>
        <v>BẢNG 4: KHỐI LƯỢNG CHI TIẾT THỬ NGHIỆM HIỆU CHỈNH</v>
      </c>
      <c r="C27" s="371">
        <f ca="1">SETTING!$N$17</f>
        <v>0</v>
      </c>
    </row>
    <row r="28" spans="1:3">
      <c r="A28" s="374"/>
      <c r="B28" s="373" t="e">
        <f>SETTING!$O$18</f>
        <v>#REF!</v>
      </c>
      <c r="C28" s="371" t="e">
        <f>SETTING!$N$18</f>
        <v>#REF!</v>
      </c>
    </row>
    <row r="29" spans="1:3">
      <c r="A29" s="374"/>
      <c r="B29" s="373" t="e">
        <f>SETTING!$O$19</f>
        <v>#REF!</v>
      </c>
      <c r="C29" s="371" t="e">
        <f>SETTING!$N$19</f>
        <v>#REF!</v>
      </c>
    </row>
    <row r="30" spans="1:3">
      <c r="A30" s="374"/>
      <c r="B30" s="373" t="e">
        <f ca="1">SETTING!$O$20</f>
        <v>#REF!</v>
      </c>
      <c r="C30" s="371" t="e">
        <f ca="1">SETTING!$N$20</f>
        <v>#REF!</v>
      </c>
    </row>
    <row r="31" spans="1:3">
      <c r="A31" s="374"/>
      <c r="B31" s="373" t="str">
        <f ca="1">SETTING!$O$21</f>
        <v>BẢNG 5: CHI PHÍ VẬN CHUYỂN ĐƯỜNG DÀI</v>
      </c>
      <c r="C31" s="371">
        <f ca="1">SETTING!$N$21</f>
        <v>1</v>
      </c>
    </row>
    <row r="32" spans="1:3">
      <c r="A32" s="374"/>
      <c r="B32" s="373" t="str">
        <f ca="1">SETTING!$O$22</f>
        <v>BẢNG 6: KHỐI LƯỢNG VẬT TƯ CHÍNH</v>
      </c>
      <c r="C32" s="371">
        <f>SETTING!$N$22</f>
        <v>1</v>
      </c>
    </row>
    <row r="33" spans="1:3" hidden="1">
      <c r="A33" s="374"/>
      <c r="B33" s="373" t="e">
        <f>SETTING!$O$23</f>
        <v>#REF!</v>
      </c>
      <c r="C33" s="371" t="e">
        <f>SETTING!$N$23</f>
        <v>#REF!</v>
      </c>
    </row>
    <row r="34" spans="1:3" hidden="1">
      <c r="A34" s="374"/>
      <c r="B34" s="373" t="e">
        <f>SETTING!$O$24</f>
        <v>#REF!</v>
      </c>
      <c r="C34" s="371">
        <f>SETTING!$N$24</f>
        <v>0</v>
      </c>
    </row>
    <row r="35" spans="1:3">
      <c r="A35" s="374"/>
      <c r="B35" s="373" t="str">
        <f ca="1">SETTING!$O$25</f>
        <v>BẢNG 7: PHÂN PHỐI VẬT TƯ, THIẾT BỊ ĐƯỜNG DÂY, TRẠM BIẾN ÁP</v>
      </c>
      <c r="C35" s="371">
        <f>SETTING!$N$25</f>
        <v>1</v>
      </c>
    </row>
    <row r="36" spans="1:3" hidden="1">
      <c r="A36" s="374"/>
      <c r="B36" s="373">
        <f>SETTING!$O$26</f>
        <v>0</v>
      </c>
      <c r="C36" s="371">
        <f>SETTING!$N$26</f>
        <v>0</v>
      </c>
    </row>
    <row r="37" spans="1:3" hidden="1">
      <c r="A37" s="374"/>
      <c r="B37" s="373">
        <f>SETTING!$O$27</f>
        <v>0</v>
      </c>
      <c r="C37" s="371">
        <f>SETTING!$N$27</f>
        <v>0</v>
      </c>
    </row>
    <row r="38" spans="1:3">
      <c r="A38" s="374"/>
      <c r="B38" s="1090"/>
      <c r="C38" s="371"/>
    </row>
    <row r="39" spans="1:3">
      <c r="A39" s="374"/>
      <c r="B39" s="1090"/>
      <c r="C39" s="371"/>
    </row>
  </sheetData>
  <autoFilter ref="C17:C37">
    <filterColumn colId="0">
      <customFilters>
        <customFilter operator="notEqual" val=" "/>
      </customFilters>
    </filterColumn>
  </autoFilter>
  <printOptions horizontalCentered="1"/>
  <pageMargins left="0.78740157480314998" right="0.59055118110236204" top="0.59055118110236204" bottom="0.59055118110236204" header="0.31496062992126" footer="0.31496062992126"/>
  <pageSetup paperSize="9" scale="95" fitToHeight="0"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pageSetUpPr fitToPage="1"/>
  </sheetPr>
  <dimension ref="A1:F13"/>
  <sheetViews>
    <sheetView showGridLines="0" showZeros="0" view="pageBreakPreview" zoomScale="115" zoomScaleNormal="100" zoomScaleSheetLayoutView="115" zoomScalePageLayoutView="85" workbookViewId="0">
      <selection activeCell="C21" sqref="C21"/>
    </sheetView>
  </sheetViews>
  <sheetFormatPr defaultColWidth="9.140625" defaultRowHeight="20.100000000000001" customHeight="1"/>
  <cols>
    <col min="1" max="1" width="6.5703125" style="371" customWidth="1"/>
    <col min="2" max="2" width="25.5703125" style="371" bestFit="1" customWidth="1"/>
    <col min="3" max="3" width="15.5703125" style="371" customWidth="1"/>
    <col min="4" max="4" width="18" style="371" customWidth="1"/>
    <col min="5" max="5" width="15.5703125" style="371" customWidth="1"/>
    <col min="6" max="6" width="17.85546875" style="371" customWidth="1"/>
    <col min="7" max="16384" width="9.140625" style="371"/>
  </cols>
  <sheetData>
    <row r="1" spans="1:6" ht="20.100000000000001" customHeight="1">
      <c r="A1" s="71" t="str">
        <f>SETTING!$O$7</f>
        <v>BẢNG 1: TỔNG DỰ TOÁN</v>
      </c>
      <c r="B1" s="378"/>
      <c r="C1" s="378"/>
      <c r="D1" s="378"/>
      <c r="E1" s="378"/>
      <c r="F1" s="378"/>
    </row>
    <row r="2" spans="1:6" ht="20.100000000000001" customHeight="1">
      <c r="A2" s="71" t="str">
        <f>"CÔNG TRÌNH: "&amp;SETTING!$K$2</f>
        <v xml:space="preserve">CÔNG TRÌNH: ĐƯỜNG XUÂN BẮC  - BẢO QUANG. </v>
      </c>
      <c r="B2" s="378"/>
      <c r="C2" s="378"/>
      <c r="D2" s="378"/>
      <c r="E2" s="378"/>
      <c r="F2" s="378"/>
    </row>
    <row r="3" spans="1:6" ht="20.100000000000001" customHeight="1">
      <c r="A3" s="71" t="str">
        <f>"HẠNG MỤC: "&amp;SETTING!$K$3</f>
        <v>HẠNG MỤC: DI DỜI HỆ THỐNG TRỤ ĐIỆN.</v>
      </c>
      <c r="B3" s="378"/>
      <c r="C3" s="378"/>
      <c r="D3" s="378"/>
      <c r="E3" s="378"/>
      <c r="F3" s="378"/>
    </row>
    <row r="4" spans="1:6" ht="31.5">
      <c r="A4" s="1104" t="s">
        <v>2347</v>
      </c>
      <c r="B4" s="1104" t="s">
        <v>2401</v>
      </c>
      <c r="C4" s="350" t="s">
        <v>2445</v>
      </c>
      <c r="D4" s="350" t="s">
        <v>3873</v>
      </c>
      <c r="E4" s="350" t="s">
        <v>3875</v>
      </c>
      <c r="F4" s="350" t="s">
        <v>3876</v>
      </c>
    </row>
    <row r="5" spans="1:6" ht="20.100000000000001" customHeight="1">
      <c r="A5" s="351">
        <v>1</v>
      </c>
      <c r="B5" s="136" t="s">
        <v>2428</v>
      </c>
      <c r="C5" s="137" t="e">
        <f ca="1">TH!$G$14</f>
        <v>#REF!</v>
      </c>
      <c r="D5" s="618"/>
      <c r="E5" s="619"/>
      <c r="F5" s="137"/>
    </row>
    <row r="6" spans="1:6" ht="20.100000000000001" customHeight="1">
      <c r="A6" s="352">
        <v>2</v>
      </c>
      <c r="B6" s="138" t="s">
        <v>2429</v>
      </c>
      <c r="C6" s="139" t="e">
        <f ca="1">TH!$G$7</f>
        <v>#REF!</v>
      </c>
      <c r="D6" s="620"/>
      <c r="E6" s="621"/>
      <c r="F6" s="139"/>
    </row>
    <row r="7" spans="1:6" ht="20.100000000000001" hidden="1" customHeight="1">
      <c r="A7" s="352">
        <v>3</v>
      </c>
      <c r="B7" s="138" t="s">
        <v>4904</v>
      </c>
      <c r="C7" s="139"/>
      <c r="D7" s="620"/>
      <c r="E7" s="621"/>
      <c r="F7" s="139"/>
    </row>
    <row r="8" spans="1:6" ht="20.100000000000001" customHeight="1">
      <c r="A8" s="1128" t="s">
        <v>2677</v>
      </c>
      <c r="B8" s="1064" t="s">
        <v>2430</v>
      </c>
      <c r="C8" s="354" t="e">
        <f ca="1">SUM(C5:C7)</f>
        <v>#REF!</v>
      </c>
      <c r="D8" s="354" t="e">
        <f ca="1">TH!$G$28</f>
        <v>#REF!</v>
      </c>
      <c r="E8" s="354" t="e">
        <f ca="1">TH!$G$41</f>
        <v>#REF!</v>
      </c>
      <c r="F8" s="622" t="e">
        <f ca="1">SUM(C8:E8)</f>
        <v>#REF!</v>
      </c>
    </row>
    <row r="9" spans="1:6" ht="20.100000000000001" customHeight="1">
      <c r="A9" s="181"/>
      <c r="B9" s="140"/>
      <c r="C9" s="140"/>
      <c r="D9" s="140"/>
      <c r="E9" s="140"/>
      <c r="F9" s="140"/>
    </row>
    <row r="10" spans="1:6" ht="20.100000000000001" customHeight="1">
      <c r="A10" s="71" t="str">
        <f>R_SETTING!$A$31</f>
        <v>LẬP DỰ TOÁN</v>
      </c>
      <c r="B10" s="71"/>
      <c r="C10" s="71" t="str">
        <f>R_SETTING!$C$31</f>
        <v>KIỂM TRA</v>
      </c>
      <c r="D10" s="71"/>
      <c r="E10" s="378"/>
      <c r="F10" s="71"/>
    </row>
    <row r="11" spans="1:6" ht="20.100000000000001" customHeight="1">
      <c r="A11" s="377"/>
      <c r="B11" s="377"/>
      <c r="C11" s="72"/>
      <c r="D11" s="377"/>
      <c r="E11" s="378"/>
      <c r="F11" s="71"/>
    </row>
    <row r="12" spans="1:6" ht="20.100000000000001" customHeight="1">
      <c r="A12" s="377"/>
      <c r="B12" s="377"/>
      <c r="C12" s="72"/>
      <c r="D12" s="377"/>
      <c r="E12" s="373"/>
      <c r="F12" s="377"/>
    </row>
    <row r="13" spans="1:6" ht="20.100000000000001" customHeight="1">
      <c r="A13" s="377"/>
      <c r="B13" s="377"/>
      <c r="C13" s="72"/>
      <c r="D13" s="377"/>
      <c r="E13" s="373"/>
      <c r="F13" s="377"/>
    </row>
  </sheetData>
  <printOptions horizontalCentered="1"/>
  <pageMargins left="0.78740157480314998" right="0.59055118110236204" top="0.59055118110236204" bottom="0.59055118110236204" header="0.31496062992126" footer="0.31496062992126"/>
  <pageSetup paperSize="9" fitToHeight="0" orientation="landscape" blackAndWhite="1"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filterMode="1">
    <tabColor theme="0"/>
    <pageSetUpPr fitToPage="1"/>
  </sheetPr>
  <dimension ref="A1:H47"/>
  <sheetViews>
    <sheetView showGridLines="0" showZeros="0" view="pageBreakPreview" zoomScale="98" zoomScaleNormal="100" zoomScaleSheetLayoutView="115" workbookViewId="0">
      <selection activeCell="F32" sqref="F32"/>
    </sheetView>
  </sheetViews>
  <sheetFormatPr defaultColWidth="9.140625" defaultRowHeight="19.5" customHeight="1"/>
  <cols>
    <col min="1" max="1" width="10.5703125" style="371" customWidth="1"/>
    <col min="2" max="2" width="45.5703125" style="371" customWidth="1"/>
    <col min="3" max="3" width="20.5703125" style="371" customWidth="1"/>
    <col min="4" max="4" width="20.5703125" style="44" customWidth="1"/>
    <col min="5" max="5" width="10.5703125" style="70" customWidth="1"/>
    <col min="6" max="7" width="20.5703125" style="44" customWidth="1"/>
    <col min="8" max="8" width="9.28515625" style="1096" bestFit="1" customWidth="1"/>
    <col min="9" max="16384" width="9.140625" style="371"/>
  </cols>
  <sheetData>
    <row r="1" spans="1:8" ht="19.5" customHeight="1">
      <c r="A1" s="71" t="str">
        <f>SETTING!$O$8</f>
        <v>BẢNG 2: TỔNG HỢP CHI PHÍ XÂY DỰNG, THIẾT BỊ, QUẢN LÝ DỰ ÁN, TƯ VẤN VÀ CHI PHÍ KHÁC</v>
      </c>
      <c r="B1" s="378"/>
      <c r="C1" s="378"/>
      <c r="D1" s="664"/>
      <c r="E1" s="685"/>
      <c r="F1" s="664"/>
      <c r="G1" s="664"/>
      <c r="H1" s="1095"/>
    </row>
    <row r="2" spans="1:8" ht="19.5" customHeight="1">
      <c r="A2" s="71" t="str">
        <f>"CÔNG TRÌNH: "&amp;SETTING!$K$2</f>
        <v xml:space="preserve">CÔNG TRÌNH: ĐƯỜNG XUÂN BẮC  - BẢO QUANG. </v>
      </c>
      <c r="B2" s="378"/>
      <c r="C2" s="378"/>
      <c r="D2" s="664"/>
      <c r="E2" s="685"/>
      <c r="F2" s="664"/>
      <c r="G2" s="664"/>
      <c r="H2" s="1095"/>
    </row>
    <row r="3" spans="1:8" ht="19.5" customHeight="1">
      <c r="A3" s="71" t="str">
        <f>"HẠNG MỤC: "&amp;SETTING!$K$3</f>
        <v>HẠNG MỤC: DI DỜI HỆ THỐNG TRỤ ĐIỆN.</v>
      </c>
      <c r="B3" s="378"/>
      <c r="C3" s="378"/>
      <c r="D3" s="664"/>
      <c r="E3" s="685"/>
      <c r="F3" s="664"/>
      <c r="G3" s="664"/>
      <c r="H3" s="1095"/>
    </row>
    <row r="4" spans="1:8" ht="19.5" customHeight="1">
      <c r="A4" s="1367" t="s">
        <v>2347</v>
      </c>
      <c r="B4" s="1368" t="s">
        <v>2401</v>
      </c>
      <c r="C4" s="1368" t="s">
        <v>2402</v>
      </c>
      <c r="D4" s="1369" t="s">
        <v>3866</v>
      </c>
      <c r="E4" s="686" t="s">
        <v>3867</v>
      </c>
      <c r="F4" s="667"/>
      <c r="G4" s="1369" t="s">
        <v>3868</v>
      </c>
      <c r="H4" s="1095"/>
    </row>
    <row r="5" spans="1:8" ht="19.5" customHeight="1">
      <c r="A5" s="1367"/>
      <c r="B5" s="1368"/>
      <c r="C5" s="1368"/>
      <c r="D5" s="1370"/>
      <c r="E5" s="687" t="s">
        <v>3869</v>
      </c>
      <c r="F5" s="668" t="s">
        <v>2348</v>
      </c>
      <c r="G5" s="1370"/>
      <c r="H5" s="1095">
        <f>IF(SUM(G5:G5)&gt;0,1,0)</f>
        <v>0</v>
      </c>
    </row>
    <row r="6" spans="1:8" ht="19.5" customHeight="1">
      <c r="A6" s="342" t="s">
        <v>2357</v>
      </c>
      <c r="B6" s="57" t="s">
        <v>3315</v>
      </c>
      <c r="C6" s="58" t="s">
        <v>2403</v>
      </c>
      <c r="D6" s="669" t="e">
        <f ca="1">D7+D14</f>
        <v>#REF!</v>
      </c>
      <c r="E6" s="588"/>
      <c r="F6" s="669" t="e">
        <f ca="1">F7+F14</f>
        <v>#REF!</v>
      </c>
      <c r="G6" s="669" t="e">
        <f ca="1">D6+F6</f>
        <v>#REF!</v>
      </c>
      <c r="H6" s="1095" t="e">
        <f t="shared" ref="H6:H47" ca="1" si="0">IF(SUM(G6:G6)&gt;0,1,0)</f>
        <v>#REF!</v>
      </c>
    </row>
    <row r="7" spans="1:8" ht="19.5" customHeight="1">
      <c r="A7" s="168" t="s">
        <v>2648</v>
      </c>
      <c r="B7" s="119" t="s">
        <v>2404</v>
      </c>
      <c r="C7" s="120" t="s">
        <v>2830</v>
      </c>
      <c r="D7" s="670" t="e">
        <f ca="1">D8+D11</f>
        <v>#REF!</v>
      </c>
      <c r="E7" s="590"/>
      <c r="F7" s="670" t="e">
        <f ca="1">F8+F11</f>
        <v>#REF!</v>
      </c>
      <c r="G7" s="670" t="e">
        <f ca="1">G8+G11</f>
        <v>#REF!</v>
      </c>
      <c r="H7" s="1095" t="e">
        <f t="shared" ca="1" si="0"/>
        <v>#REF!</v>
      </c>
    </row>
    <row r="8" spans="1:8" ht="19.5" customHeight="1">
      <c r="A8" s="343" t="s">
        <v>2649</v>
      </c>
      <c r="B8" s="297" t="s">
        <v>2405</v>
      </c>
      <c r="C8" s="298" t="s">
        <v>2441</v>
      </c>
      <c r="D8" s="671" t="e">
        <f ca="1">SUM(D9:D10)</f>
        <v>#REF!</v>
      </c>
      <c r="E8" s="592"/>
      <c r="F8" s="671" t="e">
        <f ca="1">SUM(F9:F10)</f>
        <v>#REF!</v>
      </c>
      <c r="G8" s="671" t="e">
        <f ca="1">SUM(G9:G10)</f>
        <v>#REF!</v>
      </c>
      <c r="H8" s="1095" t="e">
        <f t="shared" ca="1" si="0"/>
        <v>#REF!</v>
      </c>
    </row>
    <row r="9" spans="1:8" ht="19.5" customHeight="1">
      <c r="A9" s="344" t="s">
        <v>3259</v>
      </c>
      <c r="B9" s="59" t="s">
        <v>4982</v>
      </c>
      <c r="C9" s="375" t="s">
        <v>2442</v>
      </c>
      <c r="D9" s="672" t="e">
        <f ca="1">thxl_gxldd1</f>
        <v>#REF!</v>
      </c>
      <c r="E9" s="594">
        <v>0.1</v>
      </c>
      <c r="F9" s="672" t="e">
        <f ca="1">E9*D9</f>
        <v>#REF!</v>
      </c>
      <c r="G9" s="672" t="e">
        <f ca="1">F9+D9</f>
        <v>#REF!</v>
      </c>
      <c r="H9" s="1095" t="e">
        <f t="shared" ca="1" si="0"/>
        <v>#REF!</v>
      </c>
    </row>
    <row r="10" spans="1:8" ht="20.100000000000001" hidden="1" customHeight="1">
      <c r="A10" s="344" t="s">
        <v>3265</v>
      </c>
      <c r="B10" s="59" t="s">
        <v>3263</v>
      </c>
      <c r="C10" s="375" t="s">
        <v>2442</v>
      </c>
      <c r="D10" s="672"/>
      <c r="E10" s="594">
        <v>0.1</v>
      </c>
      <c r="F10" s="672">
        <f>E10*D10</f>
        <v>0</v>
      </c>
      <c r="G10" s="672">
        <f>F10+D10</f>
        <v>0</v>
      </c>
      <c r="H10" s="373">
        <f t="shared" si="0"/>
        <v>0</v>
      </c>
    </row>
    <row r="11" spans="1:8" ht="20.100000000000001" hidden="1" customHeight="1">
      <c r="A11" s="343" t="s">
        <v>2650</v>
      </c>
      <c r="B11" s="297" t="s">
        <v>2434</v>
      </c>
      <c r="C11" s="298" t="s">
        <v>2439</v>
      </c>
      <c r="D11" s="671"/>
      <c r="E11" s="592"/>
      <c r="F11" s="671">
        <f>SUBTOTAL(9,F12:F12)</f>
        <v>0</v>
      </c>
      <c r="G11" s="671">
        <f>SUBTOTAL(9,G12:G12)</f>
        <v>0</v>
      </c>
      <c r="H11" s="373">
        <f t="shared" si="0"/>
        <v>0</v>
      </c>
    </row>
    <row r="12" spans="1:8" ht="20.100000000000001" hidden="1" customHeight="1">
      <c r="A12" s="344" t="s">
        <v>3260</v>
      </c>
      <c r="B12" s="59" t="s">
        <v>3261</v>
      </c>
      <c r="C12" s="60" t="s">
        <v>2443</v>
      </c>
      <c r="D12" s="672"/>
      <c r="E12" s="597">
        <v>0.1</v>
      </c>
      <c r="F12" s="672">
        <f>E12*D12</f>
        <v>0</v>
      </c>
      <c r="G12" s="673">
        <f>F12+D12</f>
        <v>0</v>
      </c>
      <c r="H12" s="373">
        <f t="shared" si="0"/>
        <v>0</v>
      </c>
    </row>
    <row r="13" spans="1:8" ht="20.100000000000001" hidden="1" customHeight="1">
      <c r="A13" s="344" t="s">
        <v>3264</v>
      </c>
      <c r="B13" s="59" t="s">
        <v>3262</v>
      </c>
      <c r="C13" s="60" t="s">
        <v>2443</v>
      </c>
      <c r="D13" s="672"/>
      <c r="E13" s="597">
        <v>0.1</v>
      </c>
      <c r="F13" s="672">
        <f>E13*D13</f>
        <v>0</v>
      </c>
      <c r="G13" s="673">
        <f>F13+D13</f>
        <v>0</v>
      </c>
      <c r="H13" s="373">
        <f t="shared" si="0"/>
        <v>0</v>
      </c>
    </row>
    <row r="14" spans="1:8" ht="19.5" customHeight="1">
      <c r="A14" s="168" t="s">
        <v>2651</v>
      </c>
      <c r="B14" s="119" t="s">
        <v>2407</v>
      </c>
      <c r="C14" s="120" t="s">
        <v>2830</v>
      </c>
      <c r="D14" s="670" t="e">
        <f ca="1">SUM(D15:D16)</f>
        <v>#REF!</v>
      </c>
      <c r="E14" s="590"/>
      <c r="F14" s="670" t="e">
        <f ca="1">SUM(F15:F16)</f>
        <v>#REF!</v>
      </c>
      <c r="G14" s="670" t="e">
        <f ca="1">SUM(G15:G16)</f>
        <v>#REF!</v>
      </c>
      <c r="H14" s="1095" t="e">
        <f t="shared" ca="1" si="0"/>
        <v>#REF!</v>
      </c>
    </row>
    <row r="15" spans="1:8" ht="19.5" customHeight="1">
      <c r="A15" s="392" t="s">
        <v>2652</v>
      </c>
      <c r="B15" s="59" t="s">
        <v>4983</v>
      </c>
      <c r="C15" s="375" t="s">
        <v>2444</v>
      </c>
      <c r="D15" s="672" t="e">
        <f ca="1">thxl_gxltba1</f>
        <v>#REF!</v>
      </c>
      <c r="E15" s="594">
        <v>0.1</v>
      </c>
      <c r="F15" s="673" t="e">
        <f ca="1">E15*D15</f>
        <v>#REF!</v>
      </c>
      <c r="G15" s="673" t="e">
        <f ca="1">+F15+D15</f>
        <v>#REF!</v>
      </c>
      <c r="H15" s="1095" t="e">
        <f t="shared" ca="1" si="0"/>
        <v>#REF!</v>
      </c>
    </row>
    <row r="16" spans="1:8" ht="18.75" hidden="1">
      <c r="A16" s="392" t="s">
        <v>2653</v>
      </c>
      <c r="B16" s="59" t="s">
        <v>3271</v>
      </c>
      <c r="C16" s="375" t="s">
        <v>2444</v>
      </c>
      <c r="D16" s="673"/>
      <c r="E16" s="594">
        <v>0.1</v>
      </c>
      <c r="F16" s="673">
        <f>E16*D16</f>
        <v>0</v>
      </c>
      <c r="G16" s="673">
        <f>+F16+D16</f>
        <v>0</v>
      </c>
      <c r="H16" s="373">
        <f t="shared" si="0"/>
        <v>0</v>
      </c>
    </row>
    <row r="17" spans="1:8" ht="15.75" hidden="1">
      <c r="A17" s="48" t="s">
        <v>2371</v>
      </c>
      <c r="B17" s="118" t="s">
        <v>3316</v>
      </c>
      <c r="C17" s="56" t="s">
        <v>2645</v>
      </c>
      <c r="D17" s="674">
        <f>+D18+D22</f>
        <v>0</v>
      </c>
      <c r="E17" s="602"/>
      <c r="F17" s="674">
        <f>F18+F22</f>
        <v>0</v>
      </c>
      <c r="G17" s="674">
        <f>D17+F17</f>
        <v>0</v>
      </c>
      <c r="H17" s="373">
        <f t="shared" si="0"/>
        <v>0</v>
      </c>
    </row>
    <row r="18" spans="1:8" ht="15.75" hidden="1">
      <c r="A18" s="168" t="s">
        <v>2654</v>
      </c>
      <c r="B18" s="119" t="s">
        <v>2646</v>
      </c>
      <c r="C18" s="120" t="s">
        <v>2829</v>
      </c>
      <c r="D18" s="670">
        <f>SUBTOTAL(9,D19:D21)</f>
        <v>0</v>
      </c>
      <c r="E18" s="590"/>
      <c r="F18" s="670">
        <f>SUBTOTAL(9,F19:F21)</f>
        <v>0</v>
      </c>
      <c r="G18" s="670">
        <f>SUBTOTAL(9,G19:G21)</f>
        <v>0</v>
      </c>
      <c r="H18" s="373">
        <f t="shared" si="0"/>
        <v>0</v>
      </c>
    </row>
    <row r="19" spans="1:8" ht="15.75" hidden="1">
      <c r="A19" s="345" t="s">
        <v>3294</v>
      </c>
      <c r="B19" s="125" t="s">
        <v>2708</v>
      </c>
      <c r="C19" s="62" t="s">
        <v>2369</v>
      </c>
      <c r="D19" s="672">
        <f ca="1">vltbDD1</f>
        <v>0</v>
      </c>
      <c r="E19" s="597">
        <v>0.1</v>
      </c>
      <c r="F19" s="672">
        <f ca="1">E19*D19</f>
        <v>0</v>
      </c>
      <c r="G19" s="672">
        <f t="shared" ref="G19:G26" ca="1" si="1">F19+D19</f>
        <v>0</v>
      </c>
      <c r="H19" s="373">
        <f t="shared" ca="1" si="0"/>
        <v>0</v>
      </c>
    </row>
    <row r="20" spans="1:8" ht="15.75" hidden="1">
      <c r="A20" s="345" t="s">
        <v>3295</v>
      </c>
      <c r="B20" s="125" t="s">
        <v>2709</v>
      </c>
      <c r="C20" s="62" t="s">
        <v>2369</v>
      </c>
      <c r="D20" s="672">
        <f ca="1">ldtb_ldtbdd1</f>
        <v>0</v>
      </c>
      <c r="E20" s="597">
        <v>0.1</v>
      </c>
      <c r="F20" s="672">
        <f ca="1">E20*D20</f>
        <v>0</v>
      </c>
      <c r="G20" s="672">
        <f t="shared" ca="1" si="1"/>
        <v>0</v>
      </c>
      <c r="H20" s="373">
        <f t="shared" ca="1" si="0"/>
        <v>0</v>
      </c>
    </row>
    <row r="21" spans="1:8" ht="15.75" hidden="1">
      <c r="A21" s="345" t="s">
        <v>3296</v>
      </c>
      <c r="B21" s="125" t="s">
        <v>2710</v>
      </c>
      <c r="C21" s="62" t="s">
        <v>2369</v>
      </c>
      <c r="D21" s="672">
        <f ca="1">tnhc_gtdd1</f>
        <v>0</v>
      </c>
      <c r="E21" s="597">
        <v>0.1</v>
      </c>
      <c r="F21" s="672">
        <f ca="1">E21*D21</f>
        <v>0</v>
      </c>
      <c r="G21" s="672">
        <f t="shared" ca="1" si="1"/>
        <v>0</v>
      </c>
      <c r="H21" s="373">
        <f t="shared" ca="1" si="0"/>
        <v>0</v>
      </c>
    </row>
    <row r="22" spans="1:8" ht="15.75" hidden="1">
      <c r="A22" s="168" t="s">
        <v>2655</v>
      </c>
      <c r="B22" s="119" t="s">
        <v>2647</v>
      </c>
      <c r="C22" s="120" t="s">
        <v>2831</v>
      </c>
      <c r="D22" s="670">
        <f>SUBTOTAL(9,D23:D26)</f>
        <v>0</v>
      </c>
      <c r="E22" s="590"/>
      <c r="F22" s="670">
        <f>SUBTOTAL(9,F23:F26)</f>
        <v>0</v>
      </c>
      <c r="G22" s="670">
        <f>SUBTOTAL(9,G23:G26)</f>
        <v>0</v>
      </c>
      <c r="H22" s="373">
        <f t="shared" si="0"/>
        <v>0</v>
      </c>
    </row>
    <row r="23" spans="1:8" ht="15.75" hidden="1">
      <c r="A23" s="345" t="s">
        <v>3297</v>
      </c>
      <c r="B23" s="125" t="s">
        <v>2708</v>
      </c>
      <c r="C23" s="62" t="s">
        <v>2369</v>
      </c>
      <c r="D23" s="672">
        <f>cttba_vltb1_1</f>
        <v>0</v>
      </c>
      <c r="E23" s="597">
        <v>0.1</v>
      </c>
      <c r="F23" s="672">
        <f>E23*D23</f>
        <v>0</v>
      </c>
      <c r="G23" s="672">
        <f t="shared" si="1"/>
        <v>0</v>
      </c>
      <c r="H23" s="373">
        <f t="shared" si="0"/>
        <v>0</v>
      </c>
    </row>
    <row r="24" spans="1:8" ht="15.75" hidden="1">
      <c r="A24" s="345" t="s">
        <v>3298</v>
      </c>
      <c r="B24" s="125" t="s">
        <v>2709</v>
      </c>
      <c r="C24" s="62" t="s">
        <v>2369</v>
      </c>
      <c r="D24" s="672">
        <f>ldtb_ldtbtba1</f>
        <v>0</v>
      </c>
      <c r="E24" s="597">
        <v>0.1</v>
      </c>
      <c r="F24" s="672">
        <f>E24*D24</f>
        <v>0</v>
      </c>
      <c r="G24" s="672">
        <f t="shared" si="1"/>
        <v>0</v>
      </c>
      <c r="H24" s="373">
        <f t="shared" si="0"/>
        <v>0</v>
      </c>
    </row>
    <row r="25" spans="1:8" ht="15.75" hidden="1">
      <c r="A25" s="345" t="s">
        <v>3299</v>
      </c>
      <c r="B25" s="125" t="s">
        <v>2710</v>
      </c>
      <c r="C25" s="62" t="s">
        <v>2369</v>
      </c>
      <c r="D25" s="672">
        <f ca="1">tnhc_gttba1</f>
        <v>0</v>
      </c>
      <c r="E25" s="597">
        <v>0.1</v>
      </c>
      <c r="F25" s="672">
        <f ca="1">E25*D25</f>
        <v>0</v>
      </c>
      <c r="G25" s="672">
        <f t="shared" ca="1" si="1"/>
        <v>0</v>
      </c>
      <c r="H25" s="373">
        <f t="shared" ca="1" si="0"/>
        <v>0</v>
      </c>
    </row>
    <row r="26" spans="1:8" ht="15.75" hidden="1">
      <c r="A26" s="345" t="s">
        <v>3300</v>
      </c>
      <c r="B26" s="125" t="s">
        <v>2711</v>
      </c>
      <c r="C26" s="62" t="s">
        <v>2369</v>
      </c>
      <c r="D26" s="672"/>
      <c r="E26" s="597">
        <v>0.1</v>
      </c>
      <c r="F26" s="672">
        <f>E26*D26</f>
        <v>0</v>
      </c>
      <c r="G26" s="672">
        <f t="shared" si="1"/>
        <v>0</v>
      </c>
      <c r="H26" s="373">
        <f t="shared" si="0"/>
        <v>0</v>
      </c>
    </row>
    <row r="27" spans="1:8" ht="19.5" customHeight="1">
      <c r="A27" s="336" t="s">
        <v>2375</v>
      </c>
      <c r="B27" s="52" t="s">
        <v>2408</v>
      </c>
      <c r="C27" s="56" t="str">
        <f>HSQLDA&amp;" % x Gxd "</f>
        <v xml:space="preserve">3,453 % x Gxd </v>
      </c>
      <c r="D27" s="674" t="e">
        <f ca="1">HSQLDA/100*D6</f>
        <v>#REF!</v>
      </c>
      <c r="E27" s="602">
        <v>0.1</v>
      </c>
      <c r="F27" s="674" t="e">
        <f t="shared" ref="F27:F33" ca="1" si="2">D27*E27</f>
        <v>#REF!</v>
      </c>
      <c r="G27" s="674" t="e">
        <f ca="1">D27+F27</f>
        <v>#REF!</v>
      </c>
      <c r="H27" s="1095" t="e">
        <f t="shared" ca="1" si="0"/>
        <v>#REF!</v>
      </c>
    </row>
    <row r="28" spans="1:8" ht="19.5" customHeight="1">
      <c r="A28" s="336" t="s">
        <v>2412</v>
      </c>
      <c r="B28" s="52" t="s">
        <v>2413</v>
      </c>
      <c r="C28" s="56" t="s">
        <v>2440</v>
      </c>
      <c r="D28" s="674" t="e">
        <f ca="1">SUM(D29:D34)</f>
        <v>#REF!</v>
      </c>
      <c r="E28" s="674"/>
      <c r="F28" s="674" t="e">
        <f t="shared" ref="F28:G28" ca="1" si="3">SUM(F29:F34)</f>
        <v>#REF!</v>
      </c>
      <c r="G28" s="674" t="e">
        <f t="shared" ca="1" si="3"/>
        <v>#REF!</v>
      </c>
      <c r="H28" s="1095" t="e">
        <f t="shared" ca="1" si="0"/>
        <v>#REF!</v>
      </c>
    </row>
    <row r="29" spans="1:8" ht="19.5" customHeight="1">
      <c r="A29" s="346" t="s">
        <v>2656</v>
      </c>
      <c r="B29" s="54" t="s">
        <v>2416</v>
      </c>
      <c r="C29" s="62" t="e">
        <f ca="1">IF(tk&gt;10000000,"Bảng chiết tính","Giá tối thiểu")</f>
        <v>#REF!</v>
      </c>
      <c r="D29" s="666" t="e">
        <f ca="1">tk/1.1</f>
        <v>#REF!</v>
      </c>
      <c r="E29" s="605">
        <v>0.1</v>
      </c>
      <c r="F29" s="676" t="e">
        <f t="shared" ca="1" si="2"/>
        <v>#REF!</v>
      </c>
      <c r="G29" s="675" t="e">
        <f t="shared" ref="G29" ca="1" si="4">D29+F29</f>
        <v>#REF!</v>
      </c>
      <c r="H29" s="1095" t="e">
        <f t="shared" ca="1" si="0"/>
        <v>#REF!</v>
      </c>
    </row>
    <row r="30" spans="1:8" ht="20.100000000000001" hidden="1" customHeight="1">
      <c r="A30" s="346" t="s">
        <v>2662</v>
      </c>
      <c r="B30" s="54" t="s">
        <v>2417</v>
      </c>
      <c r="C30" s="62" t="s">
        <v>2415</v>
      </c>
      <c r="D30" s="666"/>
      <c r="E30" s="605">
        <v>0.1</v>
      </c>
      <c r="F30" s="676">
        <f t="shared" si="2"/>
        <v>0</v>
      </c>
      <c r="G30" s="675">
        <f>D30+F30</f>
        <v>0</v>
      </c>
      <c r="H30" s="373">
        <f t="shared" si="0"/>
        <v>0</v>
      </c>
    </row>
    <row r="31" spans="1:8" ht="20.100000000000001" hidden="1" customHeight="1">
      <c r="A31" s="346" t="s">
        <v>2666</v>
      </c>
      <c r="B31" s="64" t="s">
        <v>2409</v>
      </c>
      <c r="C31" s="65" t="str">
        <f>HSHSDTTB&amp;" % x Gxd  "</f>
        <v xml:space="preserve">0,549 % x Gxd  </v>
      </c>
      <c r="D31" s="666">
        <f>HSHSDTTB*D17/100</f>
        <v>0</v>
      </c>
      <c r="E31" s="594">
        <v>0.1</v>
      </c>
      <c r="F31" s="678">
        <f t="shared" si="2"/>
        <v>0</v>
      </c>
      <c r="G31" s="679">
        <f t="shared" ref="G31:G33" si="5">D31+F31</f>
        <v>0</v>
      </c>
      <c r="H31" s="373">
        <f t="shared" si="0"/>
        <v>0</v>
      </c>
    </row>
    <row r="32" spans="1:8" ht="19.5" customHeight="1">
      <c r="A32" s="346" t="s">
        <v>2661</v>
      </c>
      <c r="B32" s="64" t="s">
        <v>2410</v>
      </c>
      <c r="C32" s="376" t="str">
        <f>HSGSTCXD&amp;" % x Gxd "</f>
        <v xml:space="preserve">3,508 % x Gxd </v>
      </c>
      <c r="D32" s="666" t="e">
        <f ca="1">HSGSTCXD*D6/100</f>
        <v>#REF!</v>
      </c>
      <c r="E32" s="594">
        <v>0.1</v>
      </c>
      <c r="F32" s="678" t="e">
        <f t="shared" ca="1" si="2"/>
        <v>#REF!</v>
      </c>
      <c r="G32" s="679" t="e">
        <f t="shared" ca="1" si="5"/>
        <v>#REF!</v>
      </c>
      <c r="H32" s="1095" t="e">
        <f t="shared" ca="1" si="0"/>
        <v>#REF!</v>
      </c>
    </row>
    <row r="33" spans="1:8" ht="20.100000000000001" hidden="1" customHeight="1">
      <c r="A33" s="346" t="s">
        <v>2668</v>
      </c>
      <c r="B33" s="64" t="s">
        <v>2411</v>
      </c>
      <c r="C33" s="375" t="str">
        <f>HSGSLDTB&amp;" % x Gtb "</f>
        <v xml:space="preserve">1,147 % x Gtb </v>
      </c>
      <c r="D33" s="666">
        <f>HSGSLDTB*D17/100</f>
        <v>0</v>
      </c>
      <c r="E33" s="594">
        <v>0.1</v>
      </c>
      <c r="F33" s="678">
        <f t="shared" si="2"/>
        <v>0</v>
      </c>
      <c r="G33" s="679">
        <f t="shared" si="5"/>
        <v>0</v>
      </c>
      <c r="H33" s="373">
        <f t="shared" si="0"/>
        <v>0</v>
      </c>
    </row>
    <row r="34" spans="1:8" ht="20.100000000000001" hidden="1" customHeight="1">
      <c r="A34" s="346" t="s">
        <v>2669</v>
      </c>
      <c r="B34" s="64" t="s">
        <v>2420</v>
      </c>
      <c r="C34" s="50" t="s">
        <v>2421</v>
      </c>
      <c r="D34" s="680"/>
      <c r="E34" s="597">
        <f>+E32</f>
        <v>0.1</v>
      </c>
      <c r="F34" s="677">
        <f>+E34*D34</f>
        <v>0</v>
      </c>
      <c r="G34" s="672">
        <f>+F34+D34</f>
        <v>0</v>
      </c>
      <c r="H34" s="373">
        <f t="shared" si="0"/>
        <v>0</v>
      </c>
    </row>
    <row r="35" spans="1:8" ht="19.5" customHeight="1">
      <c r="A35" s="336" t="s">
        <v>2422</v>
      </c>
      <c r="B35" s="52" t="s">
        <v>2423</v>
      </c>
      <c r="C35" s="56"/>
      <c r="D35" s="674" t="e">
        <f ca="1">SUM(D36:D38)</f>
        <v>#REF!</v>
      </c>
      <c r="E35" s="602"/>
      <c r="F35" s="674" t="e">
        <f ca="1">SUM(F36:F38)</f>
        <v>#REF!</v>
      </c>
      <c r="G35" s="674" t="e">
        <f ca="1">SUM(G36:G38)</f>
        <v>#REF!</v>
      </c>
      <c r="H35" s="1095" t="e">
        <f t="shared" ca="1" si="0"/>
        <v>#REF!</v>
      </c>
    </row>
    <row r="36" spans="1:8" ht="19.5" hidden="1" customHeight="1">
      <c r="A36" s="346" t="s">
        <v>2670</v>
      </c>
      <c r="B36" s="64" t="s">
        <v>2988</v>
      </c>
      <c r="C36" s="66" t="s">
        <v>2989</v>
      </c>
      <c r="D36" s="679" t="e">
        <f ca="1">1%*D6*0</f>
        <v>#REF!</v>
      </c>
      <c r="E36" s="594">
        <v>0.1</v>
      </c>
      <c r="F36" s="679" t="e">
        <f ca="1">D36*E36</f>
        <v>#REF!</v>
      </c>
      <c r="G36" s="679" t="e">
        <f ca="1">D36+F36</f>
        <v>#REF!</v>
      </c>
      <c r="H36" s="1095" t="e">
        <f t="shared" ca="1" si="0"/>
        <v>#REF!</v>
      </c>
    </row>
    <row r="37" spans="1:8" ht="19.5" customHeight="1">
      <c r="A37" s="346" t="s">
        <v>2671</v>
      </c>
      <c r="B37" s="64" t="s">
        <v>2986</v>
      </c>
      <c r="C37" s="66" t="s">
        <v>2987</v>
      </c>
      <c r="D37" s="679" t="e">
        <f ca="1">2%*D6</f>
        <v>#REF!</v>
      </c>
      <c r="E37" s="594">
        <v>0.1</v>
      </c>
      <c r="F37" s="679" t="e">
        <f ca="1">D37*E37</f>
        <v>#REF!</v>
      </c>
      <c r="G37" s="679" t="e">
        <f ca="1">D37+F37</f>
        <v>#REF!</v>
      </c>
      <c r="H37" s="1095" t="e">
        <f t="shared" ca="1" si="0"/>
        <v>#REF!</v>
      </c>
    </row>
    <row r="38" spans="1:8" ht="19.5" hidden="1" customHeight="1">
      <c r="A38" s="346" t="s">
        <v>2672</v>
      </c>
      <c r="B38" s="64" t="s">
        <v>2424</v>
      </c>
      <c r="C38" s="66" t="s">
        <v>2707</v>
      </c>
      <c r="D38" s="679" t="e">
        <f ca="1">SUM(D39:D40)</f>
        <v>#REF!</v>
      </c>
      <c r="E38" s="594">
        <v>0.1</v>
      </c>
      <c r="F38" s="679" t="e">
        <f ca="1">SUM(F39:F40)</f>
        <v>#REF!</v>
      </c>
      <c r="G38" s="679" t="e">
        <f ca="1">SUM(G39:G40)</f>
        <v>#REF!</v>
      </c>
      <c r="H38" s="1095" t="e">
        <f t="shared" ca="1" si="0"/>
        <v>#REF!</v>
      </c>
    </row>
    <row r="39" spans="1:8" ht="19.5" hidden="1" customHeight="1">
      <c r="A39" s="346" t="s">
        <v>2673</v>
      </c>
      <c r="B39" s="67" t="s">
        <v>2425</v>
      </c>
      <c r="C39" s="66" t="s">
        <v>4729</v>
      </c>
      <c r="D39" s="679" t="e">
        <f ca="1">2*(D14+D22)/100*0</f>
        <v>#REF!</v>
      </c>
      <c r="E39" s="594">
        <v>0.1</v>
      </c>
      <c r="F39" s="679" t="e">
        <f ca="1">D39*E39</f>
        <v>#REF!</v>
      </c>
      <c r="G39" s="679" t="e">
        <f ca="1">D39+F39</f>
        <v>#REF!</v>
      </c>
      <c r="H39" s="1095" t="e">
        <f t="shared" ca="1" si="0"/>
        <v>#REF!</v>
      </c>
    </row>
    <row r="40" spans="1:8" ht="19.5" hidden="1" customHeight="1">
      <c r="A40" s="347" t="s">
        <v>2674</v>
      </c>
      <c r="B40" s="68" t="s">
        <v>2426</v>
      </c>
      <c r="C40" s="69" t="s">
        <v>4730</v>
      </c>
      <c r="D40" s="681" t="e">
        <f ca="1">(D18+D7)*2/100*0</f>
        <v>#REF!</v>
      </c>
      <c r="E40" s="615">
        <v>0.1</v>
      </c>
      <c r="F40" s="681" t="e">
        <f ca="1">D40*E40</f>
        <v>#REF!</v>
      </c>
      <c r="G40" s="681" t="e">
        <f ca="1">D40+F40</f>
        <v>#REF!</v>
      </c>
      <c r="H40" s="1095" t="e">
        <f t="shared" ca="1" si="0"/>
        <v>#REF!</v>
      </c>
    </row>
    <row r="41" spans="1:8" ht="19.5" hidden="1" customHeight="1">
      <c r="A41" s="1104" t="s">
        <v>2632</v>
      </c>
      <c r="B41" s="348" t="s">
        <v>2427</v>
      </c>
      <c r="C41" s="1113" t="str">
        <f>0&amp;"%(A+B+C+D+E)"</f>
        <v>0%(A+B+C+D+E)</v>
      </c>
      <c r="D41" s="682"/>
      <c r="E41" s="688"/>
      <c r="F41" s="682"/>
      <c r="G41" s="682" t="e">
        <f ca="1">0%*(G17+G27+G28+G35+G6)</f>
        <v>#REF!</v>
      </c>
      <c r="H41" s="1095" t="e">
        <f t="shared" ca="1" si="0"/>
        <v>#REF!</v>
      </c>
    </row>
    <row r="42" spans="1:8" ht="20.100000000000001" hidden="1" customHeight="1">
      <c r="A42" s="128"/>
      <c r="B42" s="73"/>
      <c r="C42" s="74"/>
      <c r="D42" s="683"/>
      <c r="E42" s="689"/>
      <c r="F42" s="683"/>
      <c r="G42" s="684"/>
      <c r="H42" s="373">
        <f t="shared" si="0"/>
        <v>0</v>
      </c>
    </row>
    <row r="43" spans="1:8" ht="20.100000000000001" hidden="1" customHeight="1">
      <c r="A43" s="71" t="str">
        <f>R_SETTING!$A$31</f>
        <v>LẬP DỰ TOÁN</v>
      </c>
      <c r="B43" s="71"/>
      <c r="C43" s="71" t="str">
        <f>R_SETTING!$C$31</f>
        <v>KIỂM TRA</v>
      </c>
      <c r="D43" s="664"/>
      <c r="E43" s="690" t="str">
        <f>SETTING!$K$5</f>
        <v>CÔNG TY TNHH TRANG SONG ANH</v>
      </c>
      <c r="F43" s="664"/>
      <c r="G43" s="664"/>
      <c r="H43" s="373">
        <f t="shared" si="0"/>
        <v>0</v>
      </c>
    </row>
    <row r="44" spans="1:8" ht="20.100000000000001" hidden="1" customHeight="1">
      <c r="A44" s="377"/>
      <c r="B44" s="377"/>
      <c r="C44" s="72"/>
      <c r="D44" s="75"/>
      <c r="E44" s="690" t="s">
        <v>3870</v>
      </c>
      <c r="F44" s="664"/>
      <c r="G44" s="664"/>
      <c r="H44" s="373">
        <f t="shared" si="0"/>
        <v>0</v>
      </c>
    </row>
    <row r="45" spans="1:8" ht="20.100000000000001" hidden="1" customHeight="1">
      <c r="A45" s="377"/>
      <c r="B45" s="377"/>
      <c r="C45" s="72"/>
      <c r="D45" s="75"/>
      <c r="E45" s="691"/>
      <c r="F45" s="665"/>
      <c r="G45" s="665"/>
      <c r="H45" s="373">
        <f t="shared" si="0"/>
        <v>0</v>
      </c>
    </row>
    <row r="46" spans="1:8" ht="20.100000000000001" hidden="1" customHeight="1">
      <c r="A46" s="377"/>
      <c r="B46" s="377"/>
      <c r="C46" s="72"/>
      <c r="D46" s="75"/>
      <c r="E46" s="691"/>
      <c r="F46" s="665"/>
      <c r="G46" s="665"/>
      <c r="H46" s="373">
        <f t="shared" si="0"/>
        <v>0</v>
      </c>
    </row>
    <row r="47" spans="1:8" ht="20.100000000000001" hidden="1" customHeight="1">
      <c r="A47" s="792" t="str">
        <f>SETTING!$K$6</f>
        <v>NGUYỄN ĐỨC SƠN</v>
      </c>
      <c r="B47" s="792"/>
      <c r="C47" s="792" t="str">
        <f>SETTING!$K$7</f>
        <v>TRƯƠNG HỒNG CHINH</v>
      </c>
      <c r="D47" s="555"/>
      <c r="E47" s="793" t="str">
        <f>SETTING!$K$9</f>
        <v>TRẦN QUANG NINH</v>
      </c>
      <c r="F47" s="555"/>
      <c r="G47" s="555"/>
      <c r="H47" s="373">
        <f t="shared" si="0"/>
        <v>0</v>
      </c>
    </row>
  </sheetData>
  <autoFilter ref="H5:H47">
    <filterColumn colId="0">
      <customFilters>
        <customFilter operator="notEqual" val=" "/>
      </customFilters>
    </filterColumn>
  </autoFilter>
  <mergeCells count="5">
    <mergeCell ref="A4:A5"/>
    <mergeCell ref="B4:B5"/>
    <mergeCell ref="C4:C5"/>
    <mergeCell ref="D4:D5"/>
    <mergeCell ref="G4:G5"/>
  </mergeCells>
  <printOptions horizontalCentered="1"/>
  <pageMargins left="0.78740157480314998" right="0.59055118110236204" top="0.59055118110236204" bottom="0.59055118110236204" header="0.31496062992126" footer="0.31496062992126"/>
  <pageSetup paperSize="9" scale="88" fitToHeight="0" orientation="landscape" blackAndWhite="1"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pageSetUpPr fitToPage="1"/>
  </sheetPr>
  <dimension ref="A1:I19"/>
  <sheetViews>
    <sheetView showGridLines="0" showZeros="0" view="pageBreakPreview" zoomScaleNormal="100" zoomScaleSheetLayoutView="100" workbookViewId="0">
      <selection activeCell="E22" sqref="E22"/>
    </sheetView>
  </sheetViews>
  <sheetFormatPr defaultColWidth="9.140625" defaultRowHeight="20.100000000000001" customHeight="1"/>
  <cols>
    <col min="1" max="1" width="10.5703125" style="371" customWidth="1"/>
    <col min="2" max="2" width="45.5703125" style="371" customWidth="1"/>
    <col min="3" max="3" width="10.5703125" style="371" customWidth="1"/>
    <col min="4" max="5" width="20.5703125" style="371" customWidth="1"/>
    <col min="6" max="6" width="20.140625" style="371" customWidth="1"/>
    <col min="7" max="7" width="19.7109375" style="371" customWidth="1"/>
    <col min="8" max="8" width="12" style="371" customWidth="1"/>
    <col min="9" max="9" width="10.7109375" style="371" customWidth="1"/>
    <col min="10" max="16384" width="9.140625" style="371"/>
  </cols>
  <sheetData>
    <row r="1" spans="1:9" ht="20.100000000000001" customHeight="1">
      <c r="A1" s="71" t="str">
        <f>SETTING!$O$9</f>
        <v>BẢNG 3: DỰ TOÁN CHI PHÍ XÂY DỰNG CÔNG TRÌNH</v>
      </c>
      <c r="B1" s="378"/>
      <c r="C1" s="378"/>
      <c r="D1" s="378"/>
      <c r="E1" s="378"/>
      <c r="F1" s="378"/>
      <c r="G1" s="378"/>
      <c r="H1" s="373"/>
      <c r="I1" s="373"/>
    </row>
    <row r="2" spans="1:9" ht="20.100000000000001" customHeight="1">
      <c r="A2" s="374"/>
      <c r="B2" s="373"/>
      <c r="C2" s="374"/>
      <c r="D2" s="374"/>
      <c r="E2" s="373"/>
      <c r="F2" s="373"/>
      <c r="G2" s="373"/>
      <c r="H2" s="373"/>
      <c r="I2" s="373"/>
    </row>
    <row r="3" spans="1:9" ht="20.100000000000001" customHeight="1">
      <c r="A3" s="334" t="s">
        <v>2347</v>
      </c>
      <c r="B3" s="335" t="s">
        <v>2360</v>
      </c>
      <c r="C3" s="335" t="s">
        <v>2398</v>
      </c>
      <c r="D3" s="335" t="s">
        <v>3847</v>
      </c>
      <c r="E3" s="335" t="s">
        <v>3848</v>
      </c>
      <c r="F3" s="335" t="s">
        <v>3849</v>
      </c>
      <c r="G3" s="335" t="s">
        <v>3850</v>
      </c>
      <c r="H3" s="335" t="s">
        <v>4832</v>
      </c>
      <c r="I3" s="335" t="s">
        <v>3850</v>
      </c>
    </row>
    <row r="4" spans="1:9" ht="20.100000000000001" customHeight="1">
      <c r="A4" s="336" t="s">
        <v>2361</v>
      </c>
      <c r="B4" s="52" t="s">
        <v>2362</v>
      </c>
      <c r="C4" s="48" t="s">
        <v>2363</v>
      </c>
      <c r="D4" s="583" t="s">
        <v>3851</v>
      </c>
      <c r="E4" s="583" t="e">
        <f ca="1">E5+E8+E11</f>
        <v>#REF!</v>
      </c>
      <c r="F4" s="583" t="s">
        <v>3851</v>
      </c>
      <c r="G4" s="583" t="e">
        <f ca="1">G5+G8+G11</f>
        <v>#REF!</v>
      </c>
      <c r="H4" s="583" t="s">
        <v>3851</v>
      </c>
      <c r="I4" s="583">
        <f>I5+I8+I11</f>
        <v>0</v>
      </c>
    </row>
    <row r="5" spans="1:9" ht="20.100000000000001" customHeight="1">
      <c r="A5" s="337">
        <v>1</v>
      </c>
      <c r="B5" s="53" t="s">
        <v>2364</v>
      </c>
      <c r="C5" s="49" t="s">
        <v>2357</v>
      </c>
      <c r="D5" s="584" t="s">
        <v>3852</v>
      </c>
      <c r="E5" s="1136" t="e">
        <f ca="1">SUM(E6:E7)</f>
        <v>#REF!</v>
      </c>
      <c r="F5" s="584" t="s">
        <v>3853</v>
      </c>
      <c r="G5" s="584" t="e">
        <f>SUM(G6:G7)</f>
        <v>#REF!</v>
      </c>
      <c r="H5" s="584" t="s">
        <v>3853</v>
      </c>
      <c r="I5" s="584">
        <f>SUM(I6:I7)</f>
        <v>0</v>
      </c>
    </row>
    <row r="6" spans="1:9" ht="20.100000000000001" customHeight="1">
      <c r="A6" s="392" t="s">
        <v>2406</v>
      </c>
      <c r="B6" s="54" t="s">
        <v>2365</v>
      </c>
      <c r="C6" s="375" t="s">
        <v>2366</v>
      </c>
      <c r="D6" s="50" t="s">
        <v>3</v>
      </c>
      <c r="E6" s="50" t="e">
        <f ca="1">gt_vl1</f>
        <v>#REF!</v>
      </c>
      <c r="F6" s="50" t="s">
        <v>3</v>
      </c>
      <c r="G6" s="50" t="e">
        <f>cttba_vlvt1_1</f>
        <v>#REF!</v>
      </c>
      <c r="H6" s="50" t="s">
        <v>3</v>
      </c>
      <c r="I6" s="50"/>
    </row>
    <row r="7" spans="1:9" ht="20.100000000000001" customHeight="1">
      <c r="A7" s="392" t="s">
        <v>2675</v>
      </c>
      <c r="B7" s="54" t="s">
        <v>2367</v>
      </c>
      <c r="C7" s="375" t="s">
        <v>2387</v>
      </c>
      <c r="D7" s="50" t="s">
        <v>3854</v>
      </c>
      <c r="E7" s="50">
        <f ca="1">vcdd_gtvcdd1</f>
        <v>1434448.9907692308</v>
      </c>
      <c r="F7" s="50" t="s">
        <v>3854</v>
      </c>
      <c r="G7" s="50">
        <f ca="1">vcdd_gtvctba1</f>
        <v>0</v>
      </c>
      <c r="H7" s="50" t="s">
        <v>3854</v>
      </c>
      <c r="I7" s="50"/>
    </row>
    <row r="8" spans="1:9" ht="20.100000000000001" customHeight="1">
      <c r="A8" s="337">
        <v>2</v>
      </c>
      <c r="B8" s="53" t="s">
        <v>2370</v>
      </c>
      <c r="C8" s="49" t="s">
        <v>2371</v>
      </c>
      <c r="D8" s="584" t="s">
        <v>3855</v>
      </c>
      <c r="E8" s="1136">
        <f ca="1">SUM(E9:E10)</f>
        <v>198347014.871768</v>
      </c>
      <c r="F8" s="584" t="s">
        <v>3855</v>
      </c>
      <c r="G8" s="584">
        <f ca="1">SUM(G9:G10)</f>
        <v>14954873.0868</v>
      </c>
      <c r="H8" s="584" t="s">
        <v>3855</v>
      </c>
      <c r="I8" s="584">
        <f>SUM(I9:I10)</f>
        <v>0</v>
      </c>
    </row>
    <row r="9" spans="1:9" ht="20.100000000000001" customHeight="1">
      <c r="A9" s="392" t="s">
        <v>2406</v>
      </c>
      <c r="B9" s="54" t="s">
        <v>2389</v>
      </c>
      <c r="C9" s="375" t="s">
        <v>2372</v>
      </c>
      <c r="D9" s="50" t="str">
        <f>"NC x "&amp;HSNCDD</f>
        <v>NC x 1</v>
      </c>
      <c r="E9" s="50">
        <f ca="1">gt_nc1*HSNCDD</f>
        <v>50738802.000391997</v>
      </c>
      <c r="F9" s="50" t="str">
        <f>"NC x "&amp;HSNCTBA</f>
        <v>NC x 1</v>
      </c>
      <c r="G9" s="50">
        <f>cttba_ncvt1_1*HSNCTBA</f>
        <v>0</v>
      </c>
      <c r="H9" s="50" t="str">
        <f>"NC x "&amp;HSNCTBA</f>
        <v>NC x 1</v>
      </c>
      <c r="I9" s="50"/>
    </row>
    <row r="10" spans="1:9" ht="20.100000000000001" customHeight="1">
      <c r="A10" s="392" t="s">
        <v>2675</v>
      </c>
      <c r="B10" s="54" t="s">
        <v>2390</v>
      </c>
      <c r="C10" s="375" t="s">
        <v>2373</v>
      </c>
      <c r="D10" s="50" t="str">
        <f>"NC x "&amp;HSNCDD</f>
        <v>NC x 1</v>
      </c>
      <c r="E10" s="50">
        <f ca="1">cttl_ncdd1*HSNCDD</f>
        <v>147608212.87137601</v>
      </c>
      <c r="F10" s="50" t="str">
        <f>"NC x "&amp;HSNCTBA</f>
        <v>NC x 1</v>
      </c>
      <c r="G10" s="50">
        <f ca="1">cttl_nctba1*HSNCTBA</f>
        <v>14954873.0868</v>
      </c>
      <c r="H10" s="50" t="str">
        <f>"NC x "&amp;HSNCTBA</f>
        <v>NC x 1</v>
      </c>
      <c r="I10" s="50"/>
    </row>
    <row r="11" spans="1:9" ht="20.100000000000001" customHeight="1">
      <c r="A11" s="337">
        <v>3</v>
      </c>
      <c r="B11" s="53" t="s">
        <v>2374</v>
      </c>
      <c r="C11" s="49" t="s">
        <v>2375</v>
      </c>
      <c r="D11" s="584" t="s">
        <v>3856</v>
      </c>
      <c r="E11" s="1136">
        <f ca="1">SUM(E12:E13)</f>
        <v>11564574.134343719</v>
      </c>
      <c r="F11" s="584" t="s">
        <v>3856</v>
      </c>
      <c r="G11" s="584">
        <f ca="1">SUM(G12:G13)</f>
        <v>6308452.0153846145</v>
      </c>
      <c r="H11" s="584" t="s">
        <v>3856</v>
      </c>
      <c r="I11" s="584">
        <f>SUM(I12:I13)</f>
        <v>0</v>
      </c>
    </row>
    <row r="12" spans="1:9" ht="20.100000000000001" customHeight="1">
      <c r="A12" s="392"/>
      <c r="B12" s="54" t="s">
        <v>2391</v>
      </c>
      <c r="C12" s="375" t="s">
        <v>2376</v>
      </c>
      <c r="D12" s="50" t="str">
        <f>"MTC x "&amp;HSMTCDD</f>
        <v>MTC x 1</v>
      </c>
      <c r="E12" s="50">
        <f ca="1">gt_mtc1*HSMTCDD</f>
        <v>1785589.0874122516</v>
      </c>
      <c r="F12" s="50" t="str">
        <f>"MTC x "&amp;HSMTCTBA</f>
        <v>MTC x 1</v>
      </c>
      <c r="G12" s="50">
        <f>cttba_mtcvt1_1*HSMTCTBA</f>
        <v>0</v>
      </c>
      <c r="H12" s="50" t="str">
        <f>"MTC x "&amp;HSMTCTBA</f>
        <v>MTC x 1</v>
      </c>
      <c r="I12" s="50"/>
    </row>
    <row r="13" spans="1:9" ht="20.100000000000001" customHeight="1">
      <c r="A13" s="392"/>
      <c r="B13" s="54" t="s">
        <v>2392</v>
      </c>
      <c r="C13" s="375" t="s">
        <v>3231</v>
      </c>
      <c r="D13" s="50" t="str">
        <f>"MTC x "&amp;HSMTCDD</f>
        <v>MTC x 1</v>
      </c>
      <c r="E13" s="50">
        <f ca="1">cttl_mtcdd1*HSMTCDD</f>
        <v>9778985.046931468</v>
      </c>
      <c r="F13" s="50" t="str">
        <f>"MTC x "&amp;HSMTCTBA</f>
        <v>MTC x 1</v>
      </c>
      <c r="G13" s="50">
        <f ca="1">cttl_mtctba1*HSMTCTBA</f>
        <v>6308452.0153846145</v>
      </c>
      <c r="H13" s="50" t="str">
        <f>"MTC x "&amp;HSMTCTBA</f>
        <v>MTC x 1</v>
      </c>
      <c r="I13" s="50"/>
    </row>
    <row r="14" spans="1:9" ht="20.100000000000001" customHeight="1">
      <c r="A14" s="338" t="s">
        <v>2379</v>
      </c>
      <c r="B14" s="55" t="s">
        <v>2393</v>
      </c>
      <c r="C14" s="51" t="s">
        <v>2375</v>
      </c>
      <c r="D14" s="585" t="s">
        <v>5119</v>
      </c>
      <c r="E14" s="585">
        <f ca="1">6.5%*E8</f>
        <v>12892555.96666492</v>
      </c>
      <c r="F14" s="585" t="s">
        <v>3859</v>
      </c>
      <c r="G14" s="585" t="e">
        <f ca="1">5.5%*G4</f>
        <v>#REF!</v>
      </c>
      <c r="H14" s="585" t="s">
        <v>4902</v>
      </c>
      <c r="I14" s="585">
        <f>5%*I4</f>
        <v>0</v>
      </c>
    </row>
    <row r="15" spans="1:9" ht="20.100000000000001" customHeight="1">
      <c r="A15" s="338"/>
      <c r="B15" s="55" t="s">
        <v>2394</v>
      </c>
      <c r="C15" s="51" t="s">
        <v>2388</v>
      </c>
      <c r="D15" s="585" t="s">
        <v>3860</v>
      </c>
      <c r="E15" s="585" t="e">
        <f ca="1">E14+E4</f>
        <v>#REF!</v>
      </c>
      <c r="F15" s="585" t="s">
        <v>3860</v>
      </c>
      <c r="G15" s="585" t="e">
        <f ca="1">G14+G4</f>
        <v>#REF!</v>
      </c>
      <c r="H15" s="585" t="s">
        <v>3860</v>
      </c>
      <c r="I15" s="585">
        <f>I14+I4</f>
        <v>0</v>
      </c>
    </row>
    <row r="16" spans="1:9" ht="20.100000000000001" customHeight="1">
      <c r="A16" s="338" t="s">
        <v>2380</v>
      </c>
      <c r="B16" s="55" t="s">
        <v>2395</v>
      </c>
      <c r="C16" s="51" t="s">
        <v>2381</v>
      </c>
      <c r="D16" s="585" t="s">
        <v>3861</v>
      </c>
      <c r="E16" s="585" t="e">
        <f ca="1">E15*6%</f>
        <v>#REF!</v>
      </c>
      <c r="F16" s="585" t="s">
        <v>3862</v>
      </c>
      <c r="G16" s="585" t="e">
        <f ca="1">G15*6%</f>
        <v>#REF!</v>
      </c>
      <c r="H16" s="585" t="s">
        <v>4903</v>
      </c>
      <c r="I16" s="585">
        <f>I15*5.5%</f>
        <v>0</v>
      </c>
    </row>
    <row r="17" spans="1:9" ht="20.100000000000001" customHeight="1">
      <c r="A17" s="338"/>
      <c r="B17" s="55" t="s">
        <v>2382</v>
      </c>
      <c r="C17" s="51" t="s">
        <v>2383</v>
      </c>
      <c r="D17" s="585" t="s">
        <v>3863</v>
      </c>
      <c r="E17" s="585" t="e">
        <f ca="1">E16+E15</f>
        <v>#REF!</v>
      </c>
      <c r="F17" s="585" t="s">
        <v>3863</v>
      </c>
      <c r="G17" s="585" t="e">
        <f ca="1">G16+G15</f>
        <v>#REF!</v>
      </c>
      <c r="H17" s="585" t="s">
        <v>3863</v>
      </c>
      <c r="I17" s="585">
        <f>I16+I15</f>
        <v>0</v>
      </c>
    </row>
    <row r="18" spans="1:9" ht="20.100000000000001" customHeight="1">
      <c r="A18" s="338" t="s">
        <v>2384</v>
      </c>
      <c r="B18" s="55" t="s">
        <v>2396</v>
      </c>
      <c r="C18" s="51" t="s">
        <v>2385</v>
      </c>
      <c r="D18" s="585" t="s">
        <v>3864</v>
      </c>
      <c r="E18" s="585" t="e">
        <f ca="1">E17*10%</f>
        <v>#REF!</v>
      </c>
      <c r="F18" s="585" t="s">
        <v>3864</v>
      </c>
      <c r="G18" s="585" t="e">
        <f ca="1">G17*10%</f>
        <v>#REF!</v>
      </c>
      <c r="H18" s="585" t="s">
        <v>3864</v>
      </c>
      <c r="I18" s="585">
        <f>I17*10%</f>
        <v>0</v>
      </c>
    </row>
    <row r="19" spans="1:9" ht="20.100000000000001" customHeight="1">
      <c r="A19" s="339"/>
      <c r="B19" s="340" t="s">
        <v>2397</v>
      </c>
      <c r="C19" s="341" t="s">
        <v>2386</v>
      </c>
      <c r="D19" s="341" t="s">
        <v>3865</v>
      </c>
      <c r="E19" s="341" t="e">
        <f ca="1">E17+E18</f>
        <v>#REF!</v>
      </c>
      <c r="F19" s="341" t="s">
        <v>3865</v>
      </c>
      <c r="G19" s="341" t="e">
        <f ca="1">G17+G18</f>
        <v>#REF!</v>
      </c>
      <c r="H19" s="341" t="s">
        <v>3865</v>
      </c>
      <c r="I19" s="341">
        <f>I17+I18</f>
        <v>0</v>
      </c>
    </row>
  </sheetData>
  <printOptions horizontalCentered="1"/>
  <pageMargins left="0.78740157480314998" right="0.59055118110236204" top="0.59055118110236204" bottom="0.59055118110236204" header="0.31496062992126" footer="0.31496062992126"/>
  <pageSetup paperSize="9" scale="88" fitToHeight="0"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tabColor theme="9" tint="0.79998168889431442"/>
    <pageSetUpPr fitToPage="1"/>
  </sheetPr>
  <dimension ref="A1:M34"/>
  <sheetViews>
    <sheetView showGridLines="0" showZeros="0" view="pageBreakPreview" topLeftCell="C8" zoomScaleNormal="85" zoomScaleSheetLayoutView="100" zoomScalePageLayoutView="145" workbookViewId="0">
      <selection activeCell="D30" sqref="D30"/>
    </sheetView>
  </sheetViews>
  <sheetFormatPr defaultColWidth="9.140625" defaultRowHeight="25.15" customHeight="1"/>
  <cols>
    <col min="1" max="1" width="9.140625" style="371" hidden="1" customWidth="1"/>
    <col min="2" max="2" width="16.28515625" style="371" hidden="1" customWidth="1"/>
    <col min="3" max="3" width="5.140625" style="825" bestFit="1" customWidth="1"/>
    <col min="4" max="4" width="45.140625" style="825" bestFit="1" customWidth="1"/>
    <col min="5" max="5" width="6.5703125" style="825" customWidth="1"/>
    <col min="6" max="6" width="11.85546875" style="825" customWidth="1"/>
    <col min="7" max="12" width="12.5703125" style="825" customWidth="1"/>
    <col min="13" max="13" width="9.28515625" style="183" bestFit="1" customWidth="1"/>
    <col min="14" max="16384" width="9.140625" style="371"/>
  </cols>
  <sheetData>
    <row r="1" spans="2:13" ht="26.25" customHeight="1">
      <c r="C1" s="1196" t="e">
        <f ca="1">SETTING!$O$10</f>
        <v>#REF!</v>
      </c>
      <c r="D1" s="378"/>
      <c r="E1" s="378"/>
      <c r="F1" s="378"/>
      <c r="G1" s="378"/>
      <c r="H1" s="378"/>
      <c r="I1" s="378"/>
      <c r="J1" s="378"/>
      <c r="K1" s="378"/>
      <c r="L1" s="378"/>
      <c r="M1" s="373">
        <f t="shared" ref="M1" si="0">L1+1</f>
        <v>1</v>
      </c>
    </row>
    <row r="2" spans="2:13" ht="11.25" customHeight="1">
      <c r="B2" s="371" t="s">
        <v>2592</v>
      </c>
      <c r="C2" s="374"/>
      <c r="D2" s="373"/>
      <c r="E2" s="374"/>
      <c r="F2" s="374"/>
      <c r="G2" s="373"/>
      <c r="H2" s="373"/>
      <c r="I2" s="373"/>
      <c r="J2" s="373"/>
      <c r="K2" s="373"/>
      <c r="L2" s="373"/>
      <c r="M2" s="373"/>
    </row>
    <row r="3" spans="2:13" ht="25.15" customHeight="1">
      <c r="C3" s="1371" t="s">
        <v>2347</v>
      </c>
      <c r="D3" s="1371" t="s">
        <v>2356</v>
      </c>
      <c r="E3" s="1371" t="s">
        <v>2359</v>
      </c>
      <c r="F3" s="1371" t="s">
        <v>3846</v>
      </c>
      <c r="G3" s="1373" t="s">
        <v>2141</v>
      </c>
      <c r="H3" s="1374"/>
      <c r="I3" s="1375"/>
      <c r="J3" s="1371" t="s">
        <v>2348</v>
      </c>
      <c r="K3" s="1371"/>
      <c r="L3" s="1371"/>
      <c r="M3" s="373"/>
    </row>
    <row r="4" spans="2:13" ht="25.15" customHeight="1">
      <c r="C4" s="1372"/>
      <c r="D4" s="1372"/>
      <c r="E4" s="1372"/>
      <c r="F4" s="1372"/>
      <c r="G4" s="1197" t="s">
        <v>3</v>
      </c>
      <c r="H4" s="1197" t="s">
        <v>4</v>
      </c>
      <c r="I4" s="1197" t="s">
        <v>5</v>
      </c>
      <c r="J4" s="1197" t="s">
        <v>3</v>
      </c>
      <c r="K4" s="1197" t="s">
        <v>4</v>
      </c>
      <c r="L4" s="1197" t="s">
        <v>5</v>
      </c>
      <c r="M4" s="373"/>
    </row>
    <row r="5" spans="2:13" ht="25.15" customHeight="1">
      <c r="C5" s="42"/>
      <c r="D5" s="41"/>
      <c r="E5" s="42"/>
      <c r="F5" s="42"/>
      <c r="G5" s="41"/>
      <c r="H5" s="41"/>
      <c r="I5" s="41"/>
      <c r="J5" s="41"/>
      <c r="K5" s="41"/>
      <c r="L5" s="41"/>
      <c r="M5" s="373"/>
    </row>
    <row r="6" spans="2:13" ht="25.15" customHeight="1">
      <c r="B6" s="371" t="s">
        <v>2154</v>
      </c>
      <c r="C6" s="83">
        <f>COUNTIF($F$6:F6,"&gt;0")</f>
        <v>1</v>
      </c>
      <c r="D6" s="1211" t="str">
        <f t="shared" ref="D6:D32" si="1">IF(B6="",0,VLOOKUP(B6,BKDD,4,0))</f>
        <v>Móng M8</v>
      </c>
      <c r="E6" s="83" t="str">
        <f t="shared" ref="E6:E32" si="2">IF(B6="",0,VLOOKUP(B6,BKDD,5,0))</f>
        <v>Móng</v>
      </c>
      <c r="F6" s="83">
        <v>22</v>
      </c>
      <c r="G6" s="1212"/>
      <c r="H6" s="1212">
        <f t="shared" ref="H6:H32" si="3">IF(B6="",0,VLOOKUP(B6,BKDD,11,0))</f>
        <v>71650.615199999986</v>
      </c>
      <c r="I6" s="1212">
        <f t="shared" ref="I6:I32" si="4">IF(B6="",0,VLOOKUP(B6,BKDD,12,0))</f>
        <v>0</v>
      </c>
      <c r="J6" s="1212">
        <f>G6*$F6</f>
        <v>0</v>
      </c>
      <c r="K6" s="1212">
        <f>H6*$F6</f>
        <v>1576313.5343999998</v>
      </c>
      <c r="L6" s="1212">
        <f>I6*$F6</f>
        <v>0</v>
      </c>
      <c r="M6" s="373">
        <f>IF(SUM(J6:L6)&gt;0,1,0)</f>
        <v>1</v>
      </c>
    </row>
    <row r="7" spans="2:13" ht="25.15" hidden="1" customHeight="1">
      <c r="B7" s="371" t="s">
        <v>2339</v>
      </c>
      <c r="C7" s="1201">
        <f ca="1">COUNTIF($F$6:F7,"&gt;0")</f>
        <v>1</v>
      </c>
      <c r="D7" s="1202" t="str">
        <f t="shared" si="1"/>
        <v>Móng bê tông trụ đơn 8,4m</v>
      </c>
      <c r="E7" s="1203" t="str">
        <f t="shared" si="2"/>
        <v>Móng</v>
      </c>
      <c r="F7" s="1203">
        <f t="shared" ref="F7:F28" ca="1" si="5">SUMIF(maBK,B7,tongBK1)</f>
        <v>0</v>
      </c>
      <c r="G7" s="1204">
        <f t="shared" ref="G7:G32" si="6">IF(B7="",0,VLOOKUP(B7,BKDD,10,0))</f>
        <v>787912.64999999991</v>
      </c>
      <c r="H7" s="1204">
        <f t="shared" si="3"/>
        <v>609512.89299999992</v>
      </c>
      <c r="I7" s="1204">
        <f t="shared" si="4"/>
        <v>0</v>
      </c>
      <c r="J7" s="1204">
        <f t="shared" ref="J7:J32" ca="1" si="7">G7*$F7</f>
        <v>0</v>
      </c>
      <c r="K7" s="1204">
        <f t="shared" ref="K7:K32" ca="1" si="8">H7*$F7</f>
        <v>0</v>
      </c>
      <c r="L7" s="1205">
        <f t="shared" ref="L7:L32" ca="1" si="9">I7*$F7</f>
        <v>0</v>
      </c>
      <c r="M7" s="373">
        <f t="shared" ref="M7:M32" ca="1" si="10">IF(SUM(J7:L7)&gt;0,1,0)</f>
        <v>0</v>
      </c>
    </row>
    <row r="8" spans="2:13" ht="25.15" customHeight="1">
      <c r="B8" s="371" t="s">
        <v>2340</v>
      </c>
      <c r="C8" s="79">
        <f ca="1">COUNTIF($F$6:F8,"&gt;0")</f>
        <v>2</v>
      </c>
      <c r="D8" s="1213" t="str">
        <f t="shared" si="1"/>
        <v>Móng bê tông trụ đôi 8,4m</v>
      </c>
      <c r="E8" s="79" t="str">
        <f t="shared" si="2"/>
        <v>Móng</v>
      </c>
      <c r="F8" s="79">
        <f t="shared" ca="1" si="5"/>
        <v>1</v>
      </c>
      <c r="G8" s="1214" t="e">
        <f t="shared" si="6"/>
        <v>#REF!</v>
      </c>
      <c r="H8" s="1214">
        <f t="shared" si="3"/>
        <v>798539.73385999992</v>
      </c>
      <c r="I8" s="1214">
        <f t="shared" si="4"/>
        <v>0</v>
      </c>
      <c r="J8" s="1214" t="e">
        <f t="shared" ca="1" si="7"/>
        <v>#REF!</v>
      </c>
      <c r="K8" s="1214">
        <f t="shared" ca="1" si="8"/>
        <v>798539.73385999992</v>
      </c>
      <c r="L8" s="1214">
        <f t="shared" ca="1" si="9"/>
        <v>0</v>
      </c>
      <c r="M8" s="373" t="e">
        <f t="shared" ca="1" si="10"/>
        <v>#REF!</v>
      </c>
    </row>
    <row r="9" spans="2:13" ht="25.15" customHeight="1">
      <c r="B9" s="371" t="s">
        <v>876</v>
      </c>
      <c r="C9" s="83">
        <f ca="1">COUNTIF($F$6:F9,"&gt;0")</f>
        <v>3</v>
      </c>
      <c r="D9" s="1211" t="str">
        <f t="shared" si="1"/>
        <v>Móng M12</v>
      </c>
      <c r="E9" s="83" t="str">
        <f t="shared" si="2"/>
        <v>Móng</v>
      </c>
      <c r="F9" s="83">
        <v>11</v>
      </c>
      <c r="G9" s="1212"/>
      <c r="H9" s="1212">
        <f t="shared" si="3"/>
        <v>210206.63663999998</v>
      </c>
      <c r="I9" s="1212">
        <f t="shared" si="4"/>
        <v>0</v>
      </c>
      <c r="J9" s="1212">
        <f t="shared" si="7"/>
        <v>0</v>
      </c>
      <c r="K9" s="1212">
        <f t="shared" si="8"/>
        <v>2312273.0030399999</v>
      </c>
      <c r="L9" s="1212">
        <f t="shared" si="9"/>
        <v>0</v>
      </c>
      <c r="M9" s="373">
        <f t="shared" si="10"/>
        <v>1</v>
      </c>
    </row>
    <row r="10" spans="2:13" ht="25.15" hidden="1" customHeight="1">
      <c r="B10" s="371" t="s">
        <v>2343</v>
      </c>
      <c r="C10" s="1201">
        <f ca="1">COUNTIF($F$6:F10,"&gt;0")</f>
        <v>4</v>
      </c>
      <c r="D10" s="1202" t="str">
        <f t="shared" si="1"/>
        <v>Móng bê tông trụ đơn 12m</v>
      </c>
      <c r="E10" s="1203" t="str">
        <f t="shared" si="2"/>
        <v>Móng</v>
      </c>
      <c r="F10" s="1203">
        <f t="shared" ca="1" si="5"/>
        <v>1</v>
      </c>
      <c r="G10" s="1204" t="e">
        <f t="shared" si="6"/>
        <v>#REF!</v>
      </c>
      <c r="H10" s="1204">
        <f t="shared" si="3"/>
        <v>930208.13697999995</v>
      </c>
      <c r="I10" s="1204">
        <f t="shared" si="4"/>
        <v>0</v>
      </c>
      <c r="J10" s="1204" t="e">
        <f t="shared" ca="1" si="7"/>
        <v>#REF!</v>
      </c>
      <c r="K10" s="1204">
        <f t="shared" ca="1" si="8"/>
        <v>930208.13697999995</v>
      </c>
      <c r="L10" s="1205">
        <f t="shared" ca="1" si="9"/>
        <v>0</v>
      </c>
      <c r="M10" s="373" t="e">
        <f t="shared" ca="1" si="10"/>
        <v>#REF!</v>
      </c>
    </row>
    <row r="11" spans="2:13" ht="25.15" customHeight="1">
      <c r="B11" s="371" t="s">
        <v>2344</v>
      </c>
      <c r="C11" s="79">
        <f ca="1">COUNTIF($F$6:F11,"&gt;0")</f>
        <v>5</v>
      </c>
      <c r="D11" s="1213" t="str">
        <f t="shared" si="1"/>
        <v>Móng bê tông trụ đôi 12m</v>
      </c>
      <c r="E11" s="79" t="str">
        <f t="shared" si="2"/>
        <v>Móng</v>
      </c>
      <c r="F11" s="79">
        <v>4</v>
      </c>
      <c r="G11" s="1214" t="e">
        <f t="shared" si="6"/>
        <v>#REF!</v>
      </c>
      <c r="H11" s="1214">
        <f t="shared" si="3"/>
        <v>1615025.9242199999</v>
      </c>
      <c r="I11" s="1214">
        <f t="shared" si="4"/>
        <v>0</v>
      </c>
      <c r="J11" s="1214" t="e">
        <f t="shared" si="7"/>
        <v>#REF!</v>
      </c>
      <c r="K11" s="1214">
        <f t="shared" si="8"/>
        <v>6460103.6968799997</v>
      </c>
      <c r="L11" s="1214">
        <f t="shared" si="9"/>
        <v>0</v>
      </c>
      <c r="M11" s="373" t="e">
        <f t="shared" si="10"/>
        <v>#REF!</v>
      </c>
    </row>
    <row r="12" spans="2:13" ht="25.15" customHeight="1">
      <c r="B12" s="371" t="s">
        <v>2191</v>
      </c>
      <c r="C12" s="372">
        <f ca="1">COUNTIF($F$6:F12,"&gt;0")</f>
        <v>6</v>
      </c>
      <c r="D12" s="43" t="str">
        <f t="shared" si="1"/>
        <v>Tiếp địa lặp lại trụ 8.4m cáp ABC</v>
      </c>
      <c r="E12" s="372" t="str">
        <f t="shared" si="2"/>
        <v>Bộ</v>
      </c>
      <c r="F12" s="372">
        <f t="shared" ca="1" si="5"/>
        <v>17</v>
      </c>
      <c r="G12" s="582">
        <f t="shared" si="6"/>
        <v>677788</v>
      </c>
      <c r="H12" s="582">
        <f t="shared" si="3"/>
        <v>169661.39174399999</v>
      </c>
      <c r="I12" s="582">
        <f t="shared" si="4"/>
        <v>0</v>
      </c>
      <c r="J12" s="582">
        <f t="shared" ca="1" si="7"/>
        <v>11522396</v>
      </c>
      <c r="K12" s="582">
        <f t="shared" ca="1" si="8"/>
        <v>2884243.6596479998</v>
      </c>
      <c r="L12" s="582">
        <f t="shared" ca="1" si="9"/>
        <v>0</v>
      </c>
      <c r="M12" s="373">
        <f t="shared" ca="1" si="10"/>
        <v>1</v>
      </c>
    </row>
    <row r="13" spans="2:13" ht="25.15" customHeight="1">
      <c r="B13" s="371" t="s">
        <v>2198</v>
      </c>
      <c r="C13" s="372">
        <f ca="1">COUNTIF($F$6:F13,"&gt;0")</f>
        <v>7</v>
      </c>
      <c r="D13" s="1131" t="str">
        <f t="shared" si="1"/>
        <v>Tiếp địa lặp lại trụ 12m</v>
      </c>
      <c r="E13" s="1133" t="str">
        <f t="shared" si="2"/>
        <v>Bộ</v>
      </c>
      <c r="F13" s="372">
        <v>2</v>
      </c>
      <c r="G13" s="582">
        <f t="shared" si="6"/>
        <v>847784</v>
      </c>
      <c r="H13" s="582">
        <f t="shared" si="3"/>
        <v>693512.30899200006</v>
      </c>
      <c r="I13" s="582">
        <f t="shared" si="4"/>
        <v>9425.1200000000008</v>
      </c>
      <c r="J13" s="582">
        <f t="shared" si="7"/>
        <v>1695568</v>
      </c>
      <c r="K13" s="582">
        <f t="shared" si="8"/>
        <v>1387024.6179840001</v>
      </c>
      <c r="L13" s="582">
        <f t="shared" si="9"/>
        <v>18850.240000000002</v>
      </c>
      <c r="M13" s="373">
        <f t="shared" si="10"/>
        <v>1</v>
      </c>
    </row>
    <row r="14" spans="2:13" ht="25.15" customHeight="1">
      <c r="C14" s="372">
        <f ca="1">COUNTIF($F$6:F14,"&gt;0")</f>
        <v>8</v>
      </c>
      <c r="D14" s="398" t="s">
        <v>5120</v>
      </c>
      <c r="E14" s="413" t="s">
        <v>400</v>
      </c>
      <c r="F14" s="372">
        <v>5</v>
      </c>
      <c r="G14" s="582">
        <f>R_DG!E309</f>
        <v>5950000</v>
      </c>
      <c r="H14" s="582">
        <v>502312.80000000005</v>
      </c>
      <c r="I14" s="582">
        <v>208152.08699300699</v>
      </c>
      <c r="J14" s="582">
        <f t="shared" ref="J14:J19" si="11">G14*$F14</f>
        <v>29750000</v>
      </c>
      <c r="K14" s="582">
        <f t="shared" ref="K14:K19" si="12">H14*$F14</f>
        <v>2511564</v>
      </c>
      <c r="L14" s="582">
        <f t="shared" ref="L14:L19" si="13">I14*$F14</f>
        <v>1040760.4349650349</v>
      </c>
      <c r="M14" s="373">
        <f t="shared" ref="M14:M19" si="14">IF(SUM(J14:L14)&gt;0,1,0)</f>
        <v>1</v>
      </c>
    </row>
    <row r="15" spans="2:13" ht="25.15" customHeight="1">
      <c r="C15" s="372">
        <f ca="1">COUNTIF($F$6:F15,"&gt;0")</f>
        <v>9</v>
      </c>
      <c r="D15" s="1132" t="s">
        <v>5121</v>
      </c>
      <c r="E15" s="42" t="s">
        <v>400</v>
      </c>
      <c r="F15" s="372">
        <v>2</v>
      </c>
      <c r="G15" s="582">
        <v>2450000</v>
      </c>
      <c r="H15" s="582">
        <v>438339</v>
      </c>
      <c r="I15" s="582">
        <v>145706.46089510492</v>
      </c>
      <c r="J15" s="582">
        <f t="shared" si="11"/>
        <v>4900000</v>
      </c>
      <c r="K15" s="582">
        <f t="shared" si="12"/>
        <v>876678</v>
      </c>
      <c r="L15" s="582">
        <f t="shared" si="13"/>
        <v>291412.92179020983</v>
      </c>
      <c r="M15" s="373">
        <f t="shared" si="14"/>
        <v>1</v>
      </c>
    </row>
    <row r="16" spans="2:13" ht="25.15" customHeight="1">
      <c r="C16" s="372">
        <f ca="1">COUNTIF($F$6:F16,"&gt;0")</f>
        <v>10</v>
      </c>
      <c r="D16" s="43" t="s">
        <v>2234</v>
      </c>
      <c r="E16" s="372" t="s">
        <v>163</v>
      </c>
      <c r="F16" s="372">
        <v>1</v>
      </c>
      <c r="G16" s="582">
        <v>746167.47619999992</v>
      </c>
      <c r="H16" s="582">
        <v>186610.69999999998</v>
      </c>
      <c r="I16" s="582"/>
      <c r="J16" s="582">
        <f t="shared" si="11"/>
        <v>746167.47619999992</v>
      </c>
      <c r="K16" s="582">
        <f t="shared" si="12"/>
        <v>186610.69999999998</v>
      </c>
      <c r="L16" s="582">
        <f t="shared" si="13"/>
        <v>0</v>
      </c>
      <c r="M16" s="373">
        <f t="shared" si="14"/>
        <v>1</v>
      </c>
    </row>
    <row r="17" spans="2:13" ht="25.15" customHeight="1">
      <c r="C17" s="372">
        <f ca="1">COUNTIF($F$6:F17,"&gt;0")</f>
        <v>11</v>
      </c>
      <c r="D17" s="43" t="s">
        <v>2236</v>
      </c>
      <c r="E17" s="372" t="s">
        <v>163</v>
      </c>
      <c r="F17" s="372">
        <v>3</v>
      </c>
      <c r="G17" s="582">
        <v>1515734.9523999998</v>
      </c>
      <c r="H17" s="582">
        <v>373221.39999999997</v>
      </c>
      <c r="I17" s="582"/>
      <c r="J17" s="582">
        <f t="shared" si="11"/>
        <v>4547204.8571999995</v>
      </c>
      <c r="K17" s="582">
        <f t="shared" si="12"/>
        <v>1119664.2</v>
      </c>
      <c r="L17" s="582">
        <f t="shared" si="13"/>
        <v>0</v>
      </c>
      <c r="M17" s="373">
        <f t="shared" si="14"/>
        <v>1</v>
      </c>
    </row>
    <row r="18" spans="2:13" ht="25.15" customHeight="1">
      <c r="C18" s="83">
        <f ca="1">COUNTIF($F$6:F18,"&gt;0")</f>
        <v>12</v>
      </c>
      <c r="D18" s="1211" t="s">
        <v>5122</v>
      </c>
      <c r="E18" s="83" t="s">
        <v>163</v>
      </c>
      <c r="F18" s="83">
        <v>15</v>
      </c>
      <c r="G18" s="1212">
        <v>241000</v>
      </c>
      <c r="H18" s="1212">
        <v>49616.491999999998</v>
      </c>
      <c r="I18" s="1212"/>
      <c r="J18" s="1212">
        <f t="shared" si="11"/>
        <v>3615000</v>
      </c>
      <c r="K18" s="1212">
        <f t="shared" si="12"/>
        <v>744247.38</v>
      </c>
      <c r="L18" s="1212">
        <f t="shared" si="13"/>
        <v>0</v>
      </c>
      <c r="M18" s="373">
        <f t="shared" si="14"/>
        <v>1</v>
      </c>
    </row>
    <row r="19" spans="2:13" ht="25.15" hidden="1" customHeight="1">
      <c r="C19" s="1195"/>
      <c r="D19" s="1132"/>
      <c r="E19" s="42"/>
      <c r="F19" s="42"/>
      <c r="G19" s="1206"/>
      <c r="H19" s="1206"/>
      <c r="I19" s="1206"/>
      <c r="J19" s="1206">
        <f t="shared" si="11"/>
        <v>0</v>
      </c>
      <c r="K19" s="1206">
        <f t="shared" si="12"/>
        <v>0</v>
      </c>
      <c r="L19" s="1207">
        <f t="shared" si="13"/>
        <v>0</v>
      </c>
      <c r="M19" s="373">
        <f t="shared" si="14"/>
        <v>0</v>
      </c>
    </row>
    <row r="20" spans="2:13" ht="25.15" hidden="1" customHeight="1">
      <c r="B20" s="371" t="s">
        <v>2271</v>
      </c>
      <c r="C20" s="1114">
        <f ca="1">COUNTIF($F$6:F20,"&gt;0")</f>
        <v>12</v>
      </c>
      <c r="D20" s="43" t="str">
        <f t="shared" si="1"/>
        <v>Bộ chằng xuống đơn cho trụ hạ thế: CX.ht</v>
      </c>
      <c r="E20" s="372" t="str">
        <f t="shared" si="2"/>
        <v>Bộ</v>
      </c>
      <c r="F20" s="372">
        <f t="shared" ca="1" si="5"/>
        <v>0</v>
      </c>
      <c r="G20" s="582">
        <f t="shared" si="6"/>
        <v>482852</v>
      </c>
      <c r="H20" s="582">
        <f t="shared" si="3"/>
        <v>106623</v>
      </c>
      <c r="I20" s="582">
        <f t="shared" si="4"/>
        <v>0</v>
      </c>
      <c r="J20" s="582">
        <f t="shared" ca="1" si="7"/>
        <v>0</v>
      </c>
      <c r="K20" s="582">
        <f t="shared" ca="1" si="8"/>
        <v>0</v>
      </c>
      <c r="L20" s="826">
        <f t="shared" ca="1" si="9"/>
        <v>0</v>
      </c>
      <c r="M20" s="373">
        <f t="shared" ca="1" si="10"/>
        <v>0</v>
      </c>
    </row>
    <row r="21" spans="2:13" ht="25.15" hidden="1" customHeight="1">
      <c r="B21" s="371" t="s">
        <v>2273</v>
      </c>
      <c r="C21" s="1114">
        <f ca="1">COUNTIF($F$6:F21,"&gt;0")</f>
        <v>12</v>
      </c>
      <c r="D21" s="43" t="str">
        <f t="shared" si="1"/>
        <v>Bộ chằng lệch đơn cho trụ hạ thế: CL.ht</v>
      </c>
      <c r="E21" s="372" t="str">
        <f t="shared" si="2"/>
        <v>Bộ</v>
      </c>
      <c r="F21" s="372">
        <f t="shared" ca="1" si="5"/>
        <v>0</v>
      </c>
      <c r="G21" s="582">
        <f t="shared" si="6"/>
        <v>701588</v>
      </c>
      <c r="H21" s="582">
        <f t="shared" si="3"/>
        <v>294346.34999999998</v>
      </c>
      <c r="I21" s="582">
        <f t="shared" si="4"/>
        <v>0</v>
      </c>
      <c r="J21" s="582">
        <f t="shared" ca="1" si="7"/>
        <v>0</v>
      </c>
      <c r="K21" s="582">
        <f t="shared" ca="1" si="8"/>
        <v>0</v>
      </c>
      <c r="L21" s="826">
        <f t="shared" ca="1" si="9"/>
        <v>0</v>
      </c>
      <c r="M21" s="373">
        <f t="shared" ca="1" si="10"/>
        <v>0</v>
      </c>
    </row>
    <row r="22" spans="2:13" ht="25.15" hidden="1" customHeight="1">
      <c r="B22" s="371" t="s">
        <v>2579</v>
      </c>
      <c r="C22" s="1114">
        <f ca="1">COUNTIF($F$6:F22,"&gt;0")</f>
        <v>12</v>
      </c>
      <c r="D22" s="43" t="str">
        <f t="shared" si="1"/>
        <v>Bộ chằng xuống đơn cho trụ 12m: CX12</v>
      </c>
      <c r="E22" s="372" t="str">
        <f t="shared" si="2"/>
        <v>Bộ</v>
      </c>
      <c r="F22" s="372">
        <f t="shared" ca="1" si="5"/>
        <v>0</v>
      </c>
      <c r="G22" s="582">
        <f t="shared" si="6"/>
        <v>738740</v>
      </c>
      <c r="H22" s="582">
        <f t="shared" si="3"/>
        <v>106623</v>
      </c>
      <c r="I22" s="582">
        <f t="shared" si="4"/>
        <v>0</v>
      </c>
      <c r="J22" s="582">
        <f t="shared" ca="1" si="7"/>
        <v>0</v>
      </c>
      <c r="K22" s="582">
        <f t="shared" ca="1" si="8"/>
        <v>0</v>
      </c>
      <c r="L22" s="826">
        <f t="shared" ca="1" si="9"/>
        <v>0</v>
      </c>
      <c r="M22" s="373">
        <f t="shared" ca="1" si="10"/>
        <v>0</v>
      </c>
    </row>
    <row r="23" spans="2:13" ht="25.15" hidden="1" customHeight="1">
      <c r="B23" s="371" t="s">
        <v>2581</v>
      </c>
      <c r="C23" s="1114">
        <f ca="1">COUNTIF($F$6:F23,"&gt;0")</f>
        <v>12</v>
      </c>
      <c r="D23" s="43" t="str">
        <f t="shared" si="1"/>
        <v>Bộ chằng lệch đơn cho trụ 12m: CL12</v>
      </c>
      <c r="E23" s="372" t="str">
        <f t="shared" si="2"/>
        <v>Bộ</v>
      </c>
      <c r="F23" s="372">
        <f t="shared" ca="1" si="5"/>
        <v>0</v>
      </c>
      <c r="G23" s="582">
        <f t="shared" si="6"/>
        <v>992948</v>
      </c>
      <c r="H23" s="582">
        <f t="shared" si="3"/>
        <v>294346.34999999998</v>
      </c>
      <c r="I23" s="582">
        <f t="shared" si="4"/>
        <v>0</v>
      </c>
      <c r="J23" s="582">
        <f t="shared" ca="1" si="7"/>
        <v>0</v>
      </c>
      <c r="K23" s="582">
        <f t="shared" ca="1" si="8"/>
        <v>0</v>
      </c>
      <c r="L23" s="826">
        <f t="shared" ca="1" si="9"/>
        <v>0</v>
      </c>
      <c r="M23" s="373">
        <f t="shared" ca="1" si="10"/>
        <v>0</v>
      </c>
    </row>
    <row r="24" spans="2:13" ht="25.15" hidden="1" customHeight="1">
      <c r="B24" s="371" t="s">
        <v>2277</v>
      </c>
      <c r="C24" s="1114">
        <f ca="1">COUNTIF($F$6:F24,"&gt;0")</f>
        <v>12</v>
      </c>
      <c r="D24" s="43" t="str">
        <f t="shared" si="1"/>
        <v>Bộ móng neo xòe cho chằng xuống: NXX</v>
      </c>
      <c r="E24" s="372" t="str">
        <f t="shared" si="2"/>
        <v>Bộ</v>
      </c>
      <c r="F24" s="372">
        <f t="shared" ca="1" si="5"/>
        <v>0</v>
      </c>
      <c r="G24" s="582">
        <f t="shared" si="6"/>
        <v>268000</v>
      </c>
      <c r="H24" s="582">
        <f t="shared" si="3"/>
        <v>304853.08919999999</v>
      </c>
      <c r="I24" s="582">
        <f t="shared" si="4"/>
        <v>0</v>
      </c>
      <c r="J24" s="582">
        <f t="shared" ca="1" si="7"/>
        <v>0</v>
      </c>
      <c r="K24" s="582">
        <f t="shared" ca="1" si="8"/>
        <v>0</v>
      </c>
      <c r="L24" s="826">
        <f t="shared" ca="1" si="9"/>
        <v>0</v>
      </c>
      <c r="M24" s="373">
        <f t="shared" ca="1" si="10"/>
        <v>0</v>
      </c>
    </row>
    <row r="25" spans="2:13" ht="25.15" hidden="1" customHeight="1">
      <c r="B25" s="371" t="s">
        <v>2280</v>
      </c>
      <c r="C25" s="1114">
        <f ca="1">COUNTIF($F$6:F25,"&gt;0")</f>
        <v>12</v>
      </c>
      <c r="D25" s="43" t="str">
        <f t="shared" si="1"/>
        <v>Bộ móng neo xòe cho chằng lệch: NXL</v>
      </c>
      <c r="E25" s="372" t="str">
        <f t="shared" si="2"/>
        <v>Bộ</v>
      </c>
      <c r="F25" s="372">
        <f t="shared" ca="1" si="5"/>
        <v>0</v>
      </c>
      <c r="G25" s="582">
        <f t="shared" si="6"/>
        <v>268000</v>
      </c>
      <c r="H25" s="582">
        <f t="shared" si="3"/>
        <v>169663.24919999999</v>
      </c>
      <c r="I25" s="582">
        <f t="shared" si="4"/>
        <v>0</v>
      </c>
      <c r="J25" s="582">
        <f t="shared" ca="1" si="7"/>
        <v>0</v>
      </c>
      <c r="K25" s="582">
        <f t="shared" ca="1" si="8"/>
        <v>0</v>
      </c>
      <c r="L25" s="826">
        <f t="shared" ca="1" si="9"/>
        <v>0</v>
      </c>
      <c r="M25" s="373">
        <f t="shared" ca="1" si="10"/>
        <v>0</v>
      </c>
    </row>
    <row r="26" spans="2:13" ht="25.15" hidden="1" customHeight="1">
      <c r="B26" s="371" t="s">
        <v>2591</v>
      </c>
      <c r="C26" s="1114">
        <f ca="1">COUNTIF($F$6:F26,"&gt;0")</f>
        <v>12</v>
      </c>
      <c r="D26" s="43" t="str">
        <f t="shared" si="1"/>
        <v>Bộ móng neo cho chằng xuống trung thế: MNX12</v>
      </c>
      <c r="E26" s="372" t="str">
        <f t="shared" si="2"/>
        <v>Bộ</v>
      </c>
      <c r="F26" s="372">
        <f t="shared" ca="1" si="5"/>
        <v>0</v>
      </c>
      <c r="G26" s="582">
        <f t="shared" si="6"/>
        <v>445000</v>
      </c>
      <c r="H26" s="582">
        <f t="shared" si="3"/>
        <v>304853.08919999999</v>
      </c>
      <c r="I26" s="582">
        <f t="shared" si="4"/>
        <v>0</v>
      </c>
      <c r="J26" s="582">
        <f t="shared" ca="1" si="7"/>
        <v>0</v>
      </c>
      <c r="K26" s="582">
        <f t="shared" ca="1" si="8"/>
        <v>0</v>
      </c>
      <c r="L26" s="826">
        <f t="shared" ca="1" si="9"/>
        <v>0</v>
      </c>
      <c r="M26" s="373">
        <f t="shared" ca="1" si="10"/>
        <v>0</v>
      </c>
    </row>
    <row r="27" spans="2:13" ht="25.15" hidden="1" customHeight="1">
      <c r="B27" s="371" t="s">
        <v>2592</v>
      </c>
      <c r="C27" s="1114">
        <f ca="1">COUNTIF($F$6:F27,"&gt;0")</f>
        <v>12</v>
      </c>
      <c r="D27" s="43" t="str">
        <f t="shared" si="1"/>
        <v>Bộ móng neo cho chằng lệch trung thế: MNL12</v>
      </c>
      <c r="E27" s="372" t="str">
        <f t="shared" si="2"/>
        <v>Bộ</v>
      </c>
      <c r="F27" s="372">
        <f t="shared" ca="1" si="5"/>
        <v>0</v>
      </c>
      <c r="G27" s="582">
        <f t="shared" si="6"/>
        <v>445000</v>
      </c>
      <c r="H27" s="582">
        <f t="shared" si="3"/>
        <v>130256.24919999999</v>
      </c>
      <c r="I27" s="582">
        <f t="shared" si="4"/>
        <v>0</v>
      </c>
      <c r="J27" s="582">
        <f t="shared" ca="1" si="7"/>
        <v>0</v>
      </c>
      <c r="K27" s="582">
        <f t="shared" ca="1" si="8"/>
        <v>0</v>
      </c>
      <c r="L27" s="826">
        <f t="shared" ca="1" si="9"/>
        <v>0</v>
      </c>
      <c r="M27" s="373">
        <f t="shared" ca="1" si="10"/>
        <v>0</v>
      </c>
    </row>
    <row r="28" spans="2:13" ht="25.15" hidden="1" customHeight="1">
      <c r="B28" s="371" t="s">
        <v>4956</v>
      </c>
      <c r="C28" s="1198">
        <f ca="1">COUNTIF($F$6:F28,"&gt;0")</f>
        <v>12</v>
      </c>
      <c r="D28" s="1131" t="str">
        <f t="shared" si="1"/>
        <v>Bộ tiếp địa TBA 1P - 3P</v>
      </c>
      <c r="E28" s="1133" t="str">
        <f t="shared" si="2"/>
        <v>Bộ</v>
      </c>
      <c r="F28" s="1133">
        <f t="shared" ca="1" si="5"/>
        <v>0</v>
      </c>
      <c r="G28" s="1199">
        <f t="shared" si="6"/>
        <v>5738368</v>
      </c>
      <c r="H28" s="1199">
        <f t="shared" si="3"/>
        <v>3096342.3360000001</v>
      </c>
      <c r="I28" s="1199">
        <f t="shared" si="4"/>
        <v>18850.240000000002</v>
      </c>
      <c r="J28" s="1199">
        <f t="shared" ca="1" si="7"/>
        <v>0</v>
      </c>
      <c r="K28" s="1199">
        <f t="shared" ca="1" si="8"/>
        <v>0</v>
      </c>
      <c r="L28" s="1200">
        <f t="shared" ca="1" si="9"/>
        <v>0</v>
      </c>
      <c r="M28" s="373">
        <f t="shared" ca="1" si="10"/>
        <v>0</v>
      </c>
    </row>
    <row r="29" spans="2:13" ht="30" customHeight="1">
      <c r="C29" s="79">
        <v>13</v>
      </c>
      <c r="D29" s="1215" t="s">
        <v>5123</v>
      </c>
      <c r="E29" s="79" t="s">
        <v>774</v>
      </c>
      <c r="F29" s="79">
        <v>50</v>
      </c>
      <c r="G29" s="1214">
        <f>DG!E53</f>
        <v>162000</v>
      </c>
      <c r="H29" s="1214"/>
      <c r="I29" s="1214"/>
      <c r="J29" s="1214">
        <f>F29*G29</f>
        <v>8100000</v>
      </c>
      <c r="K29" s="1214"/>
      <c r="L29" s="1214"/>
      <c r="M29" s="373"/>
    </row>
    <row r="30" spans="2:13" ht="25.15" customHeight="1">
      <c r="B30" s="371" t="s">
        <v>3094</v>
      </c>
      <c r="C30" s="372">
        <f ca="1">COUNTIF($F$6:F30,"&gt;0")</f>
        <v>14</v>
      </c>
      <c r="D30" s="43" t="str">
        <f t="shared" si="1"/>
        <v>Bộ dây dẫn pha/trung hòa</v>
      </c>
      <c r="E30" s="372" t="str">
        <f t="shared" si="2"/>
        <v>Tbộ</v>
      </c>
      <c r="F30" s="372">
        <v>1</v>
      </c>
      <c r="G30" s="582">
        <f t="shared" ca="1" si="6"/>
        <v>58544916</v>
      </c>
      <c r="H30" s="582">
        <f t="shared" ca="1" si="3"/>
        <v>720933.17760000005</v>
      </c>
      <c r="I30" s="582">
        <f t="shared" ca="1" si="4"/>
        <v>33997.890657006697</v>
      </c>
      <c r="J30" s="582">
        <f t="shared" ca="1" si="7"/>
        <v>58544916</v>
      </c>
      <c r="K30" s="582">
        <f t="shared" ca="1" si="8"/>
        <v>720933.17760000005</v>
      </c>
      <c r="L30" s="582">
        <f t="shared" ca="1" si="9"/>
        <v>33997.890657006697</v>
      </c>
      <c r="M30" s="373">
        <f t="shared" ca="1" si="10"/>
        <v>1</v>
      </c>
    </row>
    <row r="31" spans="2:13" ht="25.15" customHeight="1">
      <c r="B31" s="371" t="s">
        <v>2349</v>
      </c>
      <c r="C31" s="83">
        <f ca="1">COUNTIF($F$6:F31,"&gt;0")</f>
        <v>15</v>
      </c>
      <c r="D31" s="1211" t="str">
        <f t="shared" si="1"/>
        <v>Phụ kiện đường dây</v>
      </c>
      <c r="E31" s="83" t="str">
        <f t="shared" si="2"/>
        <v>TBộ</v>
      </c>
      <c r="F31" s="83">
        <v>1</v>
      </c>
      <c r="G31" s="1212" t="e">
        <f t="shared" ca="1" si="6"/>
        <v>#REF!</v>
      </c>
      <c r="H31" s="1212">
        <f t="shared" ca="1" si="3"/>
        <v>28230398.160000004</v>
      </c>
      <c r="I31" s="1212">
        <f t="shared" ca="1" si="4"/>
        <v>400567.60000000003</v>
      </c>
      <c r="J31" s="1212" t="e">
        <f t="shared" ca="1" si="7"/>
        <v>#REF!</v>
      </c>
      <c r="K31" s="1212">
        <f t="shared" ca="1" si="8"/>
        <v>28230398.160000004</v>
      </c>
      <c r="L31" s="1212">
        <f t="shared" ca="1" si="9"/>
        <v>400567.60000000003</v>
      </c>
      <c r="M31" s="373" t="e">
        <f t="shared" ca="1" si="10"/>
        <v>#REF!</v>
      </c>
    </row>
    <row r="32" spans="2:13" ht="25.15" hidden="1" customHeight="1">
      <c r="B32" s="371" t="s">
        <v>2679</v>
      </c>
      <c r="C32" s="1201">
        <f ca="1">COUNTIF($F$6:F32,"&gt;0")</f>
        <v>16</v>
      </c>
      <c r="D32" s="1202" t="str">
        <f t="shared" si="1"/>
        <v>Thiết bị đường dây</v>
      </c>
      <c r="E32" s="1203" t="str">
        <f t="shared" si="2"/>
        <v>Bộ</v>
      </c>
      <c r="F32" s="1203">
        <v>1</v>
      </c>
      <c r="G32" s="1204">
        <f t="shared" ca="1" si="6"/>
        <v>0</v>
      </c>
      <c r="H32" s="1204">
        <f t="shared" ca="1" si="3"/>
        <v>0</v>
      </c>
      <c r="I32" s="1204">
        <f t="shared" ca="1" si="4"/>
        <v>0</v>
      </c>
      <c r="J32" s="1204">
        <f t="shared" ca="1" si="7"/>
        <v>0</v>
      </c>
      <c r="K32" s="1204">
        <f t="shared" ca="1" si="8"/>
        <v>0</v>
      </c>
      <c r="L32" s="1205">
        <f t="shared" ca="1" si="9"/>
        <v>0</v>
      </c>
      <c r="M32" s="373">
        <f t="shared" ca="1" si="10"/>
        <v>0</v>
      </c>
    </row>
    <row r="33" spans="3:13" ht="25.15" customHeight="1">
      <c r="C33" s="446" t="s">
        <v>2677</v>
      </c>
      <c r="D33" s="446" t="s">
        <v>2719</v>
      </c>
      <c r="E33" s="446"/>
      <c r="F33" s="446"/>
      <c r="G33" s="446"/>
      <c r="H33" s="446"/>
      <c r="I33" s="446"/>
      <c r="J33" s="446" t="e">
        <f ca="1">SUM(J6:J32)</f>
        <v>#REF!</v>
      </c>
      <c r="K33" s="446">
        <f ca="1">SUM(K6:K32)</f>
        <v>50738802.000391997</v>
      </c>
      <c r="L33" s="446">
        <f ca="1">SUM(L6:L32)</f>
        <v>1785589.0874122516</v>
      </c>
      <c r="M33" s="183">
        <v>1</v>
      </c>
    </row>
    <row r="34" spans="3:13" ht="25.15" hidden="1" customHeight="1" thickBot="1">
      <c r="C34" s="1208"/>
      <c r="D34" s="1209"/>
      <c r="E34" s="1209"/>
      <c r="F34" s="1209"/>
      <c r="G34" s="1209"/>
      <c r="H34" s="1209"/>
      <c r="I34" s="1209"/>
      <c r="J34" s="1209"/>
      <c r="K34" s="1209"/>
      <c r="L34" s="1210"/>
    </row>
  </sheetData>
  <autoFilter ref="M5:M34">
    <filterColumn colId="0">
      <customFilters>
        <customFilter operator="notEqual" val=" "/>
      </customFilters>
    </filterColumn>
  </autoFilter>
  <mergeCells count="6">
    <mergeCell ref="J3:L3"/>
    <mergeCell ref="C3:C4"/>
    <mergeCell ref="D3:D4"/>
    <mergeCell ref="E3:E4"/>
    <mergeCell ref="F3:F4"/>
    <mergeCell ref="G3:I3"/>
  </mergeCells>
  <printOptions horizontalCentered="1"/>
  <pageMargins left="0.78740157480314998" right="0.59055118110236204" top="1.0905511809999999" bottom="0.59055118110236204" header="0.31496062992126" footer="0.31496062992126"/>
  <pageSetup paperSize="9" scale="91" fitToHeight="0"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tabColor theme="9" tint="-0.249977111117893"/>
    <pageSetUpPr fitToPage="1"/>
  </sheetPr>
  <dimension ref="A1:N1131"/>
  <sheetViews>
    <sheetView showGridLines="0" showZeros="0" topLeftCell="A737" zoomScale="85" zoomScaleNormal="85" zoomScaleSheetLayoutView="85" workbookViewId="0">
      <selection activeCell="D1096" sqref="D1096"/>
    </sheetView>
  </sheetViews>
  <sheetFormatPr defaultColWidth="9.140625" defaultRowHeight="26.25"/>
  <cols>
    <col min="1" max="1" width="4.140625" style="397" customWidth="1"/>
    <col min="2" max="2" width="11.85546875" style="373" customWidth="1"/>
    <col min="3" max="3" width="10.5703125" style="373" bestFit="1" customWidth="1"/>
    <col min="4" max="4" width="60.140625" style="373" customWidth="1"/>
    <col min="5" max="5" width="8.7109375" style="373" customWidth="1"/>
    <col min="6" max="6" width="11" style="373" bestFit="1" customWidth="1"/>
    <col min="7" max="12" width="14.5703125" style="373" customWidth="1"/>
    <col min="13" max="13" width="6.85546875" style="1126" customWidth="1"/>
    <col min="14" max="14" width="13.42578125" style="694" customWidth="1"/>
    <col min="15" max="16384" width="9.140625" style="373"/>
  </cols>
  <sheetData>
    <row r="1" spans="1:14">
      <c r="C1" s="1196" t="e">
        <f ca="1">R_SETTING!E18</f>
        <v>#REF!</v>
      </c>
      <c r="D1" s="378"/>
      <c r="E1" s="378"/>
      <c r="F1" s="378"/>
      <c r="G1" s="378"/>
      <c r="H1" s="378"/>
      <c r="I1" s="378"/>
      <c r="J1" s="378"/>
      <c r="K1" s="378"/>
      <c r="L1" s="378"/>
    </row>
    <row r="2" spans="1:14" ht="12" customHeight="1" thickBot="1">
      <c r="B2" s="695">
        <v>3</v>
      </c>
    </row>
    <row r="3" spans="1:14" ht="21.95" customHeight="1" thickTop="1">
      <c r="A3" s="696"/>
      <c r="B3" s="697" t="s">
        <v>2137</v>
      </c>
      <c r="C3" s="698" t="s">
        <v>2138</v>
      </c>
      <c r="D3" s="699" t="s">
        <v>2356</v>
      </c>
      <c r="E3" s="700" t="s">
        <v>2139</v>
      </c>
      <c r="F3" s="700" t="s">
        <v>2140</v>
      </c>
      <c r="G3" s="1376" t="s">
        <v>2355</v>
      </c>
      <c r="H3" s="1376"/>
      <c r="I3" s="1376"/>
      <c r="J3" s="1376" t="s">
        <v>2141</v>
      </c>
      <c r="K3" s="1376"/>
      <c r="L3" s="1377"/>
      <c r="N3" s="701" t="s">
        <v>2358</v>
      </c>
    </row>
    <row r="4" spans="1:14" ht="21.95" customHeight="1">
      <c r="A4" s="696"/>
      <c r="B4" s="702"/>
      <c r="C4" s="703" t="s">
        <v>2141</v>
      </c>
      <c r="D4" s="1112" t="s">
        <v>2528</v>
      </c>
      <c r="E4" s="704" t="s">
        <v>2142</v>
      </c>
      <c r="F4" s="704" t="s">
        <v>2143</v>
      </c>
      <c r="G4" s="705" t="s">
        <v>3</v>
      </c>
      <c r="H4" s="705" t="s">
        <v>4</v>
      </c>
      <c r="I4" s="705" t="s">
        <v>5</v>
      </c>
      <c r="J4" s="705" t="s">
        <v>3</v>
      </c>
      <c r="K4" s="705" t="s">
        <v>4</v>
      </c>
      <c r="L4" s="706" t="s">
        <v>5</v>
      </c>
      <c r="M4" s="1126" t="s">
        <v>3273</v>
      </c>
      <c r="N4" s="707" t="s">
        <v>3274</v>
      </c>
    </row>
    <row r="5" spans="1:14">
      <c r="A5" s="696"/>
      <c r="B5" s="702"/>
      <c r="C5" s="708">
        <v>1</v>
      </c>
      <c r="D5" s="709">
        <v>2</v>
      </c>
      <c r="E5" s="709">
        <v>3</v>
      </c>
      <c r="F5" s="710">
        <v>4</v>
      </c>
      <c r="G5" s="42">
        <v>5</v>
      </c>
      <c r="H5" s="42">
        <v>6</v>
      </c>
      <c r="I5" s="42">
        <v>7</v>
      </c>
      <c r="J5" s="42" t="s">
        <v>2569</v>
      </c>
      <c r="K5" s="42" t="s">
        <v>2570</v>
      </c>
      <c r="L5" s="711" t="s">
        <v>2571</v>
      </c>
      <c r="N5" s="712"/>
    </row>
    <row r="6" spans="1:14" hidden="1">
      <c r="A6" s="696"/>
      <c r="B6" s="702"/>
      <c r="C6" s="713"/>
      <c r="D6" s="714"/>
      <c r="E6" s="714"/>
      <c r="F6" s="402"/>
      <c r="G6" s="80"/>
      <c r="H6" s="80"/>
      <c r="I6" s="80"/>
      <c r="J6" s="80"/>
      <c r="K6" s="80"/>
      <c r="L6" s="715"/>
      <c r="N6" s="712"/>
    </row>
    <row r="7" spans="1:14" hidden="1">
      <c r="A7" s="696"/>
      <c r="B7" s="702"/>
      <c r="C7" s="713"/>
      <c r="D7" s="714"/>
      <c r="E7" s="714"/>
      <c r="F7" s="402"/>
      <c r="G7" s="80"/>
      <c r="H7" s="80"/>
      <c r="I7" s="80"/>
      <c r="J7" s="80"/>
      <c r="K7" s="80"/>
      <c r="L7" s="715"/>
      <c r="N7" s="712"/>
    </row>
    <row r="8" spans="1:14">
      <c r="A8" s="716" t="s">
        <v>2213</v>
      </c>
      <c r="B8" s="716"/>
      <c r="C8" s="717"/>
      <c r="D8" s="718" t="s">
        <v>2214</v>
      </c>
      <c r="E8" s="718" t="s">
        <v>2215</v>
      </c>
      <c r="F8" s="719"/>
      <c r="G8" s="720"/>
      <c r="H8" s="720"/>
      <c r="I8" s="720"/>
      <c r="J8" s="720">
        <f>SUM(J9:J12)</f>
        <v>1709000</v>
      </c>
      <c r="K8" s="720">
        <f>SUM(K9:K12)</f>
        <v>0</v>
      </c>
      <c r="L8" s="721">
        <f>SUM(L9:L12)</f>
        <v>0</v>
      </c>
      <c r="M8" s="1126">
        <f>IF(ERROR.TYPE(IF(HLOOKUP(A8,maBK,1,0)&lt;&gt;"",#NULL!,"ABC"))&lt;&gt;7,1,0)</f>
        <v>0</v>
      </c>
      <c r="N8" s="712">
        <f ca="1">SUMIF(maBK,$A8,tongBK1)</f>
        <v>0</v>
      </c>
    </row>
    <row r="9" spans="1:14" hidden="1">
      <c r="A9" s="722"/>
      <c r="B9" s="226" t="s">
        <v>2094</v>
      </c>
      <c r="C9" s="713">
        <f>VLOOKUP($B9,R_DG!$A$7:$G$1305,2,0)</f>
        <v>0</v>
      </c>
      <c r="D9" s="723" t="str">
        <f>VLOOKUP($B9,R_DG!$A$7:$G$1305,3,0)</f>
        <v>Trụ đèn chiếu sáng côn tròn STK cao 6m, dày 3mm, D60/150mm. Đế 375x375x10mm</v>
      </c>
      <c r="E9" s="714" t="str">
        <f>VLOOKUP($B9,R_DG!$A$7:$G$1305,4,0)</f>
        <v>trụ</v>
      </c>
      <c r="F9" s="724">
        <v>1</v>
      </c>
      <c r="G9" s="608">
        <f>VLOOKUP($B9,R_DG!$A$7:$G$1305,5,0)</f>
        <v>1709000</v>
      </c>
      <c r="H9" s="608">
        <f>VLOOKUP($B9,R_DG!$A$7:$G$1305,6,0)</f>
        <v>0</v>
      </c>
      <c r="I9" s="608">
        <f>VLOOKUP($B9,R_DG!$A$7:$G$1305,7,0)</f>
        <v>0</v>
      </c>
      <c r="J9" s="608">
        <f t="shared" ref="J9:L12" si="0">G9*$F9</f>
        <v>1709000</v>
      </c>
      <c r="K9" s="608">
        <f t="shared" si="0"/>
        <v>0</v>
      </c>
      <c r="L9" s="725">
        <f t="shared" si="0"/>
        <v>0</v>
      </c>
      <c r="M9" s="1127">
        <f>IF(F9&gt;0,M$8,0)</f>
        <v>0</v>
      </c>
      <c r="N9" s="727">
        <f ca="1">$F9*N$8</f>
        <v>0</v>
      </c>
    </row>
    <row r="10" spans="1:14" hidden="1">
      <c r="A10" s="722"/>
      <c r="B10" s="226" t="s">
        <v>398</v>
      </c>
      <c r="C10" s="713">
        <f>VLOOKUP($B10,R_DG!$A$7:$G$1305,2,0)</f>
        <v>0</v>
      </c>
      <c r="D10" s="723" t="str">
        <f>VLOOKUP($B10,R_DG!$A$7:$G$1305,3,0)</f>
        <v>Vật liệu dựng trụ</v>
      </c>
      <c r="E10" s="714" t="str">
        <f>VLOOKUP($B10,R_DG!$A$7:$G$1305,4,0)</f>
        <v>trụ</v>
      </c>
      <c r="F10" s="724">
        <v>1</v>
      </c>
      <c r="G10" s="608">
        <f>VLOOKUP($B10,R_DG!$A$7:$G$1305,5,0)</f>
        <v>0</v>
      </c>
      <c r="H10" s="608">
        <f>VLOOKUP($B10,R_DG!$A$7:$G$1305,6,0)</f>
        <v>0</v>
      </c>
      <c r="I10" s="608">
        <f>VLOOKUP($B10,R_DG!$A$7:$G$1305,7,0)</f>
        <v>0</v>
      </c>
      <c r="J10" s="608">
        <f t="shared" si="0"/>
        <v>0</v>
      </c>
      <c r="K10" s="608">
        <f t="shared" si="0"/>
        <v>0</v>
      </c>
      <c r="L10" s="725">
        <f t="shared" si="0"/>
        <v>0</v>
      </c>
      <c r="M10" s="1127">
        <f>IF(F10&gt;0,M$8,0)</f>
        <v>0</v>
      </c>
      <c r="N10" s="727">
        <f ca="1">$F10*N$8</f>
        <v>0</v>
      </c>
    </row>
    <row r="11" spans="1:14" hidden="1">
      <c r="A11" s="722"/>
      <c r="B11" s="226" t="s">
        <v>2793</v>
      </c>
      <c r="C11" s="713">
        <f>VLOOKUP($B11,R_DG!$A$7:$G$1305,2,0)</f>
        <v>0</v>
      </c>
      <c r="D11" s="723">
        <f>VLOOKUP($B11,R_DG!$A$7:$G$1305,3,0)</f>
        <v>0</v>
      </c>
      <c r="E11" s="714">
        <f>VLOOKUP($B11,R_DG!$A$7:$G$1305,4,0)</f>
        <v>0</v>
      </c>
      <c r="F11" s="724">
        <v>1</v>
      </c>
      <c r="G11" s="608">
        <f>VLOOKUP($B11,R_DG!$A$7:$G$1305,5,0)</f>
        <v>0</v>
      </c>
      <c r="H11" s="608">
        <f>VLOOKUP($B11,R_DG!$A$7:$G$1305,6,0)</f>
        <v>0</v>
      </c>
      <c r="I11" s="608">
        <f>VLOOKUP($B11,R_DG!$A$7:$G$1305,7,0)</f>
        <v>0</v>
      </c>
      <c r="J11" s="608">
        <f t="shared" si="0"/>
        <v>0</v>
      </c>
      <c r="K11" s="608">
        <f t="shared" si="0"/>
        <v>0</v>
      </c>
      <c r="L11" s="725">
        <f t="shared" si="0"/>
        <v>0</v>
      </c>
      <c r="M11" s="1127">
        <f>IF(F11&gt;0,M$8,0)</f>
        <v>0</v>
      </c>
      <c r="N11" s="727">
        <f ca="1">$F11*N$8</f>
        <v>0</v>
      </c>
    </row>
    <row r="12" spans="1:14" hidden="1">
      <c r="A12" s="722"/>
      <c r="B12" s="226" t="s">
        <v>2216</v>
      </c>
      <c r="C12" s="713" t="str">
        <f>VLOOKUP($B12,R_DG!$A$7:$G$1305,2,0)</f>
        <v>02.1124</v>
      </c>
      <c r="D12" s="723" t="str">
        <f>VLOOKUP($B12,R_DG!$A$7:$G$1305,3,0)</f>
        <v xml:space="preserve">Bốc dỡ trụ </v>
      </c>
      <c r="E12" s="714" t="str">
        <f>VLOOKUP($B12,R_DG!$A$7:$G$1305,4,0)</f>
        <v>tấn</v>
      </c>
      <c r="F12" s="724">
        <v>0.2</v>
      </c>
      <c r="G12" s="608">
        <f>VLOOKUP($B12,R_DG!$A$7:$G$1305,5,0)</f>
        <v>0</v>
      </c>
      <c r="H12" s="608">
        <f>VLOOKUP($B12,R_DG!$A$7:$G$1305,6,0)</f>
        <v>0</v>
      </c>
      <c r="I12" s="608">
        <f>VLOOKUP($B12,R_DG!$A$7:$G$1305,7,0)</f>
        <v>0</v>
      </c>
      <c r="J12" s="608">
        <f t="shared" si="0"/>
        <v>0</v>
      </c>
      <c r="K12" s="608">
        <f t="shared" si="0"/>
        <v>0</v>
      </c>
      <c r="L12" s="725">
        <f t="shared" si="0"/>
        <v>0</v>
      </c>
      <c r="M12" s="1127">
        <f>IF(F12&gt;0,M$8,0)</f>
        <v>0</v>
      </c>
      <c r="N12" s="727">
        <f ca="1">$F12*N$8</f>
        <v>0</v>
      </c>
    </row>
    <row r="13" spans="1:14">
      <c r="A13" s="716" t="s">
        <v>2477</v>
      </c>
      <c r="B13" s="716"/>
      <c r="C13" s="717"/>
      <c r="D13" s="718" t="s">
        <v>2217</v>
      </c>
      <c r="E13" s="718" t="s">
        <v>2215</v>
      </c>
      <c r="F13" s="719"/>
      <c r="G13" s="720"/>
      <c r="H13" s="720"/>
      <c r="I13" s="720"/>
      <c r="J13" s="720">
        <f>SUM(J14:J17)</f>
        <v>936364</v>
      </c>
      <c r="K13" s="720">
        <f>SUM(K14:K17)</f>
        <v>438339</v>
      </c>
      <c r="L13" s="721">
        <f>SUM(L14:L17)</f>
        <v>145706.46089510492</v>
      </c>
      <c r="M13" s="1126">
        <f>IF(ERROR.TYPE(IF(HLOOKUP(A13,maBK,1,0)&lt;&gt;"",#NULL!,"ABC"))&lt;&gt;7,1,0)</f>
        <v>0</v>
      </c>
      <c r="N13" s="712">
        <f ca="1">SUMIF(maBK,$A13,tongBK1)</f>
        <v>0</v>
      </c>
    </row>
    <row r="14" spans="1:14" hidden="1">
      <c r="A14" s="696"/>
      <c r="B14" s="226" t="s">
        <v>730</v>
      </c>
      <c r="C14" s="713">
        <f>VLOOKUP($B14,R_DG!$A$7:$G$1305,2,0)</f>
        <v>0</v>
      </c>
      <c r="D14" s="723" t="str">
        <f>VLOOKUP($B14,R_DG!$A$7:$G$1305,3,0)</f>
        <v>Trụ BTLT 7,5m F200 dự ứng lực</v>
      </c>
      <c r="E14" s="714" t="str">
        <f>VLOOKUP($B14,R_DG!$A$7:$G$1305,4,0)</f>
        <v>trụ</v>
      </c>
      <c r="F14" s="724">
        <v>1</v>
      </c>
      <c r="G14" s="608">
        <f>VLOOKUP($B14,R_DG!$A$7:$G$1305,5,0)</f>
        <v>936364</v>
      </c>
      <c r="H14" s="608">
        <f>VLOOKUP($B14,R_DG!$A$7:$G$1305,6,0)</f>
        <v>0</v>
      </c>
      <c r="I14" s="608">
        <f>VLOOKUP($B14,R_DG!$A$7:$G$1305,7,0)</f>
        <v>0</v>
      </c>
      <c r="J14" s="608">
        <f t="shared" ref="J14:L17" si="1">G14*$F14</f>
        <v>936364</v>
      </c>
      <c r="K14" s="608">
        <f t="shared" si="1"/>
        <v>0</v>
      </c>
      <c r="L14" s="725">
        <f t="shared" si="1"/>
        <v>0</v>
      </c>
      <c r="M14" s="1127">
        <f>IF(F14&gt;0,M$13,0)</f>
        <v>0</v>
      </c>
      <c r="N14" s="727">
        <f ca="1">$F14*N$13</f>
        <v>0</v>
      </c>
    </row>
    <row r="15" spans="1:14" hidden="1">
      <c r="A15" s="696"/>
      <c r="B15" s="226" t="s">
        <v>398</v>
      </c>
      <c r="C15" s="713">
        <f>VLOOKUP($B15,R_DG!$A$7:$G$1305,2,0)</f>
        <v>0</v>
      </c>
      <c r="D15" s="723" t="str">
        <f>VLOOKUP($B15,R_DG!$A$7:$G$1305,3,0)</f>
        <v>Vật liệu dựng trụ</v>
      </c>
      <c r="E15" s="714" t="str">
        <f>VLOOKUP($B15,R_DG!$A$7:$G$1305,4,0)</f>
        <v>trụ</v>
      </c>
      <c r="F15" s="724">
        <v>1</v>
      </c>
      <c r="G15" s="608">
        <f>VLOOKUP($B15,R_DG!$A$7:$G$1305,5,0)</f>
        <v>0</v>
      </c>
      <c r="H15" s="608">
        <f>VLOOKUP($B15,R_DG!$A$7:$G$1305,6,0)</f>
        <v>0</v>
      </c>
      <c r="I15" s="608">
        <f>VLOOKUP($B15,R_DG!$A$7:$G$1305,7,0)</f>
        <v>0</v>
      </c>
      <c r="J15" s="608">
        <f t="shared" si="1"/>
        <v>0</v>
      </c>
      <c r="K15" s="608">
        <f t="shared" si="1"/>
        <v>0</v>
      </c>
      <c r="L15" s="725">
        <f t="shared" si="1"/>
        <v>0</v>
      </c>
      <c r="M15" s="1127">
        <f>IF(F15&gt;0,M$13,0)</f>
        <v>0</v>
      </c>
      <c r="N15" s="727">
        <f ca="1">$F15*N$13</f>
        <v>0</v>
      </c>
    </row>
    <row r="16" spans="1:14" hidden="1">
      <c r="A16" s="696"/>
      <c r="B16" s="226" t="s">
        <v>2706</v>
      </c>
      <c r="C16" s="713" t="str">
        <f>VLOOKUP($B16,R_DG!$A$7:$G$1305,2,0)</f>
        <v>D2.521</v>
      </c>
      <c r="D16" s="723" t="str">
        <f>VLOOKUP($B16,R_DG!$A$7:$G$1305,3,0)</f>
        <v>Dựng trụ BTLT &lt;10m thủ công +cơ giới</v>
      </c>
      <c r="E16" s="714" t="str">
        <f>VLOOKUP($B16,R_DG!$A$7:$G$1305,4,0)</f>
        <v>trụ</v>
      </c>
      <c r="F16" s="724">
        <v>1</v>
      </c>
      <c r="G16" s="608">
        <f>VLOOKUP($B16,R_DG!$A$7:$G$1305,5,0)</f>
        <v>0</v>
      </c>
      <c r="H16" s="608">
        <f>VLOOKUP($B16,R_DG!$A$7:$G$1305,6,0)</f>
        <v>438339</v>
      </c>
      <c r="I16" s="608">
        <f>VLOOKUP($B16,R_DG!$A$7:$G$1305,7,0)</f>
        <v>145706.46089510492</v>
      </c>
      <c r="J16" s="608">
        <f t="shared" si="1"/>
        <v>0</v>
      </c>
      <c r="K16" s="608">
        <f t="shared" si="1"/>
        <v>438339</v>
      </c>
      <c r="L16" s="725">
        <f t="shared" si="1"/>
        <v>145706.46089510492</v>
      </c>
      <c r="M16" s="1127">
        <f>IF(F16&gt;0,M$13,0)</f>
        <v>0</v>
      </c>
      <c r="N16" s="727">
        <f ca="1">$F16*N$13</f>
        <v>0</v>
      </c>
    </row>
    <row r="17" spans="1:14" hidden="1">
      <c r="A17" s="696"/>
      <c r="B17" s="226" t="s">
        <v>2216</v>
      </c>
      <c r="C17" s="713" t="str">
        <f>VLOOKUP($B17,R_DG!$A$7:$G$1305,2,0)</f>
        <v>02.1124</v>
      </c>
      <c r="D17" s="723" t="str">
        <f>VLOOKUP($B17,R_DG!$A$7:$G$1305,3,0)</f>
        <v xml:space="preserve">Bốc dỡ trụ </v>
      </c>
      <c r="E17" s="714" t="str">
        <f>VLOOKUP($B17,R_DG!$A$7:$G$1305,4,0)</f>
        <v>tấn</v>
      </c>
      <c r="F17" s="724">
        <v>0.5</v>
      </c>
      <c r="G17" s="608">
        <f>VLOOKUP($B17,R_DG!$A$7:$G$1305,5,0)</f>
        <v>0</v>
      </c>
      <c r="H17" s="608">
        <f>VLOOKUP($B17,R_DG!$A$7:$G$1305,6,0)</f>
        <v>0</v>
      </c>
      <c r="I17" s="608">
        <f>VLOOKUP($B17,R_DG!$A$7:$G$1305,7,0)</f>
        <v>0</v>
      </c>
      <c r="J17" s="608">
        <f t="shared" si="1"/>
        <v>0</v>
      </c>
      <c r="K17" s="608">
        <f t="shared" si="1"/>
        <v>0</v>
      </c>
      <c r="L17" s="725">
        <f t="shared" si="1"/>
        <v>0</v>
      </c>
      <c r="M17" s="1127">
        <f>IF(F17&gt;0,M$13,0)</f>
        <v>0</v>
      </c>
      <c r="N17" s="727">
        <f ca="1">$F17*N$13</f>
        <v>0</v>
      </c>
    </row>
    <row r="18" spans="1:14">
      <c r="A18" s="716" t="s">
        <v>2476</v>
      </c>
      <c r="B18" s="716"/>
      <c r="C18" s="717"/>
      <c r="D18" s="718" t="s">
        <v>2218</v>
      </c>
      <c r="E18" s="718" t="s">
        <v>2215</v>
      </c>
      <c r="F18" s="719"/>
      <c r="G18" s="720"/>
      <c r="H18" s="720"/>
      <c r="I18" s="720"/>
      <c r="J18" s="720">
        <f>SUM(J19:J22)</f>
        <v>2450000</v>
      </c>
      <c r="K18" s="720">
        <f>SUM(K19:K22)</f>
        <v>438339</v>
      </c>
      <c r="L18" s="721">
        <f>SUM(L19:L22)</f>
        <v>145706.46089510492</v>
      </c>
      <c r="M18" s="1126">
        <f>IF(ERROR.TYPE(IF(HLOOKUP(A18,maBK,1,0)&lt;&gt;"",#NULL!,"ABC"))&lt;&gt;7,1,0)</f>
        <v>0</v>
      </c>
      <c r="N18" s="712">
        <f ca="1">SUMIF(maBK,$A18,tongBK1)</f>
        <v>0</v>
      </c>
    </row>
    <row r="19" spans="1:14" hidden="1">
      <c r="A19" s="696"/>
      <c r="B19" s="226" t="s">
        <v>732</v>
      </c>
      <c r="C19" s="713">
        <f>VLOOKUP($B19,R_DG!$A$7:$G$1305,2,0)</f>
        <v>0</v>
      </c>
      <c r="D19" s="723" t="str">
        <f>VLOOKUP($B19,R_DG!$A$7:$G$1305,3,0)</f>
        <v>Trụ BTLT 8,4m F200 dự ứng lực</v>
      </c>
      <c r="E19" s="714" t="str">
        <f>VLOOKUP($B19,R_DG!$A$7:$G$1305,4,0)</f>
        <v>trụ</v>
      </c>
      <c r="F19" s="724">
        <v>1</v>
      </c>
      <c r="G19" s="608">
        <f>VLOOKUP($B19,R_DG!$A$7:$G$1305,5,0)</f>
        <v>2450000</v>
      </c>
      <c r="H19" s="608">
        <f>VLOOKUP($B19,R_DG!$A$7:$G$1305,6,0)</f>
        <v>0</v>
      </c>
      <c r="I19" s="608">
        <f>VLOOKUP($B19,R_DG!$A$7:$G$1305,7,0)</f>
        <v>0</v>
      </c>
      <c r="J19" s="608">
        <f t="shared" ref="J19:L22" si="2">G19*$F19</f>
        <v>2450000</v>
      </c>
      <c r="K19" s="608">
        <f t="shared" si="2"/>
        <v>0</v>
      </c>
      <c r="L19" s="725">
        <f t="shared" si="2"/>
        <v>0</v>
      </c>
      <c r="M19" s="1127">
        <f>IF(F19&gt;0,M$18,0)</f>
        <v>0</v>
      </c>
      <c r="N19" s="727">
        <f ca="1">$F19*N$18</f>
        <v>0</v>
      </c>
    </row>
    <row r="20" spans="1:14" hidden="1">
      <c r="A20" s="696"/>
      <c r="B20" s="226" t="s">
        <v>398</v>
      </c>
      <c r="C20" s="713">
        <f>VLOOKUP($B20,R_DG!$A$7:$G$1305,2,0)</f>
        <v>0</v>
      </c>
      <c r="D20" s="723" t="str">
        <f>VLOOKUP($B20,R_DG!$A$7:$G$1305,3,0)</f>
        <v>Vật liệu dựng trụ</v>
      </c>
      <c r="E20" s="714" t="str">
        <f>VLOOKUP($B20,R_DG!$A$7:$G$1305,4,0)</f>
        <v>trụ</v>
      </c>
      <c r="F20" s="724"/>
      <c r="G20" s="608">
        <f>VLOOKUP($B20,R_DG!$A$7:$G$1305,5,0)</f>
        <v>0</v>
      </c>
      <c r="H20" s="608">
        <f>VLOOKUP($B20,R_DG!$A$7:$G$1305,6,0)</f>
        <v>0</v>
      </c>
      <c r="I20" s="608">
        <f>VLOOKUP($B20,R_DG!$A$7:$G$1305,7,0)</f>
        <v>0</v>
      </c>
      <c r="J20" s="608">
        <f t="shared" si="2"/>
        <v>0</v>
      </c>
      <c r="K20" s="608">
        <f t="shared" si="2"/>
        <v>0</v>
      </c>
      <c r="L20" s="725">
        <f t="shared" si="2"/>
        <v>0</v>
      </c>
      <c r="M20" s="1127">
        <f>IF(F20&gt;0,M$18,0)</f>
        <v>0</v>
      </c>
      <c r="N20" s="727">
        <f ca="1">$F20*N$18</f>
        <v>0</v>
      </c>
    </row>
    <row r="21" spans="1:14" hidden="1">
      <c r="A21" s="696"/>
      <c r="B21" s="226" t="s">
        <v>1162</v>
      </c>
      <c r="C21" s="713" t="str">
        <f>VLOOKUP($B21,R_DG!$A$7:$G$1305,2,0)</f>
        <v>D2.521</v>
      </c>
      <c r="D21" s="723" t="str">
        <f>VLOOKUP($B21,R_DG!$A$7:$G$1305,3,0)</f>
        <v>Dựng trụ BTLT &lt;10m thủ công +cơ giới</v>
      </c>
      <c r="E21" s="714" t="str">
        <f>VLOOKUP($B21,R_DG!$A$7:$G$1305,4,0)</f>
        <v>trụ</v>
      </c>
      <c r="F21" s="724">
        <v>1</v>
      </c>
      <c r="G21" s="608">
        <f>VLOOKUP($B21,R_DG!$A$7:$G$1305,5,0)</f>
        <v>0</v>
      </c>
      <c r="H21" s="608">
        <f>VLOOKUP($B21,R_DG!$A$7:$G$1305,6,0)</f>
        <v>438339</v>
      </c>
      <c r="I21" s="608">
        <f>VLOOKUP($B21,R_DG!$A$7:$G$1305,7,0)</f>
        <v>145706.46089510492</v>
      </c>
      <c r="J21" s="608">
        <f t="shared" si="2"/>
        <v>0</v>
      </c>
      <c r="K21" s="608">
        <f t="shared" si="2"/>
        <v>438339</v>
      </c>
      <c r="L21" s="725">
        <f t="shared" si="2"/>
        <v>145706.46089510492</v>
      </c>
      <c r="M21" s="1127">
        <f>IF(F21&gt;0,M$18,0)</f>
        <v>0</v>
      </c>
      <c r="N21" s="727">
        <f ca="1">$F21*N$18</f>
        <v>0</v>
      </c>
    </row>
    <row r="22" spans="1:14" hidden="1">
      <c r="A22" s="696"/>
      <c r="B22" s="226" t="s">
        <v>2216</v>
      </c>
      <c r="C22" s="713" t="str">
        <f>VLOOKUP($B22,R_DG!$A$7:$G$1305,2,0)</f>
        <v>02.1124</v>
      </c>
      <c r="D22" s="723" t="str">
        <f>VLOOKUP($B22,R_DG!$A$7:$G$1305,3,0)</f>
        <v xml:space="preserve">Bốc dỡ trụ </v>
      </c>
      <c r="E22" s="714" t="str">
        <f>VLOOKUP($B22,R_DG!$A$7:$G$1305,4,0)</f>
        <v>tấn</v>
      </c>
      <c r="F22" s="724"/>
      <c r="G22" s="608">
        <f>VLOOKUP($B22,R_DG!$A$7:$G$1305,5,0)</f>
        <v>0</v>
      </c>
      <c r="H22" s="608">
        <f>VLOOKUP($B22,R_DG!$A$7:$G$1305,6,0)</f>
        <v>0</v>
      </c>
      <c r="I22" s="608">
        <f>VLOOKUP($B22,R_DG!$A$7:$G$1305,7,0)</f>
        <v>0</v>
      </c>
      <c r="J22" s="608">
        <f t="shared" si="2"/>
        <v>0</v>
      </c>
      <c r="K22" s="608">
        <f t="shared" si="2"/>
        <v>0</v>
      </c>
      <c r="L22" s="725">
        <f t="shared" si="2"/>
        <v>0</v>
      </c>
      <c r="M22" s="1127">
        <f>IF(F22&gt;0,M$18,0)</f>
        <v>0</v>
      </c>
      <c r="N22" s="727">
        <f ca="1">$F22*N$18</f>
        <v>0</v>
      </c>
    </row>
    <row r="23" spans="1:14">
      <c r="A23" s="716" t="s">
        <v>2478</v>
      </c>
      <c r="B23" s="716"/>
      <c r="C23" s="717"/>
      <c r="D23" s="718" t="s">
        <v>2219</v>
      </c>
      <c r="E23" s="718" t="s">
        <v>2215</v>
      </c>
      <c r="F23" s="719"/>
      <c r="G23" s="720"/>
      <c r="H23" s="720"/>
      <c r="I23" s="720"/>
      <c r="J23" s="720">
        <f>SUM(J24:J27)</f>
        <v>1727832</v>
      </c>
      <c r="K23" s="720">
        <f>SUM(K24:K27)</f>
        <v>0</v>
      </c>
      <c r="L23" s="721">
        <f>SUM(L24:L27)</f>
        <v>0</v>
      </c>
      <c r="M23" s="1126">
        <f>IF(ERROR.TYPE(IF(HLOOKUP(A23,maBK,1,0)&lt;&gt;"",#NULL!,"ABC"))&lt;&gt;7,1,0)</f>
        <v>0</v>
      </c>
      <c r="N23" s="712">
        <f ca="1">SUMIF(maBK,$A23,tongBK1)</f>
        <v>0</v>
      </c>
    </row>
    <row r="24" spans="1:14" hidden="1">
      <c r="A24" s="696"/>
      <c r="B24" s="226" t="s">
        <v>740</v>
      </c>
      <c r="C24" s="713">
        <f>VLOOKUP($B24,R_DG!$A$7:$G$1305,2,0)</f>
        <v>0</v>
      </c>
      <c r="D24" s="723" t="str">
        <f>VLOOKUP($B24,R_DG!$A$7:$G$1305,3,0)</f>
        <v>Trụ BTLT 10,5m F350 dự ứng lực</v>
      </c>
      <c r="E24" s="714" t="str">
        <f>VLOOKUP($B24,R_DG!$A$7:$G$1305,4,0)</f>
        <v>trụ</v>
      </c>
      <c r="F24" s="724">
        <v>1</v>
      </c>
      <c r="G24" s="608">
        <f>VLOOKUP($B24,R_DG!$A$7:$G$1305,5,0)</f>
        <v>1727832</v>
      </c>
      <c r="H24" s="608">
        <f>VLOOKUP($B24,R_DG!$A$7:$G$1305,6,0)</f>
        <v>0</v>
      </c>
      <c r="I24" s="608">
        <f>VLOOKUP($B24,R_DG!$A$7:$G$1305,7,0)</f>
        <v>0</v>
      </c>
      <c r="J24" s="608">
        <f t="shared" ref="J24:L27" si="3">G24*$F24</f>
        <v>1727832</v>
      </c>
      <c r="K24" s="608">
        <f t="shared" si="3"/>
        <v>0</v>
      </c>
      <c r="L24" s="725">
        <f t="shared" si="3"/>
        <v>0</v>
      </c>
      <c r="M24" s="1127">
        <f>IF(F24&gt;0,M$23,0)</f>
        <v>0</v>
      </c>
      <c r="N24" s="727">
        <f ca="1">$F24*N$23</f>
        <v>0</v>
      </c>
    </row>
    <row r="25" spans="1:14" hidden="1">
      <c r="A25" s="696"/>
      <c r="B25" s="226" t="s">
        <v>398</v>
      </c>
      <c r="C25" s="713">
        <f>VLOOKUP($B25,R_DG!$A$7:$G$1305,2,0)</f>
        <v>0</v>
      </c>
      <c r="D25" s="723" t="str">
        <f>VLOOKUP($B25,R_DG!$A$7:$G$1305,3,0)</f>
        <v>Vật liệu dựng trụ</v>
      </c>
      <c r="E25" s="714" t="str">
        <f>VLOOKUP($B25,R_DG!$A$7:$G$1305,4,0)</f>
        <v>trụ</v>
      </c>
      <c r="F25" s="724">
        <v>1</v>
      </c>
      <c r="G25" s="608">
        <f>VLOOKUP($B25,R_DG!$A$7:$G$1305,5,0)</f>
        <v>0</v>
      </c>
      <c r="H25" s="608">
        <f>VLOOKUP($B25,R_DG!$A$7:$G$1305,6,0)</f>
        <v>0</v>
      </c>
      <c r="I25" s="608">
        <f>VLOOKUP($B25,R_DG!$A$7:$G$1305,7,0)</f>
        <v>0</v>
      </c>
      <c r="J25" s="608">
        <f t="shared" si="3"/>
        <v>0</v>
      </c>
      <c r="K25" s="608">
        <f t="shared" si="3"/>
        <v>0</v>
      </c>
      <c r="L25" s="725">
        <f t="shared" si="3"/>
        <v>0</v>
      </c>
      <c r="M25" s="1127">
        <f>IF(F25&gt;0,M$23,0)</f>
        <v>0</v>
      </c>
      <c r="N25" s="727">
        <f ca="1">$F25*N$23</f>
        <v>0</v>
      </c>
    </row>
    <row r="26" spans="1:14" hidden="1">
      <c r="A26" s="696"/>
      <c r="B26" s="226" t="s">
        <v>1164</v>
      </c>
      <c r="C26" s="713" t="str">
        <f>VLOOKUP($B26,R_DG!$A$7:$G$1305,2,0)</f>
        <v>05.5223</v>
      </c>
      <c r="D26" s="723" t="str">
        <f>VLOOKUP($B26,R_DG!$A$7:$G$1305,3,0)</f>
        <v>Dựng trụ BTLT 10,5m thủ công + cơ giới</v>
      </c>
      <c r="E26" s="714" t="str">
        <f>VLOOKUP($B26,R_DG!$A$7:$G$1305,4,0)</f>
        <v>trụ</v>
      </c>
      <c r="F26" s="724">
        <v>1</v>
      </c>
      <c r="G26" s="608">
        <f>VLOOKUP($B26,R_DG!$A$7:$G$1305,5,0)</f>
        <v>0</v>
      </c>
      <c r="H26" s="608">
        <f>VLOOKUP($B26,R_DG!$A$7:$G$1305,6,0)</f>
        <v>0</v>
      </c>
      <c r="I26" s="608">
        <f>VLOOKUP($B26,R_DG!$A$7:$G$1305,7,0)</f>
        <v>0</v>
      </c>
      <c r="J26" s="608">
        <f t="shared" si="3"/>
        <v>0</v>
      </c>
      <c r="K26" s="608">
        <f t="shared" si="3"/>
        <v>0</v>
      </c>
      <c r="L26" s="725">
        <f t="shared" si="3"/>
        <v>0</v>
      </c>
      <c r="M26" s="1127">
        <f>IF(F26&gt;0,M$23,0)</f>
        <v>0</v>
      </c>
      <c r="N26" s="727">
        <f ca="1">$F26*N$23</f>
        <v>0</v>
      </c>
    </row>
    <row r="27" spans="1:14" hidden="1">
      <c r="A27" s="696"/>
      <c r="B27" s="226" t="s">
        <v>2216</v>
      </c>
      <c r="C27" s="713" t="str">
        <f>VLOOKUP($B27,R_DG!$A$7:$G$1305,2,0)</f>
        <v>02.1124</v>
      </c>
      <c r="D27" s="723" t="str">
        <f>VLOOKUP($B27,R_DG!$A$7:$G$1305,3,0)</f>
        <v xml:space="preserve">Bốc dỡ trụ </v>
      </c>
      <c r="E27" s="714" t="str">
        <f>VLOOKUP($B27,R_DG!$A$7:$G$1305,4,0)</f>
        <v>tấn</v>
      </c>
      <c r="F27" s="724"/>
      <c r="G27" s="608">
        <f>VLOOKUP($B27,R_DG!$A$7:$G$1305,5,0)</f>
        <v>0</v>
      </c>
      <c r="H27" s="608">
        <f>VLOOKUP($B27,R_DG!$A$7:$G$1305,6,0)</f>
        <v>0</v>
      </c>
      <c r="I27" s="608">
        <f>VLOOKUP($B27,R_DG!$A$7:$G$1305,7,0)</f>
        <v>0</v>
      </c>
      <c r="J27" s="608">
        <f t="shared" si="3"/>
        <v>0</v>
      </c>
      <c r="K27" s="608">
        <f t="shared" si="3"/>
        <v>0</v>
      </c>
      <c r="L27" s="725">
        <f t="shared" si="3"/>
        <v>0</v>
      </c>
      <c r="M27" s="1127">
        <f>IF(F27&gt;0,M$23,0)</f>
        <v>0</v>
      </c>
      <c r="N27" s="727">
        <f ca="1">$F27*N$23</f>
        <v>0</v>
      </c>
    </row>
    <row r="28" spans="1:14">
      <c r="A28" s="716" t="s">
        <v>2220</v>
      </c>
      <c r="B28" s="716"/>
      <c r="C28" s="717"/>
      <c r="D28" s="718" t="s">
        <v>2889</v>
      </c>
      <c r="E28" s="718" t="s">
        <v>2215</v>
      </c>
      <c r="F28" s="719"/>
      <c r="G28" s="720"/>
      <c r="H28" s="720"/>
      <c r="I28" s="720"/>
      <c r="J28" s="720">
        <f>SUM(J29:J32)</f>
        <v>4550000</v>
      </c>
      <c r="K28" s="720">
        <f>SUM(K29:K32)</f>
        <v>1258151.3999999999</v>
      </c>
      <c r="L28" s="721">
        <f>SUM(L29:L32)</f>
        <v>1457064.6089510489</v>
      </c>
      <c r="M28" s="1126">
        <f>IF(ERROR.TYPE(IF(HLOOKUP(A28,maBK,1,0)&lt;&gt;"",#NULL!,"ABC"))&lt;&gt;7,1,0)</f>
        <v>0</v>
      </c>
      <c r="N28" s="712">
        <f ca="1">SUMIF(maBK,$A28,tongBK1)</f>
        <v>0</v>
      </c>
    </row>
    <row r="29" spans="1:14" hidden="1">
      <c r="A29" s="696"/>
      <c r="B29" s="226" t="s">
        <v>742</v>
      </c>
      <c r="C29" s="713">
        <f>VLOOKUP($B29,R_DG!$A$7:$G$1305,2,0)</f>
        <v>0</v>
      </c>
      <c r="D29" s="723" t="str">
        <f>VLOOKUP($B29,R_DG!$A$7:$G$1305,3,0)</f>
        <v>Trụ BTLT 12m F540 dự ứng lực</v>
      </c>
      <c r="E29" s="714" t="str">
        <f>VLOOKUP($B29,R_DG!$A$7:$G$1305,4,0)</f>
        <v>trụ</v>
      </c>
      <c r="F29" s="724">
        <v>1</v>
      </c>
      <c r="G29" s="608">
        <f>VLOOKUP($B29,R_DG!$A$7:$G$1305,5,0)</f>
        <v>4550000</v>
      </c>
      <c r="H29" s="608">
        <f>VLOOKUP($B29,R_DG!$A$7:$G$1305,6,0)</f>
        <v>0</v>
      </c>
      <c r="I29" s="608">
        <f>VLOOKUP($B29,R_DG!$A$7:$G$1305,7,0)</f>
        <v>0</v>
      </c>
      <c r="J29" s="608">
        <f t="shared" ref="J29:L32" si="4">G29*$F29</f>
        <v>4550000</v>
      </c>
      <c r="K29" s="608">
        <f t="shared" si="4"/>
        <v>0</v>
      </c>
      <c r="L29" s="725">
        <f t="shared" si="4"/>
        <v>0</v>
      </c>
      <c r="M29" s="1127">
        <f>IF(F29&gt;0,M$28,0)</f>
        <v>0</v>
      </c>
      <c r="N29" s="727">
        <f ca="1">$F29*N$28</f>
        <v>0</v>
      </c>
    </row>
    <row r="30" spans="1:14" hidden="1">
      <c r="A30" s="696"/>
      <c r="B30" s="226" t="s">
        <v>398</v>
      </c>
      <c r="C30" s="713">
        <f>VLOOKUP($B30,R_DG!$A$7:$G$1305,2,0)</f>
        <v>0</v>
      </c>
      <c r="D30" s="723" t="str">
        <f>VLOOKUP($B30,R_DG!$A$7:$G$1305,3,0)</f>
        <v>Vật liệu dựng trụ</v>
      </c>
      <c r="E30" s="714" t="str">
        <f>VLOOKUP($B30,R_DG!$A$7:$G$1305,4,0)</f>
        <v>trụ</v>
      </c>
      <c r="F30" s="724">
        <v>1</v>
      </c>
      <c r="G30" s="608">
        <f>VLOOKUP($B30,R_DG!$A$7:$G$1305,5,0)</f>
        <v>0</v>
      </c>
      <c r="H30" s="608">
        <f>VLOOKUP($B30,R_DG!$A$7:$G$1305,6,0)</f>
        <v>0</v>
      </c>
      <c r="I30" s="608">
        <f>VLOOKUP($B30,R_DG!$A$7:$G$1305,7,0)</f>
        <v>0</v>
      </c>
      <c r="J30" s="608">
        <f t="shared" si="4"/>
        <v>0</v>
      </c>
      <c r="K30" s="608">
        <f t="shared" si="4"/>
        <v>0</v>
      </c>
      <c r="L30" s="725">
        <f t="shared" si="4"/>
        <v>0</v>
      </c>
      <c r="M30" s="1127">
        <f>IF(F30&gt;0,M$28,0)</f>
        <v>0</v>
      </c>
      <c r="N30" s="727">
        <f ca="1">$F30*N$28</f>
        <v>0</v>
      </c>
    </row>
    <row r="31" spans="1:14" hidden="1">
      <c r="A31" s="696"/>
      <c r="B31" s="226" t="s">
        <v>1152</v>
      </c>
      <c r="C31" s="713" t="str">
        <f>VLOOKUP($B31,R_DG!$A$7:$G$1305,2,0)</f>
        <v>05.5213</v>
      </c>
      <c r="D31" s="723" t="str">
        <f>VLOOKUP($B31,R_DG!$A$7:$G$1305,3,0)</f>
        <v>Dựng trụ BTLT 12m bằng thủ công</v>
      </c>
      <c r="E31" s="714" t="str">
        <f>VLOOKUP($B31,R_DG!$A$7:$G$1305,4,0)</f>
        <v>trụ</v>
      </c>
      <c r="F31" s="724">
        <v>1</v>
      </c>
      <c r="G31" s="608">
        <f>VLOOKUP($B31,R_DG!$A$7:$G$1305,5,0)</f>
        <v>0</v>
      </c>
      <c r="H31" s="608">
        <f>VLOOKUP($B31,R_DG!$A$7:$G$1305,6,0)</f>
        <v>1258151.3999999999</v>
      </c>
      <c r="I31" s="608">
        <f>VLOOKUP($B31,R_DG!$A$7:$G$1305,7,0)</f>
        <v>1457064.6089510489</v>
      </c>
      <c r="J31" s="608">
        <f t="shared" si="4"/>
        <v>0</v>
      </c>
      <c r="K31" s="608">
        <f t="shared" si="4"/>
        <v>1258151.3999999999</v>
      </c>
      <c r="L31" s="725">
        <f t="shared" si="4"/>
        <v>1457064.6089510489</v>
      </c>
      <c r="M31" s="1127">
        <f>IF(F31&gt;0,M$28,0)</f>
        <v>0</v>
      </c>
      <c r="N31" s="727">
        <f ca="1">$F31*N$28</f>
        <v>0</v>
      </c>
    </row>
    <row r="32" spans="1:14" hidden="1">
      <c r="A32" s="696"/>
      <c r="B32" s="226" t="s">
        <v>2216</v>
      </c>
      <c r="C32" s="713" t="str">
        <f>VLOOKUP($B32,R_DG!$A$7:$G$1305,2,0)</f>
        <v>02.1124</v>
      </c>
      <c r="D32" s="723" t="str">
        <f>VLOOKUP($B32,R_DG!$A$7:$G$1305,3,0)</f>
        <v xml:space="preserve">Bốc dỡ trụ </v>
      </c>
      <c r="E32" s="714" t="str">
        <f>VLOOKUP($B32,R_DG!$A$7:$G$1305,4,0)</f>
        <v>tấn</v>
      </c>
      <c r="F32" s="724">
        <f>1.2*0</f>
        <v>0</v>
      </c>
      <c r="G32" s="608">
        <f>VLOOKUP($B32,R_DG!$A$7:$G$1305,5,0)</f>
        <v>0</v>
      </c>
      <c r="H32" s="608">
        <f>VLOOKUP($B32,R_DG!$A$7:$G$1305,6,0)</f>
        <v>0</v>
      </c>
      <c r="I32" s="608">
        <f>VLOOKUP($B32,R_DG!$A$7:$G$1305,7,0)</f>
        <v>0</v>
      </c>
      <c r="J32" s="608">
        <f t="shared" si="4"/>
        <v>0</v>
      </c>
      <c r="K32" s="608">
        <f t="shared" si="4"/>
        <v>0</v>
      </c>
      <c r="L32" s="725">
        <f t="shared" si="4"/>
        <v>0</v>
      </c>
      <c r="M32" s="1127">
        <f>IF(F32&gt;0,M$28,0)</f>
        <v>0</v>
      </c>
      <c r="N32" s="727">
        <f ca="1">$F32*N$28</f>
        <v>0</v>
      </c>
    </row>
    <row r="33" spans="1:14">
      <c r="A33" s="716" t="s">
        <v>2221</v>
      </c>
      <c r="B33" s="716"/>
      <c r="C33" s="717"/>
      <c r="D33" s="718" t="s">
        <v>2890</v>
      </c>
      <c r="E33" s="718" t="s">
        <v>2215</v>
      </c>
      <c r="F33" s="719"/>
      <c r="G33" s="720"/>
      <c r="H33" s="720"/>
      <c r="I33" s="720"/>
      <c r="J33" s="720">
        <f>SUM(J34:J37)</f>
        <v>4550000</v>
      </c>
      <c r="K33" s="720">
        <f>SUM(K34:K37)</f>
        <v>502312.80000000005</v>
      </c>
      <c r="L33" s="721">
        <f>SUM(L34:L37)</f>
        <v>208152.08699300699</v>
      </c>
      <c r="M33" s="1126">
        <f>IF(ERROR.TYPE(IF(HLOOKUP(A33,maBK,1,0)&lt;&gt;"",#NULL!,"ABC"))&lt;&gt;7,1,0)</f>
        <v>0</v>
      </c>
      <c r="N33" s="712">
        <f ca="1">SUMIF(maBK,$A33,tongBK1)</f>
        <v>0</v>
      </c>
    </row>
    <row r="34" spans="1:14" hidden="1">
      <c r="A34" s="696"/>
      <c r="B34" s="226" t="s">
        <v>742</v>
      </c>
      <c r="C34" s="713">
        <f>VLOOKUP($B34,R_DG!$A$7:$G$1305,2,0)</f>
        <v>0</v>
      </c>
      <c r="D34" s="723" t="str">
        <f>VLOOKUP($B34,R_DG!$A$7:$G$1305,3,0)</f>
        <v>Trụ BTLT 12m F540 dự ứng lực</v>
      </c>
      <c r="E34" s="714" t="str">
        <f>VLOOKUP($B34,R_DG!$A$7:$G$1305,4,0)</f>
        <v>trụ</v>
      </c>
      <c r="F34" s="724">
        <v>1</v>
      </c>
      <c r="G34" s="608">
        <f>VLOOKUP($B34,R_DG!$A$7:$G$1305,5,0)</f>
        <v>4550000</v>
      </c>
      <c r="H34" s="608">
        <f>VLOOKUP($B34,R_DG!$A$7:$G$1305,6,0)</f>
        <v>0</v>
      </c>
      <c r="I34" s="608">
        <f>VLOOKUP($B34,R_DG!$A$7:$G$1305,7,0)</f>
        <v>0</v>
      </c>
      <c r="J34" s="608">
        <f t="shared" ref="J34:L37" si="5">G34*$F34</f>
        <v>4550000</v>
      </c>
      <c r="K34" s="608">
        <f t="shared" si="5"/>
        <v>0</v>
      </c>
      <c r="L34" s="725">
        <f t="shared" si="5"/>
        <v>0</v>
      </c>
      <c r="M34" s="1127">
        <f>IF(F34&gt;0,M$33,0)</f>
        <v>0</v>
      </c>
      <c r="N34" s="727">
        <f ca="1">$F34*N$33</f>
        <v>0</v>
      </c>
    </row>
    <row r="35" spans="1:14" hidden="1">
      <c r="A35" s="696"/>
      <c r="B35" s="226" t="s">
        <v>398</v>
      </c>
      <c r="C35" s="713">
        <f>VLOOKUP($B35,R_DG!$A$7:$G$1305,2,0)</f>
        <v>0</v>
      </c>
      <c r="D35" s="723" t="str">
        <f>VLOOKUP($B35,R_DG!$A$7:$G$1305,3,0)</f>
        <v>Vật liệu dựng trụ</v>
      </c>
      <c r="E35" s="714" t="str">
        <f>VLOOKUP($B35,R_DG!$A$7:$G$1305,4,0)</f>
        <v>trụ</v>
      </c>
      <c r="F35" s="724">
        <v>1</v>
      </c>
      <c r="G35" s="608">
        <f>VLOOKUP($B35,R_DG!$A$7:$G$1305,5,0)</f>
        <v>0</v>
      </c>
      <c r="H35" s="608">
        <f>VLOOKUP($B35,R_DG!$A$7:$G$1305,6,0)</f>
        <v>0</v>
      </c>
      <c r="I35" s="608">
        <f>VLOOKUP($B35,R_DG!$A$7:$G$1305,7,0)</f>
        <v>0</v>
      </c>
      <c r="J35" s="608">
        <f t="shared" si="5"/>
        <v>0</v>
      </c>
      <c r="K35" s="608">
        <f t="shared" si="5"/>
        <v>0</v>
      </c>
      <c r="L35" s="725">
        <f t="shared" si="5"/>
        <v>0</v>
      </c>
      <c r="M35" s="1127">
        <f>IF(F35&gt;0,M$33,0)</f>
        <v>0</v>
      </c>
      <c r="N35" s="727">
        <f ca="1">$F35*N$33</f>
        <v>0</v>
      </c>
    </row>
    <row r="36" spans="1:14" hidden="1">
      <c r="A36" s="696"/>
      <c r="B36" s="226" t="s">
        <v>1167</v>
      </c>
      <c r="C36" s="713" t="str">
        <f>VLOOKUP($B36,R_DG!$A$7:$G$1305,2,0)</f>
        <v>D2.523</v>
      </c>
      <c r="D36" s="723" t="str">
        <f>VLOOKUP($B36,R_DG!$A$7:$G$1305,3,0)</f>
        <v>Dựng trụ BTLT 12m thủ công + cơ giới</v>
      </c>
      <c r="E36" s="714" t="str">
        <f>VLOOKUP($B36,R_DG!$A$7:$G$1305,4,0)</f>
        <v>trụ</v>
      </c>
      <c r="F36" s="724">
        <v>1</v>
      </c>
      <c r="G36" s="608">
        <f>VLOOKUP($B36,R_DG!$A$7:$G$1305,5,0)</f>
        <v>0</v>
      </c>
      <c r="H36" s="608">
        <f>VLOOKUP($B36,R_DG!$A$7:$G$1305,6,0)</f>
        <v>502312.80000000005</v>
      </c>
      <c r="I36" s="608">
        <f>VLOOKUP($B36,R_DG!$A$7:$G$1305,7,0)</f>
        <v>208152.08699300699</v>
      </c>
      <c r="J36" s="608">
        <f t="shared" si="5"/>
        <v>0</v>
      </c>
      <c r="K36" s="608">
        <f t="shared" si="5"/>
        <v>502312.80000000005</v>
      </c>
      <c r="L36" s="725">
        <f t="shared" si="5"/>
        <v>208152.08699300699</v>
      </c>
      <c r="M36" s="1127">
        <f>IF(F36&gt;0,M$33,0)</f>
        <v>0</v>
      </c>
      <c r="N36" s="727">
        <f ca="1">$F36*N$33</f>
        <v>0</v>
      </c>
    </row>
    <row r="37" spans="1:14" hidden="1">
      <c r="A37" s="696"/>
      <c r="B37" s="226" t="s">
        <v>2216</v>
      </c>
      <c r="C37" s="713" t="str">
        <f>VLOOKUP($B37,R_DG!$A$7:$G$1305,2,0)</f>
        <v>02.1124</v>
      </c>
      <c r="D37" s="723" t="str">
        <f>VLOOKUP($B37,R_DG!$A$7:$G$1305,3,0)</f>
        <v xml:space="preserve">Bốc dỡ trụ </v>
      </c>
      <c r="E37" s="714" t="str">
        <f>VLOOKUP($B37,R_DG!$A$7:$G$1305,4,0)</f>
        <v>tấn</v>
      </c>
      <c r="F37" s="724">
        <f>1.2*0</f>
        <v>0</v>
      </c>
      <c r="G37" s="608">
        <f>VLOOKUP($B37,R_DG!$A$7:$G$1305,5,0)</f>
        <v>0</v>
      </c>
      <c r="H37" s="608">
        <f>VLOOKUP($B37,R_DG!$A$7:$G$1305,6,0)</f>
        <v>0</v>
      </c>
      <c r="I37" s="608">
        <f>VLOOKUP($B37,R_DG!$A$7:$G$1305,7,0)</f>
        <v>0</v>
      </c>
      <c r="J37" s="608">
        <f t="shared" si="5"/>
        <v>0</v>
      </c>
      <c r="K37" s="608">
        <f t="shared" si="5"/>
        <v>0</v>
      </c>
      <c r="L37" s="725">
        <f t="shared" si="5"/>
        <v>0</v>
      </c>
      <c r="M37" s="1127">
        <f>IF(F37&gt;0,M$33,0)</f>
        <v>0</v>
      </c>
      <c r="N37" s="727">
        <f ca="1">$F37*N$33</f>
        <v>0</v>
      </c>
    </row>
    <row r="38" spans="1:14">
      <c r="A38" s="716" t="s">
        <v>2222</v>
      </c>
      <c r="B38" s="716"/>
      <c r="C38" s="717"/>
      <c r="D38" s="718" t="s">
        <v>2223</v>
      </c>
      <c r="E38" s="718" t="s">
        <v>2215</v>
      </c>
      <c r="F38" s="719"/>
      <c r="G38" s="720"/>
      <c r="H38" s="720"/>
      <c r="I38" s="720"/>
      <c r="J38" s="720">
        <f>SUM(J39:J42)</f>
        <v>8181818</v>
      </c>
      <c r="K38" s="720">
        <f>SUM(K39:K42)</f>
        <v>0</v>
      </c>
      <c r="L38" s="721">
        <f>SUM(L39:L42)</f>
        <v>0</v>
      </c>
      <c r="M38" s="1126">
        <f>IF(ERROR.TYPE(IF(HLOOKUP(A38,maBK,1,0)&lt;&gt;"",#NULL!,"ABC"))&lt;&gt;7,1,0)</f>
        <v>0</v>
      </c>
      <c r="N38" s="712">
        <f ca="1">SUMIF(maBK,$A38,tongBK1)</f>
        <v>0</v>
      </c>
    </row>
    <row r="39" spans="1:14" hidden="1">
      <c r="A39" s="696"/>
      <c r="B39" s="226" t="s">
        <v>743</v>
      </c>
      <c r="C39" s="713">
        <f>VLOOKUP($B39,R_DG!$A$7:$G$1305,2,0)</f>
        <v>0</v>
      </c>
      <c r="D39" s="723" t="str">
        <f>VLOOKUP($B39,R_DG!$A$7:$G$1305,3,0)</f>
        <v>Trụ BTLT 14m F650 dự ứng lực</v>
      </c>
      <c r="E39" s="714" t="str">
        <f>VLOOKUP($B39,R_DG!$A$7:$G$1305,4,0)</f>
        <v>trụ</v>
      </c>
      <c r="F39" s="724">
        <v>1</v>
      </c>
      <c r="G39" s="608">
        <f>VLOOKUP($B39,R_DG!$A$7:$G$1305,5,0)</f>
        <v>8181818</v>
      </c>
      <c r="H39" s="608">
        <f>VLOOKUP($B39,R_DG!$A$7:$G$1305,6,0)</f>
        <v>0</v>
      </c>
      <c r="I39" s="608">
        <f>VLOOKUP($B39,R_DG!$A$7:$G$1305,7,0)</f>
        <v>0</v>
      </c>
      <c r="J39" s="608">
        <f t="shared" ref="J39:L42" si="6">G39*$F39</f>
        <v>8181818</v>
      </c>
      <c r="K39" s="608">
        <f t="shared" si="6"/>
        <v>0</v>
      </c>
      <c r="L39" s="725">
        <f t="shared" si="6"/>
        <v>0</v>
      </c>
      <c r="M39" s="1127">
        <f>IF(F39&gt;0,M$38,0)</f>
        <v>0</v>
      </c>
      <c r="N39" s="727">
        <f ca="1">$F39*N$38</f>
        <v>0</v>
      </c>
    </row>
    <row r="40" spans="1:14" hidden="1">
      <c r="A40" s="696"/>
      <c r="B40" s="226" t="s">
        <v>398</v>
      </c>
      <c r="C40" s="713">
        <f>VLOOKUP($B40,R_DG!$A$7:$G$1305,2,0)</f>
        <v>0</v>
      </c>
      <c r="D40" s="723" t="str">
        <f>VLOOKUP($B40,R_DG!$A$7:$G$1305,3,0)</f>
        <v>Vật liệu dựng trụ</v>
      </c>
      <c r="E40" s="714" t="str">
        <f>VLOOKUP($B40,R_DG!$A$7:$G$1305,4,0)</f>
        <v>trụ</v>
      </c>
      <c r="F40" s="724">
        <v>1</v>
      </c>
      <c r="G40" s="608">
        <f>VLOOKUP($B40,R_DG!$A$7:$G$1305,5,0)</f>
        <v>0</v>
      </c>
      <c r="H40" s="608">
        <f>VLOOKUP($B40,R_DG!$A$7:$G$1305,6,0)</f>
        <v>0</v>
      </c>
      <c r="I40" s="608">
        <f>VLOOKUP($B40,R_DG!$A$7:$G$1305,7,0)</f>
        <v>0</v>
      </c>
      <c r="J40" s="608">
        <f t="shared" si="6"/>
        <v>0</v>
      </c>
      <c r="K40" s="608">
        <f t="shared" si="6"/>
        <v>0</v>
      </c>
      <c r="L40" s="725">
        <f t="shared" si="6"/>
        <v>0</v>
      </c>
      <c r="M40" s="1127">
        <f>IF(F40&gt;0,M$38,0)</f>
        <v>0</v>
      </c>
      <c r="N40" s="727">
        <f ca="1">$F40*N$38</f>
        <v>0</v>
      </c>
    </row>
    <row r="41" spans="1:14" hidden="1">
      <c r="A41" s="696"/>
      <c r="B41" s="226" t="s">
        <v>1169</v>
      </c>
      <c r="C41" s="713" t="str">
        <f>VLOOKUP($B41,R_DG!$A$7:$G$1305,2,0)</f>
        <v>05.5224</v>
      </c>
      <c r="D41" s="723" t="str">
        <f>VLOOKUP($B41,R_DG!$A$7:$G$1305,3,0)</f>
        <v>Dựng trụ BTLT 14m thủ công + cơ giới</v>
      </c>
      <c r="E41" s="714" t="str">
        <f>VLOOKUP($B41,R_DG!$A$7:$G$1305,4,0)</f>
        <v>trụ</v>
      </c>
      <c r="F41" s="724">
        <v>1</v>
      </c>
      <c r="G41" s="608">
        <f>VLOOKUP($B41,R_DG!$A$7:$G$1305,5,0)</f>
        <v>0</v>
      </c>
      <c r="H41" s="608">
        <f>VLOOKUP($B41,R_DG!$A$7:$G$1305,6,0)</f>
        <v>0</v>
      </c>
      <c r="I41" s="608">
        <f>VLOOKUP($B41,R_DG!$A$7:$G$1305,7,0)</f>
        <v>0</v>
      </c>
      <c r="J41" s="608">
        <f t="shared" si="6"/>
        <v>0</v>
      </c>
      <c r="K41" s="608">
        <f t="shared" si="6"/>
        <v>0</v>
      </c>
      <c r="L41" s="725">
        <f t="shared" si="6"/>
        <v>0</v>
      </c>
      <c r="M41" s="1127">
        <f>IF(F41&gt;0,M$38,0)</f>
        <v>0</v>
      </c>
      <c r="N41" s="727">
        <f ca="1">$F41*N$38</f>
        <v>0</v>
      </c>
    </row>
    <row r="42" spans="1:14" hidden="1">
      <c r="A42" s="696"/>
      <c r="B42" s="226" t="s">
        <v>2216</v>
      </c>
      <c r="C42" s="713" t="str">
        <f>VLOOKUP($B42,R_DG!$A$7:$G$1305,2,0)</f>
        <v>02.1124</v>
      </c>
      <c r="D42" s="723" t="str">
        <f>VLOOKUP($B42,R_DG!$A$7:$G$1305,3,0)</f>
        <v xml:space="preserve">Bốc dỡ trụ </v>
      </c>
      <c r="E42" s="714" t="str">
        <f>VLOOKUP($B42,R_DG!$A$7:$G$1305,4,0)</f>
        <v>tấn</v>
      </c>
      <c r="F42" s="724"/>
      <c r="G42" s="608">
        <f>VLOOKUP($B42,R_DG!$A$7:$G$1305,5,0)</f>
        <v>0</v>
      </c>
      <c r="H42" s="608">
        <f>VLOOKUP($B42,R_DG!$A$7:$G$1305,6,0)</f>
        <v>0</v>
      </c>
      <c r="I42" s="608">
        <f>VLOOKUP($B42,R_DG!$A$7:$G$1305,7,0)</f>
        <v>0</v>
      </c>
      <c r="J42" s="608">
        <f t="shared" si="6"/>
        <v>0</v>
      </c>
      <c r="K42" s="608">
        <f t="shared" si="6"/>
        <v>0</v>
      </c>
      <c r="L42" s="725">
        <f t="shared" si="6"/>
        <v>0</v>
      </c>
      <c r="M42" s="1127">
        <f>IF(F42&gt;0,M$38,0)</f>
        <v>0</v>
      </c>
      <c r="N42" s="727">
        <f ca="1">$F42*N$38</f>
        <v>0</v>
      </c>
    </row>
    <row r="43" spans="1:14">
      <c r="A43" s="716" t="s">
        <v>2554</v>
      </c>
      <c r="B43" s="716"/>
      <c r="C43" s="717"/>
      <c r="D43" s="718" t="s">
        <v>2556</v>
      </c>
      <c r="E43" s="718" t="s">
        <v>2215</v>
      </c>
      <c r="F43" s="719"/>
      <c r="G43" s="720"/>
      <c r="H43" s="720"/>
      <c r="I43" s="720"/>
      <c r="J43" s="720">
        <f>SUM(J44:J47)</f>
        <v>8181818</v>
      </c>
      <c r="K43" s="720">
        <f>SUM(K44:K47)</f>
        <v>0</v>
      </c>
      <c r="L43" s="721">
        <f>SUM(L44:L47)</f>
        <v>0</v>
      </c>
      <c r="M43" s="1126">
        <f>IF(ERROR.TYPE(IF(HLOOKUP(A43,maBK,1,0)&lt;&gt;"",#NULL!,"ABC"))&lt;&gt;7,1,0)</f>
        <v>0</v>
      </c>
      <c r="N43" s="712">
        <f ca="1">SUMIF(maBK,$A43,tongBK1)</f>
        <v>0</v>
      </c>
    </row>
    <row r="44" spans="1:14" hidden="1">
      <c r="A44" s="696"/>
      <c r="B44" s="226" t="s">
        <v>743</v>
      </c>
      <c r="C44" s="713">
        <f>VLOOKUP($B44,R_DG!$A$7:$G$1305,2,0)</f>
        <v>0</v>
      </c>
      <c r="D44" s="723" t="str">
        <f>VLOOKUP($B44,R_DG!$A$7:$G$1305,3,0)</f>
        <v>Trụ BTLT 14m F650 dự ứng lực</v>
      </c>
      <c r="E44" s="714" t="str">
        <f>VLOOKUP($B44,R_DG!$A$7:$G$1305,4,0)</f>
        <v>trụ</v>
      </c>
      <c r="F44" s="724">
        <v>1</v>
      </c>
      <c r="G44" s="608">
        <f>VLOOKUP($B44,R_DG!$A$7:$G$1305,5,0)</f>
        <v>8181818</v>
      </c>
      <c r="H44" s="608">
        <f>VLOOKUP($B44,R_DG!$A$7:$G$1305,6,0)</f>
        <v>0</v>
      </c>
      <c r="I44" s="608">
        <f>VLOOKUP($B44,R_DG!$A$7:$G$1305,7,0)</f>
        <v>0</v>
      </c>
      <c r="J44" s="608">
        <f t="shared" ref="J44:L47" si="7">G44*$F44</f>
        <v>8181818</v>
      </c>
      <c r="K44" s="608">
        <f t="shared" si="7"/>
        <v>0</v>
      </c>
      <c r="L44" s="725">
        <f t="shared" si="7"/>
        <v>0</v>
      </c>
      <c r="M44" s="1127">
        <f>IF(F44&gt;0,M$43,0)</f>
        <v>0</v>
      </c>
      <c r="N44" s="727">
        <f ca="1">$F44*N$43</f>
        <v>0</v>
      </c>
    </row>
    <row r="45" spans="1:14" hidden="1">
      <c r="A45" s="696"/>
      <c r="B45" s="226" t="s">
        <v>398</v>
      </c>
      <c r="C45" s="713">
        <f>VLOOKUP($B45,R_DG!$A$7:$G$1305,2,0)</f>
        <v>0</v>
      </c>
      <c r="D45" s="723" t="str">
        <f>VLOOKUP($B45,R_DG!$A$7:$G$1305,3,0)</f>
        <v>Vật liệu dựng trụ</v>
      </c>
      <c r="E45" s="714" t="str">
        <f>VLOOKUP($B45,R_DG!$A$7:$G$1305,4,0)</f>
        <v>trụ</v>
      </c>
      <c r="F45" s="724">
        <v>1</v>
      </c>
      <c r="G45" s="608">
        <f>VLOOKUP($B45,R_DG!$A$7:$G$1305,5,0)</f>
        <v>0</v>
      </c>
      <c r="H45" s="608">
        <f>VLOOKUP($B45,R_DG!$A$7:$G$1305,6,0)</f>
        <v>0</v>
      </c>
      <c r="I45" s="608">
        <f>VLOOKUP($B45,R_DG!$A$7:$G$1305,7,0)</f>
        <v>0</v>
      </c>
      <c r="J45" s="608">
        <f t="shared" si="7"/>
        <v>0</v>
      </c>
      <c r="K45" s="608">
        <f t="shared" si="7"/>
        <v>0</v>
      </c>
      <c r="L45" s="725">
        <f t="shared" si="7"/>
        <v>0</v>
      </c>
      <c r="M45" s="1127">
        <f>IF(F45&gt;0,M$43,0)</f>
        <v>0</v>
      </c>
      <c r="N45" s="727">
        <f ca="1">$F45*N$43</f>
        <v>0</v>
      </c>
    </row>
    <row r="46" spans="1:14" hidden="1">
      <c r="A46" s="696"/>
      <c r="B46" s="226" t="s">
        <v>1169</v>
      </c>
      <c r="C46" s="713" t="str">
        <f>VLOOKUP($B46,R_DG!$A$7:$G$1305,2,0)</f>
        <v>05.5224</v>
      </c>
      <c r="D46" s="723" t="str">
        <f>VLOOKUP($B46,R_DG!$A$7:$G$1305,3,0)</f>
        <v>Dựng trụ BTLT 14m thủ công + cơ giới</v>
      </c>
      <c r="E46" s="714" t="str">
        <f>VLOOKUP($B46,R_DG!$A$7:$G$1305,4,0)</f>
        <v>trụ</v>
      </c>
      <c r="F46" s="724">
        <v>1</v>
      </c>
      <c r="G46" s="608">
        <f>VLOOKUP($B46,R_DG!$A$7:$G$1305,5,0)</f>
        <v>0</v>
      </c>
      <c r="H46" s="608">
        <f>VLOOKUP($B46,R_DG!$A$7:$G$1305,6,0)</f>
        <v>0</v>
      </c>
      <c r="I46" s="608">
        <f>VLOOKUP($B46,R_DG!$A$7:$G$1305,7,0)</f>
        <v>0</v>
      </c>
      <c r="J46" s="608">
        <f t="shared" si="7"/>
        <v>0</v>
      </c>
      <c r="K46" s="608">
        <f t="shared" si="7"/>
        <v>0</v>
      </c>
      <c r="L46" s="725">
        <f t="shared" si="7"/>
        <v>0</v>
      </c>
      <c r="M46" s="1127">
        <f>IF(F46&gt;0,M$43,0)</f>
        <v>0</v>
      </c>
      <c r="N46" s="727">
        <f ca="1">$F46*N$43</f>
        <v>0</v>
      </c>
    </row>
    <row r="47" spans="1:14" hidden="1">
      <c r="A47" s="696"/>
      <c r="B47" s="226" t="s">
        <v>2216</v>
      </c>
      <c r="C47" s="713" t="str">
        <f>VLOOKUP($B47,R_DG!$A$7:$G$1305,2,0)</f>
        <v>02.1124</v>
      </c>
      <c r="D47" s="723" t="str">
        <f>VLOOKUP($B47,R_DG!$A$7:$G$1305,3,0)</f>
        <v xml:space="preserve">Bốc dỡ trụ </v>
      </c>
      <c r="E47" s="714" t="str">
        <f>VLOOKUP($B47,R_DG!$A$7:$G$1305,4,0)</f>
        <v>tấn</v>
      </c>
      <c r="F47" s="724"/>
      <c r="G47" s="608">
        <f>VLOOKUP($B47,R_DG!$A$7:$G$1305,5,0)</f>
        <v>0</v>
      </c>
      <c r="H47" s="608">
        <f>VLOOKUP($B47,R_DG!$A$7:$G$1305,6,0)</f>
        <v>0</v>
      </c>
      <c r="I47" s="608">
        <f>VLOOKUP($B47,R_DG!$A$7:$G$1305,7,0)</f>
        <v>0</v>
      </c>
      <c r="J47" s="608">
        <f t="shared" si="7"/>
        <v>0</v>
      </c>
      <c r="K47" s="608">
        <f t="shared" si="7"/>
        <v>0</v>
      </c>
      <c r="L47" s="725">
        <f t="shared" si="7"/>
        <v>0</v>
      </c>
      <c r="M47" s="1127">
        <f>IF(F47&gt;0,M$43,0)</f>
        <v>0</v>
      </c>
      <c r="N47" s="727">
        <f ca="1">$F47*N$43</f>
        <v>0</v>
      </c>
    </row>
    <row r="48" spans="1:14">
      <c r="A48" s="716" t="s">
        <v>2555</v>
      </c>
      <c r="B48" s="716"/>
      <c r="C48" s="717"/>
      <c r="D48" s="718" t="s">
        <v>2557</v>
      </c>
      <c r="E48" s="718" t="s">
        <v>2215</v>
      </c>
      <c r="F48" s="719"/>
      <c r="G48" s="720"/>
      <c r="H48" s="720"/>
      <c r="I48" s="720"/>
      <c r="J48" s="720">
        <f>SUM(J49:J52)</f>
        <v>8181818</v>
      </c>
      <c r="K48" s="720">
        <f>SUM(K49:K52)</f>
        <v>0</v>
      </c>
      <c r="L48" s="721">
        <f>SUM(L49:L52)</f>
        <v>0</v>
      </c>
      <c r="M48" s="1126">
        <f>IF(ERROR.TYPE(IF(HLOOKUP(A48,maBK,1,0)&lt;&gt;"",#NULL!,"ABC"))&lt;&gt;7,1,0)</f>
        <v>0</v>
      </c>
      <c r="N48" s="712">
        <f ca="1">SUMIF(maBK,$A48,tongBK1)</f>
        <v>0</v>
      </c>
    </row>
    <row r="49" spans="1:14" hidden="1">
      <c r="A49" s="696"/>
      <c r="B49" s="226" t="s">
        <v>743</v>
      </c>
      <c r="C49" s="713">
        <f>VLOOKUP($B49,R_DG!$A$7:$G$1305,2,0)</f>
        <v>0</v>
      </c>
      <c r="D49" s="723" t="str">
        <f>VLOOKUP($B49,R_DG!$A$7:$G$1305,3,0)</f>
        <v>Trụ BTLT 14m F650 dự ứng lực</v>
      </c>
      <c r="E49" s="714" t="str">
        <f>VLOOKUP($B49,R_DG!$A$7:$G$1305,4,0)</f>
        <v>trụ</v>
      </c>
      <c r="F49" s="724">
        <v>1</v>
      </c>
      <c r="G49" s="608">
        <f>VLOOKUP($B49,R_DG!$A$7:$G$1305,5,0)</f>
        <v>8181818</v>
      </c>
      <c r="H49" s="608">
        <f>VLOOKUP($B49,R_DG!$A$7:$G$1305,6,0)</f>
        <v>0</v>
      </c>
      <c r="I49" s="608">
        <f>VLOOKUP($B49,R_DG!$A$7:$G$1305,7,0)</f>
        <v>0</v>
      </c>
      <c r="J49" s="608">
        <f t="shared" ref="J49:L52" si="8">G49*$F49</f>
        <v>8181818</v>
      </c>
      <c r="K49" s="608">
        <f t="shared" si="8"/>
        <v>0</v>
      </c>
      <c r="L49" s="725">
        <f t="shared" si="8"/>
        <v>0</v>
      </c>
      <c r="M49" s="1127">
        <f>IF(F49&gt;0,M$48,0)</f>
        <v>0</v>
      </c>
      <c r="N49" s="727">
        <f ca="1">$F49*N$48</f>
        <v>0</v>
      </c>
    </row>
    <row r="50" spans="1:14" hidden="1">
      <c r="A50" s="696"/>
      <c r="B50" s="226" t="s">
        <v>398</v>
      </c>
      <c r="C50" s="713">
        <f>VLOOKUP($B50,R_DG!$A$7:$G$1305,2,0)</f>
        <v>0</v>
      </c>
      <c r="D50" s="723" t="str">
        <f>VLOOKUP($B50,R_DG!$A$7:$G$1305,3,0)</f>
        <v>Vật liệu dựng trụ</v>
      </c>
      <c r="E50" s="714" t="str">
        <f>VLOOKUP($B50,R_DG!$A$7:$G$1305,4,0)</f>
        <v>trụ</v>
      </c>
      <c r="F50" s="724">
        <v>1</v>
      </c>
      <c r="G50" s="608">
        <f>VLOOKUP($B50,R_DG!$A$7:$G$1305,5,0)</f>
        <v>0</v>
      </c>
      <c r="H50" s="608">
        <f>VLOOKUP($B50,R_DG!$A$7:$G$1305,6,0)</f>
        <v>0</v>
      </c>
      <c r="I50" s="608">
        <f>VLOOKUP($B50,R_DG!$A$7:$G$1305,7,0)</f>
        <v>0</v>
      </c>
      <c r="J50" s="608">
        <f t="shared" si="8"/>
        <v>0</v>
      </c>
      <c r="K50" s="608">
        <f t="shared" si="8"/>
        <v>0</v>
      </c>
      <c r="L50" s="725">
        <f t="shared" si="8"/>
        <v>0</v>
      </c>
      <c r="M50" s="1127">
        <f>IF(F50&gt;0,M$48,0)</f>
        <v>0</v>
      </c>
      <c r="N50" s="727">
        <f ca="1">$F50*N$48</f>
        <v>0</v>
      </c>
    </row>
    <row r="51" spans="1:14" hidden="1">
      <c r="A51" s="696"/>
      <c r="B51" s="226" t="s">
        <v>1169</v>
      </c>
      <c r="C51" s="713" t="str">
        <f>VLOOKUP($B51,R_DG!$A$7:$G$1305,2,0)</f>
        <v>05.5224</v>
      </c>
      <c r="D51" s="723" t="str">
        <f>VLOOKUP($B51,R_DG!$A$7:$G$1305,3,0)</f>
        <v>Dựng trụ BTLT 14m thủ công + cơ giới</v>
      </c>
      <c r="E51" s="714" t="str">
        <f>VLOOKUP($B51,R_DG!$A$7:$G$1305,4,0)</f>
        <v>trụ</v>
      </c>
      <c r="F51" s="724">
        <v>1</v>
      </c>
      <c r="G51" s="608">
        <f>VLOOKUP($B51,R_DG!$A$7:$G$1305,5,0)</f>
        <v>0</v>
      </c>
      <c r="H51" s="608">
        <f>VLOOKUP($B51,R_DG!$A$7:$G$1305,6,0)</f>
        <v>0</v>
      </c>
      <c r="I51" s="608">
        <f>VLOOKUP($B51,R_DG!$A$7:$G$1305,7,0)</f>
        <v>0</v>
      </c>
      <c r="J51" s="608">
        <f t="shared" si="8"/>
        <v>0</v>
      </c>
      <c r="K51" s="608">
        <f t="shared" si="8"/>
        <v>0</v>
      </c>
      <c r="L51" s="725">
        <f t="shared" si="8"/>
        <v>0</v>
      </c>
      <c r="M51" s="1127">
        <f>IF(F51&gt;0,M$48,0)</f>
        <v>0</v>
      </c>
      <c r="N51" s="727">
        <f ca="1">$F51*N$48</f>
        <v>0</v>
      </c>
    </row>
    <row r="52" spans="1:14" hidden="1">
      <c r="A52" s="696"/>
      <c r="B52" s="226" t="s">
        <v>2216</v>
      </c>
      <c r="C52" s="713" t="str">
        <f>VLOOKUP($B52,R_DG!$A$7:$G$1305,2,0)</f>
        <v>02.1124</v>
      </c>
      <c r="D52" s="723" t="str">
        <f>VLOOKUP($B52,R_DG!$A$7:$G$1305,3,0)</f>
        <v xml:space="preserve">Bốc dỡ trụ </v>
      </c>
      <c r="E52" s="714" t="str">
        <f>VLOOKUP($B52,R_DG!$A$7:$G$1305,4,0)</f>
        <v>tấn</v>
      </c>
      <c r="F52" s="724"/>
      <c r="G52" s="608">
        <f>VLOOKUP($B52,R_DG!$A$7:$G$1305,5,0)</f>
        <v>0</v>
      </c>
      <c r="H52" s="608">
        <f>VLOOKUP($B52,R_DG!$A$7:$G$1305,6,0)</f>
        <v>0</v>
      </c>
      <c r="I52" s="608">
        <f>VLOOKUP($B52,R_DG!$A$7:$G$1305,7,0)</f>
        <v>0</v>
      </c>
      <c r="J52" s="608">
        <f t="shared" si="8"/>
        <v>0</v>
      </c>
      <c r="K52" s="608">
        <f t="shared" si="8"/>
        <v>0</v>
      </c>
      <c r="L52" s="725">
        <f t="shared" si="8"/>
        <v>0</v>
      </c>
      <c r="M52" s="1127">
        <f>IF(F52&gt;0,M$48,0)</f>
        <v>0</v>
      </c>
      <c r="N52" s="727">
        <f ca="1">$F52*N$48</f>
        <v>0</v>
      </c>
    </row>
    <row r="53" spans="1:14">
      <c r="A53" s="716" t="s">
        <v>2224</v>
      </c>
      <c r="B53" s="716"/>
      <c r="C53" s="717"/>
      <c r="D53" s="718" t="s">
        <v>2225</v>
      </c>
      <c r="E53" s="718" t="s">
        <v>2215</v>
      </c>
      <c r="F53" s="719"/>
      <c r="G53" s="720"/>
      <c r="H53" s="720"/>
      <c r="I53" s="720"/>
      <c r="J53" s="720">
        <f>SUM(J54:J57)</f>
        <v>8720000</v>
      </c>
      <c r="K53" s="720">
        <f>SUM(K54:K57)</f>
        <v>0</v>
      </c>
      <c r="L53" s="721">
        <f>SUM(L54:L57)</f>
        <v>0</v>
      </c>
      <c r="M53" s="1126">
        <f>IF(ERROR.TYPE(IF(HLOOKUP(A53,maBK,1,0)&lt;&gt;"",#NULL!,"ABC"))&lt;&gt;7,1,0)</f>
        <v>0</v>
      </c>
      <c r="N53" s="712">
        <f ca="1">SUMIF(maBK,$A53,tongBK1)</f>
        <v>0</v>
      </c>
    </row>
    <row r="54" spans="1:14" hidden="1">
      <c r="A54" s="696"/>
      <c r="B54" s="226" t="s">
        <v>745</v>
      </c>
      <c r="C54" s="713">
        <f>VLOOKUP($B54,R_DG!$A$7:$G$1305,2,0)</f>
        <v>0</v>
      </c>
      <c r="D54" s="723" t="str">
        <f>VLOOKUP($B54,R_DG!$A$7:$G$1305,3,0)</f>
        <v>Trụ BTLT 20m F1000 dự ứng lực</v>
      </c>
      <c r="E54" s="714" t="str">
        <f>VLOOKUP($B54,R_DG!$A$7:$G$1305,4,0)</f>
        <v>trụ</v>
      </c>
      <c r="F54" s="724">
        <v>1</v>
      </c>
      <c r="G54" s="608">
        <f>VLOOKUP($B54,R_DG!$A$7:$G$1305,5,0)</f>
        <v>8720000</v>
      </c>
      <c r="H54" s="608">
        <f>VLOOKUP($B54,R_DG!$A$7:$G$1305,6,0)</f>
        <v>0</v>
      </c>
      <c r="I54" s="608">
        <f>VLOOKUP($B54,R_DG!$A$7:$G$1305,7,0)</f>
        <v>0</v>
      </c>
      <c r="J54" s="608">
        <f t="shared" ref="J54:L57" si="9">G54*$F54</f>
        <v>8720000</v>
      </c>
      <c r="K54" s="608">
        <f t="shared" si="9"/>
        <v>0</v>
      </c>
      <c r="L54" s="725">
        <f t="shared" si="9"/>
        <v>0</v>
      </c>
      <c r="M54" s="1127">
        <f>IF(F54&gt;0,M$53,0)</f>
        <v>0</v>
      </c>
      <c r="N54" s="727">
        <f ca="1">$F54*N$53</f>
        <v>0</v>
      </c>
    </row>
    <row r="55" spans="1:14" hidden="1">
      <c r="A55" s="696"/>
      <c r="B55" s="226" t="s">
        <v>398</v>
      </c>
      <c r="C55" s="713">
        <f>VLOOKUP($B55,R_DG!$A$7:$G$1305,2,0)</f>
        <v>0</v>
      </c>
      <c r="D55" s="723" t="str">
        <f>VLOOKUP($B55,R_DG!$A$7:$G$1305,3,0)</f>
        <v>Vật liệu dựng trụ</v>
      </c>
      <c r="E55" s="714" t="str">
        <f>VLOOKUP($B55,R_DG!$A$7:$G$1305,4,0)</f>
        <v>trụ</v>
      </c>
      <c r="F55" s="724">
        <v>1</v>
      </c>
      <c r="G55" s="608">
        <f>VLOOKUP($B55,R_DG!$A$7:$G$1305,5,0)</f>
        <v>0</v>
      </c>
      <c r="H55" s="608">
        <f>VLOOKUP($B55,R_DG!$A$7:$G$1305,6,0)</f>
        <v>0</v>
      </c>
      <c r="I55" s="608">
        <f>VLOOKUP($B55,R_DG!$A$7:$G$1305,7,0)</f>
        <v>0</v>
      </c>
      <c r="J55" s="608">
        <f t="shared" si="9"/>
        <v>0</v>
      </c>
      <c r="K55" s="608">
        <f t="shared" si="9"/>
        <v>0</v>
      </c>
      <c r="L55" s="725">
        <f t="shared" si="9"/>
        <v>0</v>
      </c>
      <c r="M55" s="1127">
        <f>IF(F55&gt;0,M$53,0)</f>
        <v>0</v>
      </c>
      <c r="N55" s="727">
        <f ca="1">$F55*N$53</f>
        <v>0</v>
      </c>
    </row>
    <row r="56" spans="1:14" hidden="1">
      <c r="A56" s="696"/>
      <c r="B56" s="226" t="s">
        <v>1172</v>
      </c>
      <c r="C56" s="713" t="str">
        <f>VLOOKUP($B56,R_DG!$A$7:$G$1305,2,0)</f>
        <v>05.5227</v>
      </c>
      <c r="D56" s="723" t="str">
        <f>VLOOKUP($B56,R_DG!$A$7:$G$1305,3,0)</f>
        <v>Dựng trụ BTLT 20m thủ công + cơ giới</v>
      </c>
      <c r="E56" s="714" t="str">
        <f>VLOOKUP($B56,R_DG!$A$7:$G$1305,4,0)</f>
        <v>trụ</v>
      </c>
      <c r="F56" s="724">
        <v>1</v>
      </c>
      <c r="G56" s="608">
        <f>VLOOKUP($B56,R_DG!$A$7:$G$1305,5,0)</f>
        <v>0</v>
      </c>
      <c r="H56" s="608">
        <f>VLOOKUP($B56,R_DG!$A$7:$G$1305,6,0)</f>
        <v>0</v>
      </c>
      <c r="I56" s="608">
        <f>VLOOKUP($B56,R_DG!$A$7:$G$1305,7,0)</f>
        <v>0</v>
      </c>
      <c r="J56" s="608">
        <f t="shared" si="9"/>
        <v>0</v>
      </c>
      <c r="K56" s="608">
        <f t="shared" si="9"/>
        <v>0</v>
      </c>
      <c r="L56" s="725">
        <f t="shared" si="9"/>
        <v>0</v>
      </c>
      <c r="M56" s="1127">
        <f>IF(F56&gt;0,M$53,0)</f>
        <v>0</v>
      </c>
      <c r="N56" s="727">
        <f ca="1">$F56*N$53</f>
        <v>0</v>
      </c>
    </row>
    <row r="57" spans="1:14" hidden="1">
      <c r="A57" s="696"/>
      <c r="B57" s="226" t="s">
        <v>2216</v>
      </c>
      <c r="C57" s="713" t="str">
        <f>VLOOKUP($B57,R_DG!$A$7:$G$1305,2,0)</f>
        <v>02.1124</v>
      </c>
      <c r="D57" s="723" t="str">
        <f>VLOOKUP($B57,R_DG!$A$7:$G$1305,3,0)</f>
        <v xml:space="preserve">Bốc dỡ trụ </v>
      </c>
      <c r="E57" s="714" t="str">
        <f>VLOOKUP($B57,R_DG!$A$7:$G$1305,4,0)</f>
        <v>tấn</v>
      </c>
      <c r="F57" s="724">
        <v>2.72</v>
      </c>
      <c r="G57" s="608">
        <f>VLOOKUP($B57,R_DG!$A$7:$G$1305,5,0)</f>
        <v>0</v>
      </c>
      <c r="H57" s="608">
        <f>VLOOKUP($B57,R_DG!$A$7:$G$1305,6,0)</f>
        <v>0</v>
      </c>
      <c r="I57" s="608">
        <f>VLOOKUP($B57,R_DG!$A$7:$G$1305,7,0)</f>
        <v>0</v>
      </c>
      <c r="J57" s="608">
        <f t="shared" si="9"/>
        <v>0</v>
      </c>
      <c r="K57" s="608">
        <f t="shared" si="9"/>
        <v>0</v>
      </c>
      <c r="L57" s="725">
        <f t="shared" si="9"/>
        <v>0</v>
      </c>
      <c r="M57" s="1127">
        <f>IF(F57&gt;0,M$53,0)</f>
        <v>0</v>
      </c>
      <c r="N57" s="727">
        <f ca="1">$F57*N$53</f>
        <v>0</v>
      </c>
    </row>
    <row r="58" spans="1:14">
      <c r="A58" s="728" t="s">
        <v>2144</v>
      </c>
      <c r="B58" s="729"/>
      <c r="C58" s="717"/>
      <c r="D58" s="718" t="s">
        <v>2145</v>
      </c>
      <c r="E58" s="718" t="s">
        <v>2146</v>
      </c>
      <c r="F58" s="719"/>
      <c r="G58" s="720"/>
      <c r="H58" s="720"/>
      <c r="I58" s="720"/>
      <c r="J58" s="720">
        <f>SUM(J59:J60)</f>
        <v>0</v>
      </c>
      <c r="K58" s="720">
        <f>SUM(K59:K60)</f>
        <v>66461.287199999992</v>
      </c>
      <c r="L58" s="721">
        <f>SUM(L59:L60)</f>
        <v>0</v>
      </c>
      <c r="M58" s="1126">
        <f>IF(ERROR.TYPE(IF(HLOOKUP(A58,maBK,1,0)&lt;&gt;"",#NULL!,"ABC"))&lt;&gt;7,1,0)</f>
        <v>0</v>
      </c>
      <c r="N58" s="712">
        <f ca="1">SUMIF(maBK,$A58,tongBK1)</f>
        <v>0</v>
      </c>
    </row>
    <row r="59" spans="1:14" hidden="1">
      <c r="A59" s="696"/>
      <c r="B59" s="226" t="str">
        <f>IF(CAPDAT=1,"MDD1",IF(CAPDAT=2,"MDD2",IF(CAPDAT=3,"MDD3",IF(CAPDAT=4,"MDD4"))))</f>
        <v>MDD3</v>
      </c>
      <c r="C59" s="713" t="str">
        <f>VLOOKUP($B59,R_DG!$A$7:$G$1305,2,0)</f>
        <v>AB.11400</v>
      </c>
      <c r="D59" s="723" t="str">
        <f>VLOOKUP($B59,R_DG!$A$7:$G$1305,3,0)</f>
        <v>Đào hố móng đất cấp 3 sâu &gt;1m, rộng &lt;1m</v>
      </c>
      <c r="E59" s="714" t="str">
        <f>VLOOKUP($B59,R_DG!$A$7:$G$1305,4,0)</f>
        <v>m3</v>
      </c>
      <c r="F59" s="730">
        <v>0.13</v>
      </c>
      <c r="G59" s="608">
        <f>VLOOKUP($B59,R_DG!$A$7:$G$1305,5,0)</f>
        <v>0</v>
      </c>
      <c r="H59" s="608">
        <f>VLOOKUP($B59,R_DG!$A$7:$G$1305,6,0)</f>
        <v>418738.31999999995</v>
      </c>
      <c r="I59" s="608">
        <f>VLOOKUP($B59,R_DG!$A$7:$G$1305,7,0)</f>
        <v>0</v>
      </c>
      <c r="J59" s="608">
        <f>G59*$F59</f>
        <v>0</v>
      </c>
      <c r="K59" s="608">
        <f>H59*$F59</f>
        <v>54435.981599999992</v>
      </c>
      <c r="L59" s="725">
        <f>I59*$F59</f>
        <v>0</v>
      </c>
      <c r="M59" s="1127">
        <f>IF(F59&gt;0,M$58,0)</f>
        <v>0</v>
      </c>
      <c r="N59" s="727">
        <f ca="1">$F59*N$58</f>
        <v>0</v>
      </c>
    </row>
    <row r="60" spans="1:14" hidden="1">
      <c r="A60" s="696"/>
      <c r="B60" s="226" t="str">
        <f>IF(CAPDAT=1,"MDAP1",IF(CAPDAT=2,"MDAP2",IF(CAPDAT=3,"MDAP3",IF(CAPDAT=4,"MDAP4"))))</f>
        <v>MDAP3</v>
      </c>
      <c r="C60" s="713" t="str">
        <f>VLOOKUP($B60,R_DG!$A$7:$G$1305,2,0)</f>
        <v>AB.13000</v>
      </c>
      <c r="D60" s="723" t="str">
        <f>VLOOKUP($B60,R_DG!$A$7:$G$1305,3,0)</f>
        <v>Đắp đất hố móng, đất cấp 3, k = 0,85</v>
      </c>
      <c r="E60" s="714" t="str">
        <f>VLOOKUP($B60,R_DG!$A$7:$G$1305,4,0)</f>
        <v>m3</v>
      </c>
      <c r="F60" s="730">
        <v>0.12</v>
      </c>
      <c r="G60" s="608">
        <f>VLOOKUP($B60,R_DG!$A$7:$G$1305,5,0)</f>
        <v>0</v>
      </c>
      <c r="H60" s="608">
        <f>VLOOKUP($B60,R_DG!$A$7:$G$1305,6,0)</f>
        <v>100210.88</v>
      </c>
      <c r="I60" s="608">
        <f>VLOOKUP($B60,R_DG!$A$7:$G$1305,7,0)</f>
        <v>0</v>
      </c>
      <c r="J60" s="608">
        <f t="shared" ref="J60:L110" si="10">G60*$F60</f>
        <v>0</v>
      </c>
      <c r="K60" s="608">
        <f t="shared" si="10"/>
        <v>12025.3056</v>
      </c>
      <c r="L60" s="725">
        <f t="shared" si="10"/>
        <v>0</v>
      </c>
      <c r="M60" s="1127">
        <f>IF(F60&gt;0,M$58,0)</f>
        <v>0</v>
      </c>
      <c r="N60" s="727">
        <f ca="1">$F60*N$58</f>
        <v>0</v>
      </c>
    </row>
    <row r="61" spans="1:14">
      <c r="A61" s="728" t="s">
        <v>2147</v>
      </c>
      <c r="B61" s="729"/>
      <c r="C61" s="717"/>
      <c r="D61" s="718" t="s">
        <v>2148</v>
      </c>
      <c r="E61" s="718" t="s">
        <v>2146</v>
      </c>
      <c r="F61" s="719"/>
      <c r="G61" s="720"/>
      <c r="H61" s="720"/>
      <c r="I61" s="720"/>
      <c r="J61" s="720" t="e">
        <f>SUM(J62:J67)</f>
        <v>#REF!</v>
      </c>
      <c r="K61" s="720">
        <f>SUM(K62:K67)</f>
        <v>919125.03319999995</v>
      </c>
      <c r="L61" s="721">
        <f>SUM(L62:L67)</f>
        <v>0</v>
      </c>
      <c r="M61" s="1126">
        <f>IF(ERROR.TYPE(IF(HLOOKUP(A61,maBK,1,0)&lt;&gt;"",#NULL!,"ABC"))&lt;&gt;7,1,0)</f>
        <v>0</v>
      </c>
      <c r="N61" s="712">
        <f ca="1">SUMIF(maBK,$A61,tongBK1)</f>
        <v>0</v>
      </c>
    </row>
    <row r="62" spans="1:14" hidden="1">
      <c r="A62" s="696"/>
      <c r="B62" s="226" t="s">
        <v>2149</v>
      </c>
      <c r="C62" s="713" t="str">
        <f>VLOOKUP($B62,R_DG!$A$7:$G$1305,2,0)</f>
        <v>04.3801</v>
      </c>
      <c r="D62" s="723" t="str">
        <f>VLOOKUP($B62,R_DG!$A$7:$G$1305,3,0)</f>
        <v>Đà cản BTCT 1,2m</v>
      </c>
      <c r="E62" s="714" t="str">
        <f>VLOOKUP($B62,R_DG!$A$7:$G$1305,4,0)</f>
        <v>cái</v>
      </c>
      <c r="F62" s="724">
        <v>1</v>
      </c>
      <c r="G62" s="608">
        <f>VLOOKUP($B62,R_DG!$A$7:$G$1305,5,0)</f>
        <v>650000</v>
      </c>
      <c r="H62" s="608">
        <f>VLOOKUP($B62,R_DG!$A$7:$G$1305,6,0)</f>
        <v>161119.20000000001</v>
      </c>
      <c r="I62" s="608">
        <f>VLOOKUP($B62,R_DG!$A$7:$G$1305,7,0)</f>
        <v>0</v>
      </c>
      <c r="J62" s="608">
        <f t="shared" si="10"/>
        <v>650000</v>
      </c>
      <c r="K62" s="608">
        <f t="shared" si="10"/>
        <v>161119.20000000001</v>
      </c>
      <c r="L62" s="725">
        <f t="shared" si="10"/>
        <v>0</v>
      </c>
      <c r="M62" s="1127">
        <f t="shared" ref="M62:M67" si="11">IF(F62&gt;0,M$61,0)</f>
        <v>0</v>
      </c>
      <c r="N62" s="727">
        <f t="shared" ref="N62:N67" ca="1" si="12">$F62*N$61</f>
        <v>0</v>
      </c>
    </row>
    <row r="63" spans="1:14" hidden="1">
      <c r="A63" s="696"/>
      <c r="B63" s="226" t="s">
        <v>2150</v>
      </c>
      <c r="C63" s="713">
        <f>VLOOKUP($B63,R_DG!$A$7:$G$1305,2,0)</f>
        <v>0</v>
      </c>
      <c r="D63" s="723" t="str">
        <f>VLOOKUP($B63,R_DG!$A$7:$G$1305,3,0)</f>
        <v>Boulon 22x550+ 2 long đền vuông D24-50x50x3/Zn</v>
      </c>
      <c r="E63" s="714" t="str">
        <f>VLOOKUP($B63,R_DG!$A$7:$G$1305,4,0)</f>
        <v>bộ</v>
      </c>
      <c r="F63" s="724">
        <v>1</v>
      </c>
      <c r="G63" s="608" t="e">
        <f>VLOOKUP($B63,R_DG!$A$7:$G$1305,5,0)</f>
        <v>#REF!</v>
      </c>
      <c r="H63" s="608">
        <f>VLOOKUP($B63,R_DG!$A$7:$G$1305,6,0)</f>
        <v>0</v>
      </c>
      <c r="I63" s="608">
        <f>VLOOKUP($B63,R_DG!$A$7:$G$1305,7,0)</f>
        <v>0</v>
      </c>
      <c r="J63" s="608" t="e">
        <f t="shared" si="10"/>
        <v>#REF!</v>
      </c>
      <c r="K63" s="608">
        <f t="shared" si="10"/>
        <v>0</v>
      </c>
      <c r="L63" s="725">
        <f t="shared" si="10"/>
        <v>0</v>
      </c>
      <c r="M63" s="1127">
        <f t="shared" si="11"/>
        <v>0</v>
      </c>
      <c r="N63" s="727">
        <f t="shared" ca="1" si="12"/>
        <v>0</v>
      </c>
    </row>
    <row r="64" spans="1:14" hidden="1">
      <c r="A64" s="696"/>
      <c r="B64" s="226" t="s">
        <v>2151</v>
      </c>
      <c r="C64" s="713">
        <f>VLOOKUP($B64,R_DG!$A$7:$G$1305,2,0)</f>
        <v>0</v>
      </c>
      <c r="D64" s="723" t="str">
        <f>VLOOKUP($B64,R_DG!$A$7:$G$1305,3,0)</f>
        <v>Đá 2x4</v>
      </c>
      <c r="E64" s="714" t="str">
        <f>VLOOKUP($B64,R_DG!$A$7:$G$1305,4,0)</f>
        <v>m3</v>
      </c>
      <c r="F64" s="730">
        <v>0.155</v>
      </c>
      <c r="G64" s="608">
        <f>VLOOKUP($B64,R_DG!$A$7:$G$1305,5,0)</f>
        <v>320000</v>
      </c>
      <c r="H64" s="608">
        <f>VLOOKUP($B64,R_DG!$A$7:$G$1305,6,0)</f>
        <v>0</v>
      </c>
      <c r="I64" s="608">
        <f>VLOOKUP($B64,R_DG!$A$7:$G$1305,7,0)</f>
        <v>0</v>
      </c>
      <c r="J64" s="608">
        <f t="shared" si="10"/>
        <v>49600</v>
      </c>
      <c r="K64" s="608">
        <f t="shared" si="10"/>
        <v>0</v>
      </c>
      <c r="L64" s="725">
        <f t="shared" si="10"/>
        <v>0</v>
      </c>
      <c r="M64" s="1127">
        <f t="shared" si="11"/>
        <v>0</v>
      </c>
      <c r="N64" s="727">
        <f t="shared" ca="1" si="12"/>
        <v>0</v>
      </c>
    </row>
    <row r="65" spans="1:14" hidden="1">
      <c r="A65" s="696"/>
      <c r="B65" s="226" t="str">
        <f>IF(CAPDAT=1,"MDD1",IF(CAPDAT=2,"MDD2",IF(CAPDAT=3,"MDD3",IF(CAPDAT=4,"MDD4"))))</f>
        <v>MDD3</v>
      </c>
      <c r="C65" s="713" t="str">
        <f>VLOOKUP($B65,R_DG!$A$7:$G$1305,2,0)</f>
        <v>AB.11400</v>
      </c>
      <c r="D65" s="723" t="str">
        <f>VLOOKUP($B65,R_DG!$A$7:$G$1305,3,0)</f>
        <v>Đào hố móng đất cấp 3 sâu &gt;1m, rộng &lt;1m</v>
      </c>
      <c r="E65" s="714" t="str">
        <f>VLOOKUP($B65,R_DG!$A$7:$G$1305,4,0)</f>
        <v>m3</v>
      </c>
      <c r="F65" s="730">
        <v>1.423</v>
      </c>
      <c r="G65" s="608">
        <f>VLOOKUP($B65,R_DG!$A$7:$G$1305,5,0)</f>
        <v>0</v>
      </c>
      <c r="H65" s="608">
        <f>VLOOKUP($B65,R_DG!$A$7:$G$1305,6,0)</f>
        <v>418738.31999999995</v>
      </c>
      <c r="I65" s="608">
        <f>VLOOKUP($B65,R_DG!$A$7:$G$1305,7,0)</f>
        <v>0</v>
      </c>
      <c r="J65" s="608">
        <f t="shared" si="10"/>
        <v>0</v>
      </c>
      <c r="K65" s="608">
        <f t="shared" si="10"/>
        <v>595864.6293599999</v>
      </c>
      <c r="L65" s="725">
        <f t="shared" si="10"/>
        <v>0</v>
      </c>
      <c r="M65" s="1127">
        <f t="shared" si="11"/>
        <v>0</v>
      </c>
      <c r="N65" s="727">
        <f t="shared" ca="1" si="12"/>
        <v>0</v>
      </c>
    </row>
    <row r="66" spans="1:14" hidden="1">
      <c r="A66" s="696"/>
      <c r="B66" s="226" t="str">
        <f>IF(CAPDAT=1,"MDAP1",IF(CAPDAT=2,"MDAP2",IF(CAPDAT=3,"MDAP3",IF(CAPDAT=4,"MDAP4"))))</f>
        <v>MDAP3</v>
      </c>
      <c r="C66" s="713" t="str">
        <f>VLOOKUP($B66,R_DG!$A$7:$G$1305,2,0)</f>
        <v>AB.13000</v>
      </c>
      <c r="D66" s="723" t="str">
        <f>VLOOKUP($B66,R_DG!$A$7:$G$1305,3,0)</f>
        <v>Đắp đất hố móng, đất cấp 3, k = 0,85</v>
      </c>
      <c r="E66" s="714" t="str">
        <f>VLOOKUP($B66,R_DG!$A$7:$G$1305,4,0)</f>
        <v>m3</v>
      </c>
      <c r="F66" s="730">
        <v>1.6180000000000001</v>
      </c>
      <c r="G66" s="608">
        <f>VLOOKUP($B66,R_DG!$A$7:$G$1305,5,0)</f>
        <v>0</v>
      </c>
      <c r="H66" s="608">
        <f>VLOOKUP($B66,R_DG!$A$7:$G$1305,6,0)</f>
        <v>100210.88</v>
      </c>
      <c r="I66" s="608">
        <f>VLOOKUP($B66,R_DG!$A$7:$G$1305,7,0)</f>
        <v>0</v>
      </c>
      <c r="J66" s="608">
        <f t="shared" si="10"/>
        <v>0</v>
      </c>
      <c r="K66" s="608">
        <f t="shared" si="10"/>
        <v>162141.20384000003</v>
      </c>
      <c r="L66" s="725">
        <f t="shared" si="10"/>
        <v>0</v>
      </c>
      <c r="M66" s="1127">
        <f t="shared" si="11"/>
        <v>0</v>
      </c>
      <c r="N66" s="727">
        <f t="shared" ca="1" si="12"/>
        <v>0</v>
      </c>
    </row>
    <row r="67" spans="1:14" hidden="1">
      <c r="A67" s="696"/>
      <c r="B67" s="226" t="s">
        <v>2152</v>
      </c>
      <c r="C67" s="713" t="str">
        <f>VLOOKUP($B67,R_DG!$A$7:$G$1305,2,0)</f>
        <v>02.1123</v>
      </c>
      <c r="D67" s="723" t="str">
        <f>VLOOKUP($B67,R_DG!$A$7:$G$1305,3,0)</f>
        <v>Bốc dỡ đà cản, đế néo</v>
      </c>
      <c r="E67" s="714" t="str">
        <f>VLOOKUP($B67,R_DG!$A$7:$G$1305,4,0)</f>
        <v>tấn</v>
      </c>
      <c r="F67" s="724">
        <v>0.1</v>
      </c>
      <c r="G67" s="608">
        <f>VLOOKUP($B67,R_DG!$A$7:$G$1305,5,0)</f>
        <v>0</v>
      </c>
      <c r="H67" s="608">
        <f>VLOOKUP($B67,R_DG!$A$7:$G$1305,6,0)</f>
        <v>0</v>
      </c>
      <c r="I67" s="608">
        <f>VLOOKUP($B67,R_DG!$A$7:$G$1305,7,0)</f>
        <v>0</v>
      </c>
      <c r="J67" s="608">
        <f t="shared" si="10"/>
        <v>0</v>
      </c>
      <c r="K67" s="608">
        <f t="shared" si="10"/>
        <v>0</v>
      </c>
      <c r="L67" s="725">
        <f t="shared" si="10"/>
        <v>0</v>
      </c>
      <c r="M67" s="1127">
        <f t="shared" si="11"/>
        <v>0</v>
      </c>
      <c r="N67" s="727">
        <f t="shared" ca="1" si="12"/>
        <v>0</v>
      </c>
    </row>
    <row r="68" spans="1:14">
      <c r="A68" s="728" t="s">
        <v>2547</v>
      </c>
      <c r="B68" s="729"/>
      <c r="C68" s="717"/>
      <c r="D68" s="718" t="s">
        <v>2559</v>
      </c>
      <c r="E68" s="718" t="s">
        <v>2146</v>
      </c>
      <c r="F68" s="719"/>
      <c r="G68" s="720"/>
      <c r="H68" s="720"/>
      <c r="I68" s="720"/>
      <c r="J68" s="720" t="e">
        <f>SUM(J69:J74)</f>
        <v>#REF!</v>
      </c>
      <c r="K68" s="720">
        <f>SUM(K69:K74)</f>
        <v>942590.69519999996</v>
      </c>
      <c r="L68" s="721">
        <f>SUM(L69:L74)</f>
        <v>0</v>
      </c>
      <c r="M68" s="1126">
        <f>IF(ERROR.TYPE(IF(HLOOKUP(A68,maBK,1,0)&lt;&gt;"",#NULL!,"ABC"))&lt;&gt;7,1,0)</f>
        <v>0</v>
      </c>
      <c r="N68" s="712">
        <f ca="1">SUMIF(maBK,$A68,tongBK1)</f>
        <v>0</v>
      </c>
    </row>
    <row r="69" spans="1:14" hidden="1">
      <c r="A69" s="696"/>
      <c r="B69" s="226" t="s">
        <v>2153</v>
      </c>
      <c r="C69" s="713" t="str">
        <f>VLOOKUP($B69,R_DG!$A$7:$G$1305,2,0)</f>
        <v>04.3801</v>
      </c>
      <c r="D69" s="723" t="str">
        <f>VLOOKUP($B69,R_DG!$A$7:$G$1305,3,0)</f>
        <v>Đà cản BTCT 1,5m</v>
      </c>
      <c r="E69" s="714" t="str">
        <f>VLOOKUP($B69,R_DG!$A$7:$G$1305,4,0)</f>
        <v>cái</v>
      </c>
      <c r="F69" s="724">
        <v>1</v>
      </c>
      <c r="G69" s="608">
        <f>VLOOKUP($B69,R_DG!$A$7:$G$1305,5,0)</f>
        <v>650000</v>
      </c>
      <c r="H69" s="608">
        <f>VLOOKUP($B69,R_DG!$A$7:$G$1305,6,0)</f>
        <v>0</v>
      </c>
      <c r="I69" s="608">
        <f>VLOOKUP($B69,R_DG!$A$7:$G$1305,7,0)</f>
        <v>0</v>
      </c>
      <c r="J69" s="608">
        <f t="shared" si="10"/>
        <v>650000</v>
      </c>
      <c r="K69" s="608">
        <f t="shared" si="10"/>
        <v>0</v>
      </c>
      <c r="L69" s="725">
        <f t="shared" si="10"/>
        <v>0</v>
      </c>
      <c r="M69" s="1127">
        <f t="shared" ref="M69:M74" si="13">IF(F69&gt;0,M$68,0)</f>
        <v>0</v>
      </c>
      <c r="N69" s="727">
        <f t="shared" ref="N69:N74" ca="1" si="14">$F69*N$68</f>
        <v>0</v>
      </c>
    </row>
    <row r="70" spans="1:14" hidden="1">
      <c r="A70" s="696"/>
      <c r="B70" s="226" t="s">
        <v>2150</v>
      </c>
      <c r="C70" s="713">
        <f>VLOOKUP($B70,R_DG!$A$7:$G$1305,2,0)</f>
        <v>0</v>
      </c>
      <c r="D70" s="723" t="str">
        <f>VLOOKUP($B70,R_DG!$A$7:$G$1305,3,0)</f>
        <v>Boulon 22x550+ 2 long đền vuông D24-50x50x3/Zn</v>
      </c>
      <c r="E70" s="714" t="str">
        <f>VLOOKUP($B70,R_DG!$A$7:$G$1305,4,0)</f>
        <v>bộ</v>
      </c>
      <c r="F70" s="724">
        <v>1</v>
      </c>
      <c r="G70" s="608" t="e">
        <f>VLOOKUP($B70,R_DG!$A$7:$G$1305,5,0)</f>
        <v>#REF!</v>
      </c>
      <c r="H70" s="608">
        <f>VLOOKUP($B70,R_DG!$A$7:$G$1305,6,0)</f>
        <v>0</v>
      </c>
      <c r="I70" s="608">
        <f>VLOOKUP($B70,R_DG!$A$7:$G$1305,7,0)</f>
        <v>0</v>
      </c>
      <c r="J70" s="608" t="e">
        <f t="shared" si="10"/>
        <v>#REF!</v>
      </c>
      <c r="K70" s="608">
        <f t="shared" si="10"/>
        <v>0</v>
      </c>
      <c r="L70" s="725">
        <f t="shared" si="10"/>
        <v>0</v>
      </c>
      <c r="M70" s="1127">
        <f t="shared" si="13"/>
        <v>0</v>
      </c>
      <c r="N70" s="727">
        <f t="shared" ca="1" si="14"/>
        <v>0</v>
      </c>
    </row>
    <row r="71" spans="1:14" hidden="1">
      <c r="A71" s="696"/>
      <c r="B71" s="226" t="s">
        <v>2151</v>
      </c>
      <c r="C71" s="713">
        <f>VLOOKUP($B71,R_DG!$A$7:$G$1305,2,0)</f>
        <v>0</v>
      </c>
      <c r="D71" s="723" t="str">
        <f>VLOOKUP($B71,R_DG!$A$7:$G$1305,3,0)</f>
        <v>Đá 2x4</v>
      </c>
      <c r="E71" s="714" t="str">
        <f>VLOOKUP($B71,R_DG!$A$7:$G$1305,4,0)</f>
        <v>m3</v>
      </c>
      <c r="F71" s="730">
        <v>0.155</v>
      </c>
      <c r="G71" s="608">
        <f>VLOOKUP($B71,R_DG!$A$7:$G$1305,5,0)</f>
        <v>320000</v>
      </c>
      <c r="H71" s="608">
        <f>VLOOKUP($B71,R_DG!$A$7:$G$1305,6,0)</f>
        <v>0</v>
      </c>
      <c r="I71" s="608">
        <f>VLOOKUP($B71,R_DG!$A$7:$G$1305,7,0)</f>
        <v>0</v>
      </c>
      <c r="J71" s="608">
        <f t="shared" si="10"/>
        <v>49600</v>
      </c>
      <c r="K71" s="608">
        <f t="shared" si="10"/>
        <v>0</v>
      </c>
      <c r="L71" s="725">
        <f t="shared" si="10"/>
        <v>0</v>
      </c>
      <c r="M71" s="1127">
        <f t="shared" si="13"/>
        <v>0</v>
      </c>
      <c r="N71" s="727">
        <f t="shared" ca="1" si="14"/>
        <v>0</v>
      </c>
    </row>
    <row r="72" spans="1:14" hidden="1">
      <c r="A72" s="696"/>
      <c r="B72" s="226" t="str">
        <f>IF(CAPDAT=1,"MDD1",IF(CAPDAT=2,"MDD2",IF(CAPDAT=3,"MDD3",IF(CAPDAT=4,"MDD4"))))</f>
        <v>MDD3</v>
      </c>
      <c r="C72" s="713" t="str">
        <f>VLOOKUP($B72,R_DG!$A$7:$G$1305,2,0)</f>
        <v>AB.11400</v>
      </c>
      <c r="D72" s="723" t="str">
        <f>VLOOKUP($B72,R_DG!$A$7:$G$1305,3,0)</f>
        <v>Đào hố móng đất cấp 3 sâu &gt;1m, rộng &lt;1m</v>
      </c>
      <c r="E72" s="714" t="str">
        <f>VLOOKUP($B72,R_DG!$A$7:$G$1305,4,0)</f>
        <v>m3</v>
      </c>
      <c r="F72" s="730">
        <v>1.77</v>
      </c>
      <c r="G72" s="608">
        <f>VLOOKUP($B72,R_DG!$A$7:$G$1305,5,0)</f>
        <v>0</v>
      </c>
      <c r="H72" s="608">
        <f>VLOOKUP($B72,R_DG!$A$7:$G$1305,6,0)</f>
        <v>418738.31999999995</v>
      </c>
      <c r="I72" s="608">
        <f>VLOOKUP($B72,R_DG!$A$7:$G$1305,7,0)</f>
        <v>0</v>
      </c>
      <c r="J72" s="608">
        <f t="shared" si="10"/>
        <v>0</v>
      </c>
      <c r="K72" s="608">
        <f t="shared" si="10"/>
        <v>741166.8263999999</v>
      </c>
      <c r="L72" s="725">
        <f t="shared" si="10"/>
        <v>0</v>
      </c>
      <c r="M72" s="1127">
        <f t="shared" si="13"/>
        <v>0</v>
      </c>
      <c r="N72" s="727">
        <f t="shared" ca="1" si="14"/>
        <v>0</v>
      </c>
    </row>
    <row r="73" spans="1:14" hidden="1">
      <c r="A73" s="696"/>
      <c r="B73" s="226" t="str">
        <f>IF(CAPDAT=1,"MDAP1",IF(CAPDAT=2,"MDAP2",IF(CAPDAT=3,"MDAP3",IF(CAPDAT=4,"MDAP4"))))</f>
        <v>MDAP3</v>
      </c>
      <c r="C73" s="713" t="str">
        <f>VLOOKUP($B73,R_DG!$A$7:$G$1305,2,0)</f>
        <v>AB.13000</v>
      </c>
      <c r="D73" s="723" t="str">
        <f>VLOOKUP($B73,R_DG!$A$7:$G$1305,3,0)</f>
        <v>Đắp đất hố móng, đất cấp 3, k = 0,85</v>
      </c>
      <c r="E73" s="714" t="str">
        <f>VLOOKUP($B73,R_DG!$A$7:$G$1305,4,0)</f>
        <v>m3</v>
      </c>
      <c r="F73" s="730">
        <v>2.0099999999999998</v>
      </c>
      <c r="G73" s="608">
        <f>VLOOKUP($B73,R_DG!$A$7:$G$1305,5,0)</f>
        <v>0</v>
      </c>
      <c r="H73" s="608">
        <f>VLOOKUP($B73,R_DG!$A$7:$G$1305,6,0)</f>
        <v>100210.88</v>
      </c>
      <c r="I73" s="608">
        <f>VLOOKUP($B73,R_DG!$A$7:$G$1305,7,0)</f>
        <v>0</v>
      </c>
      <c r="J73" s="608">
        <f t="shared" si="10"/>
        <v>0</v>
      </c>
      <c r="K73" s="608">
        <f t="shared" si="10"/>
        <v>201423.8688</v>
      </c>
      <c r="L73" s="725">
        <f t="shared" si="10"/>
        <v>0</v>
      </c>
      <c r="M73" s="1127">
        <f t="shared" si="13"/>
        <v>0</v>
      </c>
      <c r="N73" s="727">
        <f t="shared" ca="1" si="14"/>
        <v>0</v>
      </c>
    </row>
    <row r="74" spans="1:14" hidden="1">
      <c r="A74" s="696"/>
      <c r="B74" s="226" t="s">
        <v>2152</v>
      </c>
      <c r="C74" s="713" t="str">
        <f>VLOOKUP($B74,R_DG!$A$7:$G$1305,2,0)</f>
        <v>02.1123</v>
      </c>
      <c r="D74" s="723" t="str">
        <f>VLOOKUP($B74,R_DG!$A$7:$G$1305,3,0)</f>
        <v>Bốc dỡ đà cản, đế néo</v>
      </c>
      <c r="E74" s="714" t="str">
        <f>VLOOKUP($B74,R_DG!$A$7:$G$1305,4,0)</f>
        <v>tấn</v>
      </c>
      <c r="F74" s="724">
        <v>0.1</v>
      </c>
      <c r="G74" s="608">
        <f>VLOOKUP($B74,R_DG!$A$7:$G$1305,5,0)</f>
        <v>0</v>
      </c>
      <c r="H74" s="608">
        <f>VLOOKUP($B74,R_DG!$A$7:$G$1305,6,0)</f>
        <v>0</v>
      </c>
      <c r="I74" s="608">
        <f>VLOOKUP($B74,R_DG!$A$7:$G$1305,7,0)</f>
        <v>0</v>
      </c>
      <c r="J74" s="608">
        <f t="shared" si="10"/>
        <v>0</v>
      </c>
      <c r="K74" s="608">
        <f t="shared" si="10"/>
        <v>0</v>
      </c>
      <c r="L74" s="725">
        <f t="shared" si="10"/>
        <v>0</v>
      </c>
      <c r="M74" s="1127">
        <f t="shared" si="13"/>
        <v>0</v>
      </c>
      <c r="N74" s="727">
        <f t="shared" ca="1" si="14"/>
        <v>0</v>
      </c>
    </row>
    <row r="75" spans="1:14">
      <c r="A75" s="728" t="s">
        <v>2548</v>
      </c>
      <c r="B75" s="729"/>
      <c r="C75" s="717"/>
      <c r="D75" s="718" t="s">
        <v>2558</v>
      </c>
      <c r="E75" s="718" t="s">
        <v>2146</v>
      </c>
      <c r="F75" s="719"/>
      <c r="G75" s="720"/>
      <c r="H75" s="720"/>
      <c r="I75" s="720"/>
      <c r="J75" s="720" t="e">
        <f>SUM(J76:J80)</f>
        <v>#REF!</v>
      </c>
      <c r="K75" s="720">
        <f>SUM(K76:K80)</f>
        <v>2292563.2487999997</v>
      </c>
      <c r="L75" s="721">
        <f>SUM(L76:L80)</f>
        <v>0</v>
      </c>
      <c r="M75" s="1126">
        <f>IF(ERROR.TYPE(IF(HLOOKUP(A75,maBK,1,0)&lt;&gt;"",#NULL!,"ABC"))&lt;&gt;7,1,0)</f>
        <v>0</v>
      </c>
      <c r="N75" s="712">
        <f ca="1">SUMIF(maBK,$A75,tongBK1)</f>
        <v>0</v>
      </c>
    </row>
    <row r="76" spans="1:14" hidden="1">
      <c r="A76" s="696"/>
      <c r="B76" s="226" t="s">
        <v>2149</v>
      </c>
      <c r="C76" s="713" t="str">
        <f>VLOOKUP($B76,R_DG!$A$7:$G$1305,2,0)</f>
        <v>04.3801</v>
      </c>
      <c r="D76" s="723" t="str">
        <f>VLOOKUP($B76,R_DG!$A$7:$G$1305,3,0)</f>
        <v>Đà cản BTCT 1,2m</v>
      </c>
      <c r="E76" s="714" t="str">
        <f>VLOOKUP($B76,R_DG!$A$7:$G$1305,4,0)</f>
        <v>cái</v>
      </c>
      <c r="F76" s="724">
        <v>2</v>
      </c>
      <c r="G76" s="608">
        <f>VLOOKUP($B76,R_DG!$A$7:$G$1305,5,0)</f>
        <v>650000</v>
      </c>
      <c r="H76" s="608">
        <f>VLOOKUP($B76,R_DG!$A$7:$G$1305,6,0)</f>
        <v>161119.20000000001</v>
      </c>
      <c r="I76" s="608">
        <f>VLOOKUP($B76,R_DG!$A$7:$G$1305,7,0)</f>
        <v>0</v>
      </c>
      <c r="J76" s="608">
        <f t="shared" si="10"/>
        <v>1300000</v>
      </c>
      <c r="K76" s="608">
        <f t="shared" si="10"/>
        <v>322238.40000000002</v>
      </c>
      <c r="L76" s="725">
        <f t="shared" si="10"/>
        <v>0</v>
      </c>
      <c r="M76" s="1127">
        <f>IF(F76&gt;0,M$75,0)</f>
        <v>0</v>
      </c>
      <c r="N76" s="727">
        <f ca="1">$F76*N$75</f>
        <v>0</v>
      </c>
    </row>
    <row r="77" spans="1:14" hidden="1">
      <c r="A77" s="696"/>
      <c r="B77" s="226" t="s">
        <v>2150</v>
      </c>
      <c r="C77" s="713">
        <f>VLOOKUP($B77,R_DG!$A$7:$G$1305,2,0)</f>
        <v>0</v>
      </c>
      <c r="D77" s="723" t="str">
        <f>VLOOKUP($B77,R_DG!$A$7:$G$1305,3,0)</f>
        <v>Boulon 22x550+ 2 long đền vuông D24-50x50x3/Zn</v>
      </c>
      <c r="E77" s="714" t="str">
        <f>VLOOKUP($B77,R_DG!$A$7:$G$1305,4,0)</f>
        <v>bộ</v>
      </c>
      <c r="F77" s="724">
        <v>2</v>
      </c>
      <c r="G77" s="608" t="e">
        <f>VLOOKUP($B77,R_DG!$A$7:$G$1305,5,0)</f>
        <v>#REF!</v>
      </c>
      <c r="H77" s="608">
        <f>VLOOKUP($B77,R_DG!$A$7:$G$1305,6,0)</f>
        <v>0</v>
      </c>
      <c r="I77" s="608">
        <f>VLOOKUP($B77,R_DG!$A$7:$G$1305,7,0)</f>
        <v>0</v>
      </c>
      <c r="J77" s="608" t="e">
        <f t="shared" si="10"/>
        <v>#REF!</v>
      </c>
      <c r="K77" s="608">
        <f t="shared" si="10"/>
        <v>0</v>
      </c>
      <c r="L77" s="725">
        <f t="shared" si="10"/>
        <v>0</v>
      </c>
      <c r="M77" s="1127">
        <f>IF(F77&gt;0,M$75,0)</f>
        <v>0</v>
      </c>
      <c r="N77" s="727">
        <f ca="1">$F77*N$75</f>
        <v>0</v>
      </c>
    </row>
    <row r="78" spans="1:14" hidden="1">
      <c r="A78" s="696"/>
      <c r="B78" s="226" t="str">
        <f>IF(CAPDAT=1,"MDD1",IF(CAPDAT=2,"MDD2",IF(CAPDAT=3,"MDD3",IF(CAPDAT=4,"MDD4"))))</f>
        <v>MDD3</v>
      </c>
      <c r="C78" s="713" t="str">
        <f>VLOOKUP($B78,R_DG!$A$7:$G$1305,2,0)</f>
        <v>AB.11400</v>
      </c>
      <c r="D78" s="723" t="str">
        <f>VLOOKUP($B78,R_DG!$A$7:$G$1305,3,0)</f>
        <v>Đào hố móng đất cấp 3 sâu &gt;1m, rộng &lt;1m</v>
      </c>
      <c r="E78" s="714" t="str">
        <f>VLOOKUP($B78,R_DG!$A$7:$G$1305,4,0)</f>
        <v>m3</v>
      </c>
      <c r="F78" s="730">
        <v>3.65</v>
      </c>
      <c r="G78" s="608">
        <f>VLOOKUP($B78,R_DG!$A$7:$G$1305,5,0)</f>
        <v>0</v>
      </c>
      <c r="H78" s="608">
        <f>VLOOKUP($B78,R_DG!$A$7:$G$1305,6,0)</f>
        <v>418738.31999999995</v>
      </c>
      <c r="I78" s="608">
        <f>VLOOKUP($B78,R_DG!$A$7:$G$1305,7,0)</f>
        <v>0</v>
      </c>
      <c r="J78" s="608">
        <f t="shared" si="10"/>
        <v>0</v>
      </c>
      <c r="K78" s="608">
        <f t="shared" si="10"/>
        <v>1528394.8679999998</v>
      </c>
      <c r="L78" s="725">
        <f t="shared" si="10"/>
        <v>0</v>
      </c>
      <c r="M78" s="1127">
        <f>IF(F78&gt;0,M$75,0)</f>
        <v>0</v>
      </c>
      <c r="N78" s="727">
        <f ca="1">$F78*N$75</f>
        <v>0</v>
      </c>
    </row>
    <row r="79" spans="1:14" hidden="1">
      <c r="A79" s="696"/>
      <c r="B79" s="226" t="str">
        <f>IF(CAPDAT=1,"MDAP1",IF(CAPDAT=2,"MDAP2",IF(CAPDAT=3,"MDAP3",IF(CAPDAT=4,"MDAP4"))))</f>
        <v>MDAP3</v>
      </c>
      <c r="C79" s="713" t="str">
        <f>VLOOKUP($B79,R_DG!$A$7:$G$1305,2,0)</f>
        <v>AB.13000</v>
      </c>
      <c r="D79" s="723" t="str">
        <f>VLOOKUP($B79,R_DG!$A$7:$G$1305,3,0)</f>
        <v>Đắp đất hố móng, đất cấp 3, k = 0,85</v>
      </c>
      <c r="E79" s="714" t="str">
        <f>VLOOKUP($B79,R_DG!$A$7:$G$1305,4,0)</f>
        <v>m3</v>
      </c>
      <c r="F79" s="730">
        <v>4.41</v>
      </c>
      <c r="G79" s="608">
        <f>VLOOKUP($B79,R_DG!$A$7:$G$1305,5,0)</f>
        <v>0</v>
      </c>
      <c r="H79" s="608">
        <f>VLOOKUP($B79,R_DG!$A$7:$G$1305,6,0)</f>
        <v>100210.88</v>
      </c>
      <c r="I79" s="608">
        <f>VLOOKUP($B79,R_DG!$A$7:$G$1305,7,0)</f>
        <v>0</v>
      </c>
      <c r="J79" s="608">
        <f t="shared" si="10"/>
        <v>0</v>
      </c>
      <c r="K79" s="608">
        <f t="shared" si="10"/>
        <v>441929.98080000002</v>
      </c>
      <c r="L79" s="725">
        <f t="shared" si="10"/>
        <v>0</v>
      </c>
      <c r="M79" s="1127">
        <f>IF(F79&gt;0,M$75,0)</f>
        <v>0</v>
      </c>
      <c r="N79" s="727">
        <f ca="1">$F79*N$75</f>
        <v>0</v>
      </c>
    </row>
    <row r="80" spans="1:14" hidden="1">
      <c r="A80" s="696"/>
      <c r="B80" s="226" t="s">
        <v>2152</v>
      </c>
      <c r="C80" s="713" t="str">
        <f>VLOOKUP($B80,R_DG!$A$7:$G$1305,2,0)</f>
        <v>02.1123</v>
      </c>
      <c r="D80" s="723" t="str">
        <f>VLOOKUP($B80,R_DG!$A$7:$G$1305,3,0)</f>
        <v>Bốc dỡ đà cản, đế néo</v>
      </c>
      <c r="E80" s="714" t="str">
        <f>VLOOKUP($B80,R_DG!$A$7:$G$1305,4,0)</f>
        <v>tấn</v>
      </c>
      <c r="F80" s="724">
        <f>0.1*F76</f>
        <v>0.2</v>
      </c>
      <c r="G80" s="608">
        <f>VLOOKUP($B80,R_DG!$A$7:$G$1305,5,0)</f>
        <v>0</v>
      </c>
      <c r="H80" s="608">
        <f>VLOOKUP($B80,R_DG!$A$7:$G$1305,6,0)</f>
        <v>0</v>
      </c>
      <c r="I80" s="608">
        <f>VLOOKUP($B80,R_DG!$A$7:$G$1305,7,0)</f>
        <v>0</v>
      </c>
      <c r="J80" s="608">
        <f t="shared" si="10"/>
        <v>0</v>
      </c>
      <c r="K80" s="608">
        <f t="shared" si="10"/>
        <v>0</v>
      </c>
      <c r="L80" s="725">
        <f t="shared" si="10"/>
        <v>0</v>
      </c>
      <c r="M80" s="1127">
        <f>IF(F80&gt;0,M$75,0)</f>
        <v>0</v>
      </c>
      <c r="N80" s="727">
        <f ca="1">$F80*N$75</f>
        <v>0</v>
      </c>
    </row>
    <row r="81" spans="1:14">
      <c r="A81" s="728" t="s">
        <v>2154</v>
      </c>
      <c r="B81" s="729"/>
      <c r="C81" s="717"/>
      <c r="D81" s="718" t="s">
        <v>2155</v>
      </c>
      <c r="E81" s="718" t="s">
        <v>2146</v>
      </c>
      <c r="F81" s="719"/>
      <c r="G81" s="720"/>
      <c r="H81" s="720"/>
      <c r="I81" s="720"/>
      <c r="J81" s="720">
        <f>SUM(J82:J83)</f>
        <v>0</v>
      </c>
      <c r="K81" s="720">
        <f>SUM(K82:K83)</f>
        <v>71650.615199999986</v>
      </c>
      <c r="L81" s="721">
        <f>SUM(L82:L83)</f>
        <v>0</v>
      </c>
      <c r="M81" s="1126">
        <f>IF(ERROR.TYPE(IF(HLOOKUP(A81,maBK,1,0)&lt;&gt;"",#NULL!,"ABC"))&lt;&gt;7,1,0)</f>
        <v>1</v>
      </c>
      <c r="N81" s="712">
        <f ca="1">SUMIF(maBK,$A81,tongBK1)</f>
        <v>1</v>
      </c>
    </row>
    <row r="82" spans="1:14" hidden="1">
      <c r="A82" s="731"/>
      <c r="B82" s="227" t="str">
        <f>IF(CAPDAT=1,"MDD1",IF(CAPDAT=2,"MDD2",IF(CAPDAT=3,"MDD3",IF(CAPDAT=4,"MDD4"))))</f>
        <v>MDD3</v>
      </c>
      <c r="C82" s="713" t="str">
        <f>VLOOKUP($B82,R_DG!$A$7:$G$1305,2,0)</f>
        <v>AB.11400</v>
      </c>
      <c r="D82" s="723" t="str">
        <f>VLOOKUP($B82,R_DG!$A$7:$G$1305,3,0)</f>
        <v>Đào hố móng đất cấp 3 sâu &gt;1m, rộng &lt;1m</v>
      </c>
      <c r="E82" s="714" t="str">
        <f>VLOOKUP($B82,R_DG!$A$7:$G$1305,4,0)</f>
        <v>m3</v>
      </c>
      <c r="F82" s="732">
        <v>0.106</v>
      </c>
      <c r="G82" s="608">
        <f>VLOOKUP($B82,R_DG!$A$7:$G$1305,5,0)</f>
        <v>0</v>
      </c>
      <c r="H82" s="608">
        <f>VLOOKUP($B82,R_DG!$A$7:$G$1305,6,0)</f>
        <v>418738.31999999995</v>
      </c>
      <c r="I82" s="608">
        <f>VLOOKUP($B82,R_DG!$A$7:$G$1305,7,0)</f>
        <v>0</v>
      </c>
      <c r="J82" s="608">
        <f t="shared" si="10"/>
        <v>0</v>
      </c>
      <c r="K82" s="608">
        <f t="shared" si="10"/>
        <v>44386.26191999999</v>
      </c>
      <c r="L82" s="725">
        <f t="shared" si="10"/>
        <v>0</v>
      </c>
      <c r="M82" s="1127">
        <f>IF(F82&gt;0,M$81,0)</f>
        <v>1</v>
      </c>
      <c r="N82" s="733">
        <f ca="1">$F82*N$81</f>
        <v>0.106</v>
      </c>
    </row>
    <row r="83" spans="1:14" hidden="1">
      <c r="A83" s="731"/>
      <c r="B83" s="227" t="str">
        <f>IF(CAPDAT=1,"MDAP1",IF(CAPDAT=2,"MDAP2",IF(CAPDAT=3,"MDAP3",IF(CAPDAT=4,"MDAP4"))))</f>
        <v>MDAP3</v>
      </c>
      <c r="C83" s="713" t="str">
        <f>VLOOKUP($B83,R_DG!$A$7:$G$1305,2,0)</f>
        <v>AB.13000</v>
      </c>
      <c r="D83" s="723" t="str">
        <f>VLOOKUP($B83,R_DG!$A$7:$G$1305,3,0)</f>
        <v>Đắp đất hố móng, đất cấp 3, k = 0,85</v>
      </c>
      <c r="E83" s="714" t="str">
        <f>VLOOKUP($B83,R_DG!$A$7:$G$1305,4,0)</f>
        <v>m3</v>
      </c>
      <c r="F83" s="732">
        <v>0.106</v>
      </c>
      <c r="G83" s="608">
        <f>VLOOKUP($B83,R_DG!$A$7:$G$1305,5,0)</f>
        <v>0</v>
      </c>
      <c r="H83" s="608">
        <f>DG!F5</f>
        <v>257210.88</v>
      </c>
      <c r="I83" s="608">
        <f>VLOOKUP($B83,R_DG!$A$7:$G$1305,7,0)</f>
        <v>0</v>
      </c>
      <c r="J83" s="608">
        <f t="shared" si="10"/>
        <v>0</v>
      </c>
      <c r="K83" s="608">
        <f t="shared" si="10"/>
        <v>27264.353279999999</v>
      </c>
      <c r="L83" s="725">
        <f t="shared" si="10"/>
        <v>0</v>
      </c>
      <c r="M83" s="1127">
        <f>IF(F83&gt;0,M$81,0)</f>
        <v>1</v>
      </c>
      <c r="N83" s="727">
        <f ca="1">$F83*N$81</f>
        <v>0.106</v>
      </c>
    </row>
    <row r="84" spans="1:14">
      <c r="A84" s="728" t="s">
        <v>2156</v>
      </c>
      <c r="B84" s="729"/>
      <c r="C84" s="717"/>
      <c r="D84" s="718" t="s">
        <v>2157</v>
      </c>
      <c r="E84" s="718" t="s">
        <v>2146</v>
      </c>
      <c r="F84" s="719"/>
      <c r="G84" s="720"/>
      <c r="H84" s="720"/>
      <c r="I84" s="720"/>
      <c r="J84" s="720" t="e">
        <f>SUM(J85:J89)</f>
        <v>#REF!</v>
      </c>
      <c r="K84" s="720">
        <f>SUM(K85:K89)</f>
        <v>365692.55359999998</v>
      </c>
      <c r="L84" s="721">
        <f>SUM(L85:L89)</f>
        <v>0</v>
      </c>
      <c r="M84" s="1126">
        <f>IF(ERROR.TYPE(IF(HLOOKUP(A84,maBK,1,0)&lt;&gt;"",#NULL!,"ABC"))&lt;&gt;7,1,0)</f>
        <v>0</v>
      </c>
      <c r="N84" s="712">
        <f ca="1">SUMIF(maBK,$A84,tongBK1)</f>
        <v>0</v>
      </c>
    </row>
    <row r="85" spans="1:14" hidden="1">
      <c r="A85" s="731"/>
      <c r="B85" s="227" t="s">
        <v>2149</v>
      </c>
      <c r="C85" s="713" t="str">
        <f>VLOOKUP($B85,R_DG!$A$7:$G$1305,2,0)</f>
        <v>04.3801</v>
      </c>
      <c r="D85" s="723" t="str">
        <f>VLOOKUP($B85,R_DG!$A$7:$G$1305,3,0)</f>
        <v>Đà cản BTCT 1,2m</v>
      </c>
      <c r="E85" s="714" t="str">
        <f>VLOOKUP($B85,R_DG!$A$7:$G$1305,4,0)</f>
        <v>cái</v>
      </c>
      <c r="F85" s="734">
        <v>1</v>
      </c>
      <c r="G85" s="608">
        <f>VLOOKUP($B85,R_DG!$A$7:$G$1305,5,0)</f>
        <v>650000</v>
      </c>
      <c r="H85" s="608">
        <f>VLOOKUP($B85,R_DG!$A$7:$G$1305,6,0)</f>
        <v>161119.20000000001</v>
      </c>
      <c r="I85" s="608">
        <f>VLOOKUP($B85,R_DG!$A$7:$G$1305,7,0)</f>
        <v>0</v>
      </c>
      <c r="J85" s="608">
        <f t="shared" si="10"/>
        <v>650000</v>
      </c>
      <c r="K85" s="608">
        <f t="shared" si="10"/>
        <v>161119.20000000001</v>
      </c>
      <c r="L85" s="725">
        <f t="shared" si="10"/>
        <v>0</v>
      </c>
      <c r="M85" s="1127">
        <f>IF(F85&gt;0,M$84,0)</f>
        <v>0</v>
      </c>
      <c r="N85" s="727">
        <f ca="1">$F85*N$84</f>
        <v>0</v>
      </c>
    </row>
    <row r="86" spans="1:14" hidden="1">
      <c r="A86" s="731"/>
      <c r="B86" s="227" t="s">
        <v>2150</v>
      </c>
      <c r="C86" s="713">
        <f>VLOOKUP($B86,R_DG!$A$7:$G$1305,2,0)</f>
        <v>0</v>
      </c>
      <c r="D86" s="723" t="str">
        <f>VLOOKUP($B86,R_DG!$A$7:$G$1305,3,0)</f>
        <v>Boulon 22x550+ 2 long đền vuông D24-50x50x3/Zn</v>
      </c>
      <c r="E86" s="714" t="str">
        <f>VLOOKUP($B86,R_DG!$A$7:$G$1305,4,0)</f>
        <v>bộ</v>
      </c>
      <c r="F86" s="734">
        <v>1</v>
      </c>
      <c r="G86" s="608" t="e">
        <f>VLOOKUP($B86,R_DG!$A$7:$G$1305,5,0)</f>
        <v>#REF!</v>
      </c>
      <c r="H86" s="608">
        <f>VLOOKUP($B86,R_DG!$A$7:$G$1305,6,0)</f>
        <v>0</v>
      </c>
      <c r="I86" s="608">
        <f>VLOOKUP($B86,R_DG!$A$7:$G$1305,7,0)</f>
        <v>0</v>
      </c>
      <c r="J86" s="608" t="e">
        <f t="shared" si="10"/>
        <v>#REF!</v>
      </c>
      <c r="K86" s="608">
        <f t="shared" si="10"/>
        <v>0</v>
      </c>
      <c r="L86" s="725">
        <f t="shared" si="10"/>
        <v>0</v>
      </c>
      <c r="M86" s="1127">
        <f>IF(F86&gt;0,M$84,0)</f>
        <v>0</v>
      </c>
      <c r="N86" s="727">
        <f ca="1">$F86*N$84</f>
        <v>0</v>
      </c>
    </row>
    <row r="87" spans="1:14" hidden="1">
      <c r="A87" s="731"/>
      <c r="B87" s="227" t="str">
        <f>IF(CAPDAT=1,"MDD1",IF(CAPDAT=2,"MDD2",IF(CAPDAT=3,"MDD3",IF(CAPDAT=4,"MDD4"))))</f>
        <v>MDD3</v>
      </c>
      <c r="C87" s="713" t="str">
        <f>VLOOKUP($B87,R_DG!$A$7:$G$1305,2,0)</f>
        <v>AB.11400</v>
      </c>
      <c r="D87" s="723" t="str">
        <f>VLOOKUP($B87,R_DG!$A$7:$G$1305,3,0)</f>
        <v>Đào hố móng đất cấp 3 sâu &gt;1m, rộng &lt;1m</v>
      </c>
      <c r="E87" s="714" t="str">
        <f>VLOOKUP($B87,R_DG!$A$7:$G$1305,4,0)</f>
        <v>m3</v>
      </c>
      <c r="F87" s="734">
        <v>0.4</v>
      </c>
      <c r="G87" s="608">
        <f>VLOOKUP($B87,R_DG!$A$7:$G$1305,5,0)</f>
        <v>0</v>
      </c>
      <c r="H87" s="608">
        <f>VLOOKUP($B87,R_DG!$A$7:$G$1305,6,0)</f>
        <v>418738.31999999995</v>
      </c>
      <c r="I87" s="608">
        <f>VLOOKUP($B87,R_DG!$A$7:$G$1305,7,0)</f>
        <v>0</v>
      </c>
      <c r="J87" s="608">
        <f t="shared" si="10"/>
        <v>0</v>
      </c>
      <c r="K87" s="608">
        <f t="shared" si="10"/>
        <v>167495.32799999998</v>
      </c>
      <c r="L87" s="725">
        <f t="shared" si="10"/>
        <v>0</v>
      </c>
      <c r="M87" s="1127">
        <f>IF(F87&gt;0,M$84,0)</f>
        <v>0</v>
      </c>
      <c r="N87" s="727">
        <f ca="1">$F87*N$84</f>
        <v>0</v>
      </c>
    </row>
    <row r="88" spans="1:14" hidden="1">
      <c r="A88" s="731"/>
      <c r="B88" s="227" t="str">
        <f>IF(CAPDAT=1,"MDAP1",IF(CAPDAT=2,"MDAP2",IF(CAPDAT=3,"MDAP3",IF(CAPDAT=4,"MDAP4"))))</f>
        <v>MDAP3</v>
      </c>
      <c r="C88" s="713" t="str">
        <f>VLOOKUP($B88,R_DG!$A$7:$G$1305,2,0)</f>
        <v>AB.13000</v>
      </c>
      <c r="D88" s="723" t="str">
        <f>VLOOKUP($B88,R_DG!$A$7:$G$1305,3,0)</f>
        <v>Đắp đất hố móng, đất cấp 3, k = 0,85</v>
      </c>
      <c r="E88" s="714" t="str">
        <f>VLOOKUP($B88,R_DG!$A$7:$G$1305,4,0)</f>
        <v>m3</v>
      </c>
      <c r="F88" s="734">
        <v>0.37</v>
      </c>
      <c r="G88" s="608">
        <f>VLOOKUP($B88,R_DG!$A$7:$G$1305,5,0)</f>
        <v>0</v>
      </c>
      <c r="H88" s="608">
        <f>VLOOKUP($B88,R_DG!$A$7:$G$1305,6,0)</f>
        <v>100210.88</v>
      </c>
      <c r="I88" s="608">
        <f>VLOOKUP($B88,R_DG!$A$7:$G$1305,7,0)</f>
        <v>0</v>
      </c>
      <c r="J88" s="608">
        <f t="shared" si="10"/>
        <v>0</v>
      </c>
      <c r="K88" s="608">
        <f t="shared" si="10"/>
        <v>37078.025600000001</v>
      </c>
      <c r="L88" s="725">
        <f t="shared" si="10"/>
        <v>0</v>
      </c>
      <c r="M88" s="1127">
        <f>IF(F88&gt;0,M$84,0)</f>
        <v>0</v>
      </c>
      <c r="N88" s="727">
        <f ca="1">$F88*N$84</f>
        <v>0</v>
      </c>
    </row>
    <row r="89" spans="1:14" hidden="1">
      <c r="A89" s="731"/>
      <c r="B89" s="227" t="s">
        <v>2152</v>
      </c>
      <c r="C89" s="713" t="str">
        <f>VLOOKUP($B89,R_DG!$A$7:$G$1305,2,0)</f>
        <v>02.1123</v>
      </c>
      <c r="D89" s="723" t="str">
        <f>VLOOKUP($B89,R_DG!$A$7:$G$1305,3,0)</f>
        <v>Bốc dỡ đà cản, đế néo</v>
      </c>
      <c r="E89" s="714" t="str">
        <f>VLOOKUP($B89,R_DG!$A$7:$G$1305,4,0)</f>
        <v>tấn</v>
      </c>
      <c r="F89" s="734"/>
      <c r="G89" s="608">
        <f>VLOOKUP($B89,R_DG!$A$7:$G$1305,5,0)</f>
        <v>0</v>
      </c>
      <c r="H89" s="608">
        <f>VLOOKUP($B89,R_DG!$A$7:$G$1305,6,0)</f>
        <v>0</v>
      </c>
      <c r="I89" s="608">
        <f>VLOOKUP($B89,R_DG!$A$7:$G$1305,7,0)</f>
        <v>0</v>
      </c>
      <c r="J89" s="608">
        <f t="shared" si="10"/>
        <v>0</v>
      </c>
      <c r="K89" s="608">
        <f t="shared" si="10"/>
        <v>0</v>
      </c>
      <c r="L89" s="725">
        <f t="shared" si="10"/>
        <v>0</v>
      </c>
      <c r="M89" s="1127">
        <f>IF(F89&gt;0,M$84,0)</f>
        <v>0</v>
      </c>
      <c r="N89" s="727">
        <f ca="1">$F89*N$84</f>
        <v>0</v>
      </c>
    </row>
    <row r="90" spans="1:14">
      <c r="A90" s="728" t="s">
        <v>2339</v>
      </c>
      <c r="B90" s="729"/>
      <c r="C90" s="717"/>
      <c r="D90" s="718" t="s">
        <v>2158</v>
      </c>
      <c r="E90" s="718" t="s">
        <v>2146</v>
      </c>
      <c r="F90" s="719"/>
      <c r="G90" s="720"/>
      <c r="H90" s="720"/>
      <c r="I90" s="720"/>
      <c r="J90" s="720">
        <f>SUM(J91:J106)</f>
        <v>787912.64999999991</v>
      </c>
      <c r="K90" s="720">
        <f>SUM(K91:K106)</f>
        <v>609512.89299999992</v>
      </c>
      <c r="L90" s="721">
        <f>SUM(L91:L106)</f>
        <v>0</v>
      </c>
      <c r="M90" s="1126">
        <f>IF(ERROR.TYPE(IF(HLOOKUP(A90,maBK,1,0)&lt;&gt;"",#NULL!,"ABC"))&lt;&gt;7,1,0)</f>
        <v>1</v>
      </c>
      <c r="N90" s="712">
        <f ca="1">SUMIF(maBK,$A90,tongBK1)</f>
        <v>0</v>
      </c>
    </row>
    <row r="91" spans="1:14" hidden="1">
      <c r="A91" s="731"/>
      <c r="B91" s="735" t="s">
        <v>767</v>
      </c>
      <c r="C91" s="713">
        <f>VLOOKUP($B91,R_DG!$A$7:$G$1305,2,0)</f>
        <v>0</v>
      </c>
      <c r="D91" s="723" t="str">
        <f>VLOOKUP($B91,R_DG!$A$7:$G$1305,3,0)</f>
        <v>Ximăng</v>
      </c>
      <c r="E91" s="714" t="str">
        <f>VLOOKUP($B91,R_DG!$A$7:$G$1305,4,0)</f>
        <v>kg</v>
      </c>
      <c r="F91" s="732">
        <f>350.55*F106</f>
        <v>245.38499999999999</v>
      </c>
      <c r="G91" s="608">
        <f>84500/50</f>
        <v>1690</v>
      </c>
      <c r="H91" s="608">
        <f>VLOOKUP($B91,R_DG!$A$7:$G$1305,6,0)</f>
        <v>0</v>
      </c>
      <c r="I91" s="608">
        <f>VLOOKUP($B91,R_DG!$A$7:$G$1305,7,0)</f>
        <v>0</v>
      </c>
      <c r="J91" s="608">
        <f t="shared" si="10"/>
        <v>414700.64999999997</v>
      </c>
      <c r="K91" s="608">
        <f t="shared" si="10"/>
        <v>0</v>
      </c>
      <c r="L91" s="725">
        <f t="shared" si="10"/>
        <v>0</v>
      </c>
      <c r="M91" s="1127">
        <f t="shared" ref="M91:M106" si="15">IF(F91&gt;0,M$90,0)</f>
        <v>1</v>
      </c>
      <c r="N91" s="727">
        <f t="shared" ref="N91:N106" ca="1" si="16">$F91*N$90</f>
        <v>0</v>
      </c>
    </row>
    <row r="92" spans="1:14" hidden="1">
      <c r="A92" s="731"/>
      <c r="B92" s="735" t="s">
        <v>762</v>
      </c>
      <c r="C92" s="713">
        <f>VLOOKUP($B92,R_DG!$A$7:$G$1305,2,0)</f>
        <v>0</v>
      </c>
      <c r="D92" s="723" t="str">
        <f>VLOOKUP($B92,R_DG!$A$7:$G$1305,3,0)</f>
        <v>Cát vàng</v>
      </c>
      <c r="E92" s="714" t="str">
        <f>VLOOKUP($B92,R_DG!$A$7:$G$1305,4,0)</f>
        <v>m3</v>
      </c>
      <c r="F92" s="732">
        <f>0.481*F106</f>
        <v>0.33669999999999994</v>
      </c>
      <c r="G92" s="608">
        <v>360000</v>
      </c>
      <c r="H92" s="608">
        <f>VLOOKUP($B92,R_DG!$A$7:$G$1305,6,0)</f>
        <v>0</v>
      </c>
      <c r="I92" s="608">
        <f>VLOOKUP($B92,R_DG!$A$7:$G$1305,7,0)</f>
        <v>0</v>
      </c>
      <c r="J92" s="608">
        <f t="shared" si="10"/>
        <v>121211.99999999999</v>
      </c>
      <c r="K92" s="608">
        <f t="shared" si="10"/>
        <v>0</v>
      </c>
      <c r="L92" s="725">
        <f t="shared" si="10"/>
        <v>0</v>
      </c>
      <c r="M92" s="1127">
        <f t="shared" si="15"/>
        <v>1</v>
      </c>
      <c r="N92" s="727">
        <f t="shared" ca="1" si="16"/>
        <v>0</v>
      </c>
    </row>
    <row r="93" spans="1:14" hidden="1">
      <c r="A93" s="731"/>
      <c r="B93" s="735" t="s">
        <v>2159</v>
      </c>
      <c r="C93" s="713">
        <f>VLOOKUP($B93,R_DG!$A$7:$G$1305,2,0)</f>
        <v>0</v>
      </c>
      <c r="D93" s="723" t="str">
        <f>VLOOKUP($B93,R_DG!$A$7:$G$1305,3,0)</f>
        <v>Đá 1x2</v>
      </c>
      <c r="E93" s="714" t="str">
        <f>VLOOKUP($B93,R_DG!$A$7:$G$1305,4,0)</f>
        <v>m3</v>
      </c>
      <c r="F93" s="732">
        <f>0.9*F106</f>
        <v>0.63</v>
      </c>
      <c r="G93" s="608">
        <f>VLOOKUP($B93,R_DG!$A$7:$G$1305,5,0)</f>
        <v>400000</v>
      </c>
      <c r="H93" s="608">
        <f>VLOOKUP($B93,R_DG!$A$7:$G$1305,6,0)</f>
        <v>0</v>
      </c>
      <c r="I93" s="608">
        <f>VLOOKUP($B93,R_DG!$A$7:$G$1305,7,0)</f>
        <v>0</v>
      </c>
      <c r="J93" s="608">
        <f t="shared" si="10"/>
        <v>252000</v>
      </c>
      <c r="K93" s="608">
        <f t="shared" si="10"/>
        <v>0</v>
      </c>
      <c r="L93" s="725">
        <f t="shared" si="10"/>
        <v>0</v>
      </c>
      <c r="M93" s="1127">
        <f t="shared" si="15"/>
        <v>1</v>
      </c>
      <c r="N93" s="727">
        <f t="shared" ca="1" si="16"/>
        <v>0</v>
      </c>
    </row>
    <row r="94" spans="1:14" hidden="1">
      <c r="A94" s="731"/>
      <c r="B94" s="735" t="s">
        <v>671</v>
      </c>
      <c r="C94" s="713">
        <f>VLOOKUP($B94,R_DG!$A$7:$G$1305,2,0)</f>
        <v>0</v>
      </c>
      <c r="D94" s="723" t="str">
        <f>VLOOKUP($B94,R_DG!$A$7:$G$1305,3,0)</f>
        <v>Sắt  φ8</v>
      </c>
      <c r="E94" s="714" t="str">
        <f>VLOOKUP($B94,R_DG!$A$7:$G$1305,4,0)</f>
        <v>kg</v>
      </c>
      <c r="F94" s="732"/>
      <c r="G94" s="608">
        <f>VLOOKUP($B94,R_DG!$A$7:$G$1305,5,0)</f>
        <v>16000</v>
      </c>
      <c r="H94" s="608">
        <f>VLOOKUP($B94,R_DG!$A$7:$G$1305,6,0)</f>
        <v>0</v>
      </c>
      <c r="I94" s="608">
        <f>VLOOKUP($B94,R_DG!$A$7:$G$1305,7,0)</f>
        <v>0</v>
      </c>
      <c r="J94" s="608">
        <f t="shared" si="10"/>
        <v>0</v>
      </c>
      <c r="K94" s="608">
        <f t="shared" si="10"/>
        <v>0</v>
      </c>
      <c r="L94" s="725">
        <f t="shared" si="10"/>
        <v>0</v>
      </c>
      <c r="M94" s="1127">
        <f t="shared" si="15"/>
        <v>0</v>
      </c>
      <c r="N94" s="727">
        <f t="shared" ca="1" si="16"/>
        <v>0</v>
      </c>
    </row>
    <row r="95" spans="1:14" hidden="1">
      <c r="A95" s="731"/>
      <c r="B95" s="735" t="s">
        <v>1974</v>
      </c>
      <c r="C95" s="713">
        <f>VLOOKUP($B95,R_DG!$A$7:$G$1305,2,0)</f>
        <v>0</v>
      </c>
      <c r="D95" s="723" t="str">
        <f>VLOOKUP($B95,R_DG!$A$7:$G$1305,3,0)</f>
        <v>Kẽm</v>
      </c>
      <c r="E95" s="714" t="str">
        <f>VLOOKUP($B95,R_DG!$A$7:$G$1305,4,0)</f>
        <v>kg</v>
      </c>
      <c r="F95" s="732"/>
      <c r="G95" s="608">
        <f>VLOOKUP($B95,R_DG!$A$7:$G$1305,5,0)</f>
        <v>35200</v>
      </c>
      <c r="H95" s="608">
        <f>VLOOKUP($B95,R_DG!$A$7:$G$1305,6,0)</f>
        <v>0</v>
      </c>
      <c r="I95" s="608">
        <f>VLOOKUP($B95,R_DG!$A$7:$G$1305,7,0)</f>
        <v>0</v>
      </c>
      <c r="J95" s="608">
        <f t="shared" si="10"/>
        <v>0</v>
      </c>
      <c r="K95" s="608">
        <f t="shared" si="10"/>
        <v>0</v>
      </c>
      <c r="L95" s="725">
        <f t="shared" si="10"/>
        <v>0</v>
      </c>
      <c r="M95" s="1127">
        <f t="shared" si="15"/>
        <v>0</v>
      </c>
      <c r="N95" s="727">
        <f t="shared" ca="1" si="16"/>
        <v>0</v>
      </c>
    </row>
    <row r="96" spans="1:14" hidden="1">
      <c r="A96" s="731"/>
      <c r="B96" s="735" t="s">
        <v>818</v>
      </c>
      <c r="C96" s="713" t="str">
        <f>VLOOKUP($B96,R_DG!$A$7:$G$1305,2,0)</f>
        <v>AB.11400</v>
      </c>
      <c r="D96" s="723" t="str">
        <f>VLOOKUP($B96,R_DG!$A$7:$G$1305,3,0)</f>
        <v>Đào hố móng đất cấp 3 sâu &gt;1m, rộng &lt;1m</v>
      </c>
      <c r="E96" s="714" t="str">
        <f>VLOOKUP($B96,R_DG!$A$7:$G$1305,4,0)</f>
        <v>m3</v>
      </c>
      <c r="F96" s="732">
        <v>0.76900000000000002</v>
      </c>
      <c r="G96" s="608">
        <f>VLOOKUP($B96,R_DG!$A$7:$G$1305,5,0)</f>
        <v>0</v>
      </c>
      <c r="H96" s="608">
        <f>VLOOKUP($B96,R_DG!$A$7:$G$1305,6,0)</f>
        <v>418738.31999999995</v>
      </c>
      <c r="I96" s="608">
        <f>VLOOKUP($B96,R_DG!$A$7:$G$1305,7,0)</f>
        <v>0</v>
      </c>
      <c r="J96" s="608">
        <f t="shared" si="10"/>
        <v>0</v>
      </c>
      <c r="K96" s="608">
        <f t="shared" si="10"/>
        <v>322009.76807999995</v>
      </c>
      <c r="L96" s="725">
        <f t="shared" si="10"/>
        <v>0</v>
      </c>
      <c r="M96" s="1127">
        <f t="shared" si="15"/>
        <v>1</v>
      </c>
      <c r="N96" s="727">
        <f t="shared" ca="1" si="16"/>
        <v>0</v>
      </c>
    </row>
    <row r="97" spans="1:14" hidden="1">
      <c r="A97" s="731"/>
      <c r="B97" s="735" t="s">
        <v>831</v>
      </c>
      <c r="C97" s="713" t="str">
        <f>VLOOKUP($B97,R_DG!$A$7:$G$1305,2,0)</f>
        <v>AB.13000</v>
      </c>
      <c r="D97" s="723" t="str">
        <f>VLOOKUP($B97,R_DG!$A$7:$G$1305,3,0)</f>
        <v>Đắp đất hố móng, đất cấp 3, k = 0,85</v>
      </c>
      <c r="E97" s="714" t="str">
        <f>VLOOKUP($B97,R_DG!$A$7:$G$1305,4,0)</f>
        <v>m3</v>
      </c>
      <c r="F97" s="732">
        <v>3.4000000000000002E-2</v>
      </c>
      <c r="G97" s="608">
        <f>VLOOKUP($B97,R_DG!$A$7:$G$1305,5,0)</f>
        <v>0</v>
      </c>
      <c r="H97" s="608">
        <f>H83</f>
        <v>257210.88</v>
      </c>
      <c r="I97" s="608">
        <f>VLOOKUP($B97,R_DG!$A$7:$G$1305,7,0)</f>
        <v>0</v>
      </c>
      <c r="J97" s="608">
        <f t="shared" si="10"/>
        <v>0</v>
      </c>
      <c r="K97" s="608">
        <f t="shared" si="10"/>
        <v>8745.1699200000003</v>
      </c>
      <c r="L97" s="725">
        <f t="shared" si="10"/>
        <v>0</v>
      </c>
      <c r="M97" s="1127">
        <f t="shared" si="15"/>
        <v>1</v>
      </c>
      <c r="N97" s="727">
        <f t="shared" ca="1" si="16"/>
        <v>0</v>
      </c>
    </row>
    <row r="98" spans="1:14" hidden="1">
      <c r="A98" s="731"/>
      <c r="B98" s="735" t="s">
        <v>1116</v>
      </c>
      <c r="C98" s="713" t="str">
        <f>VLOOKUP($B98,R_DG!$A$7:$G$1305,2,0)</f>
        <v>02.1101</v>
      </c>
      <c r="D98" s="723" t="str">
        <f>VLOOKUP($B98,R_DG!$A$7:$G$1305,3,0)</f>
        <v>Bốc dỡ xi măng</v>
      </c>
      <c r="E98" s="714" t="str">
        <f>VLOOKUP($B98,R_DG!$A$7:$G$1305,4,0)</f>
        <v>tấn</v>
      </c>
      <c r="F98" s="734">
        <f>F91/1000</f>
        <v>0.24538499999999999</v>
      </c>
      <c r="G98" s="608">
        <f>VLOOKUP($B98,R_DG!$A$7:$G$1305,5,0)</f>
        <v>0</v>
      </c>
      <c r="H98" s="608">
        <f>VLOOKUP($B98,R_DG!$A$7:$G$1305,6,0)</f>
        <v>0</v>
      </c>
      <c r="I98" s="608">
        <f>VLOOKUP($B98,R_DG!$A$7:$G$1305,7,0)</f>
        <v>0</v>
      </c>
      <c r="J98" s="608">
        <f t="shared" si="10"/>
        <v>0</v>
      </c>
      <c r="K98" s="608">
        <f t="shared" si="10"/>
        <v>0</v>
      </c>
      <c r="L98" s="725">
        <f t="shared" si="10"/>
        <v>0</v>
      </c>
      <c r="M98" s="1127">
        <f t="shared" si="15"/>
        <v>1</v>
      </c>
      <c r="N98" s="727">
        <f t="shared" ca="1" si="16"/>
        <v>0</v>
      </c>
    </row>
    <row r="99" spans="1:14" hidden="1">
      <c r="A99" s="731"/>
      <c r="B99" s="735" t="s">
        <v>1119</v>
      </c>
      <c r="C99" s="713" t="str">
        <f>VLOOKUP($B99,R_DG!$A$7:$G$1305,2,0)</f>
        <v>02.1103</v>
      </c>
      <c r="D99" s="723" t="str">
        <f>VLOOKUP($B99,R_DG!$A$7:$G$1305,3,0)</f>
        <v>Bốc dỡ cát</v>
      </c>
      <c r="E99" s="714" t="str">
        <f>VLOOKUP($B99,R_DG!$A$7:$G$1305,4,0)</f>
        <v>m3</v>
      </c>
      <c r="F99" s="734">
        <f>F92</f>
        <v>0.33669999999999994</v>
      </c>
      <c r="G99" s="608">
        <f>VLOOKUP($B99,R_DG!$A$7:$G$1305,5,0)</f>
        <v>0</v>
      </c>
      <c r="H99" s="608">
        <f>VLOOKUP($B99,R_DG!$A$7:$G$1305,6,0)</f>
        <v>0</v>
      </c>
      <c r="I99" s="608">
        <f>VLOOKUP($B99,R_DG!$A$7:$G$1305,7,0)</f>
        <v>0</v>
      </c>
      <c r="J99" s="608">
        <f t="shared" si="10"/>
        <v>0</v>
      </c>
      <c r="K99" s="608">
        <f t="shared" si="10"/>
        <v>0</v>
      </c>
      <c r="L99" s="725">
        <f t="shared" si="10"/>
        <v>0</v>
      </c>
      <c r="M99" s="1127">
        <f t="shared" si="15"/>
        <v>1</v>
      </c>
      <c r="N99" s="727">
        <f t="shared" ca="1" si="16"/>
        <v>0</v>
      </c>
    </row>
    <row r="100" spans="1:14" hidden="1">
      <c r="A100" s="731"/>
      <c r="B100" s="735" t="s">
        <v>1122</v>
      </c>
      <c r="C100" s="713" t="str">
        <f>VLOOKUP($B100,R_DG!$A$7:$G$1305,2,0)</f>
        <v>02.1104</v>
      </c>
      <c r="D100" s="723" t="str">
        <f>VLOOKUP($B100,R_DG!$A$7:$G$1305,3,0)</f>
        <v>Bốc dỡ đá dăm</v>
      </c>
      <c r="E100" s="714" t="str">
        <f>VLOOKUP($B100,R_DG!$A$7:$G$1305,4,0)</f>
        <v>m3</v>
      </c>
      <c r="F100" s="734">
        <f>F93</f>
        <v>0.63</v>
      </c>
      <c r="G100" s="608">
        <f>VLOOKUP($B100,R_DG!$A$7:$G$1305,5,0)</f>
        <v>0</v>
      </c>
      <c r="H100" s="608">
        <f>VLOOKUP($B100,R_DG!$A$7:$G$1305,6,0)</f>
        <v>0</v>
      </c>
      <c r="I100" s="608">
        <f>VLOOKUP($B100,R_DG!$A$7:$G$1305,7,0)</f>
        <v>0</v>
      </c>
      <c r="J100" s="608">
        <f t="shared" si="10"/>
        <v>0</v>
      </c>
      <c r="K100" s="608">
        <f t="shared" si="10"/>
        <v>0</v>
      </c>
      <c r="L100" s="725">
        <f t="shared" si="10"/>
        <v>0</v>
      </c>
      <c r="M100" s="1127">
        <f t="shared" si="15"/>
        <v>1</v>
      </c>
      <c r="N100" s="727">
        <f t="shared" ca="1" si="16"/>
        <v>0</v>
      </c>
    </row>
    <row r="101" spans="1:14" hidden="1">
      <c r="A101" s="731"/>
      <c r="B101" s="735" t="s">
        <v>1250</v>
      </c>
      <c r="C101" s="713" t="str">
        <f>VLOOKUP($B101,R_DG!$A$7:$G$1305,2,0)</f>
        <v>04.1101</v>
      </c>
      <c r="D101" s="723" t="str">
        <f>VLOOKUP($B101,R_DG!$A$7:$G$1305,3,0)</f>
        <v>Gia công và lắp dựng cốt thép D&lt;=10</v>
      </c>
      <c r="E101" s="714" t="str">
        <f>VLOOKUP($B101,R_DG!$A$7:$G$1305,4,0)</f>
        <v>kg</v>
      </c>
      <c r="F101" s="734">
        <f>F94*0</f>
        <v>0</v>
      </c>
      <c r="G101" s="608">
        <f>VLOOKUP($B101,R_DG!$A$7:$G$1305,5,0)</f>
        <v>405.99</v>
      </c>
      <c r="H101" s="608">
        <f>VLOOKUP($B101,R_DG!$A$7:$G$1305,6,0)</f>
        <v>0</v>
      </c>
      <c r="I101" s="608">
        <f>VLOOKUP($B101,R_DG!$A$7:$G$1305,7,0)</f>
        <v>0</v>
      </c>
      <c r="J101" s="608">
        <f t="shared" si="10"/>
        <v>0</v>
      </c>
      <c r="K101" s="608">
        <f t="shared" si="10"/>
        <v>0</v>
      </c>
      <c r="L101" s="725">
        <f t="shared" si="10"/>
        <v>0</v>
      </c>
      <c r="M101" s="1127">
        <f t="shared" si="15"/>
        <v>0</v>
      </c>
      <c r="N101" s="727">
        <f t="shared" ca="1" si="16"/>
        <v>0</v>
      </c>
    </row>
    <row r="102" spans="1:14" hidden="1">
      <c r="A102" s="731"/>
      <c r="B102" s="735" t="s">
        <v>1027</v>
      </c>
      <c r="C102" s="713" t="str">
        <f>VLOOKUP($B102,R_DG!$A$7:$G$1305,2,0)</f>
        <v>02.1211</v>
      </c>
      <c r="D102" s="723" t="str">
        <f>VLOOKUP($B102,R_DG!$A$7:$G$1305,3,0)</f>
        <v>V/c xi măng ( cự ly &lt;=100m)</v>
      </c>
      <c r="E102" s="714" t="str">
        <f>VLOOKUP($B102,R_DG!$A$7:$G$1305,4,0)</f>
        <v>tấn</v>
      </c>
      <c r="F102" s="736">
        <f>F98</f>
        <v>0.24538499999999999</v>
      </c>
      <c r="G102" s="608">
        <f>VLOOKUP($B102,R_DG!$A$7:$G$1305,5,0)</f>
        <v>0</v>
      </c>
      <c r="H102" s="608">
        <f>VLOOKUP($B102,R_DG!$A$7:$G$1305,6,0)</f>
        <v>0</v>
      </c>
      <c r="I102" s="608">
        <f>VLOOKUP($B102,R_DG!$A$7:$G$1305,7,0)</f>
        <v>0</v>
      </c>
      <c r="J102" s="608">
        <f t="shared" si="10"/>
        <v>0</v>
      </c>
      <c r="K102" s="608">
        <f t="shared" si="10"/>
        <v>0</v>
      </c>
      <c r="L102" s="725">
        <f t="shared" si="10"/>
        <v>0</v>
      </c>
      <c r="M102" s="1127">
        <f t="shared" si="15"/>
        <v>1</v>
      </c>
      <c r="N102" s="727">
        <f t="shared" ca="1" si="16"/>
        <v>0</v>
      </c>
    </row>
    <row r="103" spans="1:14" hidden="1">
      <c r="A103" s="731"/>
      <c r="B103" s="735" t="s">
        <v>1072</v>
      </c>
      <c r="C103" s="713" t="str">
        <f>VLOOKUP($B103,R_DG!$A$7:$G$1305,2,0)</f>
        <v>02.1231</v>
      </c>
      <c r="D103" s="723" t="str">
        <f>VLOOKUP($B103,R_DG!$A$7:$G$1305,3,0)</f>
        <v>V/c cát vàng cự ly &lt;=100m</v>
      </c>
      <c r="E103" s="714" t="str">
        <f>VLOOKUP($B103,R_DG!$A$7:$G$1305,4,0)</f>
        <v>m3</v>
      </c>
      <c r="F103" s="736">
        <f>F99</f>
        <v>0.33669999999999994</v>
      </c>
      <c r="G103" s="608">
        <f>VLOOKUP($B103,R_DG!$A$7:$G$1305,5,0)</f>
        <v>0</v>
      </c>
      <c r="H103" s="608">
        <f>VLOOKUP($B103,R_DG!$A$7:$G$1305,6,0)</f>
        <v>0</v>
      </c>
      <c r="I103" s="608">
        <f>VLOOKUP($B103,R_DG!$A$7:$G$1305,7,0)</f>
        <v>0</v>
      </c>
      <c r="J103" s="608">
        <f t="shared" si="10"/>
        <v>0</v>
      </c>
      <c r="K103" s="608">
        <f t="shared" si="10"/>
        <v>0</v>
      </c>
      <c r="L103" s="725">
        <f t="shared" si="10"/>
        <v>0</v>
      </c>
      <c r="M103" s="1127">
        <f t="shared" si="15"/>
        <v>1</v>
      </c>
      <c r="N103" s="727">
        <f t="shared" ca="1" si="16"/>
        <v>0</v>
      </c>
    </row>
    <row r="104" spans="1:14" hidden="1">
      <c r="A104" s="731"/>
      <c r="B104" s="735" t="s">
        <v>1039</v>
      </c>
      <c r="C104" s="713" t="str">
        <f>VLOOKUP($B104,R_DG!$A$7:$G$1305,2,0)</f>
        <v>02.1241</v>
      </c>
      <c r="D104" s="723" t="str">
        <f>VLOOKUP($B104,R_DG!$A$7:$G$1305,3,0)</f>
        <v>V/c đá dăm ( cự ly &lt;=100m)</v>
      </c>
      <c r="E104" s="714" t="str">
        <f>VLOOKUP($B104,R_DG!$A$7:$G$1305,4,0)</f>
        <v>m3</v>
      </c>
      <c r="F104" s="736">
        <f>F100</f>
        <v>0.63</v>
      </c>
      <c r="G104" s="608">
        <f>VLOOKUP($B104,R_DG!$A$7:$G$1305,5,0)</f>
        <v>0</v>
      </c>
      <c r="H104" s="608">
        <f>VLOOKUP($B104,R_DG!$A$7:$G$1305,6,0)</f>
        <v>0</v>
      </c>
      <c r="I104" s="608">
        <f>VLOOKUP($B104,R_DG!$A$7:$G$1305,7,0)</f>
        <v>0</v>
      </c>
      <c r="J104" s="608">
        <f t="shared" si="10"/>
        <v>0</v>
      </c>
      <c r="K104" s="608">
        <f t="shared" si="10"/>
        <v>0</v>
      </c>
      <c r="L104" s="725">
        <f t="shared" si="10"/>
        <v>0</v>
      </c>
      <c r="M104" s="1127">
        <f t="shared" si="15"/>
        <v>1</v>
      </c>
      <c r="N104" s="727">
        <f t="shared" ca="1" si="16"/>
        <v>0</v>
      </c>
    </row>
    <row r="105" spans="1:14" hidden="1">
      <c r="A105" s="731"/>
      <c r="B105" s="735" t="s">
        <v>991</v>
      </c>
      <c r="C105" s="713" t="str">
        <f>VLOOKUP($B105,R_DG!$A$7:$G$1305,2,0)</f>
        <v>02.1482</v>
      </c>
      <c r="D105" s="723" t="str">
        <f>VLOOKUP($B105,R_DG!$A$7:$G$1305,3,0)</f>
        <v>V/c dụng cụ thi công ( cự ly &lt;=100m)</v>
      </c>
      <c r="E105" s="714" t="str">
        <f>VLOOKUP($B105,R_DG!$A$7:$G$1305,4,0)</f>
        <v>tấn</v>
      </c>
      <c r="F105" s="732"/>
      <c r="G105" s="608">
        <f>VLOOKUP($B105,R_DG!$A$7:$G$1305,5,0)</f>
        <v>0</v>
      </c>
      <c r="H105" s="608">
        <f>VLOOKUP($B105,R_DG!$A$7:$G$1305,6,0)</f>
        <v>0</v>
      </c>
      <c r="I105" s="608">
        <f>VLOOKUP($B105,R_DG!$A$7:$G$1305,7,0)</f>
        <v>0</v>
      </c>
      <c r="J105" s="608">
        <f t="shared" si="10"/>
        <v>0</v>
      </c>
      <c r="K105" s="608">
        <f t="shared" si="10"/>
        <v>0</v>
      </c>
      <c r="L105" s="725">
        <f t="shared" si="10"/>
        <v>0</v>
      </c>
      <c r="M105" s="1127">
        <f t="shared" si="15"/>
        <v>0</v>
      </c>
      <c r="N105" s="727">
        <f t="shared" ca="1" si="16"/>
        <v>0</v>
      </c>
    </row>
    <row r="106" spans="1:14" hidden="1">
      <c r="A106" s="731"/>
      <c r="B106" s="735" t="s">
        <v>1247</v>
      </c>
      <c r="C106" s="713" t="str">
        <f>VLOOKUP($B106,R_DG!$A$7:$G$1305,2,0)</f>
        <v>AF112.20</v>
      </c>
      <c r="D106" s="723" t="str">
        <f>VLOOKUP($B106,R_DG!$A$7:$G$1305,3,0)</f>
        <v>Đổ bê tông mác M200 đá 1x2</v>
      </c>
      <c r="E106" s="714" t="str">
        <f>VLOOKUP($B106,R_DG!$A$7:$G$1305,4,0)</f>
        <v>m3</v>
      </c>
      <c r="F106" s="732">
        <v>0.7</v>
      </c>
      <c r="G106" s="608">
        <f>VLOOKUP($B106,R_DG!$A$7:$G$1305,5,0)</f>
        <v>0</v>
      </c>
      <c r="H106" s="608">
        <f>VLOOKUP($B106,R_DG!$A$7:$G$1305,6,0)</f>
        <v>398225.65</v>
      </c>
      <c r="I106" s="608">
        <f>VLOOKUP($B106,R_DG!$A$7:$G$1305,7,0)</f>
        <v>0</v>
      </c>
      <c r="J106" s="608">
        <f t="shared" si="10"/>
        <v>0</v>
      </c>
      <c r="K106" s="608">
        <f t="shared" si="10"/>
        <v>278757.95500000002</v>
      </c>
      <c r="L106" s="725">
        <f t="shared" si="10"/>
        <v>0</v>
      </c>
      <c r="M106" s="1127">
        <f t="shared" si="15"/>
        <v>1</v>
      </c>
      <c r="N106" s="727">
        <f t="shared" ca="1" si="16"/>
        <v>0</v>
      </c>
    </row>
    <row r="107" spans="1:14">
      <c r="A107" s="728" t="s">
        <v>2340</v>
      </c>
      <c r="B107" s="729"/>
      <c r="C107" s="717"/>
      <c r="D107" s="718" t="s">
        <v>2160</v>
      </c>
      <c r="E107" s="718" t="s">
        <v>2146</v>
      </c>
      <c r="F107" s="719"/>
      <c r="G107" s="720"/>
      <c r="H107" s="720"/>
      <c r="I107" s="720"/>
      <c r="J107" s="720" t="e">
        <f>SUM(J108:J123)</f>
        <v>#REF!</v>
      </c>
      <c r="K107" s="720">
        <f>SUM(K108:K123)</f>
        <v>798539.73385999992</v>
      </c>
      <c r="L107" s="721">
        <f>SUM(L108:L123)</f>
        <v>0</v>
      </c>
      <c r="M107" s="1126">
        <f>IF(ERROR.TYPE(IF(HLOOKUP(A107,maBK,1,0)&lt;&gt;"",#NULL!,"ABC"))&lt;&gt;7,1,0)</f>
        <v>1</v>
      </c>
      <c r="N107" s="712">
        <f ca="1">SUMIF(maBK,$A107,tongBK1)</f>
        <v>1</v>
      </c>
    </row>
    <row r="108" spans="1:14" hidden="1">
      <c r="A108" s="731"/>
      <c r="B108" s="735" t="s">
        <v>767</v>
      </c>
      <c r="C108" s="713">
        <f>VLOOKUP($B108,R_DG!$A$7:$G$1305,2,0)</f>
        <v>0</v>
      </c>
      <c r="D108" s="723" t="str">
        <f>VLOOKUP($B108,R_DG!$A$7:$G$1305,3,0)</f>
        <v>Ximăng</v>
      </c>
      <c r="E108" s="714" t="str">
        <f>VLOOKUP($B108,R_DG!$A$7:$G$1305,4,0)</f>
        <v>kg</v>
      </c>
      <c r="F108" s="732">
        <v>235</v>
      </c>
      <c r="G108" s="608">
        <f>G91</f>
        <v>1690</v>
      </c>
      <c r="H108" s="608">
        <f>VLOOKUP($B108,R_DG!$A$7:$G$1305,6,0)</f>
        <v>0</v>
      </c>
      <c r="I108" s="608">
        <f>VLOOKUP($B108,R_DG!$A$7:$G$1305,7,0)</f>
        <v>0</v>
      </c>
      <c r="J108" s="608">
        <f t="shared" si="10"/>
        <v>397150</v>
      </c>
      <c r="K108" s="608">
        <f t="shared" si="10"/>
        <v>0</v>
      </c>
      <c r="L108" s="725">
        <f t="shared" si="10"/>
        <v>0</v>
      </c>
      <c r="M108" s="1127">
        <f t="shared" ref="M108:M123" si="17">IF(F108&gt;0,M$107,0)</f>
        <v>1</v>
      </c>
      <c r="N108" s="733">
        <f t="shared" ref="N108:N123" ca="1" si="18">$F108*N$107</f>
        <v>235</v>
      </c>
    </row>
    <row r="109" spans="1:14" hidden="1">
      <c r="A109" s="731"/>
      <c r="B109" s="735" t="s">
        <v>762</v>
      </c>
      <c r="C109" s="713">
        <f>VLOOKUP($B109,R_DG!$A$7:$G$1305,2,0)</f>
        <v>0</v>
      </c>
      <c r="D109" s="723" t="str">
        <f>VLOOKUP($B109,R_DG!$A$7:$G$1305,3,0)</f>
        <v>Cát vàng</v>
      </c>
      <c r="E109" s="714" t="str">
        <f>VLOOKUP($B109,R_DG!$A$7:$G$1305,4,0)</f>
        <v>m3</v>
      </c>
      <c r="F109" s="732">
        <v>0.377</v>
      </c>
      <c r="G109" s="608">
        <f>G92</f>
        <v>360000</v>
      </c>
      <c r="H109" s="608">
        <f>VLOOKUP($B109,R_DG!$A$7:$G$1305,6,0)</f>
        <v>0</v>
      </c>
      <c r="I109" s="608">
        <f>VLOOKUP($B109,R_DG!$A$7:$G$1305,7,0)</f>
        <v>0</v>
      </c>
      <c r="J109" s="608">
        <f t="shared" si="10"/>
        <v>135720</v>
      </c>
      <c r="K109" s="608">
        <f t="shared" si="10"/>
        <v>0</v>
      </c>
      <c r="L109" s="725">
        <f t="shared" si="10"/>
        <v>0</v>
      </c>
      <c r="M109" s="1127">
        <f t="shared" si="17"/>
        <v>1</v>
      </c>
      <c r="N109" s="727">
        <f t="shared" ca="1" si="18"/>
        <v>0.377</v>
      </c>
    </row>
    <row r="110" spans="1:14" hidden="1">
      <c r="A110" s="731"/>
      <c r="B110" s="735" t="s">
        <v>2159</v>
      </c>
      <c r="C110" s="713">
        <f>VLOOKUP($B110,R_DG!$A$7:$G$1305,2,0)</f>
        <v>0</v>
      </c>
      <c r="D110" s="723" t="str">
        <f>VLOOKUP($B110,R_DG!$A$7:$G$1305,3,0)</f>
        <v>Đá 1x2</v>
      </c>
      <c r="E110" s="714" t="str">
        <f>VLOOKUP($B110,R_DG!$A$7:$G$1305,4,0)</f>
        <v>m3</v>
      </c>
      <c r="F110" s="732">
        <v>0.7</v>
      </c>
      <c r="G110" s="608">
        <f>VLOOKUP($B110,R_DG!$A$7:$G$1305,5,0)</f>
        <v>400000</v>
      </c>
      <c r="H110" s="608">
        <f>VLOOKUP($B110,R_DG!$A$7:$G$1305,6,0)</f>
        <v>0</v>
      </c>
      <c r="I110" s="608">
        <f>VLOOKUP($B110,R_DG!$A$7:$G$1305,7,0)</f>
        <v>0</v>
      </c>
      <c r="J110" s="608">
        <f t="shared" si="10"/>
        <v>280000</v>
      </c>
      <c r="K110" s="608">
        <f t="shared" si="10"/>
        <v>0</v>
      </c>
      <c r="L110" s="725">
        <f t="shared" si="10"/>
        <v>0</v>
      </c>
      <c r="M110" s="1127">
        <f t="shared" si="17"/>
        <v>1</v>
      </c>
      <c r="N110" s="733">
        <f t="shared" ca="1" si="18"/>
        <v>0.7</v>
      </c>
    </row>
    <row r="111" spans="1:14" hidden="1">
      <c r="A111" s="731"/>
      <c r="B111" s="735" t="s">
        <v>672</v>
      </c>
      <c r="C111" s="713">
        <f>VLOOKUP($B111,R_DG!$A$7:$G$1305,2,0)</f>
        <v>0</v>
      </c>
      <c r="D111" s="723" t="str">
        <f>VLOOKUP($B111,R_DG!$A$7:$G$1305,3,0)</f>
        <v>Sắt  φ10</v>
      </c>
      <c r="E111" s="714" t="str">
        <f>VLOOKUP($B111,R_DG!$A$7:$G$1305,4,0)</f>
        <v>kg</v>
      </c>
      <c r="F111" s="734"/>
      <c r="G111" s="608">
        <f>VLOOKUP($B111,R_DG!$A$7:$G$1305,5,0)</f>
        <v>14545</v>
      </c>
      <c r="H111" s="608">
        <f>VLOOKUP($B111,R_DG!$A$7:$G$1305,6,0)</f>
        <v>0</v>
      </c>
      <c r="I111" s="608">
        <f>VLOOKUP($B111,R_DG!$A$7:$G$1305,7,0)</f>
        <v>0</v>
      </c>
      <c r="J111" s="608">
        <f t="shared" ref="J111:L135" si="19">G111*$F111</f>
        <v>0</v>
      </c>
      <c r="K111" s="608">
        <f t="shared" si="19"/>
        <v>0</v>
      </c>
      <c r="L111" s="725">
        <f t="shared" si="19"/>
        <v>0</v>
      </c>
      <c r="M111" s="1127">
        <f t="shared" si="17"/>
        <v>0</v>
      </c>
      <c r="N111" s="727">
        <f t="shared" ca="1" si="18"/>
        <v>0</v>
      </c>
    </row>
    <row r="112" spans="1:14" hidden="1">
      <c r="A112" s="731"/>
      <c r="B112" s="735" t="s">
        <v>1974</v>
      </c>
      <c r="C112" s="713">
        <f>VLOOKUP($B112,R_DG!$A$7:$G$1305,2,0)</f>
        <v>0</v>
      </c>
      <c r="D112" s="723" t="str">
        <f>VLOOKUP($B112,R_DG!$A$7:$G$1305,3,0)</f>
        <v>Kẽm</v>
      </c>
      <c r="E112" s="714" t="str">
        <f>VLOOKUP($B112,R_DG!$A$7:$G$1305,4,0)</f>
        <v>kg</v>
      </c>
      <c r="F112" s="734"/>
      <c r="G112" s="608">
        <f>VLOOKUP($B112,R_DG!$A$7:$G$1305,5,0)</f>
        <v>35200</v>
      </c>
      <c r="H112" s="608">
        <f>VLOOKUP($B112,R_DG!$A$7:$G$1305,6,0)</f>
        <v>0</v>
      </c>
      <c r="I112" s="608">
        <f>VLOOKUP($B112,R_DG!$A$7:$G$1305,7,0)</f>
        <v>0</v>
      </c>
      <c r="J112" s="608">
        <f t="shared" si="19"/>
        <v>0</v>
      </c>
      <c r="K112" s="608">
        <f t="shared" si="19"/>
        <v>0</v>
      </c>
      <c r="L112" s="725">
        <f t="shared" si="19"/>
        <v>0</v>
      </c>
      <c r="M112" s="1127">
        <f t="shared" si="17"/>
        <v>0</v>
      </c>
      <c r="N112" s="727">
        <f t="shared" ca="1" si="18"/>
        <v>0</v>
      </c>
    </row>
    <row r="113" spans="1:14" hidden="1">
      <c r="A113" s="731"/>
      <c r="B113" s="735" t="s">
        <v>818</v>
      </c>
      <c r="C113" s="713" t="str">
        <f>VLOOKUP($B113,R_DG!$A$7:$G$1305,2,0)</f>
        <v>AB.11400</v>
      </c>
      <c r="D113" s="723" t="str">
        <f>VLOOKUP($B113,R_DG!$A$7:$G$1305,3,0)</f>
        <v>Đào hố móng đất cấp 3 sâu &gt;1m, rộng &lt;1m</v>
      </c>
      <c r="E113" s="714" t="str">
        <f>VLOOKUP($B113,R_DG!$A$7:$G$1305,4,0)</f>
        <v>m3</v>
      </c>
      <c r="F113" s="734">
        <v>1.0609999999999999</v>
      </c>
      <c r="G113" s="608">
        <f>VLOOKUP($B113,R_DG!$A$7:$G$1305,5,0)</f>
        <v>0</v>
      </c>
      <c r="H113" s="608">
        <f>VLOOKUP($B113,R_DG!$A$7:$G$1305,6,0)</f>
        <v>418738.31999999995</v>
      </c>
      <c r="I113" s="608">
        <f>VLOOKUP($B113,R_DG!$A$7:$G$1305,7,0)</f>
        <v>0</v>
      </c>
      <c r="J113" s="608">
        <f t="shared" si="19"/>
        <v>0</v>
      </c>
      <c r="K113" s="608">
        <f t="shared" si="19"/>
        <v>444281.3575199999</v>
      </c>
      <c r="L113" s="725">
        <f t="shared" si="19"/>
        <v>0</v>
      </c>
      <c r="M113" s="1127">
        <f t="shared" si="17"/>
        <v>1</v>
      </c>
      <c r="N113" s="727">
        <f t="shared" ca="1" si="18"/>
        <v>1.0609999999999999</v>
      </c>
    </row>
    <row r="114" spans="1:14" hidden="1">
      <c r="A114" s="731"/>
      <c r="B114" s="735" t="s">
        <v>831</v>
      </c>
      <c r="C114" s="713" t="str">
        <f>VLOOKUP($B114,R_DG!$A$7:$G$1305,2,0)</f>
        <v>AB.13000</v>
      </c>
      <c r="D114" s="723" t="str">
        <f>VLOOKUP($B114,R_DG!$A$7:$G$1305,3,0)</f>
        <v>Đắp đất hố móng, đất cấp 3, k = 0,85</v>
      </c>
      <c r="E114" s="714" t="str">
        <f>VLOOKUP($B114,R_DG!$A$7:$G$1305,4,0)</f>
        <v>m3</v>
      </c>
      <c r="F114" s="734">
        <v>0.14799999999999999</v>
      </c>
      <c r="G114" s="608">
        <f>VLOOKUP($B114,R_DG!$A$7:$G$1305,5,0)</f>
        <v>0</v>
      </c>
      <c r="H114" s="608">
        <f>H83</f>
        <v>257210.88</v>
      </c>
      <c r="I114" s="608">
        <f>VLOOKUP($B114,R_DG!$A$7:$G$1305,7,0)</f>
        <v>0</v>
      </c>
      <c r="J114" s="608">
        <f t="shared" si="19"/>
        <v>0</v>
      </c>
      <c r="K114" s="608">
        <f t="shared" si="19"/>
        <v>38067.21024</v>
      </c>
      <c r="L114" s="725">
        <f t="shared" si="19"/>
        <v>0</v>
      </c>
      <c r="M114" s="1127">
        <f t="shared" si="17"/>
        <v>1</v>
      </c>
      <c r="N114" s="733">
        <f t="shared" ca="1" si="18"/>
        <v>0.14799999999999999</v>
      </c>
    </row>
    <row r="115" spans="1:14" hidden="1">
      <c r="A115" s="731"/>
      <c r="B115" s="735" t="s">
        <v>112</v>
      </c>
      <c r="C115" s="1297">
        <f>VLOOKUP($B115,R_DG!$A$7:$G$1305,2,0)</f>
        <v>0</v>
      </c>
      <c r="D115" s="1298" t="str">
        <f>VLOOKUP($B115,R_DG!$A$7:$G$1305,3,0)</f>
        <v>Boulon 16x500VRS+ 4 long đền vuông D18-50x50x3/Zn</v>
      </c>
      <c r="E115" s="1299" t="str">
        <f>VLOOKUP($B115,R_DG!$A$7:$G$1305,4,0)</f>
        <v>bộ</v>
      </c>
      <c r="F115" s="1300">
        <v>1</v>
      </c>
      <c r="G115" s="1301" t="e">
        <f>VLOOKUP($B115,R_DG!$A$7:$G$1305,5,0)</f>
        <v>#REF!</v>
      </c>
      <c r="H115" s="1301">
        <f>VLOOKUP($B115,R_DG!$A$7:$G$1305,6,0)</f>
        <v>0</v>
      </c>
      <c r="I115" s="1301">
        <f>VLOOKUP($B115,R_DG!$A$7:$G$1305,7,0)</f>
        <v>0</v>
      </c>
      <c r="J115" s="1301" t="e">
        <f t="shared" si="19"/>
        <v>#REF!</v>
      </c>
      <c r="K115" s="1301">
        <f t="shared" si="19"/>
        <v>0</v>
      </c>
      <c r="L115" s="1302">
        <f t="shared" si="19"/>
        <v>0</v>
      </c>
      <c r="M115" s="1127">
        <f t="shared" si="17"/>
        <v>1</v>
      </c>
      <c r="N115" s="727">
        <f t="shared" ca="1" si="18"/>
        <v>1</v>
      </c>
    </row>
    <row r="116" spans="1:14" hidden="1">
      <c r="A116" s="731"/>
      <c r="B116" s="735" t="s">
        <v>3565</v>
      </c>
      <c r="C116" s="1303">
        <f>VLOOKUP($B116,R_DG!$A$7:$G$1305,2,0)</f>
        <v>0</v>
      </c>
      <c r="D116" s="1304" t="str">
        <f>VLOOKUP($B116,R_DG!$A$7:$G$1305,3,0)</f>
        <v>Boulon 16x450VRS+ 4 long đền vuông D18-50x50x3/Zn</v>
      </c>
      <c r="E116" s="1305" t="str">
        <f>VLOOKUP($B116,R_DG!$A$7:$G$1305,4,0)</f>
        <v>bộ</v>
      </c>
      <c r="F116" s="1306">
        <v>1</v>
      </c>
      <c r="G116" s="1307" t="e">
        <f>VLOOKUP($B116,R_DG!$A$7:$G$1305,5,0)</f>
        <v>#REF!</v>
      </c>
      <c r="H116" s="1307">
        <f>VLOOKUP($B116,R_DG!$A$7:$G$1305,6,0)</f>
        <v>0</v>
      </c>
      <c r="I116" s="1307">
        <f>VLOOKUP($B116,R_DG!$A$7:$G$1305,7,0)</f>
        <v>0</v>
      </c>
      <c r="J116" s="1307" t="e">
        <f t="shared" si="19"/>
        <v>#REF!</v>
      </c>
      <c r="K116" s="1307">
        <f t="shared" si="19"/>
        <v>0</v>
      </c>
      <c r="L116" s="1308">
        <f t="shared" si="19"/>
        <v>0</v>
      </c>
      <c r="M116" s="1127">
        <f t="shared" si="17"/>
        <v>1</v>
      </c>
      <c r="N116" s="733">
        <f t="shared" ca="1" si="18"/>
        <v>1</v>
      </c>
    </row>
    <row r="117" spans="1:14" hidden="1">
      <c r="A117" s="731"/>
      <c r="B117" s="735" t="s">
        <v>2257</v>
      </c>
      <c r="C117" s="713">
        <f>VLOOKUP($B117,R_DG!$A$7:$G$1305,2,0)</f>
        <v>0</v>
      </c>
      <c r="D117" s="723" t="str">
        <f>VLOOKUP($B117,R_DG!$A$7:$G$1305,3,0)</f>
        <v>Boulon 16x400VRS+ 4 long đền vuông D18-50x50x3/Zn</v>
      </c>
      <c r="E117" s="714" t="str">
        <f>VLOOKUP($B117,R_DG!$A$7:$G$1305,4,0)</f>
        <v>bộ</v>
      </c>
      <c r="F117" s="734">
        <v>1</v>
      </c>
      <c r="G117" s="608" t="e">
        <f>VLOOKUP($B117,R_DG!$A$7:$G$1305,5,0)</f>
        <v>#REF!</v>
      </c>
      <c r="H117" s="608">
        <f>VLOOKUP($B117,R_DG!$A$7:$G$1305,6,0)</f>
        <v>0</v>
      </c>
      <c r="I117" s="608">
        <f>VLOOKUP($B117,R_DG!$A$7:$G$1305,7,0)</f>
        <v>0</v>
      </c>
      <c r="J117" s="608" t="e">
        <f t="shared" si="19"/>
        <v>#REF!</v>
      </c>
      <c r="K117" s="608">
        <f t="shared" si="19"/>
        <v>0</v>
      </c>
      <c r="L117" s="725">
        <f t="shared" si="19"/>
        <v>0</v>
      </c>
      <c r="M117" s="1127">
        <f t="shared" si="17"/>
        <v>1</v>
      </c>
      <c r="N117" s="727">
        <f t="shared" ca="1" si="18"/>
        <v>1</v>
      </c>
    </row>
    <row r="118" spans="1:14" hidden="1">
      <c r="A118" s="731"/>
      <c r="B118" s="735" t="s">
        <v>1250</v>
      </c>
      <c r="C118" s="713" t="str">
        <f>VLOOKUP($B118,R_DG!$A$7:$G$1305,2,0)</f>
        <v>04.1101</v>
      </c>
      <c r="D118" s="723" t="str">
        <f>VLOOKUP($B118,R_DG!$A$7:$G$1305,3,0)</f>
        <v>Gia công và lắp dựng cốt thép D&lt;=10</v>
      </c>
      <c r="E118" s="714" t="str">
        <f>VLOOKUP($B118,R_DG!$A$7:$G$1305,4,0)</f>
        <v>kg</v>
      </c>
      <c r="F118" s="734">
        <f>F111*0</f>
        <v>0</v>
      </c>
      <c r="G118" s="608">
        <f>VLOOKUP($B118,R_DG!$A$7:$G$1305,5,0)</f>
        <v>405.99</v>
      </c>
      <c r="H118" s="608">
        <f>VLOOKUP($B118,R_DG!$A$7:$G$1305,6,0)</f>
        <v>0</v>
      </c>
      <c r="I118" s="608">
        <f>VLOOKUP($B118,R_DG!$A$7:$G$1305,7,0)</f>
        <v>0</v>
      </c>
      <c r="J118" s="608">
        <f t="shared" si="19"/>
        <v>0</v>
      </c>
      <c r="K118" s="608">
        <f t="shared" si="19"/>
        <v>0</v>
      </c>
      <c r="L118" s="725">
        <f t="shared" si="19"/>
        <v>0</v>
      </c>
      <c r="M118" s="1127">
        <f t="shared" si="17"/>
        <v>0</v>
      </c>
      <c r="N118" s="727">
        <f t="shared" ca="1" si="18"/>
        <v>0</v>
      </c>
    </row>
    <row r="119" spans="1:14" hidden="1">
      <c r="A119" s="731"/>
      <c r="B119" s="735" t="s">
        <v>1027</v>
      </c>
      <c r="C119" s="713" t="str">
        <f>VLOOKUP($B119,R_DG!$A$7:$G$1305,2,0)</f>
        <v>02.1211</v>
      </c>
      <c r="D119" s="723" t="str">
        <f>VLOOKUP($B119,R_DG!$A$7:$G$1305,3,0)</f>
        <v>V/c xi măng ( cự ly &lt;=100m)</v>
      </c>
      <c r="E119" s="714" t="str">
        <f>VLOOKUP($B119,R_DG!$A$7:$G$1305,4,0)</f>
        <v>tấn</v>
      </c>
      <c r="F119" s="736">
        <f>F115</f>
        <v>1</v>
      </c>
      <c r="G119" s="608">
        <f>VLOOKUP($B119,R_DG!$A$7:$G$1305,5,0)</f>
        <v>0</v>
      </c>
      <c r="H119" s="608">
        <f>VLOOKUP($B119,R_DG!$A$7:$G$1305,6,0)</f>
        <v>0</v>
      </c>
      <c r="I119" s="608">
        <f>VLOOKUP($B119,R_DG!$A$7:$G$1305,7,0)</f>
        <v>0</v>
      </c>
      <c r="J119" s="608">
        <f t="shared" si="19"/>
        <v>0</v>
      </c>
      <c r="K119" s="608">
        <f t="shared" si="19"/>
        <v>0</v>
      </c>
      <c r="L119" s="725">
        <f t="shared" si="19"/>
        <v>0</v>
      </c>
      <c r="M119" s="1127">
        <f t="shared" si="17"/>
        <v>1</v>
      </c>
      <c r="N119" s="733">
        <f t="shared" ca="1" si="18"/>
        <v>1</v>
      </c>
    </row>
    <row r="120" spans="1:14" hidden="1">
      <c r="A120" s="731"/>
      <c r="B120" s="735" t="s">
        <v>1072</v>
      </c>
      <c r="C120" s="713" t="str">
        <f>VLOOKUP($B120,R_DG!$A$7:$G$1305,2,0)</f>
        <v>02.1231</v>
      </c>
      <c r="D120" s="723" t="str">
        <f>VLOOKUP($B120,R_DG!$A$7:$G$1305,3,0)</f>
        <v>V/c cát vàng cự ly &lt;=100m</v>
      </c>
      <c r="E120" s="714" t="str">
        <f>VLOOKUP($B120,R_DG!$A$7:$G$1305,4,0)</f>
        <v>m3</v>
      </c>
      <c r="F120" s="736">
        <f>F116</f>
        <v>1</v>
      </c>
      <c r="G120" s="608">
        <f>VLOOKUP($B120,R_DG!$A$7:$G$1305,5,0)</f>
        <v>0</v>
      </c>
      <c r="H120" s="608">
        <f>VLOOKUP($B120,R_DG!$A$7:$G$1305,6,0)</f>
        <v>0</v>
      </c>
      <c r="I120" s="608">
        <f>VLOOKUP($B120,R_DG!$A$7:$G$1305,7,0)</f>
        <v>0</v>
      </c>
      <c r="J120" s="608">
        <f t="shared" si="19"/>
        <v>0</v>
      </c>
      <c r="K120" s="608">
        <f t="shared" si="19"/>
        <v>0</v>
      </c>
      <c r="L120" s="725">
        <f t="shared" si="19"/>
        <v>0</v>
      </c>
      <c r="M120" s="1127">
        <f t="shared" si="17"/>
        <v>1</v>
      </c>
      <c r="N120" s="727">
        <f t="shared" ca="1" si="18"/>
        <v>1</v>
      </c>
    </row>
    <row r="121" spans="1:14" hidden="1">
      <c r="A121" s="731"/>
      <c r="B121" s="735" t="s">
        <v>1039</v>
      </c>
      <c r="C121" s="713" t="str">
        <f>VLOOKUP($B121,R_DG!$A$7:$G$1305,2,0)</f>
        <v>02.1241</v>
      </c>
      <c r="D121" s="723" t="str">
        <f>VLOOKUP($B121,R_DG!$A$7:$G$1305,3,0)</f>
        <v>V/c đá dăm ( cự ly &lt;=100m)</v>
      </c>
      <c r="E121" s="714" t="str">
        <f>VLOOKUP($B121,R_DG!$A$7:$G$1305,4,0)</f>
        <v>m3</v>
      </c>
      <c r="F121" s="736">
        <f>F117</f>
        <v>1</v>
      </c>
      <c r="G121" s="608">
        <f>VLOOKUP($B121,R_DG!$A$7:$G$1305,5,0)</f>
        <v>0</v>
      </c>
      <c r="H121" s="608">
        <f>VLOOKUP($B121,R_DG!$A$7:$G$1305,6,0)</f>
        <v>0</v>
      </c>
      <c r="I121" s="608">
        <f>VLOOKUP($B121,R_DG!$A$7:$G$1305,7,0)</f>
        <v>0</v>
      </c>
      <c r="J121" s="608">
        <f t="shared" si="19"/>
        <v>0</v>
      </c>
      <c r="K121" s="608">
        <f t="shared" si="19"/>
        <v>0</v>
      </c>
      <c r="L121" s="725">
        <f t="shared" si="19"/>
        <v>0</v>
      </c>
      <c r="M121" s="1127">
        <f t="shared" si="17"/>
        <v>1</v>
      </c>
      <c r="N121" s="733">
        <f t="shared" ca="1" si="18"/>
        <v>1</v>
      </c>
    </row>
    <row r="122" spans="1:14" hidden="1">
      <c r="A122" s="731"/>
      <c r="B122" s="735" t="s">
        <v>991</v>
      </c>
      <c r="C122" s="713" t="str">
        <f>VLOOKUP($B122,R_DG!$A$7:$G$1305,2,0)</f>
        <v>02.1482</v>
      </c>
      <c r="D122" s="723" t="str">
        <f>VLOOKUP($B122,R_DG!$A$7:$G$1305,3,0)</f>
        <v>V/c dụng cụ thi công ( cự ly &lt;=100m)</v>
      </c>
      <c r="E122" s="714" t="str">
        <f>VLOOKUP($B122,R_DG!$A$7:$G$1305,4,0)</f>
        <v>tấn</v>
      </c>
      <c r="F122" s="736"/>
      <c r="G122" s="608">
        <f>VLOOKUP($B122,R_DG!$A$7:$G$1305,5,0)</f>
        <v>0</v>
      </c>
      <c r="H122" s="608">
        <f>VLOOKUP($B122,R_DG!$A$7:$G$1305,6,0)</f>
        <v>0</v>
      </c>
      <c r="I122" s="608">
        <f>VLOOKUP($B122,R_DG!$A$7:$G$1305,7,0)</f>
        <v>0</v>
      </c>
      <c r="J122" s="608">
        <f t="shared" si="19"/>
        <v>0</v>
      </c>
      <c r="K122" s="608">
        <f t="shared" si="19"/>
        <v>0</v>
      </c>
      <c r="L122" s="725">
        <f t="shared" si="19"/>
        <v>0</v>
      </c>
      <c r="M122" s="1127">
        <f t="shared" si="17"/>
        <v>0</v>
      </c>
      <c r="N122" s="727">
        <f t="shared" ca="1" si="18"/>
        <v>0</v>
      </c>
    </row>
    <row r="123" spans="1:14" hidden="1">
      <c r="A123" s="731"/>
      <c r="B123" s="735" t="s">
        <v>1247</v>
      </c>
      <c r="C123" s="713" t="str">
        <f>VLOOKUP($B123,R_DG!$A$7:$G$1305,2,0)</f>
        <v>AF112.20</v>
      </c>
      <c r="D123" s="723" t="str">
        <f>VLOOKUP($B123,R_DG!$A$7:$G$1305,3,0)</f>
        <v>Đổ bê tông mác M200 đá 1x2</v>
      </c>
      <c r="E123" s="714" t="str">
        <f>VLOOKUP($B123,R_DG!$A$7:$G$1305,4,0)</f>
        <v>m3</v>
      </c>
      <c r="F123" s="734">
        <v>0.79400000000000004</v>
      </c>
      <c r="G123" s="608">
        <f>VLOOKUP($B123,R_DG!$A$7:$G$1305,5,0)</f>
        <v>0</v>
      </c>
      <c r="H123" s="608">
        <f>VLOOKUP($B123,R_DG!$A$7:$G$1305,6,0)</f>
        <v>398225.65</v>
      </c>
      <c r="I123" s="608">
        <f>VLOOKUP($B123,R_DG!$A$7:$G$1305,7,0)</f>
        <v>0</v>
      </c>
      <c r="J123" s="608">
        <f t="shared" si="19"/>
        <v>0</v>
      </c>
      <c r="K123" s="608">
        <f t="shared" si="19"/>
        <v>316191.16610000003</v>
      </c>
      <c r="L123" s="725">
        <f t="shared" si="19"/>
        <v>0</v>
      </c>
      <c r="M123" s="1127">
        <f t="shared" si="17"/>
        <v>1</v>
      </c>
      <c r="N123" s="727">
        <f t="shared" ca="1" si="18"/>
        <v>0.79400000000000004</v>
      </c>
    </row>
    <row r="124" spans="1:14">
      <c r="A124" s="728" t="s">
        <v>2161</v>
      </c>
      <c r="B124" s="729"/>
      <c r="C124" s="717"/>
      <c r="D124" s="718" t="s">
        <v>2162</v>
      </c>
      <c r="E124" s="718" t="s">
        <v>2146</v>
      </c>
      <c r="F124" s="719"/>
      <c r="G124" s="720"/>
      <c r="H124" s="720"/>
      <c r="I124" s="720"/>
      <c r="J124" s="720">
        <f>SUM(J125:J126)</f>
        <v>0</v>
      </c>
      <c r="K124" s="720">
        <f>SUM(K125:K126)</f>
        <v>102404.78247999999</v>
      </c>
      <c r="L124" s="721">
        <f>SUM(L125:L126)</f>
        <v>0</v>
      </c>
      <c r="M124" s="1126">
        <f>IF(ERROR.TYPE(IF(HLOOKUP(A124,maBK,1,0)&lt;&gt;"",#NULL!,"ABC"))&lt;&gt;7,1,0)</f>
        <v>0</v>
      </c>
      <c r="N124" s="712">
        <f ca="1">SUMIF(maBK,$A124,tongBK1)</f>
        <v>0</v>
      </c>
    </row>
    <row r="125" spans="1:14" hidden="1">
      <c r="A125" s="731"/>
      <c r="B125" s="227" t="s">
        <v>818</v>
      </c>
      <c r="C125" s="713" t="str">
        <f>VLOOKUP($B125,R_DG!$A$7:$G$1305,2,0)</f>
        <v>AB.11400</v>
      </c>
      <c r="D125" s="723" t="str">
        <f>VLOOKUP($B125,R_DG!$A$7:$G$1305,3,0)</f>
        <v>Đào hố móng đất cấp 3 sâu &gt;1m, rộng &lt;1m</v>
      </c>
      <c r="E125" s="714" t="str">
        <f>VLOOKUP($B125,R_DG!$A$7:$G$1305,4,0)</f>
        <v>m3</v>
      </c>
      <c r="F125" s="734">
        <v>0.20100000000000001</v>
      </c>
      <c r="G125" s="608">
        <f>VLOOKUP($B125,R_DG!$A$7:$G$1305,5,0)</f>
        <v>0</v>
      </c>
      <c r="H125" s="608">
        <f>VLOOKUP($B125,R_DG!$A$7:$G$1305,6,0)</f>
        <v>418738.31999999995</v>
      </c>
      <c r="I125" s="608">
        <f>VLOOKUP($B125,R_DG!$A$7:$G$1305,7,0)</f>
        <v>0</v>
      </c>
      <c r="J125" s="608">
        <f t="shared" si="19"/>
        <v>0</v>
      </c>
      <c r="K125" s="608">
        <f t="shared" si="19"/>
        <v>84166.402319999994</v>
      </c>
      <c r="L125" s="725">
        <f t="shared" si="19"/>
        <v>0</v>
      </c>
      <c r="M125" s="1127">
        <f>IF(F125&gt;0,M$124,0)</f>
        <v>0</v>
      </c>
      <c r="N125" s="727">
        <f ca="1">$F125*N$124</f>
        <v>0</v>
      </c>
    </row>
    <row r="126" spans="1:14" hidden="1">
      <c r="A126" s="696"/>
      <c r="B126" s="226" t="s">
        <v>831</v>
      </c>
      <c r="C126" s="713" t="str">
        <f>VLOOKUP($B126,R_DG!$A$7:$G$1305,2,0)</f>
        <v>AB.13000</v>
      </c>
      <c r="D126" s="723" t="str">
        <f>VLOOKUP($B126,R_DG!$A$7:$G$1305,3,0)</f>
        <v>Đắp đất hố móng, đất cấp 3, k = 0,85</v>
      </c>
      <c r="E126" s="714" t="str">
        <f>VLOOKUP($B126,R_DG!$A$7:$G$1305,4,0)</f>
        <v>m3</v>
      </c>
      <c r="F126" s="724">
        <v>0.182</v>
      </c>
      <c r="G126" s="608">
        <f>VLOOKUP($B126,R_DG!$A$7:$G$1305,5,0)</f>
        <v>0</v>
      </c>
      <c r="H126" s="608">
        <f>VLOOKUP($B126,R_DG!$A$7:$G$1305,6,0)</f>
        <v>100210.88</v>
      </c>
      <c r="I126" s="608">
        <f>VLOOKUP($B126,R_DG!$A$7:$G$1305,7,0)</f>
        <v>0</v>
      </c>
      <c r="J126" s="608">
        <f t="shared" si="19"/>
        <v>0</v>
      </c>
      <c r="K126" s="608">
        <f t="shared" si="19"/>
        <v>18238.380160000001</v>
      </c>
      <c r="L126" s="725">
        <f t="shared" si="19"/>
        <v>0</v>
      </c>
      <c r="M126" s="1127">
        <f>IF(F126&gt;0,M$124,0)</f>
        <v>0</v>
      </c>
      <c r="N126" s="733">
        <f ca="1">$F126*N$124</f>
        <v>0</v>
      </c>
    </row>
    <row r="127" spans="1:14">
      <c r="A127" s="728" t="s">
        <v>2163</v>
      </c>
      <c r="B127" s="729"/>
      <c r="C127" s="717"/>
      <c r="D127" s="718" t="s">
        <v>2164</v>
      </c>
      <c r="E127" s="718" t="s">
        <v>2146</v>
      </c>
      <c r="F127" s="719"/>
      <c r="G127" s="720"/>
      <c r="H127" s="720"/>
      <c r="I127" s="720"/>
      <c r="J127" s="720" t="e">
        <f>SUM(J128:J132)</f>
        <v>#REF!</v>
      </c>
      <c r="K127" s="720">
        <f>SUM(K128:K132)</f>
        <v>529805.76439999999</v>
      </c>
      <c r="L127" s="721">
        <f>SUM(L128:L132)</f>
        <v>0</v>
      </c>
      <c r="M127" s="1126">
        <f>IF(ERROR.TYPE(IF(HLOOKUP(A127,maBK,1,0)&lt;&gt;"",#NULL!,"ABC"))&lt;&gt;7,1,0)</f>
        <v>0</v>
      </c>
      <c r="N127" s="712">
        <f ca="1">SUMIF(maBK,$A127,tongBK1)</f>
        <v>0</v>
      </c>
    </row>
    <row r="128" spans="1:14" hidden="1">
      <c r="A128" s="696"/>
      <c r="B128" s="226" t="s">
        <v>2149</v>
      </c>
      <c r="C128" s="713" t="str">
        <f>VLOOKUP($B128,R_DG!$A$7:$G$1305,2,0)</f>
        <v>04.3801</v>
      </c>
      <c r="D128" s="723" t="str">
        <f>VLOOKUP($B128,R_DG!$A$7:$G$1305,3,0)</f>
        <v>Đà cản BTCT 1,2m</v>
      </c>
      <c r="E128" s="714" t="str">
        <f>VLOOKUP($B128,R_DG!$A$7:$G$1305,4,0)</f>
        <v>cái</v>
      </c>
      <c r="F128" s="724">
        <v>1</v>
      </c>
      <c r="G128" s="608">
        <f>VLOOKUP($B128,R_DG!$A$7:$G$1305,5,0)</f>
        <v>650000</v>
      </c>
      <c r="H128" s="608">
        <f>VLOOKUP($B128,R_DG!$A$7:$G$1305,6,0)</f>
        <v>161119.20000000001</v>
      </c>
      <c r="I128" s="608">
        <f>VLOOKUP($B128,R_DG!$A$7:$G$1305,7,0)</f>
        <v>0</v>
      </c>
      <c r="J128" s="608">
        <f t="shared" si="19"/>
        <v>650000</v>
      </c>
      <c r="K128" s="608">
        <f t="shared" si="19"/>
        <v>161119.20000000001</v>
      </c>
      <c r="L128" s="725">
        <f t="shared" si="19"/>
        <v>0</v>
      </c>
      <c r="M128" s="1127">
        <f>IF(F128&gt;0,M$127,0)</f>
        <v>0</v>
      </c>
      <c r="N128" s="727">
        <f ca="1">$F128*N$127</f>
        <v>0</v>
      </c>
    </row>
    <row r="129" spans="1:14" hidden="1">
      <c r="A129" s="696"/>
      <c r="B129" s="226" t="s">
        <v>2165</v>
      </c>
      <c r="C129" s="713">
        <f>VLOOKUP($B129,R_DG!$A$7:$G$1305,2,0)</f>
        <v>0</v>
      </c>
      <c r="D129" s="723" t="str">
        <f>VLOOKUP($B129,R_DG!$A$7:$G$1305,3,0)</f>
        <v>Boulon 22x650+ 2 long đền vuông D24-50x50x3/Zn</v>
      </c>
      <c r="E129" s="714" t="str">
        <f>VLOOKUP($B129,R_DG!$A$7:$G$1305,4,0)</f>
        <v>bộ</v>
      </c>
      <c r="F129" s="724">
        <v>1</v>
      </c>
      <c r="G129" s="608" t="e">
        <f>VLOOKUP($B129,R_DG!$A$7:$G$1305,5,0)</f>
        <v>#REF!</v>
      </c>
      <c r="H129" s="608">
        <f>VLOOKUP($B129,R_DG!$A$7:$G$1305,6,0)</f>
        <v>0</v>
      </c>
      <c r="I129" s="608">
        <f>VLOOKUP($B129,R_DG!$A$7:$G$1305,7,0)</f>
        <v>0</v>
      </c>
      <c r="J129" s="608" t="e">
        <f t="shared" si="19"/>
        <v>#REF!</v>
      </c>
      <c r="K129" s="608">
        <f t="shared" si="19"/>
        <v>0</v>
      </c>
      <c r="L129" s="725">
        <f t="shared" si="19"/>
        <v>0</v>
      </c>
      <c r="M129" s="1127">
        <f>IF(F129&gt;0,M$127,0)</f>
        <v>0</v>
      </c>
      <c r="N129" s="727">
        <f ca="1">$F129*N$127</f>
        <v>0</v>
      </c>
    </row>
    <row r="130" spans="1:14" hidden="1">
      <c r="A130" s="696"/>
      <c r="B130" s="226" t="str">
        <f>IF(CAPDAT=1,"MDD1",IF(CAPDAT=2,"MDD2",IF(CAPDAT=3,"MDD3",IF(CAPDAT=4,"MDD4"))))</f>
        <v>MDD3</v>
      </c>
      <c r="C130" s="713" t="str">
        <f>VLOOKUP($B130,R_DG!$A$7:$G$1305,2,0)</f>
        <v>AB.11400</v>
      </c>
      <c r="D130" s="723" t="str">
        <f>VLOOKUP($B130,R_DG!$A$7:$G$1305,3,0)</f>
        <v>Đào hố móng đất cấp 3 sâu &gt;1m, rộng &lt;1m</v>
      </c>
      <c r="E130" s="714" t="str">
        <f>VLOOKUP($B130,R_DG!$A$7:$G$1305,4,0)</f>
        <v>m3</v>
      </c>
      <c r="F130" s="724">
        <v>0.72299999999999998</v>
      </c>
      <c r="G130" s="608">
        <f>VLOOKUP($B130,R_DG!$A$7:$G$1305,5,0)</f>
        <v>0</v>
      </c>
      <c r="H130" s="608">
        <f>VLOOKUP($B130,R_DG!$A$7:$G$1305,6,0)</f>
        <v>418738.31999999995</v>
      </c>
      <c r="I130" s="608">
        <f>VLOOKUP($B130,R_DG!$A$7:$G$1305,7,0)</f>
        <v>0</v>
      </c>
      <c r="J130" s="608">
        <f t="shared" si="19"/>
        <v>0</v>
      </c>
      <c r="K130" s="608">
        <f t="shared" si="19"/>
        <v>302747.80535999994</v>
      </c>
      <c r="L130" s="725">
        <f t="shared" si="19"/>
        <v>0</v>
      </c>
      <c r="M130" s="1127">
        <f>IF(F130&gt;0,M$127,0)</f>
        <v>0</v>
      </c>
      <c r="N130" s="727">
        <f ca="1">$F130*N$127</f>
        <v>0</v>
      </c>
    </row>
    <row r="131" spans="1:14" hidden="1">
      <c r="A131" s="696"/>
      <c r="B131" s="226" t="str">
        <f>IF(CAPDAT=1,"MDAP1",IF(CAPDAT=2,"MDAP2",IF(CAPDAT=3,"MDAP3",IF(CAPDAT=4,"MDAP4"))))</f>
        <v>MDAP3</v>
      </c>
      <c r="C131" s="713" t="str">
        <f>VLOOKUP($B131,R_DG!$A$7:$G$1305,2,0)</f>
        <v>AB.13000</v>
      </c>
      <c r="D131" s="723" t="str">
        <f>VLOOKUP($B131,R_DG!$A$7:$G$1305,3,0)</f>
        <v>Đắp đất hố móng, đất cấp 3, k = 0,85</v>
      </c>
      <c r="E131" s="714" t="str">
        <f>VLOOKUP($B131,R_DG!$A$7:$G$1305,4,0)</f>
        <v>m3</v>
      </c>
      <c r="F131" s="724">
        <v>0.65800000000000003</v>
      </c>
      <c r="G131" s="608">
        <f>VLOOKUP($B131,R_DG!$A$7:$G$1305,5,0)</f>
        <v>0</v>
      </c>
      <c r="H131" s="608">
        <f>VLOOKUP($B131,R_DG!$A$7:$G$1305,6,0)</f>
        <v>100210.88</v>
      </c>
      <c r="I131" s="608">
        <f>VLOOKUP($B131,R_DG!$A$7:$G$1305,7,0)</f>
        <v>0</v>
      </c>
      <c r="J131" s="608">
        <f t="shared" si="19"/>
        <v>0</v>
      </c>
      <c r="K131" s="608">
        <f t="shared" si="19"/>
        <v>65938.759040000004</v>
      </c>
      <c r="L131" s="725">
        <f t="shared" si="19"/>
        <v>0</v>
      </c>
      <c r="M131" s="1127">
        <f>IF(F131&gt;0,M$127,0)</f>
        <v>0</v>
      </c>
      <c r="N131" s="727">
        <f ca="1">$F131*N$127</f>
        <v>0</v>
      </c>
    </row>
    <row r="132" spans="1:14" hidden="1">
      <c r="A132" s="696"/>
      <c r="B132" s="226" t="s">
        <v>2152</v>
      </c>
      <c r="C132" s="713" t="str">
        <f>VLOOKUP($B132,R_DG!$A$7:$G$1305,2,0)</f>
        <v>02.1123</v>
      </c>
      <c r="D132" s="723" t="str">
        <f>VLOOKUP($B132,R_DG!$A$7:$G$1305,3,0)</f>
        <v>Bốc dỡ đà cản, đế néo</v>
      </c>
      <c r="E132" s="714" t="str">
        <f>VLOOKUP($B132,R_DG!$A$7:$G$1305,4,0)</f>
        <v>tấn</v>
      </c>
      <c r="F132" s="724"/>
      <c r="G132" s="608">
        <f>VLOOKUP($B132,R_DG!$A$7:$G$1305,5,0)</f>
        <v>0</v>
      </c>
      <c r="H132" s="608">
        <f>VLOOKUP($B132,R_DG!$A$7:$G$1305,6,0)</f>
        <v>0</v>
      </c>
      <c r="I132" s="608">
        <f>VLOOKUP($B132,R_DG!$A$7:$G$1305,7,0)</f>
        <v>0</v>
      </c>
      <c r="J132" s="608">
        <f t="shared" si="19"/>
        <v>0</v>
      </c>
      <c r="K132" s="608">
        <f t="shared" si="19"/>
        <v>0</v>
      </c>
      <c r="L132" s="725">
        <f t="shared" si="19"/>
        <v>0</v>
      </c>
      <c r="M132" s="1127">
        <f>IF(F132&gt;0,M$127,0)</f>
        <v>0</v>
      </c>
      <c r="N132" s="727">
        <f ca="1">$F132*N$127</f>
        <v>0</v>
      </c>
    </row>
    <row r="133" spans="1:14">
      <c r="A133" s="737" t="s">
        <v>2341</v>
      </c>
      <c r="B133" s="729"/>
      <c r="C133" s="717"/>
      <c r="D133" s="718" t="s">
        <v>2338</v>
      </c>
      <c r="E133" s="718" t="s">
        <v>2146</v>
      </c>
      <c r="F133" s="719"/>
      <c r="G133" s="720"/>
      <c r="H133" s="720"/>
      <c r="I133" s="720"/>
      <c r="J133" s="720">
        <f>SUM(J134:J146)</f>
        <v>487449.7</v>
      </c>
      <c r="K133" s="720">
        <f>SUM(K134:K146)</f>
        <v>144114.08282999997</v>
      </c>
      <c r="L133" s="721">
        <f>SUM(L134:L146)</f>
        <v>0</v>
      </c>
      <c r="M133" s="1126">
        <f>IF(ERROR.TYPE(IF(HLOOKUP(A133,maBK,1,0)&lt;&gt;"",#NULL!,"ABC"))&lt;&gt;7,1,0)</f>
        <v>0</v>
      </c>
      <c r="N133" s="712">
        <f ca="1">SUMIF(maBK,$A133,tongBK1)</f>
        <v>0</v>
      </c>
    </row>
    <row r="134" spans="1:14" hidden="1">
      <c r="A134" s="731"/>
      <c r="B134" s="735" t="s">
        <v>767</v>
      </c>
      <c r="C134" s="713">
        <f>VLOOKUP($B134,R_DG!$A$7:$G$1305,2,0)</f>
        <v>0</v>
      </c>
      <c r="D134" s="723" t="str">
        <f>VLOOKUP($B134,R_DG!$A$7:$G$1305,3,0)</f>
        <v>Ximăng</v>
      </c>
      <c r="E134" s="714" t="str">
        <f>VLOOKUP($B134,R_DG!$A$7:$G$1305,4,0)</f>
        <v>kg</v>
      </c>
      <c r="F134" s="734">
        <v>4.5999999999999996</v>
      </c>
      <c r="G134" s="608">
        <f>VLOOKUP($B134,R_DG!$A$7:$G$1305,5,0)</f>
        <v>1800</v>
      </c>
      <c r="H134" s="608">
        <f>VLOOKUP($B134,R_DG!$A$7:$G$1305,6,0)</f>
        <v>0</v>
      </c>
      <c r="I134" s="608">
        <f>VLOOKUP($B134,R_DG!$A$7:$G$1305,7,0)</f>
        <v>0</v>
      </c>
      <c r="J134" s="608">
        <f t="shared" si="19"/>
        <v>8280</v>
      </c>
      <c r="K134" s="608">
        <f t="shared" si="19"/>
        <v>0</v>
      </c>
      <c r="L134" s="725">
        <f t="shared" si="19"/>
        <v>0</v>
      </c>
      <c r="M134" s="1127">
        <f t="shared" ref="M134:M146" si="20">IF(F134&gt;0,M$133,0)</f>
        <v>0</v>
      </c>
      <c r="N134" s="727">
        <f t="shared" ref="N134:N146" ca="1" si="21">$F134*N$133</f>
        <v>0</v>
      </c>
    </row>
    <row r="135" spans="1:14" hidden="1">
      <c r="A135" s="731"/>
      <c r="B135" s="735" t="s">
        <v>762</v>
      </c>
      <c r="C135" s="713">
        <f>VLOOKUP($B135,R_DG!$A$7:$G$1305,2,0)</f>
        <v>0</v>
      </c>
      <c r="D135" s="723" t="str">
        <f>VLOOKUP($B135,R_DG!$A$7:$G$1305,3,0)</f>
        <v>Cát vàng</v>
      </c>
      <c r="E135" s="714" t="str">
        <f>VLOOKUP($B135,R_DG!$A$7:$G$1305,4,0)</f>
        <v>m3</v>
      </c>
      <c r="F135" s="736">
        <v>8.0000000000000002E-3</v>
      </c>
      <c r="G135" s="608">
        <f>VLOOKUP($B135,R_DG!$A$7:$G$1305,5,0)</f>
        <v>320000</v>
      </c>
      <c r="H135" s="608">
        <f>VLOOKUP($B135,R_DG!$A$7:$G$1305,6,0)</f>
        <v>0</v>
      </c>
      <c r="I135" s="608">
        <f>VLOOKUP($B135,R_DG!$A$7:$G$1305,7,0)</f>
        <v>0</v>
      </c>
      <c r="J135" s="608">
        <f t="shared" si="19"/>
        <v>2560</v>
      </c>
      <c r="K135" s="608">
        <f t="shared" si="19"/>
        <v>0</v>
      </c>
      <c r="L135" s="725">
        <f t="shared" si="19"/>
        <v>0</v>
      </c>
      <c r="M135" s="1127">
        <f t="shared" si="20"/>
        <v>0</v>
      </c>
      <c r="N135" s="727">
        <f t="shared" ca="1" si="21"/>
        <v>0</v>
      </c>
    </row>
    <row r="136" spans="1:14" hidden="1">
      <c r="A136" s="731"/>
      <c r="B136" s="735" t="s">
        <v>2159</v>
      </c>
      <c r="C136" s="713">
        <f>VLOOKUP($B136,R_DG!$A$7:$G$1305,2,0)</f>
        <v>0</v>
      </c>
      <c r="D136" s="723" t="str">
        <f>VLOOKUP($B136,R_DG!$A$7:$G$1305,3,0)</f>
        <v>Đá 1x2</v>
      </c>
      <c r="E136" s="714" t="str">
        <f>VLOOKUP($B136,R_DG!$A$7:$G$1305,4,0)</f>
        <v>m3</v>
      </c>
      <c r="F136" s="734">
        <v>1.2999999999999999E-2</v>
      </c>
      <c r="G136" s="608">
        <f>VLOOKUP($B136,R_DG!$A$7:$G$1305,5,0)</f>
        <v>400000</v>
      </c>
      <c r="H136" s="608">
        <f>VLOOKUP($B136,R_DG!$A$7:$G$1305,6,0)</f>
        <v>0</v>
      </c>
      <c r="I136" s="608">
        <f>VLOOKUP($B136,R_DG!$A$7:$G$1305,7,0)</f>
        <v>0</v>
      </c>
      <c r="J136" s="608">
        <f t="shared" ref="J136:L169" si="22">G136*$F136</f>
        <v>5200</v>
      </c>
      <c r="K136" s="608">
        <f t="shared" si="22"/>
        <v>0</v>
      </c>
      <c r="L136" s="725">
        <f t="shared" si="22"/>
        <v>0</v>
      </c>
      <c r="M136" s="1127">
        <f t="shared" si="20"/>
        <v>0</v>
      </c>
      <c r="N136" s="727">
        <f t="shared" ca="1" si="21"/>
        <v>0</v>
      </c>
    </row>
    <row r="137" spans="1:14" hidden="1">
      <c r="A137" s="731"/>
      <c r="B137" s="735" t="s">
        <v>672</v>
      </c>
      <c r="C137" s="713">
        <f>VLOOKUP($B137,R_DG!$A$7:$G$1305,2,0)</f>
        <v>0</v>
      </c>
      <c r="D137" s="723" t="str">
        <f>VLOOKUP($B137,R_DG!$A$7:$G$1305,3,0)</f>
        <v>Sắt  φ10</v>
      </c>
      <c r="E137" s="714" t="str">
        <f>VLOOKUP($B137,R_DG!$A$7:$G$1305,4,0)</f>
        <v>kg</v>
      </c>
      <c r="F137" s="736">
        <v>30</v>
      </c>
      <c r="G137" s="608">
        <f>VLOOKUP($B137,R_DG!$A$7:$G$1305,5,0)</f>
        <v>14545</v>
      </c>
      <c r="H137" s="608">
        <f>VLOOKUP($B137,R_DG!$A$7:$G$1305,6,0)</f>
        <v>0</v>
      </c>
      <c r="I137" s="608">
        <f>VLOOKUP($B137,R_DG!$A$7:$G$1305,7,0)</f>
        <v>0</v>
      </c>
      <c r="J137" s="608">
        <f t="shared" si="22"/>
        <v>436350</v>
      </c>
      <c r="K137" s="608">
        <f t="shared" si="22"/>
        <v>0</v>
      </c>
      <c r="L137" s="725">
        <f t="shared" si="22"/>
        <v>0</v>
      </c>
      <c r="M137" s="1127">
        <f t="shared" si="20"/>
        <v>0</v>
      </c>
      <c r="N137" s="727">
        <f t="shared" ca="1" si="21"/>
        <v>0</v>
      </c>
    </row>
    <row r="138" spans="1:14" hidden="1">
      <c r="A138" s="731"/>
      <c r="B138" s="735" t="s">
        <v>1974</v>
      </c>
      <c r="C138" s="713">
        <f>VLOOKUP($B138,R_DG!$A$7:$G$1305,2,0)</f>
        <v>0</v>
      </c>
      <c r="D138" s="723" t="str">
        <f>VLOOKUP($B138,R_DG!$A$7:$G$1305,3,0)</f>
        <v>Kẽm</v>
      </c>
      <c r="E138" s="714" t="str">
        <f>VLOOKUP($B138,R_DG!$A$7:$G$1305,4,0)</f>
        <v>kg</v>
      </c>
      <c r="F138" s="734">
        <v>0.65</v>
      </c>
      <c r="G138" s="608">
        <f>VLOOKUP($B138,R_DG!$A$7:$G$1305,5,0)</f>
        <v>35200</v>
      </c>
      <c r="H138" s="608">
        <f>VLOOKUP($B138,R_DG!$A$7:$G$1305,6,0)</f>
        <v>0</v>
      </c>
      <c r="I138" s="608">
        <f>VLOOKUP($B138,R_DG!$A$7:$G$1305,7,0)</f>
        <v>0</v>
      </c>
      <c r="J138" s="608">
        <f t="shared" si="22"/>
        <v>22880</v>
      </c>
      <c r="K138" s="608">
        <f t="shared" si="22"/>
        <v>0</v>
      </c>
      <c r="L138" s="725">
        <f t="shared" si="22"/>
        <v>0</v>
      </c>
      <c r="M138" s="1127">
        <f t="shared" si="20"/>
        <v>0</v>
      </c>
      <c r="N138" s="727">
        <f t="shared" ca="1" si="21"/>
        <v>0</v>
      </c>
    </row>
    <row r="139" spans="1:14" hidden="1">
      <c r="A139" s="731"/>
      <c r="B139" s="735" t="s">
        <v>820</v>
      </c>
      <c r="C139" s="713" t="str">
        <f>VLOOKUP($B139,R_DG!$A$7:$G$1305,2,0)</f>
        <v>03.1113</v>
      </c>
      <c r="D139" s="723" t="str">
        <f>VLOOKUP($B139,R_DG!$A$7:$G$1305,3,0)</f>
        <v>Khoan cắt BT bằng máy khoan cằm tay</v>
      </c>
      <c r="E139" s="714" t="str">
        <f>VLOOKUP($B139,R_DG!$A$7:$G$1305,4,0)</f>
        <v>m3</v>
      </c>
      <c r="F139" s="734">
        <v>0</v>
      </c>
      <c r="G139" s="608">
        <f>VLOOKUP($B139,R_DG!$A$7:$G$1305,5,0)</f>
        <v>0</v>
      </c>
      <c r="H139" s="608">
        <f>VLOOKUP($B139,R_DG!$A$7:$G$1305,6,0)</f>
        <v>0</v>
      </c>
      <c r="I139" s="608">
        <f>VLOOKUP($B139,R_DG!$A$7:$G$1305,7,0)</f>
        <v>0</v>
      </c>
      <c r="J139" s="608">
        <f t="shared" si="22"/>
        <v>0</v>
      </c>
      <c r="K139" s="608">
        <f t="shared" si="22"/>
        <v>0</v>
      </c>
      <c r="L139" s="725">
        <f t="shared" si="22"/>
        <v>0</v>
      </c>
      <c r="M139" s="1127">
        <f t="shared" si="20"/>
        <v>0</v>
      </c>
      <c r="N139" s="727">
        <f t="shared" ca="1" si="21"/>
        <v>0</v>
      </c>
    </row>
    <row r="140" spans="1:14" hidden="1">
      <c r="A140" s="731"/>
      <c r="B140" s="735" t="s">
        <v>818</v>
      </c>
      <c r="C140" s="713" t="str">
        <f>VLOOKUP($B140,R_DG!$A$7:$G$1305,2,0)</f>
        <v>AB.11400</v>
      </c>
      <c r="D140" s="723" t="str">
        <f>VLOOKUP($B140,R_DG!$A$7:$G$1305,3,0)</f>
        <v>Đào hố móng đất cấp 3 sâu &gt;1m, rộng &lt;1m</v>
      </c>
      <c r="E140" s="714" t="str">
        <f>VLOOKUP($B140,R_DG!$A$7:$G$1305,4,0)</f>
        <v>m3</v>
      </c>
      <c r="F140" s="736">
        <v>0.29399999999999998</v>
      </c>
      <c r="G140" s="608">
        <f>VLOOKUP($B140,R_DG!$A$7:$G$1305,5,0)</f>
        <v>0</v>
      </c>
      <c r="H140" s="608">
        <f>VLOOKUP($B140,R_DG!$A$7:$G$1305,6,0)</f>
        <v>418738.31999999995</v>
      </c>
      <c r="I140" s="608">
        <f>VLOOKUP($B140,R_DG!$A$7:$G$1305,7,0)</f>
        <v>0</v>
      </c>
      <c r="J140" s="608">
        <f t="shared" si="22"/>
        <v>0</v>
      </c>
      <c r="K140" s="608">
        <f t="shared" si="22"/>
        <v>123109.06607999998</v>
      </c>
      <c r="L140" s="725">
        <f t="shared" si="22"/>
        <v>0</v>
      </c>
      <c r="M140" s="1127">
        <f t="shared" si="20"/>
        <v>0</v>
      </c>
      <c r="N140" s="727">
        <f t="shared" ca="1" si="21"/>
        <v>0</v>
      </c>
    </row>
    <row r="141" spans="1:14" hidden="1">
      <c r="A141" s="731"/>
      <c r="B141" s="735" t="s">
        <v>831</v>
      </c>
      <c r="C141" s="713" t="str">
        <f>VLOOKUP($B141,R_DG!$A$7:$G$1305,2,0)</f>
        <v>AB.13000</v>
      </c>
      <c r="D141" s="723" t="str">
        <f>VLOOKUP($B141,R_DG!$A$7:$G$1305,3,0)</f>
        <v>Đắp đất hố móng, đất cấp 3, k = 0,85</v>
      </c>
      <c r="E141" s="714" t="str">
        <f>VLOOKUP($B141,R_DG!$A$7:$G$1305,4,0)</f>
        <v>m3</v>
      </c>
      <c r="F141" s="736">
        <v>0.15</v>
      </c>
      <c r="G141" s="608">
        <f>VLOOKUP($B141,R_DG!$A$7:$G$1305,5,0)</f>
        <v>0</v>
      </c>
      <c r="H141" s="608">
        <f>VLOOKUP($B141,R_DG!$A$7:$G$1305,6,0)</f>
        <v>100210.88</v>
      </c>
      <c r="I141" s="608">
        <f>VLOOKUP($B141,R_DG!$A$7:$G$1305,7,0)</f>
        <v>0</v>
      </c>
      <c r="J141" s="608">
        <f t="shared" si="22"/>
        <v>0</v>
      </c>
      <c r="K141" s="608">
        <f t="shared" si="22"/>
        <v>15031.632</v>
      </c>
      <c r="L141" s="725">
        <f t="shared" si="22"/>
        <v>0</v>
      </c>
      <c r="M141" s="1127">
        <f t="shared" si="20"/>
        <v>0</v>
      </c>
      <c r="N141" s="727">
        <f t="shared" ca="1" si="21"/>
        <v>0</v>
      </c>
    </row>
    <row r="142" spans="1:14" hidden="1">
      <c r="A142" s="731"/>
      <c r="B142" s="735" t="s">
        <v>1116</v>
      </c>
      <c r="C142" s="713" t="str">
        <f>VLOOKUP($B142,R_DG!$A$7:$G$1305,2,0)</f>
        <v>02.1101</v>
      </c>
      <c r="D142" s="723" t="str">
        <f>VLOOKUP($B142,R_DG!$A$7:$G$1305,3,0)</f>
        <v>Bốc dỡ xi măng</v>
      </c>
      <c r="E142" s="714" t="str">
        <f>VLOOKUP($B142,R_DG!$A$7:$G$1305,4,0)</f>
        <v>tấn</v>
      </c>
      <c r="F142" s="736">
        <f>F134*0</f>
        <v>0</v>
      </c>
      <c r="G142" s="608">
        <f>VLOOKUP($B142,R_DG!$A$7:$G$1305,5,0)</f>
        <v>0</v>
      </c>
      <c r="H142" s="608">
        <f>VLOOKUP($B142,R_DG!$A$7:$G$1305,6,0)</f>
        <v>0</v>
      </c>
      <c r="I142" s="608">
        <f>VLOOKUP($B142,R_DG!$A$7:$G$1305,7,0)</f>
        <v>0</v>
      </c>
      <c r="J142" s="608">
        <f t="shared" si="22"/>
        <v>0</v>
      </c>
      <c r="K142" s="608">
        <f t="shared" si="22"/>
        <v>0</v>
      </c>
      <c r="L142" s="725">
        <f t="shared" si="22"/>
        <v>0</v>
      </c>
      <c r="M142" s="1127">
        <f t="shared" si="20"/>
        <v>0</v>
      </c>
      <c r="N142" s="727">
        <f t="shared" ca="1" si="21"/>
        <v>0</v>
      </c>
    </row>
    <row r="143" spans="1:14" hidden="1">
      <c r="A143" s="731"/>
      <c r="B143" s="735" t="s">
        <v>1119</v>
      </c>
      <c r="C143" s="713" t="str">
        <f>VLOOKUP($B143,R_DG!$A$7:$G$1305,2,0)</f>
        <v>02.1103</v>
      </c>
      <c r="D143" s="723" t="str">
        <f>VLOOKUP($B143,R_DG!$A$7:$G$1305,3,0)</f>
        <v>Bốc dỡ cát</v>
      </c>
      <c r="E143" s="714" t="str">
        <f>VLOOKUP($B143,R_DG!$A$7:$G$1305,4,0)</f>
        <v>m3</v>
      </c>
      <c r="F143" s="736">
        <f>F135*0</f>
        <v>0</v>
      </c>
      <c r="G143" s="608">
        <f>VLOOKUP($B143,R_DG!$A$7:$G$1305,5,0)</f>
        <v>0</v>
      </c>
      <c r="H143" s="608">
        <f>VLOOKUP($B143,R_DG!$A$7:$G$1305,6,0)</f>
        <v>0</v>
      </c>
      <c r="I143" s="608">
        <f>VLOOKUP($B143,R_DG!$A$7:$G$1305,7,0)</f>
        <v>0</v>
      </c>
      <c r="J143" s="608">
        <f t="shared" si="22"/>
        <v>0</v>
      </c>
      <c r="K143" s="608">
        <f t="shared" si="22"/>
        <v>0</v>
      </c>
      <c r="L143" s="725">
        <f t="shared" si="22"/>
        <v>0</v>
      </c>
      <c r="M143" s="1127">
        <f t="shared" si="20"/>
        <v>0</v>
      </c>
      <c r="N143" s="727">
        <f t="shared" ca="1" si="21"/>
        <v>0</v>
      </c>
    </row>
    <row r="144" spans="1:14" hidden="1">
      <c r="A144" s="731"/>
      <c r="B144" s="735" t="s">
        <v>1122</v>
      </c>
      <c r="C144" s="713" t="str">
        <f>VLOOKUP($B144,R_DG!$A$7:$G$1305,2,0)</f>
        <v>02.1104</v>
      </c>
      <c r="D144" s="723" t="str">
        <f>VLOOKUP($B144,R_DG!$A$7:$G$1305,3,0)</f>
        <v>Bốc dỡ đá dăm</v>
      </c>
      <c r="E144" s="714" t="str">
        <f>VLOOKUP($B144,R_DG!$A$7:$G$1305,4,0)</f>
        <v>m3</v>
      </c>
      <c r="F144" s="736">
        <f>F136*0</f>
        <v>0</v>
      </c>
      <c r="G144" s="608">
        <f>VLOOKUP($B144,R_DG!$A$7:$G$1305,5,0)</f>
        <v>0</v>
      </c>
      <c r="H144" s="608">
        <f>VLOOKUP($B144,R_DG!$A$7:$G$1305,6,0)</f>
        <v>0</v>
      </c>
      <c r="I144" s="608">
        <f>VLOOKUP($B144,R_DG!$A$7:$G$1305,7,0)</f>
        <v>0</v>
      </c>
      <c r="J144" s="608">
        <f t="shared" si="22"/>
        <v>0</v>
      </c>
      <c r="K144" s="608">
        <f t="shared" si="22"/>
        <v>0</v>
      </c>
      <c r="L144" s="725">
        <f t="shared" si="22"/>
        <v>0</v>
      </c>
      <c r="M144" s="1127">
        <f t="shared" si="20"/>
        <v>0</v>
      </c>
      <c r="N144" s="727">
        <f t="shared" ca="1" si="21"/>
        <v>0</v>
      </c>
    </row>
    <row r="145" spans="1:14" hidden="1">
      <c r="A145" s="731"/>
      <c r="B145" s="735" t="s">
        <v>1250</v>
      </c>
      <c r="C145" s="713" t="str">
        <f>VLOOKUP($B145,R_DG!$A$7:$G$1305,2,0)</f>
        <v>04.1101</v>
      </c>
      <c r="D145" s="723" t="str">
        <f>VLOOKUP($B145,R_DG!$A$7:$G$1305,3,0)</f>
        <v>Gia công và lắp dựng cốt thép D&lt;=10</v>
      </c>
      <c r="E145" s="714" t="str">
        <f>VLOOKUP($B145,R_DG!$A$7:$G$1305,4,0)</f>
        <v>kg</v>
      </c>
      <c r="F145" s="736">
        <f>F137</f>
        <v>30</v>
      </c>
      <c r="G145" s="608">
        <f>VLOOKUP($B145,R_DG!$A$7:$G$1305,5,0)</f>
        <v>405.99</v>
      </c>
      <c r="H145" s="608">
        <f>VLOOKUP($B145,R_DG!$A$7:$G$1305,6,0)</f>
        <v>0</v>
      </c>
      <c r="I145" s="608">
        <f>VLOOKUP($B145,R_DG!$A$7:$G$1305,7,0)</f>
        <v>0</v>
      </c>
      <c r="J145" s="608">
        <f t="shared" si="22"/>
        <v>12179.7</v>
      </c>
      <c r="K145" s="608">
        <f t="shared" si="22"/>
        <v>0</v>
      </c>
      <c r="L145" s="725">
        <f t="shared" si="22"/>
        <v>0</v>
      </c>
      <c r="M145" s="1127">
        <f t="shared" si="20"/>
        <v>0</v>
      </c>
      <c r="N145" s="727">
        <f t="shared" ca="1" si="21"/>
        <v>0</v>
      </c>
    </row>
    <row r="146" spans="1:14" hidden="1">
      <c r="A146" s="731"/>
      <c r="B146" s="735" t="s">
        <v>1245</v>
      </c>
      <c r="C146" s="713" t="str">
        <f>VLOOKUP($B146,R_DG!$A$7:$G$1305,2,0)</f>
        <v>AF112.20</v>
      </c>
      <c r="D146" s="723" t="str">
        <f>VLOOKUP($B146,R_DG!$A$7:$G$1305,3,0)</f>
        <v>Đổ bê tông mác M150 đá 1x2</v>
      </c>
      <c r="E146" s="714" t="str">
        <f>VLOOKUP($B146,R_DG!$A$7:$G$1305,4,0)</f>
        <v>m3</v>
      </c>
      <c r="F146" s="736">
        <v>1.4999999999999999E-2</v>
      </c>
      <c r="G146" s="608">
        <f>VLOOKUP($B146,R_DG!$A$7:$G$1305,5,0)</f>
        <v>0</v>
      </c>
      <c r="H146" s="608">
        <f>VLOOKUP($B146,R_DG!$A$7:$G$1305,6,0)</f>
        <v>398225.65</v>
      </c>
      <c r="I146" s="608">
        <f>VLOOKUP($B146,R_DG!$A$7:$G$1305,7,0)</f>
        <v>0</v>
      </c>
      <c r="J146" s="608">
        <f t="shared" si="22"/>
        <v>0</v>
      </c>
      <c r="K146" s="608">
        <f t="shared" si="22"/>
        <v>5973.3847500000002</v>
      </c>
      <c r="L146" s="725">
        <f t="shared" si="22"/>
        <v>0</v>
      </c>
      <c r="M146" s="1127">
        <f t="shared" si="20"/>
        <v>0</v>
      </c>
      <c r="N146" s="727">
        <f t="shared" ca="1" si="21"/>
        <v>0</v>
      </c>
    </row>
    <row r="147" spans="1:14">
      <c r="A147" s="737" t="s">
        <v>2549</v>
      </c>
      <c r="B147" s="729"/>
      <c r="C147" s="717"/>
      <c r="D147" s="718" t="s">
        <v>2338</v>
      </c>
      <c r="E147" s="718" t="s">
        <v>2146</v>
      </c>
      <c r="F147" s="719"/>
      <c r="G147" s="720"/>
      <c r="H147" s="720"/>
      <c r="I147" s="720"/>
      <c r="J147" s="720">
        <f>SUM(J148:J160)</f>
        <v>487449.7</v>
      </c>
      <c r="K147" s="720">
        <f>SUM(K148:K160)</f>
        <v>144114.08282999997</v>
      </c>
      <c r="L147" s="721">
        <f>SUM(L148:L160)</f>
        <v>0</v>
      </c>
      <c r="M147" s="1126">
        <f>IF(ERROR.TYPE(IF(HLOOKUP(A147,maBK,1,0)&lt;&gt;"",#NULL!,"ABC"))&lt;&gt;7,1,0)</f>
        <v>0</v>
      </c>
      <c r="N147" s="712">
        <f ca="1">SUMIF(maBK,$A147,tongBK1)</f>
        <v>0</v>
      </c>
    </row>
    <row r="148" spans="1:14" hidden="1">
      <c r="A148" s="731"/>
      <c r="B148" s="735" t="s">
        <v>767</v>
      </c>
      <c r="C148" s="713">
        <f>VLOOKUP($B148,R_DG!$A$7:$G$1305,2,0)</f>
        <v>0</v>
      </c>
      <c r="D148" s="723" t="str">
        <f>VLOOKUP($B148,R_DG!$A$7:$G$1305,3,0)</f>
        <v>Ximăng</v>
      </c>
      <c r="E148" s="714" t="str">
        <f>VLOOKUP($B148,R_DG!$A$7:$G$1305,4,0)</f>
        <v>kg</v>
      </c>
      <c r="F148" s="734">
        <v>4.5999999999999996</v>
      </c>
      <c r="G148" s="608">
        <f>VLOOKUP($B148,R_DG!$A$7:$G$1305,5,0)</f>
        <v>1800</v>
      </c>
      <c r="H148" s="608">
        <f>VLOOKUP($B148,R_DG!$A$7:$G$1305,6,0)</f>
        <v>0</v>
      </c>
      <c r="I148" s="608">
        <f>VLOOKUP($B148,R_DG!$A$7:$G$1305,7,0)</f>
        <v>0</v>
      </c>
      <c r="J148" s="608">
        <f t="shared" ref="J148:L160" si="23">G148*$F148</f>
        <v>8280</v>
      </c>
      <c r="K148" s="608">
        <f t="shared" si="23"/>
        <v>0</v>
      </c>
      <c r="L148" s="725">
        <f t="shared" si="23"/>
        <v>0</v>
      </c>
      <c r="M148" s="1127">
        <f>IF(F148&gt;0,M$147,0)</f>
        <v>0</v>
      </c>
      <c r="N148" s="727">
        <f t="shared" ref="N148:N160" ca="1" si="24">$F148*N$147</f>
        <v>0</v>
      </c>
    </row>
    <row r="149" spans="1:14" hidden="1">
      <c r="A149" s="731"/>
      <c r="B149" s="735" t="s">
        <v>762</v>
      </c>
      <c r="C149" s="713">
        <f>VLOOKUP($B149,R_DG!$A$7:$G$1305,2,0)</f>
        <v>0</v>
      </c>
      <c r="D149" s="723" t="str">
        <f>VLOOKUP($B149,R_DG!$A$7:$G$1305,3,0)</f>
        <v>Cát vàng</v>
      </c>
      <c r="E149" s="714" t="str">
        <f>VLOOKUP($B149,R_DG!$A$7:$G$1305,4,0)</f>
        <v>m3</v>
      </c>
      <c r="F149" s="736">
        <v>8.0000000000000002E-3</v>
      </c>
      <c r="G149" s="608">
        <f>VLOOKUP($B149,R_DG!$A$7:$G$1305,5,0)</f>
        <v>320000</v>
      </c>
      <c r="H149" s="608">
        <f>VLOOKUP($B149,R_DG!$A$7:$G$1305,6,0)</f>
        <v>0</v>
      </c>
      <c r="I149" s="608">
        <f>VLOOKUP($B149,R_DG!$A$7:$G$1305,7,0)</f>
        <v>0</v>
      </c>
      <c r="J149" s="608">
        <f t="shared" si="23"/>
        <v>2560</v>
      </c>
      <c r="K149" s="608">
        <f t="shared" si="23"/>
        <v>0</v>
      </c>
      <c r="L149" s="725">
        <f t="shared" si="23"/>
        <v>0</v>
      </c>
      <c r="M149" s="1127">
        <f t="shared" ref="M149:M160" si="25">IF(F149&gt;0,M$147,0)</f>
        <v>0</v>
      </c>
      <c r="N149" s="727">
        <f t="shared" ca="1" si="24"/>
        <v>0</v>
      </c>
    </row>
    <row r="150" spans="1:14" hidden="1">
      <c r="A150" s="731"/>
      <c r="B150" s="735" t="s">
        <v>2159</v>
      </c>
      <c r="C150" s="713">
        <f>VLOOKUP($B150,R_DG!$A$7:$G$1305,2,0)</f>
        <v>0</v>
      </c>
      <c r="D150" s="723" t="str">
        <f>VLOOKUP($B150,R_DG!$A$7:$G$1305,3,0)</f>
        <v>Đá 1x2</v>
      </c>
      <c r="E150" s="714" t="str">
        <f>VLOOKUP($B150,R_DG!$A$7:$G$1305,4,0)</f>
        <v>m3</v>
      </c>
      <c r="F150" s="734">
        <v>1.2999999999999999E-2</v>
      </c>
      <c r="G150" s="608">
        <f>VLOOKUP($B150,R_DG!$A$7:$G$1305,5,0)</f>
        <v>400000</v>
      </c>
      <c r="H150" s="608">
        <f>VLOOKUP($B150,R_DG!$A$7:$G$1305,6,0)</f>
        <v>0</v>
      </c>
      <c r="I150" s="608">
        <f>VLOOKUP($B150,R_DG!$A$7:$G$1305,7,0)</f>
        <v>0</v>
      </c>
      <c r="J150" s="608">
        <f t="shared" si="23"/>
        <v>5200</v>
      </c>
      <c r="K150" s="608">
        <f t="shared" si="23"/>
        <v>0</v>
      </c>
      <c r="L150" s="725">
        <f t="shared" si="23"/>
        <v>0</v>
      </c>
      <c r="M150" s="1127">
        <f t="shared" si="25"/>
        <v>0</v>
      </c>
      <c r="N150" s="727">
        <f t="shared" ca="1" si="24"/>
        <v>0</v>
      </c>
    </row>
    <row r="151" spans="1:14" hidden="1">
      <c r="A151" s="731"/>
      <c r="B151" s="735" t="s">
        <v>672</v>
      </c>
      <c r="C151" s="713">
        <f>VLOOKUP($B151,R_DG!$A$7:$G$1305,2,0)</f>
        <v>0</v>
      </c>
      <c r="D151" s="723" t="str">
        <f>VLOOKUP($B151,R_DG!$A$7:$G$1305,3,0)</f>
        <v>Sắt  φ10</v>
      </c>
      <c r="E151" s="714" t="str">
        <f>VLOOKUP($B151,R_DG!$A$7:$G$1305,4,0)</f>
        <v>kg</v>
      </c>
      <c r="F151" s="736">
        <v>30</v>
      </c>
      <c r="G151" s="608">
        <f>VLOOKUP($B151,R_DG!$A$7:$G$1305,5,0)</f>
        <v>14545</v>
      </c>
      <c r="H151" s="608">
        <f>VLOOKUP($B151,R_DG!$A$7:$G$1305,6,0)</f>
        <v>0</v>
      </c>
      <c r="I151" s="608">
        <f>VLOOKUP($B151,R_DG!$A$7:$G$1305,7,0)</f>
        <v>0</v>
      </c>
      <c r="J151" s="608">
        <f t="shared" si="23"/>
        <v>436350</v>
      </c>
      <c r="K151" s="608">
        <f t="shared" si="23"/>
        <v>0</v>
      </c>
      <c r="L151" s="725">
        <f t="shared" si="23"/>
        <v>0</v>
      </c>
      <c r="M151" s="1127">
        <f t="shared" si="25"/>
        <v>0</v>
      </c>
      <c r="N151" s="727">
        <f t="shared" ca="1" si="24"/>
        <v>0</v>
      </c>
    </row>
    <row r="152" spans="1:14" hidden="1">
      <c r="A152" s="731"/>
      <c r="B152" s="735" t="s">
        <v>1974</v>
      </c>
      <c r="C152" s="713">
        <f>VLOOKUP($B152,R_DG!$A$7:$G$1305,2,0)</f>
        <v>0</v>
      </c>
      <c r="D152" s="723" t="str">
        <f>VLOOKUP($B152,R_DG!$A$7:$G$1305,3,0)</f>
        <v>Kẽm</v>
      </c>
      <c r="E152" s="714" t="str">
        <f>VLOOKUP($B152,R_DG!$A$7:$G$1305,4,0)</f>
        <v>kg</v>
      </c>
      <c r="F152" s="734">
        <v>0.65</v>
      </c>
      <c r="G152" s="608">
        <f>VLOOKUP($B152,R_DG!$A$7:$G$1305,5,0)</f>
        <v>35200</v>
      </c>
      <c r="H152" s="608">
        <f>VLOOKUP($B152,R_DG!$A$7:$G$1305,6,0)</f>
        <v>0</v>
      </c>
      <c r="I152" s="608">
        <f>VLOOKUP($B152,R_DG!$A$7:$G$1305,7,0)</f>
        <v>0</v>
      </c>
      <c r="J152" s="608">
        <f t="shared" si="23"/>
        <v>22880</v>
      </c>
      <c r="K152" s="608">
        <f t="shared" si="23"/>
        <v>0</v>
      </c>
      <c r="L152" s="725">
        <f t="shared" si="23"/>
        <v>0</v>
      </c>
      <c r="M152" s="1127">
        <f t="shared" si="25"/>
        <v>0</v>
      </c>
      <c r="N152" s="727">
        <f t="shared" ca="1" si="24"/>
        <v>0</v>
      </c>
    </row>
    <row r="153" spans="1:14" hidden="1">
      <c r="A153" s="731"/>
      <c r="B153" s="735" t="s">
        <v>820</v>
      </c>
      <c r="C153" s="713" t="str">
        <f>VLOOKUP($B153,R_DG!$A$7:$G$1305,2,0)</f>
        <v>03.1113</v>
      </c>
      <c r="D153" s="723" t="str">
        <f>VLOOKUP($B153,R_DG!$A$7:$G$1305,3,0)</f>
        <v>Khoan cắt BT bằng máy khoan cằm tay</v>
      </c>
      <c r="E153" s="714" t="str">
        <f>VLOOKUP($B153,R_DG!$A$7:$G$1305,4,0)</f>
        <v>m3</v>
      </c>
      <c r="F153" s="734">
        <v>0</v>
      </c>
      <c r="G153" s="608">
        <f>VLOOKUP($B153,R_DG!$A$7:$G$1305,5,0)</f>
        <v>0</v>
      </c>
      <c r="H153" s="608">
        <f>VLOOKUP($B153,R_DG!$A$7:$G$1305,6,0)</f>
        <v>0</v>
      </c>
      <c r="I153" s="608">
        <f>VLOOKUP($B153,R_DG!$A$7:$G$1305,7,0)</f>
        <v>0</v>
      </c>
      <c r="J153" s="608">
        <f t="shared" si="23"/>
        <v>0</v>
      </c>
      <c r="K153" s="608">
        <f t="shared" si="23"/>
        <v>0</v>
      </c>
      <c r="L153" s="725">
        <f t="shared" si="23"/>
        <v>0</v>
      </c>
      <c r="M153" s="1127">
        <f t="shared" si="25"/>
        <v>0</v>
      </c>
      <c r="N153" s="727">
        <f t="shared" ca="1" si="24"/>
        <v>0</v>
      </c>
    </row>
    <row r="154" spans="1:14" hidden="1">
      <c r="A154" s="731"/>
      <c r="B154" s="735" t="s">
        <v>818</v>
      </c>
      <c r="C154" s="713" t="str">
        <f>VLOOKUP($B154,R_DG!$A$7:$G$1305,2,0)</f>
        <v>AB.11400</v>
      </c>
      <c r="D154" s="723" t="str">
        <f>VLOOKUP($B154,R_DG!$A$7:$G$1305,3,0)</f>
        <v>Đào hố móng đất cấp 3 sâu &gt;1m, rộng &lt;1m</v>
      </c>
      <c r="E154" s="714" t="str">
        <f>VLOOKUP($B154,R_DG!$A$7:$G$1305,4,0)</f>
        <v>m3</v>
      </c>
      <c r="F154" s="736">
        <v>0.29399999999999998</v>
      </c>
      <c r="G154" s="608">
        <f>VLOOKUP($B154,R_DG!$A$7:$G$1305,5,0)</f>
        <v>0</v>
      </c>
      <c r="H154" s="608">
        <f>VLOOKUP($B154,R_DG!$A$7:$G$1305,6,0)</f>
        <v>418738.31999999995</v>
      </c>
      <c r="I154" s="608">
        <f>VLOOKUP($B154,R_DG!$A$7:$G$1305,7,0)</f>
        <v>0</v>
      </c>
      <c r="J154" s="608">
        <f t="shared" si="23"/>
        <v>0</v>
      </c>
      <c r="K154" s="608">
        <f t="shared" si="23"/>
        <v>123109.06607999998</v>
      </c>
      <c r="L154" s="725">
        <f t="shared" si="23"/>
        <v>0</v>
      </c>
      <c r="M154" s="1127">
        <f t="shared" si="25"/>
        <v>0</v>
      </c>
      <c r="N154" s="727">
        <f t="shared" ca="1" si="24"/>
        <v>0</v>
      </c>
    </row>
    <row r="155" spans="1:14" hidden="1">
      <c r="A155" s="731"/>
      <c r="B155" s="735" t="s">
        <v>831</v>
      </c>
      <c r="C155" s="713" t="str">
        <f>VLOOKUP($B155,R_DG!$A$7:$G$1305,2,0)</f>
        <v>AB.13000</v>
      </c>
      <c r="D155" s="723" t="str">
        <f>VLOOKUP($B155,R_DG!$A$7:$G$1305,3,0)</f>
        <v>Đắp đất hố móng, đất cấp 3, k = 0,85</v>
      </c>
      <c r="E155" s="714" t="str">
        <f>VLOOKUP($B155,R_DG!$A$7:$G$1305,4,0)</f>
        <v>m3</v>
      </c>
      <c r="F155" s="736">
        <v>0.15</v>
      </c>
      <c r="G155" s="608">
        <f>VLOOKUP($B155,R_DG!$A$7:$G$1305,5,0)</f>
        <v>0</v>
      </c>
      <c r="H155" s="608">
        <f>VLOOKUP($B155,R_DG!$A$7:$G$1305,6,0)</f>
        <v>100210.88</v>
      </c>
      <c r="I155" s="608">
        <f>VLOOKUP($B155,R_DG!$A$7:$G$1305,7,0)</f>
        <v>0</v>
      </c>
      <c r="J155" s="608">
        <f t="shared" si="23"/>
        <v>0</v>
      </c>
      <c r="K155" s="608">
        <f t="shared" si="23"/>
        <v>15031.632</v>
      </c>
      <c r="L155" s="725">
        <f t="shared" si="23"/>
        <v>0</v>
      </c>
      <c r="M155" s="1127">
        <f t="shared" si="25"/>
        <v>0</v>
      </c>
      <c r="N155" s="727">
        <f t="shared" ca="1" si="24"/>
        <v>0</v>
      </c>
    </row>
    <row r="156" spans="1:14" hidden="1">
      <c r="A156" s="731"/>
      <c r="B156" s="735" t="s">
        <v>1116</v>
      </c>
      <c r="C156" s="713" t="str">
        <f>VLOOKUP($B156,R_DG!$A$7:$G$1305,2,0)</f>
        <v>02.1101</v>
      </c>
      <c r="D156" s="723" t="str">
        <f>VLOOKUP($B156,R_DG!$A$7:$G$1305,3,0)</f>
        <v>Bốc dỡ xi măng</v>
      </c>
      <c r="E156" s="714" t="str">
        <f>VLOOKUP($B156,R_DG!$A$7:$G$1305,4,0)</f>
        <v>tấn</v>
      </c>
      <c r="F156" s="736">
        <f>F148*0</f>
        <v>0</v>
      </c>
      <c r="G156" s="608">
        <f>VLOOKUP($B156,R_DG!$A$7:$G$1305,5,0)</f>
        <v>0</v>
      </c>
      <c r="H156" s="608">
        <f>VLOOKUP($B156,R_DG!$A$7:$G$1305,6,0)</f>
        <v>0</v>
      </c>
      <c r="I156" s="608">
        <f>VLOOKUP($B156,R_DG!$A$7:$G$1305,7,0)</f>
        <v>0</v>
      </c>
      <c r="J156" s="608">
        <f t="shared" si="23"/>
        <v>0</v>
      </c>
      <c r="K156" s="608">
        <f t="shared" si="23"/>
        <v>0</v>
      </c>
      <c r="L156" s="725">
        <f t="shared" si="23"/>
        <v>0</v>
      </c>
      <c r="M156" s="1127">
        <f t="shared" si="25"/>
        <v>0</v>
      </c>
      <c r="N156" s="727">
        <f t="shared" ca="1" si="24"/>
        <v>0</v>
      </c>
    </row>
    <row r="157" spans="1:14" hidden="1">
      <c r="A157" s="731"/>
      <c r="B157" s="735" t="s">
        <v>1119</v>
      </c>
      <c r="C157" s="713" t="str">
        <f>VLOOKUP($B157,R_DG!$A$7:$G$1305,2,0)</f>
        <v>02.1103</v>
      </c>
      <c r="D157" s="723" t="str">
        <f>VLOOKUP($B157,R_DG!$A$7:$G$1305,3,0)</f>
        <v>Bốc dỡ cát</v>
      </c>
      <c r="E157" s="714" t="str">
        <f>VLOOKUP($B157,R_DG!$A$7:$G$1305,4,0)</f>
        <v>m3</v>
      </c>
      <c r="F157" s="736">
        <f>F149*0</f>
        <v>0</v>
      </c>
      <c r="G157" s="608">
        <f>VLOOKUP($B157,R_DG!$A$7:$G$1305,5,0)</f>
        <v>0</v>
      </c>
      <c r="H157" s="608">
        <f>VLOOKUP($B157,R_DG!$A$7:$G$1305,6,0)</f>
        <v>0</v>
      </c>
      <c r="I157" s="608">
        <f>VLOOKUP($B157,R_DG!$A$7:$G$1305,7,0)</f>
        <v>0</v>
      </c>
      <c r="J157" s="608">
        <f t="shared" si="23"/>
        <v>0</v>
      </c>
      <c r="K157" s="608">
        <f t="shared" si="23"/>
        <v>0</v>
      </c>
      <c r="L157" s="725">
        <f t="shared" si="23"/>
        <v>0</v>
      </c>
      <c r="M157" s="1127">
        <f t="shared" si="25"/>
        <v>0</v>
      </c>
      <c r="N157" s="727">
        <f t="shared" ca="1" si="24"/>
        <v>0</v>
      </c>
    </row>
    <row r="158" spans="1:14" hidden="1">
      <c r="A158" s="731"/>
      <c r="B158" s="735" t="s">
        <v>1122</v>
      </c>
      <c r="C158" s="713" t="str">
        <f>VLOOKUP($B158,R_DG!$A$7:$G$1305,2,0)</f>
        <v>02.1104</v>
      </c>
      <c r="D158" s="723" t="str">
        <f>VLOOKUP($B158,R_DG!$A$7:$G$1305,3,0)</f>
        <v>Bốc dỡ đá dăm</v>
      </c>
      <c r="E158" s="714" t="str">
        <f>VLOOKUP($B158,R_DG!$A$7:$G$1305,4,0)</f>
        <v>m3</v>
      </c>
      <c r="F158" s="736">
        <f>F150*0</f>
        <v>0</v>
      </c>
      <c r="G158" s="608">
        <f>VLOOKUP($B158,R_DG!$A$7:$G$1305,5,0)</f>
        <v>0</v>
      </c>
      <c r="H158" s="608">
        <f>VLOOKUP($B158,R_DG!$A$7:$G$1305,6,0)</f>
        <v>0</v>
      </c>
      <c r="I158" s="608">
        <f>VLOOKUP($B158,R_DG!$A$7:$G$1305,7,0)</f>
        <v>0</v>
      </c>
      <c r="J158" s="608">
        <f t="shared" si="23"/>
        <v>0</v>
      </c>
      <c r="K158" s="608">
        <f t="shared" si="23"/>
        <v>0</v>
      </c>
      <c r="L158" s="725">
        <f t="shared" si="23"/>
        <v>0</v>
      </c>
      <c r="M158" s="1127">
        <f t="shared" si="25"/>
        <v>0</v>
      </c>
      <c r="N158" s="727">
        <f t="shared" ca="1" si="24"/>
        <v>0</v>
      </c>
    </row>
    <row r="159" spans="1:14" hidden="1">
      <c r="A159" s="731"/>
      <c r="B159" s="735" t="s">
        <v>1250</v>
      </c>
      <c r="C159" s="713" t="str">
        <f>VLOOKUP($B159,R_DG!$A$7:$G$1305,2,0)</f>
        <v>04.1101</v>
      </c>
      <c r="D159" s="723" t="str">
        <f>VLOOKUP($B159,R_DG!$A$7:$G$1305,3,0)</f>
        <v>Gia công và lắp dựng cốt thép D&lt;=10</v>
      </c>
      <c r="E159" s="714" t="str">
        <f>VLOOKUP($B159,R_DG!$A$7:$G$1305,4,0)</f>
        <v>kg</v>
      </c>
      <c r="F159" s="736">
        <f>F151</f>
        <v>30</v>
      </c>
      <c r="G159" s="608">
        <f>VLOOKUP($B159,R_DG!$A$7:$G$1305,5,0)</f>
        <v>405.99</v>
      </c>
      <c r="H159" s="608">
        <f>VLOOKUP($B159,R_DG!$A$7:$G$1305,6,0)</f>
        <v>0</v>
      </c>
      <c r="I159" s="608">
        <f>VLOOKUP($B159,R_DG!$A$7:$G$1305,7,0)</f>
        <v>0</v>
      </c>
      <c r="J159" s="608">
        <f t="shared" si="23"/>
        <v>12179.7</v>
      </c>
      <c r="K159" s="608">
        <f t="shared" si="23"/>
        <v>0</v>
      </c>
      <c r="L159" s="725">
        <f t="shared" si="23"/>
        <v>0</v>
      </c>
      <c r="M159" s="1127">
        <f t="shared" si="25"/>
        <v>0</v>
      </c>
      <c r="N159" s="727">
        <f t="shared" ca="1" si="24"/>
        <v>0</v>
      </c>
    </row>
    <row r="160" spans="1:14" hidden="1">
      <c r="A160" s="731"/>
      <c r="B160" s="735" t="s">
        <v>1245</v>
      </c>
      <c r="C160" s="713" t="str">
        <f>VLOOKUP($B160,R_DG!$A$7:$G$1305,2,0)</f>
        <v>AF112.20</v>
      </c>
      <c r="D160" s="723" t="str">
        <f>VLOOKUP($B160,R_DG!$A$7:$G$1305,3,0)</f>
        <v>Đổ bê tông mác M150 đá 1x2</v>
      </c>
      <c r="E160" s="714" t="str">
        <f>VLOOKUP($B160,R_DG!$A$7:$G$1305,4,0)</f>
        <v>m3</v>
      </c>
      <c r="F160" s="736">
        <v>1.4999999999999999E-2</v>
      </c>
      <c r="G160" s="608">
        <f>VLOOKUP($B160,R_DG!$A$7:$G$1305,5,0)</f>
        <v>0</v>
      </c>
      <c r="H160" s="608">
        <f>VLOOKUP($B160,R_DG!$A$7:$G$1305,6,0)</f>
        <v>398225.65</v>
      </c>
      <c r="I160" s="608">
        <f>VLOOKUP($B160,R_DG!$A$7:$G$1305,7,0)</f>
        <v>0</v>
      </c>
      <c r="J160" s="608">
        <f t="shared" si="23"/>
        <v>0</v>
      </c>
      <c r="K160" s="608">
        <f t="shared" si="23"/>
        <v>5973.3847500000002</v>
      </c>
      <c r="L160" s="725">
        <f t="shared" si="23"/>
        <v>0</v>
      </c>
      <c r="M160" s="1127">
        <f t="shared" si="25"/>
        <v>0</v>
      </c>
      <c r="N160" s="727">
        <f t="shared" ca="1" si="24"/>
        <v>0</v>
      </c>
    </row>
    <row r="161" spans="1:14">
      <c r="A161" s="728" t="s">
        <v>876</v>
      </c>
      <c r="B161" s="729"/>
      <c r="C161" s="717"/>
      <c r="D161" s="718" t="s">
        <v>2167</v>
      </c>
      <c r="E161" s="718" t="s">
        <v>2146</v>
      </c>
      <c r="F161" s="719"/>
      <c r="G161" s="720"/>
      <c r="H161" s="720"/>
      <c r="I161" s="720"/>
      <c r="J161" s="720">
        <f>SUM(J162:J163)</f>
        <v>0</v>
      </c>
      <c r="K161" s="720">
        <f>SUM(K162:K163)</f>
        <v>210206.63663999998</v>
      </c>
      <c r="L161" s="721">
        <f>SUM(L162:L163)</f>
        <v>0</v>
      </c>
      <c r="M161" s="1126">
        <f>IF(ERROR.TYPE(IF(HLOOKUP(A161,maBK,1,0)&lt;&gt;"",#NULL!,"ABC"))&lt;&gt;7,1,0)</f>
        <v>1</v>
      </c>
      <c r="N161" s="712">
        <f ca="1">SUMIF(maBK,$A161,tongBK1)</f>
        <v>10</v>
      </c>
    </row>
    <row r="162" spans="1:14" hidden="1">
      <c r="A162" s="731"/>
      <c r="B162" s="226" t="str">
        <f>IF(CAPDAT=1,"MDD1",IF(CAPDAT=2,"MDD2",IF(CAPDAT=3,"MDD3",IF(CAPDAT=4,"MDD4"))))</f>
        <v>MDD3</v>
      </c>
      <c r="C162" s="713" t="str">
        <f>VLOOKUP($B162,R_DG!$A$7:$G$1305,2,0)</f>
        <v>AB.11400</v>
      </c>
      <c r="D162" s="723" t="str">
        <f>VLOOKUP($B162,R_DG!$A$7:$G$1305,3,0)</f>
        <v>Đào hố móng đất cấp 3 sâu &gt;1m, rộng &lt;1m</v>
      </c>
      <c r="E162" s="714" t="str">
        <f>VLOOKUP($B162,R_DG!$A$7:$G$1305,4,0)</f>
        <v>m3</v>
      </c>
      <c r="F162" s="734">
        <v>0.251</v>
      </c>
      <c r="G162" s="608">
        <f>VLOOKUP($B162,R_DG!$A$7:$G$1305,5,0)</f>
        <v>0</v>
      </c>
      <c r="H162" s="608">
        <f>VLOOKUP($B162,R_DG!$A$7:$G$1305,6,0)</f>
        <v>418738.31999999995</v>
      </c>
      <c r="I162" s="608">
        <f>VLOOKUP($B162,R_DG!$A$7:$G$1305,7,0)</f>
        <v>0</v>
      </c>
      <c r="J162" s="608">
        <f t="shared" si="22"/>
        <v>0</v>
      </c>
      <c r="K162" s="608">
        <f t="shared" si="22"/>
        <v>105103.31831999999</v>
      </c>
      <c r="L162" s="725">
        <f t="shared" si="22"/>
        <v>0</v>
      </c>
      <c r="M162" s="1127">
        <f>IF(F162&gt;0,M$161,0)</f>
        <v>1</v>
      </c>
      <c r="N162" s="727">
        <f ca="1">$F162*N$161</f>
        <v>2.5099999999999998</v>
      </c>
    </row>
    <row r="163" spans="1:14" hidden="1">
      <c r="A163" s="696"/>
      <c r="B163" s="226" t="str">
        <f>IF(CAPDAT=1,"MDAP1",IF(CAPDAT=2,"MDAP2",IF(CAPDAT=3,"MDAP3",IF(CAPDAT=4,"MDAP4"))))</f>
        <v>MDAP3</v>
      </c>
      <c r="C163" s="713" t="str">
        <f>VLOOKUP($B163,R_DG!$A$7:$G$1305,2,0)</f>
        <v>AB.13000</v>
      </c>
      <c r="D163" s="723" t="str">
        <f>VLOOKUP($B163,R_DG!$A$7:$G$1305,3,0)</f>
        <v>Đắp đất hố móng, đất cấp 3, k = 0,85</v>
      </c>
      <c r="E163" s="714" t="str">
        <f>VLOOKUP($B163,R_DG!$A$7:$G$1305,4,0)</f>
        <v>m3</v>
      </c>
      <c r="F163" s="730">
        <v>0.251</v>
      </c>
      <c r="G163" s="608">
        <f>VLOOKUP($B163,R_DG!$A$7:$G$1305,5,0)</f>
        <v>0</v>
      </c>
      <c r="H163" s="608">
        <f>H162</f>
        <v>418738.31999999995</v>
      </c>
      <c r="I163" s="608">
        <f>VLOOKUP($B163,R_DG!$A$7:$G$1305,7,0)</f>
        <v>0</v>
      </c>
      <c r="J163" s="608">
        <f t="shared" si="22"/>
        <v>0</v>
      </c>
      <c r="K163" s="608">
        <f t="shared" si="22"/>
        <v>105103.31831999999</v>
      </c>
      <c r="L163" s="725">
        <f t="shared" si="22"/>
        <v>0</v>
      </c>
      <c r="M163" s="1127">
        <f>IF(F163&gt;0,M$161,0)</f>
        <v>1</v>
      </c>
      <c r="N163" s="727">
        <f ca="1">$F163*N$161</f>
        <v>2.5099999999999998</v>
      </c>
    </row>
    <row r="164" spans="1:14">
      <c r="A164" s="728" t="s">
        <v>2168</v>
      </c>
      <c r="B164" s="729"/>
      <c r="C164" s="717"/>
      <c r="D164" s="718" t="s">
        <v>2169</v>
      </c>
      <c r="E164" s="718" t="s">
        <v>2146</v>
      </c>
      <c r="F164" s="719"/>
      <c r="G164" s="720"/>
      <c r="H164" s="720"/>
      <c r="I164" s="720"/>
      <c r="J164" s="720" t="e">
        <f>SUM(J165:J169)</f>
        <v>#REF!</v>
      </c>
      <c r="K164" s="720">
        <f>SUM(K165:K169)</f>
        <v>686804.00271999999</v>
      </c>
      <c r="L164" s="721">
        <f>SUM(L165:L169)</f>
        <v>0</v>
      </c>
      <c r="M164" s="1126">
        <f>IF(ERROR.TYPE(IF(HLOOKUP(A164,maBK,1,0)&lt;&gt;"",#NULL!,"ABC"))&lt;&gt;7,1,0)</f>
        <v>0</v>
      </c>
      <c r="N164" s="712">
        <f ca="1">SUMIF(maBK,$A164,tongBK1)</f>
        <v>0</v>
      </c>
    </row>
    <row r="165" spans="1:14" hidden="1">
      <c r="A165" s="731"/>
      <c r="B165" s="227" t="s">
        <v>2149</v>
      </c>
      <c r="C165" s="713" t="str">
        <f>VLOOKUP($B165,R_DG!$A$7:$G$1305,2,0)</f>
        <v>04.3801</v>
      </c>
      <c r="D165" s="723" t="str">
        <f>VLOOKUP($B165,R_DG!$A$7:$G$1305,3,0)</f>
        <v>Đà cản BTCT 1,2m</v>
      </c>
      <c r="E165" s="714" t="str">
        <f>VLOOKUP($B165,R_DG!$A$7:$G$1305,4,0)</f>
        <v>cái</v>
      </c>
      <c r="F165" s="734">
        <v>1</v>
      </c>
      <c r="G165" s="608">
        <f>VLOOKUP($B165,R_DG!$A$7:$G$1305,5,0)</f>
        <v>650000</v>
      </c>
      <c r="H165" s="608">
        <f>VLOOKUP($B165,R_DG!$A$7:$G$1305,6,0)</f>
        <v>161119.20000000001</v>
      </c>
      <c r="I165" s="608">
        <f>VLOOKUP($B165,R_DG!$A$7:$G$1305,7,0)</f>
        <v>0</v>
      </c>
      <c r="J165" s="608">
        <f t="shared" si="22"/>
        <v>650000</v>
      </c>
      <c r="K165" s="608">
        <f t="shared" si="22"/>
        <v>161119.20000000001</v>
      </c>
      <c r="L165" s="725">
        <f t="shared" si="22"/>
        <v>0</v>
      </c>
      <c r="M165" s="1127">
        <f>IF(F165&gt;0,M$164,0)</f>
        <v>0</v>
      </c>
      <c r="N165" s="727">
        <f ca="1">$F165*N$164</f>
        <v>0</v>
      </c>
    </row>
    <row r="166" spans="1:14" hidden="1">
      <c r="A166" s="731"/>
      <c r="B166" s="227" t="s">
        <v>2165</v>
      </c>
      <c r="C166" s="713">
        <f>VLOOKUP($B166,R_DG!$A$7:$G$1305,2,0)</f>
        <v>0</v>
      </c>
      <c r="D166" s="723" t="str">
        <f>VLOOKUP($B166,R_DG!$A$7:$G$1305,3,0)</f>
        <v>Boulon 22x650+ 2 long đền vuông D24-50x50x3/Zn</v>
      </c>
      <c r="E166" s="714" t="str">
        <f>VLOOKUP($B166,R_DG!$A$7:$G$1305,4,0)</f>
        <v>bộ</v>
      </c>
      <c r="F166" s="734">
        <v>1</v>
      </c>
      <c r="G166" s="608" t="e">
        <f>VLOOKUP($B166,R_DG!$A$7:$G$1305,5,0)</f>
        <v>#REF!</v>
      </c>
      <c r="H166" s="608">
        <f>VLOOKUP($B166,R_DG!$A$7:$G$1305,6,0)</f>
        <v>0</v>
      </c>
      <c r="I166" s="608">
        <f>VLOOKUP($B166,R_DG!$A$7:$G$1305,7,0)</f>
        <v>0</v>
      </c>
      <c r="J166" s="608" t="e">
        <f t="shared" si="22"/>
        <v>#REF!</v>
      </c>
      <c r="K166" s="608">
        <f t="shared" si="22"/>
        <v>0</v>
      </c>
      <c r="L166" s="725">
        <f t="shared" si="22"/>
        <v>0</v>
      </c>
      <c r="M166" s="1127">
        <f>IF(F166&gt;0,M$164,0)</f>
        <v>0</v>
      </c>
      <c r="N166" s="727">
        <f ca="1">$F166*N$164</f>
        <v>0</v>
      </c>
    </row>
    <row r="167" spans="1:14" hidden="1">
      <c r="A167" s="731"/>
      <c r="B167" s="227" t="str">
        <f>IF(CAPDAT=1,"MDD1",IF(CAPDAT=2,"MDD2",IF(CAPDAT=3,"MDD3",IF(CAPDAT=4,"MDD4"))))</f>
        <v>MDD3</v>
      </c>
      <c r="C167" s="713" t="str">
        <f>VLOOKUP($B167,R_DG!$A$7:$G$1305,2,0)</f>
        <v>AB.11400</v>
      </c>
      <c r="D167" s="723" t="str">
        <f>VLOOKUP($B167,R_DG!$A$7:$G$1305,3,0)</f>
        <v>Đào hố móng đất cấp 3 sâu &gt;1m, rộng &lt;1m</v>
      </c>
      <c r="E167" s="714" t="str">
        <f>VLOOKUP($B167,R_DG!$A$7:$G$1305,4,0)</f>
        <v>m3</v>
      </c>
      <c r="F167" s="734">
        <v>1.018</v>
      </c>
      <c r="G167" s="608">
        <f>VLOOKUP($B167,R_DG!$A$7:$G$1305,5,0)</f>
        <v>0</v>
      </c>
      <c r="H167" s="608">
        <f>VLOOKUP($B167,R_DG!$A$7:$G$1305,6,0)</f>
        <v>418738.31999999995</v>
      </c>
      <c r="I167" s="608">
        <f>VLOOKUP($B167,R_DG!$A$7:$G$1305,7,0)</f>
        <v>0</v>
      </c>
      <c r="J167" s="608">
        <f t="shared" si="22"/>
        <v>0</v>
      </c>
      <c r="K167" s="608">
        <f t="shared" si="22"/>
        <v>426275.60975999996</v>
      </c>
      <c r="L167" s="725">
        <f t="shared" si="22"/>
        <v>0</v>
      </c>
      <c r="M167" s="1127">
        <f>IF(F167&gt;0,M$164,0)</f>
        <v>0</v>
      </c>
      <c r="N167" s="727">
        <f ca="1">$F167*N$164</f>
        <v>0</v>
      </c>
    </row>
    <row r="168" spans="1:14" hidden="1">
      <c r="A168" s="731"/>
      <c r="B168" s="227" t="str">
        <f>IF(CAPDAT=1,"MDAP1",IF(CAPDAT=2,"MDAP2",IF(CAPDAT=3,"MDAP3",IF(CAPDAT=4,"MDAP4"))))</f>
        <v>MDAP3</v>
      </c>
      <c r="C168" s="713" t="str">
        <f>VLOOKUP($B168,R_DG!$A$7:$G$1305,2,0)</f>
        <v>AB.13000</v>
      </c>
      <c r="D168" s="723" t="str">
        <f>VLOOKUP($B168,R_DG!$A$7:$G$1305,3,0)</f>
        <v>Đắp đất hố móng, đất cấp 3, k = 0,85</v>
      </c>
      <c r="E168" s="714" t="str">
        <f>VLOOKUP($B168,R_DG!$A$7:$G$1305,4,0)</f>
        <v>m3</v>
      </c>
      <c r="F168" s="734">
        <v>0.99199999999999999</v>
      </c>
      <c r="G168" s="608">
        <f>VLOOKUP($B168,R_DG!$A$7:$G$1305,5,0)</f>
        <v>0</v>
      </c>
      <c r="H168" s="608">
        <f>VLOOKUP($B168,R_DG!$A$7:$G$1305,6,0)</f>
        <v>100210.88</v>
      </c>
      <c r="I168" s="608">
        <f>VLOOKUP($B168,R_DG!$A$7:$G$1305,7,0)</f>
        <v>0</v>
      </c>
      <c r="J168" s="608">
        <f t="shared" si="22"/>
        <v>0</v>
      </c>
      <c r="K168" s="608">
        <f t="shared" si="22"/>
        <v>99409.19296</v>
      </c>
      <c r="L168" s="725">
        <f t="shared" si="22"/>
        <v>0</v>
      </c>
      <c r="M168" s="1127">
        <f>IF(F168&gt;0,M$164,0)</f>
        <v>0</v>
      </c>
      <c r="N168" s="727">
        <f ca="1">$F168*N$164</f>
        <v>0</v>
      </c>
    </row>
    <row r="169" spans="1:14" hidden="1">
      <c r="A169" s="731"/>
      <c r="B169" s="227" t="s">
        <v>2152</v>
      </c>
      <c r="C169" s="713" t="str">
        <f>VLOOKUP($B169,R_DG!$A$7:$G$1305,2,0)</f>
        <v>02.1123</v>
      </c>
      <c r="D169" s="723" t="str">
        <f>VLOOKUP($B169,R_DG!$A$7:$G$1305,3,0)</f>
        <v>Bốc dỡ đà cản, đế néo</v>
      </c>
      <c r="E169" s="714" t="str">
        <f>VLOOKUP($B169,R_DG!$A$7:$G$1305,4,0)</f>
        <v>tấn</v>
      </c>
      <c r="F169" s="736">
        <f>0.1*0</f>
        <v>0</v>
      </c>
      <c r="G169" s="608">
        <f>VLOOKUP($B169,R_DG!$A$7:$G$1305,5,0)</f>
        <v>0</v>
      </c>
      <c r="H169" s="608">
        <f>VLOOKUP($B169,R_DG!$A$7:$G$1305,6,0)</f>
        <v>0</v>
      </c>
      <c r="I169" s="608">
        <f>VLOOKUP($B169,R_DG!$A$7:$G$1305,7,0)</f>
        <v>0</v>
      </c>
      <c r="J169" s="608">
        <f t="shared" si="22"/>
        <v>0</v>
      </c>
      <c r="K169" s="608">
        <f t="shared" si="22"/>
        <v>0</v>
      </c>
      <c r="L169" s="725">
        <f t="shared" si="22"/>
        <v>0</v>
      </c>
      <c r="M169" s="1127">
        <f>IF(F169&gt;0,M$164,0)</f>
        <v>0</v>
      </c>
      <c r="N169" s="727">
        <f ca="1">$F169*N$164</f>
        <v>0</v>
      </c>
    </row>
    <row r="170" spans="1:14">
      <c r="A170" s="728" t="s">
        <v>2560</v>
      </c>
      <c r="B170" s="729"/>
      <c r="C170" s="717"/>
      <c r="D170" s="718" t="s">
        <v>2171</v>
      </c>
      <c r="E170" s="718" t="s">
        <v>2146</v>
      </c>
      <c r="F170" s="719"/>
      <c r="G170" s="720"/>
      <c r="H170" s="720"/>
      <c r="I170" s="720"/>
      <c r="J170" s="720">
        <f>SUM(J171:J173)</f>
        <v>0</v>
      </c>
      <c r="K170" s="720">
        <f>SUM(K171:K173)</f>
        <v>138183.64559999999</v>
      </c>
      <c r="L170" s="721">
        <f>SUM(L171:L173)</f>
        <v>0</v>
      </c>
      <c r="M170" s="1126">
        <f>IF(ERROR.TYPE(IF(HLOOKUP(A170,maBK,1,0)&lt;&gt;"",#NULL!,"ABC"))&lt;&gt;7,1,0)</f>
        <v>0</v>
      </c>
      <c r="N170" s="712">
        <f ca="1">SUMIF(maBK,$A170,tongBK1)</f>
        <v>0</v>
      </c>
    </row>
    <row r="171" spans="1:14" hidden="1">
      <c r="A171" s="731"/>
      <c r="B171" s="227" t="s">
        <v>810</v>
      </c>
      <c r="C171" s="713" t="str">
        <f>VLOOKUP($B171,R_DG!$A$7:$G$1305,2,0)</f>
        <v>AB.11400</v>
      </c>
      <c r="D171" s="723" t="str">
        <f>VLOOKUP($B171,R_DG!$A$7:$G$1305,3,0)</f>
        <v>Đào hố móng đất cấp 3 sâu &lt;=1m</v>
      </c>
      <c r="E171" s="714" t="str">
        <f>VLOOKUP($B171,R_DG!$A$7:$G$1305,4,0)</f>
        <v>m3</v>
      </c>
      <c r="F171" s="736">
        <v>0.33</v>
      </c>
      <c r="G171" s="608">
        <f>VLOOKUP($B171,R_DG!$A$7:$G$1305,5,0)</f>
        <v>0</v>
      </c>
      <c r="H171" s="608">
        <f>VLOOKUP($B171,R_DG!$A$7:$G$1305,6,0)</f>
        <v>418738.31999999995</v>
      </c>
      <c r="I171" s="608">
        <f>VLOOKUP($B171,R_DG!$A$7:$G$1305,7,0)</f>
        <v>0</v>
      </c>
      <c r="J171" s="608">
        <f t="shared" ref="J171:L173" si="26">G171*$F171</f>
        <v>0</v>
      </c>
      <c r="K171" s="608">
        <f t="shared" si="26"/>
        <v>138183.64559999999</v>
      </c>
      <c r="L171" s="725">
        <f t="shared" si="26"/>
        <v>0</v>
      </c>
      <c r="M171" s="1127">
        <f>IF(F171&gt;0,M$170,0)</f>
        <v>0</v>
      </c>
      <c r="N171" s="727">
        <f ca="1">$F171*N$170</f>
        <v>0</v>
      </c>
    </row>
    <row r="172" spans="1:14" hidden="1">
      <c r="A172" s="731"/>
      <c r="B172" s="227" t="s">
        <v>799</v>
      </c>
      <c r="C172" s="713" t="str">
        <f>VLOOKUP($B172,R_DG!$A$7:$G$1305,2,0)</f>
        <v>03.8133</v>
      </c>
      <c r="D172" s="723" t="str">
        <f>VLOOKUP($B172,R_DG!$A$7:$G$1305,3,0)</f>
        <v>Phá đá chân hố móng, đá cấp I</v>
      </c>
      <c r="E172" s="714" t="str">
        <f>VLOOKUP($B172,R_DG!$A$7:$G$1305,4,0)</f>
        <v>m3</v>
      </c>
      <c r="F172" s="736">
        <v>1.65</v>
      </c>
      <c r="G172" s="608">
        <f>VLOOKUP($B172,R_DG!$A$7:$G$1305,5,0)</f>
        <v>0</v>
      </c>
      <c r="H172" s="608">
        <f>VLOOKUP($B172,R_DG!$A$7:$G$1305,6,0)</f>
        <v>0</v>
      </c>
      <c r="I172" s="608">
        <f>VLOOKUP($B172,R_DG!$A$7:$G$1305,7,0)</f>
        <v>0</v>
      </c>
      <c r="J172" s="608">
        <f t="shared" si="26"/>
        <v>0</v>
      </c>
      <c r="K172" s="608">
        <f t="shared" si="26"/>
        <v>0</v>
      </c>
      <c r="L172" s="725">
        <f t="shared" si="26"/>
        <v>0</v>
      </c>
      <c r="M172" s="1127">
        <f>IF(F172&gt;0,M$170,0)</f>
        <v>0</v>
      </c>
      <c r="N172" s="727">
        <f ca="1">$F172*N$170</f>
        <v>0</v>
      </c>
    </row>
    <row r="173" spans="1:14" hidden="1">
      <c r="A173" s="731"/>
      <c r="B173" s="227" t="s">
        <v>833</v>
      </c>
      <c r="C173" s="713" t="str">
        <f>VLOOKUP($B173,R_DG!$A$7:$G$1305,2,0)</f>
        <v>03.2203</v>
      </c>
      <c r="D173" s="723" t="str">
        <f>VLOOKUP($B173,R_DG!$A$7:$G$1305,3,0)</f>
        <v>Đắp đất hố móng, đất cấp 4</v>
      </c>
      <c r="E173" s="714" t="str">
        <f>VLOOKUP($B173,R_DG!$A$7:$G$1305,4,0)</f>
        <v>m3</v>
      </c>
      <c r="F173" s="734">
        <v>2.0499999999999998</v>
      </c>
      <c r="G173" s="608">
        <f>VLOOKUP($B173,R_DG!$A$7:$G$1305,5,0)</f>
        <v>0</v>
      </c>
      <c r="H173" s="608">
        <f>VLOOKUP($B173,R_DG!$A$7:$G$1305,6,0)</f>
        <v>0</v>
      </c>
      <c r="I173" s="608">
        <f>VLOOKUP($B173,R_DG!$A$7:$G$1305,7,0)</f>
        <v>0</v>
      </c>
      <c r="J173" s="608">
        <f t="shared" si="26"/>
        <v>0</v>
      </c>
      <c r="K173" s="608">
        <f t="shared" si="26"/>
        <v>0</v>
      </c>
      <c r="L173" s="725">
        <f t="shared" si="26"/>
        <v>0</v>
      </c>
      <c r="M173" s="1127">
        <f>IF(F173&gt;0,M$170,0)</f>
        <v>0</v>
      </c>
      <c r="N173" s="727">
        <f ca="1">$F173*N$170</f>
        <v>0</v>
      </c>
    </row>
    <row r="174" spans="1:14">
      <c r="A174" s="728" t="s">
        <v>2343</v>
      </c>
      <c r="B174" s="729"/>
      <c r="C174" s="717"/>
      <c r="D174" s="718" t="s">
        <v>2172</v>
      </c>
      <c r="E174" s="718" t="s">
        <v>2146</v>
      </c>
      <c r="F174" s="719"/>
      <c r="G174" s="720"/>
      <c r="H174" s="720"/>
      <c r="I174" s="720"/>
      <c r="J174" s="720" t="e">
        <f>SUM(J175:J190)</f>
        <v>#REF!</v>
      </c>
      <c r="K174" s="720">
        <f>SUM(K175:K190)</f>
        <v>930208.13697999995</v>
      </c>
      <c r="L174" s="721">
        <f>SUM(L175:L190)</f>
        <v>0</v>
      </c>
      <c r="M174" s="1126">
        <f>IF(ERROR.TYPE(IF(HLOOKUP(A174,maBK,1,0)&lt;&gt;"",#NULL!,"ABC"))&lt;&gt;7,1,0)</f>
        <v>1</v>
      </c>
      <c r="N174" s="712">
        <f ca="1">SUMIF(maBK,$A174,tongBK1)</f>
        <v>1</v>
      </c>
    </row>
    <row r="175" spans="1:14" hidden="1">
      <c r="A175" s="731"/>
      <c r="B175" s="735" t="s">
        <v>767</v>
      </c>
      <c r="C175" s="713">
        <f>VLOOKUP($B175,R_DG!$A$7:$G$1305,2,0)</f>
        <v>0</v>
      </c>
      <c r="D175" s="723" t="str">
        <f>VLOOKUP($B175,R_DG!$A$7:$G$1305,3,0)</f>
        <v>Ximăng</v>
      </c>
      <c r="E175" s="714" t="str">
        <f>VLOOKUP($B175,R_DG!$A$7:$G$1305,4,0)</f>
        <v>kg</v>
      </c>
      <c r="F175" s="734">
        <v>308.39999999999998</v>
      </c>
      <c r="G175" s="608">
        <f>G108</f>
        <v>1690</v>
      </c>
      <c r="H175" s="608">
        <f>VLOOKUP($B175,R_DG!$A$7:$G$1305,6,0)</f>
        <v>0</v>
      </c>
      <c r="I175" s="608">
        <f>VLOOKUP($B175,R_DG!$A$7:$G$1305,7,0)</f>
        <v>0</v>
      </c>
      <c r="J175" s="608">
        <f t="shared" ref="J175:L211" si="27">G175*$F175</f>
        <v>521195.99999999994</v>
      </c>
      <c r="K175" s="608">
        <f t="shared" si="27"/>
        <v>0</v>
      </c>
      <c r="L175" s="725">
        <f t="shared" si="27"/>
        <v>0</v>
      </c>
      <c r="M175" s="1127">
        <f t="shared" ref="M175:M190" si="28">IF(F175&gt;0,M$174,0)</f>
        <v>1</v>
      </c>
      <c r="N175" s="727">
        <f t="shared" ref="N175:N190" ca="1" si="29">$F175*N$174</f>
        <v>308.39999999999998</v>
      </c>
    </row>
    <row r="176" spans="1:14" hidden="1">
      <c r="A176" s="731"/>
      <c r="B176" s="735" t="s">
        <v>762</v>
      </c>
      <c r="C176" s="713">
        <f>VLOOKUP($B176,R_DG!$A$7:$G$1305,2,0)</f>
        <v>0</v>
      </c>
      <c r="D176" s="723" t="str">
        <f>VLOOKUP($B176,R_DG!$A$7:$G$1305,3,0)</f>
        <v>Cát vàng</v>
      </c>
      <c r="E176" s="714" t="str">
        <f>VLOOKUP($B176,R_DG!$A$7:$G$1305,4,0)</f>
        <v>m3</v>
      </c>
      <c r="F176" s="734">
        <v>0.495</v>
      </c>
      <c r="G176" s="608">
        <v>360000</v>
      </c>
      <c r="H176" s="608">
        <f>VLOOKUP($B176,R_DG!$A$7:$G$1305,6,0)</f>
        <v>0</v>
      </c>
      <c r="I176" s="608">
        <f>VLOOKUP($B176,R_DG!$A$7:$G$1305,7,0)</f>
        <v>0</v>
      </c>
      <c r="J176" s="608">
        <f t="shared" si="27"/>
        <v>178200</v>
      </c>
      <c r="K176" s="608">
        <f t="shared" si="27"/>
        <v>0</v>
      </c>
      <c r="L176" s="725">
        <f t="shared" si="27"/>
        <v>0</v>
      </c>
      <c r="M176" s="1127">
        <f t="shared" si="28"/>
        <v>1</v>
      </c>
      <c r="N176" s="727">
        <f t="shared" ca="1" si="29"/>
        <v>0.495</v>
      </c>
    </row>
    <row r="177" spans="1:14" hidden="1">
      <c r="A177" s="731"/>
      <c r="B177" s="735" t="s">
        <v>2159</v>
      </c>
      <c r="C177" s="713">
        <f>VLOOKUP($B177,R_DG!$A$7:$G$1305,2,0)</f>
        <v>0</v>
      </c>
      <c r="D177" s="723" t="str">
        <f>VLOOKUP($B177,R_DG!$A$7:$G$1305,3,0)</f>
        <v>Đá 1x2</v>
      </c>
      <c r="E177" s="714" t="str">
        <f>VLOOKUP($B177,R_DG!$A$7:$G$1305,4,0)</f>
        <v>m3</v>
      </c>
      <c r="F177" s="734">
        <v>0.91800000000000004</v>
      </c>
      <c r="G177" s="608">
        <f>VLOOKUP($B177,R_DG!$A$7:$G$1305,5,0)</f>
        <v>400000</v>
      </c>
      <c r="H177" s="608">
        <f>VLOOKUP($B177,R_DG!$A$7:$G$1305,6,0)</f>
        <v>0</v>
      </c>
      <c r="I177" s="608">
        <f>VLOOKUP($B177,R_DG!$A$7:$G$1305,7,0)</f>
        <v>0</v>
      </c>
      <c r="J177" s="608">
        <f t="shared" si="27"/>
        <v>367200</v>
      </c>
      <c r="K177" s="608">
        <f t="shared" si="27"/>
        <v>0</v>
      </c>
      <c r="L177" s="725">
        <f t="shared" si="27"/>
        <v>0</v>
      </c>
      <c r="M177" s="1127">
        <f t="shared" si="28"/>
        <v>1</v>
      </c>
      <c r="N177" s="727">
        <f t="shared" ca="1" si="29"/>
        <v>0.91800000000000004</v>
      </c>
    </row>
    <row r="178" spans="1:14" hidden="1">
      <c r="A178" s="731"/>
      <c r="B178" s="735" t="s">
        <v>2173</v>
      </c>
      <c r="C178" s="713">
        <f>VLOOKUP($B178,R_DG!$A$7:$G$1305,2,0)</f>
        <v>0</v>
      </c>
      <c r="D178" s="723" t="str">
        <f>VLOOKUP($B178,R_DG!$A$7:$G$1305,3,0)</f>
        <v>Sắt  φ10</v>
      </c>
      <c r="E178" s="714" t="str">
        <f>VLOOKUP($B178,R_DG!$A$7:$G$1305,4,0)</f>
        <v>kg</v>
      </c>
      <c r="F178" s="734"/>
      <c r="G178" s="608">
        <f>VLOOKUP($B178,R_DG!$A$7:$G$1305,5,0)</f>
        <v>14545</v>
      </c>
      <c r="H178" s="608">
        <f>VLOOKUP($B178,R_DG!$A$7:$G$1305,6,0)</f>
        <v>0</v>
      </c>
      <c r="I178" s="608">
        <f>VLOOKUP($B178,R_DG!$A$7:$G$1305,7,0)</f>
        <v>0</v>
      </c>
      <c r="J178" s="608">
        <f t="shared" si="27"/>
        <v>0</v>
      </c>
      <c r="K178" s="608">
        <f t="shared" si="27"/>
        <v>0</v>
      </c>
      <c r="L178" s="725">
        <f t="shared" si="27"/>
        <v>0</v>
      </c>
      <c r="M178" s="1127">
        <f t="shared" si="28"/>
        <v>0</v>
      </c>
      <c r="N178" s="727">
        <f t="shared" ca="1" si="29"/>
        <v>0</v>
      </c>
    </row>
    <row r="179" spans="1:14" hidden="1">
      <c r="A179" s="731"/>
      <c r="B179" s="735" t="s">
        <v>2174</v>
      </c>
      <c r="C179" s="713">
        <f>VLOOKUP($B179,R_DG!$A$7:$G$1305,2,0)</f>
        <v>0</v>
      </c>
      <c r="D179" s="723" t="str">
        <f>VLOOKUP($B179,R_DG!$A$7:$G$1305,3,0)</f>
        <v>Kẽm</v>
      </c>
      <c r="E179" s="714" t="str">
        <f>VLOOKUP($B179,R_DG!$A$7:$G$1305,4,0)</f>
        <v>kg</v>
      </c>
      <c r="F179" s="734"/>
      <c r="G179" s="608">
        <f>VLOOKUP($B179,R_DG!$A$7:$G$1305,5,0)</f>
        <v>35200</v>
      </c>
      <c r="H179" s="608">
        <f>VLOOKUP($B179,R_DG!$A$7:$G$1305,6,0)</f>
        <v>0</v>
      </c>
      <c r="I179" s="608">
        <f>VLOOKUP($B179,R_DG!$A$7:$G$1305,7,0)</f>
        <v>0</v>
      </c>
      <c r="J179" s="608">
        <f t="shared" si="27"/>
        <v>0</v>
      </c>
      <c r="K179" s="608">
        <f t="shared" si="27"/>
        <v>0</v>
      </c>
      <c r="L179" s="725">
        <f t="shared" si="27"/>
        <v>0</v>
      </c>
      <c r="M179" s="1127">
        <f t="shared" si="28"/>
        <v>0</v>
      </c>
      <c r="N179" s="727">
        <f t="shared" ca="1" si="29"/>
        <v>0</v>
      </c>
    </row>
    <row r="180" spans="1:14" hidden="1">
      <c r="A180" s="731"/>
      <c r="B180" s="226" t="str">
        <f>IF(CAPDAT=1,"MDD1",IF(CAPDAT=2,"MDD2",IF(CAPDAT=3,"MDD3",IF(CAPDAT=4,"MDD4"))))</f>
        <v>MDD3</v>
      </c>
      <c r="C180" s="713" t="str">
        <f>VLOOKUP($B180,R_DG!$A$7:$G$1305,2,0)</f>
        <v>AB.11400</v>
      </c>
      <c r="D180" s="723" t="str">
        <f>VLOOKUP($B180,R_DG!$A$7:$G$1305,3,0)</f>
        <v>Đào hố móng đất cấp 3 sâu &gt;1m, rộng &lt;1m</v>
      </c>
      <c r="E180" s="714" t="str">
        <f>VLOOKUP($B180,R_DG!$A$7:$G$1305,4,0)</f>
        <v>m3</v>
      </c>
      <c r="F180" s="734">
        <v>1.2090000000000001</v>
      </c>
      <c r="G180" s="608">
        <f>VLOOKUP($B180,R_DG!$A$7:$G$1305,5,0)</f>
        <v>0</v>
      </c>
      <c r="H180" s="608">
        <f>VLOOKUP($B180,R_DG!$A$7:$G$1305,6,0)</f>
        <v>418738.31999999995</v>
      </c>
      <c r="I180" s="608">
        <f>VLOOKUP($B180,R_DG!$A$7:$G$1305,7,0)</f>
        <v>0</v>
      </c>
      <c r="J180" s="608">
        <f t="shared" si="27"/>
        <v>0</v>
      </c>
      <c r="K180" s="608">
        <f t="shared" si="27"/>
        <v>506254.62887999997</v>
      </c>
      <c r="L180" s="725">
        <f t="shared" si="27"/>
        <v>0</v>
      </c>
      <c r="M180" s="1127">
        <f t="shared" si="28"/>
        <v>1</v>
      </c>
      <c r="N180" s="727">
        <f t="shared" ca="1" si="29"/>
        <v>1.2090000000000001</v>
      </c>
    </row>
    <row r="181" spans="1:14" hidden="1">
      <c r="A181" s="731"/>
      <c r="B181" s="735" t="s">
        <v>831</v>
      </c>
      <c r="C181" s="713" t="str">
        <f>VLOOKUP($B181,R_DG!$A$7:$G$1305,2,0)</f>
        <v>AB.13000</v>
      </c>
      <c r="D181" s="723" t="str">
        <f>VLOOKUP($B181,R_DG!$A$7:$G$1305,3,0)</f>
        <v>Đắp đất hố móng, đất cấp 3, k = 0,85</v>
      </c>
      <c r="E181" s="714" t="str">
        <f>VLOOKUP($B181,R_DG!$A$7:$G$1305,4,0)</f>
        <v>m3</v>
      </c>
      <c r="F181" s="734">
        <v>3.5000000000000003E-2</v>
      </c>
      <c r="G181" s="608">
        <f>VLOOKUP($B181,R_DG!$A$7:$G$1305,5,0)</f>
        <v>0</v>
      </c>
      <c r="H181" s="608">
        <f>H83</f>
        <v>257210.88</v>
      </c>
      <c r="I181" s="608">
        <f>VLOOKUP($B181,R_DG!$A$7:$G$1305,7,0)</f>
        <v>0</v>
      </c>
      <c r="J181" s="608">
        <f t="shared" si="27"/>
        <v>0</v>
      </c>
      <c r="K181" s="608">
        <f t="shared" si="27"/>
        <v>9002.3808000000008</v>
      </c>
      <c r="L181" s="725">
        <f t="shared" si="27"/>
        <v>0</v>
      </c>
      <c r="M181" s="1127">
        <f t="shared" si="28"/>
        <v>1</v>
      </c>
      <c r="N181" s="727">
        <f t="shared" ca="1" si="29"/>
        <v>3.5000000000000003E-2</v>
      </c>
    </row>
    <row r="182" spans="1:14" hidden="1">
      <c r="A182" s="731"/>
      <c r="B182" s="735" t="s">
        <v>3565</v>
      </c>
      <c r="C182" s="713">
        <f>VLOOKUP($B182,R_DG!$A$7:$G$1305,2,0)</f>
        <v>0</v>
      </c>
      <c r="D182" s="723" t="str">
        <f>VLOOKUP($B182,R_DG!$A$7:$G$1305,3,0)</f>
        <v>Boulon 16x450VRS+ 4 long đền vuông D18-50x50x3/Zn</v>
      </c>
      <c r="E182" s="714" t="str">
        <f>VLOOKUP($B182,R_DG!$A$7:$G$1305,4,0)</f>
        <v>bộ</v>
      </c>
      <c r="F182" s="736"/>
      <c r="G182" s="608" t="e">
        <f>VLOOKUP($B182,R_DG!$A$7:$G$1305,5,0)</f>
        <v>#REF!</v>
      </c>
      <c r="H182" s="608">
        <f>VLOOKUP($B182,R_DG!$A$7:$G$1305,6,0)</f>
        <v>0</v>
      </c>
      <c r="I182" s="608">
        <f>VLOOKUP($B182,R_DG!$A$7:$G$1305,7,0)</f>
        <v>0</v>
      </c>
      <c r="J182" s="608" t="e">
        <f t="shared" si="27"/>
        <v>#REF!</v>
      </c>
      <c r="K182" s="608">
        <f t="shared" si="27"/>
        <v>0</v>
      </c>
      <c r="L182" s="725">
        <f t="shared" si="27"/>
        <v>0</v>
      </c>
      <c r="M182" s="1127">
        <f t="shared" si="28"/>
        <v>0</v>
      </c>
      <c r="N182" s="727">
        <f t="shared" ca="1" si="29"/>
        <v>0</v>
      </c>
    </row>
    <row r="183" spans="1:14" hidden="1">
      <c r="A183" s="731"/>
      <c r="B183" s="735" t="s">
        <v>114</v>
      </c>
      <c r="C183" s="713">
        <f>VLOOKUP($B183,R_DG!$A$7:$G$1305,2,0)</f>
        <v>0</v>
      </c>
      <c r="D183" s="723" t="str">
        <f>VLOOKUP($B183,R_DG!$A$7:$G$1305,3,0)</f>
        <v>Boulon 16x550VRS+ 4 long đền vuông D18-50x50x3/Zn</v>
      </c>
      <c r="E183" s="714" t="str">
        <f>VLOOKUP($B183,R_DG!$A$7:$G$1305,4,0)</f>
        <v>bộ</v>
      </c>
      <c r="F183" s="736"/>
      <c r="G183" s="608" t="e">
        <f>VLOOKUP($B183,R_DG!$A$7:$G$1305,5,0)</f>
        <v>#REF!</v>
      </c>
      <c r="H183" s="608">
        <f>VLOOKUP($B183,R_DG!$A$7:$G$1305,6,0)</f>
        <v>0</v>
      </c>
      <c r="I183" s="608">
        <f>VLOOKUP($B183,R_DG!$A$7:$G$1305,7,0)</f>
        <v>0</v>
      </c>
      <c r="J183" s="608" t="e">
        <f t="shared" si="27"/>
        <v>#REF!</v>
      </c>
      <c r="K183" s="608">
        <f t="shared" si="27"/>
        <v>0</v>
      </c>
      <c r="L183" s="725">
        <f t="shared" si="27"/>
        <v>0</v>
      </c>
      <c r="M183" s="1127">
        <f t="shared" si="28"/>
        <v>0</v>
      </c>
      <c r="N183" s="727">
        <f t="shared" ca="1" si="29"/>
        <v>0</v>
      </c>
    </row>
    <row r="184" spans="1:14" hidden="1">
      <c r="A184" s="731"/>
      <c r="B184" s="735" t="s">
        <v>118</v>
      </c>
      <c r="C184" s="713">
        <f>VLOOKUP($B184,R_DG!$A$7:$G$1305,2,0)</f>
        <v>0</v>
      </c>
      <c r="D184" s="723" t="str">
        <f>VLOOKUP($B184,R_DG!$A$7:$G$1305,3,0)</f>
        <v>Boulon 16x650VRS+ 4 long đền vuông D18-50x50x3/Zn</v>
      </c>
      <c r="E184" s="714" t="str">
        <f>VLOOKUP($B184,R_DG!$A$7:$G$1305,4,0)</f>
        <v>bộ</v>
      </c>
      <c r="F184" s="736"/>
      <c r="G184" s="608" t="e">
        <f>VLOOKUP($B184,R_DG!$A$7:$G$1305,5,0)</f>
        <v>#REF!</v>
      </c>
      <c r="H184" s="608">
        <f>VLOOKUP($B184,R_DG!$A$7:$G$1305,6,0)</f>
        <v>0</v>
      </c>
      <c r="I184" s="608">
        <f>VLOOKUP($B184,R_DG!$A$7:$G$1305,7,0)</f>
        <v>0</v>
      </c>
      <c r="J184" s="608" t="e">
        <f t="shared" si="27"/>
        <v>#REF!</v>
      </c>
      <c r="K184" s="608">
        <f t="shared" si="27"/>
        <v>0</v>
      </c>
      <c r="L184" s="725">
        <f t="shared" si="27"/>
        <v>0</v>
      </c>
      <c r="M184" s="1127">
        <f t="shared" si="28"/>
        <v>0</v>
      </c>
      <c r="N184" s="727">
        <f t="shared" ca="1" si="29"/>
        <v>0</v>
      </c>
    </row>
    <row r="185" spans="1:14" hidden="1">
      <c r="A185" s="731"/>
      <c r="B185" s="735" t="s">
        <v>1027</v>
      </c>
      <c r="C185" s="713" t="str">
        <f>VLOOKUP($B185,R_DG!$A$7:$G$1305,2,0)</f>
        <v>02.1211</v>
      </c>
      <c r="D185" s="723" t="str">
        <f>VLOOKUP($B185,R_DG!$A$7:$G$1305,3,0)</f>
        <v>V/c xi măng ( cự ly &lt;=100m)</v>
      </c>
      <c r="E185" s="714" t="str">
        <f>VLOOKUP($B185,R_DG!$A$7:$G$1305,4,0)</f>
        <v>tấn</v>
      </c>
      <c r="F185" s="736"/>
      <c r="G185" s="608">
        <f>VLOOKUP($B185,R_DG!$A$7:$G$1305,5,0)</f>
        <v>0</v>
      </c>
      <c r="H185" s="608">
        <f>VLOOKUP($B185,R_DG!$A$7:$G$1305,6,0)</f>
        <v>0</v>
      </c>
      <c r="I185" s="608">
        <f>VLOOKUP($B185,R_DG!$A$7:$G$1305,7,0)</f>
        <v>0</v>
      </c>
      <c r="J185" s="608">
        <f t="shared" si="27"/>
        <v>0</v>
      </c>
      <c r="K185" s="608">
        <f t="shared" si="27"/>
        <v>0</v>
      </c>
      <c r="L185" s="725">
        <f t="shared" si="27"/>
        <v>0</v>
      </c>
      <c r="M185" s="1127">
        <f t="shared" si="28"/>
        <v>0</v>
      </c>
      <c r="N185" s="727">
        <f t="shared" ca="1" si="29"/>
        <v>0</v>
      </c>
    </row>
    <row r="186" spans="1:14" hidden="1">
      <c r="A186" s="731"/>
      <c r="B186" s="735" t="s">
        <v>1072</v>
      </c>
      <c r="C186" s="713" t="str">
        <f>VLOOKUP($B186,R_DG!$A$7:$G$1305,2,0)</f>
        <v>02.1231</v>
      </c>
      <c r="D186" s="723" t="str">
        <f>VLOOKUP($B186,R_DG!$A$7:$G$1305,3,0)</f>
        <v>V/c cát vàng cự ly &lt;=100m</v>
      </c>
      <c r="E186" s="714" t="str">
        <f>VLOOKUP($B186,R_DG!$A$7:$G$1305,4,0)</f>
        <v>m3</v>
      </c>
      <c r="F186" s="736"/>
      <c r="G186" s="608">
        <f>VLOOKUP($B186,R_DG!$A$7:$G$1305,5,0)</f>
        <v>0</v>
      </c>
      <c r="H186" s="608">
        <f>VLOOKUP($B186,R_DG!$A$7:$G$1305,6,0)</f>
        <v>0</v>
      </c>
      <c r="I186" s="608">
        <f>VLOOKUP($B186,R_DG!$A$7:$G$1305,7,0)</f>
        <v>0</v>
      </c>
      <c r="J186" s="608">
        <f t="shared" si="27"/>
        <v>0</v>
      </c>
      <c r="K186" s="608">
        <f t="shared" si="27"/>
        <v>0</v>
      </c>
      <c r="L186" s="725">
        <f t="shared" si="27"/>
        <v>0</v>
      </c>
      <c r="M186" s="1127">
        <f t="shared" si="28"/>
        <v>0</v>
      </c>
      <c r="N186" s="727">
        <f t="shared" ca="1" si="29"/>
        <v>0</v>
      </c>
    </row>
    <row r="187" spans="1:14" hidden="1">
      <c r="A187" s="731"/>
      <c r="B187" s="735" t="s">
        <v>1039</v>
      </c>
      <c r="C187" s="713" t="str">
        <f>VLOOKUP($B187,R_DG!$A$7:$G$1305,2,0)</f>
        <v>02.1241</v>
      </c>
      <c r="D187" s="723" t="str">
        <f>VLOOKUP($B187,R_DG!$A$7:$G$1305,3,0)</f>
        <v>V/c đá dăm ( cự ly &lt;=100m)</v>
      </c>
      <c r="E187" s="714" t="str">
        <f>VLOOKUP($B187,R_DG!$A$7:$G$1305,4,0)</f>
        <v>m3</v>
      </c>
      <c r="F187" s="736"/>
      <c r="G187" s="608">
        <f>VLOOKUP($B187,R_DG!$A$7:$G$1305,5,0)</f>
        <v>0</v>
      </c>
      <c r="H187" s="608">
        <f>VLOOKUP($B187,R_DG!$A$7:$G$1305,6,0)</f>
        <v>0</v>
      </c>
      <c r="I187" s="608">
        <f>VLOOKUP($B187,R_DG!$A$7:$G$1305,7,0)</f>
        <v>0</v>
      </c>
      <c r="J187" s="608">
        <f t="shared" si="27"/>
        <v>0</v>
      </c>
      <c r="K187" s="608">
        <f t="shared" si="27"/>
        <v>0</v>
      </c>
      <c r="L187" s="725">
        <f t="shared" si="27"/>
        <v>0</v>
      </c>
      <c r="M187" s="1127">
        <f t="shared" si="28"/>
        <v>0</v>
      </c>
      <c r="N187" s="727">
        <f t="shared" ca="1" si="29"/>
        <v>0</v>
      </c>
    </row>
    <row r="188" spans="1:14" hidden="1">
      <c r="A188" s="731"/>
      <c r="B188" s="735" t="s">
        <v>991</v>
      </c>
      <c r="C188" s="713" t="str">
        <f>VLOOKUP($B188,R_DG!$A$7:$G$1305,2,0)</f>
        <v>02.1482</v>
      </c>
      <c r="D188" s="723" t="str">
        <f>VLOOKUP($B188,R_DG!$A$7:$G$1305,3,0)</f>
        <v>V/c dụng cụ thi công ( cự ly &lt;=100m)</v>
      </c>
      <c r="E188" s="714" t="str">
        <f>VLOOKUP($B188,R_DG!$A$7:$G$1305,4,0)</f>
        <v>tấn</v>
      </c>
      <c r="F188" s="736"/>
      <c r="G188" s="608">
        <f>VLOOKUP($B188,R_DG!$A$7:$G$1305,5,0)</f>
        <v>0</v>
      </c>
      <c r="H188" s="608">
        <f>VLOOKUP($B188,R_DG!$A$7:$G$1305,6,0)</f>
        <v>0</v>
      </c>
      <c r="I188" s="608">
        <f>VLOOKUP($B188,R_DG!$A$7:$G$1305,7,0)</f>
        <v>0</v>
      </c>
      <c r="J188" s="608">
        <f t="shared" si="27"/>
        <v>0</v>
      </c>
      <c r="K188" s="608">
        <f t="shared" si="27"/>
        <v>0</v>
      </c>
      <c r="L188" s="725">
        <f t="shared" si="27"/>
        <v>0</v>
      </c>
      <c r="M188" s="1127">
        <f t="shared" si="28"/>
        <v>0</v>
      </c>
      <c r="N188" s="727">
        <f t="shared" ca="1" si="29"/>
        <v>0</v>
      </c>
    </row>
    <row r="189" spans="1:14" hidden="1">
      <c r="A189" s="731"/>
      <c r="B189" s="735" t="s">
        <v>2175</v>
      </c>
      <c r="C189" s="713" t="str">
        <f>VLOOKUP($B189,R_DG!$A$7:$G$1305,2,0)</f>
        <v>04.1101</v>
      </c>
      <c r="D189" s="723" t="str">
        <f>VLOOKUP($B189,R_DG!$A$7:$G$1305,3,0)</f>
        <v>Gia công và lắp dựng cốt thép D&lt;=10</v>
      </c>
      <c r="E189" s="714" t="str">
        <f>VLOOKUP($B189,R_DG!$A$7:$G$1305,4,0)</f>
        <v>kg</v>
      </c>
      <c r="F189" s="734">
        <f>F178*0</f>
        <v>0</v>
      </c>
      <c r="G189" s="608">
        <f>VLOOKUP($B189,R_DG!$A$7:$G$1305,5,0)</f>
        <v>405.99</v>
      </c>
      <c r="H189" s="608">
        <f>VLOOKUP($B189,R_DG!$A$7:$G$1305,6,0)</f>
        <v>0</v>
      </c>
      <c r="I189" s="608">
        <f>VLOOKUP($B189,R_DG!$A$7:$G$1305,7,0)</f>
        <v>0</v>
      </c>
      <c r="J189" s="608">
        <f t="shared" si="27"/>
        <v>0</v>
      </c>
      <c r="K189" s="608">
        <f t="shared" si="27"/>
        <v>0</v>
      </c>
      <c r="L189" s="725">
        <f t="shared" si="27"/>
        <v>0</v>
      </c>
      <c r="M189" s="1127">
        <f t="shared" si="28"/>
        <v>0</v>
      </c>
      <c r="N189" s="727">
        <f t="shared" ca="1" si="29"/>
        <v>0</v>
      </c>
    </row>
    <row r="190" spans="1:14" hidden="1">
      <c r="A190" s="731"/>
      <c r="B190" s="735" t="s">
        <v>1245</v>
      </c>
      <c r="C190" s="713" t="str">
        <f>VLOOKUP($B190,R_DG!$A$7:$G$1305,2,0)</f>
        <v>AF112.20</v>
      </c>
      <c r="D190" s="723" t="str">
        <f>VLOOKUP($B190,R_DG!$A$7:$G$1305,3,0)</f>
        <v>Đổ bê tông mác M150 đá 1x2</v>
      </c>
      <c r="E190" s="714" t="str">
        <f>VLOOKUP($B190,R_DG!$A$7:$G$1305,4,0)</f>
        <v>m3</v>
      </c>
      <c r="F190" s="734">
        <v>1.042</v>
      </c>
      <c r="G190" s="608">
        <f>VLOOKUP($B190,R_DG!$A$7:$G$1305,5,0)</f>
        <v>0</v>
      </c>
      <c r="H190" s="608">
        <f>VLOOKUP($B190,R_DG!$A$7:$G$1305,6,0)</f>
        <v>398225.65</v>
      </c>
      <c r="I190" s="608">
        <f>VLOOKUP($B190,R_DG!$A$7:$G$1305,7,0)</f>
        <v>0</v>
      </c>
      <c r="J190" s="608">
        <f t="shared" si="27"/>
        <v>0</v>
      </c>
      <c r="K190" s="608">
        <f t="shared" si="27"/>
        <v>414951.12730000005</v>
      </c>
      <c r="L190" s="725">
        <f t="shared" si="27"/>
        <v>0</v>
      </c>
      <c r="M190" s="1127">
        <f t="shared" si="28"/>
        <v>1</v>
      </c>
      <c r="N190" s="727">
        <f t="shared" ca="1" si="29"/>
        <v>1.042</v>
      </c>
    </row>
    <row r="191" spans="1:14">
      <c r="A191" s="737" t="s">
        <v>2344</v>
      </c>
      <c r="B191" s="729"/>
      <c r="C191" s="717"/>
      <c r="D191" s="718" t="s">
        <v>2176</v>
      </c>
      <c r="E191" s="718" t="s">
        <v>2146</v>
      </c>
      <c r="F191" s="719"/>
      <c r="G191" s="720"/>
      <c r="H191" s="720"/>
      <c r="I191" s="720"/>
      <c r="J191" s="720" t="e">
        <f>SUM(J192:J211)</f>
        <v>#REF!</v>
      </c>
      <c r="K191" s="720">
        <f>SUM(K192:K211)</f>
        <v>1615025.9242199999</v>
      </c>
      <c r="L191" s="721">
        <f>SUM(L192:L211)</f>
        <v>0</v>
      </c>
      <c r="M191" s="1126">
        <f>IF(ERROR.TYPE(IF(HLOOKUP(A191,maBK,1,0)&lt;&gt;"",#NULL!,"ABC"))&lt;&gt;7,1,0)</f>
        <v>1</v>
      </c>
      <c r="N191" s="712">
        <f ca="1">SUMIF(maBK,$A191,tongBK1)</f>
        <v>4</v>
      </c>
    </row>
    <row r="192" spans="1:14" hidden="1">
      <c r="A192" s="731"/>
      <c r="B192" s="735" t="s">
        <v>767</v>
      </c>
      <c r="C192" s="713">
        <f>VLOOKUP($B192,R_DG!$A$7:$G$1305,2,0)</f>
        <v>0</v>
      </c>
      <c r="D192" s="723" t="str">
        <f>VLOOKUP($B192,R_DG!$A$7:$G$1305,3,0)</f>
        <v>Ximăng</v>
      </c>
      <c r="E192" s="714" t="str">
        <f>VLOOKUP($B192,R_DG!$A$7:$G$1305,4,0)</f>
        <v>kg</v>
      </c>
      <c r="F192" s="734">
        <v>423.3</v>
      </c>
      <c r="G192" s="608">
        <f>G175</f>
        <v>1690</v>
      </c>
      <c r="H192" s="608">
        <f>VLOOKUP($B192,R_DG!$A$7:$G$1305,6,0)</f>
        <v>0</v>
      </c>
      <c r="I192" s="608">
        <f>VLOOKUP($B192,R_DG!$A$7:$G$1305,7,0)</f>
        <v>0</v>
      </c>
      <c r="J192" s="608">
        <f t="shared" si="27"/>
        <v>715377</v>
      </c>
      <c r="K192" s="608">
        <f t="shared" si="27"/>
        <v>0</v>
      </c>
      <c r="L192" s="725">
        <f t="shared" si="27"/>
        <v>0</v>
      </c>
      <c r="M192" s="1127">
        <f t="shared" ref="M192:M211" si="30">IF(F192&gt;0,M$191,0)</f>
        <v>1</v>
      </c>
      <c r="N192" s="727">
        <f t="shared" ref="N192:N211" ca="1" si="31">$F192*N$191</f>
        <v>1693.2</v>
      </c>
    </row>
    <row r="193" spans="1:14" hidden="1">
      <c r="A193" s="731"/>
      <c r="B193" s="735" t="s">
        <v>762</v>
      </c>
      <c r="C193" s="713">
        <f>VLOOKUP($B193,R_DG!$A$7:$G$1305,2,0)</f>
        <v>0</v>
      </c>
      <c r="D193" s="723" t="str">
        <f>VLOOKUP($B193,R_DG!$A$7:$G$1305,3,0)</f>
        <v>Cát vàng</v>
      </c>
      <c r="E193" s="714" t="str">
        <f>VLOOKUP($B193,R_DG!$A$7:$G$1305,4,0)</f>
        <v>m3</v>
      </c>
      <c r="F193" s="734">
        <v>0.56499999999999995</v>
      </c>
      <c r="G193" s="608">
        <v>360000</v>
      </c>
      <c r="H193" s="608">
        <f>VLOOKUP($B193,R_DG!$A$7:$G$1305,6,0)</f>
        <v>0</v>
      </c>
      <c r="I193" s="608">
        <f>VLOOKUP($B193,R_DG!$A$7:$G$1305,7,0)</f>
        <v>0</v>
      </c>
      <c r="J193" s="608">
        <f t="shared" si="27"/>
        <v>203399.99999999997</v>
      </c>
      <c r="K193" s="608">
        <f t="shared" si="27"/>
        <v>0</v>
      </c>
      <c r="L193" s="725">
        <f t="shared" si="27"/>
        <v>0</v>
      </c>
      <c r="M193" s="1127">
        <f t="shared" si="30"/>
        <v>1</v>
      </c>
      <c r="N193" s="727">
        <f t="shared" ca="1" si="31"/>
        <v>2.2599999999999998</v>
      </c>
    </row>
    <row r="194" spans="1:14" hidden="1">
      <c r="A194" s="731"/>
      <c r="B194" s="735" t="s">
        <v>2159</v>
      </c>
      <c r="C194" s="713">
        <f>VLOOKUP($B194,R_DG!$A$7:$G$1305,2,0)</f>
        <v>0</v>
      </c>
      <c r="D194" s="723" t="str">
        <f>VLOOKUP($B194,R_DG!$A$7:$G$1305,3,0)</f>
        <v>Đá 1x2</v>
      </c>
      <c r="E194" s="714" t="str">
        <f>VLOOKUP($B194,R_DG!$A$7:$G$1305,4,0)</f>
        <v>m3</v>
      </c>
      <c r="F194" s="734">
        <v>1.26</v>
      </c>
      <c r="G194" s="608">
        <f>VLOOKUP($B194,R_DG!$A$7:$G$1305,5,0)</f>
        <v>400000</v>
      </c>
      <c r="H194" s="608">
        <f>VLOOKUP($B194,R_DG!$A$7:$G$1305,6,0)</f>
        <v>0</v>
      </c>
      <c r="I194" s="608">
        <f>VLOOKUP($B194,R_DG!$A$7:$G$1305,7,0)</f>
        <v>0</v>
      </c>
      <c r="J194" s="608">
        <f t="shared" si="27"/>
        <v>504000</v>
      </c>
      <c r="K194" s="608">
        <f t="shared" si="27"/>
        <v>0</v>
      </c>
      <c r="L194" s="725">
        <f t="shared" si="27"/>
        <v>0</v>
      </c>
      <c r="M194" s="1127">
        <f t="shared" si="30"/>
        <v>1</v>
      </c>
      <c r="N194" s="727">
        <f t="shared" ca="1" si="31"/>
        <v>5.04</v>
      </c>
    </row>
    <row r="195" spans="1:14" hidden="1">
      <c r="A195" s="731"/>
      <c r="B195" s="735" t="s">
        <v>2166</v>
      </c>
      <c r="C195" s="713">
        <f>VLOOKUP($B195,R_DG!$A$7:$G$1305,2,0)</f>
        <v>0</v>
      </c>
      <c r="D195" s="723" t="str">
        <f>VLOOKUP($B195,R_DG!$A$7:$G$1305,3,0)</f>
        <v>Boulon 22x800+ 2 long đền vuông D24-50x50x3/Zn</v>
      </c>
      <c r="E195" s="714" t="str">
        <f>VLOOKUP($B195,R_DG!$A$7:$G$1305,4,0)</f>
        <v>bộ</v>
      </c>
      <c r="F195" s="734"/>
      <c r="G195" s="608" t="e">
        <f>VLOOKUP($B195,R_DG!$A$7:$G$1305,5,0)</f>
        <v>#REF!</v>
      </c>
      <c r="H195" s="608">
        <f>VLOOKUP($B195,R_DG!$A$7:$G$1305,6,0)</f>
        <v>0</v>
      </c>
      <c r="I195" s="608">
        <f>VLOOKUP($B195,R_DG!$A$7:$G$1305,7,0)</f>
        <v>0</v>
      </c>
      <c r="J195" s="608" t="e">
        <f t="shared" si="27"/>
        <v>#REF!</v>
      </c>
      <c r="K195" s="608">
        <f t="shared" si="27"/>
        <v>0</v>
      </c>
      <c r="L195" s="725">
        <f t="shared" si="27"/>
        <v>0</v>
      </c>
      <c r="M195" s="1127">
        <f t="shared" si="30"/>
        <v>0</v>
      </c>
      <c r="N195" s="727">
        <f t="shared" ca="1" si="31"/>
        <v>0</v>
      </c>
    </row>
    <row r="196" spans="1:14" hidden="1">
      <c r="A196" s="731"/>
      <c r="B196" s="735" t="s">
        <v>2173</v>
      </c>
      <c r="C196" s="713">
        <f>VLOOKUP($B196,R_DG!$A$7:$G$1305,2,0)</f>
        <v>0</v>
      </c>
      <c r="D196" s="723" t="str">
        <f>VLOOKUP($B196,R_DG!$A$7:$G$1305,3,0)</f>
        <v>Sắt  φ10</v>
      </c>
      <c r="E196" s="714" t="str">
        <f>VLOOKUP($B196,R_DG!$A$7:$G$1305,4,0)</f>
        <v>kg</v>
      </c>
      <c r="F196" s="734"/>
      <c r="G196" s="608">
        <f>VLOOKUP($B196,R_DG!$A$7:$G$1305,5,0)</f>
        <v>14545</v>
      </c>
      <c r="H196" s="608">
        <f>VLOOKUP($B196,R_DG!$A$7:$G$1305,6,0)</f>
        <v>0</v>
      </c>
      <c r="I196" s="608">
        <f>VLOOKUP($B196,R_DG!$A$7:$G$1305,7,0)</f>
        <v>0</v>
      </c>
      <c r="J196" s="608">
        <f t="shared" si="27"/>
        <v>0</v>
      </c>
      <c r="K196" s="608">
        <f t="shared" si="27"/>
        <v>0</v>
      </c>
      <c r="L196" s="725">
        <f t="shared" si="27"/>
        <v>0</v>
      </c>
      <c r="M196" s="1127">
        <f t="shared" si="30"/>
        <v>0</v>
      </c>
      <c r="N196" s="727">
        <f t="shared" ca="1" si="31"/>
        <v>0</v>
      </c>
    </row>
    <row r="197" spans="1:14" hidden="1">
      <c r="A197" s="731"/>
      <c r="B197" s="735" t="s">
        <v>2174</v>
      </c>
      <c r="C197" s="713">
        <f>VLOOKUP($B197,R_DG!$A$7:$G$1305,2,0)</f>
        <v>0</v>
      </c>
      <c r="D197" s="723" t="str">
        <f>VLOOKUP($B197,R_DG!$A$7:$G$1305,3,0)</f>
        <v>Kẽm</v>
      </c>
      <c r="E197" s="714" t="str">
        <f>VLOOKUP($B197,R_DG!$A$7:$G$1305,4,0)</f>
        <v>kg</v>
      </c>
      <c r="F197" s="734"/>
      <c r="G197" s="608">
        <f>VLOOKUP($B197,R_DG!$A$7:$G$1305,5,0)</f>
        <v>35200</v>
      </c>
      <c r="H197" s="608">
        <f>VLOOKUP($B197,R_DG!$A$7:$G$1305,6,0)</f>
        <v>0</v>
      </c>
      <c r="I197" s="608">
        <f>VLOOKUP($B197,R_DG!$A$7:$G$1305,7,0)</f>
        <v>0</v>
      </c>
      <c r="J197" s="608">
        <f t="shared" si="27"/>
        <v>0</v>
      </c>
      <c r="K197" s="608">
        <f t="shared" si="27"/>
        <v>0</v>
      </c>
      <c r="L197" s="725">
        <f t="shared" si="27"/>
        <v>0</v>
      </c>
      <c r="M197" s="1127">
        <f t="shared" si="30"/>
        <v>0</v>
      </c>
      <c r="N197" s="727">
        <f t="shared" ca="1" si="31"/>
        <v>0</v>
      </c>
    </row>
    <row r="198" spans="1:14" hidden="1">
      <c r="A198" s="731"/>
      <c r="B198" s="226" t="str">
        <f>IF(CAPDAT=1,"MDD1",IF(CAPDAT=2,"MDD2",IF(CAPDAT=3,"MDD3",IF(CAPDAT=4,"MDD4"))))</f>
        <v>MDD3</v>
      </c>
      <c r="C198" s="713" t="str">
        <f>VLOOKUP($B198,R_DG!$A$7:$G$1305,2,0)</f>
        <v>AB.11400</v>
      </c>
      <c r="D198" s="723" t="str">
        <f>VLOOKUP($B198,R_DG!$A$7:$G$1305,3,0)</f>
        <v>Đào hố móng đất cấp 3 sâu &gt;1m, rộng &lt;1m</v>
      </c>
      <c r="E198" s="714" t="str">
        <f>VLOOKUP($B198,R_DG!$A$7:$G$1305,4,0)</f>
        <v>m3</v>
      </c>
      <c r="F198" s="734">
        <v>1.95</v>
      </c>
      <c r="G198" s="608">
        <f>VLOOKUP($B198,R_DG!$A$7:$G$1305,5,0)</f>
        <v>0</v>
      </c>
      <c r="H198" s="608">
        <f>VLOOKUP($B198,R_DG!$A$7:$G$1305,6,0)</f>
        <v>418738.31999999995</v>
      </c>
      <c r="I198" s="608">
        <f>VLOOKUP($B198,R_DG!$A$7:$G$1305,7,0)</f>
        <v>0</v>
      </c>
      <c r="J198" s="608">
        <f t="shared" si="27"/>
        <v>0</v>
      </c>
      <c r="K198" s="608">
        <f t="shared" si="27"/>
        <v>816539.72399999993</v>
      </c>
      <c r="L198" s="725">
        <f t="shared" si="27"/>
        <v>0</v>
      </c>
      <c r="M198" s="1127">
        <f t="shared" si="30"/>
        <v>1</v>
      </c>
      <c r="N198" s="727">
        <f t="shared" ca="1" si="31"/>
        <v>7.8</v>
      </c>
    </row>
    <row r="199" spans="1:14" hidden="1">
      <c r="A199" s="731"/>
      <c r="B199" s="735" t="s">
        <v>831</v>
      </c>
      <c r="C199" s="713" t="str">
        <f>VLOOKUP($B199,R_DG!$A$7:$G$1305,2,0)</f>
        <v>AB.13000</v>
      </c>
      <c r="D199" s="723" t="str">
        <f>VLOOKUP($B199,R_DG!$A$7:$G$1305,3,0)</f>
        <v>Đắp đất hố móng, đất cấp 3, k = 0,85</v>
      </c>
      <c r="E199" s="714" t="str">
        <f>VLOOKUP($B199,R_DG!$A$7:$G$1305,4,0)</f>
        <v>m3</v>
      </c>
      <c r="F199" s="734">
        <v>0.219</v>
      </c>
      <c r="G199" s="608">
        <f>VLOOKUP($B199,R_DG!$A$7:$G$1305,5,0)</f>
        <v>0</v>
      </c>
      <c r="H199" s="608">
        <f>VLOOKUP($B199,R_DG!$A$7:$G$1305,6,0)</f>
        <v>100210.88</v>
      </c>
      <c r="I199" s="608">
        <f>VLOOKUP($B199,R_DG!$A$7:$G$1305,7,0)</f>
        <v>0</v>
      </c>
      <c r="J199" s="608">
        <f t="shared" si="27"/>
        <v>0</v>
      </c>
      <c r="K199" s="608">
        <f t="shared" si="27"/>
        <v>21946.182720000001</v>
      </c>
      <c r="L199" s="725">
        <f t="shared" si="27"/>
        <v>0</v>
      </c>
      <c r="M199" s="1127">
        <f t="shared" si="30"/>
        <v>1</v>
      </c>
      <c r="N199" s="727">
        <f t="shared" ca="1" si="31"/>
        <v>0.876</v>
      </c>
    </row>
    <row r="200" spans="1:14" hidden="1">
      <c r="A200" s="731"/>
      <c r="B200" s="735" t="s">
        <v>3565</v>
      </c>
      <c r="C200" s="713">
        <f>VLOOKUP($B200,R_DG!$A$7:$G$1305,2,0)</f>
        <v>0</v>
      </c>
      <c r="D200" s="723" t="str">
        <f>VLOOKUP($B200,R_DG!$A$7:$G$1305,3,0)</f>
        <v>Boulon 16x450VRS+ 4 long đền vuông D18-50x50x3/Zn</v>
      </c>
      <c r="E200" s="714" t="str">
        <f>VLOOKUP($B200,R_DG!$A$7:$G$1305,4,0)</f>
        <v>bộ</v>
      </c>
      <c r="F200" s="734">
        <v>1</v>
      </c>
      <c r="G200" s="608" t="e">
        <f>VLOOKUP($B200,R_DG!$A$7:$G$1305,5,0)</f>
        <v>#REF!</v>
      </c>
      <c r="H200" s="608">
        <f>VLOOKUP($B200,R_DG!$A$7:$G$1305,6,0)</f>
        <v>0</v>
      </c>
      <c r="I200" s="608">
        <f>VLOOKUP($B200,R_DG!$A$7:$G$1305,7,0)</f>
        <v>0</v>
      </c>
      <c r="J200" s="608" t="e">
        <f t="shared" si="27"/>
        <v>#REF!</v>
      </c>
      <c r="K200" s="608">
        <f t="shared" si="27"/>
        <v>0</v>
      </c>
      <c r="L200" s="725">
        <f t="shared" si="27"/>
        <v>0</v>
      </c>
      <c r="M200" s="1127">
        <f>IF(F200&gt;0,M$191,0)</f>
        <v>1</v>
      </c>
      <c r="N200" s="727">
        <f t="shared" ca="1" si="31"/>
        <v>4</v>
      </c>
    </row>
    <row r="201" spans="1:14" hidden="1">
      <c r="A201" s="731"/>
      <c r="B201" s="735" t="s">
        <v>114</v>
      </c>
      <c r="C201" s="713">
        <f>VLOOKUP($B201,R_DG!$A$7:$G$1305,2,0)</f>
        <v>0</v>
      </c>
      <c r="D201" s="723" t="str">
        <f>VLOOKUP($B201,R_DG!$A$7:$G$1305,3,0)</f>
        <v>Boulon 16x550VRS+ 4 long đền vuông D18-50x50x3/Zn</v>
      </c>
      <c r="E201" s="714" t="str">
        <f>VLOOKUP($B201,R_DG!$A$7:$G$1305,4,0)</f>
        <v>bộ</v>
      </c>
      <c r="F201" s="734">
        <v>1</v>
      </c>
      <c r="G201" s="608" t="e">
        <f>VLOOKUP($B201,R_DG!$A$7:$G$1305,5,0)</f>
        <v>#REF!</v>
      </c>
      <c r="H201" s="608">
        <f>VLOOKUP($B201,R_DG!$A$7:$G$1305,6,0)</f>
        <v>0</v>
      </c>
      <c r="I201" s="608">
        <f>VLOOKUP($B201,R_DG!$A$7:$G$1305,7,0)</f>
        <v>0</v>
      </c>
      <c r="J201" s="608" t="e">
        <f t="shared" si="27"/>
        <v>#REF!</v>
      </c>
      <c r="K201" s="608">
        <f t="shared" si="27"/>
        <v>0</v>
      </c>
      <c r="L201" s="725">
        <f t="shared" si="27"/>
        <v>0</v>
      </c>
      <c r="M201" s="1127">
        <f>IF(F201&gt;0,M$191,0)</f>
        <v>1</v>
      </c>
      <c r="N201" s="727">
        <f t="shared" ca="1" si="31"/>
        <v>4</v>
      </c>
    </row>
    <row r="202" spans="1:14" hidden="1">
      <c r="A202" s="731"/>
      <c r="B202" s="735" t="s">
        <v>118</v>
      </c>
      <c r="C202" s="713">
        <f>VLOOKUP($B202,R_DG!$A$7:$G$1305,2,0)</f>
        <v>0</v>
      </c>
      <c r="D202" s="723" t="str">
        <f>VLOOKUP($B202,R_DG!$A$7:$G$1305,3,0)</f>
        <v>Boulon 16x650VRS+ 4 long đền vuông D18-50x50x3/Zn</v>
      </c>
      <c r="E202" s="714" t="str">
        <f>VLOOKUP($B202,R_DG!$A$7:$G$1305,4,0)</f>
        <v>bộ</v>
      </c>
      <c r="F202" s="734">
        <v>1</v>
      </c>
      <c r="G202" s="608" t="e">
        <f>VLOOKUP($B202,R_DG!$A$7:$G$1305,5,0)</f>
        <v>#REF!</v>
      </c>
      <c r="H202" s="608">
        <f>VLOOKUP($B202,R_DG!$A$7:$G$1305,6,0)</f>
        <v>0</v>
      </c>
      <c r="I202" s="608">
        <f>VLOOKUP($B202,R_DG!$A$7:$G$1305,7,0)</f>
        <v>0</v>
      </c>
      <c r="J202" s="608" t="e">
        <f t="shared" si="27"/>
        <v>#REF!</v>
      </c>
      <c r="K202" s="608">
        <f t="shared" si="27"/>
        <v>0</v>
      </c>
      <c r="L202" s="725">
        <f t="shared" si="27"/>
        <v>0</v>
      </c>
      <c r="M202" s="1127">
        <f>IF(F202&gt;0,M$191,0)</f>
        <v>1</v>
      </c>
      <c r="N202" s="727">
        <f t="shared" ca="1" si="31"/>
        <v>4</v>
      </c>
    </row>
    <row r="203" spans="1:14" hidden="1">
      <c r="A203" s="731"/>
      <c r="B203" s="735" t="s">
        <v>1116</v>
      </c>
      <c r="C203" s="713" t="str">
        <f>VLOOKUP($B203,R_DG!$A$7:$G$1305,2,0)</f>
        <v>02.1101</v>
      </c>
      <c r="D203" s="723" t="str">
        <f>VLOOKUP($B203,R_DG!$A$7:$G$1305,3,0)</f>
        <v>Bốc dỡ xi măng</v>
      </c>
      <c r="E203" s="714" t="str">
        <f>VLOOKUP($B203,R_DG!$A$7:$G$1305,4,0)</f>
        <v>tấn</v>
      </c>
      <c r="F203" s="736"/>
      <c r="G203" s="608">
        <f>VLOOKUP($B203,R_DG!$A$7:$G$1305,5,0)</f>
        <v>0</v>
      </c>
      <c r="H203" s="608">
        <f>VLOOKUP($B203,R_DG!$A$7:$G$1305,6,0)</f>
        <v>0</v>
      </c>
      <c r="I203" s="608">
        <f>VLOOKUP($B203,R_DG!$A$7:$G$1305,7,0)</f>
        <v>0</v>
      </c>
      <c r="J203" s="608">
        <f t="shared" si="27"/>
        <v>0</v>
      </c>
      <c r="K203" s="608">
        <f t="shared" si="27"/>
        <v>0</v>
      </c>
      <c r="L203" s="725">
        <f t="shared" si="27"/>
        <v>0</v>
      </c>
      <c r="M203" s="1127">
        <f t="shared" si="30"/>
        <v>0</v>
      </c>
      <c r="N203" s="727">
        <f t="shared" ca="1" si="31"/>
        <v>0</v>
      </c>
    </row>
    <row r="204" spans="1:14" hidden="1">
      <c r="A204" s="731"/>
      <c r="B204" s="735" t="s">
        <v>1119</v>
      </c>
      <c r="C204" s="713" t="str">
        <f>VLOOKUP($B204,R_DG!$A$7:$G$1305,2,0)</f>
        <v>02.1103</v>
      </c>
      <c r="D204" s="723" t="str">
        <f>VLOOKUP($B204,R_DG!$A$7:$G$1305,3,0)</f>
        <v>Bốc dỡ cát</v>
      </c>
      <c r="E204" s="714" t="str">
        <f>VLOOKUP($B204,R_DG!$A$7:$G$1305,4,0)</f>
        <v>m3</v>
      </c>
      <c r="F204" s="736"/>
      <c r="G204" s="608">
        <f>VLOOKUP($B204,R_DG!$A$7:$G$1305,5,0)</f>
        <v>0</v>
      </c>
      <c r="H204" s="608">
        <f>VLOOKUP($B204,R_DG!$A$7:$G$1305,6,0)</f>
        <v>0</v>
      </c>
      <c r="I204" s="608">
        <f>VLOOKUP($B204,R_DG!$A$7:$G$1305,7,0)</f>
        <v>0</v>
      </c>
      <c r="J204" s="608">
        <f t="shared" si="27"/>
        <v>0</v>
      </c>
      <c r="K204" s="608">
        <f t="shared" si="27"/>
        <v>0</v>
      </c>
      <c r="L204" s="725">
        <f t="shared" si="27"/>
        <v>0</v>
      </c>
      <c r="M204" s="1127">
        <f t="shared" si="30"/>
        <v>0</v>
      </c>
      <c r="N204" s="727">
        <f t="shared" ca="1" si="31"/>
        <v>0</v>
      </c>
    </row>
    <row r="205" spans="1:14" hidden="1">
      <c r="A205" s="731"/>
      <c r="B205" s="735" t="s">
        <v>1122</v>
      </c>
      <c r="C205" s="713" t="str">
        <f>VLOOKUP($B205,R_DG!$A$7:$G$1305,2,0)</f>
        <v>02.1104</v>
      </c>
      <c r="D205" s="723" t="str">
        <f>VLOOKUP($B205,R_DG!$A$7:$G$1305,3,0)</f>
        <v>Bốc dỡ đá dăm</v>
      </c>
      <c r="E205" s="714" t="str">
        <f>VLOOKUP($B205,R_DG!$A$7:$G$1305,4,0)</f>
        <v>m3</v>
      </c>
      <c r="F205" s="736"/>
      <c r="G205" s="608">
        <f>VLOOKUP($B205,R_DG!$A$7:$G$1305,5,0)</f>
        <v>0</v>
      </c>
      <c r="H205" s="608">
        <f>VLOOKUP($B205,R_DG!$A$7:$G$1305,6,0)</f>
        <v>0</v>
      </c>
      <c r="I205" s="608">
        <f>VLOOKUP($B205,R_DG!$A$7:$G$1305,7,0)</f>
        <v>0</v>
      </c>
      <c r="J205" s="608">
        <f t="shared" si="27"/>
        <v>0</v>
      </c>
      <c r="K205" s="608">
        <f t="shared" si="27"/>
        <v>0</v>
      </c>
      <c r="L205" s="725">
        <f t="shared" si="27"/>
        <v>0</v>
      </c>
      <c r="M205" s="1127">
        <f t="shared" si="30"/>
        <v>0</v>
      </c>
      <c r="N205" s="727">
        <f t="shared" ca="1" si="31"/>
        <v>0</v>
      </c>
    </row>
    <row r="206" spans="1:14" hidden="1">
      <c r="A206" s="731"/>
      <c r="B206" s="735" t="s">
        <v>1027</v>
      </c>
      <c r="C206" s="713" t="str">
        <f>VLOOKUP($B206,R_DG!$A$7:$G$1305,2,0)</f>
        <v>02.1211</v>
      </c>
      <c r="D206" s="723" t="str">
        <f>VLOOKUP($B206,R_DG!$A$7:$G$1305,3,0)</f>
        <v>V/c xi măng ( cự ly &lt;=100m)</v>
      </c>
      <c r="E206" s="714" t="str">
        <f>VLOOKUP($B206,R_DG!$A$7:$G$1305,4,0)</f>
        <v>tấn</v>
      </c>
      <c r="F206" s="736"/>
      <c r="G206" s="608">
        <f>VLOOKUP($B206,R_DG!$A$7:$G$1305,5,0)</f>
        <v>0</v>
      </c>
      <c r="H206" s="608">
        <f>VLOOKUP($B206,R_DG!$A$7:$G$1305,6,0)</f>
        <v>0</v>
      </c>
      <c r="I206" s="608">
        <f>VLOOKUP($B206,R_DG!$A$7:$G$1305,7,0)</f>
        <v>0</v>
      </c>
      <c r="J206" s="608">
        <f t="shared" si="27"/>
        <v>0</v>
      </c>
      <c r="K206" s="608">
        <f t="shared" si="27"/>
        <v>0</v>
      </c>
      <c r="L206" s="725">
        <f t="shared" si="27"/>
        <v>0</v>
      </c>
      <c r="M206" s="1127">
        <f t="shared" si="30"/>
        <v>0</v>
      </c>
      <c r="N206" s="727">
        <f t="shared" ca="1" si="31"/>
        <v>0</v>
      </c>
    </row>
    <row r="207" spans="1:14" hidden="1">
      <c r="A207" s="731"/>
      <c r="B207" s="735" t="s">
        <v>1072</v>
      </c>
      <c r="C207" s="713" t="str">
        <f>VLOOKUP($B207,R_DG!$A$7:$G$1305,2,0)</f>
        <v>02.1231</v>
      </c>
      <c r="D207" s="723" t="str">
        <f>VLOOKUP($B207,R_DG!$A$7:$G$1305,3,0)</f>
        <v>V/c cát vàng cự ly &lt;=100m</v>
      </c>
      <c r="E207" s="714" t="str">
        <f>VLOOKUP($B207,R_DG!$A$7:$G$1305,4,0)</f>
        <v>m3</v>
      </c>
      <c r="F207" s="736"/>
      <c r="G207" s="608">
        <f>VLOOKUP($B207,R_DG!$A$7:$G$1305,5,0)</f>
        <v>0</v>
      </c>
      <c r="H207" s="608">
        <f>VLOOKUP($B207,R_DG!$A$7:$G$1305,6,0)</f>
        <v>0</v>
      </c>
      <c r="I207" s="608">
        <f>VLOOKUP($B207,R_DG!$A$7:$G$1305,7,0)</f>
        <v>0</v>
      </c>
      <c r="J207" s="608">
        <f t="shared" si="27"/>
        <v>0</v>
      </c>
      <c r="K207" s="608">
        <f t="shared" si="27"/>
        <v>0</v>
      </c>
      <c r="L207" s="725">
        <f t="shared" si="27"/>
        <v>0</v>
      </c>
      <c r="M207" s="1127">
        <f t="shared" si="30"/>
        <v>0</v>
      </c>
      <c r="N207" s="727">
        <f t="shared" ca="1" si="31"/>
        <v>0</v>
      </c>
    </row>
    <row r="208" spans="1:14" hidden="1">
      <c r="A208" s="731"/>
      <c r="B208" s="735" t="s">
        <v>1039</v>
      </c>
      <c r="C208" s="713" t="str">
        <f>VLOOKUP($B208,R_DG!$A$7:$G$1305,2,0)</f>
        <v>02.1241</v>
      </c>
      <c r="D208" s="723" t="str">
        <f>VLOOKUP($B208,R_DG!$A$7:$G$1305,3,0)</f>
        <v>V/c đá dăm ( cự ly &lt;=100m)</v>
      </c>
      <c r="E208" s="714" t="str">
        <f>VLOOKUP($B208,R_DG!$A$7:$G$1305,4,0)</f>
        <v>m3</v>
      </c>
      <c r="F208" s="736"/>
      <c r="G208" s="608">
        <f>VLOOKUP($B208,R_DG!$A$7:$G$1305,5,0)</f>
        <v>0</v>
      </c>
      <c r="H208" s="608">
        <f>VLOOKUP($B208,R_DG!$A$7:$G$1305,6,0)</f>
        <v>0</v>
      </c>
      <c r="I208" s="608">
        <f>VLOOKUP($B208,R_DG!$A$7:$G$1305,7,0)</f>
        <v>0</v>
      </c>
      <c r="J208" s="608">
        <f t="shared" si="27"/>
        <v>0</v>
      </c>
      <c r="K208" s="608">
        <f t="shared" si="27"/>
        <v>0</v>
      </c>
      <c r="L208" s="725">
        <f t="shared" si="27"/>
        <v>0</v>
      </c>
      <c r="M208" s="1127">
        <f t="shared" si="30"/>
        <v>0</v>
      </c>
      <c r="N208" s="727">
        <f t="shared" ca="1" si="31"/>
        <v>0</v>
      </c>
    </row>
    <row r="209" spans="1:14" hidden="1">
      <c r="A209" s="731"/>
      <c r="B209" s="735" t="s">
        <v>991</v>
      </c>
      <c r="C209" s="713" t="str">
        <f>VLOOKUP($B209,R_DG!$A$7:$G$1305,2,0)</f>
        <v>02.1482</v>
      </c>
      <c r="D209" s="723" t="str">
        <f>VLOOKUP($B209,R_DG!$A$7:$G$1305,3,0)</f>
        <v>V/c dụng cụ thi công ( cự ly &lt;=100m)</v>
      </c>
      <c r="E209" s="714" t="str">
        <f>VLOOKUP($B209,R_DG!$A$7:$G$1305,4,0)</f>
        <v>tấn</v>
      </c>
      <c r="F209" s="736"/>
      <c r="G209" s="608">
        <f>VLOOKUP($B209,R_DG!$A$7:$G$1305,5,0)</f>
        <v>0</v>
      </c>
      <c r="H209" s="608">
        <f>VLOOKUP($B209,R_DG!$A$7:$G$1305,6,0)</f>
        <v>0</v>
      </c>
      <c r="I209" s="608">
        <f>VLOOKUP($B209,R_DG!$A$7:$G$1305,7,0)</f>
        <v>0</v>
      </c>
      <c r="J209" s="608">
        <f t="shared" si="27"/>
        <v>0</v>
      </c>
      <c r="K209" s="608">
        <f t="shared" si="27"/>
        <v>0</v>
      </c>
      <c r="L209" s="725">
        <f t="shared" si="27"/>
        <v>0</v>
      </c>
      <c r="M209" s="1127">
        <f t="shared" si="30"/>
        <v>0</v>
      </c>
      <c r="N209" s="727">
        <f t="shared" ca="1" si="31"/>
        <v>0</v>
      </c>
    </row>
    <row r="210" spans="1:14" hidden="1">
      <c r="A210" s="731"/>
      <c r="B210" s="735" t="s">
        <v>2175</v>
      </c>
      <c r="C210" s="1319" t="str">
        <f>VLOOKUP($B210,R_DG!$A$7:$G$1305,2,0)</f>
        <v>04.1101</v>
      </c>
      <c r="D210" s="1312" t="str">
        <f>VLOOKUP($B210,R_DG!$A$7:$G$1305,3,0)</f>
        <v>Gia công và lắp dựng cốt thép D&lt;=10</v>
      </c>
      <c r="E210" s="1313" t="str">
        <f>VLOOKUP($B210,R_DG!$A$7:$G$1305,4,0)</f>
        <v>kg</v>
      </c>
      <c r="F210" s="1320">
        <f>F196</f>
        <v>0</v>
      </c>
      <c r="G210" s="1315">
        <f>VLOOKUP($B210,R_DG!$A$7:$G$1305,5,0)</f>
        <v>405.99</v>
      </c>
      <c r="H210" s="1315">
        <f>VLOOKUP($B210,R_DG!$A$7:$G$1305,6,0)</f>
        <v>0</v>
      </c>
      <c r="I210" s="1315">
        <f>VLOOKUP($B210,R_DG!$A$7:$G$1305,7,0)</f>
        <v>0</v>
      </c>
      <c r="J210" s="1315">
        <f t="shared" si="27"/>
        <v>0</v>
      </c>
      <c r="K210" s="1315">
        <f t="shared" si="27"/>
        <v>0</v>
      </c>
      <c r="L210" s="1316">
        <f t="shared" si="27"/>
        <v>0</v>
      </c>
      <c r="M210" s="1127">
        <f t="shared" si="30"/>
        <v>0</v>
      </c>
      <c r="N210" s="727">
        <f t="shared" ca="1" si="31"/>
        <v>0</v>
      </c>
    </row>
    <row r="211" spans="1:14" hidden="1">
      <c r="A211" s="731"/>
      <c r="B211" s="735" t="s">
        <v>1245</v>
      </c>
      <c r="C211" s="1303" t="str">
        <f>VLOOKUP($B211,R_DG!$A$7:$G$1305,2,0)</f>
        <v>AF112.20</v>
      </c>
      <c r="D211" s="1304" t="str">
        <f>VLOOKUP($B211,R_DG!$A$7:$G$1305,3,0)</f>
        <v>Đổ bê tông mác M150 đá 1x2</v>
      </c>
      <c r="E211" s="1305" t="str">
        <f>VLOOKUP($B211,R_DG!$A$7:$G$1305,4,0)</f>
        <v>m3</v>
      </c>
      <c r="F211" s="1306">
        <v>1.95</v>
      </c>
      <c r="G211" s="1307">
        <f>VLOOKUP($B211,R_DG!$A$7:$G$1305,5,0)</f>
        <v>0</v>
      </c>
      <c r="H211" s="1307">
        <f>VLOOKUP($B211,R_DG!$A$7:$G$1305,6,0)</f>
        <v>398225.65</v>
      </c>
      <c r="I211" s="1307">
        <f>VLOOKUP($B211,R_DG!$A$7:$G$1305,7,0)</f>
        <v>0</v>
      </c>
      <c r="J211" s="1307">
        <f t="shared" si="27"/>
        <v>0</v>
      </c>
      <c r="K211" s="1307">
        <f t="shared" si="27"/>
        <v>776540.01750000007</v>
      </c>
      <c r="L211" s="1308">
        <f t="shared" si="27"/>
        <v>0</v>
      </c>
      <c r="M211" s="1127">
        <f t="shared" si="30"/>
        <v>1</v>
      </c>
      <c r="N211" s="727">
        <f t="shared" ca="1" si="31"/>
        <v>7.8</v>
      </c>
    </row>
    <row r="212" spans="1:14">
      <c r="A212" s="728" t="s">
        <v>2177</v>
      </c>
      <c r="B212" s="729"/>
      <c r="C212" s="717"/>
      <c r="D212" s="718" t="s">
        <v>2178</v>
      </c>
      <c r="E212" s="718" t="s">
        <v>2146</v>
      </c>
      <c r="F212" s="719"/>
      <c r="G212" s="720"/>
      <c r="H212" s="720"/>
      <c r="I212" s="720"/>
      <c r="J212" s="720">
        <f>SUM(J213:J214)</f>
        <v>0</v>
      </c>
      <c r="K212" s="720">
        <f>SUM(K213:K214)</f>
        <v>207579.68</v>
      </c>
      <c r="L212" s="721">
        <f>SUM(L213:L214)</f>
        <v>0</v>
      </c>
      <c r="M212" s="1126">
        <f>IF(ERROR.TYPE(IF(HLOOKUP(A212,maBK,1,0)&lt;&gt;"",#NULL!,"ABC"))&lt;&gt;7,1,0)</f>
        <v>0</v>
      </c>
      <c r="N212" s="712">
        <f ca="1">SUMIF(maBK,$A212,tongBK1)</f>
        <v>0</v>
      </c>
    </row>
    <row r="213" spans="1:14" hidden="1">
      <c r="A213" s="731"/>
      <c r="B213" s="227" t="s">
        <v>818</v>
      </c>
      <c r="C213" s="713" t="str">
        <f>VLOOKUP($B213,R_DG!$A$7:$G$1305,2,0)</f>
        <v>AB.11400</v>
      </c>
      <c r="D213" s="723" t="str">
        <f>VLOOKUP($B213,R_DG!$A$7:$G$1305,3,0)</f>
        <v>Đào hố móng đất cấp 3 sâu &gt;1m, rộng &lt;1m</v>
      </c>
      <c r="E213" s="714" t="str">
        <f>VLOOKUP($B213,R_DG!$A$7:$G$1305,4,0)</f>
        <v>m3</v>
      </c>
      <c r="F213" s="734">
        <v>0.4</v>
      </c>
      <c r="G213" s="608">
        <f>VLOOKUP($B213,R_DG!$A$7:$G$1305,5,0)</f>
        <v>0</v>
      </c>
      <c r="H213" s="608">
        <f>VLOOKUP($B213,R_DG!$A$7:$G$1305,6,0)</f>
        <v>418738.31999999995</v>
      </c>
      <c r="I213" s="608">
        <f>VLOOKUP($B213,R_DG!$A$7:$G$1305,7,0)</f>
        <v>0</v>
      </c>
      <c r="J213" s="608">
        <f t="shared" ref="J213:L237" si="32">G213*$F213</f>
        <v>0</v>
      </c>
      <c r="K213" s="608">
        <f t="shared" si="32"/>
        <v>167495.32799999998</v>
      </c>
      <c r="L213" s="725">
        <f t="shared" si="32"/>
        <v>0</v>
      </c>
      <c r="M213" s="1127">
        <f>IF(F213&gt;0,M$212,0)</f>
        <v>0</v>
      </c>
      <c r="N213" s="727">
        <f ca="1">$F213*N$212</f>
        <v>0</v>
      </c>
    </row>
    <row r="214" spans="1:14" hidden="1">
      <c r="A214" s="696"/>
      <c r="B214" s="226" t="s">
        <v>831</v>
      </c>
      <c r="C214" s="713" t="str">
        <f>VLOOKUP($B214,R_DG!$A$7:$G$1305,2,0)</f>
        <v>AB.13000</v>
      </c>
      <c r="D214" s="723" t="str">
        <f>VLOOKUP($B214,R_DG!$A$7:$G$1305,3,0)</f>
        <v>Đắp đất hố móng, đất cấp 3, k = 0,85</v>
      </c>
      <c r="E214" s="714" t="str">
        <f>VLOOKUP($B214,R_DG!$A$7:$G$1305,4,0)</f>
        <v>m3</v>
      </c>
      <c r="F214" s="724">
        <v>0.4</v>
      </c>
      <c r="G214" s="608">
        <f>VLOOKUP($B214,R_DG!$A$7:$G$1305,5,0)</f>
        <v>0</v>
      </c>
      <c r="H214" s="608">
        <f>VLOOKUP($B214,R_DG!$A$7:$G$1305,6,0)</f>
        <v>100210.88</v>
      </c>
      <c r="I214" s="608">
        <f>VLOOKUP($B214,R_DG!$A$7:$G$1305,7,0)</f>
        <v>0</v>
      </c>
      <c r="J214" s="608">
        <f t="shared" si="32"/>
        <v>0</v>
      </c>
      <c r="K214" s="608">
        <f t="shared" si="32"/>
        <v>40084.352000000006</v>
      </c>
      <c r="L214" s="725">
        <f t="shared" si="32"/>
        <v>0</v>
      </c>
      <c r="M214" s="1127">
        <f>IF(F214&gt;0,M$212,0)</f>
        <v>0</v>
      </c>
      <c r="N214" s="727">
        <f ca="1">$F214*N$212</f>
        <v>0</v>
      </c>
    </row>
    <row r="215" spans="1:14">
      <c r="A215" s="728" t="s">
        <v>2179</v>
      </c>
      <c r="B215" s="729"/>
      <c r="C215" s="717"/>
      <c r="D215" s="718" t="s">
        <v>2180</v>
      </c>
      <c r="E215" s="718" t="s">
        <v>2146</v>
      </c>
      <c r="F215" s="719"/>
      <c r="G215" s="720"/>
      <c r="H215" s="720"/>
      <c r="I215" s="720"/>
      <c r="J215" s="720" t="e">
        <f>SUM(J216:J220)</f>
        <v>#REF!</v>
      </c>
      <c r="K215" s="720">
        <f>SUM(K216:K220)</f>
        <v>990149.49439999973</v>
      </c>
      <c r="L215" s="721">
        <f>SUM(L216:L220)</f>
        <v>0</v>
      </c>
      <c r="M215" s="1126">
        <f>IF(ERROR.TYPE(IF(HLOOKUP(A215,maBK,1,0)&lt;&gt;"",#NULL!,"ABC"))&lt;&gt;7,1,0)</f>
        <v>0</v>
      </c>
      <c r="N215" s="712">
        <f ca="1">SUMIF(maBK,$A215,tongBK1)</f>
        <v>0</v>
      </c>
    </row>
    <row r="216" spans="1:14" hidden="1">
      <c r="A216" s="731"/>
      <c r="B216" s="227" t="s">
        <v>2149</v>
      </c>
      <c r="C216" s="713" t="str">
        <f>VLOOKUP($B216,R_DG!$A$7:$G$1305,2,0)</f>
        <v>04.3801</v>
      </c>
      <c r="D216" s="723" t="str">
        <f>VLOOKUP($B216,R_DG!$A$7:$G$1305,3,0)</f>
        <v>Đà cản BTCT 1,2m</v>
      </c>
      <c r="E216" s="714" t="str">
        <f>VLOOKUP($B216,R_DG!$A$7:$G$1305,4,0)</f>
        <v>cái</v>
      </c>
      <c r="F216" s="734">
        <v>1</v>
      </c>
      <c r="G216" s="608">
        <f>VLOOKUP($B216,R_DG!$A$7:$G$1305,5,0)</f>
        <v>650000</v>
      </c>
      <c r="H216" s="608">
        <f>VLOOKUP($B216,R_DG!$A$7:$G$1305,6,0)</f>
        <v>161119.20000000001</v>
      </c>
      <c r="I216" s="608">
        <f>VLOOKUP($B216,R_DG!$A$7:$G$1305,7,0)</f>
        <v>0</v>
      </c>
      <c r="J216" s="608">
        <f t="shared" si="32"/>
        <v>650000</v>
      </c>
      <c r="K216" s="608">
        <f t="shared" si="32"/>
        <v>161119.20000000001</v>
      </c>
      <c r="L216" s="725">
        <f t="shared" si="32"/>
        <v>0</v>
      </c>
      <c r="M216" s="1127">
        <f>IF(F216&gt;0,M$215,0)</f>
        <v>0</v>
      </c>
      <c r="N216" s="727">
        <f ca="1">$F216*N$215</f>
        <v>0</v>
      </c>
    </row>
    <row r="217" spans="1:14" hidden="1">
      <c r="A217" s="731"/>
      <c r="B217" s="227" t="s">
        <v>2165</v>
      </c>
      <c r="C217" s="713">
        <f>VLOOKUP($B217,R_DG!$A$7:$G$1305,2,0)</f>
        <v>0</v>
      </c>
      <c r="D217" s="723" t="str">
        <f>VLOOKUP($B217,R_DG!$A$7:$G$1305,3,0)</f>
        <v>Boulon 22x650+ 2 long đền vuông D24-50x50x3/Zn</v>
      </c>
      <c r="E217" s="714" t="str">
        <f>VLOOKUP($B217,R_DG!$A$7:$G$1305,4,0)</f>
        <v>bộ</v>
      </c>
      <c r="F217" s="734">
        <v>1</v>
      </c>
      <c r="G217" s="608" t="e">
        <f>VLOOKUP($B217,R_DG!$A$7:$G$1305,5,0)</f>
        <v>#REF!</v>
      </c>
      <c r="H217" s="608">
        <f>VLOOKUP($B217,R_DG!$A$7:$G$1305,6,0)</f>
        <v>0</v>
      </c>
      <c r="I217" s="608">
        <f>VLOOKUP($B217,R_DG!$A$7:$G$1305,7,0)</f>
        <v>0</v>
      </c>
      <c r="J217" s="608" t="e">
        <f t="shared" si="32"/>
        <v>#REF!</v>
      </c>
      <c r="K217" s="608">
        <f t="shared" si="32"/>
        <v>0</v>
      </c>
      <c r="L217" s="725">
        <f t="shared" si="32"/>
        <v>0</v>
      </c>
      <c r="M217" s="1127">
        <f>IF(F217&gt;0,M$215,0)</f>
        <v>0</v>
      </c>
      <c r="N217" s="727">
        <f ca="1">$F217*N$215</f>
        <v>0</v>
      </c>
    </row>
    <row r="218" spans="1:14" hidden="1">
      <c r="A218" s="731"/>
      <c r="B218" s="227" t="str">
        <f>IF(CAPDAT=1,"MDD1",IF(CAPDAT=2,"MDD2",IF(CAPDAT=3,"MDD3",IF(CAPDAT=4,"MDD4"))))</f>
        <v>MDD3</v>
      </c>
      <c r="C218" s="713" t="str">
        <f>VLOOKUP($B218,R_DG!$A$7:$G$1305,2,0)</f>
        <v>AB.11400</v>
      </c>
      <c r="D218" s="723" t="str">
        <f>VLOOKUP($B218,R_DG!$A$7:$G$1305,3,0)</f>
        <v>Đào hố móng đất cấp 3 sâu &gt;1m, rộng &lt;1m</v>
      </c>
      <c r="E218" s="714" t="str">
        <f>VLOOKUP($B218,R_DG!$A$7:$G$1305,4,0)</f>
        <v>m3</v>
      </c>
      <c r="F218" s="734">
        <v>1.64</v>
      </c>
      <c r="G218" s="608">
        <f>VLOOKUP($B218,R_DG!$A$7:$G$1305,5,0)</f>
        <v>0</v>
      </c>
      <c r="H218" s="608">
        <f>VLOOKUP($B218,R_DG!$A$7:$G$1305,6,0)</f>
        <v>418738.31999999995</v>
      </c>
      <c r="I218" s="608">
        <f>VLOOKUP($B218,R_DG!$A$7:$G$1305,7,0)</f>
        <v>0</v>
      </c>
      <c r="J218" s="608">
        <f t="shared" si="32"/>
        <v>0</v>
      </c>
      <c r="K218" s="608">
        <f t="shared" si="32"/>
        <v>686730.84479999985</v>
      </c>
      <c r="L218" s="725">
        <f t="shared" si="32"/>
        <v>0</v>
      </c>
      <c r="M218" s="1127">
        <f>IF(F218&gt;0,M$215,0)</f>
        <v>0</v>
      </c>
      <c r="N218" s="727">
        <f ca="1">$F218*N$215</f>
        <v>0</v>
      </c>
    </row>
    <row r="219" spans="1:14" hidden="1">
      <c r="A219" s="731"/>
      <c r="B219" s="227" t="str">
        <f>IF(CAPDAT=1,"MDAP1",IF(CAPDAT=2,"MDAP2",IF(CAPDAT=3,"MDAP3",IF(CAPDAT=4,"MDAP4"))))</f>
        <v>MDAP3</v>
      </c>
      <c r="C219" s="713" t="str">
        <f>VLOOKUP($B219,R_DG!$A$7:$G$1305,2,0)</f>
        <v>AB.13000</v>
      </c>
      <c r="D219" s="723" t="str">
        <f>VLOOKUP($B219,R_DG!$A$7:$G$1305,3,0)</f>
        <v>Đắp đất hố móng, đất cấp 3, k = 0,85</v>
      </c>
      <c r="E219" s="714" t="str">
        <f>VLOOKUP($B219,R_DG!$A$7:$G$1305,4,0)</f>
        <v>m3</v>
      </c>
      <c r="F219" s="734">
        <v>1.42</v>
      </c>
      <c r="G219" s="608">
        <f>VLOOKUP($B219,R_DG!$A$7:$G$1305,5,0)</f>
        <v>0</v>
      </c>
      <c r="H219" s="608">
        <f>VLOOKUP($B219,R_DG!$A$7:$G$1305,6,0)</f>
        <v>100210.88</v>
      </c>
      <c r="I219" s="608">
        <f>VLOOKUP($B219,R_DG!$A$7:$G$1305,7,0)</f>
        <v>0</v>
      </c>
      <c r="J219" s="608">
        <f t="shared" si="32"/>
        <v>0</v>
      </c>
      <c r="K219" s="608">
        <f t="shared" si="32"/>
        <v>142299.44959999999</v>
      </c>
      <c r="L219" s="725">
        <f t="shared" si="32"/>
        <v>0</v>
      </c>
      <c r="M219" s="1127">
        <f>IF(F219&gt;0,M$215,0)</f>
        <v>0</v>
      </c>
      <c r="N219" s="727">
        <f ca="1">$F219*N$215</f>
        <v>0</v>
      </c>
    </row>
    <row r="220" spans="1:14" hidden="1">
      <c r="A220" s="731"/>
      <c r="B220" s="227" t="s">
        <v>2152</v>
      </c>
      <c r="C220" s="713" t="str">
        <f>VLOOKUP($B220,R_DG!$A$7:$G$1305,2,0)</f>
        <v>02.1123</v>
      </c>
      <c r="D220" s="723" t="str">
        <f>VLOOKUP($B220,R_DG!$A$7:$G$1305,3,0)</f>
        <v>Bốc dỡ đà cản, đế néo</v>
      </c>
      <c r="E220" s="714" t="str">
        <f>VLOOKUP($B220,R_DG!$A$7:$G$1305,4,0)</f>
        <v>tấn</v>
      </c>
      <c r="F220" s="736"/>
      <c r="G220" s="608">
        <f>VLOOKUP($B220,R_DG!$A$7:$G$1305,5,0)</f>
        <v>0</v>
      </c>
      <c r="H220" s="608">
        <f>VLOOKUP($B220,R_DG!$A$7:$G$1305,6,0)</f>
        <v>0</v>
      </c>
      <c r="I220" s="608">
        <f>VLOOKUP($B220,R_DG!$A$7:$G$1305,7,0)</f>
        <v>0</v>
      </c>
      <c r="J220" s="608">
        <f t="shared" si="32"/>
        <v>0</v>
      </c>
      <c r="K220" s="608">
        <f t="shared" si="32"/>
        <v>0</v>
      </c>
      <c r="L220" s="725">
        <f t="shared" si="32"/>
        <v>0</v>
      </c>
      <c r="M220" s="1127">
        <f>IF(F220&gt;0,M$215,0)</f>
        <v>0</v>
      </c>
      <c r="N220" s="727">
        <f ca="1">$F220*N$215</f>
        <v>0</v>
      </c>
    </row>
    <row r="221" spans="1:14">
      <c r="A221" s="728" t="s">
        <v>2342</v>
      </c>
      <c r="B221" s="729"/>
      <c r="C221" s="717"/>
      <c r="D221" s="718" t="s">
        <v>2181</v>
      </c>
      <c r="E221" s="718" t="s">
        <v>2146</v>
      </c>
      <c r="F221" s="719"/>
      <c r="G221" s="720"/>
      <c r="H221" s="720"/>
      <c r="I221" s="720"/>
      <c r="J221" s="720">
        <f>SUM(J222:J237)</f>
        <v>1665439.7890000001</v>
      </c>
      <c r="K221" s="720">
        <f>SUM(K222:K237)</f>
        <v>1021072.0023000001</v>
      </c>
      <c r="L221" s="721">
        <f>SUM(L222:L237)</f>
        <v>0</v>
      </c>
      <c r="M221" s="1126">
        <f>IF(ERROR.TYPE(IF(HLOOKUP(A221,maBK,1,0)&lt;&gt;"",#NULL!,"ABC"))&lt;&gt;7,1,0)</f>
        <v>0</v>
      </c>
      <c r="N221" s="712">
        <f ca="1">SUMIF(maBK,$A221,tongBK1)</f>
        <v>0</v>
      </c>
    </row>
    <row r="222" spans="1:14" hidden="1">
      <c r="A222" s="731"/>
      <c r="B222" s="735" t="s">
        <v>767</v>
      </c>
      <c r="C222" s="713">
        <f>VLOOKUP($B222,R_DG!$A$7:$G$1305,2,0)</f>
        <v>0</v>
      </c>
      <c r="D222" s="723" t="str">
        <f>VLOOKUP($B222,R_DG!$A$7:$G$1305,3,0)</f>
        <v>Ximăng</v>
      </c>
      <c r="E222" s="714" t="str">
        <f>VLOOKUP($B222,R_DG!$A$7:$G$1305,4,0)</f>
        <v>kg</v>
      </c>
      <c r="F222" s="734">
        <v>336</v>
      </c>
      <c r="G222" s="608">
        <f>VLOOKUP($B222,R_DG!$A$7:$G$1305,5,0)</f>
        <v>1800</v>
      </c>
      <c r="H222" s="608">
        <f>VLOOKUP($B222,R_DG!$A$7:$G$1305,6,0)</f>
        <v>0</v>
      </c>
      <c r="I222" s="608">
        <f>VLOOKUP($B222,R_DG!$A$7:$G$1305,7,0)</f>
        <v>0</v>
      </c>
      <c r="J222" s="608">
        <f t="shared" si="32"/>
        <v>604800</v>
      </c>
      <c r="K222" s="608">
        <f t="shared" si="32"/>
        <v>0</v>
      </c>
      <c r="L222" s="725">
        <f t="shared" si="32"/>
        <v>0</v>
      </c>
      <c r="M222" s="1127">
        <f t="shared" ref="M222:M237" si="33">IF(F222&gt;0,M$221,0)</f>
        <v>0</v>
      </c>
      <c r="N222" s="727">
        <f t="shared" ref="N222:N237" ca="1" si="34">$F222*N$221</f>
        <v>0</v>
      </c>
    </row>
    <row r="223" spans="1:14" hidden="1">
      <c r="A223" s="731"/>
      <c r="B223" s="735" t="s">
        <v>762</v>
      </c>
      <c r="C223" s="713">
        <f>VLOOKUP($B223,R_DG!$A$7:$G$1305,2,0)</f>
        <v>0</v>
      </c>
      <c r="D223" s="723" t="str">
        <f>VLOOKUP($B223,R_DG!$A$7:$G$1305,3,0)</f>
        <v>Cát vàng</v>
      </c>
      <c r="E223" s="714" t="str">
        <f>VLOOKUP($B223,R_DG!$A$7:$G$1305,4,0)</f>
        <v>m3</v>
      </c>
      <c r="F223" s="734">
        <v>0.53900000000000003</v>
      </c>
      <c r="G223" s="608">
        <f>VLOOKUP($B223,R_DG!$A$7:$G$1305,5,0)</f>
        <v>320000</v>
      </c>
      <c r="H223" s="608">
        <f>VLOOKUP($B223,R_DG!$A$7:$G$1305,6,0)</f>
        <v>0</v>
      </c>
      <c r="I223" s="608">
        <f>VLOOKUP($B223,R_DG!$A$7:$G$1305,7,0)</f>
        <v>0</v>
      </c>
      <c r="J223" s="608">
        <f t="shared" si="32"/>
        <v>172480</v>
      </c>
      <c r="K223" s="608">
        <f t="shared" si="32"/>
        <v>0</v>
      </c>
      <c r="L223" s="725">
        <f t="shared" si="32"/>
        <v>0</v>
      </c>
      <c r="M223" s="1127">
        <f t="shared" si="33"/>
        <v>0</v>
      </c>
      <c r="N223" s="727">
        <f t="shared" ca="1" si="34"/>
        <v>0</v>
      </c>
    </row>
    <row r="224" spans="1:14" hidden="1">
      <c r="A224" s="731"/>
      <c r="B224" s="735" t="s">
        <v>2159</v>
      </c>
      <c r="C224" s="713">
        <f>VLOOKUP($B224,R_DG!$A$7:$G$1305,2,0)</f>
        <v>0</v>
      </c>
      <c r="D224" s="723" t="str">
        <f>VLOOKUP($B224,R_DG!$A$7:$G$1305,3,0)</f>
        <v>Đá 1x2</v>
      </c>
      <c r="E224" s="714" t="str">
        <f>VLOOKUP($B224,R_DG!$A$7:$G$1305,4,0)</f>
        <v>m3</v>
      </c>
      <c r="F224" s="734">
        <v>0.999</v>
      </c>
      <c r="G224" s="608">
        <f>VLOOKUP($B224,R_DG!$A$7:$G$1305,5,0)</f>
        <v>400000</v>
      </c>
      <c r="H224" s="608">
        <f>VLOOKUP($B224,R_DG!$A$7:$G$1305,6,0)</f>
        <v>0</v>
      </c>
      <c r="I224" s="608">
        <f>VLOOKUP($B224,R_DG!$A$7:$G$1305,7,0)</f>
        <v>0</v>
      </c>
      <c r="J224" s="608">
        <f t="shared" si="32"/>
        <v>399600</v>
      </c>
      <c r="K224" s="608">
        <f t="shared" si="32"/>
        <v>0</v>
      </c>
      <c r="L224" s="725">
        <f t="shared" si="32"/>
        <v>0</v>
      </c>
      <c r="M224" s="1127">
        <f t="shared" si="33"/>
        <v>0</v>
      </c>
      <c r="N224" s="727">
        <f t="shared" ca="1" si="34"/>
        <v>0</v>
      </c>
    </row>
    <row r="225" spans="1:14" hidden="1">
      <c r="A225" s="731"/>
      <c r="B225" s="735" t="s">
        <v>2173</v>
      </c>
      <c r="C225" s="713">
        <f>VLOOKUP($B225,R_DG!$A$7:$G$1305,2,0)</f>
        <v>0</v>
      </c>
      <c r="D225" s="723" t="str">
        <f>VLOOKUP($B225,R_DG!$A$7:$G$1305,3,0)</f>
        <v>Sắt  φ10</v>
      </c>
      <c r="E225" s="714" t="str">
        <f>VLOOKUP($B225,R_DG!$A$7:$G$1305,4,0)</f>
        <v>kg</v>
      </c>
      <c r="F225" s="734">
        <v>31.1</v>
      </c>
      <c r="G225" s="608">
        <f>VLOOKUP($B225,R_DG!$A$7:$G$1305,5,0)</f>
        <v>14545</v>
      </c>
      <c r="H225" s="608">
        <f>VLOOKUP($B225,R_DG!$A$7:$G$1305,6,0)</f>
        <v>0</v>
      </c>
      <c r="I225" s="608">
        <f>VLOOKUP($B225,R_DG!$A$7:$G$1305,7,0)</f>
        <v>0</v>
      </c>
      <c r="J225" s="608">
        <f t="shared" si="32"/>
        <v>452349.5</v>
      </c>
      <c r="K225" s="608">
        <f t="shared" si="32"/>
        <v>0</v>
      </c>
      <c r="L225" s="725">
        <f t="shared" si="32"/>
        <v>0</v>
      </c>
      <c r="M225" s="1127">
        <f t="shared" si="33"/>
        <v>0</v>
      </c>
      <c r="N225" s="727">
        <f t="shared" ca="1" si="34"/>
        <v>0</v>
      </c>
    </row>
    <row r="226" spans="1:14" hidden="1">
      <c r="A226" s="731"/>
      <c r="B226" s="735" t="s">
        <v>2174</v>
      </c>
      <c r="C226" s="713">
        <f>VLOOKUP($B226,R_DG!$A$7:$G$1305,2,0)</f>
        <v>0</v>
      </c>
      <c r="D226" s="723" t="str">
        <f>VLOOKUP($B226,R_DG!$A$7:$G$1305,3,0)</f>
        <v>Kẽm</v>
      </c>
      <c r="E226" s="714" t="str">
        <f>VLOOKUP($B226,R_DG!$A$7:$G$1305,4,0)</f>
        <v>kg</v>
      </c>
      <c r="F226" s="734">
        <v>0.67</v>
      </c>
      <c r="G226" s="608">
        <f>VLOOKUP($B226,R_DG!$A$7:$G$1305,5,0)</f>
        <v>35200</v>
      </c>
      <c r="H226" s="608">
        <f>VLOOKUP($B226,R_DG!$A$7:$G$1305,6,0)</f>
        <v>0</v>
      </c>
      <c r="I226" s="608">
        <f>VLOOKUP($B226,R_DG!$A$7:$G$1305,7,0)</f>
        <v>0</v>
      </c>
      <c r="J226" s="608">
        <f t="shared" si="32"/>
        <v>23584</v>
      </c>
      <c r="K226" s="608">
        <f t="shared" si="32"/>
        <v>0</v>
      </c>
      <c r="L226" s="725">
        <f t="shared" si="32"/>
        <v>0</v>
      </c>
      <c r="M226" s="1127">
        <f t="shared" si="33"/>
        <v>0</v>
      </c>
      <c r="N226" s="727">
        <f t="shared" ca="1" si="34"/>
        <v>0</v>
      </c>
    </row>
    <row r="227" spans="1:14" hidden="1">
      <c r="A227" s="731"/>
      <c r="B227" s="735" t="s">
        <v>818</v>
      </c>
      <c r="C227" s="713" t="str">
        <f>VLOOKUP($B227,R_DG!$A$7:$G$1305,2,0)</f>
        <v>AB.11400</v>
      </c>
      <c r="D227" s="723" t="str">
        <f>VLOOKUP($B227,R_DG!$A$7:$G$1305,3,0)</f>
        <v>Đào hố móng đất cấp 3 sâu &gt;1m, rộng &lt;1m</v>
      </c>
      <c r="E227" s="714" t="str">
        <f>VLOOKUP($B227,R_DG!$A$7:$G$1305,4,0)</f>
        <v>m3</v>
      </c>
      <c r="F227" s="734">
        <v>1.36</v>
      </c>
      <c r="G227" s="608">
        <f>VLOOKUP($B227,R_DG!$A$7:$G$1305,5,0)</f>
        <v>0</v>
      </c>
      <c r="H227" s="608">
        <f>VLOOKUP($B227,R_DG!$A$7:$G$1305,6,0)</f>
        <v>418738.31999999995</v>
      </c>
      <c r="I227" s="608">
        <f>VLOOKUP($B227,R_DG!$A$7:$G$1305,7,0)</f>
        <v>0</v>
      </c>
      <c r="J227" s="608">
        <f t="shared" si="32"/>
        <v>0</v>
      </c>
      <c r="K227" s="608">
        <f t="shared" si="32"/>
        <v>569484.1152</v>
      </c>
      <c r="L227" s="725">
        <f t="shared" si="32"/>
        <v>0</v>
      </c>
      <c r="M227" s="1127">
        <f t="shared" si="33"/>
        <v>0</v>
      </c>
      <c r="N227" s="727">
        <f t="shared" ca="1" si="34"/>
        <v>0</v>
      </c>
    </row>
    <row r="228" spans="1:14" hidden="1">
      <c r="A228" s="731"/>
      <c r="B228" s="735" t="s">
        <v>831</v>
      </c>
      <c r="C228" s="713" t="str">
        <f>VLOOKUP($B228,R_DG!$A$7:$G$1305,2,0)</f>
        <v>AB.13000</v>
      </c>
      <c r="D228" s="723" t="str">
        <f>VLOOKUP($B228,R_DG!$A$7:$G$1305,3,0)</f>
        <v>Đắp đất hố móng, đất cấp 3, k = 0,85</v>
      </c>
      <c r="E228" s="714" t="str">
        <f>VLOOKUP($B228,R_DG!$A$7:$G$1305,4,0)</f>
        <v>m3</v>
      </c>
      <c r="F228" s="734">
        <v>0</v>
      </c>
      <c r="G228" s="608">
        <f>VLOOKUP($B228,R_DG!$A$7:$G$1305,5,0)</f>
        <v>0</v>
      </c>
      <c r="H228" s="608">
        <f>VLOOKUP($B228,R_DG!$A$7:$G$1305,6,0)</f>
        <v>100210.88</v>
      </c>
      <c r="I228" s="608">
        <f>VLOOKUP($B228,R_DG!$A$7:$G$1305,7,0)</f>
        <v>0</v>
      </c>
      <c r="J228" s="608">
        <f t="shared" si="32"/>
        <v>0</v>
      </c>
      <c r="K228" s="608">
        <f t="shared" si="32"/>
        <v>0</v>
      </c>
      <c r="L228" s="725">
        <f t="shared" si="32"/>
        <v>0</v>
      </c>
      <c r="M228" s="1127">
        <f t="shared" si="33"/>
        <v>0</v>
      </c>
      <c r="N228" s="727">
        <f t="shared" ca="1" si="34"/>
        <v>0</v>
      </c>
    </row>
    <row r="229" spans="1:14" hidden="1">
      <c r="A229" s="731"/>
      <c r="B229" s="735" t="s">
        <v>1116</v>
      </c>
      <c r="C229" s="713" t="str">
        <f>VLOOKUP($B229,R_DG!$A$7:$G$1305,2,0)</f>
        <v>02.1101</v>
      </c>
      <c r="D229" s="723" t="str">
        <f>VLOOKUP($B229,R_DG!$A$7:$G$1305,3,0)</f>
        <v>Bốc dỡ xi măng</v>
      </c>
      <c r="E229" s="714" t="str">
        <f>VLOOKUP($B229,R_DG!$A$7:$G$1305,4,0)</f>
        <v>tấn</v>
      </c>
      <c r="F229" s="736"/>
      <c r="G229" s="608">
        <f>VLOOKUP($B229,R_DG!$A$7:$G$1305,5,0)</f>
        <v>0</v>
      </c>
      <c r="H229" s="608">
        <f>VLOOKUP($B229,R_DG!$A$7:$G$1305,6,0)</f>
        <v>0</v>
      </c>
      <c r="I229" s="608">
        <f>VLOOKUP($B229,R_DG!$A$7:$G$1305,7,0)</f>
        <v>0</v>
      </c>
      <c r="J229" s="608">
        <f t="shared" si="32"/>
        <v>0</v>
      </c>
      <c r="K229" s="608">
        <f t="shared" si="32"/>
        <v>0</v>
      </c>
      <c r="L229" s="725">
        <f t="shared" si="32"/>
        <v>0</v>
      </c>
      <c r="M229" s="1127">
        <f t="shared" si="33"/>
        <v>0</v>
      </c>
      <c r="N229" s="727">
        <f t="shared" ca="1" si="34"/>
        <v>0</v>
      </c>
    </row>
    <row r="230" spans="1:14" hidden="1">
      <c r="A230" s="731"/>
      <c r="B230" s="735" t="s">
        <v>1119</v>
      </c>
      <c r="C230" s="713" t="str">
        <f>VLOOKUP($B230,R_DG!$A$7:$G$1305,2,0)</f>
        <v>02.1103</v>
      </c>
      <c r="D230" s="723" t="str">
        <f>VLOOKUP($B230,R_DG!$A$7:$G$1305,3,0)</f>
        <v>Bốc dỡ cát</v>
      </c>
      <c r="E230" s="714" t="str">
        <f>VLOOKUP($B230,R_DG!$A$7:$G$1305,4,0)</f>
        <v>m3</v>
      </c>
      <c r="F230" s="736"/>
      <c r="G230" s="608">
        <f>VLOOKUP($B230,R_DG!$A$7:$G$1305,5,0)</f>
        <v>0</v>
      </c>
      <c r="H230" s="608">
        <f>VLOOKUP($B230,R_DG!$A$7:$G$1305,6,0)</f>
        <v>0</v>
      </c>
      <c r="I230" s="608">
        <f>VLOOKUP($B230,R_DG!$A$7:$G$1305,7,0)</f>
        <v>0</v>
      </c>
      <c r="J230" s="608">
        <f t="shared" si="32"/>
        <v>0</v>
      </c>
      <c r="K230" s="608">
        <f t="shared" si="32"/>
        <v>0</v>
      </c>
      <c r="L230" s="725">
        <f t="shared" si="32"/>
        <v>0</v>
      </c>
      <c r="M230" s="1127">
        <f t="shared" si="33"/>
        <v>0</v>
      </c>
      <c r="N230" s="727">
        <f t="shared" ca="1" si="34"/>
        <v>0</v>
      </c>
    </row>
    <row r="231" spans="1:14" hidden="1">
      <c r="A231" s="731"/>
      <c r="B231" s="735" t="s">
        <v>1122</v>
      </c>
      <c r="C231" s="713" t="str">
        <f>VLOOKUP($B231,R_DG!$A$7:$G$1305,2,0)</f>
        <v>02.1104</v>
      </c>
      <c r="D231" s="723" t="str">
        <f>VLOOKUP($B231,R_DG!$A$7:$G$1305,3,0)</f>
        <v>Bốc dỡ đá dăm</v>
      </c>
      <c r="E231" s="714" t="str">
        <f>VLOOKUP($B231,R_DG!$A$7:$G$1305,4,0)</f>
        <v>m3</v>
      </c>
      <c r="F231" s="736"/>
      <c r="G231" s="608">
        <f>VLOOKUP($B231,R_DG!$A$7:$G$1305,5,0)</f>
        <v>0</v>
      </c>
      <c r="H231" s="608">
        <f>VLOOKUP($B231,R_DG!$A$7:$G$1305,6,0)</f>
        <v>0</v>
      </c>
      <c r="I231" s="608">
        <f>VLOOKUP($B231,R_DG!$A$7:$G$1305,7,0)</f>
        <v>0</v>
      </c>
      <c r="J231" s="608">
        <f t="shared" si="32"/>
        <v>0</v>
      </c>
      <c r="K231" s="608">
        <f t="shared" si="32"/>
        <v>0</v>
      </c>
      <c r="L231" s="725">
        <f t="shared" si="32"/>
        <v>0</v>
      </c>
      <c r="M231" s="1127">
        <f t="shared" si="33"/>
        <v>0</v>
      </c>
      <c r="N231" s="727">
        <f t="shared" ca="1" si="34"/>
        <v>0</v>
      </c>
    </row>
    <row r="232" spans="1:14" hidden="1">
      <c r="A232" s="731"/>
      <c r="B232" s="735" t="s">
        <v>1027</v>
      </c>
      <c r="C232" s="713" t="str">
        <f>VLOOKUP($B232,R_DG!$A$7:$G$1305,2,0)</f>
        <v>02.1211</v>
      </c>
      <c r="D232" s="723" t="str">
        <f>VLOOKUP($B232,R_DG!$A$7:$G$1305,3,0)</f>
        <v>V/c xi măng ( cự ly &lt;=100m)</v>
      </c>
      <c r="E232" s="714" t="str">
        <f>VLOOKUP($B232,R_DG!$A$7:$G$1305,4,0)</f>
        <v>tấn</v>
      </c>
      <c r="F232" s="736"/>
      <c r="G232" s="608">
        <f>VLOOKUP($B232,R_DG!$A$7:$G$1305,5,0)</f>
        <v>0</v>
      </c>
      <c r="H232" s="608">
        <f>VLOOKUP($B232,R_DG!$A$7:$G$1305,6,0)</f>
        <v>0</v>
      </c>
      <c r="I232" s="608">
        <f>VLOOKUP($B232,R_DG!$A$7:$G$1305,7,0)</f>
        <v>0</v>
      </c>
      <c r="J232" s="608">
        <f t="shared" si="32"/>
        <v>0</v>
      </c>
      <c r="K232" s="608">
        <f t="shared" si="32"/>
        <v>0</v>
      </c>
      <c r="L232" s="725">
        <f t="shared" si="32"/>
        <v>0</v>
      </c>
      <c r="M232" s="1127">
        <f t="shared" si="33"/>
        <v>0</v>
      </c>
      <c r="N232" s="727">
        <f t="shared" ca="1" si="34"/>
        <v>0</v>
      </c>
    </row>
    <row r="233" spans="1:14" hidden="1">
      <c r="A233" s="731"/>
      <c r="B233" s="735" t="s">
        <v>1072</v>
      </c>
      <c r="C233" s="713" t="str">
        <f>VLOOKUP($B233,R_DG!$A$7:$G$1305,2,0)</f>
        <v>02.1231</v>
      </c>
      <c r="D233" s="723" t="str">
        <f>VLOOKUP($B233,R_DG!$A$7:$G$1305,3,0)</f>
        <v>V/c cát vàng cự ly &lt;=100m</v>
      </c>
      <c r="E233" s="714" t="str">
        <f>VLOOKUP($B233,R_DG!$A$7:$G$1305,4,0)</f>
        <v>m3</v>
      </c>
      <c r="F233" s="736"/>
      <c r="G233" s="608">
        <f>VLOOKUP($B233,R_DG!$A$7:$G$1305,5,0)</f>
        <v>0</v>
      </c>
      <c r="H233" s="608">
        <f>VLOOKUP($B233,R_DG!$A$7:$G$1305,6,0)</f>
        <v>0</v>
      </c>
      <c r="I233" s="608">
        <f>VLOOKUP($B233,R_DG!$A$7:$G$1305,7,0)</f>
        <v>0</v>
      </c>
      <c r="J233" s="608">
        <f t="shared" si="32"/>
        <v>0</v>
      </c>
      <c r="K233" s="608">
        <f t="shared" si="32"/>
        <v>0</v>
      </c>
      <c r="L233" s="725">
        <f t="shared" si="32"/>
        <v>0</v>
      </c>
      <c r="M233" s="1127">
        <f t="shared" si="33"/>
        <v>0</v>
      </c>
      <c r="N233" s="727">
        <f t="shared" ca="1" si="34"/>
        <v>0</v>
      </c>
    </row>
    <row r="234" spans="1:14" hidden="1">
      <c r="A234" s="731"/>
      <c r="B234" s="735" t="s">
        <v>1039</v>
      </c>
      <c r="C234" s="713" t="str">
        <f>VLOOKUP($B234,R_DG!$A$7:$G$1305,2,0)</f>
        <v>02.1241</v>
      </c>
      <c r="D234" s="723" t="str">
        <f>VLOOKUP($B234,R_DG!$A$7:$G$1305,3,0)</f>
        <v>V/c đá dăm ( cự ly &lt;=100m)</v>
      </c>
      <c r="E234" s="714" t="str">
        <f>VLOOKUP($B234,R_DG!$A$7:$G$1305,4,0)</f>
        <v>m3</v>
      </c>
      <c r="F234" s="736"/>
      <c r="G234" s="608">
        <f>VLOOKUP($B234,R_DG!$A$7:$G$1305,5,0)</f>
        <v>0</v>
      </c>
      <c r="H234" s="608">
        <f>VLOOKUP($B234,R_DG!$A$7:$G$1305,6,0)</f>
        <v>0</v>
      </c>
      <c r="I234" s="608">
        <f>VLOOKUP($B234,R_DG!$A$7:$G$1305,7,0)</f>
        <v>0</v>
      </c>
      <c r="J234" s="608">
        <f t="shared" si="32"/>
        <v>0</v>
      </c>
      <c r="K234" s="608">
        <f t="shared" si="32"/>
        <v>0</v>
      </c>
      <c r="L234" s="725">
        <f t="shared" si="32"/>
        <v>0</v>
      </c>
      <c r="M234" s="1127">
        <f t="shared" si="33"/>
        <v>0</v>
      </c>
      <c r="N234" s="727">
        <f t="shared" ca="1" si="34"/>
        <v>0</v>
      </c>
    </row>
    <row r="235" spans="1:14" hidden="1">
      <c r="A235" s="731"/>
      <c r="B235" s="735" t="s">
        <v>991</v>
      </c>
      <c r="C235" s="713" t="str">
        <f>VLOOKUP($B235,R_DG!$A$7:$G$1305,2,0)</f>
        <v>02.1482</v>
      </c>
      <c r="D235" s="723" t="str">
        <f>VLOOKUP($B235,R_DG!$A$7:$G$1305,3,0)</f>
        <v>V/c dụng cụ thi công ( cự ly &lt;=100m)</v>
      </c>
      <c r="E235" s="714" t="str">
        <f>VLOOKUP($B235,R_DG!$A$7:$G$1305,4,0)</f>
        <v>tấn</v>
      </c>
      <c r="F235" s="736"/>
      <c r="G235" s="608">
        <f>VLOOKUP($B235,R_DG!$A$7:$G$1305,5,0)</f>
        <v>0</v>
      </c>
      <c r="H235" s="608">
        <f>VLOOKUP($B235,R_DG!$A$7:$G$1305,6,0)</f>
        <v>0</v>
      </c>
      <c r="I235" s="608">
        <f>VLOOKUP($B235,R_DG!$A$7:$G$1305,7,0)</f>
        <v>0</v>
      </c>
      <c r="J235" s="608">
        <f t="shared" si="32"/>
        <v>0</v>
      </c>
      <c r="K235" s="608">
        <f t="shared" si="32"/>
        <v>0</v>
      </c>
      <c r="L235" s="725">
        <f t="shared" si="32"/>
        <v>0</v>
      </c>
      <c r="M235" s="1127">
        <f t="shared" si="33"/>
        <v>0</v>
      </c>
      <c r="N235" s="727">
        <f t="shared" ca="1" si="34"/>
        <v>0</v>
      </c>
    </row>
    <row r="236" spans="1:14" hidden="1">
      <c r="A236" s="731"/>
      <c r="B236" s="735" t="s">
        <v>2175</v>
      </c>
      <c r="C236" s="713" t="str">
        <f>VLOOKUP($B236,R_DG!$A$7:$G$1305,2,0)</f>
        <v>04.1101</v>
      </c>
      <c r="D236" s="723" t="str">
        <f>VLOOKUP($B236,R_DG!$A$7:$G$1305,3,0)</f>
        <v>Gia công và lắp dựng cốt thép D&lt;=10</v>
      </c>
      <c r="E236" s="714" t="str">
        <f>VLOOKUP($B236,R_DG!$A$7:$G$1305,4,0)</f>
        <v>kg</v>
      </c>
      <c r="F236" s="734">
        <f>F225</f>
        <v>31.1</v>
      </c>
      <c r="G236" s="608">
        <f>VLOOKUP($B236,R_DG!$A$7:$G$1305,5,0)</f>
        <v>405.99</v>
      </c>
      <c r="H236" s="608">
        <f>VLOOKUP($B236,R_DG!$A$7:$G$1305,6,0)</f>
        <v>0</v>
      </c>
      <c r="I236" s="608">
        <f>VLOOKUP($B236,R_DG!$A$7:$G$1305,7,0)</f>
        <v>0</v>
      </c>
      <c r="J236" s="608">
        <f t="shared" si="32"/>
        <v>12626.289000000001</v>
      </c>
      <c r="K236" s="608">
        <f t="shared" si="32"/>
        <v>0</v>
      </c>
      <c r="L236" s="725">
        <f t="shared" si="32"/>
        <v>0</v>
      </c>
      <c r="M236" s="1127">
        <f t="shared" si="33"/>
        <v>0</v>
      </c>
      <c r="N236" s="727">
        <f t="shared" ca="1" si="34"/>
        <v>0</v>
      </c>
    </row>
    <row r="237" spans="1:14" hidden="1">
      <c r="A237" s="731"/>
      <c r="B237" s="735" t="s">
        <v>1245</v>
      </c>
      <c r="C237" s="713" t="str">
        <f>VLOOKUP($B237,R_DG!$A$7:$G$1305,2,0)</f>
        <v>AF112.20</v>
      </c>
      <c r="D237" s="723" t="str">
        <f>VLOOKUP($B237,R_DG!$A$7:$G$1305,3,0)</f>
        <v>Đổ bê tông mác M150 đá 1x2</v>
      </c>
      <c r="E237" s="714" t="str">
        <f>VLOOKUP($B237,R_DG!$A$7:$G$1305,4,0)</f>
        <v>m3</v>
      </c>
      <c r="F237" s="734">
        <v>1.1339999999999999</v>
      </c>
      <c r="G237" s="608">
        <f>VLOOKUP($B237,R_DG!$A$7:$G$1305,5,0)</f>
        <v>0</v>
      </c>
      <c r="H237" s="608">
        <f>VLOOKUP($B237,R_DG!$A$7:$G$1305,6,0)</f>
        <v>398225.65</v>
      </c>
      <c r="I237" s="608">
        <f>VLOOKUP($B237,R_DG!$A$7:$G$1305,7,0)</f>
        <v>0</v>
      </c>
      <c r="J237" s="608">
        <f t="shared" si="32"/>
        <v>0</v>
      </c>
      <c r="K237" s="608">
        <f t="shared" si="32"/>
        <v>451587.88709999999</v>
      </c>
      <c r="L237" s="725">
        <f t="shared" si="32"/>
        <v>0</v>
      </c>
      <c r="M237" s="1127">
        <f t="shared" si="33"/>
        <v>0</v>
      </c>
      <c r="N237" s="727">
        <f t="shared" ca="1" si="34"/>
        <v>0</v>
      </c>
    </row>
    <row r="238" spans="1:14">
      <c r="A238" s="728" t="s">
        <v>2550</v>
      </c>
      <c r="B238" s="729"/>
      <c r="C238" s="717"/>
      <c r="D238" s="718" t="s">
        <v>2564</v>
      </c>
      <c r="E238" s="718" t="s">
        <v>2146</v>
      </c>
      <c r="F238" s="719"/>
      <c r="G238" s="720"/>
      <c r="H238" s="720"/>
      <c r="I238" s="720"/>
      <c r="J238" s="720" t="e">
        <f>SUM(J239:J257)</f>
        <v>#REF!</v>
      </c>
      <c r="K238" s="720">
        <f>SUM(K239:K257)</f>
        <v>1021072.0023000001</v>
      </c>
      <c r="L238" s="721">
        <f>SUM(L239:L257)</f>
        <v>0</v>
      </c>
      <c r="M238" s="1126">
        <f>IF(ERROR.TYPE(IF(HLOOKUP(A238,maBK,1,0)&lt;&gt;"",#NULL!,"ABC"))&lt;&gt;7,1,0)</f>
        <v>0</v>
      </c>
      <c r="N238" s="712">
        <f ca="1">SUMIF(maBK,$A238,tongBK1)</f>
        <v>0</v>
      </c>
    </row>
    <row r="239" spans="1:14" hidden="1">
      <c r="A239" s="731"/>
      <c r="B239" s="735" t="s">
        <v>767</v>
      </c>
      <c r="C239" s="713">
        <f>VLOOKUP($B239,R_DG!$A$7:$G$1305,2,0)</f>
        <v>0</v>
      </c>
      <c r="D239" s="723" t="str">
        <f>VLOOKUP($B239,R_DG!$A$7:$G$1305,3,0)</f>
        <v>Ximăng</v>
      </c>
      <c r="E239" s="714" t="str">
        <f>VLOOKUP($B239,R_DG!$A$7:$G$1305,4,0)</f>
        <v>kg</v>
      </c>
      <c r="F239" s="734">
        <v>336</v>
      </c>
      <c r="G239" s="608">
        <f>VLOOKUP($B239,R_DG!$A$7:$G$1305,5,0)</f>
        <v>1800</v>
      </c>
      <c r="H239" s="608">
        <f>VLOOKUP($B239,R_DG!$A$7:$G$1305,6,0)</f>
        <v>0</v>
      </c>
      <c r="I239" s="608">
        <f>VLOOKUP($B239,R_DG!$A$7:$G$1305,7,0)</f>
        <v>0</v>
      </c>
      <c r="J239" s="608">
        <f t="shared" ref="J239:L257" si="35">G239*$F239</f>
        <v>604800</v>
      </c>
      <c r="K239" s="608">
        <f t="shared" si="35"/>
        <v>0</v>
      </c>
      <c r="L239" s="725">
        <f t="shared" si="35"/>
        <v>0</v>
      </c>
      <c r="M239" s="1127">
        <f>IF(F239&gt;0,M$238,0)</f>
        <v>0</v>
      </c>
      <c r="N239" s="727">
        <f t="shared" ref="N239:N245" ca="1" si="36">$F239*N$238</f>
        <v>0</v>
      </c>
    </row>
    <row r="240" spans="1:14" hidden="1">
      <c r="A240" s="731"/>
      <c r="B240" s="735" t="s">
        <v>762</v>
      </c>
      <c r="C240" s="713">
        <f>VLOOKUP($B240,R_DG!$A$7:$G$1305,2,0)</f>
        <v>0</v>
      </c>
      <c r="D240" s="723" t="str">
        <f>VLOOKUP($B240,R_DG!$A$7:$G$1305,3,0)</f>
        <v>Cát vàng</v>
      </c>
      <c r="E240" s="714" t="str">
        <f>VLOOKUP($B240,R_DG!$A$7:$G$1305,4,0)</f>
        <v>m3</v>
      </c>
      <c r="F240" s="734">
        <v>0.53900000000000003</v>
      </c>
      <c r="G240" s="608">
        <f>VLOOKUP($B240,R_DG!$A$7:$G$1305,5,0)</f>
        <v>320000</v>
      </c>
      <c r="H240" s="608">
        <f>VLOOKUP($B240,R_DG!$A$7:$G$1305,6,0)</f>
        <v>0</v>
      </c>
      <c r="I240" s="608">
        <f>VLOOKUP($B240,R_DG!$A$7:$G$1305,7,0)</f>
        <v>0</v>
      </c>
      <c r="J240" s="608">
        <f t="shared" si="35"/>
        <v>172480</v>
      </c>
      <c r="K240" s="608">
        <f t="shared" si="35"/>
        <v>0</v>
      </c>
      <c r="L240" s="725">
        <f t="shared" si="35"/>
        <v>0</v>
      </c>
      <c r="M240" s="1127">
        <f t="shared" ref="M240:M257" si="37">IF(F240&gt;0,M$238,0)</f>
        <v>0</v>
      </c>
      <c r="N240" s="727">
        <f t="shared" ca="1" si="36"/>
        <v>0</v>
      </c>
    </row>
    <row r="241" spans="1:14" hidden="1">
      <c r="A241" s="731"/>
      <c r="B241" s="735" t="s">
        <v>2159</v>
      </c>
      <c r="C241" s="713">
        <f>VLOOKUP($B241,R_DG!$A$7:$G$1305,2,0)</f>
        <v>0</v>
      </c>
      <c r="D241" s="723" t="str">
        <f>VLOOKUP($B241,R_DG!$A$7:$G$1305,3,0)</f>
        <v>Đá 1x2</v>
      </c>
      <c r="E241" s="714" t="str">
        <f>VLOOKUP($B241,R_DG!$A$7:$G$1305,4,0)</f>
        <v>m3</v>
      </c>
      <c r="F241" s="734">
        <v>0.999</v>
      </c>
      <c r="G241" s="608">
        <f>VLOOKUP($B241,R_DG!$A$7:$G$1305,5,0)</f>
        <v>400000</v>
      </c>
      <c r="H241" s="608">
        <f>VLOOKUP($B241,R_DG!$A$7:$G$1305,6,0)</f>
        <v>0</v>
      </c>
      <c r="I241" s="608">
        <f>VLOOKUP($B241,R_DG!$A$7:$G$1305,7,0)</f>
        <v>0</v>
      </c>
      <c r="J241" s="608">
        <f t="shared" si="35"/>
        <v>399600</v>
      </c>
      <c r="K241" s="608">
        <f t="shared" si="35"/>
        <v>0</v>
      </c>
      <c r="L241" s="725">
        <f t="shared" si="35"/>
        <v>0</v>
      </c>
      <c r="M241" s="1127">
        <f t="shared" si="37"/>
        <v>0</v>
      </c>
      <c r="N241" s="727">
        <f t="shared" ca="1" si="36"/>
        <v>0</v>
      </c>
    </row>
    <row r="242" spans="1:14" hidden="1">
      <c r="A242" s="731"/>
      <c r="B242" s="735" t="s">
        <v>2173</v>
      </c>
      <c r="C242" s="713">
        <f>VLOOKUP($B242,R_DG!$A$7:$G$1305,2,0)</f>
        <v>0</v>
      </c>
      <c r="D242" s="723" t="str">
        <f>VLOOKUP($B242,R_DG!$A$7:$G$1305,3,0)</f>
        <v>Sắt  φ10</v>
      </c>
      <c r="E242" s="714" t="str">
        <f>VLOOKUP($B242,R_DG!$A$7:$G$1305,4,0)</f>
        <v>kg</v>
      </c>
      <c r="F242" s="734">
        <v>31.1</v>
      </c>
      <c r="G242" s="608">
        <f>VLOOKUP($B242,R_DG!$A$7:$G$1305,5,0)</f>
        <v>14545</v>
      </c>
      <c r="H242" s="608">
        <f>VLOOKUP($B242,R_DG!$A$7:$G$1305,6,0)</f>
        <v>0</v>
      </c>
      <c r="I242" s="608">
        <f>VLOOKUP($B242,R_DG!$A$7:$G$1305,7,0)</f>
        <v>0</v>
      </c>
      <c r="J242" s="608">
        <f t="shared" si="35"/>
        <v>452349.5</v>
      </c>
      <c r="K242" s="608">
        <f t="shared" si="35"/>
        <v>0</v>
      </c>
      <c r="L242" s="725">
        <f t="shared" si="35"/>
        <v>0</v>
      </c>
      <c r="M242" s="1127">
        <f t="shared" si="37"/>
        <v>0</v>
      </c>
      <c r="N242" s="727">
        <f t="shared" ca="1" si="36"/>
        <v>0</v>
      </c>
    </row>
    <row r="243" spans="1:14" hidden="1">
      <c r="A243" s="731"/>
      <c r="B243" s="735" t="s">
        <v>2174</v>
      </c>
      <c r="C243" s="713">
        <f>VLOOKUP($B243,R_DG!$A$7:$G$1305,2,0)</f>
        <v>0</v>
      </c>
      <c r="D243" s="723" t="str">
        <f>VLOOKUP($B243,R_DG!$A$7:$G$1305,3,0)</f>
        <v>Kẽm</v>
      </c>
      <c r="E243" s="714" t="str">
        <f>VLOOKUP($B243,R_DG!$A$7:$G$1305,4,0)</f>
        <v>kg</v>
      </c>
      <c r="F243" s="734">
        <v>0.67</v>
      </c>
      <c r="G243" s="608">
        <f>VLOOKUP($B243,R_DG!$A$7:$G$1305,5,0)</f>
        <v>35200</v>
      </c>
      <c r="H243" s="608">
        <f>VLOOKUP($B243,R_DG!$A$7:$G$1305,6,0)</f>
        <v>0</v>
      </c>
      <c r="I243" s="608">
        <f>VLOOKUP($B243,R_DG!$A$7:$G$1305,7,0)</f>
        <v>0</v>
      </c>
      <c r="J243" s="608">
        <f t="shared" si="35"/>
        <v>23584</v>
      </c>
      <c r="K243" s="608">
        <f t="shared" si="35"/>
        <v>0</v>
      </c>
      <c r="L243" s="725">
        <f t="shared" si="35"/>
        <v>0</v>
      </c>
      <c r="M243" s="1127">
        <f t="shared" si="37"/>
        <v>0</v>
      </c>
      <c r="N243" s="727">
        <f t="shared" ca="1" si="36"/>
        <v>0</v>
      </c>
    </row>
    <row r="244" spans="1:14" hidden="1">
      <c r="A244" s="731"/>
      <c r="B244" s="735" t="s">
        <v>818</v>
      </c>
      <c r="C244" s="713" t="str">
        <f>VLOOKUP($B244,R_DG!$A$7:$G$1305,2,0)</f>
        <v>AB.11400</v>
      </c>
      <c r="D244" s="723" t="str">
        <f>VLOOKUP($B244,R_DG!$A$7:$G$1305,3,0)</f>
        <v>Đào hố móng đất cấp 3 sâu &gt;1m, rộng &lt;1m</v>
      </c>
      <c r="E244" s="714" t="str">
        <f>VLOOKUP($B244,R_DG!$A$7:$G$1305,4,0)</f>
        <v>m3</v>
      </c>
      <c r="F244" s="734">
        <v>1.36</v>
      </c>
      <c r="G244" s="608">
        <f>VLOOKUP($B244,R_DG!$A$7:$G$1305,5,0)</f>
        <v>0</v>
      </c>
      <c r="H244" s="608">
        <f>VLOOKUP($B244,R_DG!$A$7:$G$1305,6,0)</f>
        <v>418738.31999999995</v>
      </c>
      <c r="I244" s="608">
        <f>VLOOKUP($B244,R_DG!$A$7:$G$1305,7,0)</f>
        <v>0</v>
      </c>
      <c r="J244" s="608">
        <f t="shared" si="35"/>
        <v>0</v>
      </c>
      <c r="K244" s="608">
        <f t="shared" si="35"/>
        <v>569484.1152</v>
      </c>
      <c r="L244" s="725">
        <f t="shared" si="35"/>
        <v>0</v>
      </c>
      <c r="M244" s="1127">
        <f t="shared" si="37"/>
        <v>0</v>
      </c>
      <c r="N244" s="727">
        <f t="shared" ca="1" si="36"/>
        <v>0</v>
      </c>
    </row>
    <row r="245" spans="1:14" hidden="1">
      <c r="A245" s="731"/>
      <c r="B245" s="735" t="s">
        <v>831</v>
      </c>
      <c r="C245" s="713" t="str">
        <f>VLOOKUP($B245,R_DG!$A$7:$G$1305,2,0)</f>
        <v>AB.13000</v>
      </c>
      <c r="D245" s="723" t="str">
        <f>VLOOKUP($B245,R_DG!$A$7:$G$1305,3,0)</f>
        <v>Đắp đất hố móng, đất cấp 3, k = 0,85</v>
      </c>
      <c r="E245" s="714" t="str">
        <f>VLOOKUP($B245,R_DG!$A$7:$G$1305,4,0)</f>
        <v>m3</v>
      </c>
      <c r="F245" s="734">
        <v>0</v>
      </c>
      <c r="G245" s="608">
        <f>VLOOKUP($B245,R_DG!$A$7:$G$1305,5,0)</f>
        <v>0</v>
      </c>
      <c r="H245" s="608">
        <f>VLOOKUP($B245,R_DG!$A$7:$G$1305,6,0)</f>
        <v>100210.88</v>
      </c>
      <c r="I245" s="608">
        <f>VLOOKUP($B245,R_DG!$A$7:$G$1305,7,0)</f>
        <v>0</v>
      </c>
      <c r="J245" s="608">
        <f t="shared" si="35"/>
        <v>0</v>
      </c>
      <c r="K245" s="608">
        <f t="shared" si="35"/>
        <v>0</v>
      </c>
      <c r="L245" s="725">
        <f t="shared" si="35"/>
        <v>0</v>
      </c>
      <c r="M245" s="1127">
        <f t="shared" si="37"/>
        <v>0</v>
      </c>
      <c r="N245" s="727">
        <f t="shared" ca="1" si="36"/>
        <v>0</v>
      </c>
    </row>
    <row r="246" spans="1:14" hidden="1">
      <c r="A246" s="731"/>
      <c r="B246" s="735" t="s">
        <v>2919</v>
      </c>
      <c r="C246" s="713">
        <f>VLOOKUP($B246,R_DG!$A$7:$G$1305,2,0)</f>
        <v>0</v>
      </c>
      <c r="D246" s="723" t="str">
        <f>VLOOKUP($B246,R_DG!$A$7:$G$1305,3,0)</f>
        <v>Boulon 16x500VRS+ 4 long đền vuông D18-50x50x3/Zn</v>
      </c>
      <c r="E246" s="714" t="str">
        <f>VLOOKUP($B246,R_DG!$A$7:$G$1305,4,0)</f>
        <v>bộ</v>
      </c>
      <c r="F246" s="734">
        <v>1</v>
      </c>
      <c r="G246" s="608" t="e">
        <f>VLOOKUP($B246,R_DG!$A$7:$G$1305,5,0)</f>
        <v>#REF!</v>
      </c>
      <c r="H246" s="608">
        <f>VLOOKUP($B246,R_DG!$A$7:$G$1305,6,0)</f>
        <v>0</v>
      </c>
      <c r="I246" s="608">
        <f>VLOOKUP($B246,R_DG!$A$7:$G$1305,7,0)</f>
        <v>0</v>
      </c>
      <c r="J246" s="608" t="e">
        <f t="shared" si="35"/>
        <v>#REF!</v>
      </c>
      <c r="K246" s="608">
        <f t="shared" si="35"/>
        <v>0</v>
      </c>
      <c r="L246" s="725">
        <f t="shared" si="35"/>
        <v>0</v>
      </c>
      <c r="M246" s="1127">
        <f t="shared" si="37"/>
        <v>0</v>
      </c>
      <c r="N246" s="727">
        <f ca="1">$F246*N$191</f>
        <v>4</v>
      </c>
    </row>
    <row r="247" spans="1:14" hidden="1">
      <c r="A247" s="731"/>
      <c r="B247" s="735" t="s">
        <v>2921</v>
      </c>
      <c r="C247" s="713">
        <f>VLOOKUP($B247,R_DG!$A$7:$G$1305,2,0)</f>
        <v>0</v>
      </c>
      <c r="D247" s="723" t="str">
        <f>VLOOKUP($B247,R_DG!$A$7:$G$1305,3,0)</f>
        <v>Boulon 16x600VRS+ 4 long đền vuông D18-50x50x3/Zn</v>
      </c>
      <c r="E247" s="714" t="str">
        <f>VLOOKUP($B247,R_DG!$A$7:$G$1305,4,0)</f>
        <v>bộ</v>
      </c>
      <c r="F247" s="734">
        <v>1</v>
      </c>
      <c r="G247" s="608" t="e">
        <f>VLOOKUP($B247,R_DG!$A$7:$G$1305,5,0)</f>
        <v>#REF!</v>
      </c>
      <c r="H247" s="608">
        <f>VLOOKUP($B247,R_DG!$A$7:$G$1305,6,0)</f>
        <v>0</v>
      </c>
      <c r="I247" s="608">
        <f>VLOOKUP($B247,R_DG!$A$7:$G$1305,7,0)</f>
        <v>0</v>
      </c>
      <c r="J247" s="608" t="e">
        <f t="shared" si="35"/>
        <v>#REF!</v>
      </c>
      <c r="K247" s="608">
        <f t="shared" si="35"/>
        <v>0</v>
      </c>
      <c r="L247" s="725">
        <f t="shared" si="35"/>
        <v>0</v>
      </c>
      <c r="M247" s="1127">
        <f t="shared" si="37"/>
        <v>0</v>
      </c>
      <c r="N247" s="727">
        <f ca="1">$F247*N$191</f>
        <v>4</v>
      </c>
    </row>
    <row r="248" spans="1:14" hidden="1">
      <c r="A248" s="731"/>
      <c r="B248" s="735" t="s">
        <v>2920</v>
      </c>
      <c r="C248" s="713">
        <f>VLOOKUP($B248,R_DG!$A$7:$G$1305,2,0)</f>
        <v>0</v>
      </c>
      <c r="D248" s="723" t="str">
        <f>VLOOKUP($B248,R_DG!$A$7:$G$1305,3,0)</f>
        <v>Boulon 16x700VRS+ 4 long đền vuông D18-50x50x3/Zn</v>
      </c>
      <c r="E248" s="714" t="str">
        <f>VLOOKUP($B248,R_DG!$A$7:$G$1305,4,0)</f>
        <v>bộ</v>
      </c>
      <c r="F248" s="734">
        <v>1</v>
      </c>
      <c r="G248" s="608" t="e">
        <f>VLOOKUP($B248,R_DG!$A$7:$G$1305,5,0)</f>
        <v>#REF!</v>
      </c>
      <c r="H248" s="608">
        <f>VLOOKUP($B248,R_DG!$A$7:$G$1305,6,0)</f>
        <v>0</v>
      </c>
      <c r="I248" s="608">
        <f>VLOOKUP($B248,R_DG!$A$7:$G$1305,7,0)</f>
        <v>0</v>
      </c>
      <c r="J248" s="608" t="e">
        <f t="shared" si="35"/>
        <v>#REF!</v>
      </c>
      <c r="K248" s="608">
        <f t="shared" si="35"/>
        <v>0</v>
      </c>
      <c r="L248" s="725">
        <f t="shared" si="35"/>
        <v>0</v>
      </c>
      <c r="M248" s="1127">
        <f t="shared" si="37"/>
        <v>0</v>
      </c>
      <c r="N248" s="727">
        <f ca="1">$F248*N$191</f>
        <v>4</v>
      </c>
    </row>
    <row r="249" spans="1:14" hidden="1">
      <c r="A249" s="731"/>
      <c r="B249" s="735" t="s">
        <v>1116</v>
      </c>
      <c r="C249" s="713" t="str">
        <f>VLOOKUP($B249,R_DG!$A$7:$G$1305,2,0)</f>
        <v>02.1101</v>
      </c>
      <c r="D249" s="723" t="str">
        <f>VLOOKUP($B249,R_DG!$A$7:$G$1305,3,0)</f>
        <v>Bốc dỡ xi măng</v>
      </c>
      <c r="E249" s="714" t="str">
        <f>VLOOKUP($B249,R_DG!$A$7:$G$1305,4,0)</f>
        <v>tấn</v>
      </c>
      <c r="F249" s="736"/>
      <c r="G249" s="608">
        <f>VLOOKUP($B249,R_DG!$A$7:$G$1305,5,0)</f>
        <v>0</v>
      </c>
      <c r="H249" s="608">
        <f>VLOOKUP($B249,R_DG!$A$7:$G$1305,6,0)</f>
        <v>0</v>
      </c>
      <c r="I249" s="608">
        <f>VLOOKUP($B249,R_DG!$A$7:$G$1305,7,0)</f>
        <v>0</v>
      </c>
      <c r="J249" s="608">
        <f t="shared" si="35"/>
        <v>0</v>
      </c>
      <c r="K249" s="608">
        <f t="shared" si="35"/>
        <v>0</v>
      </c>
      <c r="L249" s="725">
        <f t="shared" si="35"/>
        <v>0</v>
      </c>
      <c r="M249" s="1127">
        <f t="shared" si="37"/>
        <v>0</v>
      </c>
      <c r="N249" s="727">
        <f t="shared" ref="N249:N257" ca="1" si="38">$F249*N$238</f>
        <v>0</v>
      </c>
    </row>
    <row r="250" spans="1:14" hidden="1">
      <c r="A250" s="731"/>
      <c r="B250" s="735" t="s">
        <v>1119</v>
      </c>
      <c r="C250" s="713" t="str">
        <f>VLOOKUP($B250,R_DG!$A$7:$G$1305,2,0)</f>
        <v>02.1103</v>
      </c>
      <c r="D250" s="723" t="str">
        <f>VLOOKUP($B250,R_DG!$A$7:$G$1305,3,0)</f>
        <v>Bốc dỡ cát</v>
      </c>
      <c r="E250" s="714" t="str">
        <f>VLOOKUP($B250,R_DG!$A$7:$G$1305,4,0)</f>
        <v>m3</v>
      </c>
      <c r="F250" s="736"/>
      <c r="G250" s="608">
        <f>VLOOKUP($B250,R_DG!$A$7:$G$1305,5,0)</f>
        <v>0</v>
      </c>
      <c r="H250" s="608">
        <f>VLOOKUP($B250,R_DG!$A$7:$G$1305,6,0)</f>
        <v>0</v>
      </c>
      <c r="I250" s="608">
        <f>VLOOKUP($B250,R_DG!$A$7:$G$1305,7,0)</f>
        <v>0</v>
      </c>
      <c r="J250" s="608">
        <f t="shared" si="35"/>
        <v>0</v>
      </c>
      <c r="K250" s="608">
        <f t="shared" si="35"/>
        <v>0</v>
      </c>
      <c r="L250" s="725">
        <f t="shared" si="35"/>
        <v>0</v>
      </c>
      <c r="M250" s="1127">
        <f t="shared" si="37"/>
        <v>0</v>
      </c>
      <c r="N250" s="727">
        <f t="shared" ca="1" si="38"/>
        <v>0</v>
      </c>
    </row>
    <row r="251" spans="1:14" hidden="1">
      <c r="A251" s="731"/>
      <c r="B251" s="735" t="s">
        <v>1122</v>
      </c>
      <c r="C251" s="713" t="str">
        <f>VLOOKUP($B251,R_DG!$A$7:$G$1305,2,0)</f>
        <v>02.1104</v>
      </c>
      <c r="D251" s="723" t="str">
        <f>VLOOKUP($B251,R_DG!$A$7:$G$1305,3,0)</f>
        <v>Bốc dỡ đá dăm</v>
      </c>
      <c r="E251" s="714" t="str">
        <f>VLOOKUP($B251,R_DG!$A$7:$G$1305,4,0)</f>
        <v>m3</v>
      </c>
      <c r="F251" s="736"/>
      <c r="G251" s="608">
        <f>VLOOKUP($B251,R_DG!$A$7:$G$1305,5,0)</f>
        <v>0</v>
      </c>
      <c r="H251" s="608">
        <f>VLOOKUP($B251,R_DG!$A$7:$G$1305,6,0)</f>
        <v>0</v>
      </c>
      <c r="I251" s="608">
        <f>VLOOKUP($B251,R_DG!$A$7:$G$1305,7,0)</f>
        <v>0</v>
      </c>
      <c r="J251" s="608">
        <f t="shared" si="35"/>
        <v>0</v>
      </c>
      <c r="K251" s="608">
        <f t="shared" si="35"/>
        <v>0</v>
      </c>
      <c r="L251" s="725">
        <f t="shared" si="35"/>
        <v>0</v>
      </c>
      <c r="M251" s="1127">
        <f t="shared" si="37"/>
        <v>0</v>
      </c>
      <c r="N251" s="727">
        <f t="shared" ca="1" si="38"/>
        <v>0</v>
      </c>
    </row>
    <row r="252" spans="1:14" hidden="1">
      <c r="A252" s="731"/>
      <c r="B252" s="735" t="s">
        <v>1027</v>
      </c>
      <c r="C252" s="713" t="str">
        <f>VLOOKUP($B252,R_DG!$A$7:$G$1305,2,0)</f>
        <v>02.1211</v>
      </c>
      <c r="D252" s="723" t="str">
        <f>VLOOKUP($B252,R_DG!$A$7:$G$1305,3,0)</f>
        <v>V/c xi măng ( cự ly &lt;=100m)</v>
      </c>
      <c r="E252" s="714" t="str">
        <f>VLOOKUP($B252,R_DG!$A$7:$G$1305,4,0)</f>
        <v>tấn</v>
      </c>
      <c r="F252" s="736"/>
      <c r="G252" s="608">
        <f>VLOOKUP($B252,R_DG!$A$7:$G$1305,5,0)</f>
        <v>0</v>
      </c>
      <c r="H252" s="608">
        <f>VLOOKUP($B252,R_DG!$A$7:$G$1305,6,0)</f>
        <v>0</v>
      </c>
      <c r="I252" s="608">
        <f>VLOOKUP($B252,R_DG!$A$7:$G$1305,7,0)</f>
        <v>0</v>
      </c>
      <c r="J252" s="608">
        <f t="shared" si="35"/>
        <v>0</v>
      </c>
      <c r="K252" s="608">
        <f t="shared" si="35"/>
        <v>0</v>
      </c>
      <c r="L252" s="725">
        <f t="shared" si="35"/>
        <v>0</v>
      </c>
      <c r="M252" s="1127">
        <f t="shared" si="37"/>
        <v>0</v>
      </c>
      <c r="N252" s="727">
        <f t="shared" ca="1" si="38"/>
        <v>0</v>
      </c>
    </row>
    <row r="253" spans="1:14" hidden="1">
      <c r="A253" s="731"/>
      <c r="B253" s="735" t="s">
        <v>1072</v>
      </c>
      <c r="C253" s="713" t="str">
        <f>VLOOKUP($B253,R_DG!$A$7:$G$1305,2,0)</f>
        <v>02.1231</v>
      </c>
      <c r="D253" s="723" t="str">
        <f>VLOOKUP($B253,R_DG!$A$7:$G$1305,3,0)</f>
        <v>V/c cát vàng cự ly &lt;=100m</v>
      </c>
      <c r="E253" s="714" t="str">
        <f>VLOOKUP($B253,R_DG!$A$7:$G$1305,4,0)</f>
        <v>m3</v>
      </c>
      <c r="F253" s="736"/>
      <c r="G253" s="608">
        <f>VLOOKUP($B253,R_DG!$A$7:$G$1305,5,0)</f>
        <v>0</v>
      </c>
      <c r="H253" s="608">
        <f>VLOOKUP($B253,R_DG!$A$7:$G$1305,6,0)</f>
        <v>0</v>
      </c>
      <c r="I253" s="608">
        <f>VLOOKUP($B253,R_DG!$A$7:$G$1305,7,0)</f>
        <v>0</v>
      </c>
      <c r="J253" s="608">
        <f t="shared" si="35"/>
        <v>0</v>
      </c>
      <c r="K253" s="608">
        <f t="shared" si="35"/>
        <v>0</v>
      </c>
      <c r="L253" s="725">
        <f t="shared" si="35"/>
        <v>0</v>
      </c>
      <c r="M253" s="1127">
        <f t="shared" si="37"/>
        <v>0</v>
      </c>
      <c r="N253" s="727">
        <f t="shared" ca="1" si="38"/>
        <v>0</v>
      </c>
    </row>
    <row r="254" spans="1:14" hidden="1">
      <c r="A254" s="731"/>
      <c r="B254" s="735" t="s">
        <v>1039</v>
      </c>
      <c r="C254" s="713" t="str">
        <f>VLOOKUP($B254,R_DG!$A$7:$G$1305,2,0)</f>
        <v>02.1241</v>
      </c>
      <c r="D254" s="723" t="str">
        <f>VLOOKUP($B254,R_DG!$A$7:$G$1305,3,0)</f>
        <v>V/c đá dăm ( cự ly &lt;=100m)</v>
      </c>
      <c r="E254" s="714" t="str">
        <f>VLOOKUP($B254,R_DG!$A$7:$G$1305,4,0)</f>
        <v>m3</v>
      </c>
      <c r="F254" s="736"/>
      <c r="G254" s="608">
        <f>VLOOKUP($B254,R_DG!$A$7:$G$1305,5,0)</f>
        <v>0</v>
      </c>
      <c r="H254" s="608">
        <f>VLOOKUP($B254,R_DG!$A$7:$G$1305,6,0)</f>
        <v>0</v>
      </c>
      <c r="I254" s="608">
        <f>VLOOKUP($B254,R_DG!$A$7:$G$1305,7,0)</f>
        <v>0</v>
      </c>
      <c r="J254" s="608">
        <f t="shared" si="35"/>
        <v>0</v>
      </c>
      <c r="K254" s="608">
        <f t="shared" si="35"/>
        <v>0</v>
      </c>
      <c r="L254" s="725">
        <f t="shared" si="35"/>
        <v>0</v>
      </c>
      <c r="M254" s="1127">
        <f t="shared" si="37"/>
        <v>0</v>
      </c>
      <c r="N254" s="727">
        <f t="shared" ca="1" si="38"/>
        <v>0</v>
      </c>
    </row>
    <row r="255" spans="1:14" hidden="1">
      <c r="A255" s="731"/>
      <c r="B255" s="735" t="s">
        <v>991</v>
      </c>
      <c r="C255" s="713" t="str">
        <f>VLOOKUP($B255,R_DG!$A$7:$G$1305,2,0)</f>
        <v>02.1482</v>
      </c>
      <c r="D255" s="723" t="str">
        <f>VLOOKUP($B255,R_DG!$A$7:$G$1305,3,0)</f>
        <v>V/c dụng cụ thi công ( cự ly &lt;=100m)</v>
      </c>
      <c r="E255" s="714" t="str">
        <f>VLOOKUP($B255,R_DG!$A$7:$G$1305,4,0)</f>
        <v>tấn</v>
      </c>
      <c r="F255" s="736"/>
      <c r="G255" s="608">
        <f>VLOOKUP($B255,R_DG!$A$7:$G$1305,5,0)</f>
        <v>0</v>
      </c>
      <c r="H255" s="608">
        <f>VLOOKUP($B255,R_DG!$A$7:$G$1305,6,0)</f>
        <v>0</v>
      </c>
      <c r="I255" s="608">
        <f>VLOOKUP($B255,R_DG!$A$7:$G$1305,7,0)</f>
        <v>0</v>
      </c>
      <c r="J255" s="608">
        <f t="shared" si="35"/>
        <v>0</v>
      </c>
      <c r="K255" s="608">
        <f t="shared" si="35"/>
        <v>0</v>
      </c>
      <c r="L255" s="725">
        <f t="shared" si="35"/>
        <v>0</v>
      </c>
      <c r="M255" s="1127">
        <f t="shared" si="37"/>
        <v>0</v>
      </c>
      <c r="N255" s="727">
        <f t="shared" ca="1" si="38"/>
        <v>0</v>
      </c>
    </row>
    <row r="256" spans="1:14" hidden="1">
      <c r="A256" s="731"/>
      <c r="B256" s="735" t="s">
        <v>2175</v>
      </c>
      <c r="C256" s="713" t="str">
        <f>VLOOKUP($B256,R_DG!$A$7:$G$1305,2,0)</f>
        <v>04.1101</v>
      </c>
      <c r="D256" s="723" t="str">
        <f>VLOOKUP($B256,R_DG!$A$7:$G$1305,3,0)</f>
        <v>Gia công và lắp dựng cốt thép D&lt;=10</v>
      </c>
      <c r="E256" s="714" t="str">
        <f>VLOOKUP($B256,R_DG!$A$7:$G$1305,4,0)</f>
        <v>kg</v>
      </c>
      <c r="F256" s="734">
        <f>F242</f>
        <v>31.1</v>
      </c>
      <c r="G256" s="608">
        <f>VLOOKUP($B256,R_DG!$A$7:$G$1305,5,0)</f>
        <v>405.99</v>
      </c>
      <c r="H256" s="608">
        <f>VLOOKUP($B256,R_DG!$A$7:$G$1305,6,0)</f>
        <v>0</v>
      </c>
      <c r="I256" s="608">
        <f>VLOOKUP($B256,R_DG!$A$7:$G$1305,7,0)</f>
        <v>0</v>
      </c>
      <c r="J256" s="608">
        <f t="shared" si="35"/>
        <v>12626.289000000001</v>
      </c>
      <c r="K256" s="608">
        <f t="shared" si="35"/>
        <v>0</v>
      </c>
      <c r="L256" s="725">
        <f t="shared" si="35"/>
        <v>0</v>
      </c>
      <c r="M256" s="1127">
        <f t="shared" si="37"/>
        <v>0</v>
      </c>
      <c r="N256" s="727">
        <f t="shared" ca="1" si="38"/>
        <v>0</v>
      </c>
    </row>
    <row r="257" spans="1:14" hidden="1">
      <c r="A257" s="731"/>
      <c r="B257" s="735" t="s">
        <v>1245</v>
      </c>
      <c r="C257" s="713" t="str">
        <f>VLOOKUP($B257,R_DG!$A$7:$G$1305,2,0)</f>
        <v>AF112.20</v>
      </c>
      <c r="D257" s="723" t="str">
        <f>VLOOKUP($B257,R_DG!$A$7:$G$1305,3,0)</f>
        <v>Đổ bê tông mác M150 đá 1x2</v>
      </c>
      <c r="E257" s="714" t="str">
        <f>VLOOKUP($B257,R_DG!$A$7:$G$1305,4,0)</f>
        <v>m3</v>
      </c>
      <c r="F257" s="734">
        <v>1.1339999999999999</v>
      </c>
      <c r="G257" s="608">
        <f>VLOOKUP($B257,R_DG!$A$7:$G$1305,5,0)</f>
        <v>0</v>
      </c>
      <c r="H257" s="608">
        <f>VLOOKUP($B257,R_DG!$A$7:$G$1305,6,0)</f>
        <v>398225.65</v>
      </c>
      <c r="I257" s="608">
        <f>VLOOKUP($B257,R_DG!$A$7:$G$1305,7,0)</f>
        <v>0</v>
      </c>
      <c r="J257" s="608">
        <f t="shared" si="35"/>
        <v>0</v>
      </c>
      <c r="K257" s="608">
        <f t="shared" si="35"/>
        <v>451587.88709999999</v>
      </c>
      <c r="L257" s="725">
        <f t="shared" si="35"/>
        <v>0</v>
      </c>
      <c r="M257" s="1127">
        <f t="shared" si="37"/>
        <v>0</v>
      </c>
      <c r="N257" s="727">
        <f t="shared" ca="1" si="38"/>
        <v>0</v>
      </c>
    </row>
    <row r="258" spans="1:14">
      <c r="A258" s="728" t="s">
        <v>2551</v>
      </c>
      <c r="B258" s="729"/>
      <c r="C258" s="717"/>
      <c r="D258" s="718" t="s">
        <v>2563</v>
      </c>
      <c r="E258" s="718" t="s">
        <v>2146</v>
      </c>
      <c r="F258" s="719"/>
      <c r="G258" s="720"/>
      <c r="H258" s="720"/>
      <c r="I258" s="720"/>
      <c r="J258" s="720" t="e">
        <f>SUM(J259:J264)</f>
        <v>#REF!</v>
      </c>
      <c r="K258" s="720">
        <f>SUM(K259:K264)</f>
        <v>2027863.3672</v>
      </c>
      <c r="L258" s="721">
        <f>SUM(L259:L264)</f>
        <v>0</v>
      </c>
      <c r="M258" s="1126">
        <f>IF(ERROR.TYPE(IF(HLOOKUP(A258,maBK,1,0)&lt;&gt;"",#NULL!,"ABC"))&lt;&gt;7,1,0)</f>
        <v>0</v>
      </c>
      <c r="N258" s="712">
        <f ca="1">SUMIF(maBK,$A258,tongBK1)</f>
        <v>0</v>
      </c>
    </row>
    <row r="259" spans="1:14" hidden="1">
      <c r="A259" s="731"/>
      <c r="B259" s="227" t="s">
        <v>2149</v>
      </c>
      <c r="C259" s="713" t="str">
        <f>VLOOKUP($B259,R_DG!$A$7:$G$1305,2,0)</f>
        <v>04.3801</v>
      </c>
      <c r="D259" s="723" t="str">
        <f>VLOOKUP($B259,R_DG!$A$7:$G$1305,3,0)</f>
        <v>Đà cản BTCT 1,2m</v>
      </c>
      <c r="E259" s="714" t="str">
        <f>VLOOKUP($B259,R_DG!$A$7:$G$1305,4,0)</f>
        <v>cái</v>
      </c>
      <c r="F259" s="734">
        <v>2</v>
      </c>
      <c r="G259" s="608">
        <f>VLOOKUP($B259,R_DG!$A$7:$G$1305,5,0)</f>
        <v>650000</v>
      </c>
      <c r="H259" s="608">
        <f>VLOOKUP($B259,R_DG!$A$7:$G$1305,6,0)</f>
        <v>161119.20000000001</v>
      </c>
      <c r="I259" s="608">
        <f>VLOOKUP($B259,R_DG!$A$7:$G$1305,7,0)</f>
        <v>0</v>
      </c>
      <c r="J259" s="608">
        <f t="shared" ref="J259:L277" si="39">G259*$F259</f>
        <v>1300000</v>
      </c>
      <c r="K259" s="608">
        <f t="shared" si="39"/>
        <v>322238.40000000002</v>
      </c>
      <c r="L259" s="725">
        <f t="shared" si="39"/>
        <v>0</v>
      </c>
      <c r="M259" s="1127">
        <f t="shared" ref="M259:M264" si="40">IF(F259&gt;0,M$258,0)</f>
        <v>0</v>
      </c>
      <c r="N259" s="727">
        <f t="shared" ref="N259:N264" ca="1" si="41">$F259*N$258</f>
        <v>0</v>
      </c>
    </row>
    <row r="260" spans="1:14" hidden="1">
      <c r="A260" s="731"/>
      <c r="B260" s="227" t="s">
        <v>2170</v>
      </c>
      <c r="C260" s="713">
        <f>VLOOKUP($B260,R_DG!$A$7:$G$1305,2,0)</f>
        <v>0</v>
      </c>
      <c r="D260" s="723" t="str">
        <f>VLOOKUP($B260,R_DG!$A$7:$G$1305,3,0)</f>
        <v>Boulon 22x700+ 2 long đền vuông D24-50x50x3/Zn</v>
      </c>
      <c r="E260" s="714" t="str">
        <f>VLOOKUP($B260,R_DG!$A$7:$G$1305,4,0)</f>
        <v>bộ</v>
      </c>
      <c r="F260" s="734">
        <v>1</v>
      </c>
      <c r="G260" s="608" t="e">
        <f>VLOOKUP($B260,R_DG!$A$7:$G$1305,5,0)</f>
        <v>#REF!</v>
      </c>
      <c r="H260" s="608">
        <f>VLOOKUP($B260,R_DG!$A$7:$G$1305,6,0)</f>
        <v>0</v>
      </c>
      <c r="I260" s="608">
        <f>VLOOKUP($B260,R_DG!$A$7:$G$1305,7,0)</f>
        <v>0</v>
      </c>
      <c r="J260" s="608" t="e">
        <f t="shared" si="39"/>
        <v>#REF!</v>
      </c>
      <c r="K260" s="608">
        <f t="shared" si="39"/>
        <v>0</v>
      </c>
      <c r="L260" s="725">
        <f t="shared" si="39"/>
        <v>0</v>
      </c>
      <c r="M260" s="1127">
        <f t="shared" si="40"/>
        <v>0</v>
      </c>
      <c r="N260" s="727">
        <f t="shared" ca="1" si="41"/>
        <v>0</v>
      </c>
    </row>
    <row r="261" spans="1:14" hidden="1">
      <c r="A261" s="696"/>
      <c r="B261" s="226" t="s">
        <v>2151</v>
      </c>
      <c r="C261" s="713">
        <f>VLOOKUP($B261,R_DG!$A$7:$G$1305,2,0)</f>
        <v>0</v>
      </c>
      <c r="D261" s="723" t="str">
        <f>VLOOKUP($B261,R_DG!$A$7:$G$1305,3,0)</f>
        <v>Đá 2x4</v>
      </c>
      <c r="E261" s="714" t="str">
        <f>VLOOKUP($B261,R_DG!$A$7:$G$1305,4,0)</f>
        <v>m3</v>
      </c>
      <c r="F261" s="724">
        <v>0.42099999999999999</v>
      </c>
      <c r="G261" s="608">
        <f>VLOOKUP($B261,R_DG!$A$7:$G$1305,5,0)</f>
        <v>320000</v>
      </c>
      <c r="H261" s="608">
        <f>VLOOKUP($B261,R_DG!$A$7:$G$1305,6,0)</f>
        <v>0</v>
      </c>
      <c r="I261" s="608">
        <f>VLOOKUP($B261,R_DG!$A$7:$G$1305,7,0)</f>
        <v>0</v>
      </c>
      <c r="J261" s="608">
        <f t="shared" si="39"/>
        <v>134720</v>
      </c>
      <c r="K261" s="608">
        <f t="shared" si="39"/>
        <v>0</v>
      </c>
      <c r="L261" s="725">
        <f t="shared" si="39"/>
        <v>0</v>
      </c>
      <c r="M261" s="1127">
        <f t="shared" si="40"/>
        <v>0</v>
      </c>
      <c r="N261" s="727">
        <f t="shared" ca="1" si="41"/>
        <v>0</v>
      </c>
    </row>
    <row r="262" spans="1:14" hidden="1">
      <c r="A262" s="731"/>
      <c r="B262" s="227" t="str">
        <f>IF(CAPDAT=1,"MDD1",IF(CAPDAT=2,"MDD2",IF(CAPDAT=3,"MDD3",IF(CAPDAT=4,"MDD4"))))</f>
        <v>MDD3</v>
      </c>
      <c r="C262" s="713" t="str">
        <f>VLOOKUP($B262,R_DG!$A$7:$G$1305,2,0)</f>
        <v>AB.11400</v>
      </c>
      <c r="D262" s="723" t="str">
        <f>VLOOKUP($B262,R_DG!$A$7:$G$1305,3,0)</f>
        <v>Đào hố móng đất cấp 3 sâu &gt;1m, rộng &lt;1m</v>
      </c>
      <c r="E262" s="714" t="str">
        <f>VLOOKUP($B262,R_DG!$A$7:$G$1305,4,0)</f>
        <v>m3</v>
      </c>
      <c r="F262" s="734">
        <v>3.25</v>
      </c>
      <c r="G262" s="608">
        <f>VLOOKUP($B262,R_DG!$A$7:$G$1305,5,0)</f>
        <v>0</v>
      </c>
      <c r="H262" s="608">
        <f>VLOOKUP($B262,R_DG!$A$7:$G$1305,6,0)</f>
        <v>418738.31999999995</v>
      </c>
      <c r="I262" s="608">
        <f>VLOOKUP($B262,R_DG!$A$7:$G$1305,7,0)</f>
        <v>0</v>
      </c>
      <c r="J262" s="608">
        <f t="shared" si="39"/>
        <v>0</v>
      </c>
      <c r="K262" s="608">
        <f t="shared" si="39"/>
        <v>1360899.5399999998</v>
      </c>
      <c r="L262" s="725">
        <f t="shared" si="39"/>
        <v>0</v>
      </c>
      <c r="M262" s="1127">
        <f t="shared" si="40"/>
        <v>0</v>
      </c>
      <c r="N262" s="727">
        <f t="shared" ca="1" si="41"/>
        <v>0</v>
      </c>
    </row>
    <row r="263" spans="1:14" hidden="1">
      <c r="A263" s="731"/>
      <c r="B263" s="227" t="str">
        <f>IF(CAPDAT=1,"MDAP1",IF(CAPDAT=2,"MDAP2",IF(CAPDAT=3,"MDAP3",IF(CAPDAT=4,"MDAP4"))))</f>
        <v>MDAP3</v>
      </c>
      <c r="C263" s="713" t="str">
        <f>VLOOKUP($B263,R_DG!$A$7:$G$1305,2,0)</f>
        <v>AB.13000</v>
      </c>
      <c r="D263" s="723" t="str">
        <f>VLOOKUP($B263,R_DG!$A$7:$G$1305,3,0)</f>
        <v>Đắp đất hố móng, đất cấp 3, k = 0,85</v>
      </c>
      <c r="E263" s="714" t="str">
        <f>VLOOKUP($B263,R_DG!$A$7:$G$1305,4,0)</f>
        <v>m3</v>
      </c>
      <c r="F263" s="734">
        <v>3.44</v>
      </c>
      <c r="G263" s="608">
        <f>VLOOKUP($B263,R_DG!$A$7:$G$1305,5,0)</f>
        <v>0</v>
      </c>
      <c r="H263" s="608">
        <f>VLOOKUP($B263,R_DG!$A$7:$G$1305,6,0)</f>
        <v>100210.88</v>
      </c>
      <c r="I263" s="608">
        <f>VLOOKUP($B263,R_DG!$A$7:$G$1305,7,0)</f>
        <v>0</v>
      </c>
      <c r="J263" s="608">
        <f t="shared" si="39"/>
        <v>0</v>
      </c>
      <c r="K263" s="608">
        <f t="shared" si="39"/>
        <v>344725.42720000003</v>
      </c>
      <c r="L263" s="725">
        <f t="shared" si="39"/>
        <v>0</v>
      </c>
      <c r="M263" s="1127">
        <f t="shared" si="40"/>
        <v>0</v>
      </c>
      <c r="N263" s="727">
        <f t="shared" ca="1" si="41"/>
        <v>0</v>
      </c>
    </row>
    <row r="264" spans="1:14" hidden="1">
      <c r="A264" s="731"/>
      <c r="B264" s="227" t="s">
        <v>2152</v>
      </c>
      <c r="C264" s="713" t="str">
        <f>VLOOKUP($B264,R_DG!$A$7:$G$1305,2,0)</f>
        <v>02.1123</v>
      </c>
      <c r="D264" s="723" t="str">
        <f>VLOOKUP($B264,R_DG!$A$7:$G$1305,3,0)</f>
        <v>Bốc dỡ đà cản, đế néo</v>
      </c>
      <c r="E264" s="714" t="str">
        <f>VLOOKUP($B264,R_DG!$A$7:$G$1305,4,0)</f>
        <v>tấn</v>
      </c>
      <c r="F264" s="734">
        <f>0.1*2</f>
        <v>0.2</v>
      </c>
      <c r="G264" s="608">
        <f>VLOOKUP($B264,R_DG!$A$7:$G$1305,5,0)</f>
        <v>0</v>
      </c>
      <c r="H264" s="608">
        <f>VLOOKUP($B264,R_DG!$A$7:$G$1305,6,0)</f>
        <v>0</v>
      </c>
      <c r="I264" s="608">
        <f>VLOOKUP($B264,R_DG!$A$7:$G$1305,7,0)</f>
        <v>0</v>
      </c>
      <c r="J264" s="608">
        <f t="shared" si="39"/>
        <v>0</v>
      </c>
      <c r="K264" s="608">
        <f t="shared" si="39"/>
        <v>0</v>
      </c>
      <c r="L264" s="725">
        <f t="shared" si="39"/>
        <v>0</v>
      </c>
      <c r="M264" s="1127">
        <f t="shared" si="40"/>
        <v>0</v>
      </c>
      <c r="N264" s="727">
        <f t="shared" ca="1" si="41"/>
        <v>0</v>
      </c>
    </row>
    <row r="265" spans="1:14">
      <c r="A265" s="728" t="s">
        <v>2552</v>
      </c>
      <c r="B265" s="729"/>
      <c r="C265" s="717"/>
      <c r="D265" s="718" t="s">
        <v>2562</v>
      </c>
      <c r="E265" s="718" t="s">
        <v>2146</v>
      </c>
      <c r="F265" s="719"/>
      <c r="G265" s="720"/>
      <c r="H265" s="720"/>
      <c r="I265" s="720"/>
      <c r="J265" s="720" t="e">
        <f>SUM(J266:J271)</f>
        <v>#REF!</v>
      </c>
      <c r="K265" s="720">
        <f>SUM(K266:K271)</f>
        <v>2119825.1659200001</v>
      </c>
      <c r="L265" s="721">
        <f>SUM(L266:L271)</f>
        <v>0</v>
      </c>
      <c r="M265" s="1126">
        <f>IF(ERROR.TYPE(IF(HLOOKUP(A265,maBK,1,0)&lt;&gt;"",#NULL!,"ABC"))&lt;&gt;7,1,0)</f>
        <v>0</v>
      </c>
      <c r="N265" s="712">
        <f ca="1">SUMIF(maBK,$A265,tongBK1)</f>
        <v>0</v>
      </c>
    </row>
    <row r="266" spans="1:14" hidden="1">
      <c r="A266" s="731"/>
      <c r="B266" s="227" t="s">
        <v>2153</v>
      </c>
      <c r="C266" s="713" t="str">
        <f>VLOOKUP($B266,R_DG!$A$7:$G$1305,2,0)</f>
        <v>04.3801</v>
      </c>
      <c r="D266" s="723" t="str">
        <f>VLOOKUP($B266,R_DG!$A$7:$G$1305,3,0)</f>
        <v>Đà cản BTCT 1,5m</v>
      </c>
      <c r="E266" s="714" t="str">
        <f>VLOOKUP($B266,R_DG!$A$7:$G$1305,4,0)</f>
        <v>cái</v>
      </c>
      <c r="F266" s="734">
        <v>2</v>
      </c>
      <c r="G266" s="608">
        <f>VLOOKUP($B266,R_DG!$A$7:$G$1305,5,0)</f>
        <v>650000</v>
      </c>
      <c r="H266" s="608">
        <f>VLOOKUP($B266,R_DG!$A$7:$G$1305,6,0)</f>
        <v>0</v>
      </c>
      <c r="I266" s="608">
        <f>VLOOKUP($B266,R_DG!$A$7:$G$1305,7,0)</f>
        <v>0</v>
      </c>
      <c r="J266" s="608">
        <f t="shared" si="39"/>
        <v>1300000</v>
      </c>
      <c r="K266" s="608">
        <f t="shared" si="39"/>
        <v>0</v>
      </c>
      <c r="L266" s="725">
        <f t="shared" si="39"/>
        <v>0</v>
      </c>
      <c r="M266" s="1127">
        <f t="shared" ref="M266:M271" si="42">IF(F266&gt;0,M$265,0)</f>
        <v>0</v>
      </c>
      <c r="N266" s="727">
        <f t="shared" ref="N266:N271" ca="1" si="43">$F266*N$265</f>
        <v>0</v>
      </c>
    </row>
    <row r="267" spans="1:14" hidden="1">
      <c r="A267" s="731"/>
      <c r="B267" s="227" t="s">
        <v>2166</v>
      </c>
      <c r="C267" s="713">
        <f>VLOOKUP($B267,R_DG!$A$7:$G$1305,2,0)</f>
        <v>0</v>
      </c>
      <c r="D267" s="723" t="str">
        <f>VLOOKUP($B267,R_DG!$A$7:$G$1305,3,0)</f>
        <v>Boulon 22x800+ 2 long đền vuông D24-50x50x3/Zn</v>
      </c>
      <c r="E267" s="714" t="str">
        <f>VLOOKUP($B267,R_DG!$A$7:$G$1305,4,0)</f>
        <v>bộ</v>
      </c>
      <c r="F267" s="734">
        <v>1</v>
      </c>
      <c r="G267" s="608" t="e">
        <f>VLOOKUP($B267,R_DG!$A$7:$G$1305,5,0)</f>
        <v>#REF!</v>
      </c>
      <c r="H267" s="608">
        <f>VLOOKUP($B267,R_DG!$A$7:$G$1305,6,0)</f>
        <v>0</v>
      </c>
      <c r="I267" s="608">
        <f>VLOOKUP($B267,R_DG!$A$7:$G$1305,7,0)</f>
        <v>0</v>
      </c>
      <c r="J267" s="608" t="e">
        <f t="shared" si="39"/>
        <v>#REF!</v>
      </c>
      <c r="K267" s="608">
        <f t="shared" si="39"/>
        <v>0</v>
      </c>
      <c r="L267" s="725">
        <f t="shared" si="39"/>
        <v>0</v>
      </c>
      <c r="M267" s="1127">
        <f t="shared" si="42"/>
        <v>0</v>
      </c>
      <c r="N267" s="727">
        <f t="shared" ca="1" si="43"/>
        <v>0</v>
      </c>
    </row>
    <row r="268" spans="1:14" hidden="1">
      <c r="A268" s="696"/>
      <c r="B268" s="226" t="s">
        <v>2151</v>
      </c>
      <c r="C268" s="713">
        <f>VLOOKUP($B268,R_DG!$A$7:$G$1305,2,0)</f>
        <v>0</v>
      </c>
      <c r="D268" s="723" t="str">
        <f>VLOOKUP($B268,R_DG!$A$7:$G$1305,3,0)</f>
        <v>Đá 2x4</v>
      </c>
      <c r="E268" s="714" t="str">
        <f>VLOOKUP($B268,R_DG!$A$7:$G$1305,4,0)</f>
        <v>m3</v>
      </c>
      <c r="F268" s="724">
        <v>0.42099999999999999</v>
      </c>
      <c r="G268" s="608">
        <f>VLOOKUP($B268,R_DG!$A$7:$G$1305,5,0)</f>
        <v>320000</v>
      </c>
      <c r="H268" s="608">
        <f>VLOOKUP($B268,R_DG!$A$7:$G$1305,6,0)</f>
        <v>0</v>
      </c>
      <c r="I268" s="608">
        <f>VLOOKUP($B268,R_DG!$A$7:$G$1305,7,0)</f>
        <v>0</v>
      </c>
      <c r="J268" s="608">
        <f t="shared" si="39"/>
        <v>134720</v>
      </c>
      <c r="K268" s="608">
        <f t="shared" si="39"/>
        <v>0</v>
      </c>
      <c r="L268" s="725">
        <f t="shared" si="39"/>
        <v>0</v>
      </c>
      <c r="M268" s="1127">
        <f t="shared" si="42"/>
        <v>0</v>
      </c>
      <c r="N268" s="727">
        <f t="shared" ca="1" si="43"/>
        <v>0</v>
      </c>
    </row>
    <row r="269" spans="1:14" hidden="1">
      <c r="A269" s="731"/>
      <c r="B269" s="227" t="str">
        <f>IF(CAPDAT=1,"MDD1",IF(CAPDAT=2,"MDD2",IF(CAPDAT=3,"MDD3",IF(CAPDAT=4,"MDD4"))))</f>
        <v>MDD3</v>
      </c>
      <c r="C269" s="713" t="str">
        <f>VLOOKUP($B269,R_DG!$A$7:$G$1305,2,0)</f>
        <v>AB.11400</v>
      </c>
      <c r="D269" s="723" t="str">
        <f>VLOOKUP($B269,R_DG!$A$7:$G$1305,3,0)</f>
        <v>Đào hố móng đất cấp 3 sâu &gt;1m, rộng &lt;1m</v>
      </c>
      <c r="E269" s="714" t="str">
        <f>VLOOKUP($B269,R_DG!$A$7:$G$1305,4,0)</f>
        <v>m3</v>
      </c>
      <c r="F269" s="734">
        <v>4.03</v>
      </c>
      <c r="G269" s="608">
        <f>VLOOKUP($B269,R_DG!$A$7:$G$1305,5,0)</f>
        <v>0</v>
      </c>
      <c r="H269" s="608">
        <f>VLOOKUP($B269,R_DG!$A$7:$G$1305,6,0)</f>
        <v>418738.31999999995</v>
      </c>
      <c r="I269" s="608">
        <f>VLOOKUP($B269,R_DG!$A$7:$G$1305,7,0)</f>
        <v>0</v>
      </c>
      <c r="J269" s="608">
        <f t="shared" si="39"/>
        <v>0</v>
      </c>
      <c r="K269" s="608">
        <f t="shared" si="39"/>
        <v>1687515.4295999999</v>
      </c>
      <c r="L269" s="725">
        <f t="shared" si="39"/>
        <v>0</v>
      </c>
      <c r="M269" s="1127">
        <f t="shared" si="42"/>
        <v>0</v>
      </c>
      <c r="N269" s="727">
        <f t="shared" ca="1" si="43"/>
        <v>0</v>
      </c>
    </row>
    <row r="270" spans="1:14" hidden="1">
      <c r="A270" s="731"/>
      <c r="B270" s="227" t="str">
        <f>IF(CAPDAT=1,"MDAP1",IF(CAPDAT=2,"MDAP2",IF(CAPDAT=3,"MDAP3",IF(CAPDAT=4,"MDAP4"))))</f>
        <v>MDAP3</v>
      </c>
      <c r="C270" s="713" t="str">
        <f>VLOOKUP($B270,R_DG!$A$7:$G$1305,2,0)</f>
        <v>AB.13000</v>
      </c>
      <c r="D270" s="723" t="str">
        <f>VLOOKUP($B270,R_DG!$A$7:$G$1305,3,0)</f>
        <v>Đắp đất hố móng, đất cấp 3, k = 0,85</v>
      </c>
      <c r="E270" s="714" t="str">
        <f>VLOOKUP($B270,R_DG!$A$7:$G$1305,4,0)</f>
        <v>m3</v>
      </c>
      <c r="F270" s="734">
        <v>4.3140000000000001</v>
      </c>
      <c r="G270" s="608">
        <f>VLOOKUP($B270,R_DG!$A$7:$G$1305,5,0)</f>
        <v>0</v>
      </c>
      <c r="H270" s="608">
        <f>VLOOKUP($B270,R_DG!$A$7:$G$1305,6,0)</f>
        <v>100210.88</v>
      </c>
      <c r="I270" s="608">
        <f>VLOOKUP($B270,R_DG!$A$7:$G$1305,7,0)</f>
        <v>0</v>
      </c>
      <c r="J270" s="608">
        <f t="shared" si="39"/>
        <v>0</v>
      </c>
      <c r="K270" s="608">
        <f t="shared" si="39"/>
        <v>432309.73632000003</v>
      </c>
      <c r="L270" s="725">
        <f t="shared" si="39"/>
        <v>0</v>
      </c>
      <c r="M270" s="1127">
        <f t="shared" si="42"/>
        <v>0</v>
      </c>
      <c r="N270" s="727">
        <f t="shared" ca="1" si="43"/>
        <v>0</v>
      </c>
    </row>
    <row r="271" spans="1:14" hidden="1">
      <c r="A271" s="731"/>
      <c r="B271" s="227" t="s">
        <v>2152</v>
      </c>
      <c r="C271" s="713" t="str">
        <f>VLOOKUP($B271,R_DG!$A$7:$G$1305,2,0)</f>
        <v>02.1123</v>
      </c>
      <c r="D271" s="723" t="str">
        <f>VLOOKUP($B271,R_DG!$A$7:$G$1305,3,0)</f>
        <v>Bốc dỡ đà cản, đế néo</v>
      </c>
      <c r="E271" s="714" t="str">
        <f>VLOOKUP($B271,R_DG!$A$7:$G$1305,4,0)</f>
        <v>tấn</v>
      </c>
      <c r="F271" s="734">
        <f>0.255*2</f>
        <v>0.51</v>
      </c>
      <c r="G271" s="608">
        <f>VLOOKUP($B271,R_DG!$A$7:$G$1305,5,0)</f>
        <v>0</v>
      </c>
      <c r="H271" s="608">
        <f>VLOOKUP($B271,R_DG!$A$7:$G$1305,6,0)</f>
        <v>0</v>
      </c>
      <c r="I271" s="608">
        <f>VLOOKUP($B271,R_DG!$A$7:$G$1305,7,0)</f>
        <v>0</v>
      </c>
      <c r="J271" s="608">
        <f t="shared" si="39"/>
        <v>0</v>
      </c>
      <c r="K271" s="608">
        <f t="shared" si="39"/>
        <v>0</v>
      </c>
      <c r="L271" s="725">
        <f t="shared" si="39"/>
        <v>0</v>
      </c>
      <c r="M271" s="1127">
        <f t="shared" si="42"/>
        <v>0</v>
      </c>
      <c r="N271" s="727">
        <f t="shared" ca="1" si="43"/>
        <v>0</v>
      </c>
    </row>
    <row r="272" spans="1:14">
      <c r="A272" s="728" t="s">
        <v>2553</v>
      </c>
      <c r="B272" s="729"/>
      <c r="C272" s="717"/>
      <c r="D272" s="718" t="s">
        <v>2561</v>
      </c>
      <c r="E272" s="718" t="s">
        <v>2146</v>
      </c>
      <c r="F272" s="719"/>
      <c r="G272" s="720"/>
      <c r="H272" s="720"/>
      <c r="I272" s="720"/>
      <c r="J272" s="720" t="e">
        <f>SUM(J273:J277)</f>
        <v>#REF!</v>
      </c>
      <c r="K272" s="720">
        <f>SUM(K273:K277)</f>
        <v>5516429.9960000003</v>
      </c>
      <c r="L272" s="721">
        <f>SUM(L273:L277)</f>
        <v>0</v>
      </c>
      <c r="M272" s="1126">
        <f>IF(ERROR.TYPE(IF(HLOOKUP(A272,maBK,1,0)&lt;&gt;"",#NULL!,"ABC"))&lt;&gt;7,1,0)</f>
        <v>0</v>
      </c>
      <c r="N272" s="712">
        <f ca="1">SUMIF(maBK,$A272,tongBK1)</f>
        <v>0</v>
      </c>
    </row>
    <row r="273" spans="1:14" hidden="1">
      <c r="A273" s="731"/>
      <c r="B273" s="227" t="s">
        <v>2153</v>
      </c>
      <c r="C273" s="713" t="str">
        <f>VLOOKUP($B273,R_DG!$A$7:$G$1305,2,0)</f>
        <v>04.3801</v>
      </c>
      <c r="D273" s="723" t="str">
        <f>VLOOKUP($B273,R_DG!$A$7:$G$1305,3,0)</f>
        <v>Đà cản BTCT 1,5m</v>
      </c>
      <c r="E273" s="714" t="str">
        <f>VLOOKUP($B273,R_DG!$A$7:$G$1305,4,0)</f>
        <v>cái</v>
      </c>
      <c r="F273" s="734">
        <v>4</v>
      </c>
      <c r="G273" s="608">
        <f>VLOOKUP($B273,R_DG!$A$7:$G$1305,5,0)</f>
        <v>650000</v>
      </c>
      <c r="H273" s="608">
        <f>VLOOKUP($B273,R_DG!$A$7:$G$1305,6,0)</f>
        <v>0</v>
      </c>
      <c r="I273" s="608">
        <f>VLOOKUP($B273,R_DG!$A$7:$G$1305,7,0)</f>
        <v>0</v>
      </c>
      <c r="J273" s="608">
        <f t="shared" si="39"/>
        <v>2600000</v>
      </c>
      <c r="K273" s="608">
        <f t="shared" si="39"/>
        <v>0</v>
      </c>
      <c r="L273" s="725">
        <f t="shared" si="39"/>
        <v>0</v>
      </c>
      <c r="M273" s="1127">
        <f>IF(F273&gt;0,M$272,0)</f>
        <v>0</v>
      </c>
      <c r="N273" s="727">
        <f ca="1">$F273*N$272</f>
        <v>0</v>
      </c>
    </row>
    <row r="274" spans="1:14" hidden="1">
      <c r="A274" s="731"/>
      <c r="B274" s="227" t="s">
        <v>2165</v>
      </c>
      <c r="C274" s="713">
        <f>VLOOKUP($B274,R_DG!$A$7:$G$1305,2,0)</f>
        <v>0</v>
      </c>
      <c r="D274" s="723" t="str">
        <f>VLOOKUP($B274,R_DG!$A$7:$G$1305,3,0)</f>
        <v>Boulon 22x650+ 2 long đền vuông D24-50x50x3/Zn</v>
      </c>
      <c r="E274" s="714" t="str">
        <f>VLOOKUP($B274,R_DG!$A$7:$G$1305,4,0)</f>
        <v>bộ</v>
      </c>
      <c r="F274" s="734">
        <v>4</v>
      </c>
      <c r="G274" s="608" t="e">
        <f>VLOOKUP($B274,R_DG!$A$7:$G$1305,5,0)</f>
        <v>#REF!</v>
      </c>
      <c r="H274" s="608">
        <f>VLOOKUP($B274,R_DG!$A$7:$G$1305,6,0)</f>
        <v>0</v>
      </c>
      <c r="I274" s="608">
        <f>VLOOKUP($B274,R_DG!$A$7:$G$1305,7,0)</f>
        <v>0</v>
      </c>
      <c r="J274" s="608" t="e">
        <f t="shared" si="39"/>
        <v>#REF!</v>
      </c>
      <c r="K274" s="608">
        <f t="shared" si="39"/>
        <v>0</v>
      </c>
      <c r="L274" s="725">
        <f t="shared" si="39"/>
        <v>0</v>
      </c>
      <c r="M274" s="1127">
        <f>IF(F274&gt;0,M$272,0)</f>
        <v>0</v>
      </c>
      <c r="N274" s="727">
        <f ca="1">$F274*N$272</f>
        <v>0</v>
      </c>
    </row>
    <row r="275" spans="1:14" hidden="1">
      <c r="A275" s="731"/>
      <c r="B275" s="227" t="str">
        <f>IF(CAPDAT=1,"MDD1",IF(CAPDAT=2,"MDD2",IF(CAPDAT=3,"MDD3",IF(CAPDAT=4,"MDD4"))))</f>
        <v>MDD3</v>
      </c>
      <c r="C275" s="713" t="str">
        <f>VLOOKUP($B275,R_DG!$A$7:$G$1305,2,0)</f>
        <v>AB.11400</v>
      </c>
      <c r="D275" s="723" t="str">
        <f>VLOOKUP($B275,R_DG!$A$7:$G$1305,3,0)</f>
        <v>Đào hố móng đất cấp 3 sâu &gt;1m, rộng &lt;1m</v>
      </c>
      <c r="E275" s="714" t="str">
        <f>VLOOKUP($B275,R_DG!$A$7:$G$1305,4,0)</f>
        <v>m3</v>
      </c>
      <c r="F275" s="734">
        <v>10.63</v>
      </c>
      <c r="G275" s="608">
        <f>VLOOKUP($B275,R_DG!$A$7:$G$1305,5,0)</f>
        <v>0</v>
      </c>
      <c r="H275" s="608">
        <f>VLOOKUP($B275,R_DG!$A$7:$G$1305,6,0)</f>
        <v>418738.31999999995</v>
      </c>
      <c r="I275" s="608">
        <f>VLOOKUP($B275,R_DG!$A$7:$G$1305,7,0)</f>
        <v>0</v>
      </c>
      <c r="J275" s="608">
        <f t="shared" si="39"/>
        <v>0</v>
      </c>
      <c r="K275" s="608">
        <f t="shared" si="39"/>
        <v>4451188.3415999999</v>
      </c>
      <c r="L275" s="725">
        <f t="shared" si="39"/>
        <v>0</v>
      </c>
      <c r="M275" s="1127">
        <f>IF(F275&gt;0,M$272,0)</f>
        <v>0</v>
      </c>
      <c r="N275" s="727">
        <f ca="1">$F275*N$272</f>
        <v>0</v>
      </c>
    </row>
    <row r="276" spans="1:14" hidden="1">
      <c r="A276" s="731"/>
      <c r="B276" s="227" t="str">
        <f>IF(CAPDAT=1,"MDAP1",IF(CAPDAT=2,"MDAP2",IF(CAPDAT=3,"MDAP3",IF(CAPDAT=4,"MDAP4"))))</f>
        <v>MDAP3</v>
      </c>
      <c r="C276" s="713" t="str">
        <f>VLOOKUP($B276,R_DG!$A$7:$G$1305,2,0)</f>
        <v>AB.13000</v>
      </c>
      <c r="D276" s="723" t="str">
        <f>VLOOKUP($B276,R_DG!$A$7:$G$1305,3,0)</f>
        <v>Đắp đất hố móng, đất cấp 3, k = 0,85</v>
      </c>
      <c r="E276" s="714" t="str">
        <f>VLOOKUP($B276,R_DG!$A$7:$G$1305,4,0)</f>
        <v>m3</v>
      </c>
      <c r="F276" s="734">
        <v>10.63</v>
      </c>
      <c r="G276" s="608">
        <f>VLOOKUP($B276,R_DG!$A$7:$G$1305,5,0)</f>
        <v>0</v>
      </c>
      <c r="H276" s="608">
        <f>VLOOKUP($B276,R_DG!$A$7:$G$1305,6,0)</f>
        <v>100210.88</v>
      </c>
      <c r="I276" s="608">
        <f>VLOOKUP($B276,R_DG!$A$7:$G$1305,7,0)</f>
        <v>0</v>
      </c>
      <c r="J276" s="608">
        <f t="shared" si="39"/>
        <v>0</v>
      </c>
      <c r="K276" s="608">
        <f t="shared" si="39"/>
        <v>1065241.6544000001</v>
      </c>
      <c r="L276" s="725">
        <f t="shared" si="39"/>
        <v>0</v>
      </c>
      <c r="M276" s="1127">
        <f>IF(F276&gt;0,M$272,0)</f>
        <v>0</v>
      </c>
      <c r="N276" s="727">
        <f ca="1">$F276*N$272</f>
        <v>0</v>
      </c>
    </row>
    <row r="277" spans="1:14" hidden="1">
      <c r="A277" s="731"/>
      <c r="B277" s="227" t="s">
        <v>2152</v>
      </c>
      <c r="C277" s="713" t="str">
        <f>VLOOKUP($B277,R_DG!$A$7:$G$1305,2,0)</f>
        <v>02.1123</v>
      </c>
      <c r="D277" s="723" t="str">
        <f>VLOOKUP($B277,R_DG!$A$7:$G$1305,3,0)</f>
        <v>Bốc dỡ đà cản, đế néo</v>
      </c>
      <c r="E277" s="714" t="str">
        <f>VLOOKUP($B277,R_DG!$A$7:$G$1305,4,0)</f>
        <v>tấn</v>
      </c>
      <c r="F277" s="734">
        <f>0.255*F273</f>
        <v>1.02</v>
      </c>
      <c r="G277" s="608">
        <f>VLOOKUP($B277,R_DG!$A$7:$G$1305,5,0)</f>
        <v>0</v>
      </c>
      <c r="H277" s="608">
        <f>VLOOKUP($B277,R_DG!$A$7:$G$1305,6,0)</f>
        <v>0</v>
      </c>
      <c r="I277" s="608">
        <f>VLOOKUP($B277,R_DG!$A$7:$G$1305,7,0)</f>
        <v>0</v>
      </c>
      <c r="J277" s="608">
        <f t="shared" si="39"/>
        <v>0</v>
      </c>
      <c r="K277" s="608">
        <f t="shared" si="39"/>
        <v>0</v>
      </c>
      <c r="L277" s="725">
        <f t="shared" si="39"/>
        <v>0</v>
      </c>
      <c r="M277" s="1127">
        <f>IF(F277&gt;0,M$272,0)</f>
        <v>0</v>
      </c>
      <c r="N277" s="727">
        <f ca="1">$F277*N$272</f>
        <v>0</v>
      </c>
    </row>
    <row r="278" spans="1:14">
      <c r="A278" s="728" t="s">
        <v>3024</v>
      </c>
      <c r="B278" s="729"/>
      <c r="C278" s="717"/>
      <c r="D278" s="718" t="s">
        <v>3023</v>
      </c>
      <c r="E278" s="718" t="s">
        <v>3025</v>
      </c>
      <c r="F278" s="719"/>
      <c r="G278" s="720"/>
      <c r="H278" s="720"/>
      <c r="I278" s="720"/>
      <c r="J278" s="720">
        <f>SUM(J279:J283)</f>
        <v>180238</v>
      </c>
      <c r="K278" s="720">
        <f>SUM(K279:K283)</f>
        <v>0</v>
      </c>
      <c r="L278" s="721">
        <f>SUM(L279:L283)</f>
        <v>0</v>
      </c>
      <c r="M278" s="1126">
        <f>IF(ERROR.TYPE(IF(HLOOKUP(A278,maBK,1,0)&lt;&gt;"",#NULL!,"ABC"))&lt;&gt;7,1,0)</f>
        <v>0</v>
      </c>
      <c r="N278" s="712">
        <f ca="1">SUMIF(maBK,$A278,tongBK1)</f>
        <v>0</v>
      </c>
    </row>
    <row r="279" spans="1:14" hidden="1">
      <c r="A279" s="731"/>
      <c r="B279" s="227" t="s">
        <v>762</v>
      </c>
      <c r="C279" s="713">
        <f>VLOOKUP($B279,R_DG!$A$7:$G$1305,2,0)</f>
        <v>0</v>
      </c>
      <c r="D279" s="723" t="str">
        <f>VLOOKUP($B279,R_DG!$A$7:$G$1305,3,0)</f>
        <v>Cát vàng</v>
      </c>
      <c r="E279" s="714" t="str">
        <f>VLOOKUP($B279,R_DG!$A$7:$G$1305,4,0)</f>
        <v>m3</v>
      </c>
      <c r="F279" s="734">
        <v>0.28000000000000003</v>
      </c>
      <c r="G279" s="608">
        <f>VLOOKUP($B279,R_DG!$A$7:$G$1305,5,0)</f>
        <v>320000</v>
      </c>
      <c r="H279" s="608">
        <f>VLOOKUP($B279,R_DG!$A$7:$G$1305,6,0)</f>
        <v>0</v>
      </c>
      <c r="I279" s="608">
        <f>VLOOKUP($B279,R_DG!$A$7:$G$1305,7,0)</f>
        <v>0</v>
      </c>
      <c r="J279" s="608">
        <f t="shared" ref="J279:L289" si="44">G279*$F279</f>
        <v>89600.000000000015</v>
      </c>
      <c r="K279" s="608">
        <f t="shared" si="44"/>
        <v>0</v>
      </c>
      <c r="L279" s="725">
        <f t="shared" si="44"/>
        <v>0</v>
      </c>
      <c r="M279" s="1127">
        <f>IF(F279&gt;0,M$278,0)</f>
        <v>0</v>
      </c>
      <c r="N279" s="727">
        <f t="shared" ref="N279:N289" ca="1" si="45">$F279*N$278</f>
        <v>0</v>
      </c>
    </row>
    <row r="280" spans="1:14" hidden="1">
      <c r="A280" s="731"/>
      <c r="B280" s="227" t="s">
        <v>2159</v>
      </c>
      <c r="C280" s="713">
        <f>VLOOKUP($B280,R_DG!$A$7:$G$1305,2,0)</f>
        <v>0</v>
      </c>
      <c r="D280" s="723" t="str">
        <f>VLOOKUP($B280,R_DG!$A$7:$G$1305,3,0)</f>
        <v>Đá 1x2</v>
      </c>
      <c r="E280" s="714" t="str">
        <f>VLOOKUP($B280,R_DG!$A$7:$G$1305,4,0)</f>
        <v>m3</v>
      </c>
      <c r="F280" s="734">
        <v>0.04</v>
      </c>
      <c r="G280" s="608">
        <f>VLOOKUP($B280,R_DG!$A$7:$G$1305,5,0)</f>
        <v>400000</v>
      </c>
      <c r="H280" s="608">
        <f>VLOOKUP($B280,R_DG!$A$7:$G$1305,6,0)</f>
        <v>0</v>
      </c>
      <c r="I280" s="608">
        <f>VLOOKUP($B280,R_DG!$A$7:$G$1305,7,0)</f>
        <v>0</v>
      </c>
      <c r="J280" s="608">
        <f t="shared" si="44"/>
        <v>16000</v>
      </c>
      <c r="K280" s="608">
        <f t="shared" si="44"/>
        <v>0</v>
      </c>
      <c r="L280" s="725">
        <f t="shared" si="44"/>
        <v>0</v>
      </c>
      <c r="M280" s="1127">
        <f t="shared" ref="M280:M289" si="46">IF(F280&gt;0,M$278,0)</f>
        <v>0</v>
      </c>
      <c r="N280" s="727">
        <f t="shared" ca="1" si="45"/>
        <v>0</v>
      </c>
    </row>
    <row r="281" spans="1:14" hidden="1">
      <c r="A281" s="731"/>
      <c r="B281" s="735" t="s">
        <v>759</v>
      </c>
      <c r="C281" s="713">
        <f>VLOOKUP($B281,R_DG!$A$7:$G$1305,2,0)</f>
        <v>0</v>
      </c>
      <c r="D281" s="723" t="str">
        <f>VLOOKUP($B281,R_DG!$A$7:$G$1305,3,0)</f>
        <v>Đá 2x4</v>
      </c>
      <c r="E281" s="714" t="str">
        <f>VLOOKUP($B281,R_DG!$A$7:$G$1305,4,0)</f>
        <v>m3</v>
      </c>
      <c r="F281" s="734">
        <v>9.1999999999999998E-2</v>
      </c>
      <c r="G281" s="608">
        <f>VLOOKUP($B281,R_DG!$A$7:$G$1305,5,0)</f>
        <v>320000</v>
      </c>
      <c r="H281" s="608">
        <f>VLOOKUP($B281,R_DG!$A$7:$G$1305,6,0)</f>
        <v>0</v>
      </c>
      <c r="I281" s="608">
        <f>VLOOKUP($B281,R_DG!$A$7:$G$1305,7,0)</f>
        <v>0</v>
      </c>
      <c r="J281" s="608">
        <f t="shared" si="44"/>
        <v>29440</v>
      </c>
      <c r="K281" s="608">
        <f t="shared" si="44"/>
        <v>0</v>
      </c>
      <c r="L281" s="725">
        <f t="shared" si="44"/>
        <v>0</v>
      </c>
      <c r="M281" s="1127">
        <f t="shared" si="46"/>
        <v>0</v>
      </c>
      <c r="N281" s="727">
        <f t="shared" ca="1" si="45"/>
        <v>0</v>
      </c>
    </row>
    <row r="282" spans="1:14" hidden="1">
      <c r="A282" s="731"/>
      <c r="B282" s="735" t="s">
        <v>767</v>
      </c>
      <c r="C282" s="713">
        <f>VLOOKUP($B282,R_DG!$A$7:$G$1305,2,0)</f>
        <v>0</v>
      </c>
      <c r="D282" s="723" t="str">
        <f>VLOOKUP($B282,R_DG!$A$7:$G$1305,3,0)</f>
        <v>Ximăng</v>
      </c>
      <c r="E282" s="714" t="str">
        <f>VLOOKUP($B282,R_DG!$A$7:$G$1305,4,0)</f>
        <v>kg</v>
      </c>
      <c r="F282" s="734">
        <v>14.11</v>
      </c>
      <c r="G282" s="608">
        <f>VLOOKUP($B282,R_DG!$A$7:$G$1305,5,0)</f>
        <v>1800</v>
      </c>
      <c r="H282" s="608">
        <f>VLOOKUP($B282,R_DG!$A$7:$G$1305,6,0)</f>
        <v>0</v>
      </c>
      <c r="I282" s="608">
        <f>VLOOKUP($B282,R_DG!$A$7:$G$1305,7,0)</f>
        <v>0</v>
      </c>
      <c r="J282" s="608">
        <f t="shared" si="44"/>
        <v>25398</v>
      </c>
      <c r="K282" s="608">
        <f t="shared" si="44"/>
        <v>0</v>
      </c>
      <c r="L282" s="725">
        <f t="shared" si="44"/>
        <v>0</v>
      </c>
      <c r="M282" s="1127">
        <f t="shared" si="46"/>
        <v>0</v>
      </c>
      <c r="N282" s="727">
        <f t="shared" ca="1" si="45"/>
        <v>0</v>
      </c>
    </row>
    <row r="283" spans="1:14" hidden="1">
      <c r="A283" s="731"/>
      <c r="B283" s="735" t="s">
        <v>766</v>
      </c>
      <c r="C283" s="713">
        <f>VLOOKUP($B283,R_DG!$A$7:$G$1305,2,0)</f>
        <v>0</v>
      </c>
      <c r="D283" s="723" t="str">
        <f>VLOOKUP($B283,R_DG!$A$7:$G$1305,3,0)</f>
        <v>Gạch tàu (30x30x30)</v>
      </c>
      <c r="E283" s="714" t="str">
        <f>VLOOKUP($B283,R_DG!$A$7:$G$1305,4,0)</f>
        <v>viên</v>
      </c>
      <c r="F283" s="734">
        <v>3.3</v>
      </c>
      <c r="G283" s="608">
        <f>VLOOKUP($B283,R_DG!$A$7:$G$1305,5,0)</f>
        <v>6000</v>
      </c>
      <c r="H283" s="608">
        <f>VLOOKUP($B283,R_DG!$A$7:$G$1305,6,0)</f>
        <v>0</v>
      </c>
      <c r="I283" s="608">
        <f>VLOOKUP($B283,R_DG!$A$7:$G$1305,7,0)</f>
        <v>0</v>
      </c>
      <c r="J283" s="608">
        <f t="shared" si="44"/>
        <v>19800</v>
      </c>
      <c r="K283" s="608">
        <f t="shared" si="44"/>
        <v>0</v>
      </c>
      <c r="L283" s="725">
        <f t="shared" si="44"/>
        <v>0</v>
      </c>
      <c r="M283" s="1127">
        <f t="shared" si="46"/>
        <v>0</v>
      </c>
      <c r="N283" s="727">
        <f t="shared" ca="1" si="45"/>
        <v>0</v>
      </c>
    </row>
    <row r="284" spans="1:14" hidden="1">
      <c r="A284" s="731"/>
      <c r="B284" s="227" t="s">
        <v>770</v>
      </c>
      <c r="C284" s="713">
        <f>VLOOKUP($B284,R_DG!$A$7:$G$1305,2,0)</f>
        <v>0</v>
      </c>
      <c r="D284" s="723" t="str">
        <f>VLOOKUP($B284,R_DG!$A$7:$G$1305,3,0)</f>
        <v>Tấm nilông màu cảnh báo</v>
      </c>
      <c r="E284" s="714" t="str">
        <f>VLOOKUP($B284,R_DG!$A$7:$G$1305,4,0)</f>
        <v>m2</v>
      </c>
      <c r="F284" s="734">
        <v>0.5</v>
      </c>
      <c r="G284" s="608">
        <f>VLOOKUP($B284,R_DG!$A$7:$G$1305,5,0)</f>
        <v>6000</v>
      </c>
      <c r="H284" s="608">
        <f>VLOOKUP($B284,R_DG!$A$7:$G$1305,6,0)</f>
        <v>0</v>
      </c>
      <c r="I284" s="608">
        <f>VLOOKUP($B284,R_DG!$A$7:$G$1305,7,0)</f>
        <v>0</v>
      </c>
      <c r="J284" s="608">
        <f t="shared" si="44"/>
        <v>3000</v>
      </c>
      <c r="K284" s="608">
        <f t="shared" si="44"/>
        <v>0</v>
      </c>
      <c r="L284" s="725">
        <f t="shared" si="44"/>
        <v>0</v>
      </c>
      <c r="M284" s="1127">
        <f t="shared" si="46"/>
        <v>0</v>
      </c>
      <c r="N284" s="727">
        <f t="shared" ca="1" si="45"/>
        <v>0</v>
      </c>
    </row>
    <row r="285" spans="1:14" hidden="1">
      <c r="A285" s="731"/>
      <c r="B285" s="227" t="s">
        <v>1902</v>
      </c>
      <c r="C285" s="713">
        <f>VLOOKUP($B285,R_DG!$A$7:$G$1305,2,0)</f>
        <v>0</v>
      </c>
      <c r="D285" s="723" t="str">
        <f>VLOOKUP($B285,R_DG!$A$7:$G$1305,3,0)</f>
        <v xml:space="preserve">Ống PVC D114x4,9mm </v>
      </c>
      <c r="E285" s="714" t="str">
        <f>VLOOKUP($B285,R_DG!$A$7:$G$1305,4,0)</f>
        <v>m</v>
      </c>
      <c r="F285" s="734">
        <v>1</v>
      </c>
      <c r="G285" s="608">
        <f>VLOOKUP($B285,R_DG!$A$7:$G$1305,5,0)</f>
        <v>103700</v>
      </c>
      <c r="H285" s="608">
        <f>VLOOKUP($B285,R_DG!$A$7:$G$1305,6,0)</f>
        <v>0</v>
      </c>
      <c r="I285" s="608">
        <f>VLOOKUP($B285,R_DG!$A$7:$G$1305,7,0)</f>
        <v>0</v>
      </c>
      <c r="J285" s="608">
        <f t="shared" si="44"/>
        <v>103700</v>
      </c>
      <c r="K285" s="608">
        <f t="shared" si="44"/>
        <v>0</v>
      </c>
      <c r="L285" s="725">
        <f t="shared" si="44"/>
        <v>0</v>
      </c>
      <c r="M285" s="1127">
        <f t="shared" si="46"/>
        <v>0</v>
      </c>
      <c r="N285" s="727">
        <f t="shared" ca="1" si="45"/>
        <v>0</v>
      </c>
    </row>
    <row r="286" spans="1:14" hidden="1">
      <c r="A286" s="731"/>
      <c r="B286" s="735" t="s">
        <v>3028</v>
      </c>
      <c r="C286" s="713" t="str">
        <f>VLOOKUP($B286,R_DG!$A$7:$G$1305,2,0)</f>
        <v>07.2104</v>
      </c>
      <c r="D286" s="723" t="str">
        <f>VLOOKUP($B286,R_DG!$A$7:$G$1305,3,0)</f>
        <v>Lắp gạch làm dấu</v>
      </c>
      <c r="E286" s="714" t="str">
        <f>VLOOKUP($B286,R_DG!$A$7:$G$1305,4,0)</f>
        <v>viên</v>
      </c>
      <c r="F286" s="734">
        <v>3.3</v>
      </c>
      <c r="G286" s="608">
        <f>VLOOKUP($B286,R_DG!$A$7:$G$1305,5,0)</f>
        <v>0</v>
      </c>
      <c r="H286" s="608">
        <f>VLOOKUP($B286,R_DG!$A$7:$G$1305,6,0)</f>
        <v>0</v>
      </c>
      <c r="I286" s="608">
        <f>VLOOKUP($B286,R_DG!$A$7:$G$1305,7,0)</f>
        <v>0</v>
      </c>
      <c r="J286" s="608">
        <f t="shared" si="44"/>
        <v>0</v>
      </c>
      <c r="K286" s="608">
        <f t="shared" si="44"/>
        <v>0</v>
      </c>
      <c r="L286" s="725">
        <f t="shared" si="44"/>
        <v>0</v>
      </c>
      <c r="M286" s="1127">
        <f t="shared" si="46"/>
        <v>0</v>
      </c>
      <c r="N286" s="727">
        <f t="shared" ca="1" si="45"/>
        <v>0</v>
      </c>
    </row>
    <row r="287" spans="1:14" hidden="1">
      <c r="A287" s="731"/>
      <c r="B287" s="735" t="s">
        <v>3029</v>
      </c>
      <c r="C287" s="713" t="str">
        <f>VLOOKUP($B287,R_DG!$A$7:$G$1305,2,0)</f>
        <v>03.7000</v>
      </c>
      <c r="D287" s="723" t="str">
        <f>VLOOKUP($B287,R_DG!$A$7:$G$1305,3,0)</f>
        <v xml:space="preserve">Đắp cát </v>
      </c>
      <c r="E287" s="714" t="str">
        <f>VLOOKUP($B287,R_DG!$A$7:$G$1305,4,0)</f>
        <v>m3</v>
      </c>
      <c r="F287" s="734">
        <v>0.25900000000000001</v>
      </c>
      <c r="G287" s="608">
        <f>VLOOKUP($B287,R_DG!$A$7:$G$1305,5,0)</f>
        <v>0</v>
      </c>
      <c r="H287" s="608">
        <f>VLOOKUP($B287,R_DG!$A$7:$G$1305,6,0)</f>
        <v>0</v>
      </c>
      <c r="I287" s="608">
        <f>VLOOKUP($B287,R_DG!$A$7:$G$1305,7,0)</f>
        <v>0</v>
      </c>
      <c r="J287" s="608">
        <f t="shared" si="44"/>
        <v>0</v>
      </c>
      <c r="K287" s="608">
        <f t="shared" si="44"/>
        <v>0</v>
      </c>
      <c r="L287" s="725">
        <f t="shared" si="44"/>
        <v>0</v>
      </c>
      <c r="M287" s="1127">
        <f t="shared" si="46"/>
        <v>0</v>
      </c>
      <c r="N287" s="727">
        <f t="shared" ca="1" si="45"/>
        <v>0</v>
      </c>
    </row>
    <row r="288" spans="1:14" hidden="1">
      <c r="A288" s="731"/>
      <c r="B288" s="735" t="s">
        <v>838</v>
      </c>
      <c r="C288" s="713" t="str">
        <f>VLOOKUP($B288,R_DG!$A$7:$G$1305,2,0)</f>
        <v>03.3103</v>
      </c>
      <c r="D288" s="723" t="str">
        <f>VLOOKUP($B288,R_DG!$A$7:$G$1305,3,0)</f>
        <v>Đào mương cáp ngầm đất cấp 3</v>
      </c>
      <c r="E288" s="714" t="str">
        <f>VLOOKUP($B288,R_DG!$A$7:$G$1305,4,0)</f>
        <v>m3</v>
      </c>
      <c r="F288" s="734">
        <v>0.4</v>
      </c>
      <c r="G288" s="608">
        <f>VLOOKUP($B288,R_DG!$A$7:$G$1305,5,0)</f>
        <v>0</v>
      </c>
      <c r="H288" s="608">
        <f>VLOOKUP($B288,R_DG!$A$7:$G$1305,6,0)</f>
        <v>0</v>
      </c>
      <c r="I288" s="608">
        <f>VLOOKUP($B288,R_DG!$A$7:$G$1305,7,0)</f>
        <v>0</v>
      </c>
      <c r="J288" s="608">
        <f t="shared" si="44"/>
        <v>0</v>
      </c>
      <c r="K288" s="608">
        <f t="shared" si="44"/>
        <v>0</v>
      </c>
      <c r="L288" s="725">
        <f t="shared" si="44"/>
        <v>0</v>
      </c>
      <c r="M288" s="1127">
        <f t="shared" si="46"/>
        <v>0</v>
      </c>
      <c r="N288" s="727">
        <f t="shared" ca="1" si="45"/>
        <v>0</v>
      </c>
    </row>
    <row r="289" spans="1:14" hidden="1">
      <c r="A289" s="731"/>
      <c r="B289" s="735" t="s">
        <v>1245</v>
      </c>
      <c r="C289" s="713" t="str">
        <f>VLOOKUP($B289,R_DG!$A$7:$G$1305,2,0)</f>
        <v>AF112.20</v>
      </c>
      <c r="D289" s="723" t="str">
        <f>VLOOKUP($B289,R_DG!$A$7:$G$1305,3,0)</f>
        <v>Đổ bê tông mác M150 đá 1x2</v>
      </c>
      <c r="E289" s="714" t="str">
        <f>VLOOKUP($B289,R_DG!$A$7:$G$1305,4,0)</f>
        <v>m3</v>
      </c>
      <c r="F289" s="734">
        <v>4.9000000000000002E-2</v>
      </c>
      <c r="G289" s="608">
        <f>VLOOKUP($B289,R_DG!$A$7:$G$1305,5,0)</f>
        <v>0</v>
      </c>
      <c r="H289" s="608">
        <f>VLOOKUP($B289,R_DG!$A$7:$G$1305,6,0)</f>
        <v>398225.65</v>
      </c>
      <c r="I289" s="608">
        <f>VLOOKUP($B289,R_DG!$A$7:$G$1305,7,0)</f>
        <v>0</v>
      </c>
      <c r="J289" s="608">
        <f t="shared" si="44"/>
        <v>0</v>
      </c>
      <c r="K289" s="608">
        <f t="shared" si="44"/>
        <v>19513.056850000001</v>
      </c>
      <c r="L289" s="725">
        <f t="shared" si="44"/>
        <v>0</v>
      </c>
      <c r="M289" s="1127">
        <f t="shared" si="46"/>
        <v>0</v>
      </c>
      <c r="N289" s="727">
        <f t="shared" ca="1" si="45"/>
        <v>0</v>
      </c>
    </row>
    <row r="290" spans="1:14">
      <c r="A290" s="728" t="s">
        <v>3027</v>
      </c>
      <c r="B290" s="729"/>
      <c r="C290" s="717"/>
      <c r="D290" s="718" t="s">
        <v>3026</v>
      </c>
      <c r="E290" s="718" t="s">
        <v>3025</v>
      </c>
      <c r="F290" s="719"/>
      <c r="G290" s="720"/>
      <c r="H290" s="720"/>
      <c r="I290" s="720"/>
      <c r="J290" s="720">
        <f>SUM(J291:J295)</f>
        <v>3430556</v>
      </c>
      <c r="K290" s="720">
        <f>SUM(K291:K295)</f>
        <v>0</v>
      </c>
      <c r="L290" s="721">
        <f>SUM(L291:L295)</f>
        <v>0</v>
      </c>
      <c r="M290" s="1126">
        <f>IF(ERROR.TYPE(IF(HLOOKUP(A290,maBK,1,0)&lt;&gt;"",#NULL!,"ABC"))&lt;&gt;7,1,0)</f>
        <v>0</v>
      </c>
      <c r="N290" s="712">
        <f ca="1">SUMIF(maBK,$A290,tongBK1)</f>
        <v>0</v>
      </c>
    </row>
    <row r="291" spans="1:14" hidden="1">
      <c r="A291" s="731"/>
      <c r="B291" s="227" t="s">
        <v>767</v>
      </c>
      <c r="C291" s="713">
        <f>VLOOKUP($B291,R_DG!$A$7:$G$1305,2,0)</f>
        <v>0</v>
      </c>
      <c r="D291" s="723" t="str">
        <f>VLOOKUP($B291,R_DG!$A$7:$G$1305,3,0)</f>
        <v>Ximăng</v>
      </c>
      <c r="E291" s="714" t="str">
        <f>VLOOKUP($B291,R_DG!$A$7:$G$1305,4,0)</f>
        <v>kg</v>
      </c>
      <c r="F291" s="734">
        <v>385.41999999999996</v>
      </c>
      <c r="G291" s="608">
        <f>VLOOKUP($B291,R_DG!$A$7:$G$1305,5,0)</f>
        <v>1800</v>
      </c>
      <c r="H291" s="608">
        <f>VLOOKUP($B291,R_DG!$A$7:$G$1305,6,0)</f>
        <v>0</v>
      </c>
      <c r="I291" s="608">
        <f>VLOOKUP($B291,R_DG!$A$7:$G$1305,7,0)</f>
        <v>0</v>
      </c>
      <c r="J291" s="608">
        <f t="shared" ref="J291:L300" si="47">G291*$F291</f>
        <v>693755.99999999988</v>
      </c>
      <c r="K291" s="608">
        <f t="shared" si="47"/>
        <v>0</v>
      </c>
      <c r="L291" s="725">
        <f t="shared" si="47"/>
        <v>0</v>
      </c>
      <c r="M291" s="1127">
        <f>IF(F291&gt;0,M$290,0)</f>
        <v>0</v>
      </c>
      <c r="N291" s="727">
        <f t="shared" ref="N291:N301" ca="1" si="48">$F291*N$290</f>
        <v>0</v>
      </c>
    </row>
    <row r="292" spans="1:14" hidden="1">
      <c r="A292" s="731"/>
      <c r="B292" s="227" t="s">
        <v>762</v>
      </c>
      <c r="C292" s="713">
        <f>VLOOKUP($B292,R_DG!$A$7:$G$1305,2,0)</f>
        <v>0</v>
      </c>
      <c r="D292" s="723" t="str">
        <f>VLOOKUP($B292,R_DG!$A$7:$G$1305,3,0)</f>
        <v>Cát vàng</v>
      </c>
      <c r="E292" s="714" t="str">
        <f>VLOOKUP($B292,R_DG!$A$7:$G$1305,4,0)</f>
        <v>m3</v>
      </c>
      <c r="F292" s="734">
        <v>3.59</v>
      </c>
      <c r="G292" s="608">
        <f>VLOOKUP($B292,R_DG!$A$7:$G$1305,5,0)</f>
        <v>320000</v>
      </c>
      <c r="H292" s="608">
        <f>VLOOKUP($B292,R_DG!$A$7:$G$1305,6,0)</f>
        <v>0</v>
      </c>
      <c r="I292" s="608">
        <f>VLOOKUP($B292,R_DG!$A$7:$G$1305,7,0)</f>
        <v>0</v>
      </c>
      <c r="J292" s="608">
        <f t="shared" si="47"/>
        <v>1148800</v>
      </c>
      <c r="K292" s="608">
        <f t="shared" si="47"/>
        <v>0</v>
      </c>
      <c r="L292" s="725">
        <f t="shared" si="47"/>
        <v>0</v>
      </c>
      <c r="M292" s="1127">
        <f t="shared" ref="M292:M301" si="49">IF(F292&gt;0,M$290,0)</f>
        <v>0</v>
      </c>
      <c r="N292" s="727">
        <f t="shared" ca="1" si="48"/>
        <v>0</v>
      </c>
    </row>
    <row r="293" spans="1:14" hidden="1">
      <c r="A293" s="731"/>
      <c r="B293" s="735" t="s">
        <v>2159</v>
      </c>
      <c r="C293" s="713">
        <f>VLOOKUP($B293,R_DG!$A$7:$G$1305,2,0)</f>
        <v>0</v>
      </c>
      <c r="D293" s="723" t="str">
        <f>VLOOKUP($B293,R_DG!$A$7:$G$1305,3,0)</f>
        <v>Đá 1x2</v>
      </c>
      <c r="E293" s="714" t="str">
        <f>VLOOKUP($B293,R_DG!$A$7:$G$1305,4,0)</f>
        <v>m3</v>
      </c>
      <c r="F293" s="734">
        <v>3.97</v>
      </c>
      <c r="G293" s="608">
        <f>VLOOKUP($B293,R_DG!$A$7:$G$1305,5,0)</f>
        <v>400000</v>
      </c>
      <c r="H293" s="608">
        <f>VLOOKUP($B293,R_DG!$A$7:$G$1305,6,0)</f>
        <v>0</v>
      </c>
      <c r="I293" s="608">
        <f>VLOOKUP($B293,R_DG!$A$7:$G$1305,7,0)</f>
        <v>0</v>
      </c>
      <c r="J293" s="608">
        <f t="shared" si="47"/>
        <v>1588000</v>
      </c>
      <c r="K293" s="608">
        <f t="shared" si="47"/>
        <v>0</v>
      </c>
      <c r="L293" s="725">
        <f t="shared" si="47"/>
        <v>0</v>
      </c>
      <c r="M293" s="1127">
        <f t="shared" si="49"/>
        <v>0</v>
      </c>
      <c r="N293" s="727">
        <f t="shared" ca="1" si="48"/>
        <v>0</v>
      </c>
    </row>
    <row r="294" spans="1:14" hidden="1">
      <c r="A294" s="731"/>
      <c r="B294" s="735" t="s">
        <v>3030</v>
      </c>
      <c r="C294" s="713">
        <f>VLOOKUP($B294,R_DG!$A$7:$G$1305,2,0)</f>
        <v>0</v>
      </c>
      <c r="D294" s="723" t="str">
        <f>VLOOKUP($B294,R_DG!$A$7:$G$1305,3,0)</f>
        <v>Đá 4x6</v>
      </c>
      <c r="E294" s="714" t="str">
        <f>VLOOKUP($B294,R_DG!$A$7:$G$1305,4,0)</f>
        <v>m3</v>
      </c>
      <c r="F294" s="734"/>
      <c r="G294" s="608">
        <f>VLOOKUP($B294,R_DG!$A$7:$G$1305,5,0)</f>
        <v>113524</v>
      </c>
      <c r="H294" s="608">
        <f>VLOOKUP($B294,R_DG!$A$7:$G$1305,6,0)</f>
        <v>0</v>
      </c>
      <c r="I294" s="608">
        <f>VLOOKUP($B294,R_DG!$A$7:$G$1305,7,0)</f>
        <v>0</v>
      </c>
      <c r="J294" s="608">
        <f t="shared" si="47"/>
        <v>0</v>
      </c>
      <c r="K294" s="608">
        <f t="shared" si="47"/>
        <v>0</v>
      </c>
      <c r="L294" s="725">
        <f t="shared" si="47"/>
        <v>0</v>
      </c>
      <c r="M294" s="1127">
        <f t="shared" si="49"/>
        <v>0</v>
      </c>
      <c r="N294" s="727">
        <f t="shared" ca="1" si="48"/>
        <v>0</v>
      </c>
    </row>
    <row r="295" spans="1:14" hidden="1">
      <c r="A295" s="731"/>
      <c r="B295" s="735" t="s">
        <v>852</v>
      </c>
      <c r="C295" s="713" t="str">
        <f>VLOOKUP($B295,R_DG!$A$7:$G$1305,2,0)</f>
        <v>03.7000</v>
      </c>
      <c r="D295" s="723" t="str">
        <f>VLOOKUP($B295,R_DG!$A$7:$G$1305,3,0)</f>
        <v xml:space="preserve">Đắp cát </v>
      </c>
      <c r="E295" s="714" t="str">
        <f>VLOOKUP($B295,R_DG!$A$7:$G$1305,4,0)</f>
        <v>m3</v>
      </c>
      <c r="F295" s="734">
        <v>0.14000000000000001</v>
      </c>
      <c r="G295" s="608">
        <f>VLOOKUP($B295,R_DG!$A$7:$G$1305,5,0)</f>
        <v>0</v>
      </c>
      <c r="H295" s="608">
        <f>VLOOKUP($B295,R_DG!$A$7:$G$1305,6,0)</f>
        <v>0</v>
      </c>
      <c r="I295" s="608">
        <f>VLOOKUP($B295,R_DG!$A$7:$G$1305,7,0)</f>
        <v>0</v>
      </c>
      <c r="J295" s="608">
        <f t="shared" si="47"/>
        <v>0</v>
      </c>
      <c r="K295" s="608">
        <f t="shared" si="47"/>
        <v>0</v>
      </c>
      <c r="L295" s="725">
        <f t="shared" si="47"/>
        <v>0</v>
      </c>
      <c r="M295" s="1127">
        <f t="shared" si="49"/>
        <v>0</v>
      </c>
      <c r="N295" s="727">
        <f t="shared" ca="1" si="48"/>
        <v>0</v>
      </c>
    </row>
    <row r="296" spans="1:14" hidden="1">
      <c r="A296" s="731"/>
      <c r="B296" s="227" t="s">
        <v>818</v>
      </c>
      <c r="C296" s="713" t="str">
        <f>VLOOKUP($B296,R_DG!$A$7:$G$1305,2,0)</f>
        <v>AB.11400</v>
      </c>
      <c r="D296" s="723" t="str">
        <f>VLOOKUP($B296,R_DG!$A$7:$G$1305,3,0)</f>
        <v>Đào hố móng đất cấp 3 sâu &gt;1m, rộng &lt;1m</v>
      </c>
      <c r="E296" s="714" t="str">
        <f>VLOOKUP($B296,R_DG!$A$7:$G$1305,4,0)</f>
        <v>m3</v>
      </c>
      <c r="F296" s="734">
        <v>1.73</v>
      </c>
      <c r="G296" s="608">
        <f>VLOOKUP($B296,R_DG!$A$7:$G$1305,5,0)</f>
        <v>0</v>
      </c>
      <c r="H296" s="608">
        <f>VLOOKUP($B296,R_DG!$A$7:$G$1305,6,0)</f>
        <v>418738.31999999995</v>
      </c>
      <c r="I296" s="608">
        <f>VLOOKUP($B296,R_DG!$A$7:$G$1305,7,0)</f>
        <v>0</v>
      </c>
      <c r="J296" s="608">
        <f t="shared" si="47"/>
        <v>0</v>
      </c>
      <c r="K296" s="608">
        <f t="shared" si="47"/>
        <v>724417.29359999986</v>
      </c>
      <c r="L296" s="725">
        <f t="shared" si="47"/>
        <v>0</v>
      </c>
      <c r="M296" s="1127">
        <f t="shared" si="49"/>
        <v>0</v>
      </c>
      <c r="N296" s="727">
        <f t="shared" ca="1" si="48"/>
        <v>0</v>
      </c>
    </row>
    <row r="297" spans="1:14" hidden="1">
      <c r="A297" s="731"/>
      <c r="B297" s="227" t="s">
        <v>1245</v>
      </c>
      <c r="C297" s="713" t="str">
        <f>VLOOKUP($B297,R_DG!$A$7:$G$1305,2,0)</f>
        <v>AF112.20</v>
      </c>
      <c r="D297" s="723" t="str">
        <f>VLOOKUP($B297,R_DG!$A$7:$G$1305,3,0)</f>
        <v>Đổ bê tông mác M150 đá 1x2</v>
      </c>
      <c r="E297" s="714" t="str">
        <f>VLOOKUP($B297,R_DG!$A$7:$G$1305,4,0)</f>
        <v>m3</v>
      </c>
      <c r="F297" s="734">
        <v>0.14000000000000001</v>
      </c>
      <c r="G297" s="608">
        <f>VLOOKUP($B297,R_DG!$A$7:$G$1305,5,0)</f>
        <v>0</v>
      </c>
      <c r="H297" s="608">
        <f>VLOOKUP($B297,R_DG!$A$7:$G$1305,6,0)</f>
        <v>398225.65</v>
      </c>
      <c r="I297" s="608">
        <f>VLOOKUP($B297,R_DG!$A$7:$G$1305,7,0)</f>
        <v>0</v>
      </c>
      <c r="J297" s="608">
        <f t="shared" si="47"/>
        <v>0</v>
      </c>
      <c r="K297" s="608">
        <f t="shared" si="47"/>
        <v>55751.591000000008</v>
      </c>
      <c r="L297" s="725">
        <f t="shared" si="47"/>
        <v>0</v>
      </c>
      <c r="M297" s="1127">
        <f t="shared" si="49"/>
        <v>0</v>
      </c>
      <c r="N297" s="727">
        <f t="shared" ca="1" si="48"/>
        <v>0</v>
      </c>
    </row>
    <row r="298" spans="1:14" hidden="1">
      <c r="A298" s="731"/>
      <c r="B298" s="735" t="s">
        <v>1247</v>
      </c>
      <c r="C298" s="713" t="str">
        <f>VLOOKUP($B298,R_DG!$A$7:$G$1305,2,0)</f>
        <v>AF112.20</v>
      </c>
      <c r="D298" s="723" t="str">
        <f>VLOOKUP($B298,R_DG!$A$7:$G$1305,3,0)</f>
        <v>Đổ bê tông mác M200 đá 1x2</v>
      </c>
      <c r="E298" s="714" t="str">
        <f>VLOOKUP($B298,R_DG!$A$7:$G$1305,4,0)</f>
        <v>m3</v>
      </c>
      <c r="F298" s="734">
        <v>0.98</v>
      </c>
      <c r="G298" s="608">
        <f>VLOOKUP($B298,R_DG!$A$7:$G$1305,5,0)</f>
        <v>0</v>
      </c>
      <c r="H298" s="608">
        <f>VLOOKUP($B298,R_DG!$A$7:$G$1305,6,0)</f>
        <v>398225.65</v>
      </c>
      <c r="I298" s="608">
        <f>VLOOKUP($B298,R_DG!$A$7:$G$1305,7,0)</f>
        <v>0</v>
      </c>
      <c r="J298" s="608">
        <f t="shared" si="47"/>
        <v>0</v>
      </c>
      <c r="K298" s="608">
        <f t="shared" si="47"/>
        <v>390261.13699999999</v>
      </c>
      <c r="L298" s="725">
        <f t="shared" si="47"/>
        <v>0</v>
      </c>
      <c r="M298" s="1127">
        <f t="shared" si="49"/>
        <v>0</v>
      </c>
      <c r="N298" s="727">
        <f t="shared" ca="1" si="48"/>
        <v>0</v>
      </c>
    </row>
    <row r="299" spans="1:14" hidden="1">
      <c r="A299" s="731"/>
      <c r="B299" s="735" t="s">
        <v>2173</v>
      </c>
      <c r="C299" s="713">
        <f>VLOOKUP($B299,R_DG!$A$7:$G$1305,2,0)</f>
        <v>0</v>
      </c>
      <c r="D299" s="723" t="str">
        <f>VLOOKUP($B299,R_DG!$A$7:$G$1305,3,0)</f>
        <v>Sắt  φ10</v>
      </c>
      <c r="E299" s="714" t="str">
        <f>VLOOKUP($B299,R_DG!$A$7:$G$1305,4,0)</f>
        <v>kg</v>
      </c>
      <c r="F299" s="734">
        <v>82.8</v>
      </c>
      <c r="G299" s="608">
        <f>VLOOKUP($B299,R_DG!$A$7:$G$1305,5,0)</f>
        <v>14545</v>
      </c>
      <c r="H299" s="608">
        <f>VLOOKUP($B299,R_DG!$A$7:$G$1305,6,0)</f>
        <v>0</v>
      </c>
      <c r="I299" s="608">
        <f>VLOOKUP($B299,R_DG!$A$7:$G$1305,7,0)</f>
        <v>0</v>
      </c>
      <c r="J299" s="608">
        <f t="shared" si="47"/>
        <v>1204326</v>
      </c>
      <c r="K299" s="608">
        <f t="shared" si="47"/>
        <v>0</v>
      </c>
      <c r="L299" s="725">
        <f t="shared" si="47"/>
        <v>0</v>
      </c>
      <c r="M299" s="1127">
        <f t="shared" si="49"/>
        <v>0</v>
      </c>
      <c r="N299" s="727">
        <f t="shared" ca="1" si="48"/>
        <v>0</v>
      </c>
    </row>
    <row r="300" spans="1:14" hidden="1">
      <c r="A300" s="731"/>
      <c r="B300" s="735" t="s">
        <v>2174</v>
      </c>
      <c r="C300" s="713">
        <f>VLOOKUP($B300,R_DG!$A$7:$G$1305,2,0)</f>
        <v>0</v>
      </c>
      <c r="D300" s="723" t="str">
        <f>VLOOKUP($B300,R_DG!$A$7:$G$1305,3,0)</f>
        <v>Kẽm</v>
      </c>
      <c r="E300" s="714" t="str">
        <f>VLOOKUP($B300,R_DG!$A$7:$G$1305,4,0)</f>
        <v>kg</v>
      </c>
      <c r="F300" s="734">
        <v>0.3</v>
      </c>
      <c r="G300" s="608">
        <f>VLOOKUP($B300,R_DG!$A$7:$G$1305,5,0)</f>
        <v>35200</v>
      </c>
      <c r="H300" s="608">
        <f>VLOOKUP($B300,R_DG!$A$7:$G$1305,6,0)</f>
        <v>0</v>
      </c>
      <c r="I300" s="608">
        <f>VLOOKUP($B300,R_DG!$A$7:$G$1305,7,0)</f>
        <v>0</v>
      </c>
      <c r="J300" s="608">
        <f t="shared" si="47"/>
        <v>10560</v>
      </c>
      <c r="K300" s="608">
        <f t="shared" si="47"/>
        <v>0</v>
      </c>
      <c r="L300" s="725">
        <f t="shared" si="47"/>
        <v>0</v>
      </c>
      <c r="M300" s="1127">
        <f t="shared" si="49"/>
        <v>0</v>
      </c>
      <c r="N300" s="727">
        <f t="shared" ca="1" si="48"/>
        <v>0</v>
      </c>
    </row>
    <row r="301" spans="1:14" hidden="1">
      <c r="A301" s="731"/>
      <c r="B301" s="735" t="s">
        <v>2496</v>
      </c>
      <c r="C301" s="713">
        <f>VLOOKUP($B301,R_DG!$A$7:$G$1305,2,0)</f>
        <v>0</v>
      </c>
      <c r="D301" s="723" t="str">
        <f>VLOOKUP($B301,R_DG!$A$7:$G$1305,3,0)</f>
        <v>Thép hình L75 x75 x8</v>
      </c>
      <c r="E301" s="714" t="str">
        <f>VLOOKUP($B301,R_DG!$A$7:$G$1305,4,0)</f>
        <v>kg</v>
      </c>
      <c r="F301" s="734">
        <v>39.96</v>
      </c>
      <c r="G301" s="608">
        <f>VLOOKUP($B301,R_DG!$A$7:$G$1305,5,0)</f>
        <v>28961</v>
      </c>
      <c r="H301" s="608">
        <f>VLOOKUP($B301,R_DG!$A$7:$G$1305,6,0)</f>
        <v>0</v>
      </c>
      <c r="I301" s="608">
        <f>VLOOKUP($B301,R_DG!$A$7:$G$1305,7,0)</f>
        <v>0</v>
      </c>
      <c r="J301" s="608">
        <f>G301*$F301</f>
        <v>1157281.56</v>
      </c>
      <c r="K301" s="608">
        <f>H301*$F301</f>
        <v>0</v>
      </c>
      <c r="L301" s="725">
        <f>I301*$F301</f>
        <v>0</v>
      </c>
      <c r="M301" s="1127">
        <f t="shared" si="49"/>
        <v>0</v>
      </c>
      <c r="N301" s="727">
        <f t="shared" ca="1" si="48"/>
        <v>0</v>
      </c>
    </row>
    <row r="302" spans="1:14">
      <c r="A302" s="728" t="s">
        <v>3253</v>
      </c>
      <c r="B302" s="729"/>
      <c r="C302" s="717"/>
      <c r="D302" s="718" t="s">
        <v>3254</v>
      </c>
      <c r="E302" s="718" t="s">
        <v>163</v>
      </c>
      <c r="F302" s="719"/>
      <c r="G302" s="720"/>
      <c r="H302" s="720"/>
      <c r="I302" s="720"/>
      <c r="J302" s="720">
        <f>SUM(J303:J308)</f>
        <v>614856</v>
      </c>
      <c r="K302" s="720">
        <f>SUM(K303:K308)</f>
        <v>85984.656000000003</v>
      </c>
      <c r="L302" s="721">
        <f>SUM(L303:L308)</f>
        <v>0</v>
      </c>
      <c r="M302" s="1126">
        <f>IF(ERROR.TYPE(IF(HLOOKUP(A302,maBK,1,0)&lt;&gt;"",#NULL!,"ABC"))&lt;&gt;7,1,0)</f>
        <v>0</v>
      </c>
      <c r="N302" s="712">
        <f ca="1">SUMIF(maBK,$A302,tongBK1)</f>
        <v>0</v>
      </c>
    </row>
    <row r="303" spans="1:14" hidden="1">
      <c r="A303" s="696"/>
      <c r="B303" s="226" t="s">
        <v>2184</v>
      </c>
      <c r="C303" s="713">
        <f>VLOOKUP($B303,R_DG!$A$7:$G$1305,2,0)</f>
        <v>0</v>
      </c>
      <c r="D303" s="723" t="str">
        <f>VLOOKUP($B303,R_DG!$A$7:$G$1305,3,0)</f>
        <v>Cáp đồng trần M25mm2</v>
      </c>
      <c r="E303" s="714" t="str">
        <f>VLOOKUP($B303,R_DG!$A$7:$G$1305,4,0)</f>
        <v>kg</v>
      </c>
      <c r="F303" s="738">
        <f>8*0.224</f>
        <v>1.792</v>
      </c>
      <c r="G303" s="608">
        <f>VLOOKUP($B303,R_DG!$A$7:$G$1305,5,0)</f>
        <v>255500</v>
      </c>
      <c r="H303" s="608">
        <f>VLOOKUP($B303,R_DG!$A$7:$G$1305,6,0)</f>
        <v>0</v>
      </c>
      <c r="I303" s="608">
        <f>VLOOKUP($B303,R_DG!$A$7:$G$1305,7,0)</f>
        <v>0</v>
      </c>
      <c r="J303" s="608">
        <f t="shared" ref="J303:L308" si="50">G303*$F303</f>
        <v>457856</v>
      </c>
      <c r="K303" s="608">
        <f t="shared" si="50"/>
        <v>0</v>
      </c>
      <c r="L303" s="725">
        <f t="shared" si="50"/>
        <v>0</v>
      </c>
      <c r="M303" s="1127">
        <f>IF(F303&gt;0,M$302,0)</f>
        <v>0</v>
      </c>
      <c r="N303" s="727">
        <f t="shared" ref="N303:N308" ca="1" si="51">$F303*N$310</f>
        <v>0</v>
      </c>
    </row>
    <row r="304" spans="1:14" hidden="1">
      <c r="A304" s="696"/>
      <c r="B304" s="226" t="s">
        <v>405</v>
      </c>
      <c r="C304" s="713">
        <f>VLOOKUP($B304,R_DG!$A$7:$G$1305,2,0)</f>
        <v>0</v>
      </c>
      <c r="D304" s="723" t="str">
        <f>VLOOKUP($B304,R_DG!$A$7:$G$1305,3,0)</f>
        <v>Cọc tiếp đất φ 16- 2,4m + kẹp cọc</v>
      </c>
      <c r="E304" s="714" t="str">
        <f>VLOOKUP($B304,R_DG!$A$7:$G$1305,4,0)</f>
        <v>bộ</v>
      </c>
      <c r="F304" s="724">
        <v>1</v>
      </c>
      <c r="G304" s="608">
        <f>VLOOKUP($B304,R_DG!$A$7:$G$1305,5,0)</f>
        <v>135000</v>
      </c>
      <c r="H304" s="608">
        <f>VLOOKUP($B304,R_DG!$A$7:$G$1305,6,0)</f>
        <v>0</v>
      </c>
      <c r="I304" s="608">
        <f>VLOOKUP($B304,R_DG!$A$7:$G$1305,7,0)</f>
        <v>0</v>
      </c>
      <c r="J304" s="608">
        <f t="shared" si="50"/>
        <v>135000</v>
      </c>
      <c r="K304" s="608">
        <f t="shared" si="50"/>
        <v>0</v>
      </c>
      <c r="L304" s="725">
        <f t="shared" si="50"/>
        <v>0</v>
      </c>
      <c r="M304" s="1127">
        <f t="shared" ref="M304:M309" si="52">IF(F304&gt;0,M$302,0)</f>
        <v>0</v>
      </c>
      <c r="N304" s="727">
        <f t="shared" ca="1" si="51"/>
        <v>0</v>
      </c>
    </row>
    <row r="305" spans="1:14" hidden="1">
      <c r="A305" s="696"/>
      <c r="B305" s="226" t="s">
        <v>2055</v>
      </c>
      <c r="C305" s="713">
        <f>VLOOKUP($B305,R_DG!$A$7:$G$1305,2,0)</f>
        <v>0</v>
      </c>
      <c r="D305" s="723" t="str">
        <f>VLOOKUP($B305,R_DG!$A$7:$G$1305,3,0)</f>
        <v>Ghíp nối IPC 70-25 2BL</v>
      </c>
      <c r="E305" s="714" t="str">
        <f>VLOOKUP($B305,R_DG!$A$7:$G$1305,4,0)</f>
        <v>cái</v>
      </c>
      <c r="F305" s="724">
        <v>1</v>
      </c>
      <c r="G305" s="608">
        <f>VLOOKUP($B305,R_DG!$A$7:$G$1305,5,0)</f>
        <v>22000</v>
      </c>
      <c r="H305" s="608">
        <f>VLOOKUP($B305,R_DG!$A$7:$G$1305,6,0)</f>
        <v>0</v>
      </c>
      <c r="I305" s="608">
        <f>VLOOKUP($B305,R_DG!$A$7:$G$1305,7,0)</f>
        <v>0</v>
      </c>
      <c r="J305" s="608">
        <f t="shared" si="50"/>
        <v>22000</v>
      </c>
      <c r="K305" s="608">
        <f t="shared" si="50"/>
        <v>0</v>
      </c>
      <c r="L305" s="725">
        <f t="shared" si="50"/>
        <v>0</v>
      </c>
      <c r="M305" s="1127">
        <f t="shared" si="52"/>
        <v>0</v>
      </c>
      <c r="N305" s="727">
        <f t="shared" ca="1" si="51"/>
        <v>0</v>
      </c>
    </row>
    <row r="306" spans="1:14" hidden="1">
      <c r="A306" s="696"/>
      <c r="B306" s="226" t="s">
        <v>3239</v>
      </c>
      <c r="C306" s="713" t="str">
        <f>VLOOKUP($B306,R_DG!$A$7:$G$1305,2,0)</f>
        <v>CS.1.07.31</v>
      </c>
      <c r="D306" s="723" t="str">
        <f>VLOOKUP($B306,R_DG!$A$7:$G$1305,3,0)</f>
        <v>Làm tiếp địa lặp lại cho hệ thống chiếu sáng cáp treo</v>
      </c>
      <c r="E306" s="714" t="str">
        <f>VLOOKUP($B306,R_DG!$A$7:$G$1305,4,0)</f>
        <v>bộ</v>
      </c>
      <c r="F306" s="724">
        <v>1</v>
      </c>
      <c r="G306" s="608">
        <f>VLOOKUP($B306,R_DG!$A$7:$G$1305,5,0)</f>
        <v>0</v>
      </c>
      <c r="H306" s="608">
        <f>VLOOKUP($B306,R_DG!$A$7:$G$1305,6,0)</f>
        <v>0</v>
      </c>
      <c r="I306" s="608">
        <f>VLOOKUP($B306,R_DG!$A$7:$G$1305,7,0)</f>
        <v>0</v>
      </c>
      <c r="J306" s="608">
        <f t="shared" si="50"/>
        <v>0</v>
      </c>
      <c r="K306" s="608">
        <f t="shared" si="50"/>
        <v>0</v>
      </c>
      <c r="L306" s="725">
        <f t="shared" si="50"/>
        <v>0</v>
      </c>
      <c r="M306" s="1127">
        <f t="shared" si="52"/>
        <v>0</v>
      </c>
      <c r="N306" s="727">
        <f t="shared" ca="1" si="51"/>
        <v>0</v>
      </c>
    </row>
    <row r="307" spans="1:14" hidden="1">
      <c r="A307" s="696"/>
      <c r="B307" s="226" t="s">
        <v>1136</v>
      </c>
      <c r="C307" s="713" t="str">
        <f>VLOOKUP($B307,R_DG!$A$7:$G$1305,2,0)</f>
        <v>D2.8103</v>
      </c>
      <c r="D307" s="723" t="str">
        <f>VLOOKUP($B307,R_DG!$A$7:$G$1305,3,0)</f>
        <v>Đóng cọc tiếp địa đất cấp 3</v>
      </c>
      <c r="E307" s="714" t="str">
        <f>VLOOKUP($B307,R_DG!$A$7:$G$1305,4,0)</f>
        <v>cọc</v>
      </c>
      <c r="F307" s="724">
        <v>1</v>
      </c>
      <c r="G307" s="608">
        <f>VLOOKUP($B307,R_DG!$A$7:$G$1305,5,0)</f>
        <v>0</v>
      </c>
      <c r="H307" s="608">
        <f>VLOOKUP($B307,R_DG!$A$7:$G$1305,6,0)</f>
        <v>85984.656000000003</v>
      </c>
      <c r="I307" s="608">
        <f>VLOOKUP($B307,R_DG!$A$7:$G$1305,7,0)</f>
        <v>0</v>
      </c>
      <c r="J307" s="608">
        <f t="shared" si="50"/>
        <v>0</v>
      </c>
      <c r="K307" s="608">
        <f t="shared" si="50"/>
        <v>85984.656000000003</v>
      </c>
      <c r="L307" s="725">
        <f t="shared" si="50"/>
        <v>0</v>
      </c>
      <c r="M307" s="1127">
        <f t="shared" si="52"/>
        <v>0</v>
      </c>
      <c r="N307" s="727">
        <f t="shared" ca="1" si="51"/>
        <v>0</v>
      </c>
    </row>
    <row r="308" spans="1:14" hidden="1">
      <c r="A308" s="696"/>
      <c r="B308" s="226" t="s">
        <v>2185</v>
      </c>
      <c r="C308" s="713" t="str">
        <f>VLOOKUP($B308,R_DG!$A$7:$G$1305,2,0)</f>
        <v>02.1120</v>
      </c>
      <c r="D308" s="723" t="str">
        <f>VLOOKUP($B308,R_DG!$A$7:$G$1305,3,0)</f>
        <v>Bốc dỡ phụ kiện</v>
      </c>
      <c r="E308" s="714" t="str">
        <f>VLOOKUP($B308,R_DG!$A$7:$G$1305,4,0)</f>
        <v>tấn</v>
      </c>
      <c r="F308" s="724"/>
      <c r="G308" s="608">
        <f>VLOOKUP($B308,R_DG!$A$7:$G$1305,5,0)</f>
        <v>0</v>
      </c>
      <c r="H308" s="608">
        <f>VLOOKUP($B308,R_DG!$A$7:$G$1305,6,0)</f>
        <v>0</v>
      </c>
      <c r="I308" s="608">
        <f>VLOOKUP($B308,R_DG!$A$7:$G$1305,7,0)</f>
        <v>0</v>
      </c>
      <c r="J308" s="608">
        <f t="shared" si="50"/>
        <v>0</v>
      </c>
      <c r="K308" s="608">
        <f t="shared" si="50"/>
        <v>0</v>
      </c>
      <c r="L308" s="725">
        <f t="shared" si="50"/>
        <v>0</v>
      </c>
      <c r="M308" s="1127">
        <f t="shared" si="52"/>
        <v>0</v>
      </c>
      <c r="N308" s="727">
        <f t="shared" ca="1" si="51"/>
        <v>0</v>
      </c>
    </row>
    <row r="309" spans="1:14" hidden="1">
      <c r="A309" s="731"/>
      <c r="B309" s="735" t="s">
        <v>671</v>
      </c>
      <c r="C309" s="713">
        <f>VLOOKUP($B309,R_DG!$A$7:$G$1305,2,0)</f>
        <v>0</v>
      </c>
      <c r="D309" s="723" t="str">
        <f>VLOOKUP($B309,R_DG!$A$7:$G$1305,3,0)</f>
        <v>Sắt  φ8</v>
      </c>
      <c r="E309" s="714" t="str">
        <f>VLOOKUP($B309,R_DG!$A$7:$G$1305,4,0)</f>
        <v>kg</v>
      </c>
      <c r="F309" s="734"/>
      <c r="G309" s="608">
        <f>VLOOKUP($B309,R_DG!$A$7:$G$1305,5,0)</f>
        <v>16000</v>
      </c>
      <c r="H309" s="608">
        <f>VLOOKUP($B309,R_DG!$A$7:$G$1305,6,0)</f>
        <v>0</v>
      </c>
      <c r="I309" s="608">
        <f>VLOOKUP($B309,R_DG!$A$7:$G$1305,7,0)</f>
        <v>0</v>
      </c>
      <c r="J309" s="608">
        <f>G309*$F309</f>
        <v>0</v>
      </c>
      <c r="K309" s="608">
        <f>H309*$F309</f>
        <v>0</v>
      </c>
      <c r="L309" s="725">
        <f>I309*$F309</f>
        <v>0</v>
      </c>
      <c r="M309" s="1127">
        <f t="shared" si="52"/>
        <v>0</v>
      </c>
      <c r="N309" s="727">
        <f ca="1">$F309*N$290</f>
        <v>0</v>
      </c>
    </row>
    <row r="310" spans="1:14">
      <c r="A310" s="728" t="s">
        <v>2182</v>
      </c>
      <c r="B310" s="729"/>
      <c r="C310" s="717"/>
      <c r="D310" s="718" t="s">
        <v>2183</v>
      </c>
      <c r="E310" s="718" t="s">
        <v>163</v>
      </c>
      <c r="F310" s="719"/>
      <c r="G310" s="720"/>
      <c r="H310" s="720"/>
      <c r="I310" s="720"/>
      <c r="J310" s="720">
        <f>SUM(J311:J316)</f>
        <v>614856</v>
      </c>
      <c r="K310" s="720">
        <f>SUM(K311:K316)</f>
        <v>98128.115328</v>
      </c>
      <c r="L310" s="721">
        <f>SUM(L311:L316)</f>
        <v>0</v>
      </c>
      <c r="M310" s="1126">
        <f>IF(ERROR.TYPE(IF(HLOOKUP(A310,maBK,1,0)&lt;&gt;"",#NULL!,"ABC"))&lt;&gt;7,1,0)</f>
        <v>0</v>
      </c>
      <c r="N310" s="712">
        <f ca="1">SUMIF(maBK,$A310,tongBK1)</f>
        <v>0</v>
      </c>
    </row>
    <row r="311" spans="1:14" hidden="1">
      <c r="A311" s="696"/>
      <c r="B311" s="226" t="s">
        <v>2184</v>
      </c>
      <c r="C311" s="713">
        <f>VLOOKUP($B311,R_DG!$A$7:$G$1305,2,0)</f>
        <v>0</v>
      </c>
      <c r="D311" s="723" t="str">
        <f>VLOOKUP($B311,R_DG!$A$7:$G$1305,3,0)</f>
        <v>Cáp đồng trần M25mm2</v>
      </c>
      <c r="E311" s="714" t="str">
        <f>VLOOKUP($B311,R_DG!$A$7:$G$1305,4,0)</f>
        <v>kg</v>
      </c>
      <c r="F311" s="738">
        <f>8*0.224</f>
        <v>1.792</v>
      </c>
      <c r="G311" s="608">
        <f>VLOOKUP($B311,R_DG!$A$7:$G$1305,5,0)</f>
        <v>255500</v>
      </c>
      <c r="H311" s="608">
        <f>VLOOKUP($B311,R_DG!$A$7:$G$1305,6,0)</f>
        <v>0</v>
      </c>
      <c r="I311" s="608">
        <f>VLOOKUP($B311,R_DG!$A$7:$G$1305,7,0)</f>
        <v>0</v>
      </c>
      <c r="J311" s="608">
        <f t="shared" ref="J311:L359" si="53">G311*$F311</f>
        <v>457856</v>
      </c>
      <c r="K311" s="608">
        <f t="shared" si="53"/>
        <v>0</v>
      </c>
      <c r="L311" s="725">
        <f t="shared" si="53"/>
        <v>0</v>
      </c>
      <c r="M311" s="1127">
        <f t="shared" ref="M311:M316" si="54">IF(F311&gt;0,M$310,0)</f>
        <v>0</v>
      </c>
      <c r="N311" s="727">
        <f t="shared" ref="N311:N316" ca="1" si="55">$F311*N$310</f>
        <v>0</v>
      </c>
    </row>
    <row r="312" spans="1:14" hidden="1">
      <c r="A312" s="696"/>
      <c r="B312" s="226" t="s">
        <v>405</v>
      </c>
      <c r="C312" s="713">
        <f>VLOOKUP($B312,R_DG!$A$7:$G$1305,2,0)</f>
        <v>0</v>
      </c>
      <c r="D312" s="723" t="str">
        <f>VLOOKUP($B312,R_DG!$A$7:$G$1305,3,0)</f>
        <v>Cọc tiếp đất φ 16- 2,4m + kẹp cọc</v>
      </c>
      <c r="E312" s="714" t="str">
        <f>VLOOKUP($B312,R_DG!$A$7:$G$1305,4,0)</f>
        <v>bộ</v>
      </c>
      <c r="F312" s="724">
        <v>1</v>
      </c>
      <c r="G312" s="608">
        <f>VLOOKUP($B312,R_DG!$A$7:$G$1305,5,0)</f>
        <v>135000</v>
      </c>
      <c r="H312" s="608">
        <f>VLOOKUP($B312,R_DG!$A$7:$G$1305,6,0)</f>
        <v>0</v>
      </c>
      <c r="I312" s="608">
        <f>VLOOKUP($B312,R_DG!$A$7:$G$1305,7,0)</f>
        <v>0</v>
      </c>
      <c r="J312" s="608">
        <f t="shared" si="53"/>
        <v>135000</v>
      </c>
      <c r="K312" s="608">
        <f t="shared" si="53"/>
        <v>0</v>
      </c>
      <c r="L312" s="725">
        <f t="shared" si="53"/>
        <v>0</v>
      </c>
      <c r="M312" s="1127">
        <f t="shared" si="54"/>
        <v>0</v>
      </c>
      <c r="N312" s="727">
        <f t="shared" ca="1" si="55"/>
        <v>0</v>
      </c>
    </row>
    <row r="313" spans="1:14" hidden="1">
      <c r="A313" s="696"/>
      <c r="B313" s="226" t="s">
        <v>2055</v>
      </c>
      <c r="C313" s="713">
        <f>VLOOKUP($B313,R_DG!$A$7:$G$1305,2,0)</f>
        <v>0</v>
      </c>
      <c r="D313" s="723" t="str">
        <f>VLOOKUP($B313,R_DG!$A$7:$G$1305,3,0)</f>
        <v>Ghíp nối IPC 70-25 2BL</v>
      </c>
      <c r="E313" s="714" t="str">
        <f>VLOOKUP($B313,R_DG!$A$7:$G$1305,4,0)</f>
        <v>cái</v>
      </c>
      <c r="F313" s="724">
        <v>1</v>
      </c>
      <c r="G313" s="608">
        <f>VLOOKUP($B313,R_DG!$A$7:$G$1305,5,0)</f>
        <v>22000</v>
      </c>
      <c r="H313" s="608">
        <f>VLOOKUP($B313,R_DG!$A$7:$G$1305,6,0)</f>
        <v>0</v>
      </c>
      <c r="I313" s="608">
        <f>VLOOKUP($B313,R_DG!$A$7:$G$1305,7,0)</f>
        <v>0</v>
      </c>
      <c r="J313" s="608">
        <f t="shared" si="53"/>
        <v>22000</v>
      </c>
      <c r="K313" s="608">
        <f t="shared" si="53"/>
        <v>0</v>
      </c>
      <c r="L313" s="725">
        <f t="shared" si="53"/>
        <v>0</v>
      </c>
      <c r="M313" s="1127">
        <f t="shared" si="54"/>
        <v>0</v>
      </c>
      <c r="N313" s="727">
        <f t="shared" ca="1" si="55"/>
        <v>0</v>
      </c>
    </row>
    <row r="314" spans="1:14" hidden="1">
      <c r="A314" s="696"/>
      <c r="B314" s="226" t="s">
        <v>1131</v>
      </c>
      <c r="C314" s="713" t="str">
        <f>VLOOKUP($B314,R_DG!$A$7:$G$1305,2,0)</f>
        <v>05.7001</v>
      </c>
      <c r="D314" s="723" t="str">
        <f>VLOOKUP($B314,R_DG!$A$7:$G$1305,3,0)</f>
        <v xml:space="preserve">Kéo dây tiếp địa </v>
      </c>
      <c r="E314" s="714" t="str">
        <f>VLOOKUP($B314,R_DG!$A$7:$G$1305,4,0)</f>
        <v>m</v>
      </c>
      <c r="F314" s="724">
        <f>F311</f>
        <v>1.792</v>
      </c>
      <c r="G314" s="608">
        <f>VLOOKUP($B314,R_DG!$A$7:$G$1305,5,0)</f>
        <v>0</v>
      </c>
      <c r="H314" s="608">
        <f>VLOOKUP($B314,R_DG!$A$7:$G$1305,6,0)</f>
        <v>6776.4839999999995</v>
      </c>
      <c r="I314" s="608">
        <f>VLOOKUP($B314,R_DG!$A$7:$G$1305,7,0)</f>
        <v>0</v>
      </c>
      <c r="J314" s="608">
        <f t="shared" si="53"/>
        <v>0</v>
      </c>
      <c r="K314" s="608">
        <f t="shared" si="53"/>
        <v>12143.459327999999</v>
      </c>
      <c r="L314" s="725">
        <f t="shared" si="53"/>
        <v>0</v>
      </c>
      <c r="M314" s="1127">
        <f t="shared" si="54"/>
        <v>0</v>
      </c>
      <c r="N314" s="727">
        <f t="shared" ca="1" si="55"/>
        <v>0</v>
      </c>
    </row>
    <row r="315" spans="1:14" hidden="1">
      <c r="A315" s="696"/>
      <c r="B315" s="226" t="s">
        <v>1136</v>
      </c>
      <c r="C315" s="713" t="str">
        <f>VLOOKUP($B315,R_DG!$A$7:$G$1305,2,0)</f>
        <v>D2.8103</v>
      </c>
      <c r="D315" s="723" t="str">
        <f>VLOOKUP($B315,R_DG!$A$7:$G$1305,3,0)</f>
        <v>Đóng cọc tiếp địa đất cấp 3</v>
      </c>
      <c r="E315" s="714" t="str">
        <f>VLOOKUP($B315,R_DG!$A$7:$G$1305,4,0)</f>
        <v>cọc</v>
      </c>
      <c r="F315" s="724">
        <v>1</v>
      </c>
      <c r="G315" s="608">
        <f>VLOOKUP($B315,R_DG!$A$7:$G$1305,5,0)</f>
        <v>0</v>
      </c>
      <c r="H315" s="608">
        <f>VLOOKUP($B315,R_DG!$A$7:$G$1305,6,0)</f>
        <v>85984.656000000003</v>
      </c>
      <c r="I315" s="608">
        <f>VLOOKUP($B315,R_DG!$A$7:$G$1305,7,0)</f>
        <v>0</v>
      </c>
      <c r="J315" s="608">
        <f t="shared" si="53"/>
        <v>0</v>
      </c>
      <c r="K315" s="608">
        <f t="shared" si="53"/>
        <v>85984.656000000003</v>
      </c>
      <c r="L315" s="725">
        <f t="shared" si="53"/>
        <v>0</v>
      </c>
      <c r="M315" s="1127">
        <f t="shared" si="54"/>
        <v>0</v>
      </c>
      <c r="N315" s="727">
        <f t="shared" ca="1" si="55"/>
        <v>0</v>
      </c>
    </row>
    <row r="316" spans="1:14" hidden="1">
      <c r="A316" s="696"/>
      <c r="B316" s="226" t="s">
        <v>2185</v>
      </c>
      <c r="C316" s="713" t="str">
        <f>VLOOKUP($B316,R_DG!$A$7:$G$1305,2,0)</f>
        <v>02.1120</v>
      </c>
      <c r="D316" s="723" t="str">
        <f>VLOOKUP($B316,R_DG!$A$7:$G$1305,3,0)</f>
        <v>Bốc dỡ phụ kiện</v>
      </c>
      <c r="E316" s="714" t="str">
        <f>VLOOKUP($B316,R_DG!$A$7:$G$1305,4,0)</f>
        <v>tấn</v>
      </c>
      <c r="F316" s="724">
        <v>7.0000000000000001E-3</v>
      </c>
      <c r="G316" s="608">
        <f>VLOOKUP($B316,R_DG!$A$7:$G$1305,5,0)</f>
        <v>0</v>
      </c>
      <c r="H316" s="608">
        <f>VLOOKUP($B316,R_DG!$A$7:$G$1305,6,0)</f>
        <v>0</v>
      </c>
      <c r="I316" s="608">
        <f>VLOOKUP($B316,R_DG!$A$7:$G$1305,7,0)</f>
        <v>0</v>
      </c>
      <c r="J316" s="608">
        <f t="shared" si="53"/>
        <v>0</v>
      </c>
      <c r="K316" s="608">
        <f t="shared" si="53"/>
        <v>0</v>
      </c>
      <c r="L316" s="725">
        <f t="shared" si="53"/>
        <v>0</v>
      </c>
      <c r="M316" s="1127">
        <f t="shared" si="54"/>
        <v>0</v>
      </c>
      <c r="N316" s="727">
        <f t="shared" ca="1" si="55"/>
        <v>0</v>
      </c>
    </row>
    <row r="317" spans="1:14">
      <c r="A317" s="728" t="s">
        <v>2186</v>
      </c>
      <c r="B317" s="729"/>
      <c r="C317" s="717"/>
      <c r="D317" s="718" t="s">
        <v>2187</v>
      </c>
      <c r="E317" s="718" t="s">
        <v>163</v>
      </c>
      <c r="F317" s="719"/>
      <c r="G317" s="720"/>
      <c r="H317" s="720"/>
      <c r="I317" s="720"/>
      <c r="J317" s="720">
        <f>SUM(J318:J325)</f>
        <v>692088</v>
      </c>
      <c r="K317" s="720">
        <f>SUM(K318:K325)</f>
        <v>618943.16774399998</v>
      </c>
      <c r="L317" s="721">
        <f>SUM(L318:L325)</f>
        <v>9425.1200000000008</v>
      </c>
      <c r="M317" s="1126">
        <f>IF(ERROR.TYPE(IF(HLOOKUP(A317,maBK,1,0)&lt;&gt;"",#NULL!,"ABC"))&lt;&gt;7,1,0)</f>
        <v>0</v>
      </c>
      <c r="N317" s="712">
        <f ca="1">SUMIF(maBK,$A317,tongBK1)</f>
        <v>0</v>
      </c>
    </row>
    <row r="318" spans="1:14" hidden="1">
      <c r="A318" s="696"/>
      <c r="B318" s="226" t="s">
        <v>2184</v>
      </c>
      <c r="C318" s="713">
        <f>VLOOKUP($B318,R_DG!$A$7:$G$1305,2,0)</f>
        <v>0</v>
      </c>
      <c r="D318" s="723" t="str">
        <f>VLOOKUP($B318,R_DG!$A$7:$G$1305,3,0)</f>
        <v>Cáp đồng trần M25mm2</v>
      </c>
      <c r="E318" s="714" t="str">
        <f>VLOOKUP($B318,R_DG!$A$7:$G$1305,4,0)</f>
        <v>kg</v>
      </c>
      <c r="F318" s="738">
        <f>9*0.224</f>
        <v>2.016</v>
      </c>
      <c r="G318" s="608">
        <f>VLOOKUP($B318,R_DG!$A$7:$G$1305,5,0)</f>
        <v>255500</v>
      </c>
      <c r="H318" s="608">
        <f>VLOOKUP($B318,R_DG!$A$7:$G$1305,6,0)</f>
        <v>0</v>
      </c>
      <c r="I318" s="608">
        <f>VLOOKUP($B318,R_DG!$A$7:$G$1305,7,0)</f>
        <v>0</v>
      </c>
      <c r="J318" s="608">
        <f t="shared" si="53"/>
        <v>515088</v>
      </c>
      <c r="K318" s="608">
        <f t="shared" si="53"/>
        <v>0</v>
      </c>
      <c r="L318" s="725">
        <f t="shared" si="53"/>
        <v>0</v>
      </c>
      <c r="M318" s="1127">
        <f t="shared" ref="M318:M325" si="56">IF(F318&gt;0,M$317,0)</f>
        <v>0</v>
      </c>
      <c r="N318" s="727">
        <f t="shared" ref="N318:N325" ca="1" si="57">$F318*N$317</f>
        <v>0</v>
      </c>
    </row>
    <row r="319" spans="1:14" hidden="1">
      <c r="A319" s="696"/>
      <c r="B319" s="226" t="s">
        <v>405</v>
      </c>
      <c r="C319" s="713">
        <f>VLOOKUP($B319,R_DG!$A$7:$G$1305,2,0)</f>
        <v>0</v>
      </c>
      <c r="D319" s="723" t="str">
        <f>VLOOKUP($B319,R_DG!$A$7:$G$1305,3,0)</f>
        <v>Cọc tiếp đất φ 16- 2,4m + kẹp cọc</v>
      </c>
      <c r="E319" s="714" t="str">
        <f>VLOOKUP($B319,R_DG!$A$7:$G$1305,4,0)</f>
        <v>bộ</v>
      </c>
      <c r="F319" s="724">
        <v>1</v>
      </c>
      <c r="G319" s="608">
        <f>VLOOKUP($B319,R_DG!$A$7:$G$1305,5,0)</f>
        <v>135000</v>
      </c>
      <c r="H319" s="608">
        <f>VLOOKUP($B319,R_DG!$A$7:$G$1305,6,0)</f>
        <v>0</v>
      </c>
      <c r="I319" s="608">
        <f>VLOOKUP($B319,R_DG!$A$7:$G$1305,7,0)</f>
        <v>0</v>
      </c>
      <c r="J319" s="608">
        <f t="shared" si="53"/>
        <v>135000</v>
      </c>
      <c r="K319" s="608">
        <f t="shared" si="53"/>
        <v>0</v>
      </c>
      <c r="L319" s="725">
        <f t="shared" si="53"/>
        <v>0</v>
      </c>
      <c r="M319" s="1127">
        <f t="shared" si="56"/>
        <v>0</v>
      </c>
      <c r="N319" s="727">
        <f t="shared" ca="1" si="57"/>
        <v>0</v>
      </c>
    </row>
    <row r="320" spans="1:14" hidden="1">
      <c r="A320" s="696"/>
      <c r="B320" s="226" t="s">
        <v>2188</v>
      </c>
      <c r="C320" s="713" t="str">
        <f>VLOOKUP($B320,R_DG!$A$7:$G$1305,2,0)</f>
        <v>D3.4011</v>
      </c>
      <c r="D320" s="723" t="str">
        <f>VLOOKUP($B320,R_DG!$A$7:$G$1305,3,0)</f>
        <v>Kẹp ép WR cỡ dây 50mm2</v>
      </c>
      <c r="E320" s="714" t="str">
        <f>VLOOKUP($B320,R_DG!$A$7:$G$1305,4,0)</f>
        <v>cái</v>
      </c>
      <c r="F320" s="724">
        <v>2</v>
      </c>
      <c r="G320" s="608">
        <f>VLOOKUP($B320,R_DG!$A$7:$G$1305,5,0)</f>
        <v>13000</v>
      </c>
      <c r="H320" s="608">
        <f>VLOOKUP($B320,R_DG!$A$7:$G$1305,6,0)</f>
        <v>259648.56000000003</v>
      </c>
      <c r="I320" s="608">
        <f>VLOOKUP($B320,R_DG!$A$7:$G$1305,7,0)</f>
        <v>4712.5600000000004</v>
      </c>
      <c r="J320" s="608">
        <f t="shared" si="53"/>
        <v>26000</v>
      </c>
      <c r="K320" s="608">
        <f t="shared" si="53"/>
        <v>519297.12000000005</v>
      </c>
      <c r="L320" s="725">
        <f t="shared" si="53"/>
        <v>9425.1200000000008</v>
      </c>
      <c r="M320" s="1127">
        <f t="shared" si="56"/>
        <v>0</v>
      </c>
      <c r="N320" s="727">
        <f t="shared" ca="1" si="57"/>
        <v>0</v>
      </c>
    </row>
    <row r="321" spans="1:14" hidden="1">
      <c r="A321" s="696"/>
      <c r="B321" s="226" t="s">
        <v>2189</v>
      </c>
      <c r="C321" s="713">
        <f>VLOOKUP($B321,R_DG!$A$7:$G$1305,2,0)</f>
        <v>0</v>
      </c>
      <c r="D321" s="723" t="str">
        <f>VLOOKUP($B321,R_DG!$A$7:$G$1305,3,0)</f>
        <v>Đầu cosse ép Cu 25mm2</v>
      </c>
      <c r="E321" s="714" t="str">
        <f>VLOOKUP($B321,R_DG!$A$7:$G$1305,4,0)</f>
        <v>cái</v>
      </c>
      <c r="F321" s="724">
        <v>2</v>
      </c>
      <c r="G321" s="608">
        <f>VLOOKUP($B321,R_DG!$A$7:$G$1305,5,0)</f>
        <v>6500</v>
      </c>
      <c r="H321" s="608">
        <f>VLOOKUP($B321,R_DG!$A$7:$G$1305,6,0)</f>
        <v>0</v>
      </c>
      <c r="I321" s="608">
        <f>VLOOKUP($B321,R_DG!$A$7:$G$1305,7,0)</f>
        <v>0</v>
      </c>
      <c r="J321" s="608">
        <f t="shared" si="53"/>
        <v>13000</v>
      </c>
      <c r="K321" s="608">
        <f t="shared" si="53"/>
        <v>0</v>
      </c>
      <c r="L321" s="725">
        <f t="shared" si="53"/>
        <v>0</v>
      </c>
      <c r="M321" s="1127">
        <f t="shared" si="56"/>
        <v>0</v>
      </c>
      <c r="N321" s="727">
        <f t="shared" ca="1" si="57"/>
        <v>0</v>
      </c>
    </row>
    <row r="322" spans="1:14" hidden="1">
      <c r="A322" s="696"/>
      <c r="B322" s="226" t="s">
        <v>2190</v>
      </c>
      <c r="C322" s="713">
        <f>VLOOKUP($B322,R_DG!$A$7:$G$1305,2,0)</f>
        <v>0</v>
      </c>
      <c r="D322" s="723" t="str">
        <f>VLOOKUP($B322,R_DG!$A$7:$G$1305,3,0)</f>
        <v>Boulon 12x40+ 2 long đền vuông D14-50x50x3/Zn</v>
      </c>
      <c r="E322" s="714" t="str">
        <f>VLOOKUP($B322,R_DG!$A$7:$G$1305,4,0)</f>
        <v>bộ</v>
      </c>
      <c r="F322" s="724">
        <v>1</v>
      </c>
      <c r="G322" s="608">
        <f>VLOOKUP($B322,R_DG!$A$7:$G$1305,5,0)</f>
        <v>3000</v>
      </c>
      <c r="H322" s="608">
        <f>VLOOKUP($B322,R_DG!$A$7:$G$1305,6,0)</f>
        <v>0</v>
      </c>
      <c r="I322" s="608">
        <f>VLOOKUP($B322,R_DG!$A$7:$G$1305,7,0)</f>
        <v>0</v>
      </c>
      <c r="J322" s="608">
        <f t="shared" si="53"/>
        <v>3000</v>
      </c>
      <c r="K322" s="608">
        <f t="shared" si="53"/>
        <v>0</v>
      </c>
      <c r="L322" s="725">
        <f t="shared" si="53"/>
        <v>0</v>
      </c>
      <c r="M322" s="1127">
        <f t="shared" si="56"/>
        <v>0</v>
      </c>
      <c r="N322" s="727">
        <f t="shared" ca="1" si="57"/>
        <v>0</v>
      </c>
    </row>
    <row r="323" spans="1:14" hidden="1">
      <c r="A323" s="696"/>
      <c r="B323" s="226" t="s">
        <v>1131</v>
      </c>
      <c r="C323" s="713" t="str">
        <f>VLOOKUP($B323,R_DG!$A$7:$G$1305,2,0)</f>
        <v>05.7001</v>
      </c>
      <c r="D323" s="723" t="str">
        <f>VLOOKUP($B323,R_DG!$A$7:$G$1305,3,0)</f>
        <v xml:space="preserve">Kéo dây tiếp địa </v>
      </c>
      <c r="E323" s="714" t="str">
        <f>VLOOKUP($B323,R_DG!$A$7:$G$1305,4,0)</f>
        <v>m</v>
      </c>
      <c r="F323" s="724">
        <f>F318</f>
        <v>2.016</v>
      </c>
      <c r="G323" s="608">
        <f>VLOOKUP($B323,R_DG!$A$7:$G$1305,5,0)</f>
        <v>0</v>
      </c>
      <c r="H323" s="608">
        <f>VLOOKUP($B323,R_DG!$A$7:$G$1305,6,0)</f>
        <v>6776.4839999999995</v>
      </c>
      <c r="I323" s="608">
        <f>VLOOKUP($B323,R_DG!$A$7:$G$1305,7,0)</f>
        <v>0</v>
      </c>
      <c r="J323" s="608">
        <f t="shared" si="53"/>
        <v>0</v>
      </c>
      <c r="K323" s="608">
        <f t="shared" si="53"/>
        <v>13661.391743999999</v>
      </c>
      <c r="L323" s="725">
        <f t="shared" si="53"/>
        <v>0</v>
      </c>
      <c r="M323" s="1127">
        <f t="shared" si="56"/>
        <v>0</v>
      </c>
      <c r="N323" s="727">
        <f t="shared" ca="1" si="57"/>
        <v>0</v>
      </c>
    </row>
    <row r="324" spans="1:14" hidden="1">
      <c r="A324" s="696"/>
      <c r="B324" s="226" t="s">
        <v>1136</v>
      </c>
      <c r="C324" s="713" t="str">
        <f>VLOOKUP($B324,R_DG!$A$7:$G$1305,2,0)</f>
        <v>D2.8103</v>
      </c>
      <c r="D324" s="723" t="str">
        <f>VLOOKUP($B324,R_DG!$A$7:$G$1305,3,0)</f>
        <v>Đóng cọc tiếp địa đất cấp 3</v>
      </c>
      <c r="E324" s="714" t="str">
        <f>VLOOKUP($B324,R_DG!$A$7:$G$1305,4,0)</f>
        <v>cọc</v>
      </c>
      <c r="F324" s="724">
        <v>1</v>
      </c>
      <c r="G324" s="608">
        <f>VLOOKUP($B324,R_DG!$A$7:$G$1305,5,0)</f>
        <v>0</v>
      </c>
      <c r="H324" s="608">
        <f>VLOOKUP($B324,R_DG!$A$7:$G$1305,6,0)</f>
        <v>85984.656000000003</v>
      </c>
      <c r="I324" s="608">
        <f>VLOOKUP($B324,R_DG!$A$7:$G$1305,7,0)</f>
        <v>0</v>
      </c>
      <c r="J324" s="608">
        <f t="shared" si="53"/>
        <v>0</v>
      </c>
      <c r="K324" s="608">
        <f t="shared" si="53"/>
        <v>85984.656000000003</v>
      </c>
      <c r="L324" s="725">
        <f t="shared" si="53"/>
        <v>0</v>
      </c>
      <c r="M324" s="1127">
        <f t="shared" si="56"/>
        <v>0</v>
      </c>
      <c r="N324" s="727">
        <f t="shared" ca="1" si="57"/>
        <v>0</v>
      </c>
    </row>
    <row r="325" spans="1:14" hidden="1">
      <c r="A325" s="696"/>
      <c r="B325" s="226" t="s">
        <v>2185</v>
      </c>
      <c r="C325" s="713" t="str">
        <f>VLOOKUP($B325,R_DG!$A$7:$G$1305,2,0)</f>
        <v>02.1120</v>
      </c>
      <c r="D325" s="723" t="str">
        <f>VLOOKUP($B325,R_DG!$A$7:$G$1305,3,0)</f>
        <v>Bốc dỡ phụ kiện</v>
      </c>
      <c r="E325" s="714" t="str">
        <f>VLOOKUP($B325,R_DG!$A$7:$G$1305,4,0)</f>
        <v>tấn</v>
      </c>
      <c r="F325" s="724"/>
      <c r="G325" s="608">
        <f>VLOOKUP($B325,R_DG!$A$7:$G$1305,5,0)</f>
        <v>0</v>
      </c>
      <c r="H325" s="608">
        <f>VLOOKUP($B325,R_DG!$A$7:$G$1305,6,0)</f>
        <v>0</v>
      </c>
      <c r="I325" s="608">
        <f>VLOOKUP($B325,R_DG!$A$7:$G$1305,7,0)</f>
        <v>0</v>
      </c>
      <c r="J325" s="608">
        <f t="shared" si="53"/>
        <v>0</v>
      </c>
      <c r="K325" s="608">
        <f t="shared" si="53"/>
        <v>0</v>
      </c>
      <c r="L325" s="725">
        <f t="shared" si="53"/>
        <v>0</v>
      </c>
      <c r="M325" s="1127">
        <f t="shared" si="56"/>
        <v>0</v>
      </c>
      <c r="N325" s="727">
        <f t="shared" ca="1" si="57"/>
        <v>0</v>
      </c>
    </row>
    <row r="326" spans="1:14">
      <c r="A326" s="728" t="s">
        <v>2191</v>
      </c>
      <c r="B326" s="729"/>
      <c r="C326" s="717"/>
      <c r="D326" s="718" t="s">
        <v>2192</v>
      </c>
      <c r="E326" s="718" t="s">
        <v>163</v>
      </c>
      <c r="F326" s="719"/>
      <c r="G326" s="720"/>
      <c r="H326" s="720"/>
      <c r="I326" s="720"/>
      <c r="J326" s="720">
        <f>SUM(J327:J334)</f>
        <v>677788</v>
      </c>
      <c r="K326" s="720">
        <f>SUM(K327:K334)</f>
        <v>169661.39174399999</v>
      </c>
      <c r="L326" s="721">
        <f>SUM(L327:L334)</f>
        <v>0</v>
      </c>
      <c r="M326" s="1126">
        <f>IF(ERROR.TYPE(IF(HLOOKUP(A326,maBK,1,0)&lt;&gt;"",#NULL!,"ABC"))&lt;&gt;7,1,0)</f>
        <v>1</v>
      </c>
      <c r="N326" s="712">
        <f ca="1">SUMIF(maBK,$A326,tongBK1)</f>
        <v>17</v>
      </c>
    </row>
    <row r="327" spans="1:14" ht="20.100000000000001" hidden="1" customHeight="1">
      <c r="A327" s="696"/>
      <c r="B327" s="226" t="s">
        <v>2184</v>
      </c>
      <c r="C327" s="713">
        <f>VLOOKUP($B327,R_DG!$A$7:$G$1305,2,0)</f>
        <v>0</v>
      </c>
      <c r="D327" s="723" t="str">
        <f>VLOOKUP($B327,R_DG!$A$7:$G$1305,3,0)</f>
        <v>Cáp đồng trần M25mm2</v>
      </c>
      <c r="E327" s="714" t="str">
        <f>VLOOKUP($B327,R_DG!$A$7:$G$1305,4,0)</f>
        <v>kg</v>
      </c>
      <c r="F327" s="738">
        <f>9*0.224</f>
        <v>2.016</v>
      </c>
      <c r="G327" s="608">
        <f>VLOOKUP($B327,R_DG!$A$7:$G$1305,5,0)</f>
        <v>255500</v>
      </c>
      <c r="H327" s="608">
        <f>VLOOKUP($B327,R_DG!$A$7:$G$1305,6,0)</f>
        <v>0</v>
      </c>
      <c r="I327" s="608">
        <f>VLOOKUP($B327,R_DG!$A$7:$G$1305,7,0)</f>
        <v>0</v>
      </c>
      <c r="J327" s="608">
        <f t="shared" si="53"/>
        <v>515088</v>
      </c>
      <c r="K327" s="608">
        <f t="shared" si="53"/>
        <v>0</v>
      </c>
      <c r="L327" s="725">
        <f t="shared" si="53"/>
        <v>0</v>
      </c>
      <c r="M327" s="1127">
        <f t="shared" ref="M327:M334" si="58">IF(F327&gt;0,M$326,0)</f>
        <v>1</v>
      </c>
      <c r="N327" s="727">
        <f t="shared" ref="N327:N334" ca="1" si="59">$F327*N$326</f>
        <v>34.271999999999998</v>
      </c>
    </row>
    <row r="328" spans="1:14" ht="20.100000000000001" hidden="1" customHeight="1">
      <c r="A328" s="696"/>
      <c r="B328" s="226" t="s">
        <v>405</v>
      </c>
      <c r="C328" s="713">
        <f>VLOOKUP($B328,R_DG!$A$7:$G$1305,2,0)</f>
        <v>0</v>
      </c>
      <c r="D328" s="723" t="str">
        <f>VLOOKUP($B328,R_DG!$A$7:$G$1305,3,0)</f>
        <v>Cọc tiếp đất φ 16- 2,4m + kẹp cọc</v>
      </c>
      <c r="E328" s="714" t="str">
        <f>VLOOKUP($B328,R_DG!$A$7:$G$1305,4,0)</f>
        <v>bộ</v>
      </c>
      <c r="F328" s="724">
        <v>1</v>
      </c>
      <c r="G328" s="608">
        <f>VLOOKUP($B328,R_DG!$A$7:$G$1305,5,0)</f>
        <v>135000</v>
      </c>
      <c r="H328" s="608">
        <f>VLOOKUP($B328,R_DG!$A$7:$G$1305,6,0)</f>
        <v>0</v>
      </c>
      <c r="I328" s="608">
        <f>VLOOKUP($B328,R_DG!$A$7:$G$1305,7,0)</f>
        <v>0</v>
      </c>
      <c r="J328" s="608">
        <f t="shared" si="53"/>
        <v>135000</v>
      </c>
      <c r="K328" s="608">
        <f t="shared" si="53"/>
        <v>0</v>
      </c>
      <c r="L328" s="725">
        <f t="shared" si="53"/>
        <v>0</v>
      </c>
      <c r="M328" s="1127">
        <f t="shared" si="58"/>
        <v>1</v>
      </c>
      <c r="N328" s="727">
        <f t="shared" ca="1" si="59"/>
        <v>17</v>
      </c>
    </row>
    <row r="329" spans="1:14" ht="20.100000000000001" hidden="1" customHeight="1">
      <c r="A329" s="696"/>
      <c r="B329" s="226" t="s">
        <v>2054</v>
      </c>
      <c r="C329" s="713">
        <f>VLOOKUP($B329,R_DG!$A$7:$G$1305,2,0)</f>
        <v>0</v>
      </c>
      <c r="D329" s="723" t="str">
        <f>VLOOKUP($B329,R_DG!$A$7:$G$1305,3,0)</f>
        <v>Ghíp nối IPC 70-35 2BL</v>
      </c>
      <c r="E329" s="714" t="str">
        <f>VLOOKUP($B329,R_DG!$A$7:$G$1305,4,0)</f>
        <v>cái</v>
      </c>
      <c r="F329" s="724">
        <v>1</v>
      </c>
      <c r="G329" s="608">
        <f>VLOOKUP($B329,R_DG!$A$7:$G$1305,5,0)</f>
        <v>11700</v>
      </c>
      <c r="H329" s="608">
        <f>VLOOKUP($B329,R_DG!$A$7:$G$1305,6,0)</f>
        <v>0</v>
      </c>
      <c r="I329" s="608">
        <f>VLOOKUP($B329,R_DG!$A$7:$G$1305,7,0)</f>
        <v>0</v>
      </c>
      <c r="J329" s="608">
        <f t="shared" si="53"/>
        <v>11700</v>
      </c>
      <c r="K329" s="608">
        <f t="shared" si="53"/>
        <v>0</v>
      </c>
      <c r="L329" s="725">
        <f t="shared" si="53"/>
        <v>0</v>
      </c>
      <c r="M329" s="1127">
        <f t="shared" si="58"/>
        <v>1</v>
      </c>
      <c r="N329" s="727">
        <f t="shared" ca="1" si="59"/>
        <v>17</v>
      </c>
    </row>
    <row r="330" spans="1:14" ht="20.100000000000001" hidden="1" customHeight="1">
      <c r="A330" s="696"/>
      <c r="B330" s="226" t="s">
        <v>2189</v>
      </c>
      <c r="C330" s="713">
        <f>VLOOKUP($B330,R_DG!$A$7:$G$1305,2,0)</f>
        <v>0</v>
      </c>
      <c r="D330" s="723" t="str">
        <f>VLOOKUP($B330,R_DG!$A$7:$G$1305,3,0)</f>
        <v>Đầu cosse ép Cu 25mm2</v>
      </c>
      <c r="E330" s="714" t="str">
        <f>VLOOKUP($B330,R_DG!$A$7:$G$1305,4,0)</f>
        <v>cái</v>
      </c>
      <c r="F330" s="724">
        <v>2</v>
      </c>
      <c r="G330" s="608">
        <f>VLOOKUP($B330,R_DG!$A$7:$G$1305,5,0)</f>
        <v>6500</v>
      </c>
      <c r="H330" s="608">
        <f>VLOOKUP($B330,R_DG!$A$7:$G$1305,6,0)</f>
        <v>0</v>
      </c>
      <c r="I330" s="608">
        <f>VLOOKUP($B330,R_DG!$A$7:$G$1305,7,0)</f>
        <v>0</v>
      </c>
      <c r="J330" s="608">
        <f t="shared" si="53"/>
        <v>13000</v>
      </c>
      <c r="K330" s="608">
        <f t="shared" si="53"/>
        <v>0</v>
      </c>
      <c r="L330" s="725">
        <f t="shared" si="53"/>
        <v>0</v>
      </c>
      <c r="M330" s="1127">
        <f t="shared" si="58"/>
        <v>1</v>
      </c>
      <c r="N330" s="727">
        <f t="shared" ca="1" si="59"/>
        <v>34</v>
      </c>
    </row>
    <row r="331" spans="1:14" ht="20.100000000000001" hidden="1" customHeight="1">
      <c r="A331" s="696"/>
      <c r="B331" s="226" t="s">
        <v>2190</v>
      </c>
      <c r="C331" s="713">
        <f>VLOOKUP($B331,R_DG!$A$7:$G$1305,2,0)</f>
        <v>0</v>
      </c>
      <c r="D331" s="723" t="str">
        <f>VLOOKUP($B331,R_DG!$A$7:$G$1305,3,0)</f>
        <v>Boulon 12x40+ 2 long đền vuông D14-50x50x3/Zn</v>
      </c>
      <c r="E331" s="714" t="str">
        <f>VLOOKUP($B331,R_DG!$A$7:$G$1305,4,0)</f>
        <v>bộ</v>
      </c>
      <c r="F331" s="724">
        <v>1</v>
      </c>
      <c r="G331" s="608">
        <f>VLOOKUP($B331,R_DG!$A$7:$G$1305,5,0)</f>
        <v>3000</v>
      </c>
      <c r="H331" s="608">
        <f>VLOOKUP($B331,R_DG!$A$7:$G$1305,6,0)</f>
        <v>0</v>
      </c>
      <c r="I331" s="608">
        <f>VLOOKUP($B331,R_DG!$A$7:$G$1305,7,0)</f>
        <v>0</v>
      </c>
      <c r="J331" s="608">
        <f t="shared" si="53"/>
        <v>3000</v>
      </c>
      <c r="K331" s="608">
        <f t="shared" si="53"/>
        <v>0</v>
      </c>
      <c r="L331" s="725">
        <f t="shared" si="53"/>
        <v>0</v>
      </c>
      <c r="M331" s="1127">
        <f t="shared" si="58"/>
        <v>1</v>
      </c>
      <c r="N331" s="727">
        <f t="shared" ca="1" si="59"/>
        <v>17</v>
      </c>
    </row>
    <row r="332" spans="1:14" ht="20.100000000000001" hidden="1" customHeight="1">
      <c r="A332" s="696"/>
      <c r="B332" s="226" t="s">
        <v>1131</v>
      </c>
      <c r="C332" s="713" t="str">
        <f>VLOOKUP($B332,R_DG!$A$7:$G$1305,2,0)</f>
        <v>05.7001</v>
      </c>
      <c r="D332" s="723" t="str">
        <f>VLOOKUP($B332,R_DG!$A$7:$G$1305,3,0)</f>
        <v xml:space="preserve">Kéo dây tiếp địa </v>
      </c>
      <c r="E332" s="714" t="str">
        <f>VLOOKUP($B332,R_DG!$A$7:$G$1305,4,0)</f>
        <v>m</v>
      </c>
      <c r="F332" s="724">
        <f>F327</f>
        <v>2.016</v>
      </c>
      <c r="G332" s="608">
        <f>VLOOKUP($B332,R_DG!$A$7:$G$1305,5,0)</f>
        <v>0</v>
      </c>
      <c r="H332" s="608">
        <f>VLOOKUP($B332,R_DG!$A$7:$G$1305,6,0)</f>
        <v>6776.4839999999995</v>
      </c>
      <c r="I332" s="608">
        <f>VLOOKUP($B332,R_DG!$A$7:$G$1305,7,0)</f>
        <v>0</v>
      </c>
      <c r="J332" s="608">
        <f t="shared" si="53"/>
        <v>0</v>
      </c>
      <c r="K332" s="608">
        <f t="shared" si="53"/>
        <v>13661.391743999999</v>
      </c>
      <c r="L332" s="725">
        <f t="shared" si="53"/>
        <v>0</v>
      </c>
      <c r="M332" s="1127">
        <f t="shared" si="58"/>
        <v>1</v>
      </c>
      <c r="N332" s="727">
        <f t="shared" ca="1" si="59"/>
        <v>34.271999999999998</v>
      </c>
    </row>
    <row r="333" spans="1:14" ht="20.100000000000001" hidden="1" customHeight="1">
      <c r="A333" s="696"/>
      <c r="B333" s="226" t="s">
        <v>1136</v>
      </c>
      <c r="C333" s="713" t="str">
        <f>VLOOKUP($B333,R_DG!$A$7:$G$1305,2,0)</f>
        <v>D2.8103</v>
      </c>
      <c r="D333" s="723" t="str">
        <f>VLOOKUP($B333,R_DG!$A$7:$G$1305,3,0)</f>
        <v>Đóng cọc tiếp địa đất cấp 3</v>
      </c>
      <c r="E333" s="714" t="str">
        <f>VLOOKUP($B333,R_DG!$A$7:$G$1305,4,0)</f>
        <v>cọc</v>
      </c>
      <c r="F333" s="724">
        <v>1</v>
      </c>
      <c r="G333" s="608">
        <f>VLOOKUP($B333,R_DG!$A$7:$G$1305,5,0)</f>
        <v>0</v>
      </c>
      <c r="H333" s="608">
        <f>DG!F47</f>
        <v>156000</v>
      </c>
      <c r="I333" s="608">
        <f>VLOOKUP($B333,R_DG!$A$7:$G$1305,7,0)</f>
        <v>0</v>
      </c>
      <c r="J333" s="608">
        <f t="shared" si="53"/>
        <v>0</v>
      </c>
      <c r="K333" s="608">
        <f t="shared" si="53"/>
        <v>156000</v>
      </c>
      <c r="L333" s="725">
        <f t="shared" si="53"/>
        <v>0</v>
      </c>
      <c r="M333" s="1127">
        <f t="shared" si="58"/>
        <v>1</v>
      </c>
      <c r="N333" s="727">
        <f t="shared" ca="1" si="59"/>
        <v>17</v>
      </c>
    </row>
    <row r="334" spans="1:14" ht="20.100000000000001" hidden="1" customHeight="1">
      <c r="A334" s="696"/>
      <c r="B334" s="226" t="s">
        <v>2185</v>
      </c>
      <c r="C334" s="713" t="str">
        <f>VLOOKUP($B334,R_DG!$A$7:$G$1305,2,0)</f>
        <v>02.1120</v>
      </c>
      <c r="D334" s="723" t="str">
        <f>VLOOKUP($B334,R_DG!$A$7:$G$1305,3,0)</f>
        <v>Bốc dỡ phụ kiện</v>
      </c>
      <c r="E334" s="714" t="str">
        <f>VLOOKUP($B334,R_DG!$A$7:$G$1305,4,0)</f>
        <v>tấn</v>
      </c>
      <c r="F334" s="724"/>
      <c r="G334" s="608">
        <f>VLOOKUP($B334,R_DG!$A$7:$G$1305,5,0)</f>
        <v>0</v>
      </c>
      <c r="H334" s="608">
        <f>VLOOKUP($B334,R_DG!$A$7:$G$1305,6,0)</f>
        <v>0</v>
      </c>
      <c r="I334" s="608">
        <f>VLOOKUP($B334,R_DG!$A$7:$G$1305,7,0)</f>
        <v>0</v>
      </c>
      <c r="J334" s="608">
        <f t="shared" si="53"/>
        <v>0</v>
      </c>
      <c r="K334" s="608">
        <f t="shared" si="53"/>
        <v>0</v>
      </c>
      <c r="L334" s="725">
        <f t="shared" si="53"/>
        <v>0</v>
      </c>
      <c r="M334" s="726">
        <f t="shared" si="58"/>
        <v>0</v>
      </c>
      <c r="N334" s="727">
        <f t="shared" ca="1" si="59"/>
        <v>0</v>
      </c>
    </row>
    <row r="335" spans="1:14" ht="20.100000000000001" customHeight="1">
      <c r="A335" s="728" t="s">
        <v>2193</v>
      </c>
      <c r="B335" s="729"/>
      <c r="C335" s="717"/>
      <c r="D335" s="718" t="s">
        <v>2194</v>
      </c>
      <c r="E335" s="718" t="s">
        <v>163</v>
      </c>
      <c r="F335" s="719"/>
      <c r="G335" s="720"/>
      <c r="H335" s="720"/>
      <c r="I335" s="720"/>
      <c r="J335" s="720" t="e">
        <f>SUM(J336:J341)</f>
        <v>#N/A</v>
      </c>
      <c r="K335" s="720" t="e">
        <f>SUM(K336:K341)</f>
        <v>#N/A</v>
      </c>
      <c r="L335" s="721" t="e">
        <f>SUM(L336:L341)</f>
        <v>#N/A</v>
      </c>
      <c r="M335" s="693">
        <f>IF(ERROR.TYPE(IF(HLOOKUP(A335,maBK,1,0)&lt;&gt;"",#NULL!,"ABC"))&lt;&gt;7,1,0)</f>
        <v>0</v>
      </c>
      <c r="N335" s="712">
        <f ca="1">SUMIF(maBK,$A335,tongBK1)</f>
        <v>0</v>
      </c>
    </row>
    <row r="336" spans="1:14" ht="20.100000000000001" hidden="1" customHeight="1">
      <c r="A336" s="696"/>
      <c r="B336" s="226" t="s">
        <v>2184</v>
      </c>
      <c r="C336" s="713">
        <f>VLOOKUP($B336,R_DG!$A$7:$G$1305,2,0)</f>
        <v>0</v>
      </c>
      <c r="D336" s="723" t="str">
        <f>VLOOKUP($B336,R_DG!$A$7:$G$1305,3,0)</f>
        <v>Cáp đồng trần M25mm2</v>
      </c>
      <c r="E336" s="714" t="str">
        <f>VLOOKUP($B336,R_DG!$A$7:$G$1305,4,0)</f>
        <v>kg</v>
      </c>
      <c r="F336" s="738">
        <f>3*0.224</f>
        <v>0.67200000000000004</v>
      </c>
      <c r="G336" s="608">
        <f>VLOOKUP($B336,R_DG!$A$7:$G$1305,5,0)</f>
        <v>255500</v>
      </c>
      <c r="H336" s="608">
        <f>VLOOKUP($B336,R_DG!$A$7:$G$1305,6,0)</f>
        <v>0</v>
      </c>
      <c r="I336" s="608">
        <f>VLOOKUP($B336,R_DG!$A$7:$G$1305,7,0)</f>
        <v>0</v>
      </c>
      <c r="J336" s="608">
        <f t="shared" si="53"/>
        <v>171696</v>
      </c>
      <c r="K336" s="608">
        <f t="shared" si="53"/>
        <v>0</v>
      </c>
      <c r="L336" s="725">
        <f t="shared" si="53"/>
        <v>0</v>
      </c>
      <c r="M336" s="726">
        <f t="shared" ref="M336:M341" si="60">IF(F336&gt;0,M$335,0)</f>
        <v>0</v>
      </c>
      <c r="N336" s="727">
        <f t="shared" ref="N336:N341" ca="1" si="61">$F336*N$335</f>
        <v>0</v>
      </c>
    </row>
    <row r="337" spans="1:14" ht="20.100000000000001" hidden="1" customHeight="1">
      <c r="A337" s="696"/>
      <c r="B337" s="226" t="s">
        <v>405</v>
      </c>
      <c r="C337" s="713">
        <f>VLOOKUP($B337,R_DG!$A$7:$G$1305,2,0)</f>
        <v>0</v>
      </c>
      <c r="D337" s="723" t="str">
        <f>VLOOKUP($B337,R_DG!$A$7:$G$1305,3,0)</f>
        <v>Cọc tiếp đất φ 16- 2,4m + kẹp cọc</v>
      </c>
      <c r="E337" s="714" t="str">
        <f>VLOOKUP($B337,R_DG!$A$7:$G$1305,4,0)</f>
        <v>bộ</v>
      </c>
      <c r="F337" s="724">
        <v>1</v>
      </c>
      <c r="G337" s="608">
        <f>VLOOKUP($B337,R_DG!$A$7:$G$1305,5,0)</f>
        <v>135000</v>
      </c>
      <c r="H337" s="608">
        <f>VLOOKUP($B337,R_DG!$A$7:$G$1305,6,0)</f>
        <v>0</v>
      </c>
      <c r="I337" s="608">
        <f>VLOOKUP($B337,R_DG!$A$7:$G$1305,7,0)</f>
        <v>0</v>
      </c>
      <c r="J337" s="608">
        <f t="shared" si="53"/>
        <v>135000</v>
      </c>
      <c r="K337" s="608">
        <f t="shared" si="53"/>
        <v>0</v>
      </c>
      <c r="L337" s="725">
        <f t="shared" si="53"/>
        <v>0</v>
      </c>
      <c r="M337" s="726">
        <f t="shared" si="60"/>
        <v>0</v>
      </c>
      <c r="N337" s="727">
        <f t="shared" ca="1" si="61"/>
        <v>0</v>
      </c>
    </row>
    <row r="338" spans="1:14" ht="20.100000000000001" hidden="1" customHeight="1">
      <c r="A338" s="696"/>
      <c r="B338" s="226" t="s">
        <v>2053</v>
      </c>
      <c r="C338" s="713" t="e">
        <f>VLOOKUP($B338,R_DG!$A$7:$G$1305,2,0)</f>
        <v>#N/A</v>
      </c>
      <c r="D338" s="723" t="e">
        <f>VLOOKUP($B338,R_DG!$A$7:$G$1305,3,0)</f>
        <v>#N/A</v>
      </c>
      <c r="E338" s="714" t="e">
        <f>VLOOKUP($B338,R_DG!$A$7:$G$1305,4,0)</f>
        <v>#N/A</v>
      </c>
      <c r="F338" s="724">
        <v>1</v>
      </c>
      <c r="G338" s="608" t="e">
        <f>VLOOKUP($B338,R_DG!$A$7:$G$1305,5,0)</f>
        <v>#N/A</v>
      </c>
      <c r="H338" s="608" t="e">
        <f>VLOOKUP($B338,R_DG!$A$7:$G$1305,6,0)</f>
        <v>#N/A</v>
      </c>
      <c r="I338" s="608" t="e">
        <f>VLOOKUP($B338,R_DG!$A$7:$G$1305,7,0)</f>
        <v>#N/A</v>
      </c>
      <c r="J338" s="608" t="e">
        <f t="shared" si="53"/>
        <v>#N/A</v>
      </c>
      <c r="K338" s="608" t="e">
        <f t="shared" si="53"/>
        <v>#N/A</v>
      </c>
      <c r="L338" s="725" t="e">
        <f t="shared" si="53"/>
        <v>#N/A</v>
      </c>
      <c r="M338" s="726">
        <f t="shared" si="60"/>
        <v>0</v>
      </c>
      <c r="N338" s="727">
        <f t="shared" ca="1" si="61"/>
        <v>0</v>
      </c>
    </row>
    <row r="339" spans="1:14" ht="20.100000000000001" hidden="1" customHeight="1">
      <c r="A339" s="696"/>
      <c r="B339" s="226" t="s">
        <v>1131</v>
      </c>
      <c r="C339" s="713" t="str">
        <f>VLOOKUP($B339,R_DG!$A$7:$G$1305,2,0)</f>
        <v>05.7001</v>
      </c>
      <c r="D339" s="723" t="str">
        <f>VLOOKUP($B339,R_DG!$A$7:$G$1305,3,0)</f>
        <v xml:space="preserve">Kéo dây tiếp địa </v>
      </c>
      <c r="E339" s="714" t="str">
        <f>VLOOKUP($B339,R_DG!$A$7:$G$1305,4,0)</f>
        <v>m</v>
      </c>
      <c r="F339" s="724">
        <f>F336</f>
        <v>0.67200000000000004</v>
      </c>
      <c r="G339" s="608">
        <f>VLOOKUP($B339,R_DG!$A$7:$G$1305,5,0)</f>
        <v>0</v>
      </c>
      <c r="H339" s="608">
        <f>VLOOKUP($B339,R_DG!$A$7:$G$1305,6,0)</f>
        <v>6776.4839999999995</v>
      </c>
      <c r="I339" s="608">
        <f>VLOOKUP($B339,R_DG!$A$7:$G$1305,7,0)</f>
        <v>0</v>
      </c>
      <c r="J339" s="608">
        <f t="shared" si="53"/>
        <v>0</v>
      </c>
      <c r="K339" s="608">
        <f t="shared" si="53"/>
        <v>4553.7972479999999</v>
      </c>
      <c r="L339" s="725">
        <f t="shared" si="53"/>
        <v>0</v>
      </c>
      <c r="M339" s="726">
        <f t="shared" si="60"/>
        <v>0</v>
      </c>
      <c r="N339" s="727">
        <f t="shared" ca="1" si="61"/>
        <v>0</v>
      </c>
    </row>
    <row r="340" spans="1:14" ht="20.100000000000001" hidden="1" customHeight="1">
      <c r="A340" s="696"/>
      <c r="B340" s="226" t="s">
        <v>1136</v>
      </c>
      <c r="C340" s="713" t="str">
        <f>VLOOKUP($B340,R_DG!$A$7:$G$1305,2,0)</f>
        <v>D2.8103</v>
      </c>
      <c r="D340" s="723" t="str">
        <f>VLOOKUP($B340,R_DG!$A$7:$G$1305,3,0)</f>
        <v>Đóng cọc tiếp địa đất cấp 3</v>
      </c>
      <c r="E340" s="714" t="str">
        <f>VLOOKUP($B340,R_DG!$A$7:$G$1305,4,0)</f>
        <v>cọc</v>
      </c>
      <c r="F340" s="724">
        <v>1</v>
      </c>
      <c r="G340" s="608">
        <f>VLOOKUP($B340,R_DG!$A$7:$G$1305,5,0)</f>
        <v>0</v>
      </c>
      <c r="H340" s="608">
        <f>VLOOKUP($B340,R_DG!$A$7:$G$1305,6,0)</f>
        <v>85984.656000000003</v>
      </c>
      <c r="I340" s="608">
        <f>VLOOKUP($B340,R_DG!$A$7:$G$1305,7,0)</f>
        <v>0</v>
      </c>
      <c r="J340" s="608">
        <f t="shared" si="53"/>
        <v>0</v>
      </c>
      <c r="K340" s="608">
        <f t="shared" si="53"/>
        <v>85984.656000000003</v>
      </c>
      <c r="L340" s="725">
        <f t="shared" si="53"/>
        <v>0</v>
      </c>
      <c r="M340" s="726">
        <f t="shared" si="60"/>
        <v>0</v>
      </c>
      <c r="N340" s="727">
        <f t="shared" ca="1" si="61"/>
        <v>0</v>
      </c>
    </row>
    <row r="341" spans="1:14" ht="20.100000000000001" hidden="1" customHeight="1">
      <c r="A341" s="696"/>
      <c r="B341" s="226" t="s">
        <v>2185</v>
      </c>
      <c r="C341" s="713" t="str">
        <f>VLOOKUP($B341,R_DG!$A$7:$G$1305,2,0)</f>
        <v>02.1120</v>
      </c>
      <c r="D341" s="723" t="str">
        <f>VLOOKUP($B341,R_DG!$A$7:$G$1305,3,0)</f>
        <v>Bốc dỡ phụ kiện</v>
      </c>
      <c r="E341" s="714" t="str">
        <f>VLOOKUP($B341,R_DG!$A$7:$G$1305,4,0)</f>
        <v>tấn</v>
      </c>
      <c r="F341" s="724"/>
      <c r="G341" s="608">
        <f>VLOOKUP($B341,R_DG!$A$7:$G$1305,5,0)</f>
        <v>0</v>
      </c>
      <c r="H341" s="608">
        <f>VLOOKUP($B341,R_DG!$A$7:$G$1305,6,0)</f>
        <v>0</v>
      </c>
      <c r="I341" s="608">
        <f>VLOOKUP($B341,R_DG!$A$7:$G$1305,7,0)</f>
        <v>0</v>
      </c>
      <c r="J341" s="608">
        <f t="shared" si="53"/>
        <v>0</v>
      </c>
      <c r="K341" s="608">
        <f t="shared" si="53"/>
        <v>0</v>
      </c>
      <c r="L341" s="725">
        <f t="shared" si="53"/>
        <v>0</v>
      </c>
      <c r="M341" s="726">
        <f t="shared" si="60"/>
        <v>0</v>
      </c>
      <c r="N341" s="727">
        <f t="shared" ca="1" si="61"/>
        <v>0</v>
      </c>
    </row>
    <row r="342" spans="1:14" ht="20.100000000000001" customHeight="1">
      <c r="A342" s="728" t="s">
        <v>2195</v>
      </c>
      <c r="B342" s="729"/>
      <c r="C342" s="717"/>
      <c r="D342" s="718" t="s">
        <v>2196</v>
      </c>
      <c r="E342" s="718" t="s">
        <v>163</v>
      </c>
      <c r="F342" s="719"/>
      <c r="G342" s="720"/>
      <c r="H342" s="720"/>
      <c r="I342" s="720"/>
      <c r="J342" s="720">
        <f>SUM(J343:J350)</f>
        <v>732520</v>
      </c>
      <c r="K342" s="720">
        <f>SUM(K343:K350)</f>
        <v>101163.98016000001</v>
      </c>
      <c r="L342" s="721">
        <f>SUM(L343:L350)</f>
        <v>0</v>
      </c>
      <c r="M342" s="693">
        <f>IF(ERROR.TYPE(IF(HLOOKUP(A342,maBK,1,0)&lt;&gt;"",#NULL!,"ABC"))&lt;&gt;7,1,0)</f>
        <v>0</v>
      </c>
      <c r="N342" s="712">
        <f ca="1">SUMIF(maBK,$A342,tongBK1)</f>
        <v>0</v>
      </c>
    </row>
    <row r="343" spans="1:14" ht="20.100000000000001" hidden="1" customHeight="1">
      <c r="A343" s="696"/>
      <c r="B343" s="226" t="s">
        <v>2184</v>
      </c>
      <c r="C343" s="713">
        <f>VLOOKUP($B343,R_DG!$A$7:$G$1305,2,0)</f>
        <v>0</v>
      </c>
      <c r="D343" s="723" t="str">
        <f>VLOOKUP($B343,R_DG!$A$7:$G$1305,3,0)</f>
        <v>Cáp đồng trần M25mm2</v>
      </c>
      <c r="E343" s="714" t="str">
        <f>VLOOKUP($B343,R_DG!$A$7:$G$1305,4,0)</f>
        <v>kg</v>
      </c>
      <c r="F343" s="738">
        <f>10*0.224</f>
        <v>2.2400000000000002</v>
      </c>
      <c r="G343" s="608">
        <f>VLOOKUP($B343,R_DG!$A$7:$G$1305,5,0)</f>
        <v>255500</v>
      </c>
      <c r="H343" s="608">
        <f>VLOOKUP($B343,R_DG!$A$7:$G$1305,6,0)</f>
        <v>0</v>
      </c>
      <c r="I343" s="608">
        <f>VLOOKUP($B343,R_DG!$A$7:$G$1305,7,0)</f>
        <v>0</v>
      </c>
      <c r="J343" s="608">
        <f t="shared" si="53"/>
        <v>572320</v>
      </c>
      <c r="K343" s="608">
        <f t="shared" si="53"/>
        <v>0</v>
      </c>
      <c r="L343" s="725">
        <f t="shared" si="53"/>
        <v>0</v>
      </c>
      <c r="M343" s="726">
        <f t="shared" ref="M343:M350" si="62">IF(F343&gt;0,M$342,0)</f>
        <v>0</v>
      </c>
      <c r="N343" s="727">
        <f t="shared" ref="N343:N350" ca="1" si="63">$F343*N$342</f>
        <v>0</v>
      </c>
    </row>
    <row r="344" spans="1:14" ht="20.100000000000001" hidden="1" customHeight="1">
      <c r="A344" s="696"/>
      <c r="B344" s="226" t="s">
        <v>405</v>
      </c>
      <c r="C344" s="713">
        <f>VLOOKUP($B344,R_DG!$A$7:$G$1305,2,0)</f>
        <v>0</v>
      </c>
      <c r="D344" s="723" t="str">
        <f>VLOOKUP($B344,R_DG!$A$7:$G$1305,3,0)</f>
        <v>Cọc tiếp đất φ 16- 2,4m + kẹp cọc</v>
      </c>
      <c r="E344" s="714" t="str">
        <f>VLOOKUP($B344,R_DG!$A$7:$G$1305,4,0)</f>
        <v>bộ</v>
      </c>
      <c r="F344" s="724">
        <v>1</v>
      </c>
      <c r="G344" s="608">
        <f>VLOOKUP($B344,R_DG!$A$7:$G$1305,5,0)</f>
        <v>135000</v>
      </c>
      <c r="H344" s="608">
        <f>VLOOKUP($B344,R_DG!$A$7:$G$1305,6,0)</f>
        <v>0</v>
      </c>
      <c r="I344" s="608">
        <f>VLOOKUP($B344,R_DG!$A$7:$G$1305,7,0)</f>
        <v>0</v>
      </c>
      <c r="J344" s="608">
        <f t="shared" si="53"/>
        <v>135000</v>
      </c>
      <c r="K344" s="608">
        <f t="shared" si="53"/>
        <v>0</v>
      </c>
      <c r="L344" s="725">
        <f t="shared" si="53"/>
        <v>0</v>
      </c>
      <c r="M344" s="726">
        <f t="shared" si="62"/>
        <v>0</v>
      </c>
      <c r="N344" s="727">
        <f t="shared" ca="1" si="63"/>
        <v>0</v>
      </c>
    </row>
    <row r="345" spans="1:14" ht="20.100000000000001" hidden="1" customHeight="1">
      <c r="A345" s="696"/>
      <c r="B345" s="226" t="s">
        <v>514</v>
      </c>
      <c r="C345" s="713">
        <f>VLOOKUP($B345,R_DG!$A$7:$G$1305,2,0)</f>
        <v>0</v>
      </c>
      <c r="D345" s="723" t="str">
        <f>VLOOKUP($B345,R_DG!$A$7:$G$1305,3,0)</f>
        <v>Kẹp nối đồng-nhôm</v>
      </c>
      <c r="E345" s="714" t="str">
        <f>VLOOKUP($B345,R_DG!$A$7:$G$1305,4,0)</f>
        <v>cái</v>
      </c>
      <c r="F345" s="724">
        <v>2</v>
      </c>
      <c r="G345" s="608">
        <f>VLOOKUP($B345,R_DG!$A$7:$G$1305,5,0)</f>
        <v>4600</v>
      </c>
      <c r="H345" s="608">
        <f>VLOOKUP($B345,R_DG!$A$7:$G$1305,6,0)</f>
        <v>0</v>
      </c>
      <c r="I345" s="608">
        <f>VLOOKUP($B345,R_DG!$A$7:$G$1305,7,0)</f>
        <v>0</v>
      </c>
      <c r="J345" s="608">
        <f t="shared" si="53"/>
        <v>9200</v>
      </c>
      <c r="K345" s="608">
        <f t="shared" si="53"/>
        <v>0</v>
      </c>
      <c r="L345" s="725">
        <f t="shared" si="53"/>
        <v>0</v>
      </c>
      <c r="M345" s="726">
        <f t="shared" si="62"/>
        <v>0</v>
      </c>
      <c r="N345" s="727">
        <f t="shared" ca="1" si="63"/>
        <v>0</v>
      </c>
    </row>
    <row r="346" spans="1:14" ht="20.100000000000001" hidden="1" customHeight="1">
      <c r="A346" s="696"/>
      <c r="B346" s="226" t="s">
        <v>2189</v>
      </c>
      <c r="C346" s="713">
        <f>VLOOKUP($B346,R_DG!$A$7:$G$1305,2,0)</f>
        <v>0</v>
      </c>
      <c r="D346" s="723" t="str">
        <f>VLOOKUP($B346,R_DG!$A$7:$G$1305,3,0)</f>
        <v>Đầu cosse ép Cu 25mm2</v>
      </c>
      <c r="E346" s="714" t="str">
        <f>VLOOKUP($B346,R_DG!$A$7:$G$1305,4,0)</f>
        <v>cái</v>
      </c>
      <c r="F346" s="724">
        <v>2</v>
      </c>
      <c r="G346" s="608">
        <f>VLOOKUP($B346,R_DG!$A$7:$G$1305,5,0)</f>
        <v>6500</v>
      </c>
      <c r="H346" s="608">
        <f>VLOOKUP($B346,R_DG!$A$7:$G$1305,6,0)</f>
        <v>0</v>
      </c>
      <c r="I346" s="608">
        <f>VLOOKUP($B346,R_DG!$A$7:$G$1305,7,0)</f>
        <v>0</v>
      </c>
      <c r="J346" s="608">
        <f t="shared" si="53"/>
        <v>13000</v>
      </c>
      <c r="K346" s="608">
        <f t="shared" si="53"/>
        <v>0</v>
      </c>
      <c r="L346" s="725">
        <f t="shared" si="53"/>
        <v>0</v>
      </c>
      <c r="M346" s="726">
        <f t="shared" si="62"/>
        <v>0</v>
      </c>
      <c r="N346" s="727">
        <f t="shared" ca="1" si="63"/>
        <v>0</v>
      </c>
    </row>
    <row r="347" spans="1:14" ht="20.100000000000001" hidden="1" customHeight="1">
      <c r="A347" s="696"/>
      <c r="B347" s="226" t="s">
        <v>2190</v>
      </c>
      <c r="C347" s="713">
        <f>VLOOKUP($B347,R_DG!$A$7:$G$1305,2,0)</f>
        <v>0</v>
      </c>
      <c r="D347" s="723" t="str">
        <f>VLOOKUP($B347,R_DG!$A$7:$G$1305,3,0)</f>
        <v>Boulon 12x40+ 2 long đền vuông D14-50x50x3/Zn</v>
      </c>
      <c r="E347" s="714" t="str">
        <f>VLOOKUP($B347,R_DG!$A$7:$G$1305,4,0)</f>
        <v>bộ</v>
      </c>
      <c r="F347" s="724">
        <v>1</v>
      </c>
      <c r="G347" s="608">
        <f>VLOOKUP($B347,R_DG!$A$7:$G$1305,5,0)</f>
        <v>3000</v>
      </c>
      <c r="H347" s="608">
        <f>VLOOKUP($B347,R_DG!$A$7:$G$1305,6,0)</f>
        <v>0</v>
      </c>
      <c r="I347" s="608">
        <f>VLOOKUP($B347,R_DG!$A$7:$G$1305,7,0)</f>
        <v>0</v>
      </c>
      <c r="J347" s="608">
        <f t="shared" si="53"/>
        <v>3000</v>
      </c>
      <c r="K347" s="608">
        <f t="shared" si="53"/>
        <v>0</v>
      </c>
      <c r="L347" s="725">
        <f t="shared" si="53"/>
        <v>0</v>
      </c>
      <c r="M347" s="726">
        <f t="shared" si="62"/>
        <v>0</v>
      </c>
      <c r="N347" s="727">
        <f t="shared" ca="1" si="63"/>
        <v>0</v>
      </c>
    </row>
    <row r="348" spans="1:14" ht="20.100000000000001" hidden="1" customHeight="1">
      <c r="A348" s="696"/>
      <c r="B348" s="226" t="s">
        <v>1131</v>
      </c>
      <c r="C348" s="713" t="str">
        <f>VLOOKUP($B348,R_DG!$A$7:$G$1305,2,0)</f>
        <v>05.7001</v>
      </c>
      <c r="D348" s="723" t="str">
        <f>VLOOKUP($B348,R_DG!$A$7:$G$1305,3,0)</f>
        <v xml:space="preserve">Kéo dây tiếp địa </v>
      </c>
      <c r="E348" s="714" t="str">
        <f>VLOOKUP($B348,R_DG!$A$7:$G$1305,4,0)</f>
        <v>m</v>
      </c>
      <c r="F348" s="724">
        <f>F343</f>
        <v>2.2400000000000002</v>
      </c>
      <c r="G348" s="608">
        <f>VLOOKUP($B348,R_DG!$A$7:$G$1305,5,0)</f>
        <v>0</v>
      </c>
      <c r="H348" s="608">
        <f>VLOOKUP($B348,R_DG!$A$7:$G$1305,6,0)</f>
        <v>6776.4839999999995</v>
      </c>
      <c r="I348" s="608">
        <f>VLOOKUP($B348,R_DG!$A$7:$G$1305,7,0)</f>
        <v>0</v>
      </c>
      <c r="J348" s="608">
        <f t="shared" si="53"/>
        <v>0</v>
      </c>
      <c r="K348" s="608">
        <f t="shared" si="53"/>
        <v>15179.32416</v>
      </c>
      <c r="L348" s="725">
        <f t="shared" si="53"/>
        <v>0</v>
      </c>
      <c r="M348" s="726">
        <f t="shared" si="62"/>
        <v>0</v>
      </c>
      <c r="N348" s="727">
        <f t="shared" ca="1" si="63"/>
        <v>0</v>
      </c>
    </row>
    <row r="349" spans="1:14" ht="20.100000000000001" hidden="1" customHeight="1">
      <c r="A349" s="696"/>
      <c r="B349" s="226" t="s">
        <v>1136</v>
      </c>
      <c r="C349" s="713" t="str">
        <f>VLOOKUP($B349,R_DG!$A$7:$G$1305,2,0)</f>
        <v>D2.8103</v>
      </c>
      <c r="D349" s="723" t="str">
        <f>VLOOKUP($B349,R_DG!$A$7:$G$1305,3,0)</f>
        <v>Đóng cọc tiếp địa đất cấp 3</v>
      </c>
      <c r="E349" s="714" t="str">
        <f>VLOOKUP($B349,R_DG!$A$7:$G$1305,4,0)</f>
        <v>cọc</v>
      </c>
      <c r="F349" s="724">
        <f>+F344</f>
        <v>1</v>
      </c>
      <c r="G349" s="608">
        <f>VLOOKUP($B349,R_DG!$A$7:$G$1305,5,0)</f>
        <v>0</v>
      </c>
      <c r="H349" s="608">
        <f>VLOOKUP($B349,R_DG!$A$7:$G$1305,6,0)</f>
        <v>85984.656000000003</v>
      </c>
      <c r="I349" s="608">
        <f>VLOOKUP($B349,R_DG!$A$7:$G$1305,7,0)</f>
        <v>0</v>
      </c>
      <c r="J349" s="608">
        <f t="shared" si="53"/>
        <v>0</v>
      </c>
      <c r="K349" s="608">
        <f t="shared" si="53"/>
        <v>85984.656000000003</v>
      </c>
      <c r="L349" s="725">
        <f t="shared" si="53"/>
        <v>0</v>
      </c>
      <c r="M349" s="726">
        <f t="shared" si="62"/>
        <v>0</v>
      </c>
      <c r="N349" s="727">
        <f t="shared" ca="1" si="63"/>
        <v>0</v>
      </c>
    </row>
    <row r="350" spans="1:14" ht="20.100000000000001" hidden="1" customHeight="1">
      <c r="A350" s="696"/>
      <c r="B350" s="226" t="s">
        <v>2185</v>
      </c>
      <c r="C350" s="713" t="str">
        <f>VLOOKUP($B350,R_DG!$A$7:$G$1305,2,0)</f>
        <v>02.1120</v>
      </c>
      <c r="D350" s="723" t="str">
        <f>VLOOKUP($B350,R_DG!$A$7:$G$1305,3,0)</f>
        <v>Bốc dỡ phụ kiện</v>
      </c>
      <c r="E350" s="714" t="str">
        <f>VLOOKUP($B350,R_DG!$A$7:$G$1305,4,0)</f>
        <v>tấn</v>
      </c>
      <c r="F350" s="724"/>
      <c r="G350" s="608">
        <f>VLOOKUP($B350,R_DG!$A$7:$G$1305,5,0)</f>
        <v>0</v>
      </c>
      <c r="H350" s="608">
        <f>VLOOKUP($B350,R_DG!$A$7:$G$1305,6,0)</f>
        <v>0</v>
      </c>
      <c r="I350" s="608">
        <f>VLOOKUP($B350,R_DG!$A$7:$G$1305,7,0)</f>
        <v>0</v>
      </c>
      <c r="J350" s="608">
        <f t="shared" si="53"/>
        <v>0</v>
      </c>
      <c r="K350" s="608">
        <f t="shared" si="53"/>
        <v>0</v>
      </c>
      <c r="L350" s="725">
        <f t="shared" si="53"/>
        <v>0</v>
      </c>
      <c r="M350" s="726">
        <f t="shared" si="62"/>
        <v>0</v>
      </c>
      <c r="N350" s="727">
        <f t="shared" ca="1" si="63"/>
        <v>0</v>
      </c>
    </row>
    <row r="351" spans="1:14" ht="20.100000000000001" customHeight="1">
      <c r="A351" s="728" t="s">
        <v>2198</v>
      </c>
      <c r="B351" s="729"/>
      <c r="C351" s="717"/>
      <c r="D351" s="718" t="s">
        <v>2199</v>
      </c>
      <c r="E351" s="718" t="s">
        <v>163</v>
      </c>
      <c r="F351" s="719"/>
      <c r="G351" s="720"/>
      <c r="H351" s="720"/>
      <c r="I351" s="720"/>
      <c r="J351" s="720">
        <f>SUM(J352:J359)</f>
        <v>847784</v>
      </c>
      <c r="K351" s="720">
        <f>SUM(K352:K359)</f>
        <v>693512.30899200006</v>
      </c>
      <c r="L351" s="721">
        <f>SUM(L352:L359)</f>
        <v>9425.1200000000008</v>
      </c>
      <c r="M351" s="1126">
        <f>IF(ERROR.TYPE(IF(HLOOKUP(A351,maBK,1,0)&lt;&gt;"",#NULL!,"ABC"))&lt;&gt;7,1,0)</f>
        <v>1</v>
      </c>
      <c r="N351" s="712">
        <f ca="1">SUMIF(maBK,$A351,tongBK1)</f>
        <v>2</v>
      </c>
    </row>
    <row r="352" spans="1:14" ht="20.100000000000001" hidden="1" customHeight="1">
      <c r="A352" s="696"/>
      <c r="B352" s="226" t="s">
        <v>2184</v>
      </c>
      <c r="C352" s="713">
        <f>VLOOKUP($B352,R_DG!$A$7:$G$1305,2,0)</f>
        <v>0</v>
      </c>
      <c r="D352" s="723" t="str">
        <f>VLOOKUP($B352,R_DG!$A$7:$G$1305,3,0)</f>
        <v>Cáp đồng trần M25mm2</v>
      </c>
      <c r="E352" s="714" t="str">
        <f>VLOOKUP($B352,R_DG!$A$7:$G$1305,4,0)</f>
        <v>kg</v>
      </c>
      <c r="F352" s="738">
        <f>12*0.224</f>
        <v>2.6880000000000002</v>
      </c>
      <c r="G352" s="608">
        <f>VLOOKUP($B352,R_DG!$A$7:$G$1305,5,0)</f>
        <v>255500</v>
      </c>
      <c r="H352" s="608">
        <f>VLOOKUP($B352,R_DG!$A$7:$G$1305,6,0)</f>
        <v>0</v>
      </c>
      <c r="I352" s="608">
        <f>VLOOKUP($B352,R_DG!$A$7:$G$1305,7,0)</f>
        <v>0</v>
      </c>
      <c r="J352" s="608">
        <f t="shared" si="53"/>
        <v>686784</v>
      </c>
      <c r="K352" s="608">
        <f t="shared" si="53"/>
        <v>0</v>
      </c>
      <c r="L352" s="725">
        <f t="shared" si="53"/>
        <v>0</v>
      </c>
      <c r="M352" s="1127">
        <f t="shared" ref="M352:M359" si="64">IF(F352&gt;0,M$351,0)</f>
        <v>1</v>
      </c>
      <c r="N352" s="727">
        <f t="shared" ref="N352:N359" ca="1" si="65">$F352*N$351</f>
        <v>5.3760000000000003</v>
      </c>
    </row>
    <row r="353" spans="1:14" ht="20.100000000000001" hidden="1" customHeight="1">
      <c r="A353" s="696"/>
      <c r="B353" s="226" t="s">
        <v>405</v>
      </c>
      <c r="C353" s="713">
        <f>VLOOKUP($B353,R_DG!$A$7:$G$1305,2,0)</f>
        <v>0</v>
      </c>
      <c r="D353" s="723" t="str">
        <f>VLOOKUP($B353,R_DG!$A$7:$G$1305,3,0)</f>
        <v>Cọc tiếp đất φ 16- 2,4m + kẹp cọc</v>
      </c>
      <c r="E353" s="714" t="str">
        <f>VLOOKUP($B353,R_DG!$A$7:$G$1305,4,0)</f>
        <v>bộ</v>
      </c>
      <c r="F353" s="724">
        <v>1</v>
      </c>
      <c r="G353" s="608">
        <f>VLOOKUP($B353,R_DG!$A$7:$G$1305,5,0)</f>
        <v>135000</v>
      </c>
      <c r="H353" s="608">
        <f>VLOOKUP($B353,R_DG!$A$7:$G$1305,6,0)</f>
        <v>0</v>
      </c>
      <c r="I353" s="608">
        <f>VLOOKUP($B353,R_DG!$A$7:$G$1305,7,0)</f>
        <v>0</v>
      </c>
      <c r="J353" s="608">
        <f t="shared" si="53"/>
        <v>135000</v>
      </c>
      <c r="K353" s="608">
        <f t="shared" si="53"/>
        <v>0</v>
      </c>
      <c r="L353" s="725">
        <f t="shared" si="53"/>
        <v>0</v>
      </c>
      <c r="M353" s="1127">
        <f t="shared" si="64"/>
        <v>1</v>
      </c>
      <c r="N353" s="727">
        <f t="shared" ca="1" si="65"/>
        <v>2</v>
      </c>
    </row>
    <row r="354" spans="1:14" ht="20.100000000000001" hidden="1" customHeight="1">
      <c r="A354" s="696"/>
      <c r="B354" s="226" t="s">
        <v>2188</v>
      </c>
      <c r="C354" s="713" t="str">
        <f>VLOOKUP($B354,R_DG!$A$7:$G$1305,2,0)</f>
        <v>D3.4011</v>
      </c>
      <c r="D354" s="723" t="str">
        <f>VLOOKUP($B354,R_DG!$A$7:$G$1305,3,0)</f>
        <v>Kẹp ép WR cỡ dây 50mm2</v>
      </c>
      <c r="E354" s="714" t="str">
        <f>VLOOKUP($B354,R_DG!$A$7:$G$1305,4,0)</f>
        <v>cái</v>
      </c>
      <c r="F354" s="724">
        <v>2</v>
      </c>
      <c r="G354" s="608">
        <f>VLOOKUP($B354,R_DG!$A$7:$G$1305,5,0)</f>
        <v>13000</v>
      </c>
      <c r="H354" s="608">
        <f>VLOOKUP($B354,R_DG!$A$7:$G$1305,6,0)</f>
        <v>259648.56000000003</v>
      </c>
      <c r="I354" s="608">
        <f>VLOOKUP($B354,R_DG!$A$7:$G$1305,7,0)</f>
        <v>4712.5600000000004</v>
      </c>
      <c r="J354" s="608">
        <f t="shared" si="53"/>
        <v>26000</v>
      </c>
      <c r="K354" s="608">
        <f t="shared" si="53"/>
        <v>519297.12000000005</v>
      </c>
      <c r="L354" s="725">
        <f t="shared" si="53"/>
        <v>9425.1200000000008</v>
      </c>
      <c r="M354" s="1127">
        <f t="shared" si="64"/>
        <v>1</v>
      </c>
      <c r="N354" s="727">
        <f t="shared" ca="1" si="65"/>
        <v>4</v>
      </c>
    </row>
    <row r="355" spans="1:14" ht="20.100000000000001" hidden="1" customHeight="1">
      <c r="A355" s="696"/>
      <c r="B355" s="226" t="s">
        <v>2189</v>
      </c>
      <c r="C355" s="713">
        <f>VLOOKUP($B355,R_DG!$A$7:$G$1305,2,0)</f>
        <v>0</v>
      </c>
      <c r="D355" s="723" t="str">
        <f>VLOOKUP($B355,R_DG!$A$7:$G$1305,3,0)</f>
        <v>Đầu cosse ép Cu 25mm2</v>
      </c>
      <c r="E355" s="714" t="str">
        <f>VLOOKUP($B355,R_DG!$A$7:$G$1305,4,0)</f>
        <v>cái</v>
      </c>
      <c r="F355" s="724"/>
      <c r="G355" s="608">
        <f>VLOOKUP($B355,R_DG!$A$7:$G$1305,5,0)</f>
        <v>6500</v>
      </c>
      <c r="H355" s="608">
        <f>VLOOKUP($B355,R_DG!$A$7:$G$1305,6,0)</f>
        <v>0</v>
      </c>
      <c r="I355" s="608">
        <f>VLOOKUP($B355,R_DG!$A$7:$G$1305,7,0)</f>
        <v>0</v>
      </c>
      <c r="J355" s="608">
        <f t="shared" si="53"/>
        <v>0</v>
      </c>
      <c r="K355" s="608">
        <f t="shared" si="53"/>
        <v>0</v>
      </c>
      <c r="L355" s="725">
        <f t="shared" si="53"/>
        <v>0</v>
      </c>
      <c r="M355" s="726">
        <f t="shared" si="64"/>
        <v>0</v>
      </c>
      <c r="N355" s="727">
        <f t="shared" ca="1" si="65"/>
        <v>0</v>
      </c>
    </row>
    <row r="356" spans="1:14" ht="20.100000000000001" hidden="1" customHeight="1">
      <c r="A356" s="696"/>
      <c r="B356" s="226" t="s">
        <v>2190</v>
      </c>
      <c r="C356" s="713">
        <f>VLOOKUP($B356,R_DG!$A$7:$G$1305,2,0)</f>
        <v>0</v>
      </c>
      <c r="D356" s="723" t="str">
        <f>VLOOKUP($B356,R_DG!$A$7:$G$1305,3,0)</f>
        <v>Boulon 12x40+ 2 long đền vuông D14-50x50x3/Zn</v>
      </c>
      <c r="E356" s="714" t="str">
        <f>VLOOKUP($B356,R_DG!$A$7:$G$1305,4,0)</f>
        <v>bộ</v>
      </c>
      <c r="F356" s="724"/>
      <c r="G356" s="608">
        <f>VLOOKUP($B356,R_DG!$A$7:$G$1305,5,0)</f>
        <v>3000</v>
      </c>
      <c r="H356" s="608">
        <f>VLOOKUP($B356,R_DG!$A$7:$G$1305,6,0)</f>
        <v>0</v>
      </c>
      <c r="I356" s="608">
        <f>VLOOKUP($B356,R_DG!$A$7:$G$1305,7,0)</f>
        <v>0</v>
      </c>
      <c r="J356" s="608">
        <f t="shared" si="53"/>
        <v>0</v>
      </c>
      <c r="K356" s="608">
        <f t="shared" si="53"/>
        <v>0</v>
      </c>
      <c r="L356" s="725">
        <f t="shared" si="53"/>
        <v>0</v>
      </c>
      <c r="M356" s="726">
        <f t="shared" si="64"/>
        <v>0</v>
      </c>
      <c r="N356" s="727">
        <f t="shared" ca="1" si="65"/>
        <v>0</v>
      </c>
    </row>
    <row r="357" spans="1:14" ht="20.100000000000001" hidden="1" customHeight="1">
      <c r="A357" s="696"/>
      <c r="B357" s="226" t="s">
        <v>1131</v>
      </c>
      <c r="C357" s="713" t="str">
        <f>VLOOKUP($B357,R_DG!$A$7:$G$1305,2,0)</f>
        <v>05.7001</v>
      </c>
      <c r="D357" s="723" t="str">
        <f>VLOOKUP($B357,R_DG!$A$7:$G$1305,3,0)</f>
        <v xml:space="preserve">Kéo dây tiếp địa </v>
      </c>
      <c r="E357" s="714" t="str">
        <f>VLOOKUP($B357,R_DG!$A$7:$G$1305,4,0)</f>
        <v>m</v>
      </c>
      <c r="F357" s="724">
        <f>F352</f>
        <v>2.6880000000000002</v>
      </c>
      <c r="G357" s="608">
        <f>VLOOKUP($B357,R_DG!$A$7:$G$1305,5,0)</f>
        <v>0</v>
      </c>
      <c r="H357" s="608">
        <f>VLOOKUP($B357,R_DG!$A$7:$G$1305,6,0)</f>
        <v>6776.4839999999995</v>
      </c>
      <c r="I357" s="608">
        <f>VLOOKUP($B357,R_DG!$A$7:$G$1305,7,0)</f>
        <v>0</v>
      </c>
      <c r="J357" s="608">
        <f t="shared" si="53"/>
        <v>0</v>
      </c>
      <c r="K357" s="608">
        <f t="shared" si="53"/>
        <v>18215.188991999999</v>
      </c>
      <c r="L357" s="725">
        <f t="shared" si="53"/>
        <v>0</v>
      </c>
      <c r="M357" s="1127">
        <f t="shared" si="64"/>
        <v>1</v>
      </c>
      <c r="N357" s="727">
        <f t="shared" ca="1" si="65"/>
        <v>5.3760000000000003</v>
      </c>
    </row>
    <row r="358" spans="1:14" ht="20.100000000000001" hidden="1" customHeight="1">
      <c r="A358" s="696"/>
      <c r="B358" s="226" t="s">
        <v>1136</v>
      </c>
      <c r="C358" s="713" t="str">
        <f>VLOOKUP($B358,R_DG!$A$7:$G$1305,2,0)</f>
        <v>D2.8103</v>
      </c>
      <c r="D358" s="723" t="str">
        <f>VLOOKUP($B358,R_DG!$A$7:$G$1305,3,0)</f>
        <v>Đóng cọc tiếp địa đất cấp 3</v>
      </c>
      <c r="E358" s="714" t="str">
        <f>VLOOKUP($B358,R_DG!$A$7:$G$1305,4,0)</f>
        <v>cọc</v>
      </c>
      <c r="F358" s="724">
        <f>F353</f>
        <v>1</v>
      </c>
      <c r="G358" s="608">
        <f>VLOOKUP($B358,R_DG!$A$7:$G$1305,5,0)</f>
        <v>0</v>
      </c>
      <c r="H358" s="608">
        <f>DG!F47</f>
        <v>156000</v>
      </c>
      <c r="I358" s="608">
        <f>VLOOKUP($B358,R_DG!$A$7:$G$1305,7,0)</f>
        <v>0</v>
      </c>
      <c r="J358" s="608">
        <f t="shared" si="53"/>
        <v>0</v>
      </c>
      <c r="K358" s="608">
        <f t="shared" si="53"/>
        <v>156000</v>
      </c>
      <c r="L358" s="725">
        <f t="shared" si="53"/>
        <v>0</v>
      </c>
      <c r="M358" s="1127">
        <f t="shared" si="64"/>
        <v>1</v>
      </c>
      <c r="N358" s="727">
        <f t="shared" ca="1" si="65"/>
        <v>2</v>
      </c>
    </row>
    <row r="359" spans="1:14" ht="20.100000000000001" hidden="1" customHeight="1">
      <c r="A359" s="696"/>
      <c r="B359" s="226" t="s">
        <v>2185</v>
      </c>
      <c r="C359" s="713" t="str">
        <f>VLOOKUP($B359,R_DG!$A$7:$G$1305,2,0)</f>
        <v>02.1120</v>
      </c>
      <c r="D359" s="723" t="str">
        <f>VLOOKUP($B359,R_DG!$A$7:$G$1305,3,0)</f>
        <v>Bốc dỡ phụ kiện</v>
      </c>
      <c r="E359" s="714" t="str">
        <f>VLOOKUP($B359,R_DG!$A$7:$G$1305,4,0)</f>
        <v>tấn</v>
      </c>
      <c r="F359" s="724"/>
      <c r="G359" s="608">
        <f>VLOOKUP($B359,R_DG!$A$7:$G$1305,5,0)</f>
        <v>0</v>
      </c>
      <c r="H359" s="608">
        <f>VLOOKUP($B359,R_DG!$A$7:$G$1305,6,0)</f>
        <v>0</v>
      </c>
      <c r="I359" s="608">
        <f>VLOOKUP($B359,R_DG!$A$7:$G$1305,7,0)</f>
        <v>0</v>
      </c>
      <c r="J359" s="608">
        <f t="shared" si="53"/>
        <v>0</v>
      </c>
      <c r="K359" s="608">
        <f t="shared" si="53"/>
        <v>0</v>
      </c>
      <c r="L359" s="725">
        <f t="shared" si="53"/>
        <v>0</v>
      </c>
      <c r="M359" s="726">
        <f t="shared" si="64"/>
        <v>0</v>
      </c>
      <c r="N359" s="727">
        <f t="shared" ca="1" si="65"/>
        <v>0</v>
      </c>
    </row>
    <row r="360" spans="1:14" ht="20.100000000000001" customHeight="1">
      <c r="A360" s="728" t="s">
        <v>2200</v>
      </c>
      <c r="B360" s="729"/>
      <c r="C360" s="717"/>
      <c r="D360" s="718" t="s">
        <v>2201</v>
      </c>
      <c r="E360" s="718" t="s">
        <v>163</v>
      </c>
      <c r="F360" s="719"/>
      <c r="G360" s="720"/>
      <c r="H360" s="720"/>
      <c r="I360" s="720"/>
      <c r="J360" s="720">
        <f>SUM(J361:J368)</f>
        <v>4273496</v>
      </c>
      <c r="K360" s="720">
        <f>SUM(K361:K368)</f>
        <v>854312.32204799994</v>
      </c>
      <c r="L360" s="721">
        <f>SUM(L361:L368)</f>
        <v>0</v>
      </c>
      <c r="M360" s="693">
        <f>IF(ERROR.TYPE(IF(HLOOKUP(A360,maBK,1,0)&lt;&gt;"",#NULL!,"ABC"))&lt;&gt;7,1,0)</f>
        <v>0</v>
      </c>
      <c r="N360" s="712">
        <f ca="1">SUMIF(maBK,$A360,tongBK1)</f>
        <v>0</v>
      </c>
    </row>
    <row r="361" spans="1:14" ht="20.100000000000001" hidden="1" customHeight="1">
      <c r="A361" s="696"/>
      <c r="B361" s="226" t="s">
        <v>2184</v>
      </c>
      <c r="C361" s="713">
        <f>VLOOKUP($B361,R_DG!$A$7:$G$1305,2,0)</f>
        <v>0</v>
      </c>
      <c r="D361" s="723" t="str">
        <f>VLOOKUP($B361,R_DG!$A$7:$G$1305,3,0)</f>
        <v>Cáp đồng trần M25mm2</v>
      </c>
      <c r="E361" s="714" t="str">
        <f>VLOOKUP($B361,R_DG!$A$7:$G$1305,4,0)</f>
        <v>kg</v>
      </c>
      <c r="F361" s="738">
        <f>53*0.224</f>
        <v>11.872</v>
      </c>
      <c r="G361" s="608">
        <f>VLOOKUP($B361,R_DG!$A$7:$G$1305,5,0)</f>
        <v>255500</v>
      </c>
      <c r="H361" s="608">
        <f>VLOOKUP($B361,R_DG!$A$7:$G$1305,6,0)</f>
        <v>0</v>
      </c>
      <c r="I361" s="608">
        <f>VLOOKUP($B361,R_DG!$A$7:$G$1305,7,0)</f>
        <v>0</v>
      </c>
      <c r="J361" s="608">
        <f t="shared" ref="J361:L398" si="66">G361*$F361</f>
        <v>3033296</v>
      </c>
      <c r="K361" s="608">
        <f t="shared" si="66"/>
        <v>0</v>
      </c>
      <c r="L361" s="725">
        <f t="shared" si="66"/>
        <v>0</v>
      </c>
      <c r="M361" s="726">
        <f t="shared" ref="M361:M368" si="67">IF(F361&gt;0,M$360,0)</f>
        <v>0</v>
      </c>
      <c r="N361" s="727">
        <f t="shared" ref="N361:N368" ca="1" si="68">$F361*N$360</f>
        <v>0</v>
      </c>
    </row>
    <row r="362" spans="1:14" ht="20.100000000000001" hidden="1" customHeight="1">
      <c r="A362" s="696"/>
      <c r="B362" s="226" t="s">
        <v>405</v>
      </c>
      <c r="C362" s="713">
        <f>VLOOKUP($B362,R_DG!$A$7:$G$1305,2,0)</f>
        <v>0</v>
      </c>
      <c r="D362" s="723" t="str">
        <f>VLOOKUP($B362,R_DG!$A$7:$G$1305,3,0)</f>
        <v>Cọc tiếp đất φ 16- 2,4m + kẹp cọc</v>
      </c>
      <c r="E362" s="714" t="str">
        <f>VLOOKUP($B362,R_DG!$A$7:$G$1305,4,0)</f>
        <v>bộ</v>
      </c>
      <c r="F362" s="724">
        <v>9</v>
      </c>
      <c r="G362" s="608">
        <f>VLOOKUP($B362,R_DG!$A$7:$G$1305,5,0)</f>
        <v>135000</v>
      </c>
      <c r="H362" s="608">
        <f>VLOOKUP($B362,R_DG!$A$7:$G$1305,6,0)</f>
        <v>0</v>
      </c>
      <c r="I362" s="608">
        <f>VLOOKUP($B362,R_DG!$A$7:$G$1305,7,0)</f>
        <v>0</v>
      </c>
      <c r="J362" s="608">
        <f t="shared" si="66"/>
        <v>1215000</v>
      </c>
      <c r="K362" s="608">
        <f t="shared" si="66"/>
        <v>0</v>
      </c>
      <c r="L362" s="725">
        <f t="shared" si="66"/>
        <v>0</v>
      </c>
      <c r="M362" s="726">
        <f t="shared" si="67"/>
        <v>0</v>
      </c>
      <c r="N362" s="727">
        <f t="shared" ca="1" si="68"/>
        <v>0</v>
      </c>
    </row>
    <row r="363" spans="1:14" ht="20.100000000000001" hidden="1" customHeight="1">
      <c r="A363" s="696"/>
      <c r="B363" s="226" t="s">
        <v>514</v>
      </c>
      <c r="C363" s="713">
        <f>VLOOKUP($B363,R_DG!$A$7:$G$1305,2,0)</f>
        <v>0</v>
      </c>
      <c r="D363" s="723" t="str">
        <f>VLOOKUP($B363,R_DG!$A$7:$G$1305,3,0)</f>
        <v>Kẹp nối đồng-nhôm</v>
      </c>
      <c r="E363" s="714" t="str">
        <f>VLOOKUP($B363,R_DG!$A$7:$G$1305,4,0)</f>
        <v>cái</v>
      </c>
      <c r="F363" s="724">
        <v>2</v>
      </c>
      <c r="G363" s="608">
        <f>VLOOKUP($B363,R_DG!$A$7:$G$1305,5,0)</f>
        <v>4600</v>
      </c>
      <c r="H363" s="608">
        <f>VLOOKUP($B363,R_DG!$A$7:$G$1305,6,0)</f>
        <v>0</v>
      </c>
      <c r="I363" s="608">
        <f>VLOOKUP($B363,R_DG!$A$7:$G$1305,7,0)</f>
        <v>0</v>
      </c>
      <c r="J363" s="608">
        <f t="shared" si="66"/>
        <v>9200</v>
      </c>
      <c r="K363" s="608">
        <f t="shared" si="66"/>
        <v>0</v>
      </c>
      <c r="L363" s="725">
        <f t="shared" si="66"/>
        <v>0</v>
      </c>
      <c r="M363" s="726">
        <f t="shared" si="67"/>
        <v>0</v>
      </c>
      <c r="N363" s="727">
        <f t="shared" ca="1" si="68"/>
        <v>0</v>
      </c>
    </row>
    <row r="364" spans="1:14" ht="20.100000000000001" hidden="1" customHeight="1">
      <c r="A364" s="696"/>
      <c r="B364" s="226" t="s">
        <v>2189</v>
      </c>
      <c r="C364" s="713">
        <f>VLOOKUP($B364,R_DG!$A$7:$G$1305,2,0)</f>
        <v>0</v>
      </c>
      <c r="D364" s="723" t="str">
        <f>VLOOKUP($B364,R_DG!$A$7:$G$1305,3,0)</f>
        <v>Đầu cosse ép Cu 25mm2</v>
      </c>
      <c r="E364" s="714" t="str">
        <f>VLOOKUP($B364,R_DG!$A$7:$G$1305,4,0)</f>
        <v>cái</v>
      </c>
      <c r="F364" s="724">
        <v>2</v>
      </c>
      <c r="G364" s="608">
        <f>VLOOKUP($B364,R_DG!$A$7:$G$1305,5,0)</f>
        <v>6500</v>
      </c>
      <c r="H364" s="608">
        <f>VLOOKUP($B364,R_DG!$A$7:$G$1305,6,0)</f>
        <v>0</v>
      </c>
      <c r="I364" s="608">
        <f>VLOOKUP($B364,R_DG!$A$7:$G$1305,7,0)</f>
        <v>0</v>
      </c>
      <c r="J364" s="608">
        <f t="shared" si="66"/>
        <v>13000</v>
      </c>
      <c r="K364" s="608">
        <f t="shared" si="66"/>
        <v>0</v>
      </c>
      <c r="L364" s="725">
        <f t="shared" si="66"/>
        <v>0</v>
      </c>
      <c r="M364" s="726">
        <f t="shared" si="67"/>
        <v>0</v>
      </c>
      <c r="N364" s="727">
        <f t="shared" ca="1" si="68"/>
        <v>0</v>
      </c>
    </row>
    <row r="365" spans="1:14" ht="20.100000000000001" hidden="1" customHeight="1">
      <c r="A365" s="696"/>
      <c r="B365" s="226" t="s">
        <v>2190</v>
      </c>
      <c r="C365" s="713">
        <f>VLOOKUP($B365,R_DG!$A$7:$G$1305,2,0)</f>
        <v>0</v>
      </c>
      <c r="D365" s="723" t="str">
        <f>VLOOKUP($B365,R_DG!$A$7:$G$1305,3,0)</f>
        <v>Boulon 12x40+ 2 long đền vuông D14-50x50x3/Zn</v>
      </c>
      <c r="E365" s="714" t="str">
        <f>VLOOKUP($B365,R_DG!$A$7:$G$1305,4,0)</f>
        <v>bộ</v>
      </c>
      <c r="F365" s="724">
        <v>1</v>
      </c>
      <c r="G365" s="608">
        <f>VLOOKUP($B365,R_DG!$A$7:$G$1305,5,0)</f>
        <v>3000</v>
      </c>
      <c r="H365" s="608">
        <f>VLOOKUP($B365,R_DG!$A$7:$G$1305,6,0)</f>
        <v>0</v>
      </c>
      <c r="I365" s="608">
        <f>VLOOKUP($B365,R_DG!$A$7:$G$1305,7,0)</f>
        <v>0</v>
      </c>
      <c r="J365" s="608">
        <f t="shared" si="66"/>
        <v>3000</v>
      </c>
      <c r="K365" s="608">
        <f t="shared" si="66"/>
        <v>0</v>
      </c>
      <c r="L365" s="725">
        <f t="shared" si="66"/>
        <v>0</v>
      </c>
      <c r="M365" s="726">
        <f t="shared" si="67"/>
        <v>0</v>
      </c>
      <c r="N365" s="727">
        <f t="shared" ca="1" si="68"/>
        <v>0</v>
      </c>
    </row>
    <row r="366" spans="1:14" ht="20.100000000000001" hidden="1" customHeight="1">
      <c r="A366" s="696"/>
      <c r="B366" s="226" t="s">
        <v>1131</v>
      </c>
      <c r="C366" s="713" t="str">
        <f>VLOOKUP($B366,R_DG!$A$7:$G$1305,2,0)</f>
        <v>05.7001</v>
      </c>
      <c r="D366" s="723" t="str">
        <f>VLOOKUP($B366,R_DG!$A$7:$G$1305,3,0)</f>
        <v xml:space="preserve">Kéo dây tiếp địa </v>
      </c>
      <c r="E366" s="714" t="str">
        <f>VLOOKUP($B366,R_DG!$A$7:$G$1305,4,0)</f>
        <v>m</v>
      </c>
      <c r="F366" s="724">
        <f>F361</f>
        <v>11.872</v>
      </c>
      <c r="G366" s="608">
        <f>VLOOKUP($B366,R_DG!$A$7:$G$1305,5,0)</f>
        <v>0</v>
      </c>
      <c r="H366" s="608">
        <f>VLOOKUP($B366,R_DG!$A$7:$G$1305,6,0)</f>
        <v>6776.4839999999995</v>
      </c>
      <c r="I366" s="608">
        <f>VLOOKUP($B366,R_DG!$A$7:$G$1305,7,0)</f>
        <v>0</v>
      </c>
      <c r="J366" s="608">
        <f t="shared" si="66"/>
        <v>0</v>
      </c>
      <c r="K366" s="608">
        <f t="shared" si="66"/>
        <v>80450.418047999992</v>
      </c>
      <c r="L366" s="725">
        <f t="shared" si="66"/>
        <v>0</v>
      </c>
      <c r="M366" s="726">
        <f t="shared" si="67"/>
        <v>0</v>
      </c>
      <c r="N366" s="727">
        <f t="shared" ca="1" si="68"/>
        <v>0</v>
      </c>
    </row>
    <row r="367" spans="1:14" ht="20.100000000000001" hidden="1" customHeight="1">
      <c r="A367" s="696"/>
      <c r="B367" s="226" t="s">
        <v>1136</v>
      </c>
      <c r="C367" s="713" t="str">
        <f>VLOOKUP($B367,R_DG!$A$7:$G$1305,2,0)</f>
        <v>D2.8103</v>
      </c>
      <c r="D367" s="723" t="str">
        <f>VLOOKUP($B367,R_DG!$A$7:$G$1305,3,0)</f>
        <v>Đóng cọc tiếp địa đất cấp 3</v>
      </c>
      <c r="E367" s="714" t="str">
        <f>VLOOKUP($B367,R_DG!$A$7:$G$1305,4,0)</f>
        <v>cọc</v>
      </c>
      <c r="F367" s="724">
        <f>F362</f>
        <v>9</v>
      </c>
      <c r="G367" s="608">
        <f>VLOOKUP($B367,R_DG!$A$7:$G$1305,5,0)</f>
        <v>0</v>
      </c>
      <c r="H367" s="608">
        <f>VLOOKUP($B367,R_DG!$A$7:$G$1305,6,0)</f>
        <v>85984.656000000003</v>
      </c>
      <c r="I367" s="608">
        <f>VLOOKUP($B367,R_DG!$A$7:$G$1305,7,0)</f>
        <v>0</v>
      </c>
      <c r="J367" s="608">
        <f t="shared" si="66"/>
        <v>0</v>
      </c>
      <c r="K367" s="608">
        <f t="shared" si="66"/>
        <v>773861.90399999998</v>
      </c>
      <c r="L367" s="725">
        <f t="shared" si="66"/>
        <v>0</v>
      </c>
      <c r="M367" s="726">
        <f t="shared" si="67"/>
        <v>0</v>
      </c>
      <c r="N367" s="727">
        <f t="shared" ca="1" si="68"/>
        <v>0</v>
      </c>
    </row>
    <row r="368" spans="1:14" ht="20.100000000000001" hidden="1" customHeight="1">
      <c r="A368" s="696"/>
      <c r="B368" s="226" t="s">
        <v>2185</v>
      </c>
      <c r="C368" s="713" t="str">
        <f>VLOOKUP($B368,R_DG!$A$7:$G$1305,2,0)</f>
        <v>02.1120</v>
      </c>
      <c r="D368" s="723" t="str">
        <f>VLOOKUP($B368,R_DG!$A$7:$G$1305,3,0)</f>
        <v>Bốc dỡ phụ kiện</v>
      </c>
      <c r="E368" s="714" t="str">
        <f>VLOOKUP($B368,R_DG!$A$7:$G$1305,4,0)</f>
        <v>tấn</v>
      </c>
      <c r="F368" s="724">
        <v>8.0000000000000002E-3</v>
      </c>
      <c r="G368" s="608">
        <f>VLOOKUP($B368,R_DG!$A$7:$G$1305,5,0)</f>
        <v>0</v>
      </c>
      <c r="H368" s="608">
        <f>VLOOKUP($B368,R_DG!$A$7:$G$1305,6,0)</f>
        <v>0</v>
      </c>
      <c r="I368" s="608">
        <f>VLOOKUP($B368,R_DG!$A$7:$G$1305,7,0)</f>
        <v>0</v>
      </c>
      <c r="J368" s="608">
        <f t="shared" si="66"/>
        <v>0</v>
      </c>
      <c r="K368" s="608">
        <f t="shared" si="66"/>
        <v>0</v>
      </c>
      <c r="L368" s="725">
        <f t="shared" si="66"/>
        <v>0</v>
      </c>
      <c r="M368" s="726">
        <f t="shared" si="67"/>
        <v>0</v>
      </c>
      <c r="N368" s="727">
        <f t="shared" ca="1" si="68"/>
        <v>0</v>
      </c>
    </row>
    <row r="369" spans="1:14" ht="20.100000000000001" customHeight="1">
      <c r="A369" s="728" t="s">
        <v>2202</v>
      </c>
      <c r="B369" s="729"/>
      <c r="C369" s="717"/>
      <c r="D369" s="718" t="s">
        <v>2203</v>
      </c>
      <c r="E369" s="718" t="s">
        <v>163</v>
      </c>
      <c r="F369" s="719"/>
      <c r="G369" s="720"/>
      <c r="H369" s="720"/>
      <c r="I369" s="720"/>
      <c r="J369" s="720">
        <f>SUM(J370:J377)</f>
        <v>961448</v>
      </c>
      <c r="K369" s="720">
        <f>SUM(K370:K377)</f>
        <v>107235.70982400001</v>
      </c>
      <c r="L369" s="721">
        <f>SUM(L370:L377)</f>
        <v>0</v>
      </c>
      <c r="M369" s="693">
        <f>IF(ERROR.TYPE(IF(HLOOKUP(A369,maBK,1,0)&lt;&gt;"",#NULL!,"ABC"))&lt;&gt;7,1,0)</f>
        <v>0</v>
      </c>
      <c r="N369" s="712">
        <f ca="1">SUMIF(maBK,$A369,tongBK1)</f>
        <v>0</v>
      </c>
    </row>
    <row r="370" spans="1:14" ht="20.100000000000001" hidden="1" customHeight="1">
      <c r="A370" s="696"/>
      <c r="B370" s="226" t="s">
        <v>2184</v>
      </c>
      <c r="C370" s="713">
        <f>VLOOKUP($B370,R_DG!$A$7:$G$1305,2,0)</f>
        <v>0</v>
      </c>
      <c r="D370" s="723" t="str">
        <f>VLOOKUP($B370,R_DG!$A$7:$G$1305,3,0)</f>
        <v>Cáp đồng trần M25mm2</v>
      </c>
      <c r="E370" s="714" t="str">
        <f>VLOOKUP($B370,R_DG!$A$7:$G$1305,4,0)</f>
        <v>kg</v>
      </c>
      <c r="F370" s="738">
        <f>14*0.224</f>
        <v>3.1360000000000001</v>
      </c>
      <c r="G370" s="608">
        <f>VLOOKUP($B370,R_DG!$A$7:$G$1305,5,0)</f>
        <v>255500</v>
      </c>
      <c r="H370" s="608">
        <f>VLOOKUP($B370,R_DG!$A$7:$G$1305,6,0)</f>
        <v>0</v>
      </c>
      <c r="I370" s="608">
        <f>VLOOKUP($B370,R_DG!$A$7:$G$1305,7,0)</f>
        <v>0</v>
      </c>
      <c r="J370" s="608">
        <f t="shared" si="66"/>
        <v>801248</v>
      </c>
      <c r="K370" s="608">
        <f t="shared" si="66"/>
        <v>0</v>
      </c>
      <c r="L370" s="725">
        <f t="shared" si="66"/>
        <v>0</v>
      </c>
      <c r="M370" s="726">
        <f t="shared" ref="M370:M377" si="69">IF(F370&gt;0,M$369,0)</f>
        <v>0</v>
      </c>
      <c r="N370" s="727">
        <f t="shared" ref="N370:N377" ca="1" si="70">$F370*N$369</f>
        <v>0</v>
      </c>
    </row>
    <row r="371" spans="1:14" ht="20.100000000000001" hidden="1" customHeight="1">
      <c r="A371" s="696"/>
      <c r="B371" s="226" t="s">
        <v>405</v>
      </c>
      <c r="C371" s="713">
        <f>VLOOKUP($B371,R_DG!$A$7:$G$1305,2,0)</f>
        <v>0</v>
      </c>
      <c r="D371" s="723" t="str">
        <f>VLOOKUP($B371,R_DG!$A$7:$G$1305,3,0)</f>
        <v>Cọc tiếp đất φ 16- 2,4m + kẹp cọc</v>
      </c>
      <c r="E371" s="714" t="str">
        <f>VLOOKUP($B371,R_DG!$A$7:$G$1305,4,0)</f>
        <v>bộ</v>
      </c>
      <c r="F371" s="724">
        <v>1</v>
      </c>
      <c r="G371" s="608">
        <f>VLOOKUP($B371,R_DG!$A$7:$G$1305,5,0)</f>
        <v>135000</v>
      </c>
      <c r="H371" s="608">
        <f>VLOOKUP($B371,R_DG!$A$7:$G$1305,6,0)</f>
        <v>0</v>
      </c>
      <c r="I371" s="608">
        <f>VLOOKUP($B371,R_DG!$A$7:$G$1305,7,0)</f>
        <v>0</v>
      </c>
      <c r="J371" s="608">
        <f t="shared" si="66"/>
        <v>135000</v>
      </c>
      <c r="K371" s="608">
        <f t="shared" si="66"/>
        <v>0</v>
      </c>
      <c r="L371" s="725">
        <f t="shared" si="66"/>
        <v>0</v>
      </c>
      <c r="M371" s="726">
        <f t="shared" si="69"/>
        <v>0</v>
      </c>
      <c r="N371" s="727">
        <f t="shared" ca="1" si="70"/>
        <v>0</v>
      </c>
    </row>
    <row r="372" spans="1:14" ht="20.100000000000001" hidden="1" customHeight="1">
      <c r="A372" s="696"/>
      <c r="B372" s="226" t="s">
        <v>514</v>
      </c>
      <c r="C372" s="713">
        <f>VLOOKUP($B372,R_DG!$A$7:$G$1305,2,0)</f>
        <v>0</v>
      </c>
      <c r="D372" s="723" t="str">
        <f>VLOOKUP($B372,R_DG!$A$7:$G$1305,3,0)</f>
        <v>Kẹp nối đồng-nhôm</v>
      </c>
      <c r="E372" s="714" t="str">
        <f>VLOOKUP($B372,R_DG!$A$7:$G$1305,4,0)</f>
        <v>cái</v>
      </c>
      <c r="F372" s="724">
        <v>2</v>
      </c>
      <c r="G372" s="608">
        <f>VLOOKUP($B372,R_DG!$A$7:$G$1305,5,0)</f>
        <v>4600</v>
      </c>
      <c r="H372" s="608">
        <f>VLOOKUP($B372,R_DG!$A$7:$G$1305,6,0)</f>
        <v>0</v>
      </c>
      <c r="I372" s="608">
        <f>VLOOKUP($B372,R_DG!$A$7:$G$1305,7,0)</f>
        <v>0</v>
      </c>
      <c r="J372" s="608">
        <f t="shared" si="66"/>
        <v>9200</v>
      </c>
      <c r="K372" s="608">
        <f t="shared" si="66"/>
        <v>0</v>
      </c>
      <c r="L372" s="725">
        <f t="shared" si="66"/>
        <v>0</v>
      </c>
      <c r="M372" s="726">
        <f t="shared" si="69"/>
        <v>0</v>
      </c>
      <c r="N372" s="727">
        <f t="shared" ca="1" si="70"/>
        <v>0</v>
      </c>
    </row>
    <row r="373" spans="1:14" ht="20.100000000000001" hidden="1" customHeight="1">
      <c r="A373" s="696"/>
      <c r="B373" s="226" t="s">
        <v>2189</v>
      </c>
      <c r="C373" s="713">
        <f>VLOOKUP($B373,R_DG!$A$7:$G$1305,2,0)</f>
        <v>0</v>
      </c>
      <c r="D373" s="723" t="str">
        <f>VLOOKUP($B373,R_DG!$A$7:$G$1305,3,0)</f>
        <v>Đầu cosse ép Cu 25mm2</v>
      </c>
      <c r="E373" s="714" t="str">
        <f>VLOOKUP($B373,R_DG!$A$7:$G$1305,4,0)</f>
        <v>cái</v>
      </c>
      <c r="F373" s="724">
        <v>2</v>
      </c>
      <c r="G373" s="608">
        <f>VLOOKUP($B373,R_DG!$A$7:$G$1305,5,0)</f>
        <v>6500</v>
      </c>
      <c r="H373" s="608">
        <f>VLOOKUP($B373,R_DG!$A$7:$G$1305,6,0)</f>
        <v>0</v>
      </c>
      <c r="I373" s="608">
        <f>VLOOKUP($B373,R_DG!$A$7:$G$1305,7,0)</f>
        <v>0</v>
      </c>
      <c r="J373" s="608">
        <f t="shared" si="66"/>
        <v>13000</v>
      </c>
      <c r="K373" s="608">
        <f t="shared" si="66"/>
        <v>0</v>
      </c>
      <c r="L373" s="725">
        <f t="shared" si="66"/>
        <v>0</v>
      </c>
      <c r="M373" s="726">
        <f t="shared" si="69"/>
        <v>0</v>
      </c>
      <c r="N373" s="727">
        <f t="shared" ca="1" si="70"/>
        <v>0</v>
      </c>
    </row>
    <row r="374" spans="1:14" ht="20.100000000000001" hidden="1" customHeight="1">
      <c r="A374" s="696"/>
      <c r="B374" s="226" t="s">
        <v>2190</v>
      </c>
      <c r="C374" s="713">
        <f>VLOOKUP($B374,R_DG!$A$7:$G$1305,2,0)</f>
        <v>0</v>
      </c>
      <c r="D374" s="723" t="str">
        <f>VLOOKUP($B374,R_DG!$A$7:$G$1305,3,0)</f>
        <v>Boulon 12x40+ 2 long đền vuông D14-50x50x3/Zn</v>
      </c>
      <c r="E374" s="714" t="str">
        <f>VLOOKUP($B374,R_DG!$A$7:$G$1305,4,0)</f>
        <v>bộ</v>
      </c>
      <c r="F374" s="724">
        <v>1</v>
      </c>
      <c r="G374" s="608">
        <f>VLOOKUP($B374,R_DG!$A$7:$G$1305,5,0)</f>
        <v>3000</v>
      </c>
      <c r="H374" s="608">
        <f>VLOOKUP($B374,R_DG!$A$7:$G$1305,6,0)</f>
        <v>0</v>
      </c>
      <c r="I374" s="608">
        <f>VLOOKUP($B374,R_DG!$A$7:$G$1305,7,0)</f>
        <v>0</v>
      </c>
      <c r="J374" s="608">
        <f t="shared" si="66"/>
        <v>3000</v>
      </c>
      <c r="K374" s="608">
        <f t="shared" si="66"/>
        <v>0</v>
      </c>
      <c r="L374" s="725">
        <f t="shared" si="66"/>
        <v>0</v>
      </c>
      <c r="M374" s="726">
        <f t="shared" si="69"/>
        <v>0</v>
      </c>
      <c r="N374" s="727">
        <f t="shared" ca="1" si="70"/>
        <v>0</v>
      </c>
    </row>
    <row r="375" spans="1:14" ht="20.100000000000001" hidden="1" customHeight="1">
      <c r="A375" s="696"/>
      <c r="B375" s="226" t="s">
        <v>1131</v>
      </c>
      <c r="C375" s="713" t="str">
        <f>VLOOKUP($B375,R_DG!$A$7:$G$1305,2,0)</f>
        <v>05.7001</v>
      </c>
      <c r="D375" s="723" t="str">
        <f>VLOOKUP($B375,R_DG!$A$7:$G$1305,3,0)</f>
        <v xml:space="preserve">Kéo dây tiếp địa </v>
      </c>
      <c r="E375" s="714" t="str">
        <f>VLOOKUP($B375,R_DG!$A$7:$G$1305,4,0)</f>
        <v>m</v>
      </c>
      <c r="F375" s="724">
        <f>F370</f>
        <v>3.1360000000000001</v>
      </c>
      <c r="G375" s="608">
        <f>VLOOKUP($B375,R_DG!$A$7:$G$1305,5,0)</f>
        <v>0</v>
      </c>
      <c r="H375" s="608">
        <f>VLOOKUP($B375,R_DG!$A$7:$G$1305,6,0)</f>
        <v>6776.4839999999995</v>
      </c>
      <c r="I375" s="608">
        <f>VLOOKUP($B375,R_DG!$A$7:$G$1305,7,0)</f>
        <v>0</v>
      </c>
      <c r="J375" s="608">
        <f t="shared" si="66"/>
        <v>0</v>
      </c>
      <c r="K375" s="608">
        <f t="shared" si="66"/>
        <v>21251.053823999999</v>
      </c>
      <c r="L375" s="725">
        <f t="shared" si="66"/>
        <v>0</v>
      </c>
      <c r="M375" s="726">
        <f t="shared" si="69"/>
        <v>0</v>
      </c>
      <c r="N375" s="727">
        <f t="shared" ca="1" si="70"/>
        <v>0</v>
      </c>
    </row>
    <row r="376" spans="1:14" ht="20.100000000000001" hidden="1" customHeight="1">
      <c r="A376" s="696"/>
      <c r="B376" s="226" t="s">
        <v>1136</v>
      </c>
      <c r="C376" s="713" t="str">
        <f>VLOOKUP($B376,R_DG!$A$7:$G$1305,2,0)</f>
        <v>D2.8103</v>
      </c>
      <c r="D376" s="723" t="str">
        <f>VLOOKUP($B376,R_DG!$A$7:$G$1305,3,0)</f>
        <v>Đóng cọc tiếp địa đất cấp 3</v>
      </c>
      <c r="E376" s="714" t="str">
        <f>VLOOKUP($B376,R_DG!$A$7:$G$1305,4,0)</f>
        <v>cọc</v>
      </c>
      <c r="F376" s="724">
        <v>1</v>
      </c>
      <c r="G376" s="608">
        <f>VLOOKUP($B376,R_DG!$A$7:$G$1305,5,0)</f>
        <v>0</v>
      </c>
      <c r="H376" s="608">
        <f>VLOOKUP($B376,R_DG!$A$7:$G$1305,6,0)</f>
        <v>85984.656000000003</v>
      </c>
      <c r="I376" s="608">
        <f>VLOOKUP($B376,R_DG!$A$7:$G$1305,7,0)</f>
        <v>0</v>
      </c>
      <c r="J376" s="608">
        <f t="shared" si="66"/>
        <v>0</v>
      </c>
      <c r="K376" s="608">
        <f t="shared" si="66"/>
        <v>85984.656000000003</v>
      </c>
      <c r="L376" s="725">
        <f t="shared" si="66"/>
        <v>0</v>
      </c>
      <c r="M376" s="726">
        <f t="shared" si="69"/>
        <v>0</v>
      </c>
      <c r="N376" s="727">
        <f t="shared" ca="1" si="70"/>
        <v>0</v>
      </c>
    </row>
    <row r="377" spans="1:14" ht="20.100000000000001" hidden="1" customHeight="1">
      <c r="A377" s="696"/>
      <c r="B377" s="226" t="s">
        <v>2185</v>
      </c>
      <c r="C377" s="713" t="str">
        <f>VLOOKUP($B377,R_DG!$A$7:$G$1305,2,0)</f>
        <v>02.1120</v>
      </c>
      <c r="D377" s="723" t="str">
        <f>VLOOKUP($B377,R_DG!$A$7:$G$1305,3,0)</f>
        <v>Bốc dỡ phụ kiện</v>
      </c>
      <c r="E377" s="714" t="str">
        <f>VLOOKUP($B377,R_DG!$A$7:$G$1305,4,0)</f>
        <v>tấn</v>
      </c>
      <c r="F377" s="724"/>
      <c r="G377" s="608">
        <f>VLOOKUP($B377,R_DG!$A$7:$G$1305,5,0)</f>
        <v>0</v>
      </c>
      <c r="H377" s="608">
        <f>VLOOKUP($B377,R_DG!$A$7:$G$1305,6,0)</f>
        <v>0</v>
      </c>
      <c r="I377" s="608">
        <f>VLOOKUP($B377,R_DG!$A$7:$G$1305,7,0)</f>
        <v>0</v>
      </c>
      <c r="J377" s="608">
        <f t="shared" si="66"/>
        <v>0</v>
      </c>
      <c r="K377" s="608">
        <f t="shared" si="66"/>
        <v>0</v>
      </c>
      <c r="L377" s="725">
        <f t="shared" si="66"/>
        <v>0</v>
      </c>
      <c r="M377" s="726">
        <f t="shared" si="69"/>
        <v>0</v>
      </c>
      <c r="N377" s="727">
        <f t="shared" ca="1" si="70"/>
        <v>0</v>
      </c>
    </row>
    <row r="378" spans="1:14" ht="20.100000000000001" customHeight="1">
      <c r="A378" s="728" t="s">
        <v>2204</v>
      </c>
      <c r="B378" s="729"/>
      <c r="C378" s="717"/>
      <c r="D378" s="718" t="s">
        <v>2205</v>
      </c>
      <c r="E378" s="718" t="s">
        <v>163</v>
      </c>
      <c r="F378" s="719"/>
      <c r="G378" s="720"/>
      <c r="H378" s="720"/>
      <c r="I378" s="720"/>
      <c r="J378" s="720">
        <f>SUM(J379:J384)</f>
        <v>1403304</v>
      </c>
      <c r="K378" s="720">
        <f>SUM(K379:K384)</f>
        <v>119379.169152</v>
      </c>
      <c r="L378" s="721">
        <f>SUM(L379:L384)</f>
        <v>0</v>
      </c>
      <c r="M378" s="693">
        <f>IF(ERROR.TYPE(IF(HLOOKUP(A378,maBK,1,0)&lt;&gt;"",#NULL!,"ABC"))&lt;&gt;7,1,0)</f>
        <v>0</v>
      </c>
      <c r="N378" s="712">
        <f ca="1">SUMIF(maBK,$A378,tongBK1)</f>
        <v>0</v>
      </c>
    </row>
    <row r="379" spans="1:14" ht="20.100000000000001" hidden="1" customHeight="1">
      <c r="A379" s="696"/>
      <c r="B379" s="226" t="s">
        <v>2184</v>
      </c>
      <c r="C379" s="713">
        <f>VLOOKUP($B379,R_DG!$A$7:$G$1305,2,0)</f>
        <v>0</v>
      </c>
      <c r="D379" s="723" t="str">
        <f>VLOOKUP($B379,R_DG!$A$7:$G$1305,3,0)</f>
        <v>Cáp đồng trần M25mm2</v>
      </c>
      <c r="E379" s="714" t="str">
        <f>VLOOKUP($B379,R_DG!$A$7:$G$1305,4,0)</f>
        <v>kg</v>
      </c>
      <c r="F379" s="738">
        <f>22*0.224</f>
        <v>4.9279999999999999</v>
      </c>
      <c r="G379" s="608">
        <f>VLOOKUP($B379,R_DG!$A$7:$G$1305,5,0)</f>
        <v>255500</v>
      </c>
      <c r="H379" s="608">
        <f>VLOOKUP($B379,R_DG!$A$7:$G$1305,6,0)</f>
        <v>0</v>
      </c>
      <c r="I379" s="608">
        <f>VLOOKUP($B379,R_DG!$A$7:$G$1305,7,0)</f>
        <v>0</v>
      </c>
      <c r="J379" s="608">
        <f t="shared" si="66"/>
        <v>1259104</v>
      </c>
      <c r="K379" s="608">
        <f t="shared" si="66"/>
        <v>0</v>
      </c>
      <c r="L379" s="725">
        <f t="shared" si="66"/>
        <v>0</v>
      </c>
      <c r="M379" s="726">
        <f t="shared" ref="M379:M384" si="71">IF(F379&gt;0,M$378,0)</f>
        <v>0</v>
      </c>
      <c r="N379" s="727">
        <f t="shared" ref="N379:N384" ca="1" si="72">$F379*N$378</f>
        <v>0</v>
      </c>
    </row>
    <row r="380" spans="1:14" ht="20.100000000000001" hidden="1" customHeight="1">
      <c r="A380" s="696"/>
      <c r="B380" s="226" t="s">
        <v>405</v>
      </c>
      <c r="C380" s="713">
        <f>VLOOKUP($B380,R_DG!$A$7:$G$1305,2,0)</f>
        <v>0</v>
      </c>
      <c r="D380" s="723" t="str">
        <f>VLOOKUP($B380,R_DG!$A$7:$G$1305,3,0)</f>
        <v>Cọc tiếp đất φ 16- 2,4m + kẹp cọc</v>
      </c>
      <c r="E380" s="714" t="str">
        <f>VLOOKUP($B380,R_DG!$A$7:$G$1305,4,0)</f>
        <v>bộ</v>
      </c>
      <c r="F380" s="724">
        <v>1</v>
      </c>
      <c r="G380" s="608">
        <f>VLOOKUP($B380,R_DG!$A$7:$G$1305,5,0)</f>
        <v>135000</v>
      </c>
      <c r="H380" s="608">
        <f>VLOOKUP($B380,R_DG!$A$7:$G$1305,6,0)</f>
        <v>0</v>
      </c>
      <c r="I380" s="608">
        <f>VLOOKUP($B380,R_DG!$A$7:$G$1305,7,0)</f>
        <v>0</v>
      </c>
      <c r="J380" s="608">
        <f t="shared" si="66"/>
        <v>135000</v>
      </c>
      <c r="K380" s="608">
        <f t="shared" si="66"/>
        <v>0</v>
      </c>
      <c r="L380" s="725">
        <f t="shared" si="66"/>
        <v>0</v>
      </c>
      <c r="M380" s="726">
        <f t="shared" si="71"/>
        <v>0</v>
      </c>
      <c r="N380" s="727">
        <f t="shared" ca="1" si="72"/>
        <v>0</v>
      </c>
    </row>
    <row r="381" spans="1:14" ht="20.100000000000001" hidden="1" customHeight="1">
      <c r="A381" s="696"/>
      <c r="B381" s="226" t="s">
        <v>514</v>
      </c>
      <c r="C381" s="713">
        <f>VLOOKUP($B381,R_DG!$A$7:$G$1305,2,0)</f>
        <v>0</v>
      </c>
      <c r="D381" s="723" t="str">
        <f>VLOOKUP($B381,R_DG!$A$7:$G$1305,3,0)</f>
        <v>Kẹp nối đồng-nhôm</v>
      </c>
      <c r="E381" s="714" t="str">
        <f>VLOOKUP($B381,R_DG!$A$7:$G$1305,4,0)</f>
        <v>cái</v>
      </c>
      <c r="F381" s="724">
        <v>2</v>
      </c>
      <c r="G381" s="608">
        <f>VLOOKUP($B381,R_DG!$A$7:$G$1305,5,0)</f>
        <v>4600</v>
      </c>
      <c r="H381" s="608">
        <f>VLOOKUP($B381,R_DG!$A$7:$G$1305,6,0)</f>
        <v>0</v>
      </c>
      <c r="I381" s="608">
        <f>VLOOKUP($B381,R_DG!$A$7:$G$1305,7,0)</f>
        <v>0</v>
      </c>
      <c r="J381" s="608">
        <f t="shared" si="66"/>
        <v>9200</v>
      </c>
      <c r="K381" s="608">
        <f t="shared" si="66"/>
        <v>0</v>
      </c>
      <c r="L381" s="725">
        <f t="shared" si="66"/>
        <v>0</v>
      </c>
      <c r="M381" s="726">
        <f t="shared" si="71"/>
        <v>0</v>
      </c>
      <c r="N381" s="727">
        <f t="shared" ca="1" si="72"/>
        <v>0</v>
      </c>
    </row>
    <row r="382" spans="1:14" ht="20.100000000000001" hidden="1" customHeight="1">
      <c r="A382" s="696"/>
      <c r="B382" s="226" t="s">
        <v>1131</v>
      </c>
      <c r="C382" s="713" t="str">
        <f>VLOOKUP($B382,R_DG!$A$7:$G$1305,2,0)</f>
        <v>05.7001</v>
      </c>
      <c r="D382" s="723" t="str">
        <f>VLOOKUP($B382,R_DG!$A$7:$G$1305,3,0)</f>
        <v xml:space="preserve">Kéo dây tiếp địa </v>
      </c>
      <c r="E382" s="714" t="str">
        <f>VLOOKUP($B382,R_DG!$A$7:$G$1305,4,0)</f>
        <v>m</v>
      </c>
      <c r="F382" s="724">
        <f>F379</f>
        <v>4.9279999999999999</v>
      </c>
      <c r="G382" s="608">
        <f>VLOOKUP($B382,R_DG!$A$7:$G$1305,5,0)</f>
        <v>0</v>
      </c>
      <c r="H382" s="608">
        <f>VLOOKUP($B382,R_DG!$A$7:$G$1305,6,0)</f>
        <v>6776.4839999999995</v>
      </c>
      <c r="I382" s="608">
        <f>VLOOKUP($B382,R_DG!$A$7:$G$1305,7,0)</f>
        <v>0</v>
      </c>
      <c r="J382" s="608">
        <f t="shared" si="66"/>
        <v>0</v>
      </c>
      <c r="K382" s="608">
        <f t="shared" si="66"/>
        <v>33394.513152</v>
      </c>
      <c r="L382" s="725">
        <f t="shared" si="66"/>
        <v>0</v>
      </c>
      <c r="M382" s="726">
        <f t="shared" si="71"/>
        <v>0</v>
      </c>
      <c r="N382" s="727">
        <f t="shared" ca="1" si="72"/>
        <v>0</v>
      </c>
    </row>
    <row r="383" spans="1:14" ht="20.100000000000001" hidden="1" customHeight="1">
      <c r="A383" s="696"/>
      <c r="B383" s="226" t="s">
        <v>1136</v>
      </c>
      <c r="C383" s="713" t="str">
        <f>VLOOKUP($B383,R_DG!$A$7:$G$1305,2,0)</f>
        <v>D2.8103</v>
      </c>
      <c r="D383" s="723" t="str">
        <f>VLOOKUP($B383,R_DG!$A$7:$G$1305,3,0)</f>
        <v>Đóng cọc tiếp địa đất cấp 3</v>
      </c>
      <c r="E383" s="714" t="str">
        <f>VLOOKUP($B383,R_DG!$A$7:$G$1305,4,0)</f>
        <v>cọc</v>
      </c>
      <c r="F383" s="724">
        <v>1</v>
      </c>
      <c r="G383" s="608">
        <f>VLOOKUP($B383,R_DG!$A$7:$G$1305,5,0)</f>
        <v>0</v>
      </c>
      <c r="H383" s="608">
        <f>VLOOKUP($B383,R_DG!$A$7:$G$1305,6,0)</f>
        <v>85984.656000000003</v>
      </c>
      <c r="I383" s="608">
        <f>VLOOKUP($B383,R_DG!$A$7:$G$1305,7,0)</f>
        <v>0</v>
      </c>
      <c r="J383" s="608">
        <f t="shared" si="66"/>
        <v>0</v>
      </c>
      <c r="K383" s="608">
        <f t="shared" si="66"/>
        <v>85984.656000000003</v>
      </c>
      <c r="L383" s="725">
        <f t="shared" si="66"/>
        <v>0</v>
      </c>
      <c r="M383" s="726">
        <f t="shared" si="71"/>
        <v>0</v>
      </c>
      <c r="N383" s="727">
        <f t="shared" ca="1" si="72"/>
        <v>0</v>
      </c>
    </row>
    <row r="384" spans="1:14" ht="20.100000000000001" hidden="1" customHeight="1">
      <c r="A384" s="696"/>
      <c r="B384" s="226" t="s">
        <v>2185</v>
      </c>
      <c r="C384" s="713" t="str">
        <f>VLOOKUP($B384,R_DG!$A$7:$G$1305,2,0)</f>
        <v>02.1120</v>
      </c>
      <c r="D384" s="723" t="str">
        <f>VLOOKUP($B384,R_DG!$A$7:$G$1305,3,0)</f>
        <v>Bốc dỡ phụ kiện</v>
      </c>
      <c r="E384" s="714" t="str">
        <f>VLOOKUP($B384,R_DG!$A$7:$G$1305,4,0)</f>
        <v>tấn</v>
      </c>
      <c r="F384" s="724">
        <v>8.0000000000000002E-3</v>
      </c>
      <c r="G384" s="608">
        <f>VLOOKUP($B384,R_DG!$A$7:$G$1305,5,0)</f>
        <v>0</v>
      </c>
      <c r="H384" s="608">
        <f>VLOOKUP($B384,R_DG!$A$7:$G$1305,6,0)</f>
        <v>0</v>
      </c>
      <c r="I384" s="608">
        <f>VLOOKUP($B384,R_DG!$A$7:$G$1305,7,0)</f>
        <v>0</v>
      </c>
      <c r="J384" s="608">
        <f t="shared" si="66"/>
        <v>0</v>
      </c>
      <c r="K384" s="608">
        <f t="shared" si="66"/>
        <v>0</v>
      </c>
      <c r="L384" s="725">
        <f t="shared" si="66"/>
        <v>0</v>
      </c>
      <c r="M384" s="726">
        <f t="shared" si="71"/>
        <v>0</v>
      </c>
      <c r="N384" s="727">
        <f t="shared" ca="1" si="72"/>
        <v>0</v>
      </c>
    </row>
    <row r="385" spans="1:14" ht="20.100000000000001" customHeight="1">
      <c r="A385" s="728" t="s">
        <v>2206</v>
      </c>
      <c r="B385" s="729"/>
      <c r="C385" s="717"/>
      <c r="D385" s="718" t="s">
        <v>2207</v>
      </c>
      <c r="E385" s="718" t="s">
        <v>163</v>
      </c>
      <c r="F385" s="719"/>
      <c r="G385" s="720"/>
      <c r="H385" s="720"/>
      <c r="I385" s="720"/>
      <c r="J385" s="720">
        <f>SUM(J386:J398)</f>
        <v>4595496</v>
      </c>
      <c r="K385" s="720">
        <f>SUM(K386:K398)</f>
        <v>8835865.1220479999</v>
      </c>
      <c r="L385" s="721">
        <f>SUM(L386:L398)</f>
        <v>61263.280000000006</v>
      </c>
      <c r="M385" s="693">
        <f>IF(ERROR.TYPE(IF(HLOOKUP(A385,maBK,1,0)&lt;&gt;"",#NULL!,"ABC"))&lt;&gt;7,1,0)</f>
        <v>0</v>
      </c>
      <c r="N385" s="712">
        <f ca="1">SUMIF(maBK,$A385,tongBK1)</f>
        <v>0</v>
      </c>
    </row>
    <row r="386" spans="1:14" ht="20.100000000000001" hidden="1" customHeight="1">
      <c r="A386" s="696"/>
      <c r="B386" s="226" t="s">
        <v>2184</v>
      </c>
      <c r="C386" s="713">
        <f>VLOOKUP($B386,R_DG!$A$7:$G$1305,2,0)</f>
        <v>0</v>
      </c>
      <c r="D386" s="723" t="str">
        <f>VLOOKUP($B386,R_DG!$A$7:$G$1305,3,0)</f>
        <v>Cáp đồng trần M25mm2</v>
      </c>
      <c r="E386" s="714" t="str">
        <f>VLOOKUP($B386,R_DG!$A$7:$G$1305,4,0)</f>
        <v>kg</v>
      </c>
      <c r="F386" s="738">
        <f>53*0.224</f>
        <v>11.872</v>
      </c>
      <c r="G386" s="608">
        <f>VLOOKUP($B386,R_DG!$A$7:$G$1305,5,0)</f>
        <v>255500</v>
      </c>
      <c r="H386" s="608">
        <f>VLOOKUP($B386,R_DG!$A$7:$G$1305,6,0)</f>
        <v>0</v>
      </c>
      <c r="I386" s="608">
        <f>VLOOKUP($B386,R_DG!$A$7:$G$1305,7,0)</f>
        <v>0</v>
      </c>
      <c r="J386" s="608">
        <f t="shared" si="66"/>
        <v>3033296</v>
      </c>
      <c r="K386" s="608">
        <f t="shared" si="66"/>
        <v>0</v>
      </c>
      <c r="L386" s="725">
        <f t="shared" si="66"/>
        <v>0</v>
      </c>
      <c r="M386" s="726">
        <f t="shared" ref="M386:M398" si="73">IF(F386&gt;0,M$385,0)</f>
        <v>0</v>
      </c>
      <c r="N386" s="727">
        <f t="shared" ref="N386:N398" ca="1" si="74">$F386*N$385</f>
        <v>0</v>
      </c>
    </row>
    <row r="387" spans="1:14" ht="20.100000000000001" hidden="1" customHeight="1">
      <c r="A387" s="696"/>
      <c r="B387" s="226" t="s">
        <v>405</v>
      </c>
      <c r="C387" s="713">
        <f>VLOOKUP($B387,R_DG!$A$7:$G$1305,2,0)</f>
        <v>0</v>
      </c>
      <c r="D387" s="723" t="str">
        <f>VLOOKUP($B387,R_DG!$A$7:$G$1305,3,0)</f>
        <v>Cọc tiếp đất φ 16- 2,4m + kẹp cọc</v>
      </c>
      <c r="E387" s="714" t="str">
        <f>VLOOKUP($B387,R_DG!$A$7:$G$1305,4,0)</f>
        <v>bộ</v>
      </c>
      <c r="F387" s="724">
        <v>9</v>
      </c>
      <c r="G387" s="608">
        <f>VLOOKUP($B387,R_DG!$A$7:$G$1305,5,0)</f>
        <v>135000</v>
      </c>
      <c r="H387" s="608">
        <f>VLOOKUP($B387,R_DG!$A$7:$G$1305,6,0)</f>
        <v>0</v>
      </c>
      <c r="I387" s="608">
        <f>VLOOKUP($B387,R_DG!$A$7:$G$1305,7,0)</f>
        <v>0</v>
      </c>
      <c r="J387" s="608">
        <f t="shared" si="66"/>
        <v>1215000</v>
      </c>
      <c r="K387" s="608">
        <f t="shared" si="66"/>
        <v>0</v>
      </c>
      <c r="L387" s="725">
        <f t="shared" si="66"/>
        <v>0</v>
      </c>
      <c r="M387" s="726">
        <f t="shared" si="73"/>
        <v>0</v>
      </c>
      <c r="N387" s="727">
        <f t="shared" ca="1" si="74"/>
        <v>0</v>
      </c>
    </row>
    <row r="388" spans="1:14" ht="20.100000000000001" hidden="1" customHeight="1">
      <c r="A388" s="696"/>
      <c r="B388" s="226" t="s">
        <v>2208</v>
      </c>
      <c r="C388" s="713" t="str">
        <f>VLOOKUP($B388,R_DG!$A$7:$G$1305,2,0)</f>
        <v>D3.4011</v>
      </c>
      <c r="D388" s="723" t="str">
        <f>VLOOKUP($B388,R_DG!$A$7:$G$1305,3,0)</f>
        <v>Kẹp ép WR cỡ dây 50mm2</v>
      </c>
      <c r="E388" s="714" t="str">
        <f>VLOOKUP($B388,R_DG!$A$7:$G$1305,4,0)</f>
        <v>cái</v>
      </c>
      <c r="F388" s="724">
        <v>2</v>
      </c>
      <c r="G388" s="608">
        <f>VLOOKUP($B388,R_DG!$A$7:$G$1305,5,0)</f>
        <v>13000</v>
      </c>
      <c r="H388" s="608">
        <f>VLOOKUP($B388,R_DG!$A$7:$G$1305,6,0)</f>
        <v>259648.56000000003</v>
      </c>
      <c r="I388" s="608">
        <f>VLOOKUP($B388,R_DG!$A$7:$G$1305,7,0)</f>
        <v>4712.5600000000004</v>
      </c>
      <c r="J388" s="608">
        <f t="shared" si="66"/>
        <v>26000</v>
      </c>
      <c r="K388" s="608">
        <f t="shared" si="66"/>
        <v>519297.12000000005</v>
      </c>
      <c r="L388" s="725">
        <f t="shared" si="66"/>
        <v>9425.1200000000008</v>
      </c>
      <c r="M388" s="726">
        <f t="shared" si="73"/>
        <v>0</v>
      </c>
      <c r="N388" s="727">
        <f t="shared" ca="1" si="74"/>
        <v>0</v>
      </c>
    </row>
    <row r="389" spans="1:14" ht="20.100000000000001" hidden="1" customHeight="1">
      <c r="A389" s="696"/>
      <c r="B389" s="226" t="s">
        <v>2209</v>
      </c>
      <c r="C389" s="713" t="str">
        <f>VLOOKUP($B389,R_DG!$A$7:$G$1305,2,0)</f>
        <v>D3.4011</v>
      </c>
      <c r="D389" s="723" t="str">
        <f>VLOOKUP($B389,R_DG!$A$7:$G$1305,3,0)</f>
        <v>Kẹp ép cỡ dây 25mm2</v>
      </c>
      <c r="E389" s="714" t="str">
        <f>VLOOKUP($B389,R_DG!$A$7:$G$1305,4,0)</f>
        <v>cái</v>
      </c>
      <c r="F389" s="724">
        <v>11</v>
      </c>
      <c r="G389" s="608">
        <f>VLOOKUP($B389,R_DG!$A$7:$G$1305,5,0)</f>
        <v>14000</v>
      </c>
      <c r="H389" s="608">
        <f>VLOOKUP($B389,R_DG!$A$7:$G$1305,6,0)</f>
        <v>259648.56000000003</v>
      </c>
      <c r="I389" s="608">
        <f>VLOOKUP($B389,R_DG!$A$7:$G$1305,7,0)</f>
        <v>4712.5600000000004</v>
      </c>
      <c r="J389" s="608">
        <f t="shared" si="66"/>
        <v>154000</v>
      </c>
      <c r="K389" s="608">
        <f t="shared" si="66"/>
        <v>2856134.16</v>
      </c>
      <c r="L389" s="725">
        <f t="shared" si="66"/>
        <v>51838.16</v>
      </c>
      <c r="M389" s="726">
        <f t="shared" si="73"/>
        <v>0</v>
      </c>
      <c r="N389" s="727">
        <f t="shared" ca="1" si="74"/>
        <v>0</v>
      </c>
    </row>
    <row r="390" spans="1:14" ht="20.100000000000001" hidden="1" customHeight="1">
      <c r="A390" s="696"/>
      <c r="B390" s="226" t="s">
        <v>2197</v>
      </c>
      <c r="C390" s="713">
        <f>VLOOKUP($B390,R_DG!$A$7:$G$1305,2,0)</f>
        <v>0</v>
      </c>
      <c r="D390" s="723" t="str">
        <f>VLOOKUP($B390,R_DG!$A$7:$G$1305,3,0)</f>
        <v xml:space="preserve">Ống PVC D21x1,6mm </v>
      </c>
      <c r="E390" s="714" t="str">
        <f>VLOOKUP($B390,R_DG!$A$7:$G$1305,4,0)</f>
        <v>m</v>
      </c>
      <c r="F390" s="724">
        <v>6</v>
      </c>
      <c r="G390" s="608">
        <f>VLOOKUP($B390,R_DG!$A$7:$G$1305,5,0)</f>
        <v>3700</v>
      </c>
      <c r="H390" s="608">
        <f>VLOOKUP($B390,R_DG!$A$7:$G$1305,6,0)</f>
        <v>0</v>
      </c>
      <c r="I390" s="608">
        <f>VLOOKUP($B390,R_DG!$A$7:$G$1305,7,0)</f>
        <v>0</v>
      </c>
      <c r="J390" s="608">
        <f t="shared" si="66"/>
        <v>22200</v>
      </c>
      <c r="K390" s="608">
        <f t="shared" si="66"/>
        <v>0</v>
      </c>
      <c r="L390" s="725">
        <f t="shared" si="66"/>
        <v>0</v>
      </c>
      <c r="M390" s="726">
        <f t="shared" si="73"/>
        <v>0</v>
      </c>
      <c r="N390" s="727">
        <f t="shared" ca="1" si="74"/>
        <v>0</v>
      </c>
    </row>
    <row r="391" spans="1:14" ht="20.100000000000001" hidden="1" customHeight="1">
      <c r="A391" s="696"/>
      <c r="B391" s="226" t="s">
        <v>2210</v>
      </c>
      <c r="C391" s="713">
        <f>VLOOKUP($B391,R_DG!$A$7:$G$1305,2,0)</f>
        <v>0</v>
      </c>
      <c r="D391" s="723" t="str">
        <f>VLOOKUP($B391,R_DG!$A$7:$G$1305,3,0)</f>
        <v>Cổ dê kẹp ống PVC φ 21</v>
      </c>
      <c r="E391" s="714" t="str">
        <f>VLOOKUP($B391,R_DG!$A$7:$G$1305,4,0)</f>
        <v>bộ</v>
      </c>
      <c r="F391" s="724">
        <v>3</v>
      </c>
      <c r="G391" s="608">
        <f>VLOOKUP($B391,R_DG!$A$7:$G$1305,5,0)</f>
        <v>43000</v>
      </c>
      <c r="H391" s="608">
        <f>VLOOKUP($B391,R_DG!$A$7:$G$1305,6,0)</f>
        <v>0</v>
      </c>
      <c r="I391" s="608">
        <f>VLOOKUP($B391,R_DG!$A$7:$G$1305,7,0)</f>
        <v>0</v>
      </c>
      <c r="J391" s="608">
        <f t="shared" si="66"/>
        <v>129000</v>
      </c>
      <c r="K391" s="608">
        <f t="shared" si="66"/>
        <v>0</v>
      </c>
      <c r="L391" s="725">
        <f t="shared" si="66"/>
        <v>0</v>
      </c>
      <c r="M391" s="726">
        <f t="shared" si="73"/>
        <v>0</v>
      </c>
      <c r="N391" s="727">
        <f t="shared" ca="1" si="74"/>
        <v>0</v>
      </c>
    </row>
    <row r="392" spans="1:14" ht="20.100000000000001" hidden="1" customHeight="1">
      <c r="A392" s="696"/>
      <c r="B392" s="226" t="s">
        <v>2189</v>
      </c>
      <c r="C392" s="713">
        <f>VLOOKUP($B392,R_DG!$A$7:$G$1305,2,0)</f>
        <v>0</v>
      </c>
      <c r="D392" s="723" t="str">
        <f>VLOOKUP($B392,R_DG!$A$7:$G$1305,3,0)</f>
        <v>Đầu cosse ép Cu 25mm2</v>
      </c>
      <c r="E392" s="714" t="str">
        <f>VLOOKUP($B392,R_DG!$A$7:$G$1305,4,0)</f>
        <v>cái</v>
      </c>
      <c r="F392" s="724">
        <v>2</v>
      </c>
      <c r="G392" s="608">
        <f>VLOOKUP($B392,R_DG!$A$7:$G$1305,5,0)</f>
        <v>6500</v>
      </c>
      <c r="H392" s="608">
        <f>VLOOKUP($B392,R_DG!$A$7:$G$1305,6,0)</f>
        <v>0</v>
      </c>
      <c r="I392" s="608">
        <f>VLOOKUP($B392,R_DG!$A$7:$G$1305,7,0)</f>
        <v>0</v>
      </c>
      <c r="J392" s="608">
        <f t="shared" si="66"/>
        <v>13000</v>
      </c>
      <c r="K392" s="608">
        <f t="shared" si="66"/>
        <v>0</v>
      </c>
      <c r="L392" s="725">
        <f t="shared" si="66"/>
        <v>0</v>
      </c>
      <c r="M392" s="726">
        <f t="shared" si="73"/>
        <v>0</v>
      </c>
      <c r="N392" s="727">
        <f t="shared" ca="1" si="74"/>
        <v>0</v>
      </c>
    </row>
    <row r="393" spans="1:14" ht="20.100000000000001" hidden="1" customHeight="1">
      <c r="A393" s="696"/>
      <c r="B393" s="226" t="s">
        <v>2190</v>
      </c>
      <c r="C393" s="713">
        <f>VLOOKUP($B393,R_DG!$A$7:$G$1305,2,0)</f>
        <v>0</v>
      </c>
      <c r="D393" s="723" t="str">
        <f>VLOOKUP($B393,R_DG!$A$7:$G$1305,3,0)</f>
        <v>Boulon 12x40+ 2 long đền vuông D14-50x50x3/Zn</v>
      </c>
      <c r="E393" s="714" t="str">
        <f>VLOOKUP($B393,R_DG!$A$7:$G$1305,4,0)</f>
        <v>bộ</v>
      </c>
      <c r="F393" s="724">
        <v>1</v>
      </c>
      <c r="G393" s="608">
        <f>VLOOKUP($B393,R_DG!$A$7:$G$1305,5,0)</f>
        <v>3000</v>
      </c>
      <c r="H393" s="608">
        <f>VLOOKUP($B393,R_DG!$A$7:$G$1305,6,0)</f>
        <v>0</v>
      </c>
      <c r="I393" s="608">
        <f>VLOOKUP($B393,R_DG!$A$7:$G$1305,7,0)</f>
        <v>0</v>
      </c>
      <c r="J393" s="608">
        <f t="shared" si="66"/>
        <v>3000</v>
      </c>
      <c r="K393" s="608">
        <f t="shared" si="66"/>
        <v>0</v>
      </c>
      <c r="L393" s="725">
        <f t="shared" si="66"/>
        <v>0</v>
      </c>
      <c r="M393" s="726">
        <f t="shared" si="73"/>
        <v>0</v>
      </c>
      <c r="N393" s="727">
        <f t="shared" ca="1" si="74"/>
        <v>0</v>
      </c>
    </row>
    <row r="394" spans="1:14" ht="20.100000000000001" hidden="1" customHeight="1">
      <c r="A394" s="696"/>
      <c r="B394" s="226" t="s">
        <v>1131</v>
      </c>
      <c r="C394" s="713" t="str">
        <f>VLOOKUP($B394,R_DG!$A$7:$G$1305,2,0)</f>
        <v>05.7001</v>
      </c>
      <c r="D394" s="723" t="str">
        <f>VLOOKUP($B394,R_DG!$A$7:$G$1305,3,0)</f>
        <v xml:space="preserve">Kéo dây tiếp địa </v>
      </c>
      <c r="E394" s="714" t="str">
        <f>VLOOKUP($B394,R_DG!$A$7:$G$1305,4,0)</f>
        <v>m</v>
      </c>
      <c r="F394" s="724">
        <f>F386</f>
        <v>11.872</v>
      </c>
      <c r="G394" s="608">
        <f>VLOOKUP($B394,R_DG!$A$7:$G$1305,5,0)</f>
        <v>0</v>
      </c>
      <c r="H394" s="608">
        <f>VLOOKUP($B394,R_DG!$A$7:$G$1305,6,0)</f>
        <v>6776.4839999999995</v>
      </c>
      <c r="I394" s="608">
        <f>VLOOKUP($B394,R_DG!$A$7:$G$1305,7,0)</f>
        <v>0</v>
      </c>
      <c r="J394" s="608">
        <f t="shared" si="66"/>
        <v>0</v>
      </c>
      <c r="K394" s="608">
        <f t="shared" si="66"/>
        <v>80450.418047999992</v>
      </c>
      <c r="L394" s="725">
        <f t="shared" si="66"/>
        <v>0</v>
      </c>
      <c r="M394" s="726">
        <f t="shared" si="73"/>
        <v>0</v>
      </c>
      <c r="N394" s="727">
        <f t="shared" ca="1" si="74"/>
        <v>0</v>
      </c>
    </row>
    <row r="395" spans="1:14" ht="20.100000000000001" hidden="1" customHeight="1">
      <c r="A395" s="696"/>
      <c r="B395" s="226" t="s">
        <v>1136</v>
      </c>
      <c r="C395" s="713" t="str">
        <f>VLOOKUP($B395,R_DG!$A$7:$G$1305,2,0)</f>
        <v>D2.8103</v>
      </c>
      <c r="D395" s="723" t="str">
        <f>VLOOKUP($B395,R_DG!$A$7:$G$1305,3,0)</f>
        <v>Đóng cọc tiếp địa đất cấp 3</v>
      </c>
      <c r="E395" s="714" t="str">
        <f>VLOOKUP($B395,R_DG!$A$7:$G$1305,4,0)</f>
        <v>cọc</v>
      </c>
      <c r="F395" s="724">
        <f>F387</f>
        <v>9</v>
      </c>
      <c r="G395" s="608">
        <f>VLOOKUP($B395,R_DG!$A$7:$G$1305,5,0)</f>
        <v>0</v>
      </c>
      <c r="H395" s="608">
        <f>VLOOKUP($B395,R_DG!$A$7:$G$1305,6,0)</f>
        <v>85984.656000000003</v>
      </c>
      <c r="I395" s="608">
        <f>VLOOKUP($B395,R_DG!$A$7:$G$1305,7,0)</f>
        <v>0</v>
      </c>
      <c r="J395" s="608">
        <f t="shared" si="66"/>
        <v>0</v>
      </c>
      <c r="K395" s="608">
        <f t="shared" si="66"/>
        <v>773861.90399999998</v>
      </c>
      <c r="L395" s="725">
        <f t="shared" si="66"/>
        <v>0</v>
      </c>
      <c r="M395" s="726">
        <f t="shared" si="73"/>
        <v>0</v>
      </c>
      <c r="N395" s="727">
        <f t="shared" ca="1" si="74"/>
        <v>0</v>
      </c>
    </row>
    <row r="396" spans="1:14" ht="20.100000000000001" hidden="1" customHeight="1">
      <c r="A396" s="696"/>
      <c r="B396" s="226" t="s">
        <v>2211</v>
      </c>
      <c r="C396" s="713" t="str">
        <f>VLOOKUP($B396,R_DG!$A$7:$G$1305,2,0)</f>
        <v>AB.1151</v>
      </c>
      <c r="D396" s="723" t="str">
        <f>VLOOKUP($B396,R_DG!$A$7:$G$1305,3,0)</f>
        <v>Đào rãnh tiếp địa đất cấp 3</v>
      </c>
      <c r="E396" s="714" t="str">
        <f>VLOOKUP($B396,R_DG!$A$7:$G$1305,4,0)</f>
        <v>m3</v>
      </c>
      <c r="F396" s="724">
        <v>13.2</v>
      </c>
      <c r="G396" s="608">
        <f>VLOOKUP($B396,R_DG!$A$7:$G$1305,5,0)</f>
        <v>0</v>
      </c>
      <c r="H396" s="608">
        <f>VLOOKUP($B396,R_DG!$A$7:$G$1305,6,0)</f>
        <v>241579.80000000002</v>
      </c>
      <c r="I396" s="608">
        <f>VLOOKUP($B396,R_DG!$A$7:$G$1305,7,0)</f>
        <v>0</v>
      </c>
      <c r="J396" s="608">
        <f t="shared" si="66"/>
        <v>0</v>
      </c>
      <c r="K396" s="608">
        <f t="shared" si="66"/>
        <v>3188853.36</v>
      </c>
      <c r="L396" s="725">
        <f t="shared" si="66"/>
        <v>0</v>
      </c>
      <c r="M396" s="726">
        <f t="shared" si="73"/>
        <v>0</v>
      </c>
      <c r="N396" s="727">
        <f t="shared" ca="1" si="74"/>
        <v>0</v>
      </c>
    </row>
    <row r="397" spans="1:14" ht="20.100000000000001" hidden="1" customHeight="1">
      <c r="A397" s="696"/>
      <c r="B397" s="226" t="s">
        <v>2212</v>
      </c>
      <c r="C397" s="713" t="str">
        <f>VLOOKUP($B397,R_DG!$A$7:$G$1305,2,0)</f>
        <v>AB.1312</v>
      </c>
      <c r="D397" s="723" t="str">
        <f>VLOOKUP($B397,R_DG!$A$7:$G$1305,3,0)</f>
        <v>Đắp đất rãnh tiếp địa cấp 3, k=0,9</v>
      </c>
      <c r="E397" s="714" t="str">
        <f>VLOOKUP($B397,R_DG!$A$7:$G$1305,4,0)</f>
        <v>m3</v>
      </c>
      <c r="F397" s="724">
        <f>F396</f>
        <v>13.2</v>
      </c>
      <c r="G397" s="608">
        <f>VLOOKUP($B397,R_DG!$A$7:$G$1305,5,0)</f>
        <v>0</v>
      </c>
      <c r="H397" s="608">
        <f>VLOOKUP($B397,R_DG!$A$7:$G$1305,6,0)</f>
        <v>107368.8</v>
      </c>
      <c r="I397" s="608">
        <f>VLOOKUP($B397,R_DG!$A$7:$G$1305,7,0)</f>
        <v>0</v>
      </c>
      <c r="J397" s="608">
        <f t="shared" si="66"/>
        <v>0</v>
      </c>
      <c r="K397" s="608">
        <f t="shared" si="66"/>
        <v>1417268.16</v>
      </c>
      <c r="L397" s="725">
        <f t="shared" si="66"/>
        <v>0</v>
      </c>
      <c r="M397" s="726">
        <f t="shared" si="73"/>
        <v>0</v>
      </c>
      <c r="N397" s="727">
        <f t="shared" ca="1" si="74"/>
        <v>0</v>
      </c>
    </row>
    <row r="398" spans="1:14" ht="20.100000000000001" hidden="1" customHeight="1">
      <c r="A398" s="696"/>
      <c r="B398" s="226" t="s">
        <v>2185</v>
      </c>
      <c r="C398" s="713" t="str">
        <f>VLOOKUP($B398,R_DG!$A$7:$G$1305,2,0)</f>
        <v>02.1120</v>
      </c>
      <c r="D398" s="723" t="str">
        <f>VLOOKUP($B398,R_DG!$A$7:$G$1305,3,0)</f>
        <v>Bốc dỡ phụ kiện</v>
      </c>
      <c r="E398" s="714" t="str">
        <f>VLOOKUP($B398,R_DG!$A$7:$G$1305,4,0)</f>
        <v>tấn</v>
      </c>
      <c r="F398" s="724"/>
      <c r="G398" s="608">
        <f>VLOOKUP($B398,R_DG!$A$7:$G$1305,5,0)</f>
        <v>0</v>
      </c>
      <c r="H398" s="608">
        <f>VLOOKUP($B398,R_DG!$A$7:$G$1305,6,0)</f>
        <v>0</v>
      </c>
      <c r="I398" s="608">
        <f>VLOOKUP($B398,R_DG!$A$7:$G$1305,7,0)</f>
        <v>0</v>
      </c>
      <c r="J398" s="608">
        <f t="shared" si="66"/>
        <v>0</v>
      </c>
      <c r="K398" s="608">
        <f t="shared" si="66"/>
        <v>0</v>
      </c>
      <c r="L398" s="725">
        <f t="shared" si="66"/>
        <v>0</v>
      </c>
      <c r="M398" s="726">
        <f t="shared" si="73"/>
        <v>0</v>
      </c>
      <c r="N398" s="727">
        <f t="shared" ca="1" si="74"/>
        <v>0</v>
      </c>
    </row>
    <row r="399" spans="1:14" ht="20.100000000000001" customHeight="1">
      <c r="A399" s="728" t="s">
        <v>2566</v>
      </c>
      <c r="B399" s="729"/>
      <c r="C399" s="717"/>
      <c r="D399" s="718" t="s">
        <v>2914</v>
      </c>
      <c r="E399" s="718" t="s">
        <v>163</v>
      </c>
      <c r="F399" s="719"/>
      <c r="G399" s="720"/>
      <c r="H399" s="720"/>
      <c r="I399" s="720"/>
      <c r="J399" s="720" t="e">
        <f>SUM(J400:J408)</f>
        <v>#REF!</v>
      </c>
      <c r="K399" s="720">
        <f>SUM(K400:K408)</f>
        <v>375446.7</v>
      </c>
      <c r="L399" s="721">
        <f>SUM(L400:L408)</f>
        <v>0</v>
      </c>
      <c r="M399" s="693">
        <f>IF(ERROR.TYPE(IF(HLOOKUP(A399,maBK,1,0)&lt;&gt;"",#NULL!,"ABC"))&lt;&gt;7,1,0)</f>
        <v>0</v>
      </c>
      <c r="N399" s="712">
        <f ca="1">SUMIF(maBK,$A399,tongBK1)</f>
        <v>0</v>
      </c>
    </row>
    <row r="400" spans="1:14" ht="20.100000000000001" hidden="1" customHeight="1">
      <c r="A400" s="696"/>
      <c r="B400" s="226" t="s">
        <v>30</v>
      </c>
      <c r="C400" s="713" t="str">
        <f>VLOOKUP($B400,R_DG!$A$7:$G$1305,2,0)</f>
        <v>D2.6011</v>
      </c>
      <c r="D400" s="723" t="str">
        <f>VLOOKUP($B400,R_DG!$A$7:$G$1305,3,0)</f>
        <v>Đà hộp composit L110x80x800</v>
      </c>
      <c r="E400" s="714" t="str">
        <f>VLOOKUP($B400,R_DG!$A$7:$G$1305,4,0)</f>
        <v>cái</v>
      </c>
      <c r="F400" s="724">
        <v>2</v>
      </c>
      <c r="G400" s="608">
        <f>VLOOKUP($B400,R_DG!$A$7:$G$1305,5,0)</f>
        <v>320000</v>
      </c>
      <c r="H400" s="608">
        <f>VLOOKUP($B400,R_DG!$A$7:$G$1305,6,0)</f>
        <v>187723.35</v>
      </c>
      <c r="I400" s="608">
        <f>VLOOKUP($B400,R_DG!$A$7:$G$1305,7,0)</f>
        <v>0</v>
      </c>
      <c r="J400" s="608">
        <f t="shared" ref="J400:L461" si="75">G400*$F400</f>
        <v>640000</v>
      </c>
      <c r="K400" s="608">
        <f t="shared" si="75"/>
        <v>375446.7</v>
      </c>
      <c r="L400" s="725">
        <f t="shared" si="75"/>
        <v>0</v>
      </c>
      <c r="M400" s="726">
        <f t="shared" ref="M400:M408" si="76">IF(F400&gt;0,M$399,0)</f>
        <v>0</v>
      </c>
      <c r="N400" s="727">
        <f t="shared" ref="N400:N408" ca="1" si="77">$F400*N$399</f>
        <v>0</v>
      </c>
    </row>
    <row r="401" spans="1:14" ht="20.100000000000001" hidden="1" customHeight="1">
      <c r="A401" s="696"/>
      <c r="B401" s="226" t="s">
        <v>32</v>
      </c>
      <c r="C401" s="713">
        <f>VLOOKUP($B401,R_DG!$A$7:$G$1305,2,0)</f>
        <v>0</v>
      </c>
      <c r="D401" s="723" t="str">
        <f>VLOOKUP($B401,R_DG!$A$7:$G$1305,3,0)</f>
        <v>Thanh chống L10x60x710</v>
      </c>
      <c r="E401" s="714" t="str">
        <f>VLOOKUP($B401,R_DG!$A$7:$G$1305,4,0)</f>
        <v>cái</v>
      </c>
      <c r="F401" s="724">
        <v>2</v>
      </c>
      <c r="G401" s="608">
        <f>VLOOKUP($B401,R_DG!$A$7:$G$1305,5,0)</f>
        <v>110000</v>
      </c>
      <c r="H401" s="608">
        <f>VLOOKUP($B401,R_DG!$A$7:$G$1305,6,0)</f>
        <v>0</v>
      </c>
      <c r="I401" s="608">
        <f>VLOOKUP($B401,R_DG!$A$7:$G$1305,7,0)</f>
        <v>0</v>
      </c>
      <c r="J401" s="608">
        <f t="shared" si="75"/>
        <v>220000</v>
      </c>
      <c r="K401" s="608">
        <f t="shared" si="75"/>
        <v>0</v>
      </c>
      <c r="L401" s="725">
        <f t="shared" si="75"/>
        <v>0</v>
      </c>
      <c r="M401" s="726">
        <f t="shared" si="76"/>
        <v>0</v>
      </c>
      <c r="N401" s="727">
        <f t="shared" ca="1" si="77"/>
        <v>0</v>
      </c>
    </row>
    <row r="402" spans="1:14" ht="20.100000000000001" hidden="1" customHeight="1">
      <c r="A402" s="696"/>
      <c r="B402" s="226" t="s">
        <v>161</v>
      </c>
      <c r="C402" s="713">
        <f>VLOOKUP($B402,R_DG!$A$7:$G$1305,2,0)</f>
        <v>0</v>
      </c>
      <c r="D402" s="723" t="str">
        <f>VLOOKUP($B402,R_DG!$A$7:$G$1305,3,0)</f>
        <v>Bass LI bắt FCO</v>
      </c>
      <c r="E402" s="714" t="str">
        <f>VLOOKUP($B402,R_DG!$A$7:$G$1305,4,0)</f>
        <v>Bộ</v>
      </c>
      <c r="F402" s="724">
        <v>2</v>
      </c>
      <c r="G402" s="608">
        <f>VLOOKUP($B402,R_DG!$A$7:$G$1305,5,0)</f>
        <v>42000</v>
      </c>
      <c r="H402" s="608">
        <f>VLOOKUP($B402,R_DG!$A$7:$G$1305,6,0)</f>
        <v>0</v>
      </c>
      <c r="I402" s="608">
        <f>VLOOKUP($B402,R_DG!$A$7:$G$1305,7,0)</f>
        <v>0</v>
      </c>
      <c r="J402" s="608">
        <f t="shared" si="75"/>
        <v>84000</v>
      </c>
      <c r="K402" s="608">
        <f t="shared" si="75"/>
        <v>0</v>
      </c>
      <c r="L402" s="725">
        <f t="shared" si="75"/>
        <v>0</v>
      </c>
      <c r="M402" s="726">
        <f t="shared" si="76"/>
        <v>0</v>
      </c>
      <c r="N402" s="727">
        <f t="shared" ca="1" si="77"/>
        <v>0</v>
      </c>
    </row>
    <row r="403" spans="1:14" ht="20.100000000000001" hidden="1" customHeight="1">
      <c r="A403" s="696"/>
      <c r="B403" s="226" t="s">
        <v>4532</v>
      </c>
      <c r="C403" s="713">
        <f>VLOOKUP($B403,R_DG!$A$7:$G$1305,2,0)</f>
        <v>0</v>
      </c>
      <c r="D403" s="723" t="str">
        <f>VLOOKUP($B403,R_DG!$A$7:$G$1305,3,0)</f>
        <v>Cáp 24KV C/XLPE/PVC 25mm2</v>
      </c>
      <c r="E403" s="714" t="str">
        <f>VLOOKUP($B403,R_DG!$A$7:$G$1305,4,0)</f>
        <v>mét</v>
      </c>
      <c r="F403" s="724">
        <v>3</v>
      </c>
      <c r="G403" s="608">
        <f>VLOOKUP($B403,R_DG!$A$7:$G$1305,5,0)</f>
        <v>57600</v>
      </c>
      <c r="H403" s="608">
        <f>VLOOKUP($B403,R_DG!$A$7:$G$1305,6,0)</f>
        <v>0</v>
      </c>
      <c r="I403" s="608">
        <f>VLOOKUP($B403,R_DG!$A$7:$G$1305,7,0)</f>
        <v>0</v>
      </c>
      <c r="J403" s="608">
        <f t="shared" si="75"/>
        <v>172800</v>
      </c>
      <c r="K403" s="608">
        <f t="shared" si="75"/>
        <v>0</v>
      </c>
      <c r="L403" s="725">
        <f t="shared" si="75"/>
        <v>0</v>
      </c>
      <c r="M403" s="726">
        <f t="shared" si="76"/>
        <v>0</v>
      </c>
      <c r="N403" s="727">
        <f t="shared" ca="1" si="77"/>
        <v>0</v>
      </c>
    </row>
    <row r="404" spans="1:14" ht="20.100000000000001" hidden="1" customHeight="1">
      <c r="A404" s="696"/>
      <c r="B404" s="226" t="s">
        <v>4535</v>
      </c>
      <c r="C404" s="713">
        <f>VLOOKUP($B404,R_DG!$A$7:$G$1305,2,0)</f>
        <v>0</v>
      </c>
      <c r="D404" s="723" t="str">
        <f>VLOOKUP($B404,R_DG!$A$7:$G$1305,3,0)</f>
        <v>Đầu cosse ép Cu-Al 50mm2</v>
      </c>
      <c r="E404" s="714" t="str">
        <f>VLOOKUP($B404,R_DG!$A$7:$G$1305,4,0)</f>
        <v>cái</v>
      </c>
      <c r="F404" s="724">
        <v>1</v>
      </c>
      <c r="G404" s="608">
        <f>VLOOKUP($B404,R_DG!$A$7:$G$1305,5,0)</f>
        <v>13000</v>
      </c>
      <c r="H404" s="608">
        <f>VLOOKUP($B404,R_DG!$A$7:$G$1305,6,0)</f>
        <v>0</v>
      </c>
      <c r="I404" s="608">
        <f>VLOOKUP($B404,R_DG!$A$7:$G$1305,7,0)</f>
        <v>0</v>
      </c>
      <c r="J404" s="608">
        <f t="shared" si="75"/>
        <v>13000</v>
      </c>
      <c r="K404" s="608">
        <f t="shared" si="75"/>
        <v>0</v>
      </c>
      <c r="L404" s="725">
        <f t="shared" si="75"/>
        <v>0</v>
      </c>
      <c r="M404" s="726">
        <f t="shared" si="76"/>
        <v>0</v>
      </c>
      <c r="N404" s="727">
        <f t="shared" ca="1" si="77"/>
        <v>0</v>
      </c>
    </row>
    <row r="405" spans="1:14" ht="20.100000000000001" hidden="1" customHeight="1">
      <c r="A405" s="696"/>
      <c r="B405" s="226" t="s">
        <v>2473</v>
      </c>
      <c r="C405" s="713">
        <f>VLOOKUP($B405,R_DG!$A$7:$G$1305,2,0)</f>
        <v>0</v>
      </c>
      <c r="D405" s="723" t="str">
        <f>VLOOKUP($B405,R_DG!$A$7:$G$1305,3,0)</f>
        <v>Boulon 14x150+ 2 long đền vuông D16-50x50x3/Zn</v>
      </c>
      <c r="E405" s="714" t="str">
        <f>VLOOKUP($B405,R_DG!$A$7:$G$1305,4,0)</f>
        <v>bộ</v>
      </c>
      <c r="F405" s="724">
        <v>2</v>
      </c>
      <c r="G405" s="608">
        <f>VLOOKUP($B405,R_DG!$A$7:$G$1305,5,0)</f>
        <v>12500</v>
      </c>
      <c r="H405" s="608">
        <f>VLOOKUP($B405,R_DG!$A$7:$G$1305,6,0)</f>
        <v>0</v>
      </c>
      <c r="I405" s="608">
        <f>VLOOKUP($B405,R_DG!$A$7:$G$1305,7,0)</f>
        <v>0</v>
      </c>
      <c r="J405" s="608">
        <f t="shared" si="75"/>
        <v>25000</v>
      </c>
      <c r="K405" s="608">
        <f t="shared" si="75"/>
        <v>0</v>
      </c>
      <c r="L405" s="725">
        <f t="shared" si="75"/>
        <v>0</v>
      </c>
      <c r="M405" s="726">
        <f t="shared" si="76"/>
        <v>0</v>
      </c>
      <c r="N405" s="727">
        <f t="shared" ca="1" si="77"/>
        <v>0</v>
      </c>
    </row>
    <row r="406" spans="1:14" ht="20.100000000000001" hidden="1" customHeight="1">
      <c r="A406" s="696"/>
      <c r="B406" s="226" t="s">
        <v>90</v>
      </c>
      <c r="C406" s="713">
        <f>VLOOKUP($B406,R_DG!$A$7:$G$1305,2,0)</f>
        <v>0</v>
      </c>
      <c r="D406" s="723" t="str">
        <f>VLOOKUP($B406,R_DG!$A$7:$G$1305,3,0)</f>
        <v>Boulon 16x400+ 2 long đền vuông D18-50x50x3/Zn</v>
      </c>
      <c r="E406" s="714" t="str">
        <f>VLOOKUP($B406,R_DG!$A$7:$G$1305,4,0)</f>
        <v>bộ</v>
      </c>
      <c r="F406" s="724">
        <v>1</v>
      </c>
      <c r="G406" s="608" t="e">
        <f>VLOOKUP($B406,R_DG!$A$7:$G$1305,5,0)</f>
        <v>#REF!</v>
      </c>
      <c r="H406" s="608">
        <f>VLOOKUP($B406,R_DG!$A$7:$G$1305,6,0)</f>
        <v>0</v>
      </c>
      <c r="I406" s="608">
        <f>VLOOKUP($B406,R_DG!$A$7:$G$1305,7,0)</f>
        <v>0</v>
      </c>
      <c r="J406" s="608" t="e">
        <f t="shared" si="75"/>
        <v>#REF!</v>
      </c>
      <c r="K406" s="608">
        <f t="shared" si="75"/>
        <v>0</v>
      </c>
      <c r="L406" s="725">
        <f t="shared" si="75"/>
        <v>0</v>
      </c>
      <c r="M406" s="726">
        <f t="shared" si="76"/>
        <v>0</v>
      </c>
      <c r="N406" s="727">
        <f t="shared" ca="1" si="77"/>
        <v>0</v>
      </c>
    </row>
    <row r="407" spans="1:14" ht="20.100000000000001" hidden="1" customHeight="1">
      <c r="A407" s="696"/>
      <c r="B407" s="226" t="s">
        <v>110</v>
      </c>
      <c r="C407" s="713">
        <f>VLOOKUP($B407,R_DG!$A$7:$G$1305,2,0)</f>
        <v>0</v>
      </c>
      <c r="D407" s="723" t="str">
        <f>VLOOKUP($B407,R_DG!$A$7:$G$1305,3,0)</f>
        <v>Boulon 16x400VRS+ 4 long đền vuông D18-50x50x3/Zn</v>
      </c>
      <c r="E407" s="714" t="str">
        <f>VLOOKUP($B407,R_DG!$A$7:$G$1305,4,0)</f>
        <v>bộ</v>
      </c>
      <c r="F407" s="724">
        <v>2</v>
      </c>
      <c r="G407" s="608" t="e">
        <f>VLOOKUP($B407,R_DG!$A$7:$G$1305,5,0)</f>
        <v>#REF!</v>
      </c>
      <c r="H407" s="608">
        <f>VLOOKUP($B407,R_DG!$A$7:$G$1305,6,0)</f>
        <v>0</v>
      </c>
      <c r="I407" s="608">
        <f>VLOOKUP($B407,R_DG!$A$7:$G$1305,7,0)</f>
        <v>0</v>
      </c>
      <c r="J407" s="608" t="e">
        <f>G407*$F407</f>
        <v>#REF!</v>
      </c>
      <c r="K407" s="608">
        <f>H407*$F407</f>
        <v>0</v>
      </c>
      <c r="L407" s="725">
        <f>I407*$F407</f>
        <v>0</v>
      </c>
      <c r="M407" s="726">
        <f t="shared" si="76"/>
        <v>0</v>
      </c>
      <c r="N407" s="727">
        <f t="shared" ca="1" si="77"/>
        <v>0</v>
      </c>
    </row>
    <row r="408" spans="1:14" ht="20.100000000000001" hidden="1" customHeight="1">
      <c r="A408" s="696"/>
      <c r="B408" s="226" t="s">
        <v>84</v>
      </c>
      <c r="C408" s="713">
        <f>VLOOKUP($B408,R_DG!$A$7:$G$1305,2,0)</f>
        <v>0</v>
      </c>
      <c r="D408" s="723" t="str">
        <f>VLOOKUP($B408,R_DG!$A$7:$G$1305,3,0)</f>
        <v>Boulon 16x250+ 2 long đền vuông D18-50x50x3/Zn</v>
      </c>
      <c r="E408" s="714" t="str">
        <f>VLOOKUP($B408,R_DG!$A$7:$G$1305,4,0)</f>
        <v>bộ</v>
      </c>
      <c r="F408" s="724">
        <v>2</v>
      </c>
      <c r="G408" s="608" t="e">
        <f>VLOOKUP($B408,R_DG!$A$7:$G$1305,5,0)</f>
        <v>#REF!</v>
      </c>
      <c r="H408" s="608">
        <f>VLOOKUP($B408,R_DG!$A$7:$G$1305,6,0)</f>
        <v>0</v>
      </c>
      <c r="I408" s="608">
        <f>VLOOKUP($B408,R_DG!$A$7:$G$1305,7,0)</f>
        <v>0</v>
      </c>
      <c r="J408" s="608" t="e">
        <f t="shared" si="75"/>
        <v>#REF!</v>
      </c>
      <c r="K408" s="608">
        <f t="shared" si="75"/>
        <v>0</v>
      </c>
      <c r="L408" s="725">
        <f t="shared" si="75"/>
        <v>0</v>
      </c>
      <c r="M408" s="726">
        <f t="shared" si="76"/>
        <v>0</v>
      </c>
      <c r="N408" s="727">
        <f t="shared" ca="1" si="77"/>
        <v>0</v>
      </c>
    </row>
    <row r="409" spans="1:14" ht="20.100000000000001" customHeight="1">
      <c r="A409" s="728" t="s">
        <v>2565</v>
      </c>
      <c r="B409" s="729"/>
      <c r="C409" s="717"/>
      <c r="D409" s="718" t="s">
        <v>2567</v>
      </c>
      <c r="E409" s="718" t="s">
        <v>163</v>
      </c>
      <c r="F409" s="719"/>
      <c r="G409" s="720"/>
      <c r="H409" s="720"/>
      <c r="I409" s="720"/>
      <c r="J409" s="720" t="e">
        <f>SUM(J410:J417)</f>
        <v>#REF!</v>
      </c>
      <c r="K409" s="720">
        <f>SUM(K410:K417)</f>
        <v>187723.35</v>
      </c>
      <c r="L409" s="721">
        <f>SUM(L410:L417)</f>
        <v>0</v>
      </c>
      <c r="M409" s="693">
        <f>IF(ERROR.TYPE(IF(HLOOKUP(A409,maBK,1,0)&lt;&gt;"",#NULL!,"ABC"))&lt;&gt;7,1,0)</f>
        <v>0</v>
      </c>
      <c r="N409" s="712">
        <f ca="1">SUMIF(maBK,$A409,tongBK1)</f>
        <v>0</v>
      </c>
    </row>
    <row r="410" spans="1:14" ht="20.100000000000001" hidden="1" customHeight="1">
      <c r="A410" s="696"/>
      <c r="B410" s="226" t="s">
        <v>2489</v>
      </c>
      <c r="C410" s="713" t="str">
        <f>VLOOKUP($B410,R_DG!$A$7:$G$1305,2,0)</f>
        <v>D2.6011</v>
      </c>
      <c r="D410" s="723" t="str">
        <f>VLOOKUP($B410,R_DG!$A$7:$G$1305,3,0)</f>
        <v>Đà hộp composit L110x80x2400</v>
      </c>
      <c r="E410" s="714" t="str">
        <f>VLOOKUP($B410,R_DG!$A$7:$G$1305,4,0)</f>
        <v>cái</v>
      </c>
      <c r="F410" s="724">
        <v>1</v>
      </c>
      <c r="G410" s="608">
        <f>VLOOKUP($B410,R_DG!$A$7:$G$1305,5,0)</f>
        <v>1056000</v>
      </c>
      <c r="H410" s="608">
        <f>VLOOKUP($B410,R_DG!$A$7:$G$1305,6,0)</f>
        <v>187723.35</v>
      </c>
      <c r="I410" s="608">
        <f>VLOOKUP($B410,R_DG!$A$7:$G$1305,7,0)</f>
        <v>0</v>
      </c>
      <c r="J410" s="608">
        <f t="shared" ref="J410:L417" si="78">G410*$F410</f>
        <v>1056000</v>
      </c>
      <c r="K410" s="608">
        <f t="shared" si="78"/>
        <v>187723.35</v>
      </c>
      <c r="L410" s="725">
        <f t="shared" si="78"/>
        <v>0</v>
      </c>
      <c r="M410" s="726">
        <f>IF(F410&gt;0,M$409,0)</f>
        <v>0</v>
      </c>
      <c r="N410" s="727">
        <f t="shared" ref="N410:N417" ca="1" si="79">$F410*N$409</f>
        <v>0</v>
      </c>
    </row>
    <row r="411" spans="1:14" ht="20.100000000000001" hidden="1" customHeight="1">
      <c r="A411" s="696"/>
      <c r="B411" s="226" t="s">
        <v>2490</v>
      </c>
      <c r="C411" s="713">
        <f>VLOOKUP($B411,R_DG!$A$7:$G$1305,2,0)</f>
        <v>0</v>
      </c>
      <c r="D411" s="723" t="str">
        <f>VLOOKUP($B411,R_DG!$A$7:$G$1305,3,0)</f>
        <v>Thanh chống L10x40x920</v>
      </c>
      <c r="E411" s="714" t="str">
        <f>VLOOKUP($B411,R_DG!$A$7:$G$1305,4,0)</f>
        <v>cái</v>
      </c>
      <c r="F411" s="724">
        <v>2</v>
      </c>
      <c r="G411" s="608">
        <f>VLOOKUP($B411,R_DG!$A$7:$G$1305,5,0)</f>
        <v>110000</v>
      </c>
      <c r="H411" s="608">
        <f>VLOOKUP($B411,R_DG!$A$7:$G$1305,6,0)</f>
        <v>0</v>
      </c>
      <c r="I411" s="608">
        <f>VLOOKUP($B411,R_DG!$A$7:$G$1305,7,0)</f>
        <v>0</v>
      </c>
      <c r="J411" s="608">
        <f t="shared" si="78"/>
        <v>220000</v>
      </c>
      <c r="K411" s="608">
        <f t="shared" si="78"/>
        <v>0</v>
      </c>
      <c r="L411" s="725">
        <f t="shared" si="78"/>
        <v>0</v>
      </c>
      <c r="M411" s="726">
        <f t="shared" ref="M411:M417" si="80">IF(F411&gt;0,M$409,0)</f>
        <v>0</v>
      </c>
      <c r="N411" s="727">
        <f t="shared" ca="1" si="79"/>
        <v>0</v>
      </c>
    </row>
    <row r="412" spans="1:14" ht="20.100000000000001" hidden="1" customHeight="1">
      <c r="A412" s="696"/>
      <c r="B412" s="226" t="s">
        <v>166</v>
      </c>
      <c r="C412" s="713">
        <f>VLOOKUP($B412,R_DG!$A$7:$G$1305,2,0)</f>
        <v>0</v>
      </c>
      <c r="D412" s="723" t="str">
        <f>VLOOKUP($B412,R_DG!$A$7:$G$1305,3,0)</f>
        <v>Bass LL bắt FCO và LA</v>
      </c>
      <c r="E412" s="714" t="str">
        <f>VLOOKUP($B412,R_DG!$A$7:$G$1305,4,0)</f>
        <v>bộ</v>
      </c>
      <c r="F412" s="724">
        <v>3</v>
      </c>
      <c r="G412" s="608">
        <f>VLOOKUP($B412,R_DG!$A$7:$G$1305,5,0)</f>
        <v>59000</v>
      </c>
      <c r="H412" s="608">
        <f>VLOOKUP($B412,R_DG!$A$7:$G$1305,6,0)</f>
        <v>0</v>
      </c>
      <c r="I412" s="608">
        <f>VLOOKUP($B412,R_DG!$A$7:$G$1305,7,0)</f>
        <v>0</v>
      </c>
      <c r="J412" s="608">
        <f t="shared" si="78"/>
        <v>177000</v>
      </c>
      <c r="K412" s="608">
        <f t="shared" si="78"/>
        <v>0</v>
      </c>
      <c r="L412" s="725">
        <f t="shared" si="78"/>
        <v>0</v>
      </c>
      <c r="M412" s="726">
        <f t="shared" si="80"/>
        <v>0</v>
      </c>
      <c r="N412" s="727">
        <f t="shared" ca="1" si="79"/>
        <v>0</v>
      </c>
    </row>
    <row r="413" spans="1:14" ht="20.100000000000001" hidden="1" customHeight="1">
      <c r="A413" s="696"/>
      <c r="B413" s="226" t="s">
        <v>4532</v>
      </c>
      <c r="C413" s="713">
        <f>VLOOKUP($B413,R_DG!$A$7:$G$1305,2,0)</f>
        <v>0</v>
      </c>
      <c r="D413" s="723" t="str">
        <f>VLOOKUP($B413,R_DG!$A$7:$G$1305,3,0)</f>
        <v>Cáp 24KV C/XLPE/PVC 25mm2</v>
      </c>
      <c r="E413" s="714" t="str">
        <f>VLOOKUP($B413,R_DG!$A$7:$G$1305,4,0)</f>
        <v>mét</v>
      </c>
      <c r="F413" s="724">
        <v>3</v>
      </c>
      <c r="G413" s="608">
        <f>VLOOKUP($B413,R_DG!$A$7:$G$1305,5,0)</f>
        <v>57600</v>
      </c>
      <c r="H413" s="608">
        <f>VLOOKUP($B413,R_DG!$A$7:$G$1305,6,0)</f>
        <v>0</v>
      </c>
      <c r="I413" s="608">
        <f>VLOOKUP($B413,R_DG!$A$7:$G$1305,7,0)</f>
        <v>0</v>
      </c>
      <c r="J413" s="608">
        <f t="shared" si="78"/>
        <v>172800</v>
      </c>
      <c r="K413" s="608">
        <f t="shared" si="78"/>
        <v>0</v>
      </c>
      <c r="L413" s="725">
        <f t="shared" si="78"/>
        <v>0</v>
      </c>
      <c r="M413" s="726">
        <f t="shared" si="80"/>
        <v>0</v>
      </c>
      <c r="N413" s="727">
        <f ca="1">$F413*N$409</f>
        <v>0</v>
      </c>
    </row>
    <row r="414" spans="1:14" ht="20.100000000000001" hidden="1" customHeight="1">
      <c r="A414" s="696"/>
      <c r="B414" s="226" t="s">
        <v>4535</v>
      </c>
      <c r="C414" s="713">
        <f>VLOOKUP($B414,R_DG!$A$7:$G$1305,2,0)</f>
        <v>0</v>
      </c>
      <c r="D414" s="723" t="str">
        <f>VLOOKUP($B414,R_DG!$A$7:$G$1305,3,0)</f>
        <v>Đầu cosse ép Cu-Al 50mm2</v>
      </c>
      <c r="E414" s="714" t="str">
        <f>VLOOKUP($B414,R_DG!$A$7:$G$1305,4,0)</f>
        <v>cái</v>
      </c>
      <c r="F414" s="724">
        <v>3</v>
      </c>
      <c r="G414" s="608">
        <f>VLOOKUP($B414,R_DG!$A$7:$G$1305,5,0)</f>
        <v>13000</v>
      </c>
      <c r="H414" s="608">
        <f>VLOOKUP($B414,R_DG!$A$7:$G$1305,6,0)</f>
        <v>0</v>
      </c>
      <c r="I414" s="608">
        <f>VLOOKUP($B414,R_DG!$A$7:$G$1305,7,0)</f>
        <v>0</v>
      </c>
      <c r="J414" s="608">
        <f t="shared" si="78"/>
        <v>39000</v>
      </c>
      <c r="K414" s="608">
        <f t="shared" si="78"/>
        <v>0</v>
      </c>
      <c r="L414" s="725">
        <f t="shared" si="78"/>
        <v>0</v>
      </c>
      <c r="M414" s="726">
        <f t="shared" si="80"/>
        <v>0</v>
      </c>
      <c r="N414" s="727">
        <f ca="1">$F414*N$409</f>
        <v>0</v>
      </c>
    </row>
    <row r="415" spans="1:14" ht="20.100000000000001" hidden="1" customHeight="1">
      <c r="A415" s="696"/>
      <c r="B415" s="226" t="s">
        <v>2473</v>
      </c>
      <c r="C415" s="713">
        <f>VLOOKUP($B415,R_DG!$A$7:$G$1305,2,0)</f>
        <v>0</v>
      </c>
      <c r="D415" s="723" t="str">
        <f>VLOOKUP($B415,R_DG!$A$7:$G$1305,3,0)</f>
        <v>Boulon 14x150+ 2 long đền vuông D16-50x50x3/Zn</v>
      </c>
      <c r="E415" s="714" t="str">
        <f>VLOOKUP($B415,R_DG!$A$7:$G$1305,4,0)</f>
        <v>bộ</v>
      </c>
      <c r="F415" s="724">
        <v>2</v>
      </c>
      <c r="G415" s="608">
        <f>VLOOKUP($B415,R_DG!$A$7:$G$1305,5,0)</f>
        <v>12500</v>
      </c>
      <c r="H415" s="608">
        <f>VLOOKUP($B415,R_DG!$A$7:$G$1305,6,0)</f>
        <v>0</v>
      </c>
      <c r="I415" s="608">
        <f>VLOOKUP($B415,R_DG!$A$7:$G$1305,7,0)</f>
        <v>0</v>
      </c>
      <c r="J415" s="608">
        <f t="shared" si="78"/>
        <v>25000</v>
      </c>
      <c r="K415" s="608">
        <f t="shared" si="78"/>
        <v>0</v>
      </c>
      <c r="L415" s="725">
        <f t="shared" si="78"/>
        <v>0</v>
      </c>
      <c r="M415" s="726">
        <f t="shared" si="80"/>
        <v>0</v>
      </c>
      <c r="N415" s="727">
        <f t="shared" ca="1" si="79"/>
        <v>0</v>
      </c>
    </row>
    <row r="416" spans="1:14" ht="20.100000000000001" hidden="1" customHeight="1">
      <c r="A416" s="696"/>
      <c r="B416" s="226" t="s">
        <v>88</v>
      </c>
      <c r="C416" s="713">
        <f>VLOOKUP($B416,R_DG!$A$7:$G$1305,2,0)</f>
        <v>0</v>
      </c>
      <c r="D416" s="723" t="str">
        <f>VLOOKUP($B416,R_DG!$A$7:$G$1305,3,0)</f>
        <v>Boulon 16x350+ 2 long đền vuông D18-50x50x3/Zn</v>
      </c>
      <c r="E416" s="714" t="str">
        <f>VLOOKUP($B416,R_DG!$A$7:$G$1305,4,0)</f>
        <v>bộ</v>
      </c>
      <c r="F416" s="724">
        <v>1</v>
      </c>
      <c r="G416" s="608" t="e">
        <f>VLOOKUP($B416,R_DG!$A$7:$G$1305,5,0)</f>
        <v>#REF!</v>
      </c>
      <c r="H416" s="608">
        <f>VLOOKUP($B416,R_DG!$A$7:$G$1305,6,0)</f>
        <v>0</v>
      </c>
      <c r="I416" s="608">
        <f>VLOOKUP($B416,R_DG!$A$7:$G$1305,7,0)</f>
        <v>0</v>
      </c>
      <c r="J416" s="608" t="e">
        <f t="shared" si="78"/>
        <v>#REF!</v>
      </c>
      <c r="K416" s="608">
        <f t="shared" si="78"/>
        <v>0</v>
      </c>
      <c r="L416" s="725">
        <f t="shared" si="78"/>
        <v>0</v>
      </c>
      <c r="M416" s="726">
        <f t="shared" si="80"/>
        <v>0</v>
      </c>
      <c r="N416" s="727">
        <f t="shared" ca="1" si="79"/>
        <v>0</v>
      </c>
    </row>
    <row r="417" spans="1:14" ht="20.100000000000001" hidden="1" customHeight="1">
      <c r="A417" s="696"/>
      <c r="B417" s="226" t="s">
        <v>84</v>
      </c>
      <c r="C417" s="713">
        <f>VLOOKUP($B417,R_DG!$A$7:$G$1305,2,0)</f>
        <v>0</v>
      </c>
      <c r="D417" s="723" t="str">
        <f>VLOOKUP($B417,R_DG!$A$7:$G$1305,3,0)</f>
        <v>Boulon 16x250+ 2 long đền vuông D18-50x50x3/Zn</v>
      </c>
      <c r="E417" s="714" t="str">
        <f>VLOOKUP($B417,R_DG!$A$7:$G$1305,4,0)</f>
        <v>bộ</v>
      </c>
      <c r="F417" s="724">
        <v>1</v>
      </c>
      <c r="G417" s="608" t="e">
        <f>VLOOKUP($B417,R_DG!$A$7:$G$1305,5,0)</f>
        <v>#REF!</v>
      </c>
      <c r="H417" s="608">
        <f>VLOOKUP($B417,R_DG!$A$7:$G$1305,6,0)</f>
        <v>0</v>
      </c>
      <c r="I417" s="608">
        <f>VLOOKUP($B417,R_DG!$A$7:$G$1305,7,0)</f>
        <v>0</v>
      </c>
      <c r="J417" s="608" t="e">
        <f t="shared" si="78"/>
        <v>#REF!</v>
      </c>
      <c r="K417" s="608">
        <f t="shared" si="78"/>
        <v>0</v>
      </c>
      <c r="L417" s="725">
        <f t="shared" si="78"/>
        <v>0</v>
      </c>
      <c r="M417" s="726">
        <f t="shared" si="80"/>
        <v>0</v>
      </c>
      <c r="N417" s="727">
        <f t="shared" ca="1" si="79"/>
        <v>0</v>
      </c>
    </row>
    <row r="418" spans="1:14" ht="20.100000000000001" customHeight="1">
      <c r="A418" s="728" t="s">
        <v>3769</v>
      </c>
      <c r="B418" s="729"/>
      <c r="C418" s="717"/>
      <c r="D418" s="718" t="s">
        <v>3770</v>
      </c>
      <c r="E418" s="718" t="s">
        <v>163</v>
      </c>
      <c r="F418" s="719"/>
      <c r="G418" s="720"/>
      <c r="H418" s="720"/>
      <c r="I418" s="720"/>
      <c r="J418" s="720" t="e">
        <f>SUM(J419:J425)</f>
        <v>#REF!</v>
      </c>
      <c r="K418" s="720">
        <f>SUM(K419:K425)</f>
        <v>375446.7</v>
      </c>
      <c r="L418" s="721">
        <f>SUM(L419:L425)</f>
        <v>0</v>
      </c>
      <c r="M418" s="693">
        <f>IF(ERROR.TYPE(IF(HLOOKUP(A418,maBK,1,0)&lt;&gt;"",#NULL!,"ABC"))&lt;&gt;7,1,0)</f>
        <v>0</v>
      </c>
      <c r="N418" s="712">
        <f ca="1">SUMIF(maBK,$A418,tongBK1)</f>
        <v>0</v>
      </c>
    </row>
    <row r="419" spans="1:14" ht="20.100000000000001" hidden="1" customHeight="1">
      <c r="A419" s="696"/>
      <c r="B419" s="226" t="s">
        <v>2489</v>
      </c>
      <c r="C419" s="713" t="str">
        <f>VLOOKUP($B419,R_DG!$A$7:$G$1305,2,0)</f>
        <v>D2.6011</v>
      </c>
      <c r="D419" s="723" t="str">
        <f>VLOOKUP($B419,R_DG!$A$7:$G$1305,3,0)</f>
        <v>Đà hộp composit L110x80x2400</v>
      </c>
      <c r="E419" s="714" t="str">
        <f>VLOOKUP($B419,R_DG!$A$7:$G$1305,4,0)</f>
        <v>cái</v>
      </c>
      <c r="F419" s="724">
        <v>2</v>
      </c>
      <c r="G419" s="608">
        <f>VLOOKUP($B419,R_DG!$A$7:$G$1305,5,0)</f>
        <v>1056000</v>
      </c>
      <c r="H419" s="608">
        <f>VLOOKUP($B419,R_DG!$A$7:$G$1305,6,0)</f>
        <v>187723.35</v>
      </c>
      <c r="I419" s="608">
        <f>VLOOKUP($B419,R_DG!$A$7:$G$1305,7,0)</f>
        <v>0</v>
      </c>
      <c r="J419" s="608">
        <f t="shared" ref="J419:L427" si="81">G419*$F419</f>
        <v>2112000</v>
      </c>
      <c r="K419" s="608">
        <f t="shared" si="81"/>
        <v>375446.7</v>
      </c>
      <c r="L419" s="725">
        <f t="shared" si="81"/>
        <v>0</v>
      </c>
      <c r="M419" s="726">
        <f>IF(F419&gt;0,M$418,0)</f>
        <v>0</v>
      </c>
      <c r="N419" s="727">
        <f ca="1">$F419*N$418</f>
        <v>0</v>
      </c>
    </row>
    <row r="420" spans="1:14" ht="20.100000000000001" hidden="1" customHeight="1">
      <c r="A420" s="696"/>
      <c r="B420" s="226" t="s">
        <v>2490</v>
      </c>
      <c r="C420" s="713">
        <f>VLOOKUP($B420,R_DG!$A$7:$G$1305,2,0)</f>
        <v>0</v>
      </c>
      <c r="D420" s="723" t="str">
        <f>VLOOKUP($B420,R_DG!$A$7:$G$1305,3,0)</f>
        <v>Thanh chống L10x40x920</v>
      </c>
      <c r="E420" s="714" t="str">
        <f>VLOOKUP($B420,R_DG!$A$7:$G$1305,4,0)</f>
        <v>cái</v>
      </c>
      <c r="F420" s="724">
        <v>4</v>
      </c>
      <c r="G420" s="608">
        <f>VLOOKUP($B420,R_DG!$A$7:$G$1305,5,0)</f>
        <v>110000</v>
      </c>
      <c r="H420" s="608">
        <f>VLOOKUP($B420,R_DG!$A$7:$G$1305,6,0)</f>
        <v>0</v>
      </c>
      <c r="I420" s="608">
        <f>VLOOKUP($B420,R_DG!$A$7:$G$1305,7,0)</f>
        <v>0</v>
      </c>
      <c r="J420" s="608">
        <f t="shared" si="81"/>
        <v>440000</v>
      </c>
      <c r="K420" s="608">
        <f t="shared" si="81"/>
        <v>0</v>
      </c>
      <c r="L420" s="725">
        <f t="shared" si="81"/>
        <v>0</v>
      </c>
      <c r="M420" s="726">
        <f t="shared" ref="M420:M427" si="82">IF(F420&gt;0,M$418,0)</f>
        <v>0</v>
      </c>
      <c r="N420" s="727">
        <f t="shared" ref="N420:N427" ca="1" si="83">$F420*N$418</f>
        <v>0</v>
      </c>
    </row>
    <row r="421" spans="1:14" ht="20.100000000000001" hidden="1" customHeight="1">
      <c r="A421" s="696"/>
      <c r="B421" s="226" t="s">
        <v>161</v>
      </c>
      <c r="C421" s="713">
        <f>VLOOKUP($B421,R_DG!$A$7:$G$1305,2,0)</f>
        <v>0</v>
      </c>
      <c r="D421" s="723" t="str">
        <f>VLOOKUP($B421,R_DG!$A$7:$G$1305,3,0)</f>
        <v>Bass LI bắt FCO</v>
      </c>
      <c r="E421" s="714" t="str">
        <f>VLOOKUP($B421,R_DG!$A$7:$G$1305,4,0)</f>
        <v>Bộ</v>
      </c>
      <c r="F421" s="724">
        <v>6</v>
      </c>
      <c r="G421" s="608">
        <f>VLOOKUP($B421,R_DG!$A$7:$G$1305,5,0)</f>
        <v>42000</v>
      </c>
      <c r="H421" s="608">
        <f>VLOOKUP($B421,R_DG!$A$7:$G$1305,6,0)</f>
        <v>0</v>
      </c>
      <c r="I421" s="608">
        <f>VLOOKUP($B421,R_DG!$A$7:$G$1305,7,0)</f>
        <v>0</v>
      </c>
      <c r="J421" s="608">
        <f t="shared" si="81"/>
        <v>252000</v>
      </c>
      <c r="K421" s="608">
        <f t="shared" si="81"/>
        <v>0</v>
      </c>
      <c r="L421" s="725">
        <f t="shared" si="81"/>
        <v>0</v>
      </c>
      <c r="M421" s="726">
        <f t="shared" si="82"/>
        <v>0</v>
      </c>
      <c r="N421" s="727">
        <f t="shared" ca="1" si="83"/>
        <v>0</v>
      </c>
    </row>
    <row r="422" spans="1:14" ht="20.100000000000001" hidden="1" customHeight="1">
      <c r="A422" s="696"/>
      <c r="B422" s="226" t="s">
        <v>4532</v>
      </c>
      <c r="C422" s="713">
        <f>VLOOKUP($B422,R_DG!$A$7:$G$1305,2,0)</f>
        <v>0</v>
      </c>
      <c r="D422" s="723" t="str">
        <f>VLOOKUP($B422,R_DG!$A$7:$G$1305,3,0)</f>
        <v>Cáp 24KV C/XLPE/PVC 25mm2</v>
      </c>
      <c r="E422" s="714" t="str">
        <f>VLOOKUP($B422,R_DG!$A$7:$G$1305,4,0)</f>
        <v>mét</v>
      </c>
      <c r="F422" s="724">
        <v>4.5</v>
      </c>
      <c r="G422" s="608">
        <f>VLOOKUP($B422,R_DG!$A$7:$G$1305,5,0)</f>
        <v>57600</v>
      </c>
      <c r="H422" s="608">
        <f>VLOOKUP($B422,R_DG!$A$7:$G$1305,6,0)</f>
        <v>0</v>
      </c>
      <c r="I422" s="608">
        <f>VLOOKUP($B422,R_DG!$A$7:$G$1305,7,0)</f>
        <v>0</v>
      </c>
      <c r="J422" s="608">
        <f t="shared" si="81"/>
        <v>259200</v>
      </c>
      <c r="K422" s="608">
        <f t="shared" si="81"/>
        <v>0</v>
      </c>
      <c r="L422" s="725">
        <f t="shared" si="81"/>
        <v>0</v>
      </c>
      <c r="M422" s="726">
        <f t="shared" si="82"/>
        <v>0</v>
      </c>
      <c r="N422" s="727">
        <f t="shared" ca="1" si="83"/>
        <v>0</v>
      </c>
    </row>
    <row r="423" spans="1:14" ht="20.100000000000001" hidden="1" customHeight="1">
      <c r="A423" s="696"/>
      <c r="B423" s="226" t="s">
        <v>4535</v>
      </c>
      <c r="C423" s="713">
        <f>VLOOKUP($B423,R_DG!$A$7:$G$1305,2,0)</f>
        <v>0</v>
      </c>
      <c r="D423" s="723" t="str">
        <f>VLOOKUP($B423,R_DG!$A$7:$G$1305,3,0)</f>
        <v>Đầu cosse ép Cu-Al 50mm2</v>
      </c>
      <c r="E423" s="714" t="str">
        <f>VLOOKUP($B423,R_DG!$A$7:$G$1305,4,0)</f>
        <v>cái</v>
      </c>
      <c r="F423" s="724">
        <v>3</v>
      </c>
      <c r="G423" s="608">
        <f>VLOOKUP($B423,R_DG!$A$7:$G$1305,5,0)</f>
        <v>13000</v>
      </c>
      <c r="H423" s="608">
        <f>VLOOKUP($B423,R_DG!$A$7:$G$1305,6,0)</f>
        <v>0</v>
      </c>
      <c r="I423" s="608">
        <f>VLOOKUP($B423,R_DG!$A$7:$G$1305,7,0)</f>
        <v>0</v>
      </c>
      <c r="J423" s="608">
        <f t="shared" si="81"/>
        <v>39000</v>
      </c>
      <c r="K423" s="608">
        <f t="shared" si="81"/>
        <v>0</v>
      </c>
      <c r="L423" s="725">
        <f t="shared" si="81"/>
        <v>0</v>
      </c>
      <c r="M423" s="726">
        <f t="shared" si="82"/>
        <v>0</v>
      </c>
      <c r="N423" s="727">
        <f t="shared" ca="1" si="83"/>
        <v>0</v>
      </c>
    </row>
    <row r="424" spans="1:14" ht="20.100000000000001" hidden="1" customHeight="1">
      <c r="A424" s="696"/>
      <c r="B424" s="226" t="s">
        <v>2473</v>
      </c>
      <c r="C424" s="713">
        <f>VLOOKUP($B424,R_DG!$A$7:$G$1305,2,0)</f>
        <v>0</v>
      </c>
      <c r="D424" s="723" t="str">
        <f>VLOOKUP($B424,R_DG!$A$7:$G$1305,3,0)</f>
        <v>Boulon 14x150+ 2 long đền vuông D16-50x50x3/Zn</v>
      </c>
      <c r="E424" s="714" t="str">
        <f>VLOOKUP($B424,R_DG!$A$7:$G$1305,4,0)</f>
        <v>bộ</v>
      </c>
      <c r="F424" s="724">
        <v>4</v>
      </c>
      <c r="G424" s="608">
        <f>VLOOKUP($B424,R_DG!$A$7:$G$1305,5,0)</f>
        <v>12500</v>
      </c>
      <c r="H424" s="608">
        <f>VLOOKUP($B424,R_DG!$A$7:$G$1305,6,0)</f>
        <v>0</v>
      </c>
      <c r="I424" s="608">
        <f>VLOOKUP($B424,R_DG!$A$7:$G$1305,7,0)</f>
        <v>0</v>
      </c>
      <c r="J424" s="608">
        <f t="shared" si="81"/>
        <v>50000</v>
      </c>
      <c r="K424" s="608">
        <f t="shared" si="81"/>
        <v>0</v>
      </c>
      <c r="L424" s="725">
        <f t="shared" si="81"/>
        <v>0</v>
      </c>
      <c r="M424" s="726">
        <f t="shared" si="82"/>
        <v>0</v>
      </c>
      <c r="N424" s="727">
        <f t="shared" ca="1" si="83"/>
        <v>0</v>
      </c>
    </row>
    <row r="425" spans="1:14" ht="20.100000000000001" hidden="1" customHeight="1">
      <c r="A425" s="696"/>
      <c r="B425" s="226" t="s">
        <v>84</v>
      </c>
      <c r="C425" s="713">
        <f>VLOOKUP($B425,R_DG!$A$7:$G$1305,2,0)</f>
        <v>0</v>
      </c>
      <c r="D425" s="723" t="str">
        <f>VLOOKUP($B425,R_DG!$A$7:$G$1305,3,0)</f>
        <v>Boulon 16x250+ 2 long đền vuông D18-50x50x3/Zn</v>
      </c>
      <c r="E425" s="714" t="str">
        <f>VLOOKUP($B425,R_DG!$A$7:$G$1305,4,0)</f>
        <v>bộ</v>
      </c>
      <c r="F425" s="724">
        <v>1</v>
      </c>
      <c r="G425" s="608" t="e">
        <f>VLOOKUP($B425,R_DG!$A$7:$G$1305,5,0)</f>
        <v>#REF!</v>
      </c>
      <c r="H425" s="608">
        <f>VLOOKUP($B425,R_DG!$A$7:$G$1305,6,0)</f>
        <v>0</v>
      </c>
      <c r="I425" s="608">
        <f>VLOOKUP($B425,R_DG!$A$7:$G$1305,7,0)</f>
        <v>0</v>
      </c>
      <c r="J425" s="608" t="e">
        <f t="shared" si="81"/>
        <v>#REF!</v>
      </c>
      <c r="K425" s="608">
        <f t="shared" si="81"/>
        <v>0</v>
      </c>
      <c r="L425" s="725">
        <f t="shared" si="81"/>
        <v>0</v>
      </c>
      <c r="M425" s="726">
        <f t="shared" si="82"/>
        <v>0</v>
      </c>
      <c r="N425" s="727">
        <f t="shared" ca="1" si="83"/>
        <v>0</v>
      </c>
    </row>
    <row r="426" spans="1:14" ht="20.100000000000001" hidden="1" customHeight="1">
      <c r="A426" s="696"/>
      <c r="B426" s="226" t="s">
        <v>110</v>
      </c>
      <c r="C426" s="713">
        <f>VLOOKUP($B426,R_DG!$A$7:$G$1305,2,0)</f>
        <v>0</v>
      </c>
      <c r="D426" s="723" t="str">
        <f>VLOOKUP($B426,R_DG!$A$7:$G$1305,3,0)</f>
        <v>Boulon 16x400VRS+ 4 long đền vuông D18-50x50x3/Zn</v>
      </c>
      <c r="E426" s="714" t="str">
        <f>VLOOKUP($B426,R_DG!$A$7:$G$1305,4,0)</f>
        <v>bộ</v>
      </c>
      <c r="F426" s="724">
        <v>4</v>
      </c>
      <c r="G426" s="608" t="e">
        <f>VLOOKUP($B426,R_DG!$A$7:$G$1305,5,0)</f>
        <v>#REF!</v>
      </c>
      <c r="H426" s="608">
        <f>VLOOKUP($B426,R_DG!$A$7:$G$1305,6,0)</f>
        <v>0</v>
      </c>
      <c r="I426" s="608">
        <f>VLOOKUP($B426,R_DG!$A$7:$G$1305,7,0)</f>
        <v>0</v>
      </c>
      <c r="J426" s="608" t="e">
        <f t="shared" si="81"/>
        <v>#REF!</v>
      </c>
      <c r="K426" s="608">
        <f t="shared" si="81"/>
        <v>0</v>
      </c>
      <c r="L426" s="725">
        <f t="shared" si="81"/>
        <v>0</v>
      </c>
      <c r="M426" s="726">
        <f t="shared" si="82"/>
        <v>0</v>
      </c>
      <c r="N426" s="727">
        <f t="shared" ca="1" si="83"/>
        <v>0</v>
      </c>
    </row>
    <row r="427" spans="1:14" ht="20.100000000000001" hidden="1" customHeight="1">
      <c r="A427" s="696"/>
      <c r="B427" s="226" t="s">
        <v>90</v>
      </c>
      <c r="C427" s="713">
        <f>VLOOKUP($B427,R_DG!$A$7:$G$1305,2,0)</f>
        <v>0</v>
      </c>
      <c r="D427" s="723" t="str">
        <f>VLOOKUP($B427,R_DG!$A$7:$G$1305,3,0)</f>
        <v>Boulon 16x400+ 2 long đền vuông D18-50x50x3/Zn</v>
      </c>
      <c r="E427" s="714" t="str">
        <f>VLOOKUP($B427,R_DG!$A$7:$G$1305,4,0)</f>
        <v>bộ</v>
      </c>
      <c r="F427" s="724">
        <v>1</v>
      </c>
      <c r="G427" s="608" t="e">
        <f>VLOOKUP($B427,R_DG!$A$7:$G$1305,5,0)</f>
        <v>#REF!</v>
      </c>
      <c r="H427" s="608">
        <f>VLOOKUP($B427,R_DG!$A$7:$G$1305,6,0)</f>
        <v>0</v>
      </c>
      <c r="I427" s="608">
        <f>VLOOKUP($B427,R_DG!$A$7:$G$1305,7,0)</f>
        <v>0</v>
      </c>
      <c r="J427" s="608" t="e">
        <f t="shared" si="81"/>
        <v>#REF!</v>
      </c>
      <c r="K427" s="608">
        <f t="shared" si="81"/>
        <v>0</v>
      </c>
      <c r="L427" s="725">
        <f t="shared" si="81"/>
        <v>0</v>
      </c>
      <c r="M427" s="726">
        <f t="shared" si="82"/>
        <v>0</v>
      </c>
      <c r="N427" s="727">
        <f t="shared" ca="1" si="83"/>
        <v>0</v>
      </c>
    </row>
    <row r="428" spans="1:14" ht="20.100000000000001" customHeight="1">
      <c r="A428" s="728" t="s">
        <v>2991</v>
      </c>
      <c r="B428" s="729"/>
      <c r="C428" s="717"/>
      <c r="D428" s="718" t="s">
        <v>2992</v>
      </c>
      <c r="E428" s="718" t="s">
        <v>163</v>
      </c>
      <c r="F428" s="719"/>
      <c r="G428" s="720"/>
      <c r="H428" s="720"/>
      <c r="I428" s="720"/>
      <c r="J428" s="720" t="e">
        <f>SUM(J429:J435)</f>
        <v>#REF!</v>
      </c>
      <c r="K428" s="720">
        <f>SUM(K429:K435)</f>
        <v>187723.35</v>
      </c>
      <c r="L428" s="721">
        <f>SUM(L429:L435)</f>
        <v>0</v>
      </c>
      <c r="M428" s="693">
        <f>IF(ERROR.TYPE(IF(HLOOKUP(A428,maBK,1,0)&lt;&gt;"",#NULL!,"ABC"))&lt;&gt;7,1,0)</f>
        <v>0</v>
      </c>
      <c r="N428" s="712">
        <f ca="1">SUMIF(maBK,$A428,tongBK1)</f>
        <v>0</v>
      </c>
    </row>
    <row r="429" spans="1:14" ht="20.100000000000001" hidden="1" customHeight="1">
      <c r="A429" s="696"/>
      <c r="B429" s="226" t="s">
        <v>2489</v>
      </c>
      <c r="C429" s="713" t="str">
        <f>VLOOKUP($B429,R_DG!$A$7:$G$1305,2,0)</f>
        <v>D2.6011</v>
      </c>
      <c r="D429" s="723" t="str">
        <f>VLOOKUP($B429,R_DG!$A$7:$G$1305,3,0)</f>
        <v>Đà hộp composit L110x80x2400</v>
      </c>
      <c r="E429" s="714" t="str">
        <f>VLOOKUP($B429,R_DG!$A$7:$G$1305,4,0)</f>
        <v>cái</v>
      </c>
      <c r="F429" s="724">
        <v>1</v>
      </c>
      <c r="G429" s="608">
        <f>VLOOKUP($B429,R_DG!$A$7:$G$1305,5,0)</f>
        <v>1056000</v>
      </c>
      <c r="H429" s="608">
        <f>VLOOKUP($B429,R_DG!$A$7:$G$1305,6,0)</f>
        <v>187723.35</v>
      </c>
      <c r="I429" s="608">
        <f>VLOOKUP($B429,R_DG!$A$7:$G$1305,7,0)</f>
        <v>0</v>
      </c>
      <c r="J429" s="608">
        <f t="shared" ref="J429:L436" si="84">G429*$F429</f>
        <v>1056000</v>
      </c>
      <c r="K429" s="608">
        <f t="shared" si="84"/>
        <v>187723.35</v>
      </c>
      <c r="L429" s="725">
        <f t="shared" si="84"/>
        <v>0</v>
      </c>
      <c r="M429" s="726">
        <f>IF(F429&gt;0,M$428,0)</f>
        <v>0</v>
      </c>
      <c r="N429" s="727">
        <f ca="1">$F429*N$428</f>
        <v>0</v>
      </c>
    </row>
    <row r="430" spans="1:14" ht="20.100000000000001" hidden="1" customHeight="1">
      <c r="A430" s="696"/>
      <c r="B430" s="226" t="s">
        <v>2490</v>
      </c>
      <c r="C430" s="713">
        <f>VLOOKUP($B430,R_DG!$A$7:$G$1305,2,0)</f>
        <v>0</v>
      </c>
      <c r="D430" s="723" t="str">
        <f>VLOOKUP($B430,R_DG!$A$7:$G$1305,3,0)</f>
        <v>Thanh chống L10x40x920</v>
      </c>
      <c r="E430" s="714" t="str">
        <f>VLOOKUP($B430,R_DG!$A$7:$G$1305,4,0)</f>
        <v>cái</v>
      </c>
      <c r="F430" s="724">
        <v>2</v>
      </c>
      <c r="G430" s="608">
        <f>VLOOKUP($B430,R_DG!$A$7:$G$1305,5,0)</f>
        <v>110000</v>
      </c>
      <c r="H430" s="608">
        <f>VLOOKUP($B430,R_DG!$A$7:$G$1305,6,0)</f>
        <v>0</v>
      </c>
      <c r="I430" s="608">
        <f>VLOOKUP($B430,R_DG!$A$7:$G$1305,7,0)</f>
        <v>0</v>
      </c>
      <c r="J430" s="608">
        <f t="shared" si="84"/>
        <v>220000</v>
      </c>
      <c r="K430" s="608">
        <f t="shared" si="84"/>
        <v>0</v>
      </c>
      <c r="L430" s="725">
        <f t="shared" si="84"/>
        <v>0</v>
      </c>
      <c r="M430" s="726">
        <f t="shared" ref="M430:M436" si="85">IF(F430&gt;0,M$428,0)</f>
        <v>0</v>
      </c>
      <c r="N430" s="727">
        <f t="shared" ref="N430:N436" ca="1" si="86">$F430*N$428</f>
        <v>0</v>
      </c>
    </row>
    <row r="431" spans="1:14" ht="20.100000000000001" hidden="1" customHeight="1">
      <c r="A431" s="696"/>
      <c r="B431" s="226" t="s">
        <v>166</v>
      </c>
      <c r="C431" s="713">
        <f>VLOOKUP($B431,R_DG!$A$7:$G$1305,2,0)</f>
        <v>0</v>
      </c>
      <c r="D431" s="723" t="str">
        <f>VLOOKUP($B431,R_DG!$A$7:$G$1305,3,0)</f>
        <v>Bass LL bắt FCO và LA</v>
      </c>
      <c r="E431" s="714" t="str">
        <f>VLOOKUP($B431,R_DG!$A$7:$G$1305,4,0)</f>
        <v>bộ</v>
      </c>
      <c r="F431" s="724">
        <v>3</v>
      </c>
      <c r="G431" s="608">
        <f>VLOOKUP($B431,R_DG!$A$7:$G$1305,5,0)</f>
        <v>59000</v>
      </c>
      <c r="H431" s="608">
        <f>VLOOKUP($B431,R_DG!$A$7:$G$1305,6,0)</f>
        <v>0</v>
      </c>
      <c r="I431" s="608">
        <f>VLOOKUP($B431,R_DG!$A$7:$G$1305,7,0)</f>
        <v>0</v>
      </c>
      <c r="J431" s="608">
        <f t="shared" si="84"/>
        <v>177000</v>
      </c>
      <c r="K431" s="608">
        <f t="shared" si="84"/>
        <v>0</v>
      </c>
      <c r="L431" s="725">
        <f t="shared" si="84"/>
        <v>0</v>
      </c>
      <c r="M431" s="726">
        <f t="shared" si="85"/>
        <v>0</v>
      </c>
      <c r="N431" s="727">
        <f t="shared" ca="1" si="86"/>
        <v>0</v>
      </c>
    </row>
    <row r="432" spans="1:14" ht="20.100000000000001" hidden="1" customHeight="1">
      <c r="A432" s="696"/>
      <c r="B432" s="226" t="s">
        <v>4532</v>
      </c>
      <c r="C432" s="713">
        <f>VLOOKUP($B432,R_DG!$A$7:$G$1305,2,0)</f>
        <v>0</v>
      </c>
      <c r="D432" s="723" t="str">
        <f>VLOOKUP($B432,R_DG!$A$7:$G$1305,3,0)</f>
        <v>Cáp 24KV C/XLPE/PVC 25mm2</v>
      </c>
      <c r="E432" s="714" t="str">
        <f>VLOOKUP($B432,R_DG!$A$7:$G$1305,4,0)</f>
        <v>mét</v>
      </c>
      <c r="F432" s="724">
        <v>4.5</v>
      </c>
      <c r="G432" s="608">
        <f>VLOOKUP($B432,R_DG!$A$7:$G$1305,5,0)</f>
        <v>57600</v>
      </c>
      <c r="H432" s="608">
        <f>VLOOKUP($B432,R_DG!$A$7:$G$1305,6,0)</f>
        <v>0</v>
      </c>
      <c r="I432" s="608">
        <f>VLOOKUP($B432,R_DG!$A$7:$G$1305,7,0)</f>
        <v>0</v>
      </c>
      <c r="J432" s="608">
        <f t="shared" si="84"/>
        <v>259200</v>
      </c>
      <c r="K432" s="608">
        <f t="shared" si="84"/>
        <v>0</v>
      </c>
      <c r="L432" s="725">
        <f t="shared" si="84"/>
        <v>0</v>
      </c>
      <c r="M432" s="726">
        <f t="shared" si="85"/>
        <v>0</v>
      </c>
      <c r="N432" s="727">
        <f t="shared" ca="1" si="86"/>
        <v>0</v>
      </c>
    </row>
    <row r="433" spans="1:14" ht="20.100000000000001" hidden="1" customHeight="1">
      <c r="A433" s="696"/>
      <c r="B433" s="226" t="s">
        <v>4535</v>
      </c>
      <c r="C433" s="713">
        <f>VLOOKUP($B433,R_DG!$A$7:$G$1305,2,0)</f>
        <v>0</v>
      </c>
      <c r="D433" s="723" t="str">
        <f>VLOOKUP($B433,R_DG!$A$7:$G$1305,3,0)</f>
        <v>Đầu cosse ép Cu-Al 50mm2</v>
      </c>
      <c r="E433" s="714" t="str">
        <f>VLOOKUP($B433,R_DG!$A$7:$G$1305,4,0)</f>
        <v>cái</v>
      </c>
      <c r="F433" s="724">
        <v>3</v>
      </c>
      <c r="G433" s="608">
        <f>VLOOKUP($B433,R_DG!$A$7:$G$1305,5,0)</f>
        <v>13000</v>
      </c>
      <c r="H433" s="608">
        <f>VLOOKUP($B433,R_DG!$A$7:$G$1305,6,0)</f>
        <v>0</v>
      </c>
      <c r="I433" s="608">
        <f>VLOOKUP($B433,R_DG!$A$7:$G$1305,7,0)</f>
        <v>0</v>
      </c>
      <c r="J433" s="608">
        <f t="shared" si="84"/>
        <v>39000</v>
      </c>
      <c r="K433" s="608">
        <f t="shared" si="84"/>
        <v>0</v>
      </c>
      <c r="L433" s="725">
        <f t="shared" si="84"/>
        <v>0</v>
      </c>
      <c r="M433" s="726">
        <f t="shared" si="85"/>
        <v>0</v>
      </c>
      <c r="N433" s="727">
        <f t="shared" ca="1" si="86"/>
        <v>0</v>
      </c>
    </row>
    <row r="434" spans="1:14" ht="20.100000000000001" hidden="1" customHeight="1">
      <c r="A434" s="696"/>
      <c r="B434" s="226" t="s">
        <v>2473</v>
      </c>
      <c r="C434" s="713">
        <f>VLOOKUP($B434,R_DG!$A$7:$G$1305,2,0)</f>
        <v>0</v>
      </c>
      <c r="D434" s="723" t="str">
        <f>VLOOKUP($B434,R_DG!$A$7:$G$1305,3,0)</f>
        <v>Boulon 14x150+ 2 long đền vuông D16-50x50x3/Zn</v>
      </c>
      <c r="E434" s="714" t="str">
        <f>VLOOKUP($B434,R_DG!$A$7:$G$1305,4,0)</f>
        <v>bộ</v>
      </c>
      <c r="F434" s="724">
        <v>2</v>
      </c>
      <c r="G434" s="608">
        <f>VLOOKUP($B434,R_DG!$A$7:$G$1305,5,0)</f>
        <v>12500</v>
      </c>
      <c r="H434" s="608">
        <f>VLOOKUP($B434,R_DG!$A$7:$G$1305,6,0)</f>
        <v>0</v>
      </c>
      <c r="I434" s="608">
        <f>VLOOKUP($B434,R_DG!$A$7:$G$1305,7,0)</f>
        <v>0</v>
      </c>
      <c r="J434" s="608">
        <f t="shared" si="84"/>
        <v>25000</v>
      </c>
      <c r="K434" s="608">
        <f t="shared" si="84"/>
        <v>0</v>
      </c>
      <c r="L434" s="725">
        <f t="shared" si="84"/>
        <v>0</v>
      </c>
      <c r="M434" s="726">
        <f t="shared" si="85"/>
        <v>0</v>
      </c>
      <c r="N434" s="727">
        <f t="shared" ca="1" si="86"/>
        <v>0</v>
      </c>
    </row>
    <row r="435" spans="1:14" ht="20.100000000000001" hidden="1" customHeight="1">
      <c r="A435" s="696"/>
      <c r="B435" s="226" t="s">
        <v>4416</v>
      </c>
      <c r="C435" s="713">
        <f>VLOOKUP($B435,R_DG!$A$7:$G$1305,2,0)</f>
        <v>0</v>
      </c>
      <c r="D435" s="723" t="str">
        <f>VLOOKUP($B435,R_DG!$A$7:$G$1305,3,0)</f>
        <v>Boulon 16x550+ 2 long đền vuông D18-50x50x3/Zn</v>
      </c>
      <c r="E435" s="714" t="str">
        <f>VLOOKUP($B435,R_DG!$A$7:$G$1305,4,0)</f>
        <v>bộ</v>
      </c>
      <c r="F435" s="724">
        <v>1</v>
      </c>
      <c r="G435" s="608" t="e">
        <f>VLOOKUP($B435,R_DG!$A$7:$G$1305,5,0)</f>
        <v>#REF!</v>
      </c>
      <c r="H435" s="608">
        <f>VLOOKUP($B435,R_DG!$A$7:$G$1305,6,0)</f>
        <v>0</v>
      </c>
      <c r="I435" s="608">
        <f>VLOOKUP($B435,R_DG!$A$7:$G$1305,7,0)</f>
        <v>0</v>
      </c>
      <c r="J435" s="608" t="e">
        <f t="shared" si="84"/>
        <v>#REF!</v>
      </c>
      <c r="K435" s="608">
        <f t="shared" si="84"/>
        <v>0</v>
      </c>
      <c r="L435" s="725">
        <f t="shared" si="84"/>
        <v>0</v>
      </c>
      <c r="M435" s="726">
        <f t="shared" si="85"/>
        <v>0</v>
      </c>
      <c r="N435" s="727">
        <f t="shared" ca="1" si="86"/>
        <v>0</v>
      </c>
    </row>
    <row r="436" spans="1:14" ht="20.100000000000001" hidden="1" customHeight="1">
      <c r="A436" s="696"/>
      <c r="B436" s="226" t="s">
        <v>92</v>
      </c>
      <c r="C436" s="713">
        <f>VLOOKUP($B436,R_DG!$A$7:$G$1305,2,0)</f>
        <v>0</v>
      </c>
      <c r="D436" s="723" t="str">
        <f>VLOOKUP($B436,R_DG!$A$7:$G$1305,3,0)</f>
        <v>Boulon 16x450+ 2 long đền vuông D18-50x50x3/Zn</v>
      </c>
      <c r="E436" s="714" t="str">
        <f>VLOOKUP($B436,R_DG!$A$7:$G$1305,4,0)</f>
        <v>bộ</v>
      </c>
      <c r="F436" s="724">
        <v>1</v>
      </c>
      <c r="G436" s="608" t="e">
        <f>VLOOKUP($B436,R_DG!$A$7:$G$1305,5,0)</f>
        <v>#REF!</v>
      </c>
      <c r="H436" s="608">
        <f>VLOOKUP($B436,R_DG!$A$7:$G$1305,6,0)</f>
        <v>0</v>
      </c>
      <c r="I436" s="608">
        <f>VLOOKUP($B436,R_DG!$A$7:$G$1305,7,0)</f>
        <v>0</v>
      </c>
      <c r="J436" s="608" t="e">
        <f t="shared" si="84"/>
        <v>#REF!</v>
      </c>
      <c r="K436" s="608">
        <f t="shared" si="84"/>
        <v>0</v>
      </c>
      <c r="L436" s="725">
        <f t="shared" si="84"/>
        <v>0</v>
      </c>
      <c r="M436" s="726">
        <f t="shared" si="85"/>
        <v>0</v>
      </c>
      <c r="N436" s="727">
        <f t="shared" ca="1" si="86"/>
        <v>0</v>
      </c>
    </row>
    <row r="437" spans="1:14" ht="20.100000000000001" customHeight="1">
      <c r="A437" s="728" t="s">
        <v>2226</v>
      </c>
      <c r="B437" s="729"/>
      <c r="C437" s="717"/>
      <c r="D437" s="718" t="s">
        <v>2227</v>
      </c>
      <c r="E437" s="718" t="s">
        <v>163</v>
      </c>
      <c r="F437" s="719"/>
      <c r="G437" s="720"/>
      <c r="H437" s="720"/>
      <c r="I437" s="720"/>
      <c r="J437" s="720" t="e">
        <f>SUM(J438:J444)</f>
        <v>#REF!</v>
      </c>
      <c r="K437" s="720">
        <f>SUM(K438:K444)</f>
        <v>208581.5</v>
      </c>
      <c r="L437" s="721">
        <f>SUM(L438:L444)</f>
        <v>0</v>
      </c>
      <c r="M437" s="693">
        <f>IF(ERROR.TYPE(IF(HLOOKUP(A437,maBK,1,0)&lt;&gt;"",#NULL!,"ABC"))&lt;&gt;7,1,0)</f>
        <v>0</v>
      </c>
      <c r="N437" s="712">
        <f ca="1">SUMIF(maBK,$A437,tongBK1)</f>
        <v>0</v>
      </c>
    </row>
    <row r="438" spans="1:14" ht="20.100000000000001" hidden="1" customHeight="1">
      <c r="A438" s="696"/>
      <c r="B438" s="226" t="s">
        <v>3310</v>
      </c>
      <c r="C438" s="713">
        <f>VLOOKUP($B438,R_DG!$A$7:$G$1305,2,0)</f>
        <v>0</v>
      </c>
      <c r="D438" s="723" t="str">
        <f>VLOOKUP($B438,R_DG!$A$7:$G$1305,3,0)</f>
        <v>Đà sắt L75x75x8x1660 2 ốp (16,24kg/cái)</v>
      </c>
      <c r="E438" s="714" t="str">
        <f>VLOOKUP($B438,R_DG!$A$7:$G$1305,4,0)</f>
        <v>cái</v>
      </c>
      <c r="F438" s="724">
        <v>1</v>
      </c>
      <c r="G438" s="608" t="e">
        <f>VLOOKUP($B438,R_DG!$A$7:$G$1305,5,0)</f>
        <v>#REF!</v>
      </c>
      <c r="H438" s="608">
        <f>VLOOKUP($B438,R_DG!$A$7:$G$1305,6,0)</f>
        <v>0</v>
      </c>
      <c r="I438" s="608">
        <f>VLOOKUP($B438,R_DG!$A$7:$G$1305,7,0)</f>
        <v>0</v>
      </c>
      <c r="J438" s="608" t="e">
        <f t="shared" si="75"/>
        <v>#REF!</v>
      </c>
      <c r="K438" s="608">
        <f t="shared" si="75"/>
        <v>0</v>
      </c>
      <c r="L438" s="725">
        <f t="shared" si="75"/>
        <v>0</v>
      </c>
      <c r="M438" s="726">
        <f t="shared" ref="M438:M444" si="87">IF(F438&gt;0,M$437,0)</f>
        <v>0</v>
      </c>
      <c r="N438" s="727">
        <f t="shared" ref="N438:N444" ca="1" si="88">$F438*N$437</f>
        <v>0</v>
      </c>
    </row>
    <row r="439" spans="1:14" ht="20.100000000000001" hidden="1" customHeight="1">
      <c r="A439" s="696"/>
      <c r="B439" s="226" t="s">
        <v>3313</v>
      </c>
      <c r="C439" s="713">
        <f>VLOOKUP($B439,R_DG!$A$7:$G$1305,2,0)</f>
        <v>0</v>
      </c>
      <c r="D439" s="723" t="str">
        <f>VLOOKUP($B439,R_DG!$A$7:$G$1305,3,0)</f>
        <v>Thanh chống L50x50x5x810 (2,47kg/cái)</v>
      </c>
      <c r="E439" s="714" t="str">
        <f>VLOOKUP($B439,R_DG!$A$7:$G$1305,4,0)</f>
        <v>cái</v>
      </c>
      <c r="F439" s="724">
        <v>2</v>
      </c>
      <c r="G439" s="608">
        <f>VLOOKUP($B439,R_DG!$A$7:$G$1305,5,0)</f>
        <v>71533.670000000013</v>
      </c>
      <c r="H439" s="608">
        <f>VLOOKUP($B439,R_DG!$A$7:$G$1305,6,0)</f>
        <v>0</v>
      </c>
      <c r="I439" s="608">
        <f>VLOOKUP($B439,R_DG!$A$7:$G$1305,7,0)</f>
        <v>0</v>
      </c>
      <c r="J439" s="608">
        <f t="shared" si="75"/>
        <v>143067.34000000003</v>
      </c>
      <c r="K439" s="608">
        <f t="shared" si="75"/>
        <v>0</v>
      </c>
      <c r="L439" s="725">
        <f t="shared" si="75"/>
        <v>0</v>
      </c>
      <c r="M439" s="726">
        <f t="shared" si="87"/>
        <v>0</v>
      </c>
      <c r="N439" s="727">
        <f t="shared" ca="1" si="88"/>
        <v>0</v>
      </c>
    </row>
    <row r="440" spans="1:14" ht="20.100000000000001" hidden="1" customHeight="1">
      <c r="A440" s="696"/>
      <c r="B440" s="226" t="s">
        <v>382</v>
      </c>
      <c r="C440" s="713">
        <f>VLOOKUP($B440,R_DG!$A$7:$G$1305,2,0)</f>
        <v>0</v>
      </c>
      <c r="D440" s="723" t="str">
        <f>VLOOKUP($B440,R_DG!$A$7:$G$1305,3,0)</f>
        <v>Chân sứ đỉnh thẳng dài 870x4mm</v>
      </c>
      <c r="E440" s="714" t="str">
        <f>VLOOKUP($B440,R_DG!$A$7:$G$1305,4,0)</f>
        <v>cái</v>
      </c>
      <c r="F440" s="724"/>
      <c r="G440" s="608">
        <f>VLOOKUP($B440,R_DG!$A$7:$G$1305,5,0)</f>
        <v>118000</v>
      </c>
      <c r="H440" s="608">
        <f>VLOOKUP($B440,R_DG!$A$7:$G$1305,6,0)</f>
        <v>0</v>
      </c>
      <c r="I440" s="608">
        <f>VLOOKUP($B440,R_DG!$A$7:$G$1305,7,0)</f>
        <v>0</v>
      </c>
      <c r="J440" s="608">
        <f t="shared" si="75"/>
        <v>0</v>
      </c>
      <c r="K440" s="608">
        <f t="shared" si="75"/>
        <v>0</v>
      </c>
      <c r="L440" s="725">
        <f t="shared" si="75"/>
        <v>0</v>
      </c>
      <c r="M440" s="726">
        <f t="shared" si="87"/>
        <v>0</v>
      </c>
      <c r="N440" s="727">
        <f t="shared" ca="1" si="88"/>
        <v>0</v>
      </c>
    </row>
    <row r="441" spans="1:14" ht="20.100000000000001" hidden="1" customHeight="1">
      <c r="A441" s="696"/>
      <c r="B441" s="226" t="s">
        <v>84</v>
      </c>
      <c r="C441" s="713">
        <f>VLOOKUP($B441,R_DG!$A$7:$G$1305,2,0)</f>
        <v>0</v>
      </c>
      <c r="D441" s="723" t="str">
        <f>VLOOKUP($B441,R_DG!$A$7:$G$1305,3,0)</f>
        <v>Boulon 16x250+ 2 long đền vuông D18-50x50x3/Zn</v>
      </c>
      <c r="E441" s="714" t="str">
        <f>VLOOKUP($B441,R_DG!$A$7:$G$1305,4,0)</f>
        <v>bộ</v>
      </c>
      <c r="F441" s="724">
        <v>2</v>
      </c>
      <c r="G441" s="608" t="e">
        <f>VLOOKUP($B441,R_DG!$A$7:$G$1305,5,0)</f>
        <v>#REF!</v>
      </c>
      <c r="H441" s="608">
        <f>VLOOKUP($B441,R_DG!$A$7:$G$1305,6,0)</f>
        <v>0</v>
      </c>
      <c r="I441" s="608">
        <f>VLOOKUP($B441,R_DG!$A$7:$G$1305,7,0)</f>
        <v>0</v>
      </c>
      <c r="J441" s="608" t="e">
        <f t="shared" si="75"/>
        <v>#REF!</v>
      </c>
      <c r="K441" s="608">
        <f t="shared" si="75"/>
        <v>0</v>
      </c>
      <c r="L441" s="725">
        <f t="shared" si="75"/>
        <v>0</v>
      </c>
      <c r="M441" s="726">
        <f t="shared" si="87"/>
        <v>0</v>
      </c>
      <c r="N441" s="727">
        <f t="shared" ca="1" si="88"/>
        <v>0</v>
      </c>
    </row>
    <row r="442" spans="1:14" ht="20.100000000000001" hidden="1" customHeight="1">
      <c r="A442" s="696"/>
      <c r="B442" s="226" t="s">
        <v>76</v>
      </c>
      <c r="C442" s="713">
        <f>VLOOKUP($B442,R_DG!$A$7:$G$1305,2,0)</f>
        <v>0</v>
      </c>
      <c r="D442" s="723" t="str">
        <f>VLOOKUP($B442,R_DG!$A$7:$G$1305,3,0)</f>
        <v>Boulon 16x50+ 2 long đền vuông D18-50x50x3/Zn</v>
      </c>
      <c r="E442" s="714" t="str">
        <f>VLOOKUP($B442,R_DG!$A$7:$G$1305,4,0)</f>
        <v>bộ</v>
      </c>
      <c r="F442" s="724">
        <v>2</v>
      </c>
      <c r="G442" s="608" t="e">
        <f>VLOOKUP($B442,R_DG!$A$7:$G$1305,5,0)</f>
        <v>#REF!</v>
      </c>
      <c r="H442" s="608">
        <f>VLOOKUP($B442,R_DG!$A$7:$G$1305,6,0)</f>
        <v>0</v>
      </c>
      <c r="I442" s="608">
        <f>VLOOKUP($B442,R_DG!$A$7:$G$1305,7,0)</f>
        <v>0</v>
      </c>
      <c r="J442" s="608" t="e">
        <f t="shared" si="75"/>
        <v>#REF!</v>
      </c>
      <c r="K442" s="608">
        <f t="shared" si="75"/>
        <v>0</v>
      </c>
      <c r="L442" s="725">
        <f t="shared" si="75"/>
        <v>0</v>
      </c>
      <c r="M442" s="726">
        <f t="shared" si="87"/>
        <v>0</v>
      </c>
      <c r="N442" s="727">
        <f t="shared" ca="1" si="88"/>
        <v>0</v>
      </c>
    </row>
    <row r="443" spans="1:14" ht="20.100000000000001" hidden="1" customHeight="1">
      <c r="A443" s="696"/>
      <c r="B443" s="226" t="s">
        <v>1179</v>
      </c>
      <c r="C443" s="713" t="str">
        <f>VLOOKUP($B443,R_DG!$A$7:$G$1305,2,0)</f>
        <v>D2.6021</v>
      </c>
      <c r="D443" s="723" t="str">
        <f>VLOOKUP($B443,R_DG!$A$7:$G$1305,3,0)</f>
        <v>Lắp xà đỡ ≤ 25kg</v>
      </c>
      <c r="E443" s="714" t="str">
        <f>VLOOKUP($B443,R_DG!$A$7:$G$1305,4,0)</f>
        <v>bộ</v>
      </c>
      <c r="F443" s="724">
        <v>1</v>
      </c>
      <c r="G443" s="608">
        <f>VLOOKUP($B443,R_DG!$A$7:$G$1305,5,0)</f>
        <v>0</v>
      </c>
      <c r="H443" s="608">
        <f>VLOOKUP($B443,R_DG!$A$7:$G$1305,6,0)</f>
        <v>208581.5</v>
      </c>
      <c r="I443" s="608">
        <f>VLOOKUP($B443,R_DG!$A$7:$G$1305,7,0)</f>
        <v>0</v>
      </c>
      <c r="J443" s="608">
        <f t="shared" si="75"/>
        <v>0</v>
      </c>
      <c r="K443" s="608">
        <f t="shared" si="75"/>
        <v>208581.5</v>
      </c>
      <c r="L443" s="725">
        <f t="shared" si="75"/>
        <v>0</v>
      </c>
      <c r="M443" s="726">
        <f t="shared" si="87"/>
        <v>0</v>
      </c>
      <c r="N443" s="727">
        <f t="shared" ca="1" si="88"/>
        <v>0</v>
      </c>
    </row>
    <row r="444" spans="1:14" ht="20.100000000000001" hidden="1" customHeight="1">
      <c r="A444" s="696"/>
      <c r="B444" s="226" t="s">
        <v>2228</v>
      </c>
      <c r="C444" s="713" t="str">
        <f>VLOOKUP($B444,R_DG!$A$7:$G$1305,2,0)</f>
        <v>02.1115</v>
      </c>
      <c r="D444" s="723" t="str">
        <f>VLOOKUP($B444,R_DG!$A$7:$G$1305,3,0)</f>
        <v>Bốc dỡ xà, thép thanh</v>
      </c>
      <c r="E444" s="714" t="str">
        <f>VLOOKUP($B444,R_DG!$A$7:$G$1305,4,0)</f>
        <v>tấn</v>
      </c>
      <c r="F444" s="724"/>
      <c r="G444" s="608">
        <f>VLOOKUP($B444,R_DG!$A$7:$G$1305,5,0)</f>
        <v>0</v>
      </c>
      <c r="H444" s="608">
        <f>VLOOKUP($B444,R_DG!$A$7:$G$1305,6,0)</f>
        <v>0</v>
      </c>
      <c r="I444" s="608">
        <f>VLOOKUP($B444,R_DG!$A$7:$G$1305,7,0)</f>
        <v>0</v>
      </c>
      <c r="J444" s="608">
        <f t="shared" si="75"/>
        <v>0</v>
      </c>
      <c r="K444" s="608">
        <f t="shared" si="75"/>
        <v>0</v>
      </c>
      <c r="L444" s="725">
        <f t="shared" si="75"/>
        <v>0</v>
      </c>
      <c r="M444" s="726">
        <f t="shared" si="87"/>
        <v>0</v>
      </c>
      <c r="N444" s="727">
        <f t="shared" ca="1" si="88"/>
        <v>0</v>
      </c>
    </row>
    <row r="445" spans="1:14" ht="20.100000000000001" customHeight="1">
      <c r="A445" s="728" t="s">
        <v>2229</v>
      </c>
      <c r="B445" s="729"/>
      <c r="C445" s="717"/>
      <c r="D445" s="718" t="s">
        <v>2230</v>
      </c>
      <c r="E445" s="718" t="s">
        <v>163</v>
      </c>
      <c r="F445" s="719"/>
      <c r="G445" s="720"/>
      <c r="H445" s="720"/>
      <c r="I445" s="720"/>
      <c r="J445" s="720" t="e">
        <f>SUM(J446:J452)</f>
        <v>#REF!</v>
      </c>
      <c r="K445" s="720">
        <f>SUM(K446:K452)</f>
        <v>417163</v>
      </c>
      <c r="L445" s="721">
        <f>SUM(L446:L452)</f>
        <v>0</v>
      </c>
      <c r="M445" s="693">
        <f>IF(ERROR.TYPE(IF(HLOOKUP(A445,maBK,1,0)&lt;&gt;"",#NULL!,"ABC"))&lt;&gt;7,1,0)</f>
        <v>0</v>
      </c>
      <c r="N445" s="712">
        <f ca="1">SUMIF(maBK,$A445,tongBK1)</f>
        <v>0</v>
      </c>
    </row>
    <row r="446" spans="1:14" ht="20.100000000000001" hidden="1" customHeight="1">
      <c r="A446" s="696"/>
      <c r="B446" s="226" t="s">
        <v>3310</v>
      </c>
      <c r="C446" s="713">
        <f>VLOOKUP($B446,R_DG!$A$7:$G$1305,2,0)</f>
        <v>0</v>
      </c>
      <c r="D446" s="723" t="str">
        <f>VLOOKUP($B446,R_DG!$A$7:$G$1305,3,0)</f>
        <v>Đà sắt L75x75x8x1660 2 ốp (16,24kg/cái)</v>
      </c>
      <c r="E446" s="714" t="str">
        <f>VLOOKUP($B446,R_DG!$A$7:$G$1305,4,0)</f>
        <v>cái</v>
      </c>
      <c r="F446" s="724">
        <v>2</v>
      </c>
      <c r="G446" s="608" t="e">
        <f>VLOOKUP($B446,R_DG!$A$7:$G$1305,5,0)</f>
        <v>#REF!</v>
      </c>
      <c r="H446" s="608">
        <f>VLOOKUP($B446,R_DG!$A$7:$G$1305,6,0)</f>
        <v>0</v>
      </c>
      <c r="I446" s="608">
        <f>VLOOKUP($B446,R_DG!$A$7:$G$1305,7,0)</f>
        <v>0</v>
      </c>
      <c r="J446" s="608" t="e">
        <f t="shared" si="75"/>
        <v>#REF!</v>
      </c>
      <c r="K446" s="608">
        <f t="shared" si="75"/>
        <v>0</v>
      </c>
      <c r="L446" s="725">
        <f t="shared" si="75"/>
        <v>0</v>
      </c>
      <c r="M446" s="726">
        <f t="shared" ref="M446:M452" si="89">IF(F446&gt;0,M$445,0)</f>
        <v>0</v>
      </c>
      <c r="N446" s="727">
        <f t="shared" ref="N446:N452" ca="1" si="90">$F446*N$445</f>
        <v>0</v>
      </c>
    </row>
    <row r="447" spans="1:14" ht="20.100000000000001" hidden="1" customHeight="1">
      <c r="A447" s="696"/>
      <c r="B447" s="226" t="s">
        <v>3313</v>
      </c>
      <c r="C447" s="713">
        <f>VLOOKUP($B447,R_DG!$A$7:$G$1305,2,0)</f>
        <v>0</v>
      </c>
      <c r="D447" s="723" t="str">
        <f>VLOOKUP($B447,R_DG!$A$7:$G$1305,3,0)</f>
        <v>Thanh chống L50x50x5x810 (2,47kg/cái)</v>
      </c>
      <c r="E447" s="714" t="str">
        <f>VLOOKUP($B447,R_DG!$A$7:$G$1305,4,0)</f>
        <v>cái</v>
      </c>
      <c r="F447" s="724">
        <v>4</v>
      </c>
      <c r="G447" s="608">
        <f>VLOOKUP($B447,R_DG!$A$7:$G$1305,5,0)</f>
        <v>71533.670000000013</v>
      </c>
      <c r="H447" s="608">
        <f>VLOOKUP($B447,R_DG!$A$7:$G$1305,6,0)</f>
        <v>0</v>
      </c>
      <c r="I447" s="608">
        <f>VLOOKUP($B447,R_DG!$A$7:$G$1305,7,0)</f>
        <v>0</v>
      </c>
      <c r="J447" s="608">
        <f t="shared" si="75"/>
        <v>286134.68000000005</v>
      </c>
      <c r="K447" s="608">
        <f t="shared" si="75"/>
        <v>0</v>
      </c>
      <c r="L447" s="725">
        <f t="shared" si="75"/>
        <v>0</v>
      </c>
      <c r="M447" s="726">
        <f t="shared" si="89"/>
        <v>0</v>
      </c>
      <c r="N447" s="727">
        <f t="shared" ca="1" si="90"/>
        <v>0</v>
      </c>
    </row>
    <row r="448" spans="1:14" ht="20.100000000000001" hidden="1" customHeight="1">
      <c r="A448" s="696"/>
      <c r="B448" s="226" t="s">
        <v>84</v>
      </c>
      <c r="C448" s="713">
        <f>VLOOKUP($B448,R_DG!$A$7:$G$1305,2,0)</f>
        <v>0</v>
      </c>
      <c r="D448" s="723" t="str">
        <f>VLOOKUP($B448,R_DG!$A$7:$G$1305,3,0)</f>
        <v>Boulon 16x250+ 2 long đền vuông D18-50x50x3/Zn</v>
      </c>
      <c r="E448" s="714" t="str">
        <f>VLOOKUP($B448,R_DG!$A$7:$G$1305,4,0)</f>
        <v>bộ</v>
      </c>
      <c r="F448" s="724">
        <v>2</v>
      </c>
      <c r="G448" s="608" t="e">
        <f>VLOOKUP($B448,R_DG!$A$7:$G$1305,5,0)</f>
        <v>#REF!</v>
      </c>
      <c r="H448" s="608">
        <f>VLOOKUP($B448,R_DG!$A$7:$G$1305,6,0)</f>
        <v>0</v>
      </c>
      <c r="I448" s="608">
        <f>VLOOKUP($B448,R_DG!$A$7:$G$1305,7,0)</f>
        <v>0</v>
      </c>
      <c r="J448" s="608" t="e">
        <f t="shared" si="75"/>
        <v>#REF!</v>
      </c>
      <c r="K448" s="608">
        <f t="shared" si="75"/>
        <v>0</v>
      </c>
      <c r="L448" s="725">
        <f t="shared" si="75"/>
        <v>0</v>
      </c>
      <c r="M448" s="726">
        <f t="shared" si="89"/>
        <v>0</v>
      </c>
      <c r="N448" s="727">
        <f t="shared" ca="1" si="90"/>
        <v>0</v>
      </c>
    </row>
    <row r="449" spans="1:14" ht="20.100000000000001" hidden="1" customHeight="1">
      <c r="A449" s="696"/>
      <c r="B449" s="226" t="s">
        <v>2231</v>
      </c>
      <c r="C449" s="713">
        <f>VLOOKUP($B449,R_DG!$A$7:$G$1305,2,0)</f>
        <v>0</v>
      </c>
      <c r="D449" s="723" t="str">
        <f>VLOOKUP($B449,R_DG!$A$7:$G$1305,3,0)</f>
        <v>Boulon 16x250VRS+ 4 long đền vuông D18-50x50x3/Zn</v>
      </c>
      <c r="E449" s="714" t="str">
        <f>VLOOKUP($B449,R_DG!$A$7:$G$1305,4,0)</f>
        <v>bộ</v>
      </c>
      <c r="F449" s="724">
        <v>2</v>
      </c>
      <c r="G449" s="608" t="e">
        <f>VLOOKUP($B449,R_DG!$A$7:$G$1305,5,0)</f>
        <v>#REF!</v>
      </c>
      <c r="H449" s="608">
        <f>VLOOKUP($B449,R_DG!$A$7:$G$1305,6,0)</f>
        <v>0</v>
      </c>
      <c r="I449" s="608">
        <f>VLOOKUP($B449,R_DG!$A$7:$G$1305,7,0)</f>
        <v>0</v>
      </c>
      <c r="J449" s="608" t="e">
        <f t="shared" si="75"/>
        <v>#REF!</v>
      </c>
      <c r="K449" s="608">
        <f t="shared" si="75"/>
        <v>0</v>
      </c>
      <c r="L449" s="725">
        <f t="shared" si="75"/>
        <v>0</v>
      </c>
      <c r="M449" s="726">
        <f t="shared" si="89"/>
        <v>0</v>
      </c>
      <c r="N449" s="727">
        <f t="shared" ca="1" si="90"/>
        <v>0</v>
      </c>
    </row>
    <row r="450" spans="1:14" ht="20.100000000000001" hidden="1" customHeight="1">
      <c r="A450" s="696"/>
      <c r="B450" s="226" t="s">
        <v>76</v>
      </c>
      <c r="C450" s="713">
        <f>VLOOKUP($B450,R_DG!$A$7:$G$1305,2,0)</f>
        <v>0</v>
      </c>
      <c r="D450" s="723" t="str">
        <f>VLOOKUP($B450,R_DG!$A$7:$G$1305,3,0)</f>
        <v>Boulon 16x50+ 2 long đền vuông D18-50x50x3/Zn</v>
      </c>
      <c r="E450" s="714" t="str">
        <f>VLOOKUP($B450,R_DG!$A$7:$G$1305,4,0)</f>
        <v>bộ</v>
      </c>
      <c r="F450" s="724">
        <v>4</v>
      </c>
      <c r="G450" s="608" t="e">
        <f>VLOOKUP($B450,R_DG!$A$7:$G$1305,5,0)</f>
        <v>#REF!</v>
      </c>
      <c r="H450" s="608">
        <f>VLOOKUP($B450,R_DG!$A$7:$G$1305,6,0)</f>
        <v>0</v>
      </c>
      <c r="I450" s="608">
        <f>VLOOKUP($B450,R_DG!$A$7:$G$1305,7,0)</f>
        <v>0</v>
      </c>
      <c r="J450" s="608" t="e">
        <f t="shared" si="75"/>
        <v>#REF!</v>
      </c>
      <c r="K450" s="608">
        <f t="shared" si="75"/>
        <v>0</v>
      </c>
      <c r="L450" s="725">
        <f t="shared" si="75"/>
        <v>0</v>
      </c>
      <c r="M450" s="726">
        <f t="shared" si="89"/>
        <v>0</v>
      </c>
      <c r="N450" s="727">
        <f t="shared" ca="1" si="90"/>
        <v>0</v>
      </c>
    </row>
    <row r="451" spans="1:14" ht="20.100000000000001" hidden="1" customHeight="1">
      <c r="A451" s="696"/>
      <c r="B451" s="226" t="s">
        <v>4533</v>
      </c>
      <c r="C451" s="713" t="str">
        <f>VLOOKUP($B451,R_DG!$A$7:$G$1305,2,0)</f>
        <v>D2.6021</v>
      </c>
      <c r="D451" s="723" t="str">
        <f>VLOOKUP($B451,R_DG!$A$7:$G$1305,3,0)</f>
        <v>Lắp xà đỡ ≤ 25kg</v>
      </c>
      <c r="E451" s="714" t="str">
        <f>VLOOKUP($B451,R_DG!$A$7:$G$1305,4,0)</f>
        <v>bộ</v>
      </c>
      <c r="F451" s="724">
        <f>F446</f>
        <v>2</v>
      </c>
      <c r="G451" s="608">
        <f>VLOOKUP($B451,R_DG!$A$7:$G$1305,5,0)</f>
        <v>0</v>
      </c>
      <c r="H451" s="608">
        <f>VLOOKUP($B451,R_DG!$A$7:$G$1305,6,0)</f>
        <v>208581.5</v>
      </c>
      <c r="I451" s="608">
        <f>VLOOKUP($B451,R_DG!$A$7:$G$1305,7,0)</f>
        <v>0</v>
      </c>
      <c r="J451" s="608">
        <f t="shared" si="75"/>
        <v>0</v>
      </c>
      <c r="K451" s="608">
        <f t="shared" si="75"/>
        <v>417163</v>
      </c>
      <c r="L451" s="725">
        <f t="shared" si="75"/>
        <v>0</v>
      </c>
      <c r="M451" s="726">
        <f t="shared" si="89"/>
        <v>0</v>
      </c>
      <c r="N451" s="727">
        <f t="shared" ca="1" si="90"/>
        <v>0</v>
      </c>
    </row>
    <row r="452" spans="1:14" ht="20.100000000000001" hidden="1" customHeight="1">
      <c r="A452" s="696"/>
      <c r="B452" s="226" t="s">
        <v>2228</v>
      </c>
      <c r="C452" s="713" t="str">
        <f>VLOOKUP($B452,R_DG!$A$7:$G$1305,2,0)</f>
        <v>02.1115</v>
      </c>
      <c r="D452" s="723" t="str">
        <f>VLOOKUP($B452,R_DG!$A$7:$G$1305,3,0)</f>
        <v>Bốc dỡ xà, thép thanh</v>
      </c>
      <c r="E452" s="714" t="str">
        <f>VLOOKUP($B452,R_DG!$A$7:$G$1305,4,0)</f>
        <v>tấn</v>
      </c>
      <c r="F452" s="724"/>
      <c r="G452" s="608">
        <f>VLOOKUP($B452,R_DG!$A$7:$G$1305,5,0)</f>
        <v>0</v>
      </c>
      <c r="H452" s="608">
        <f>VLOOKUP($B452,R_DG!$A$7:$G$1305,6,0)</f>
        <v>0</v>
      </c>
      <c r="I452" s="608">
        <f>VLOOKUP($B452,R_DG!$A$7:$G$1305,7,0)</f>
        <v>0</v>
      </c>
      <c r="J452" s="608">
        <f t="shared" si="75"/>
        <v>0</v>
      </c>
      <c r="K452" s="608">
        <f t="shared" si="75"/>
        <v>0</v>
      </c>
      <c r="L452" s="725">
        <f t="shared" si="75"/>
        <v>0</v>
      </c>
      <c r="M452" s="726">
        <f t="shared" si="89"/>
        <v>0</v>
      </c>
      <c r="N452" s="727">
        <f t="shared" ca="1" si="90"/>
        <v>0</v>
      </c>
    </row>
    <row r="453" spans="1:14" ht="20.100000000000001" customHeight="1">
      <c r="A453" s="728" t="s">
        <v>2233</v>
      </c>
      <c r="B453" s="729"/>
      <c r="C453" s="717"/>
      <c r="D453" s="718" t="s">
        <v>2234</v>
      </c>
      <c r="E453" s="718" t="s">
        <v>163</v>
      </c>
      <c r="F453" s="719"/>
      <c r="G453" s="720"/>
      <c r="H453" s="720"/>
      <c r="I453" s="720"/>
      <c r="J453" s="720" t="e">
        <f>SUM(J454:J459)</f>
        <v>#REF!</v>
      </c>
      <c r="K453" s="720">
        <f>SUM(K454:K459)</f>
        <v>208581.5</v>
      </c>
      <c r="L453" s="721">
        <f>SUM(L454:L459)</f>
        <v>0</v>
      </c>
      <c r="M453" s="693">
        <v>1</v>
      </c>
      <c r="N453" s="712">
        <f ca="1">SUMIF(maBK,$A453,tongBK1)</f>
        <v>0</v>
      </c>
    </row>
    <row r="454" spans="1:14" ht="20.100000000000001" hidden="1" customHeight="1">
      <c r="A454" s="696"/>
      <c r="B454" s="226" t="s">
        <v>3311</v>
      </c>
      <c r="C454" s="713">
        <f>VLOOKUP($B454,R_DG!$A$7:$G$1305,2,0)</f>
        <v>0</v>
      </c>
      <c r="D454" s="723" t="str">
        <f>VLOOKUP($B454,R_DG!$A$7:$G$1305,3,0)</f>
        <v>Đà sắt L75x75x8x2000 lệch 2/3 3 ốp (19,93kg/cái)</v>
      </c>
      <c r="E454" s="714" t="str">
        <f>VLOOKUP($B454,R_DG!$A$7:$G$1305,4,0)</f>
        <v>cái</v>
      </c>
      <c r="F454" s="724">
        <v>1</v>
      </c>
      <c r="G454" s="608" t="e">
        <f>VLOOKUP($B454,R_DG!$A$7:$G$1305,5,0)</f>
        <v>#REF!</v>
      </c>
      <c r="H454" s="608">
        <f>VLOOKUP($B454,R_DG!$A$7:$G$1305,6,0)</f>
        <v>0</v>
      </c>
      <c r="I454" s="608">
        <f>VLOOKUP($B454,R_DG!$A$7:$G$1305,7,0)</f>
        <v>0</v>
      </c>
      <c r="J454" s="608" t="e">
        <f t="shared" si="75"/>
        <v>#REF!</v>
      </c>
      <c r="K454" s="608">
        <f t="shared" si="75"/>
        <v>0</v>
      </c>
      <c r="L454" s="725">
        <f t="shared" si="75"/>
        <v>0</v>
      </c>
      <c r="M454" s="726">
        <f t="shared" ref="M454:M459" si="91">IF(F454&gt;0,M$453,0)</f>
        <v>1</v>
      </c>
      <c r="N454" s="727">
        <f t="shared" ref="N454:N459" ca="1" si="92">$F454*N$453</f>
        <v>0</v>
      </c>
    </row>
    <row r="455" spans="1:14" ht="20.100000000000001" hidden="1" customHeight="1">
      <c r="A455" s="696"/>
      <c r="B455" s="226" t="s">
        <v>4052</v>
      </c>
      <c r="C455" s="713">
        <f>VLOOKUP($B455,R_DG!$A$7:$G$1305,2,0)</f>
        <v>0</v>
      </c>
      <c r="D455" s="723" t="str">
        <f>VLOOKUP($B455,R_DG!$A$7:$G$1305,3,0)</f>
        <v>Thanh chống L50x50x5x1150 (3,51kg/cái)</v>
      </c>
      <c r="E455" s="714" t="str">
        <f>VLOOKUP($B455,R_DG!$A$7:$G$1305,4,0)</f>
        <v>cái</v>
      </c>
      <c r="F455" s="724">
        <v>1</v>
      </c>
      <c r="G455" s="608">
        <f>VLOOKUP($B455,R_DG!$A$7:$G$1305,5,0)</f>
        <v>101653.11</v>
      </c>
      <c r="H455" s="608">
        <f>VLOOKUP($B455,R_DG!$A$7:$G$1305,6,0)</f>
        <v>0</v>
      </c>
      <c r="I455" s="608">
        <f>VLOOKUP($B455,R_DG!$A$7:$G$1305,7,0)</f>
        <v>0</v>
      </c>
      <c r="J455" s="608">
        <f t="shared" si="75"/>
        <v>101653.11</v>
      </c>
      <c r="K455" s="608">
        <f t="shared" si="75"/>
        <v>0</v>
      </c>
      <c r="L455" s="725">
        <f t="shared" si="75"/>
        <v>0</v>
      </c>
      <c r="M455" s="726">
        <f t="shared" si="91"/>
        <v>1</v>
      </c>
      <c r="N455" s="727">
        <f t="shared" ca="1" si="92"/>
        <v>0</v>
      </c>
    </row>
    <row r="456" spans="1:14" ht="20.100000000000001" hidden="1" customHeight="1">
      <c r="A456" s="696"/>
      <c r="B456" s="226" t="s">
        <v>84</v>
      </c>
      <c r="C456" s="713">
        <f>VLOOKUP($B456,R_DG!$A$7:$G$1305,2,0)</f>
        <v>0</v>
      </c>
      <c r="D456" s="723" t="str">
        <f>VLOOKUP($B456,R_DG!$A$7:$G$1305,3,0)</f>
        <v>Boulon 16x250+ 2 long đền vuông D18-50x50x3/Zn</v>
      </c>
      <c r="E456" s="714" t="str">
        <f>VLOOKUP($B456,R_DG!$A$7:$G$1305,4,0)</f>
        <v>bộ</v>
      </c>
      <c r="F456" s="724">
        <v>2</v>
      </c>
      <c r="G456" s="608" t="e">
        <f>VLOOKUP($B456,R_DG!$A$7:$G$1305,5,0)</f>
        <v>#REF!</v>
      </c>
      <c r="H456" s="608">
        <f>VLOOKUP($B456,R_DG!$A$7:$G$1305,6,0)</f>
        <v>0</v>
      </c>
      <c r="I456" s="608">
        <f>VLOOKUP($B456,R_DG!$A$7:$G$1305,7,0)</f>
        <v>0</v>
      </c>
      <c r="J456" s="608" t="e">
        <f t="shared" si="75"/>
        <v>#REF!</v>
      </c>
      <c r="K456" s="608">
        <f t="shared" si="75"/>
        <v>0</v>
      </c>
      <c r="L456" s="725">
        <f t="shared" si="75"/>
        <v>0</v>
      </c>
      <c r="M456" s="726">
        <f t="shared" si="91"/>
        <v>1</v>
      </c>
      <c r="N456" s="727">
        <f t="shared" ca="1" si="92"/>
        <v>0</v>
      </c>
    </row>
    <row r="457" spans="1:14" ht="20.100000000000001" hidden="1" customHeight="1">
      <c r="A457" s="696"/>
      <c r="B457" s="226" t="s">
        <v>76</v>
      </c>
      <c r="C457" s="713">
        <f>VLOOKUP($B457,R_DG!$A$7:$G$1305,2,0)</f>
        <v>0</v>
      </c>
      <c r="D457" s="723" t="str">
        <f>VLOOKUP($B457,R_DG!$A$7:$G$1305,3,0)</f>
        <v>Boulon 16x50+ 2 long đền vuông D18-50x50x3/Zn</v>
      </c>
      <c r="E457" s="714" t="str">
        <f>VLOOKUP($B457,R_DG!$A$7:$G$1305,4,0)</f>
        <v>bộ</v>
      </c>
      <c r="F457" s="724">
        <v>1</v>
      </c>
      <c r="G457" s="608" t="e">
        <f>VLOOKUP($B457,R_DG!$A$7:$G$1305,5,0)</f>
        <v>#REF!</v>
      </c>
      <c r="H457" s="608">
        <f>VLOOKUP($B457,R_DG!$A$7:$G$1305,6,0)</f>
        <v>0</v>
      </c>
      <c r="I457" s="608">
        <f>VLOOKUP($B457,R_DG!$A$7:$G$1305,7,0)</f>
        <v>0</v>
      </c>
      <c r="J457" s="608" t="e">
        <f t="shared" si="75"/>
        <v>#REF!</v>
      </c>
      <c r="K457" s="608">
        <f t="shared" si="75"/>
        <v>0</v>
      </c>
      <c r="L457" s="725">
        <f t="shared" si="75"/>
        <v>0</v>
      </c>
      <c r="M457" s="726">
        <f t="shared" si="91"/>
        <v>1</v>
      </c>
      <c r="N457" s="727">
        <f t="shared" ca="1" si="92"/>
        <v>0</v>
      </c>
    </row>
    <row r="458" spans="1:14" ht="20.100000000000001" hidden="1" customHeight="1">
      <c r="A458" s="696"/>
      <c r="B458" s="226" t="s">
        <v>1179</v>
      </c>
      <c r="C458" s="713" t="str">
        <f>VLOOKUP($B458,R_DG!$A$7:$G$1305,2,0)</f>
        <v>D2.6021</v>
      </c>
      <c r="D458" s="723" t="str">
        <f>VLOOKUP($B458,R_DG!$A$7:$G$1305,3,0)</f>
        <v>Lắp xà đỡ ≤ 25kg</v>
      </c>
      <c r="E458" s="714" t="str">
        <f>VLOOKUP($B458,R_DG!$A$7:$G$1305,4,0)</f>
        <v>bộ</v>
      </c>
      <c r="F458" s="724">
        <v>1</v>
      </c>
      <c r="G458" s="608">
        <f>VLOOKUP($B458,R_DG!$A$7:$G$1305,5,0)</f>
        <v>0</v>
      </c>
      <c r="H458" s="608">
        <f>VLOOKUP($B458,R_DG!$A$7:$G$1305,6,0)</f>
        <v>208581.5</v>
      </c>
      <c r="I458" s="608">
        <f>VLOOKUP($B458,R_DG!$A$7:$G$1305,7,0)</f>
        <v>0</v>
      </c>
      <c r="J458" s="608">
        <f t="shared" si="75"/>
        <v>0</v>
      </c>
      <c r="K458" s="608">
        <f t="shared" si="75"/>
        <v>208581.5</v>
      </c>
      <c r="L458" s="725">
        <f t="shared" si="75"/>
        <v>0</v>
      </c>
      <c r="M458" s="726">
        <f t="shared" si="91"/>
        <v>1</v>
      </c>
      <c r="N458" s="727">
        <f t="shared" ca="1" si="92"/>
        <v>0</v>
      </c>
    </row>
    <row r="459" spans="1:14" ht="20.100000000000001" hidden="1" customHeight="1">
      <c r="A459" s="696"/>
      <c r="B459" s="226" t="s">
        <v>2228</v>
      </c>
      <c r="C459" s="713" t="str">
        <f>VLOOKUP($B459,R_DG!$A$7:$G$1305,2,0)</f>
        <v>02.1115</v>
      </c>
      <c r="D459" s="723" t="str">
        <f>VLOOKUP($B459,R_DG!$A$7:$G$1305,3,0)</f>
        <v>Bốc dỡ xà, thép thanh</v>
      </c>
      <c r="E459" s="714" t="str">
        <f>VLOOKUP($B459,R_DG!$A$7:$G$1305,4,0)</f>
        <v>tấn</v>
      </c>
      <c r="F459" s="724"/>
      <c r="G459" s="608">
        <f>VLOOKUP($B459,R_DG!$A$7:$G$1305,5,0)</f>
        <v>0</v>
      </c>
      <c r="H459" s="608">
        <f>VLOOKUP($B459,R_DG!$A$7:$G$1305,6,0)</f>
        <v>0</v>
      </c>
      <c r="I459" s="608">
        <f>VLOOKUP($B459,R_DG!$A$7:$G$1305,7,0)</f>
        <v>0</v>
      </c>
      <c r="J459" s="608">
        <f t="shared" si="75"/>
        <v>0</v>
      </c>
      <c r="K459" s="608">
        <f t="shared" si="75"/>
        <v>0</v>
      </c>
      <c r="L459" s="725">
        <f t="shared" si="75"/>
        <v>0</v>
      </c>
      <c r="M459" s="726">
        <f t="shared" si="91"/>
        <v>0</v>
      </c>
      <c r="N459" s="727">
        <f t="shared" ca="1" si="92"/>
        <v>0</v>
      </c>
    </row>
    <row r="460" spans="1:14" ht="20.100000000000001" customHeight="1">
      <c r="A460" s="728" t="s">
        <v>2235</v>
      </c>
      <c r="B460" s="729"/>
      <c r="C460" s="717"/>
      <c r="D460" s="718" t="s">
        <v>2236</v>
      </c>
      <c r="E460" s="718" t="s">
        <v>163</v>
      </c>
      <c r="F460" s="719"/>
      <c r="G460" s="720"/>
      <c r="H460" s="720"/>
      <c r="I460" s="720"/>
      <c r="J460" s="720" t="e">
        <f>SUM(J461:J468)</f>
        <v>#REF!</v>
      </c>
      <c r="K460" s="720">
        <f>SUM(K461:K468)</f>
        <v>417163</v>
      </c>
      <c r="L460" s="721">
        <f>SUM(L461:L468)</f>
        <v>0</v>
      </c>
      <c r="M460" s="693">
        <f>IF(ERROR.TYPE(IF(HLOOKUP(A460,maBK,1,0)&lt;&gt;"",#NULL!,"ABC"))&lt;&gt;7,1,0)</f>
        <v>0</v>
      </c>
      <c r="N460" s="712">
        <f ca="1">SUMIF(maBK,$A460,tongBK1)</f>
        <v>0</v>
      </c>
    </row>
    <row r="461" spans="1:14" ht="20.100000000000001" hidden="1" customHeight="1">
      <c r="A461" s="696"/>
      <c r="B461" s="226" t="s">
        <v>3311</v>
      </c>
      <c r="C461" s="713">
        <f>VLOOKUP($B461,R_DG!$A$7:$G$1305,2,0)</f>
        <v>0</v>
      </c>
      <c r="D461" s="723" t="str">
        <f>VLOOKUP($B461,R_DG!$A$7:$G$1305,3,0)</f>
        <v>Đà sắt L75x75x8x2000 lệch 2/3 3 ốp (19,93kg/cái)</v>
      </c>
      <c r="E461" s="714" t="str">
        <f>VLOOKUP($B461,R_DG!$A$7:$G$1305,4,0)</f>
        <v>cái</v>
      </c>
      <c r="F461" s="724">
        <v>2</v>
      </c>
      <c r="G461" s="608" t="e">
        <f>VLOOKUP($B461,R_DG!$A$7:$G$1305,5,0)</f>
        <v>#REF!</v>
      </c>
      <c r="H461" s="608">
        <f>VLOOKUP($B461,R_DG!$A$7:$G$1305,6,0)</f>
        <v>0</v>
      </c>
      <c r="I461" s="608">
        <f>VLOOKUP($B461,R_DG!$A$7:$G$1305,7,0)</f>
        <v>0</v>
      </c>
      <c r="J461" s="608" t="e">
        <f t="shared" si="75"/>
        <v>#REF!</v>
      </c>
      <c r="K461" s="608">
        <f t="shared" si="75"/>
        <v>0</v>
      </c>
      <c r="L461" s="725">
        <f t="shared" si="75"/>
        <v>0</v>
      </c>
      <c r="M461" s="726">
        <f t="shared" ref="M461:M468" si="93">IF(F461&gt;0,M$460,0)</f>
        <v>0</v>
      </c>
      <c r="N461" s="727">
        <f t="shared" ref="N461:N468" ca="1" si="94">$F461*N$460</f>
        <v>0</v>
      </c>
    </row>
    <row r="462" spans="1:14" ht="20.100000000000001" hidden="1" customHeight="1">
      <c r="A462" s="696"/>
      <c r="B462" s="226" t="s">
        <v>4052</v>
      </c>
      <c r="C462" s="713">
        <f>VLOOKUP($B462,R_DG!$A$7:$G$1305,2,0)</f>
        <v>0</v>
      </c>
      <c r="D462" s="723" t="str">
        <f>VLOOKUP($B462,R_DG!$A$7:$G$1305,3,0)</f>
        <v>Thanh chống L50x50x5x1150 (3,51kg/cái)</v>
      </c>
      <c r="E462" s="714" t="str">
        <f>VLOOKUP($B462,R_DG!$A$7:$G$1305,4,0)</f>
        <v>cái</v>
      </c>
      <c r="F462" s="724">
        <v>2</v>
      </c>
      <c r="G462" s="608">
        <f>VLOOKUP($B462,R_DG!$A$7:$G$1305,5,0)</f>
        <v>101653.11</v>
      </c>
      <c r="H462" s="608">
        <f>VLOOKUP($B462,R_DG!$A$7:$G$1305,6,0)</f>
        <v>0</v>
      </c>
      <c r="I462" s="608">
        <f>VLOOKUP($B462,R_DG!$A$7:$G$1305,7,0)</f>
        <v>0</v>
      </c>
      <c r="J462" s="608">
        <f t="shared" ref="J462:L515" si="95">G462*$F462</f>
        <v>203306.22</v>
      </c>
      <c r="K462" s="608">
        <f t="shared" si="95"/>
        <v>0</v>
      </c>
      <c r="L462" s="725">
        <f t="shared" si="95"/>
        <v>0</v>
      </c>
      <c r="M462" s="726">
        <f t="shared" si="93"/>
        <v>0</v>
      </c>
      <c r="N462" s="727">
        <f t="shared" ca="1" si="94"/>
        <v>0</v>
      </c>
    </row>
    <row r="463" spans="1:14" ht="20.100000000000001" hidden="1" customHeight="1">
      <c r="A463" s="696"/>
      <c r="B463" s="226" t="s">
        <v>76</v>
      </c>
      <c r="C463" s="713">
        <f>VLOOKUP($B463,R_DG!$A$7:$G$1305,2,0)</f>
        <v>0</v>
      </c>
      <c r="D463" s="723" t="str">
        <f>VLOOKUP($B463,R_DG!$A$7:$G$1305,3,0)</f>
        <v>Boulon 16x50+ 2 long đền vuông D18-50x50x3/Zn</v>
      </c>
      <c r="E463" s="714" t="str">
        <f>VLOOKUP($B463,R_DG!$A$7:$G$1305,4,0)</f>
        <v>bộ</v>
      </c>
      <c r="F463" s="724">
        <v>2</v>
      </c>
      <c r="G463" s="608" t="e">
        <f>VLOOKUP($B463,R_DG!$A$7:$G$1305,5,0)</f>
        <v>#REF!</v>
      </c>
      <c r="H463" s="608">
        <f>VLOOKUP($B463,R_DG!$A$7:$G$1305,6,0)</f>
        <v>0</v>
      </c>
      <c r="I463" s="608">
        <f>VLOOKUP($B463,R_DG!$A$7:$G$1305,7,0)</f>
        <v>0</v>
      </c>
      <c r="J463" s="608" t="e">
        <f t="shared" si="95"/>
        <v>#REF!</v>
      </c>
      <c r="K463" s="608">
        <f t="shared" si="95"/>
        <v>0</v>
      </c>
      <c r="L463" s="725">
        <f t="shared" si="95"/>
        <v>0</v>
      </c>
      <c r="M463" s="726">
        <f t="shared" si="93"/>
        <v>0</v>
      </c>
      <c r="N463" s="727">
        <f t="shared" ca="1" si="94"/>
        <v>0</v>
      </c>
    </row>
    <row r="464" spans="1:14" ht="20.100000000000001" hidden="1" customHeight="1">
      <c r="A464" s="696"/>
      <c r="B464" s="226" t="s">
        <v>84</v>
      </c>
      <c r="C464" s="713">
        <f>VLOOKUP($B464,R_DG!$A$7:$G$1305,2,0)</f>
        <v>0</v>
      </c>
      <c r="D464" s="723" t="str">
        <f>VLOOKUP($B464,R_DG!$A$7:$G$1305,3,0)</f>
        <v>Boulon 16x250+ 2 long đền vuông D18-50x50x3/Zn</v>
      </c>
      <c r="E464" s="714" t="str">
        <f>VLOOKUP($B464,R_DG!$A$7:$G$1305,4,0)</f>
        <v>bộ</v>
      </c>
      <c r="F464" s="724">
        <v>1</v>
      </c>
      <c r="G464" s="608" t="e">
        <f>VLOOKUP($B464,R_DG!$A$7:$G$1305,5,0)</f>
        <v>#REF!</v>
      </c>
      <c r="H464" s="608">
        <f>VLOOKUP($B464,R_DG!$A$7:$G$1305,6,0)</f>
        <v>0</v>
      </c>
      <c r="I464" s="608">
        <f>VLOOKUP($B464,R_DG!$A$7:$G$1305,7,0)</f>
        <v>0</v>
      </c>
      <c r="J464" s="608" t="e">
        <f t="shared" si="95"/>
        <v>#REF!</v>
      </c>
      <c r="K464" s="608">
        <f t="shared" si="95"/>
        <v>0</v>
      </c>
      <c r="L464" s="725">
        <f t="shared" si="95"/>
        <v>0</v>
      </c>
      <c r="M464" s="726">
        <f t="shared" si="93"/>
        <v>0</v>
      </c>
      <c r="N464" s="727">
        <f t="shared" ca="1" si="94"/>
        <v>0</v>
      </c>
    </row>
    <row r="465" spans="1:14" ht="20.100000000000001" hidden="1" customHeight="1">
      <c r="A465" s="696"/>
      <c r="B465" s="226" t="s">
        <v>86</v>
      </c>
      <c r="C465" s="713">
        <f>VLOOKUP($B465,R_DG!$A$7:$G$1305,2,0)</f>
        <v>0</v>
      </c>
      <c r="D465" s="723" t="str">
        <f>VLOOKUP($B465,R_DG!$A$7:$G$1305,3,0)</f>
        <v>Boulon 16x300+ 2 long đền vuông D18-50x50x3/Zn</v>
      </c>
      <c r="E465" s="714" t="str">
        <f>VLOOKUP($B465,R_DG!$A$7:$G$1305,4,0)</f>
        <v>bộ</v>
      </c>
      <c r="F465" s="724">
        <v>1</v>
      </c>
      <c r="G465" s="608" t="e">
        <f>VLOOKUP($B465,R_DG!$A$7:$G$1305,5,0)</f>
        <v>#REF!</v>
      </c>
      <c r="H465" s="608">
        <f>VLOOKUP($B465,R_DG!$A$7:$G$1305,6,0)</f>
        <v>0</v>
      </c>
      <c r="I465" s="608">
        <f>VLOOKUP($B465,R_DG!$A$7:$G$1305,7,0)</f>
        <v>0</v>
      </c>
      <c r="J465" s="608" t="e">
        <f t="shared" si="95"/>
        <v>#REF!</v>
      </c>
      <c r="K465" s="608">
        <f t="shared" si="95"/>
        <v>0</v>
      </c>
      <c r="L465" s="725">
        <f t="shared" si="95"/>
        <v>0</v>
      </c>
      <c r="M465" s="726">
        <f t="shared" si="93"/>
        <v>0</v>
      </c>
      <c r="N465" s="727">
        <f t="shared" ca="1" si="94"/>
        <v>0</v>
      </c>
    </row>
    <row r="466" spans="1:14" ht="20.100000000000001" hidden="1" customHeight="1">
      <c r="A466" s="696"/>
      <c r="B466" s="226" t="s">
        <v>2237</v>
      </c>
      <c r="C466" s="713">
        <f>VLOOKUP($B466,R_DG!$A$7:$G$1305,2,0)</f>
        <v>0</v>
      </c>
      <c r="D466" s="723" t="str">
        <f>VLOOKUP($B466,R_DG!$A$7:$G$1305,3,0)</f>
        <v>Boulon 16x300VRS+ 4 long đền vuông D18-50x50x3/Zn</v>
      </c>
      <c r="E466" s="714" t="str">
        <f>VLOOKUP($B466,R_DG!$A$7:$G$1305,4,0)</f>
        <v>bộ</v>
      </c>
      <c r="F466" s="724">
        <v>2</v>
      </c>
      <c r="G466" s="608" t="e">
        <f>VLOOKUP($B466,R_DG!$A$7:$G$1305,5,0)</f>
        <v>#REF!</v>
      </c>
      <c r="H466" s="608">
        <f>VLOOKUP($B466,R_DG!$A$7:$G$1305,6,0)</f>
        <v>0</v>
      </c>
      <c r="I466" s="608">
        <f>VLOOKUP($B466,R_DG!$A$7:$G$1305,7,0)</f>
        <v>0</v>
      </c>
      <c r="J466" s="608" t="e">
        <f t="shared" si="95"/>
        <v>#REF!</v>
      </c>
      <c r="K466" s="608">
        <f t="shared" si="95"/>
        <v>0</v>
      </c>
      <c r="L466" s="725">
        <f t="shared" si="95"/>
        <v>0</v>
      </c>
      <c r="M466" s="726">
        <f t="shared" si="93"/>
        <v>0</v>
      </c>
      <c r="N466" s="727">
        <f t="shared" ca="1" si="94"/>
        <v>0</v>
      </c>
    </row>
    <row r="467" spans="1:14" ht="20.100000000000001" hidden="1" customHeight="1">
      <c r="A467" s="696"/>
      <c r="B467" s="226" t="s">
        <v>4533</v>
      </c>
      <c r="C467" s="713" t="str">
        <f>VLOOKUP($B467,R_DG!$A$7:$G$1305,2,0)</f>
        <v>D2.6021</v>
      </c>
      <c r="D467" s="723" t="str">
        <f>VLOOKUP($B467,R_DG!$A$7:$G$1305,3,0)</f>
        <v>Lắp xà đỡ ≤ 25kg</v>
      </c>
      <c r="E467" s="714" t="str">
        <f>VLOOKUP($B467,R_DG!$A$7:$G$1305,4,0)</f>
        <v>bộ</v>
      </c>
      <c r="F467" s="724">
        <f>F461</f>
        <v>2</v>
      </c>
      <c r="G467" s="608">
        <f>VLOOKUP($B467,R_DG!$A$7:$G$1305,5,0)</f>
        <v>0</v>
      </c>
      <c r="H467" s="608">
        <f>VLOOKUP($B467,R_DG!$A$7:$G$1305,6,0)</f>
        <v>208581.5</v>
      </c>
      <c r="I467" s="608">
        <f>VLOOKUP($B467,R_DG!$A$7:$G$1305,7,0)</f>
        <v>0</v>
      </c>
      <c r="J467" s="608">
        <f t="shared" si="95"/>
        <v>0</v>
      </c>
      <c r="K467" s="608">
        <f t="shared" si="95"/>
        <v>417163</v>
      </c>
      <c r="L467" s="725">
        <f t="shared" si="95"/>
        <v>0</v>
      </c>
      <c r="M467" s="726">
        <f t="shared" si="93"/>
        <v>0</v>
      </c>
      <c r="N467" s="727">
        <f t="shared" ca="1" si="94"/>
        <v>0</v>
      </c>
    </row>
    <row r="468" spans="1:14" ht="20.100000000000001" hidden="1" customHeight="1">
      <c r="A468" s="696"/>
      <c r="B468" s="226" t="s">
        <v>2228</v>
      </c>
      <c r="C468" s="713" t="str">
        <f>VLOOKUP($B468,R_DG!$A$7:$G$1305,2,0)</f>
        <v>02.1115</v>
      </c>
      <c r="D468" s="723" t="str">
        <f>VLOOKUP($B468,R_DG!$A$7:$G$1305,3,0)</f>
        <v>Bốc dỡ xà, thép thanh</v>
      </c>
      <c r="E468" s="714" t="str">
        <f>VLOOKUP($B468,R_DG!$A$7:$G$1305,4,0)</f>
        <v>tấn</v>
      </c>
      <c r="F468" s="724"/>
      <c r="G468" s="608">
        <f>VLOOKUP($B468,R_DG!$A$7:$G$1305,5,0)</f>
        <v>0</v>
      </c>
      <c r="H468" s="608">
        <f>VLOOKUP($B468,R_DG!$A$7:$G$1305,6,0)</f>
        <v>0</v>
      </c>
      <c r="I468" s="608">
        <f>VLOOKUP($B468,R_DG!$A$7:$G$1305,7,0)</f>
        <v>0</v>
      </c>
      <c r="J468" s="608">
        <f t="shared" si="95"/>
        <v>0</v>
      </c>
      <c r="K468" s="608">
        <f t="shared" si="95"/>
        <v>0</v>
      </c>
      <c r="L468" s="725">
        <f t="shared" si="95"/>
        <v>0</v>
      </c>
      <c r="M468" s="726">
        <f t="shared" si="93"/>
        <v>0</v>
      </c>
      <c r="N468" s="727">
        <f t="shared" ca="1" si="94"/>
        <v>0</v>
      </c>
    </row>
    <row r="469" spans="1:14" ht="20.100000000000001" customHeight="1">
      <c r="A469" s="728" t="s">
        <v>2238</v>
      </c>
      <c r="B469" s="729"/>
      <c r="C469" s="717"/>
      <c r="D469" s="718" t="s">
        <v>2239</v>
      </c>
      <c r="E469" s="718" t="s">
        <v>163</v>
      </c>
      <c r="F469" s="719"/>
      <c r="G469" s="720"/>
      <c r="H469" s="720"/>
      <c r="I469" s="720"/>
      <c r="J469" s="720" t="e">
        <f>SUM(J470:J477)</f>
        <v>#REF!</v>
      </c>
      <c r="K469" s="720">
        <f>SUM(K470:K477)</f>
        <v>208581.5</v>
      </c>
      <c r="L469" s="721">
        <f>SUM(L470:L477)</f>
        <v>0</v>
      </c>
      <c r="M469" s="693">
        <f>IF(ERROR.TYPE(IF(HLOOKUP(A469,maBK,1,0)&lt;&gt;"",#NULL!,"ABC"))&lt;&gt;7,1,0)</f>
        <v>0</v>
      </c>
      <c r="N469" s="712">
        <f ca="1">SUMIF(maBK,$A469,tongBK1)</f>
        <v>0</v>
      </c>
    </row>
    <row r="470" spans="1:14" ht="20.100000000000001" hidden="1" customHeight="1">
      <c r="A470" s="696"/>
      <c r="B470" s="226" t="s">
        <v>3308</v>
      </c>
      <c r="C470" s="713">
        <f>VLOOKUP($B470,R_DG!$A$7:$G$1305,2,0)</f>
        <v>0</v>
      </c>
      <c r="D470" s="723" t="str">
        <f>VLOOKUP($B470,R_DG!$A$7:$G$1305,3,0)</f>
        <v>Đà sắt L75x75x8x2200 4 ốp (22,37kg/cái)</v>
      </c>
      <c r="E470" s="714" t="str">
        <f>VLOOKUP($B470,R_DG!$A$7:$G$1305,4,0)</f>
        <v>cái</v>
      </c>
      <c r="F470" s="724">
        <v>1</v>
      </c>
      <c r="G470" s="608" t="e">
        <f>VLOOKUP($B470,R_DG!$A$7:$G$1305,5,0)</f>
        <v>#REF!</v>
      </c>
      <c r="H470" s="608">
        <f>VLOOKUP($B470,R_DG!$A$7:$G$1305,6,0)</f>
        <v>0</v>
      </c>
      <c r="I470" s="608">
        <f>VLOOKUP($B470,R_DG!$A$7:$G$1305,7,0)</f>
        <v>0</v>
      </c>
      <c r="J470" s="608" t="e">
        <f t="shared" si="95"/>
        <v>#REF!</v>
      </c>
      <c r="K470" s="608">
        <f t="shared" si="95"/>
        <v>0</v>
      </c>
      <c r="L470" s="725">
        <f t="shared" si="95"/>
        <v>0</v>
      </c>
      <c r="M470" s="726">
        <f t="shared" ref="M470:M477" si="96">IF(F470&gt;0,M$469,0)</f>
        <v>0</v>
      </c>
      <c r="N470" s="727">
        <f t="shared" ref="N470:N477" ca="1" si="97">$F470*N$469</f>
        <v>0</v>
      </c>
    </row>
    <row r="471" spans="1:14" ht="20.100000000000001" hidden="1" customHeight="1">
      <c r="A471" s="696"/>
      <c r="B471" s="226" t="s">
        <v>3313</v>
      </c>
      <c r="C471" s="713">
        <f>VLOOKUP($B471,R_DG!$A$7:$G$1305,2,0)</f>
        <v>0</v>
      </c>
      <c r="D471" s="723" t="str">
        <f>VLOOKUP($B471,R_DG!$A$7:$G$1305,3,0)</f>
        <v>Thanh chống L50x50x5x810 (2,47kg/cái)</v>
      </c>
      <c r="E471" s="714" t="str">
        <f>VLOOKUP($B471,R_DG!$A$7:$G$1305,4,0)</f>
        <v>cái</v>
      </c>
      <c r="F471" s="724">
        <v>2</v>
      </c>
      <c r="G471" s="608">
        <f>VLOOKUP($B471,R_DG!$A$7:$G$1305,5,0)</f>
        <v>71533.670000000013</v>
      </c>
      <c r="H471" s="608">
        <f>VLOOKUP($B471,R_DG!$A$7:$G$1305,6,0)</f>
        <v>0</v>
      </c>
      <c r="I471" s="608">
        <f>VLOOKUP($B471,R_DG!$A$7:$G$1305,7,0)</f>
        <v>0</v>
      </c>
      <c r="J471" s="608">
        <f t="shared" si="95"/>
        <v>143067.34000000003</v>
      </c>
      <c r="K471" s="608">
        <f t="shared" si="95"/>
        <v>0</v>
      </c>
      <c r="L471" s="725">
        <f t="shared" si="95"/>
        <v>0</v>
      </c>
      <c r="M471" s="726">
        <f t="shared" si="96"/>
        <v>0</v>
      </c>
      <c r="N471" s="727">
        <f t="shared" ca="1" si="97"/>
        <v>0</v>
      </c>
    </row>
    <row r="472" spans="1:14" ht="20.100000000000001" hidden="1" customHeight="1">
      <c r="A472" s="696"/>
      <c r="B472" s="226" t="s">
        <v>723</v>
      </c>
      <c r="C472" s="713">
        <f>VLOOKUP($B472,R_DG!$A$7:$G$1305,2,0)</f>
        <v>0</v>
      </c>
      <c r="D472" s="723" t="str">
        <f>VLOOKUP($B472,R_DG!$A$7:$G$1305,3,0)</f>
        <v>Cổ dê bắt xà + bulon</v>
      </c>
      <c r="E472" s="714" t="str">
        <f>VLOOKUP($B472,R_DG!$A$7:$G$1305,4,0)</f>
        <v>Kg</v>
      </c>
      <c r="F472" s="724"/>
      <c r="G472" s="608">
        <f>VLOOKUP($B472,R_DG!$A$7:$G$1305,5,0)</f>
        <v>15140.380999999999</v>
      </c>
      <c r="H472" s="608">
        <f>VLOOKUP($B472,R_DG!$A$7:$G$1305,6,0)</f>
        <v>0</v>
      </c>
      <c r="I472" s="608">
        <f>VLOOKUP($B472,R_DG!$A$7:$G$1305,7,0)</f>
        <v>0</v>
      </c>
      <c r="J472" s="608">
        <f t="shared" si="95"/>
        <v>0</v>
      </c>
      <c r="K472" s="608">
        <f t="shared" si="95"/>
        <v>0</v>
      </c>
      <c r="L472" s="725">
        <f t="shared" si="95"/>
        <v>0</v>
      </c>
      <c r="M472" s="726">
        <f t="shared" si="96"/>
        <v>0</v>
      </c>
      <c r="N472" s="727">
        <f t="shared" ca="1" si="97"/>
        <v>0</v>
      </c>
    </row>
    <row r="473" spans="1:14" ht="20.100000000000001" hidden="1" customHeight="1">
      <c r="A473" s="696"/>
      <c r="B473" s="226" t="s">
        <v>728</v>
      </c>
      <c r="C473" s="713">
        <f>VLOOKUP($B473,R_DG!$A$7:$G$1305,2,0)</f>
        <v>0</v>
      </c>
      <c r="D473" s="723" t="str">
        <f>VLOOKUP($B473,R_DG!$A$7:$G$1305,3,0)</f>
        <v xml:space="preserve">Cổ dê chống lắc 8x80x800 </v>
      </c>
      <c r="E473" s="714" t="str">
        <f>VLOOKUP($B473,R_DG!$A$7:$G$1305,4,0)</f>
        <v>Kg</v>
      </c>
      <c r="F473" s="724"/>
      <c r="G473" s="608">
        <f>VLOOKUP($B473,R_DG!$A$7:$G$1305,5,0)</f>
        <v>15140.380999999999</v>
      </c>
      <c r="H473" s="608">
        <f>VLOOKUP($B473,R_DG!$A$7:$G$1305,6,0)</f>
        <v>0</v>
      </c>
      <c r="I473" s="608">
        <f>VLOOKUP($B473,R_DG!$A$7:$G$1305,7,0)</f>
        <v>0</v>
      </c>
      <c r="J473" s="608">
        <f t="shared" si="95"/>
        <v>0</v>
      </c>
      <c r="K473" s="608">
        <f t="shared" si="95"/>
        <v>0</v>
      </c>
      <c r="L473" s="725">
        <f t="shared" si="95"/>
        <v>0</v>
      </c>
      <c r="M473" s="726">
        <f t="shared" si="96"/>
        <v>0</v>
      </c>
      <c r="N473" s="727">
        <f t="shared" ca="1" si="97"/>
        <v>0</v>
      </c>
    </row>
    <row r="474" spans="1:14" ht="20.100000000000001" hidden="1" customHeight="1">
      <c r="A474" s="696"/>
      <c r="B474" s="226" t="s">
        <v>84</v>
      </c>
      <c r="C474" s="713">
        <f>VLOOKUP($B474,R_DG!$A$7:$G$1305,2,0)</f>
        <v>0</v>
      </c>
      <c r="D474" s="723" t="str">
        <f>VLOOKUP($B474,R_DG!$A$7:$G$1305,3,0)</f>
        <v>Boulon 16x250+ 2 long đền vuông D18-50x50x3/Zn</v>
      </c>
      <c r="E474" s="714" t="str">
        <f>VLOOKUP($B474,R_DG!$A$7:$G$1305,4,0)</f>
        <v>bộ</v>
      </c>
      <c r="F474" s="724">
        <v>2</v>
      </c>
      <c r="G474" s="608" t="e">
        <f>VLOOKUP($B474,R_DG!$A$7:$G$1305,5,0)</f>
        <v>#REF!</v>
      </c>
      <c r="H474" s="608">
        <f>VLOOKUP($B474,R_DG!$A$7:$G$1305,6,0)</f>
        <v>0</v>
      </c>
      <c r="I474" s="608">
        <f>VLOOKUP($B474,R_DG!$A$7:$G$1305,7,0)</f>
        <v>0</v>
      </c>
      <c r="J474" s="608" t="e">
        <f t="shared" si="95"/>
        <v>#REF!</v>
      </c>
      <c r="K474" s="608">
        <f t="shared" si="95"/>
        <v>0</v>
      </c>
      <c r="L474" s="725">
        <f t="shared" si="95"/>
        <v>0</v>
      </c>
      <c r="M474" s="726">
        <f t="shared" si="96"/>
        <v>0</v>
      </c>
      <c r="N474" s="727">
        <f t="shared" ca="1" si="97"/>
        <v>0</v>
      </c>
    </row>
    <row r="475" spans="1:14" ht="20.100000000000001" hidden="1" customHeight="1">
      <c r="A475" s="696"/>
      <c r="B475" s="226" t="s">
        <v>76</v>
      </c>
      <c r="C475" s="713">
        <f>VLOOKUP($B475,R_DG!$A$7:$G$1305,2,0)</f>
        <v>0</v>
      </c>
      <c r="D475" s="723" t="str">
        <f>VLOOKUP($B475,R_DG!$A$7:$G$1305,3,0)</f>
        <v>Boulon 16x50+ 2 long đền vuông D18-50x50x3/Zn</v>
      </c>
      <c r="E475" s="714" t="str">
        <f>VLOOKUP($B475,R_DG!$A$7:$G$1305,4,0)</f>
        <v>bộ</v>
      </c>
      <c r="F475" s="724">
        <v>2</v>
      </c>
      <c r="G475" s="608" t="e">
        <f>VLOOKUP($B475,R_DG!$A$7:$G$1305,5,0)</f>
        <v>#REF!</v>
      </c>
      <c r="H475" s="608">
        <f>VLOOKUP($B475,R_DG!$A$7:$G$1305,6,0)</f>
        <v>0</v>
      </c>
      <c r="I475" s="608">
        <f>VLOOKUP($B475,R_DG!$A$7:$G$1305,7,0)</f>
        <v>0</v>
      </c>
      <c r="J475" s="608" t="e">
        <f t="shared" si="95"/>
        <v>#REF!</v>
      </c>
      <c r="K475" s="608">
        <f t="shared" si="95"/>
        <v>0</v>
      </c>
      <c r="L475" s="725">
        <f t="shared" si="95"/>
        <v>0</v>
      </c>
      <c r="M475" s="726">
        <f t="shared" si="96"/>
        <v>0</v>
      </c>
      <c r="N475" s="727">
        <f t="shared" ca="1" si="97"/>
        <v>0</v>
      </c>
    </row>
    <row r="476" spans="1:14" ht="20.100000000000001" hidden="1" customHeight="1">
      <c r="A476" s="696"/>
      <c r="B476" s="226" t="s">
        <v>1179</v>
      </c>
      <c r="C476" s="713" t="str">
        <f>VLOOKUP($B476,R_DG!$A$7:$G$1305,2,0)</f>
        <v>D2.6021</v>
      </c>
      <c r="D476" s="723" t="str">
        <f>VLOOKUP($B476,R_DG!$A$7:$G$1305,3,0)</f>
        <v>Lắp xà đỡ ≤ 25kg</v>
      </c>
      <c r="E476" s="714" t="str">
        <f>VLOOKUP($B476,R_DG!$A$7:$G$1305,4,0)</f>
        <v>bộ</v>
      </c>
      <c r="F476" s="724">
        <v>1</v>
      </c>
      <c r="G476" s="608">
        <f>VLOOKUP($B476,R_DG!$A$7:$G$1305,5,0)</f>
        <v>0</v>
      </c>
      <c r="H476" s="608">
        <f>VLOOKUP($B476,R_DG!$A$7:$G$1305,6,0)</f>
        <v>208581.5</v>
      </c>
      <c r="I476" s="608">
        <f>VLOOKUP($B476,R_DG!$A$7:$G$1305,7,0)</f>
        <v>0</v>
      </c>
      <c r="J476" s="608">
        <f t="shared" si="95"/>
        <v>0</v>
      </c>
      <c r="K476" s="608">
        <f t="shared" si="95"/>
        <v>208581.5</v>
      </c>
      <c r="L476" s="725">
        <f t="shared" si="95"/>
        <v>0</v>
      </c>
      <c r="M476" s="726">
        <f t="shared" si="96"/>
        <v>0</v>
      </c>
      <c r="N476" s="727">
        <f t="shared" ca="1" si="97"/>
        <v>0</v>
      </c>
    </row>
    <row r="477" spans="1:14" ht="20.100000000000001" hidden="1" customHeight="1">
      <c r="A477" s="696"/>
      <c r="B477" s="226" t="s">
        <v>2228</v>
      </c>
      <c r="C477" s="713" t="str">
        <f>VLOOKUP($B477,R_DG!$A$7:$G$1305,2,0)</f>
        <v>02.1115</v>
      </c>
      <c r="D477" s="723" t="str">
        <f>VLOOKUP($B477,R_DG!$A$7:$G$1305,3,0)</f>
        <v>Bốc dỡ xà, thép thanh</v>
      </c>
      <c r="E477" s="714" t="str">
        <f>VLOOKUP($B477,R_DG!$A$7:$G$1305,4,0)</f>
        <v>tấn</v>
      </c>
      <c r="F477" s="724"/>
      <c r="G477" s="608">
        <f>VLOOKUP($B477,R_DG!$A$7:$G$1305,5,0)</f>
        <v>0</v>
      </c>
      <c r="H477" s="608">
        <f>VLOOKUP($B477,R_DG!$A$7:$G$1305,6,0)</f>
        <v>0</v>
      </c>
      <c r="I477" s="608">
        <f>VLOOKUP($B477,R_DG!$A$7:$G$1305,7,0)</f>
        <v>0</v>
      </c>
      <c r="J477" s="608">
        <f t="shared" si="95"/>
        <v>0</v>
      </c>
      <c r="K477" s="608">
        <f t="shared" si="95"/>
        <v>0</v>
      </c>
      <c r="L477" s="725">
        <f t="shared" si="95"/>
        <v>0</v>
      </c>
      <c r="M477" s="726">
        <f t="shared" si="96"/>
        <v>0</v>
      </c>
      <c r="N477" s="727">
        <f t="shared" ca="1" si="97"/>
        <v>0</v>
      </c>
    </row>
    <row r="478" spans="1:14" ht="20.100000000000001" customHeight="1">
      <c r="A478" s="728" t="s">
        <v>2241</v>
      </c>
      <c r="B478" s="729"/>
      <c r="C478" s="717"/>
      <c r="D478" s="718" t="s">
        <v>2242</v>
      </c>
      <c r="E478" s="718" t="s">
        <v>163</v>
      </c>
      <c r="F478" s="719"/>
      <c r="G478" s="720"/>
      <c r="H478" s="720"/>
      <c r="I478" s="720"/>
      <c r="J478" s="720" t="e">
        <f>SUM(J479:J486)</f>
        <v>#REF!</v>
      </c>
      <c r="K478" s="720">
        <f>SUM(K479:K486)</f>
        <v>750893.4</v>
      </c>
      <c r="L478" s="721">
        <f>SUM(L479:L486)</f>
        <v>0</v>
      </c>
      <c r="M478" s="693">
        <f>IF(ERROR.TYPE(IF(HLOOKUP(A478,maBK,1,0)&lt;&gt;"",#NULL!,"ABC"))&lt;&gt;7,1,0)</f>
        <v>0</v>
      </c>
      <c r="N478" s="712">
        <f ca="1">SUMIF(maBK,$A478,tongBK1)</f>
        <v>0</v>
      </c>
    </row>
    <row r="479" spans="1:14" ht="20.100000000000001" hidden="1" customHeight="1">
      <c r="A479" s="696"/>
      <c r="B479" s="226" t="s">
        <v>3308</v>
      </c>
      <c r="C479" s="713">
        <f>VLOOKUP($B479,R_DG!$A$7:$G$1305,2,0)</f>
        <v>0</v>
      </c>
      <c r="D479" s="723" t="str">
        <f>VLOOKUP($B479,R_DG!$A$7:$G$1305,3,0)</f>
        <v>Đà sắt L75x75x8x2200 4 ốp (22,37kg/cái)</v>
      </c>
      <c r="E479" s="714" t="str">
        <f>VLOOKUP($B479,R_DG!$A$7:$G$1305,4,0)</f>
        <v>cái</v>
      </c>
      <c r="F479" s="724">
        <v>2</v>
      </c>
      <c r="G479" s="608" t="e">
        <f>VLOOKUP($B479,R_DG!$A$7:$G$1305,5,0)</f>
        <v>#REF!</v>
      </c>
      <c r="H479" s="608">
        <f>VLOOKUP($B479,R_DG!$A$7:$G$1305,6,0)</f>
        <v>0</v>
      </c>
      <c r="I479" s="608">
        <f>VLOOKUP($B479,R_DG!$A$7:$G$1305,7,0)</f>
        <v>0</v>
      </c>
      <c r="J479" s="608" t="e">
        <f t="shared" si="95"/>
        <v>#REF!</v>
      </c>
      <c r="K479" s="608">
        <f t="shared" si="95"/>
        <v>0</v>
      </c>
      <c r="L479" s="725">
        <f t="shared" si="95"/>
        <v>0</v>
      </c>
      <c r="M479" s="726">
        <f t="shared" ref="M479:M486" si="98">IF(F479&gt;0,M$478,0)</f>
        <v>0</v>
      </c>
      <c r="N479" s="727">
        <f t="shared" ref="N479:N486" ca="1" si="99">$F479*N$478</f>
        <v>0</v>
      </c>
    </row>
    <row r="480" spans="1:14" ht="20.100000000000001" hidden="1" customHeight="1">
      <c r="A480" s="696"/>
      <c r="B480" s="226" t="s">
        <v>3313</v>
      </c>
      <c r="C480" s="713">
        <f>VLOOKUP($B480,R_DG!$A$7:$G$1305,2,0)</f>
        <v>0</v>
      </c>
      <c r="D480" s="723" t="str">
        <f>VLOOKUP($B480,R_DG!$A$7:$G$1305,3,0)</f>
        <v>Thanh chống L50x50x5x810 (2,47kg/cái)</v>
      </c>
      <c r="E480" s="714" t="str">
        <f>VLOOKUP($B480,R_DG!$A$7:$G$1305,4,0)</f>
        <v>cái</v>
      </c>
      <c r="F480" s="724">
        <v>4</v>
      </c>
      <c r="G480" s="608">
        <f>VLOOKUP($B480,R_DG!$A$7:$G$1305,5,0)</f>
        <v>71533.670000000013</v>
      </c>
      <c r="H480" s="608">
        <f>VLOOKUP($B480,R_DG!$A$7:$G$1305,6,0)</f>
        <v>0</v>
      </c>
      <c r="I480" s="608">
        <f>VLOOKUP($B480,R_DG!$A$7:$G$1305,7,0)</f>
        <v>0</v>
      </c>
      <c r="J480" s="608">
        <f t="shared" si="95"/>
        <v>286134.68000000005</v>
      </c>
      <c r="K480" s="608">
        <f t="shared" si="95"/>
        <v>0</v>
      </c>
      <c r="L480" s="725">
        <f t="shared" si="95"/>
        <v>0</v>
      </c>
      <c r="M480" s="726">
        <f t="shared" si="98"/>
        <v>0</v>
      </c>
      <c r="N480" s="727">
        <f t="shared" ca="1" si="99"/>
        <v>0</v>
      </c>
    </row>
    <row r="481" spans="1:14" ht="20.100000000000001" hidden="1" customHeight="1">
      <c r="A481" s="696"/>
      <c r="B481" s="226" t="s">
        <v>84</v>
      </c>
      <c r="C481" s="713">
        <f>VLOOKUP($B481,R_DG!$A$7:$G$1305,2,0)</f>
        <v>0</v>
      </c>
      <c r="D481" s="723" t="str">
        <f>VLOOKUP($B481,R_DG!$A$7:$G$1305,3,0)</f>
        <v>Boulon 16x250+ 2 long đền vuông D18-50x50x3/Zn</v>
      </c>
      <c r="E481" s="714" t="str">
        <f>VLOOKUP($B481,R_DG!$A$7:$G$1305,4,0)</f>
        <v>bộ</v>
      </c>
      <c r="F481" s="724">
        <v>1</v>
      </c>
      <c r="G481" s="608" t="e">
        <f>VLOOKUP($B481,R_DG!$A$7:$G$1305,5,0)</f>
        <v>#REF!</v>
      </c>
      <c r="H481" s="608">
        <f>VLOOKUP($B481,R_DG!$A$7:$G$1305,6,0)</f>
        <v>0</v>
      </c>
      <c r="I481" s="608">
        <f>VLOOKUP($B481,R_DG!$A$7:$G$1305,7,0)</f>
        <v>0</v>
      </c>
      <c r="J481" s="608" t="e">
        <f t="shared" si="95"/>
        <v>#REF!</v>
      </c>
      <c r="K481" s="608">
        <f t="shared" si="95"/>
        <v>0</v>
      </c>
      <c r="L481" s="725">
        <f t="shared" si="95"/>
        <v>0</v>
      </c>
      <c r="M481" s="726">
        <f t="shared" si="98"/>
        <v>0</v>
      </c>
      <c r="N481" s="727">
        <f t="shared" ca="1" si="99"/>
        <v>0</v>
      </c>
    </row>
    <row r="482" spans="1:14" ht="20.100000000000001" hidden="1" customHeight="1">
      <c r="A482" s="696"/>
      <c r="B482" s="226" t="s">
        <v>86</v>
      </c>
      <c r="C482" s="713">
        <f>VLOOKUP($B482,R_DG!$A$7:$G$1305,2,0)</f>
        <v>0</v>
      </c>
      <c r="D482" s="723" t="str">
        <f>VLOOKUP($B482,R_DG!$A$7:$G$1305,3,0)</f>
        <v>Boulon 16x300+ 2 long đền vuông D18-50x50x3/Zn</v>
      </c>
      <c r="E482" s="714" t="str">
        <f>VLOOKUP($B482,R_DG!$A$7:$G$1305,4,0)</f>
        <v>bộ</v>
      </c>
      <c r="F482" s="724">
        <v>1</v>
      </c>
      <c r="G482" s="608" t="e">
        <f>VLOOKUP($B482,R_DG!$A$7:$G$1305,5,0)</f>
        <v>#REF!</v>
      </c>
      <c r="H482" s="608">
        <f>VLOOKUP($B482,R_DG!$A$7:$G$1305,6,0)</f>
        <v>0</v>
      </c>
      <c r="I482" s="608">
        <f>VLOOKUP($B482,R_DG!$A$7:$G$1305,7,0)</f>
        <v>0</v>
      </c>
      <c r="J482" s="608" t="e">
        <f t="shared" si="95"/>
        <v>#REF!</v>
      </c>
      <c r="K482" s="608">
        <f t="shared" si="95"/>
        <v>0</v>
      </c>
      <c r="L482" s="725">
        <f t="shared" si="95"/>
        <v>0</v>
      </c>
      <c r="M482" s="726">
        <f t="shared" si="98"/>
        <v>0</v>
      </c>
      <c r="N482" s="727">
        <f t="shared" ca="1" si="99"/>
        <v>0</v>
      </c>
    </row>
    <row r="483" spans="1:14" ht="20.100000000000001" hidden="1" customHeight="1">
      <c r="A483" s="696"/>
      <c r="B483" s="226" t="s">
        <v>2237</v>
      </c>
      <c r="C483" s="713">
        <f>VLOOKUP($B483,R_DG!$A$7:$G$1305,2,0)</f>
        <v>0</v>
      </c>
      <c r="D483" s="723" t="str">
        <f>VLOOKUP($B483,R_DG!$A$7:$G$1305,3,0)</f>
        <v>Boulon 16x300VRS+ 4 long đền vuông D18-50x50x3/Zn</v>
      </c>
      <c r="E483" s="714" t="str">
        <f>VLOOKUP($B483,R_DG!$A$7:$G$1305,4,0)</f>
        <v>bộ</v>
      </c>
      <c r="F483" s="724">
        <v>4</v>
      </c>
      <c r="G483" s="608" t="e">
        <f>VLOOKUP($B483,R_DG!$A$7:$G$1305,5,0)</f>
        <v>#REF!</v>
      </c>
      <c r="H483" s="608">
        <f>VLOOKUP($B483,R_DG!$A$7:$G$1305,6,0)</f>
        <v>0</v>
      </c>
      <c r="I483" s="608">
        <f>VLOOKUP($B483,R_DG!$A$7:$G$1305,7,0)</f>
        <v>0</v>
      </c>
      <c r="J483" s="608" t="e">
        <f t="shared" si="95"/>
        <v>#REF!</v>
      </c>
      <c r="K483" s="608">
        <f t="shared" si="95"/>
        <v>0</v>
      </c>
      <c r="L483" s="725">
        <f t="shared" si="95"/>
        <v>0</v>
      </c>
      <c r="M483" s="726">
        <f t="shared" si="98"/>
        <v>0</v>
      </c>
      <c r="N483" s="727">
        <f t="shared" ca="1" si="99"/>
        <v>0</v>
      </c>
    </row>
    <row r="484" spans="1:14" ht="20.100000000000001" hidden="1" customHeight="1">
      <c r="A484" s="696"/>
      <c r="B484" s="226" t="s">
        <v>76</v>
      </c>
      <c r="C484" s="713">
        <f>VLOOKUP($B484,R_DG!$A$7:$G$1305,2,0)</f>
        <v>0</v>
      </c>
      <c r="D484" s="723" t="str">
        <f>VLOOKUP($B484,R_DG!$A$7:$G$1305,3,0)</f>
        <v>Boulon 16x50+ 2 long đền vuông D18-50x50x3/Zn</v>
      </c>
      <c r="E484" s="714" t="str">
        <f>VLOOKUP($B484,R_DG!$A$7:$G$1305,4,0)</f>
        <v>bộ</v>
      </c>
      <c r="F484" s="724">
        <v>4</v>
      </c>
      <c r="G484" s="608" t="e">
        <f>VLOOKUP($B484,R_DG!$A$7:$G$1305,5,0)</f>
        <v>#REF!</v>
      </c>
      <c r="H484" s="608">
        <f>VLOOKUP($B484,R_DG!$A$7:$G$1305,6,0)</f>
        <v>0</v>
      </c>
      <c r="I484" s="608">
        <f>VLOOKUP($B484,R_DG!$A$7:$G$1305,7,0)</f>
        <v>0</v>
      </c>
      <c r="J484" s="608" t="e">
        <f t="shared" si="95"/>
        <v>#REF!</v>
      </c>
      <c r="K484" s="608">
        <f t="shared" si="95"/>
        <v>0</v>
      </c>
      <c r="L484" s="725">
        <f t="shared" si="95"/>
        <v>0</v>
      </c>
      <c r="M484" s="726">
        <f t="shared" si="98"/>
        <v>0</v>
      </c>
      <c r="N484" s="727">
        <f t="shared" ca="1" si="99"/>
        <v>0</v>
      </c>
    </row>
    <row r="485" spans="1:14" ht="20.100000000000001" hidden="1" customHeight="1">
      <c r="A485" s="696"/>
      <c r="B485" s="226" t="s">
        <v>2232</v>
      </c>
      <c r="C485" s="713" t="str">
        <f>VLOOKUP($B485,R_DG!$A$7:$G$1305,2,0)</f>
        <v>D2.6032</v>
      </c>
      <c r="D485" s="723" t="str">
        <f>VLOOKUP($B485,R_DG!$A$7:$G$1305,3,0)</f>
        <v>Lắp xà néo ≤ 50kg</v>
      </c>
      <c r="E485" s="714" t="str">
        <f>VLOOKUP($B485,R_DG!$A$7:$G$1305,4,0)</f>
        <v>bộ</v>
      </c>
      <c r="F485" s="724">
        <f>F479</f>
        <v>2</v>
      </c>
      <c r="G485" s="608">
        <f>VLOOKUP($B485,R_DG!$A$7:$G$1305,5,0)</f>
        <v>0</v>
      </c>
      <c r="H485" s="608">
        <f>VLOOKUP($B485,R_DG!$A$7:$G$1305,6,0)</f>
        <v>375446.7</v>
      </c>
      <c r="I485" s="608">
        <f>VLOOKUP($B485,R_DG!$A$7:$G$1305,7,0)</f>
        <v>0</v>
      </c>
      <c r="J485" s="608">
        <f t="shared" si="95"/>
        <v>0</v>
      </c>
      <c r="K485" s="608">
        <f t="shared" si="95"/>
        <v>750893.4</v>
      </c>
      <c r="L485" s="725">
        <f t="shared" si="95"/>
        <v>0</v>
      </c>
      <c r="M485" s="726">
        <f t="shared" si="98"/>
        <v>0</v>
      </c>
      <c r="N485" s="727">
        <f t="shared" ca="1" si="99"/>
        <v>0</v>
      </c>
    </row>
    <row r="486" spans="1:14" ht="20.100000000000001" hidden="1" customHeight="1">
      <c r="A486" s="696"/>
      <c r="B486" s="226" t="s">
        <v>2228</v>
      </c>
      <c r="C486" s="713" t="str">
        <f>VLOOKUP($B486,R_DG!$A$7:$G$1305,2,0)</f>
        <v>02.1115</v>
      </c>
      <c r="D486" s="723" t="str">
        <f>VLOOKUP($B486,R_DG!$A$7:$G$1305,3,0)</f>
        <v>Bốc dỡ xà, thép thanh</v>
      </c>
      <c r="E486" s="714" t="str">
        <f>VLOOKUP($B486,R_DG!$A$7:$G$1305,4,0)</f>
        <v>tấn</v>
      </c>
      <c r="F486" s="724"/>
      <c r="G486" s="608">
        <f>VLOOKUP($B486,R_DG!$A$7:$G$1305,5,0)</f>
        <v>0</v>
      </c>
      <c r="H486" s="608">
        <f>VLOOKUP($B486,R_DG!$A$7:$G$1305,6,0)</f>
        <v>0</v>
      </c>
      <c r="I486" s="608">
        <f>VLOOKUP($B486,R_DG!$A$7:$G$1305,7,0)</f>
        <v>0</v>
      </c>
      <c r="J486" s="608">
        <f t="shared" si="95"/>
        <v>0</v>
      </c>
      <c r="K486" s="608">
        <f t="shared" si="95"/>
        <v>0</v>
      </c>
      <c r="L486" s="725">
        <f t="shared" si="95"/>
        <v>0</v>
      </c>
      <c r="M486" s="726">
        <f t="shared" si="98"/>
        <v>0</v>
      </c>
      <c r="N486" s="727">
        <f t="shared" ca="1" si="99"/>
        <v>0</v>
      </c>
    </row>
    <row r="487" spans="1:14" ht="20.100000000000001" customHeight="1">
      <c r="A487" s="728" t="s">
        <v>2243</v>
      </c>
      <c r="B487" s="729"/>
      <c r="C487" s="717"/>
      <c r="D487" s="718" t="s">
        <v>4534</v>
      </c>
      <c r="E487" s="718" t="s">
        <v>163</v>
      </c>
      <c r="F487" s="719"/>
      <c r="G487" s="720"/>
      <c r="H487" s="720"/>
      <c r="I487" s="720"/>
      <c r="J487" s="720" t="e">
        <f>SUM(J488:J496)</f>
        <v>#REF!</v>
      </c>
      <c r="K487" s="720">
        <f>SUM(K488:K496)</f>
        <v>750893.4</v>
      </c>
      <c r="L487" s="721">
        <f>SUM(L488:L496)</f>
        <v>0</v>
      </c>
      <c r="M487" s="693">
        <f>IF(ERROR.TYPE(IF(HLOOKUP(A487,maBK,1,0)&lt;&gt;"",#NULL!,"ABC"))&lt;&gt;7,1,0)</f>
        <v>0</v>
      </c>
      <c r="N487" s="712">
        <f ca="1">SUMIF(maBK,$A487,tongBK1)</f>
        <v>0</v>
      </c>
    </row>
    <row r="488" spans="1:14" ht="20.100000000000001" hidden="1" customHeight="1">
      <c r="A488" s="696"/>
      <c r="B488" s="226" t="s">
        <v>3308</v>
      </c>
      <c r="C488" s="713">
        <f>VLOOKUP($B488,R_DG!$A$7:$G$1305,2,0)</f>
        <v>0</v>
      </c>
      <c r="D488" s="723" t="str">
        <f>VLOOKUP($B488,R_DG!$A$7:$G$1305,3,0)</f>
        <v>Đà sắt L75x75x8x2200 4 ốp (22,37kg/cái)</v>
      </c>
      <c r="E488" s="714" t="str">
        <f>VLOOKUP($B488,R_DG!$A$7:$G$1305,4,0)</f>
        <v>cái</v>
      </c>
      <c r="F488" s="724">
        <v>2</v>
      </c>
      <c r="G488" s="608" t="e">
        <f>VLOOKUP($B488,R_DG!$A$7:$G$1305,5,0)</f>
        <v>#REF!</v>
      </c>
      <c r="H488" s="608">
        <f>VLOOKUP($B488,R_DG!$A$7:$G$1305,6,0)</f>
        <v>0</v>
      </c>
      <c r="I488" s="608">
        <f>VLOOKUP($B488,R_DG!$A$7:$G$1305,7,0)</f>
        <v>0</v>
      </c>
      <c r="J488" s="608" t="e">
        <f t="shared" si="95"/>
        <v>#REF!</v>
      </c>
      <c r="K488" s="608">
        <f t="shared" si="95"/>
        <v>0</v>
      </c>
      <c r="L488" s="725">
        <f t="shared" si="95"/>
        <v>0</v>
      </c>
      <c r="M488" s="726">
        <f t="shared" ref="M488:M496" si="100">IF(F488&gt;0,M$487,0)</f>
        <v>0</v>
      </c>
      <c r="N488" s="727">
        <f t="shared" ref="N488:N495" ca="1" si="101">$F488*N$487</f>
        <v>0</v>
      </c>
    </row>
    <row r="489" spans="1:14" ht="20.100000000000001" hidden="1" customHeight="1">
      <c r="A489" s="696"/>
      <c r="B489" s="226" t="s">
        <v>3313</v>
      </c>
      <c r="C489" s="713">
        <f>VLOOKUP($B489,R_DG!$A$7:$G$1305,2,0)</f>
        <v>0</v>
      </c>
      <c r="D489" s="723" t="str">
        <f>VLOOKUP($B489,R_DG!$A$7:$G$1305,3,0)</f>
        <v>Thanh chống L50x50x5x810 (2,47kg/cái)</v>
      </c>
      <c r="E489" s="714" t="str">
        <f>VLOOKUP($B489,R_DG!$A$7:$G$1305,4,0)</f>
        <v>cái</v>
      </c>
      <c r="F489" s="724">
        <v>4</v>
      </c>
      <c r="G489" s="608">
        <f>VLOOKUP($B489,R_DG!$A$7:$G$1305,5,0)</f>
        <v>71533.670000000013</v>
      </c>
      <c r="H489" s="608">
        <f>VLOOKUP($B489,R_DG!$A$7:$G$1305,6,0)</f>
        <v>0</v>
      </c>
      <c r="I489" s="608">
        <f>VLOOKUP($B489,R_DG!$A$7:$G$1305,7,0)</f>
        <v>0</v>
      </c>
      <c r="J489" s="608">
        <f t="shared" si="95"/>
        <v>286134.68000000005</v>
      </c>
      <c r="K489" s="608">
        <f t="shared" si="95"/>
        <v>0</v>
      </c>
      <c r="L489" s="725">
        <f t="shared" si="95"/>
        <v>0</v>
      </c>
      <c r="M489" s="726">
        <f t="shared" si="100"/>
        <v>0</v>
      </c>
      <c r="N489" s="727">
        <f t="shared" ca="1" si="101"/>
        <v>0</v>
      </c>
    </row>
    <row r="490" spans="1:14" ht="20.100000000000001" hidden="1" customHeight="1">
      <c r="A490" s="696"/>
      <c r="B490" s="226" t="s">
        <v>94</v>
      </c>
      <c r="C490" s="713">
        <f>VLOOKUP($B490,R_DG!$A$7:$G$1305,2,0)</f>
        <v>0</v>
      </c>
      <c r="D490" s="723" t="str">
        <f>VLOOKUP($B490,R_DG!$A$7:$G$1305,3,0)</f>
        <v>Boulon 16x500+ 2 long đền vuông D18-50x50x3/Zn</v>
      </c>
      <c r="E490" s="714" t="str">
        <f>VLOOKUP($B490,R_DG!$A$7:$G$1305,4,0)</f>
        <v>bộ</v>
      </c>
      <c r="F490" s="724">
        <v>2</v>
      </c>
      <c r="G490" s="608" t="e">
        <f>VLOOKUP($B490,R_DG!$A$7:$G$1305,5,0)</f>
        <v>#REF!</v>
      </c>
      <c r="H490" s="608">
        <f>VLOOKUP($B490,R_DG!$A$7:$G$1305,6,0)</f>
        <v>0</v>
      </c>
      <c r="I490" s="608">
        <f>VLOOKUP($B490,R_DG!$A$7:$G$1305,7,0)</f>
        <v>0</v>
      </c>
      <c r="J490" s="608" t="e">
        <f t="shared" si="95"/>
        <v>#REF!</v>
      </c>
      <c r="K490" s="608">
        <f t="shared" si="95"/>
        <v>0</v>
      </c>
      <c r="L490" s="725">
        <f t="shared" si="95"/>
        <v>0</v>
      </c>
      <c r="M490" s="726">
        <f t="shared" si="100"/>
        <v>0</v>
      </c>
      <c r="N490" s="727">
        <f t="shared" ca="1" si="101"/>
        <v>0</v>
      </c>
    </row>
    <row r="491" spans="1:14" ht="20.100000000000001" hidden="1" customHeight="1">
      <c r="A491" s="696"/>
      <c r="B491" s="226" t="s">
        <v>96</v>
      </c>
      <c r="C491" s="713">
        <f>VLOOKUP($B491,R_DG!$A$7:$G$1305,2,0)</f>
        <v>0</v>
      </c>
      <c r="D491" s="723" t="str">
        <f>VLOOKUP($B491,R_DG!$A$7:$G$1305,3,0)</f>
        <v>Boulon 16x600+ 2 long đền vuông D18-50x50x3/Zn</v>
      </c>
      <c r="E491" s="714" t="str">
        <f>VLOOKUP($B491,R_DG!$A$7:$G$1305,4,0)</f>
        <v>bộ</v>
      </c>
      <c r="F491" s="724"/>
      <c r="G491" s="608" t="e">
        <f>VLOOKUP($B491,R_DG!$A$7:$G$1305,5,0)</f>
        <v>#REF!</v>
      </c>
      <c r="H491" s="608">
        <f>VLOOKUP($B491,R_DG!$A$7:$G$1305,6,0)</f>
        <v>0</v>
      </c>
      <c r="I491" s="608">
        <f>VLOOKUP($B491,R_DG!$A$7:$G$1305,7,0)</f>
        <v>0</v>
      </c>
      <c r="J491" s="608" t="e">
        <f t="shared" si="95"/>
        <v>#REF!</v>
      </c>
      <c r="K491" s="608">
        <f t="shared" si="95"/>
        <v>0</v>
      </c>
      <c r="L491" s="725">
        <f t="shared" si="95"/>
        <v>0</v>
      </c>
      <c r="M491" s="726">
        <f t="shared" si="100"/>
        <v>0</v>
      </c>
      <c r="N491" s="727">
        <f t="shared" ca="1" si="101"/>
        <v>0</v>
      </c>
    </row>
    <row r="492" spans="1:14" ht="20.100000000000001" hidden="1" customHeight="1">
      <c r="A492" s="696"/>
      <c r="B492" s="226" t="s">
        <v>2244</v>
      </c>
      <c r="C492" s="713">
        <f>VLOOKUP($B492,R_DG!$A$7:$G$1305,2,0)</f>
        <v>0</v>
      </c>
      <c r="D492" s="723" t="str">
        <f>VLOOKUP($B492,R_DG!$A$7:$G$1305,3,0)</f>
        <v>Boulon 16x550VRS+ 4 long đền vuông D18-50x50x3/Zn</v>
      </c>
      <c r="E492" s="714" t="str">
        <f>VLOOKUP($B492,R_DG!$A$7:$G$1305,4,0)</f>
        <v>bộ</v>
      </c>
      <c r="F492" s="724">
        <v>4</v>
      </c>
      <c r="G492" s="608" t="e">
        <f>VLOOKUP($B492,R_DG!$A$7:$G$1305,5,0)</f>
        <v>#REF!</v>
      </c>
      <c r="H492" s="608">
        <f>VLOOKUP($B492,R_DG!$A$7:$G$1305,6,0)</f>
        <v>0</v>
      </c>
      <c r="I492" s="608">
        <f>VLOOKUP($B492,R_DG!$A$7:$G$1305,7,0)</f>
        <v>0</v>
      </c>
      <c r="J492" s="608" t="e">
        <f t="shared" si="95"/>
        <v>#REF!</v>
      </c>
      <c r="K492" s="608">
        <f t="shared" si="95"/>
        <v>0</v>
      </c>
      <c r="L492" s="725">
        <f t="shared" si="95"/>
        <v>0</v>
      </c>
      <c r="M492" s="726">
        <f t="shared" si="100"/>
        <v>0</v>
      </c>
      <c r="N492" s="727">
        <f t="shared" ca="1" si="101"/>
        <v>0</v>
      </c>
    </row>
    <row r="493" spans="1:14" ht="20.100000000000001" hidden="1" customHeight="1">
      <c r="A493" s="696"/>
      <c r="B493" s="226" t="s">
        <v>76</v>
      </c>
      <c r="C493" s="713">
        <f>VLOOKUP($B493,R_DG!$A$7:$G$1305,2,0)</f>
        <v>0</v>
      </c>
      <c r="D493" s="723" t="str">
        <f>VLOOKUP($B493,R_DG!$A$7:$G$1305,3,0)</f>
        <v>Boulon 16x50+ 2 long đền vuông D18-50x50x3/Zn</v>
      </c>
      <c r="E493" s="714" t="str">
        <f>VLOOKUP($B493,R_DG!$A$7:$G$1305,4,0)</f>
        <v>bộ</v>
      </c>
      <c r="F493" s="724">
        <v>4</v>
      </c>
      <c r="G493" s="608" t="e">
        <f>VLOOKUP($B493,R_DG!$A$7:$G$1305,5,0)</f>
        <v>#REF!</v>
      </c>
      <c r="H493" s="608">
        <f>VLOOKUP($B493,R_DG!$A$7:$G$1305,6,0)</f>
        <v>0</v>
      </c>
      <c r="I493" s="608">
        <f>VLOOKUP($B493,R_DG!$A$7:$G$1305,7,0)</f>
        <v>0</v>
      </c>
      <c r="J493" s="608" t="e">
        <f t="shared" si="95"/>
        <v>#REF!</v>
      </c>
      <c r="K493" s="608">
        <f t="shared" si="95"/>
        <v>0</v>
      </c>
      <c r="L493" s="725">
        <f t="shared" si="95"/>
        <v>0</v>
      </c>
      <c r="M493" s="726">
        <f t="shared" si="100"/>
        <v>0</v>
      </c>
      <c r="N493" s="727">
        <f t="shared" ca="1" si="101"/>
        <v>0</v>
      </c>
    </row>
    <row r="494" spans="1:14" ht="20.100000000000001" hidden="1" customHeight="1">
      <c r="A494" s="696"/>
      <c r="B494" s="226" t="s">
        <v>1185</v>
      </c>
      <c r="C494" s="713" t="str">
        <f>VLOOKUP($B494,R_DG!$A$7:$G$1305,2,0)</f>
        <v>D2.6032</v>
      </c>
      <c r="D494" s="723" t="str">
        <f>VLOOKUP($B494,R_DG!$A$7:$G$1305,3,0)</f>
        <v>Lắp xà néo ≤ 50kg</v>
      </c>
      <c r="E494" s="714" t="str">
        <f>VLOOKUP($B494,R_DG!$A$7:$G$1305,4,0)</f>
        <v>bộ</v>
      </c>
      <c r="F494" s="724">
        <f>F488</f>
        <v>2</v>
      </c>
      <c r="G494" s="608">
        <f>VLOOKUP($B494,R_DG!$A$7:$G$1305,5,0)</f>
        <v>0</v>
      </c>
      <c r="H494" s="608">
        <f>VLOOKUP($B494,R_DG!$A$7:$G$1305,6,0)</f>
        <v>375446.7</v>
      </c>
      <c r="I494" s="608">
        <f>VLOOKUP($B494,R_DG!$A$7:$G$1305,7,0)</f>
        <v>0</v>
      </c>
      <c r="J494" s="608">
        <f t="shared" si="95"/>
        <v>0</v>
      </c>
      <c r="K494" s="608">
        <f t="shared" si="95"/>
        <v>750893.4</v>
      </c>
      <c r="L494" s="725">
        <f t="shared" si="95"/>
        <v>0</v>
      </c>
      <c r="M494" s="726">
        <f t="shared" si="100"/>
        <v>0</v>
      </c>
      <c r="N494" s="727">
        <f t="shared" ca="1" si="101"/>
        <v>0</v>
      </c>
    </row>
    <row r="495" spans="1:14" ht="20.100000000000001" hidden="1" customHeight="1">
      <c r="A495" s="696"/>
      <c r="B495" s="226" t="s">
        <v>2228</v>
      </c>
      <c r="C495" s="713" t="str">
        <f>VLOOKUP($B495,R_DG!$A$7:$G$1305,2,0)</f>
        <v>02.1115</v>
      </c>
      <c r="D495" s="723" t="str">
        <f>VLOOKUP($B495,R_DG!$A$7:$G$1305,3,0)</f>
        <v>Bốc dỡ xà, thép thanh</v>
      </c>
      <c r="E495" s="714" t="str">
        <f>VLOOKUP($B495,R_DG!$A$7:$G$1305,4,0)</f>
        <v>tấn</v>
      </c>
      <c r="F495" s="724"/>
      <c r="G495" s="608">
        <f>VLOOKUP($B495,R_DG!$A$7:$G$1305,5,0)</f>
        <v>0</v>
      </c>
      <c r="H495" s="608">
        <f>VLOOKUP($B495,R_DG!$A$7:$G$1305,6,0)</f>
        <v>0</v>
      </c>
      <c r="I495" s="608">
        <f>VLOOKUP($B495,R_DG!$A$7:$G$1305,7,0)</f>
        <v>0</v>
      </c>
      <c r="J495" s="608">
        <f t="shared" si="95"/>
        <v>0</v>
      </c>
      <c r="K495" s="608">
        <f t="shared" si="95"/>
        <v>0</v>
      </c>
      <c r="L495" s="725">
        <f t="shared" si="95"/>
        <v>0</v>
      </c>
      <c r="M495" s="726">
        <f t="shared" si="100"/>
        <v>0</v>
      </c>
      <c r="N495" s="727">
        <f t="shared" ca="1" si="101"/>
        <v>0</v>
      </c>
    </row>
    <row r="496" spans="1:14" ht="20.100000000000001" hidden="1" customHeight="1">
      <c r="A496" s="696"/>
      <c r="B496" s="739"/>
      <c r="C496" s="713"/>
      <c r="D496" s="714"/>
      <c r="E496" s="714"/>
      <c r="F496" s="724"/>
      <c r="G496" s="608"/>
      <c r="H496" s="608"/>
      <c r="I496" s="608"/>
      <c r="J496" s="608">
        <f t="shared" si="95"/>
        <v>0</v>
      </c>
      <c r="K496" s="608">
        <f t="shared" si="95"/>
        <v>0</v>
      </c>
      <c r="L496" s="725">
        <f t="shared" si="95"/>
        <v>0</v>
      </c>
      <c r="M496" s="726">
        <f t="shared" si="100"/>
        <v>0</v>
      </c>
      <c r="N496" s="712"/>
    </row>
    <row r="497" spans="1:14" ht="20.100000000000001" customHeight="1">
      <c r="A497" s="728" t="s">
        <v>2245</v>
      </c>
      <c r="B497" s="729"/>
      <c r="C497" s="717"/>
      <c r="D497" s="718" t="s">
        <v>2246</v>
      </c>
      <c r="E497" s="718" t="s">
        <v>163</v>
      </c>
      <c r="F497" s="719"/>
      <c r="G497" s="720"/>
      <c r="H497" s="720"/>
      <c r="I497" s="720"/>
      <c r="J497" s="720" t="e">
        <f>SUM(J498:J505)</f>
        <v>#REF!</v>
      </c>
      <c r="K497" s="720">
        <f>SUM(K498:K505)</f>
        <v>505503.4</v>
      </c>
      <c r="L497" s="721">
        <f>SUM(L498:L505)</f>
        <v>0</v>
      </c>
      <c r="M497" s="693">
        <f>IF(ERROR.TYPE(IF(HLOOKUP(A497,maBK,1,0)&lt;&gt;"",#NULL!,"ABC"))&lt;&gt;7,1,0)</f>
        <v>0</v>
      </c>
      <c r="N497" s="712">
        <f ca="1">SUMIF(maBK,$A497,tongBK1)</f>
        <v>0</v>
      </c>
    </row>
    <row r="498" spans="1:14" ht="20.100000000000001" hidden="1" customHeight="1">
      <c r="A498" s="696"/>
      <c r="B498" s="226" t="s">
        <v>3308</v>
      </c>
      <c r="C498" s="713">
        <f>VLOOKUP($B498,R_DG!$A$7:$G$1305,2,0)</f>
        <v>0</v>
      </c>
      <c r="D498" s="723" t="str">
        <f>VLOOKUP($B498,R_DG!$A$7:$G$1305,3,0)</f>
        <v>Đà sắt L75x75x8x2200 4 ốp (22,37kg/cái)</v>
      </c>
      <c r="E498" s="714" t="str">
        <f>VLOOKUP($B498,R_DG!$A$7:$G$1305,4,0)</f>
        <v>cái</v>
      </c>
      <c r="F498" s="724">
        <v>2</v>
      </c>
      <c r="G498" s="608" t="e">
        <f>VLOOKUP($B498,R_DG!$A$7:$G$1305,5,0)</f>
        <v>#REF!</v>
      </c>
      <c r="H498" s="608">
        <f>VLOOKUP($B498,R_DG!$A$7:$G$1305,6,0)</f>
        <v>0</v>
      </c>
      <c r="I498" s="608">
        <f>VLOOKUP($B498,R_DG!$A$7:$G$1305,7,0)</f>
        <v>0</v>
      </c>
      <c r="J498" s="608" t="e">
        <f t="shared" si="95"/>
        <v>#REF!</v>
      </c>
      <c r="K498" s="608">
        <f t="shared" si="95"/>
        <v>0</v>
      </c>
      <c r="L498" s="725">
        <f t="shared" si="95"/>
        <v>0</v>
      </c>
      <c r="M498" s="726">
        <f t="shared" ref="M498:M505" si="102">IF(F498&gt;0,M$497,0)</f>
        <v>0</v>
      </c>
      <c r="N498" s="727">
        <f t="shared" ref="N498:N505" ca="1" si="103">$F498*N$497</f>
        <v>0</v>
      </c>
    </row>
    <row r="499" spans="1:14" ht="20.100000000000001" hidden="1" customHeight="1">
      <c r="A499" s="696"/>
      <c r="B499" s="226" t="s">
        <v>4055</v>
      </c>
      <c r="C499" s="713">
        <f>VLOOKUP($B499,R_DG!$A$7:$G$1305,2,0)</f>
        <v>0</v>
      </c>
      <c r="D499" s="723" t="str">
        <f>VLOOKUP($B499,R_DG!$A$7:$G$1305,3,0)</f>
        <v>Thanh chống L50x50x5x920 (2,81kg/cái)</v>
      </c>
      <c r="E499" s="714" t="str">
        <f>VLOOKUP($B499,R_DG!$A$7:$G$1305,4,0)</f>
        <v>cái</v>
      </c>
      <c r="F499" s="724">
        <v>4</v>
      </c>
      <c r="G499" s="608">
        <f>VLOOKUP($B499,R_DG!$A$7:$G$1305,5,0)</f>
        <v>81264.566000000006</v>
      </c>
      <c r="H499" s="608">
        <f>VLOOKUP($B499,R_DG!$A$7:$G$1305,6,0)</f>
        <v>0</v>
      </c>
      <c r="I499" s="608">
        <f>VLOOKUP($B499,R_DG!$A$7:$G$1305,7,0)</f>
        <v>0</v>
      </c>
      <c r="J499" s="608">
        <f t="shared" si="95"/>
        <v>325058.26400000002</v>
      </c>
      <c r="K499" s="608">
        <f t="shared" si="95"/>
        <v>0</v>
      </c>
      <c r="L499" s="725">
        <f t="shared" si="95"/>
        <v>0</v>
      </c>
      <c r="M499" s="726">
        <f t="shared" si="102"/>
        <v>0</v>
      </c>
      <c r="N499" s="727">
        <f t="shared" ca="1" si="103"/>
        <v>0</v>
      </c>
    </row>
    <row r="500" spans="1:14" ht="20.100000000000001" hidden="1" customHeight="1">
      <c r="A500" s="696"/>
      <c r="B500" s="226" t="s">
        <v>84</v>
      </c>
      <c r="C500" s="713">
        <f>VLOOKUP($B500,R_DG!$A$7:$G$1305,2,0)</f>
        <v>0</v>
      </c>
      <c r="D500" s="723" t="str">
        <f>VLOOKUP($B500,R_DG!$A$7:$G$1305,3,0)</f>
        <v>Boulon 16x250+ 2 long đền vuông D18-50x50x3/Zn</v>
      </c>
      <c r="E500" s="714" t="str">
        <f>VLOOKUP($B500,R_DG!$A$7:$G$1305,4,0)</f>
        <v>bộ</v>
      </c>
      <c r="F500" s="724">
        <v>1</v>
      </c>
      <c r="G500" s="608" t="e">
        <f>VLOOKUP($B500,R_DG!$A$7:$G$1305,5,0)</f>
        <v>#REF!</v>
      </c>
      <c r="H500" s="608">
        <f>VLOOKUP($B500,R_DG!$A$7:$G$1305,6,0)</f>
        <v>0</v>
      </c>
      <c r="I500" s="608">
        <f>VLOOKUP($B500,R_DG!$A$7:$G$1305,7,0)</f>
        <v>0</v>
      </c>
      <c r="J500" s="608" t="e">
        <f t="shared" si="95"/>
        <v>#REF!</v>
      </c>
      <c r="K500" s="608">
        <f t="shared" si="95"/>
        <v>0</v>
      </c>
      <c r="L500" s="725">
        <f t="shared" si="95"/>
        <v>0</v>
      </c>
      <c r="M500" s="726">
        <f t="shared" si="102"/>
        <v>0</v>
      </c>
      <c r="N500" s="727">
        <f t="shared" ca="1" si="103"/>
        <v>0</v>
      </c>
    </row>
    <row r="501" spans="1:14" ht="20.100000000000001" hidden="1" customHeight="1">
      <c r="A501" s="696"/>
      <c r="B501" s="226" t="s">
        <v>86</v>
      </c>
      <c r="C501" s="713">
        <f>VLOOKUP($B501,R_DG!$A$7:$G$1305,2,0)</f>
        <v>0</v>
      </c>
      <c r="D501" s="723" t="str">
        <f>VLOOKUP($B501,R_DG!$A$7:$G$1305,3,0)</f>
        <v>Boulon 16x300+ 2 long đền vuông D18-50x50x3/Zn</v>
      </c>
      <c r="E501" s="714" t="str">
        <f>VLOOKUP($B501,R_DG!$A$7:$G$1305,4,0)</f>
        <v>bộ</v>
      </c>
      <c r="F501" s="724">
        <v>1</v>
      </c>
      <c r="G501" s="608" t="e">
        <f>VLOOKUP($B501,R_DG!$A$7:$G$1305,5,0)</f>
        <v>#REF!</v>
      </c>
      <c r="H501" s="608">
        <f>VLOOKUP($B501,R_DG!$A$7:$G$1305,6,0)</f>
        <v>0</v>
      </c>
      <c r="I501" s="608">
        <f>VLOOKUP($B501,R_DG!$A$7:$G$1305,7,0)</f>
        <v>0</v>
      </c>
      <c r="J501" s="608" t="e">
        <f t="shared" si="95"/>
        <v>#REF!</v>
      </c>
      <c r="K501" s="608">
        <f t="shared" si="95"/>
        <v>0</v>
      </c>
      <c r="L501" s="725">
        <f t="shared" si="95"/>
        <v>0</v>
      </c>
      <c r="M501" s="726">
        <f t="shared" si="102"/>
        <v>0</v>
      </c>
      <c r="N501" s="727">
        <f t="shared" ca="1" si="103"/>
        <v>0</v>
      </c>
    </row>
    <row r="502" spans="1:14" ht="20.100000000000001" hidden="1" customHeight="1">
      <c r="A502" s="696"/>
      <c r="B502" s="226" t="s">
        <v>2237</v>
      </c>
      <c r="C502" s="713">
        <f>VLOOKUP($B502,R_DG!$A$7:$G$1305,2,0)</f>
        <v>0</v>
      </c>
      <c r="D502" s="723" t="str">
        <f>VLOOKUP($B502,R_DG!$A$7:$G$1305,3,0)</f>
        <v>Boulon 16x300VRS+ 4 long đền vuông D18-50x50x3/Zn</v>
      </c>
      <c r="E502" s="714" t="str">
        <f>VLOOKUP($B502,R_DG!$A$7:$G$1305,4,0)</f>
        <v>bộ</v>
      </c>
      <c r="F502" s="724">
        <v>4</v>
      </c>
      <c r="G502" s="608" t="e">
        <f>VLOOKUP($B502,R_DG!$A$7:$G$1305,5,0)</f>
        <v>#REF!</v>
      </c>
      <c r="H502" s="608">
        <f>VLOOKUP($B502,R_DG!$A$7:$G$1305,6,0)</f>
        <v>0</v>
      </c>
      <c r="I502" s="608">
        <f>VLOOKUP($B502,R_DG!$A$7:$G$1305,7,0)</f>
        <v>0</v>
      </c>
      <c r="J502" s="608" t="e">
        <f t="shared" si="95"/>
        <v>#REF!</v>
      </c>
      <c r="K502" s="608">
        <f t="shared" si="95"/>
        <v>0</v>
      </c>
      <c r="L502" s="725">
        <f t="shared" si="95"/>
        <v>0</v>
      </c>
      <c r="M502" s="726">
        <f t="shared" si="102"/>
        <v>0</v>
      </c>
      <c r="N502" s="727">
        <f t="shared" ca="1" si="103"/>
        <v>0</v>
      </c>
    </row>
    <row r="503" spans="1:14" ht="20.100000000000001" hidden="1" customHeight="1">
      <c r="A503" s="696"/>
      <c r="B503" s="226" t="s">
        <v>76</v>
      </c>
      <c r="C503" s="713">
        <f>VLOOKUP($B503,R_DG!$A$7:$G$1305,2,0)</f>
        <v>0</v>
      </c>
      <c r="D503" s="723" t="str">
        <f>VLOOKUP($B503,R_DG!$A$7:$G$1305,3,0)</f>
        <v>Boulon 16x50+ 2 long đền vuông D18-50x50x3/Zn</v>
      </c>
      <c r="E503" s="714" t="str">
        <f>VLOOKUP($B503,R_DG!$A$7:$G$1305,4,0)</f>
        <v>bộ</v>
      </c>
      <c r="F503" s="724">
        <v>4</v>
      </c>
      <c r="G503" s="608" t="e">
        <f>VLOOKUP($B503,R_DG!$A$7:$G$1305,5,0)</f>
        <v>#REF!</v>
      </c>
      <c r="H503" s="608">
        <f>VLOOKUP($B503,R_DG!$A$7:$G$1305,6,0)</f>
        <v>0</v>
      </c>
      <c r="I503" s="608">
        <f>VLOOKUP($B503,R_DG!$A$7:$G$1305,7,0)</f>
        <v>0</v>
      </c>
      <c r="J503" s="608" t="e">
        <f t="shared" si="95"/>
        <v>#REF!</v>
      </c>
      <c r="K503" s="608">
        <f t="shared" si="95"/>
        <v>0</v>
      </c>
      <c r="L503" s="725">
        <f t="shared" si="95"/>
        <v>0</v>
      </c>
      <c r="M503" s="726">
        <f t="shared" si="102"/>
        <v>0</v>
      </c>
      <c r="N503" s="727">
        <f t="shared" ca="1" si="103"/>
        <v>0</v>
      </c>
    </row>
    <row r="504" spans="1:14" ht="20.100000000000001" hidden="1" customHeight="1">
      <c r="A504" s="696"/>
      <c r="B504" s="226" t="s">
        <v>2247</v>
      </c>
      <c r="C504" s="713" t="str">
        <f>VLOOKUP($B504,R_DG!$A$7:$G$1305,2,0)</f>
        <v>D2.6042</v>
      </c>
      <c r="D504" s="723" t="str">
        <f>VLOOKUP($B504,R_DG!$A$7:$G$1305,3,0)</f>
        <v>Lắp xà néo ≤ 100kg</v>
      </c>
      <c r="E504" s="714" t="str">
        <f>VLOOKUP($B504,R_DG!$A$7:$G$1305,4,0)</f>
        <v>bộ</v>
      </c>
      <c r="F504" s="724">
        <v>1</v>
      </c>
      <c r="G504" s="608">
        <f>VLOOKUP($B504,R_DG!$A$7:$G$1305,5,0)</f>
        <v>0</v>
      </c>
      <c r="H504" s="608">
        <f>VLOOKUP($B504,R_DG!$A$7:$G$1305,6,0)</f>
        <v>505503.4</v>
      </c>
      <c r="I504" s="608">
        <f>VLOOKUP($B504,R_DG!$A$7:$G$1305,7,0)</f>
        <v>0</v>
      </c>
      <c r="J504" s="608">
        <f t="shared" si="95"/>
        <v>0</v>
      </c>
      <c r="K504" s="608">
        <f t="shared" si="95"/>
        <v>505503.4</v>
      </c>
      <c r="L504" s="725">
        <f t="shared" si="95"/>
        <v>0</v>
      </c>
      <c r="M504" s="726">
        <f t="shared" si="102"/>
        <v>0</v>
      </c>
      <c r="N504" s="727">
        <f t="shared" ca="1" si="103"/>
        <v>0</v>
      </c>
    </row>
    <row r="505" spans="1:14" ht="20.100000000000001" hidden="1" customHeight="1">
      <c r="A505" s="696"/>
      <c r="B505" s="226" t="s">
        <v>2228</v>
      </c>
      <c r="C505" s="713" t="str">
        <f>VLOOKUP($B505,R_DG!$A$7:$G$1305,2,0)</f>
        <v>02.1115</v>
      </c>
      <c r="D505" s="723" t="str">
        <f>VLOOKUP($B505,R_DG!$A$7:$G$1305,3,0)</f>
        <v>Bốc dỡ xà, thép thanh</v>
      </c>
      <c r="E505" s="714" t="str">
        <f>VLOOKUP($B505,R_DG!$A$7:$G$1305,4,0)</f>
        <v>tấn</v>
      </c>
      <c r="F505" s="724"/>
      <c r="G505" s="608">
        <f>VLOOKUP($B505,R_DG!$A$7:$G$1305,5,0)</f>
        <v>0</v>
      </c>
      <c r="H505" s="608">
        <f>VLOOKUP($B505,R_DG!$A$7:$G$1305,6,0)</f>
        <v>0</v>
      </c>
      <c r="I505" s="608">
        <f>VLOOKUP($B505,R_DG!$A$7:$G$1305,7,0)</f>
        <v>0</v>
      </c>
      <c r="J505" s="608">
        <f t="shared" si="95"/>
        <v>0</v>
      </c>
      <c r="K505" s="608">
        <f t="shared" si="95"/>
        <v>0</v>
      </c>
      <c r="L505" s="725">
        <f t="shared" si="95"/>
        <v>0</v>
      </c>
      <c r="M505" s="726">
        <f t="shared" si="102"/>
        <v>0</v>
      </c>
      <c r="N505" s="727">
        <f t="shared" ca="1" si="103"/>
        <v>0</v>
      </c>
    </row>
    <row r="506" spans="1:14" ht="20.100000000000001" customHeight="1">
      <c r="A506" s="728" t="s">
        <v>2248</v>
      </c>
      <c r="B506" s="729"/>
      <c r="C506" s="717"/>
      <c r="D506" s="718" t="s">
        <v>2249</v>
      </c>
      <c r="E506" s="718" t="s">
        <v>163</v>
      </c>
      <c r="F506" s="719"/>
      <c r="G506" s="720"/>
      <c r="H506" s="720"/>
      <c r="I506" s="720"/>
      <c r="J506" s="720" t="e">
        <f>SUM(J507:J512)</f>
        <v>#REF!</v>
      </c>
      <c r="K506" s="720">
        <f>SUM(K507:K512)</f>
        <v>282198.5</v>
      </c>
      <c r="L506" s="721">
        <f>SUM(L507:L512)</f>
        <v>0</v>
      </c>
      <c r="M506" s="693">
        <f>IF(ERROR.TYPE(IF(HLOOKUP(A506,maBK,1,0)&lt;&gt;"",#NULL!,"ABC"))&lt;&gt;7,1,0)</f>
        <v>0</v>
      </c>
      <c r="N506" s="712">
        <f ca="1">SUMIF(maBK,$A506,tongBK1)</f>
        <v>0</v>
      </c>
    </row>
    <row r="507" spans="1:14" ht="20.100000000000001" hidden="1" customHeight="1">
      <c r="A507" s="696"/>
      <c r="B507" s="226" t="s">
        <v>4054</v>
      </c>
      <c r="C507" s="713">
        <f>VLOOKUP($B507,R_DG!$A$7:$G$1305,2,0)</f>
        <v>0</v>
      </c>
      <c r="D507" s="723" t="str">
        <f>VLOOKUP($B507,R_DG!$A$7:$G$1305,3,0)</f>
        <v>Thép hình L75 x75 x8</v>
      </c>
      <c r="E507" s="714" t="str">
        <f>VLOOKUP($B507,R_DG!$A$7:$G$1305,4,0)</f>
        <v>kg</v>
      </c>
      <c r="F507" s="724">
        <f>9.02*(2.4+4*0.07)</f>
        <v>24.173599999999997</v>
      </c>
      <c r="G507" s="608">
        <f>VLOOKUP($B507,R_DG!$A$7:$G$1305,5,0)</f>
        <v>28961</v>
      </c>
      <c r="H507" s="608">
        <f>VLOOKUP($B507,R_DG!$A$7:$G$1305,6,0)</f>
        <v>0</v>
      </c>
      <c r="I507" s="608">
        <f>VLOOKUP($B507,R_DG!$A$7:$G$1305,7,0)</f>
        <v>0</v>
      </c>
      <c r="J507" s="608">
        <f t="shared" si="95"/>
        <v>700091.62959999987</v>
      </c>
      <c r="K507" s="608">
        <f t="shared" si="95"/>
        <v>0</v>
      </c>
      <c r="L507" s="725">
        <f t="shared" si="95"/>
        <v>0</v>
      </c>
      <c r="M507" s="726">
        <f t="shared" ref="M507:M512" si="104">IF(F507&gt;0,M$506,0)</f>
        <v>0</v>
      </c>
      <c r="N507" s="727">
        <f t="shared" ref="N507:N512" ca="1" si="105">$F507*N$506</f>
        <v>0</v>
      </c>
    </row>
    <row r="508" spans="1:14" ht="20.100000000000001" hidden="1" customHeight="1">
      <c r="A508" s="696"/>
      <c r="B508" s="226" t="s">
        <v>665</v>
      </c>
      <c r="C508" s="713">
        <f>VLOOKUP($B508,R_DG!$A$7:$G$1305,2,0)</f>
        <v>0</v>
      </c>
      <c r="D508" s="723" t="str">
        <f>VLOOKUP($B508,R_DG!$A$7:$G$1305,3,0)</f>
        <v>Sắt góc L50 x50 x5</v>
      </c>
      <c r="E508" s="714" t="str">
        <f>VLOOKUP($B508,R_DG!$A$7:$G$1305,4,0)</f>
        <v>kg</v>
      </c>
      <c r="F508" s="724">
        <f>3.77*0.92*2</f>
        <v>6.9368000000000007</v>
      </c>
      <c r="G508" s="608">
        <f>VLOOKUP($B508,R_DG!$A$7:$G$1305,5,0)</f>
        <v>28961</v>
      </c>
      <c r="H508" s="608">
        <f>VLOOKUP($B508,R_DG!$A$7:$G$1305,6,0)</f>
        <v>0</v>
      </c>
      <c r="I508" s="608">
        <f>VLOOKUP($B508,R_DG!$A$7:$G$1305,7,0)</f>
        <v>0</v>
      </c>
      <c r="J508" s="608">
        <f t="shared" si="95"/>
        <v>200896.66480000003</v>
      </c>
      <c r="K508" s="608">
        <f t="shared" si="95"/>
        <v>0</v>
      </c>
      <c r="L508" s="725">
        <f t="shared" si="95"/>
        <v>0</v>
      </c>
      <c r="M508" s="726">
        <f t="shared" si="104"/>
        <v>0</v>
      </c>
      <c r="N508" s="727">
        <f t="shared" ca="1" si="105"/>
        <v>0</v>
      </c>
    </row>
    <row r="509" spans="1:14" ht="20.100000000000001" hidden="1" customHeight="1">
      <c r="A509" s="696"/>
      <c r="B509" s="226" t="s">
        <v>86</v>
      </c>
      <c r="C509" s="713">
        <f>VLOOKUP($B509,R_DG!$A$7:$G$1305,2,0)</f>
        <v>0</v>
      </c>
      <c r="D509" s="723" t="str">
        <f>VLOOKUP($B509,R_DG!$A$7:$G$1305,3,0)</f>
        <v>Boulon 16x300+ 2 long đền vuông D18-50x50x3/Zn</v>
      </c>
      <c r="E509" s="714" t="str">
        <f>VLOOKUP($B509,R_DG!$A$7:$G$1305,4,0)</f>
        <v>bộ</v>
      </c>
      <c r="F509" s="724">
        <v>2</v>
      </c>
      <c r="G509" s="608" t="e">
        <f>VLOOKUP($B509,R_DG!$A$7:$G$1305,5,0)</f>
        <v>#REF!</v>
      </c>
      <c r="H509" s="608">
        <f>VLOOKUP($B509,R_DG!$A$7:$G$1305,6,0)</f>
        <v>0</v>
      </c>
      <c r="I509" s="608">
        <f>VLOOKUP($B509,R_DG!$A$7:$G$1305,7,0)</f>
        <v>0</v>
      </c>
      <c r="J509" s="608" t="e">
        <f t="shared" si="95"/>
        <v>#REF!</v>
      </c>
      <c r="K509" s="608">
        <f t="shared" si="95"/>
        <v>0</v>
      </c>
      <c r="L509" s="725">
        <f t="shared" si="95"/>
        <v>0</v>
      </c>
      <c r="M509" s="726">
        <f t="shared" si="104"/>
        <v>0</v>
      </c>
      <c r="N509" s="727">
        <f t="shared" ca="1" si="105"/>
        <v>0</v>
      </c>
    </row>
    <row r="510" spans="1:14" ht="20.100000000000001" hidden="1" customHeight="1">
      <c r="A510" s="696"/>
      <c r="B510" s="226" t="s">
        <v>76</v>
      </c>
      <c r="C510" s="713">
        <f>VLOOKUP($B510,R_DG!$A$7:$G$1305,2,0)</f>
        <v>0</v>
      </c>
      <c r="D510" s="723" t="str">
        <f>VLOOKUP($B510,R_DG!$A$7:$G$1305,3,0)</f>
        <v>Boulon 16x50+ 2 long đền vuông D18-50x50x3/Zn</v>
      </c>
      <c r="E510" s="714" t="str">
        <f>VLOOKUP($B510,R_DG!$A$7:$G$1305,4,0)</f>
        <v>bộ</v>
      </c>
      <c r="F510" s="724">
        <v>2</v>
      </c>
      <c r="G510" s="608" t="e">
        <f>VLOOKUP($B510,R_DG!$A$7:$G$1305,5,0)</f>
        <v>#REF!</v>
      </c>
      <c r="H510" s="608">
        <f>VLOOKUP($B510,R_DG!$A$7:$G$1305,6,0)</f>
        <v>0</v>
      </c>
      <c r="I510" s="608">
        <f>VLOOKUP($B510,R_DG!$A$7:$G$1305,7,0)</f>
        <v>0</v>
      </c>
      <c r="J510" s="608" t="e">
        <f t="shared" si="95"/>
        <v>#REF!</v>
      </c>
      <c r="K510" s="608">
        <f t="shared" si="95"/>
        <v>0</v>
      </c>
      <c r="L510" s="725">
        <f t="shared" si="95"/>
        <v>0</v>
      </c>
      <c r="M510" s="726">
        <f t="shared" si="104"/>
        <v>0</v>
      </c>
      <c r="N510" s="727">
        <f t="shared" ca="1" si="105"/>
        <v>0</v>
      </c>
    </row>
    <row r="511" spans="1:14" ht="20.100000000000001" hidden="1" customHeight="1">
      <c r="A511" s="696"/>
      <c r="B511" s="226" t="s">
        <v>1181</v>
      </c>
      <c r="C511" s="713" t="str">
        <f>VLOOKUP($B511,R_DG!$A$7:$G$1305,2,0)</f>
        <v>D2.6031</v>
      </c>
      <c r="D511" s="723" t="str">
        <f>VLOOKUP($B511,R_DG!$A$7:$G$1305,3,0)</f>
        <v>Lắp xà đỡ ≤ 50kg</v>
      </c>
      <c r="E511" s="714" t="str">
        <f>VLOOKUP($B511,R_DG!$A$7:$G$1305,4,0)</f>
        <v>bộ</v>
      </c>
      <c r="F511" s="724">
        <v>1</v>
      </c>
      <c r="G511" s="608">
        <f>VLOOKUP($B511,R_DG!$A$7:$G$1305,5,0)</f>
        <v>0</v>
      </c>
      <c r="H511" s="608">
        <f>VLOOKUP($B511,R_DG!$A$7:$G$1305,6,0)</f>
        <v>282198.5</v>
      </c>
      <c r="I511" s="608">
        <f>VLOOKUP($B511,R_DG!$A$7:$G$1305,7,0)</f>
        <v>0</v>
      </c>
      <c r="J511" s="608">
        <f t="shared" si="95"/>
        <v>0</v>
      </c>
      <c r="K511" s="608">
        <f t="shared" si="95"/>
        <v>282198.5</v>
      </c>
      <c r="L511" s="725">
        <f t="shared" si="95"/>
        <v>0</v>
      </c>
      <c r="M511" s="726">
        <f t="shared" si="104"/>
        <v>0</v>
      </c>
      <c r="N511" s="727">
        <f t="shared" ca="1" si="105"/>
        <v>0</v>
      </c>
    </row>
    <row r="512" spans="1:14" ht="20.100000000000001" hidden="1" customHeight="1">
      <c r="A512" s="696"/>
      <c r="B512" s="226" t="s">
        <v>2228</v>
      </c>
      <c r="C512" s="713" t="str">
        <f>VLOOKUP($B512,R_DG!$A$7:$G$1305,2,0)</f>
        <v>02.1115</v>
      </c>
      <c r="D512" s="723" t="str">
        <f>VLOOKUP($B512,R_DG!$A$7:$G$1305,3,0)</f>
        <v>Bốc dỡ xà, thép thanh</v>
      </c>
      <c r="E512" s="714" t="str">
        <f>VLOOKUP($B512,R_DG!$A$7:$G$1305,4,0)</f>
        <v>tấn</v>
      </c>
      <c r="F512" s="724"/>
      <c r="G512" s="608">
        <f>VLOOKUP($B512,R_DG!$A$7:$G$1305,5,0)</f>
        <v>0</v>
      </c>
      <c r="H512" s="608">
        <f>VLOOKUP($B512,R_DG!$A$7:$G$1305,6,0)</f>
        <v>0</v>
      </c>
      <c r="I512" s="608">
        <f>VLOOKUP($B512,R_DG!$A$7:$G$1305,7,0)</f>
        <v>0</v>
      </c>
      <c r="J512" s="608">
        <f t="shared" si="95"/>
        <v>0</v>
      </c>
      <c r="K512" s="608">
        <f t="shared" si="95"/>
        <v>0</v>
      </c>
      <c r="L512" s="725">
        <f t="shared" si="95"/>
        <v>0</v>
      </c>
      <c r="M512" s="726">
        <f t="shared" si="104"/>
        <v>0</v>
      </c>
      <c r="N512" s="727">
        <f t="shared" ca="1" si="105"/>
        <v>0</v>
      </c>
    </row>
    <row r="513" spans="1:14" ht="20.100000000000001" customHeight="1">
      <c r="A513" s="728" t="s">
        <v>2250</v>
      </c>
      <c r="B513" s="729"/>
      <c r="C513" s="717"/>
      <c r="D513" s="718" t="s">
        <v>2251</v>
      </c>
      <c r="E513" s="718" t="s">
        <v>163</v>
      </c>
      <c r="F513" s="719"/>
      <c r="G513" s="720"/>
      <c r="H513" s="720"/>
      <c r="I513" s="720"/>
      <c r="J513" s="720" t="e">
        <f>SUM(J514:J520)</f>
        <v>#REF!</v>
      </c>
      <c r="K513" s="720">
        <f>SUM(K514:K520)</f>
        <v>505503.4</v>
      </c>
      <c r="L513" s="721">
        <f>SUM(L514:L520)</f>
        <v>0</v>
      </c>
      <c r="M513" s="693">
        <f>IF(ERROR.TYPE(IF(HLOOKUP(A513,maBK,1,0)&lt;&gt;"",#NULL!,"ABC"))&lt;&gt;7,1,0)</f>
        <v>0</v>
      </c>
      <c r="N513" s="712">
        <f ca="1">SUMIF(maBK,$A513,tongBK1)</f>
        <v>0</v>
      </c>
    </row>
    <row r="514" spans="1:14" ht="20.100000000000001" hidden="1" customHeight="1">
      <c r="A514" s="696"/>
      <c r="B514" s="226" t="s">
        <v>669</v>
      </c>
      <c r="C514" s="713">
        <f>VLOOKUP($B514,R_DG!$A$7:$G$1305,2,0)</f>
        <v>0</v>
      </c>
      <c r="D514" s="723" t="str">
        <f>VLOOKUP($B514,R_DG!$A$7:$G$1305,3,0)</f>
        <v>Thép hình L75 x75 x8</v>
      </c>
      <c r="E514" s="714" t="str">
        <f>VLOOKUP($B514,R_DG!$A$7:$G$1305,4,0)</f>
        <v>kg</v>
      </c>
      <c r="F514" s="724">
        <f>9.02*(2.4+4*0.07)*2</f>
        <v>48.347199999999994</v>
      </c>
      <c r="G514" s="608">
        <f>VLOOKUP($B514,R_DG!$A$7:$G$1305,5,0)</f>
        <v>28961</v>
      </c>
      <c r="H514" s="608">
        <f>VLOOKUP($B514,R_DG!$A$7:$G$1305,6,0)</f>
        <v>0</v>
      </c>
      <c r="I514" s="608">
        <f>VLOOKUP($B514,R_DG!$A$7:$G$1305,7,0)</f>
        <v>0</v>
      </c>
      <c r="J514" s="608">
        <f t="shared" si="95"/>
        <v>1400183.2591999997</v>
      </c>
      <c r="K514" s="608">
        <f t="shared" si="95"/>
        <v>0</v>
      </c>
      <c r="L514" s="725">
        <f t="shared" si="95"/>
        <v>0</v>
      </c>
      <c r="M514" s="726">
        <f t="shared" ref="M514:M520" si="106">IF(F514&gt;0,M$513,0)</f>
        <v>0</v>
      </c>
      <c r="N514" s="727">
        <f t="shared" ref="N514:N520" ca="1" si="107">$F514*N$513</f>
        <v>0</v>
      </c>
    </row>
    <row r="515" spans="1:14" ht="20.100000000000001" hidden="1" customHeight="1">
      <c r="A515" s="696"/>
      <c r="B515" s="226" t="s">
        <v>665</v>
      </c>
      <c r="C515" s="713">
        <f>VLOOKUP($B515,R_DG!$A$7:$G$1305,2,0)</f>
        <v>0</v>
      </c>
      <c r="D515" s="723" t="str">
        <f>VLOOKUP($B515,R_DG!$A$7:$G$1305,3,0)</f>
        <v>Sắt góc L50 x50 x5</v>
      </c>
      <c r="E515" s="714" t="str">
        <f>VLOOKUP($B515,R_DG!$A$7:$G$1305,4,0)</f>
        <v>kg</v>
      </c>
      <c r="F515" s="724">
        <f>3.77*0.92*4</f>
        <v>13.873600000000001</v>
      </c>
      <c r="G515" s="608">
        <f>VLOOKUP($B515,R_DG!$A$7:$G$1305,5,0)</f>
        <v>28961</v>
      </c>
      <c r="H515" s="608">
        <f>VLOOKUP($B515,R_DG!$A$7:$G$1305,6,0)</f>
        <v>0</v>
      </c>
      <c r="I515" s="608">
        <f>VLOOKUP($B515,R_DG!$A$7:$G$1305,7,0)</f>
        <v>0</v>
      </c>
      <c r="J515" s="608">
        <f t="shared" si="95"/>
        <v>401793.32960000006</v>
      </c>
      <c r="K515" s="608">
        <f t="shared" si="95"/>
        <v>0</v>
      </c>
      <c r="L515" s="725">
        <f t="shared" si="95"/>
        <v>0</v>
      </c>
      <c r="M515" s="726">
        <f t="shared" si="106"/>
        <v>0</v>
      </c>
      <c r="N515" s="727">
        <f t="shared" ca="1" si="107"/>
        <v>0</v>
      </c>
    </row>
    <row r="516" spans="1:14" ht="20.100000000000001" hidden="1" customHeight="1">
      <c r="A516" s="696"/>
      <c r="B516" s="226" t="s">
        <v>84</v>
      </c>
      <c r="C516" s="713">
        <f>VLOOKUP($B516,R_DG!$A$7:$G$1305,2,0)</f>
        <v>0</v>
      </c>
      <c r="D516" s="723" t="str">
        <f>VLOOKUP($B516,R_DG!$A$7:$G$1305,3,0)</f>
        <v>Boulon 16x250+ 2 long đền vuông D18-50x50x3/Zn</v>
      </c>
      <c r="E516" s="714" t="str">
        <f>VLOOKUP($B516,R_DG!$A$7:$G$1305,4,0)</f>
        <v>bộ</v>
      </c>
      <c r="F516" s="724">
        <v>1</v>
      </c>
      <c r="G516" s="608" t="e">
        <f>VLOOKUP($B516,R_DG!$A$7:$G$1305,5,0)</f>
        <v>#REF!</v>
      </c>
      <c r="H516" s="608">
        <f>VLOOKUP($B516,R_DG!$A$7:$G$1305,6,0)</f>
        <v>0</v>
      </c>
      <c r="I516" s="608">
        <f>VLOOKUP($B516,R_DG!$A$7:$G$1305,7,0)</f>
        <v>0</v>
      </c>
      <c r="J516" s="608" t="e">
        <f t="shared" ref="J516:L576" si="108">G516*$F516</f>
        <v>#REF!</v>
      </c>
      <c r="K516" s="608">
        <f t="shared" si="108"/>
        <v>0</v>
      </c>
      <c r="L516" s="725">
        <f t="shared" si="108"/>
        <v>0</v>
      </c>
      <c r="M516" s="726">
        <f t="shared" si="106"/>
        <v>0</v>
      </c>
      <c r="N516" s="727">
        <f t="shared" ca="1" si="107"/>
        <v>0</v>
      </c>
    </row>
    <row r="517" spans="1:14" ht="20.100000000000001" hidden="1" customHeight="1">
      <c r="A517" s="696"/>
      <c r="B517" s="226" t="s">
        <v>86</v>
      </c>
      <c r="C517" s="713">
        <f>VLOOKUP($B517,R_DG!$A$7:$G$1305,2,0)</f>
        <v>0</v>
      </c>
      <c r="D517" s="723" t="str">
        <f>VLOOKUP($B517,R_DG!$A$7:$G$1305,3,0)</f>
        <v>Boulon 16x300+ 2 long đền vuông D18-50x50x3/Zn</v>
      </c>
      <c r="E517" s="714" t="str">
        <f>VLOOKUP($B517,R_DG!$A$7:$G$1305,4,0)</f>
        <v>bộ</v>
      </c>
      <c r="F517" s="724">
        <v>1</v>
      </c>
      <c r="G517" s="608" t="e">
        <f>VLOOKUP($B517,R_DG!$A$7:$G$1305,5,0)</f>
        <v>#REF!</v>
      </c>
      <c r="H517" s="608">
        <f>VLOOKUP($B517,R_DG!$A$7:$G$1305,6,0)</f>
        <v>0</v>
      </c>
      <c r="I517" s="608">
        <f>VLOOKUP($B517,R_DG!$A$7:$G$1305,7,0)</f>
        <v>0</v>
      </c>
      <c r="J517" s="608" t="e">
        <f t="shared" si="108"/>
        <v>#REF!</v>
      </c>
      <c r="K517" s="608">
        <f t="shared" si="108"/>
        <v>0</v>
      </c>
      <c r="L517" s="725">
        <f t="shared" si="108"/>
        <v>0</v>
      </c>
      <c r="M517" s="726">
        <f t="shared" si="106"/>
        <v>0</v>
      </c>
      <c r="N517" s="727">
        <f t="shared" ca="1" si="107"/>
        <v>0</v>
      </c>
    </row>
    <row r="518" spans="1:14" ht="20.100000000000001" hidden="1" customHeight="1">
      <c r="A518" s="696"/>
      <c r="B518" s="226" t="s">
        <v>2237</v>
      </c>
      <c r="C518" s="713">
        <f>VLOOKUP($B518,R_DG!$A$7:$G$1305,2,0)</f>
        <v>0</v>
      </c>
      <c r="D518" s="723" t="str">
        <f>VLOOKUP($B518,R_DG!$A$7:$G$1305,3,0)</f>
        <v>Boulon 16x300VRS+ 4 long đền vuông D18-50x50x3/Zn</v>
      </c>
      <c r="E518" s="714" t="str">
        <f>VLOOKUP($B518,R_DG!$A$7:$G$1305,4,0)</f>
        <v>bộ</v>
      </c>
      <c r="F518" s="724">
        <v>4</v>
      </c>
      <c r="G518" s="608" t="e">
        <f>VLOOKUP($B518,R_DG!$A$7:$G$1305,5,0)</f>
        <v>#REF!</v>
      </c>
      <c r="H518" s="608">
        <f>VLOOKUP($B518,R_DG!$A$7:$G$1305,6,0)</f>
        <v>0</v>
      </c>
      <c r="I518" s="608">
        <f>VLOOKUP($B518,R_DG!$A$7:$G$1305,7,0)</f>
        <v>0</v>
      </c>
      <c r="J518" s="608" t="e">
        <f t="shared" si="108"/>
        <v>#REF!</v>
      </c>
      <c r="K518" s="608">
        <f t="shared" si="108"/>
        <v>0</v>
      </c>
      <c r="L518" s="725">
        <f t="shared" si="108"/>
        <v>0</v>
      </c>
      <c r="M518" s="726">
        <f t="shared" si="106"/>
        <v>0</v>
      </c>
      <c r="N518" s="727">
        <f t="shared" ca="1" si="107"/>
        <v>0</v>
      </c>
    </row>
    <row r="519" spans="1:14" ht="20.100000000000001" hidden="1" customHeight="1">
      <c r="A519" s="696"/>
      <c r="B519" s="226" t="s">
        <v>1187</v>
      </c>
      <c r="C519" s="713" t="str">
        <f>VLOOKUP($B519,R_DG!$A$7:$G$1305,2,0)</f>
        <v>D2.6042</v>
      </c>
      <c r="D519" s="723" t="str">
        <f>VLOOKUP($B519,R_DG!$A$7:$G$1305,3,0)</f>
        <v>Lắp xà néo ≤ 100kg</v>
      </c>
      <c r="E519" s="714" t="str">
        <f>VLOOKUP($B519,R_DG!$A$7:$G$1305,4,0)</f>
        <v>bộ</v>
      </c>
      <c r="F519" s="724">
        <v>1</v>
      </c>
      <c r="G519" s="608">
        <f>VLOOKUP($B519,R_DG!$A$7:$G$1305,5,0)</f>
        <v>0</v>
      </c>
      <c r="H519" s="608">
        <f>VLOOKUP($B519,R_DG!$A$7:$G$1305,6,0)</f>
        <v>505503.4</v>
      </c>
      <c r="I519" s="608">
        <f>VLOOKUP($B519,R_DG!$A$7:$G$1305,7,0)</f>
        <v>0</v>
      </c>
      <c r="J519" s="608">
        <f t="shared" si="108"/>
        <v>0</v>
      </c>
      <c r="K519" s="608">
        <f t="shared" si="108"/>
        <v>505503.4</v>
      </c>
      <c r="L519" s="725">
        <f t="shared" si="108"/>
        <v>0</v>
      </c>
      <c r="M519" s="726">
        <f t="shared" si="106"/>
        <v>0</v>
      </c>
      <c r="N519" s="727">
        <f t="shared" ca="1" si="107"/>
        <v>0</v>
      </c>
    </row>
    <row r="520" spans="1:14" ht="20.100000000000001" hidden="1" customHeight="1">
      <c r="A520" s="696"/>
      <c r="B520" s="226" t="s">
        <v>2228</v>
      </c>
      <c r="C520" s="713" t="str">
        <f>VLOOKUP($B520,R_DG!$A$7:$G$1305,2,0)</f>
        <v>02.1115</v>
      </c>
      <c r="D520" s="723" t="str">
        <f>VLOOKUP($B520,R_DG!$A$7:$G$1305,3,0)</f>
        <v>Bốc dỡ xà, thép thanh</v>
      </c>
      <c r="E520" s="714" t="str">
        <f>VLOOKUP($B520,R_DG!$A$7:$G$1305,4,0)</f>
        <v>tấn</v>
      </c>
      <c r="F520" s="724"/>
      <c r="G520" s="608">
        <f>VLOOKUP($B520,R_DG!$A$7:$G$1305,5,0)</f>
        <v>0</v>
      </c>
      <c r="H520" s="608">
        <f>VLOOKUP($B520,R_DG!$A$7:$G$1305,6,0)</f>
        <v>0</v>
      </c>
      <c r="I520" s="608">
        <f>VLOOKUP($B520,R_DG!$A$7:$G$1305,7,0)</f>
        <v>0</v>
      </c>
      <c r="J520" s="608">
        <f t="shared" si="108"/>
        <v>0</v>
      </c>
      <c r="K520" s="608">
        <f t="shared" si="108"/>
        <v>0</v>
      </c>
      <c r="L520" s="725">
        <f t="shared" si="108"/>
        <v>0</v>
      </c>
      <c r="M520" s="726">
        <f t="shared" si="106"/>
        <v>0</v>
      </c>
      <c r="N520" s="727">
        <f t="shared" ca="1" si="107"/>
        <v>0</v>
      </c>
    </row>
    <row r="521" spans="1:14" ht="20.100000000000001" customHeight="1">
      <c r="A521" s="728" t="s">
        <v>2253</v>
      </c>
      <c r="B521" s="729"/>
      <c r="C521" s="717"/>
      <c r="D521" s="718" t="s">
        <v>2254</v>
      </c>
      <c r="E521" s="718" t="s">
        <v>163</v>
      </c>
      <c r="F521" s="719"/>
      <c r="G521" s="720"/>
      <c r="H521" s="720"/>
      <c r="I521" s="720"/>
      <c r="J521" s="720" t="e">
        <f>SUM(J522:J527)</f>
        <v>#REF!</v>
      </c>
      <c r="K521" s="720">
        <f>SUM(K522:K527)</f>
        <v>208581.5</v>
      </c>
      <c r="L521" s="721">
        <f>SUM(L522:L527)</f>
        <v>0</v>
      </c>
      <c r="M521" s="693">
        <f>IF(ERROR.TYPE(IF(HLOOKUP(A521,maBK,1,0)&lt;&gt;"",#NULL!,"ABC"))&lt;&gt;7,1,0)</f>
        <v>0</v>
      </c>
      <c r="N521" s="712">
        <f ca="1">SUMIF(maBK,$A521,tongBK1)</f>
        <v>0</v>
      </c>
    </row>
    <row r="522" spans="1:14" ht="20.100000000000001" hidden="1" customHeight="1">
      <c r="A522" s="696"/>
      <c r="B522" s="226" t="s">
        <v>4053</v>
      </c>
      <c r="C522" s="713">
        <f>VLOOKUP($B522,R_DG!$A$7:$G$1305,2,0)</f>
        <v>0</v>
      </c>
      <c r="D522" s="723" t="str">
        <f>VLOOKUP($B522,R_DG!$A$7:$G$1305,3,0)</f>
        <v>Đà sắt L75x75x8x800 1 ốp (7,85kg/cái)</v>
      </c>
      <c r="E522" s="714" t="str">
        <f>VLOOKUP($B522,R_DG!$A$7:$G$1305,4,0)</f>
        <v>cái</v>
      </c>
      <c r="F522" s="724">
        <v>1</v>
      </c>
      <c r="G522" s="608" t="e">
        <f>VLOOKUP($B522,R_DG!$A$7:$G$1305,5,0)</f>
        <v>#REF!</v>
      </c>
      <c r="H522" s="608">
        <f>VLOOKUP($B522,R_DG!$A$7:$G$1305,6,0)</f>
        <v>0</v>
      </c>
      <c r="I522" s="608">
        <f>VLOOKUP($B522,R_DG!$A$7:$G$1305,7,0)</f>
        <v>0</v>
      </c>
      <c r="J522" s="608" t="e">
        <f t="shared" si="108"/>
        <v>#REF!</v>
      </c>
      <c r="K522" s="608">
        <f t="shared" si="108"/>
        <v>0</v>
      </c>
      <c r="L522" s="725">
        <f t="shared" si="108"/>
        <v>0</v>
      </c>
      <c r="M522" s="726">
        <f t="shared" ref="M522:M527" si="109">IF(F522&gt;0,M$521,0)</f>
        <v>0</v>
      </c>
      <c r="N522" s="727">
        <f t="shared" ref="N522:N527" ca="1" si="110">$F522*N$521</f>
        <v>0</v>
      </c>
    </row>
    <row r="523" spans="1:14" ht="20.100000000000001" hidden="1" customHeight="1">
      <c r="A523" s="696"/>
      <c r="B523" s="226" t="s">
        <v>3313</v>
      </c>
      <c r="C523" s="713">
        <f>VLOOKUP($B523,R_DG!$A$7:$G$1305,2,0)</f>
        <v>0</v>
      </c>
      <c r="D523" s="723" t="str">
        <f>VLOOKUP($B523,R_DG!$A$7:$G$1305,3,0)</f>
        <v>Thanh chống L50x50x5x810 (2,47kg/cái)</v>
      </c>
      <c r="E523" s="714" t="str">
        <f>VLOOKUP($B523,R_DG!$A$7:$G$1305,4,0)</f>
        <v>cái</v>
      </c>
      <c r="F523" s="724">
        <v>1</v>
      </c>
      <c r="G523" s="608">
        <f>VLOOKUP($B523,R_DG!$A$7:$G$1305,5,0)</f>
        <v>71533.670000000013</v>
      </c>
      <c r="H523" s="608">
        <f>VLOOKUP($B523,R_DG!$A$7:$G$1305,6,0)</f>
        <v>0</v>
      </c>
      <c r="I523" s="608">
        <f>VLOOKUP($B523,R_DG!$A$7:$G$1305,7,0)</f>
        <v>0</v>
      </c>
      <c r="J523" s="608">
        <f t="shared" si="108"/>
        <v>71533.670000000013</v>
      </c>
      <c r="K523" s="608">
        <f t="shared" si="108"/>
        <v>0</v>
      </c>
      <c r="L523" s="725">
        <f t="shared" si="108"/>
        <v>0</v>
      </c>
      <c r="M523" s="726">
        <f t="shared" si="109"/>
        <v>0</v>
      </c>
      <c r="N523" s="727">
        <f t="shared" ca="1" si="110"/>
        <v>0</v>
      </c>
    </row>
    <row r="524" spans="1:14" ht="20.100000000000001" hidden="1" customHeight="1">
      <c r="A524" s="696"/>
      <c r="B524" s="226" t="s">
        <v>84</v>
      </c>
      <c r="C524" s="713">
        <f>VLOOKUP($B524,R_DG!$A$7:$G$1305,2,0)</f>
        <v>0</v>
      </c>
      <c r="D524" s="723" t="str">
        <f>VLOOKUP($B524,R_DG!$A$7:$G$1305,3,0)</f>
        <v>Boulon 16x250+ 2 long đền vuông D18-50x50x3/Zn</v>
      </c>
      <c r="E524" s="714" t="str">
        <f>VLOOKUP($B524,R_DG!$A$7:$G$1305,4,0)</f>
        <v>bộ</v>
      </c>
      <c r="F524" s="724">
        <v>2</v>
      </c>
      <c r="G524" s="608" t="e">
        <f>VLOOKUP($B524,R_DG!$A$7:$G$1305,5,0)</f>
        <v>#REF!</v>
      </c>
      <c r="H524" s="608">
        <f>VLOOKUP($B524,R_DG!$A$7:$G$1305,6,0)</f>
        <v>0</v>
      </c>
      <c r="I524" s="608">
        <f>VLOOKUP($B524,R_DG!$A$7:$G$1305,7,0)</f>
        <v>0</v>
      </c>
      <c r="J524" s="608" t="e">
        <f t="shared" si="108"/>
        <v>#REF!</v>
      </c>
      <c r="K524" s="608">
        <f t="shared" si="108"/>
        <v>0</v>
      </c>
      <c r="L524" s="725">
        <f t="shared" si="108"/>
        <v>0</v>
      </c>
      <c r="M524" s="726">
        <f t="shared" si="109"/>
        <v>0</v>
      </c>
      <c r="N524" s="727">
        <f t="shared" ca="1" si="110"/>
        <v>0</v>
      </c>
    </row>
    <row r="525" spans="1:14" ht="20.100000000000001" hidden="1" customHeight="1">
      <c r="A525" s="696"/>
      <c r="B525" s="226" t="s">
        <v>76</v>
      </c>
      <c r="C525" s="713">
        <f>VLOOKUP($B525,R_DG!$A$7:$G$1305,2,0)</f>
        <v>0</v>
      </c>
      <c r="D525" s="723" t="str">
        <f>VLOOKUP($B525,R_DG!$A$7:$G$1305,3,0)</f>
        <v>Boulon 16x50+ 2 long đền vuông D18-50x50x3/Zn</v>
      </c>
      <c r="E525" s="714" t="str">
        <f>VLOOKUP($B525,R_DG!$A$7:$G$1305,4,0)</f>
        <v>bộ</v>
      </c>
      <c r="F525" s="724">
        <v>1</v>
      </c>
      <c r="G525" s="608" t="e">
        <f>VLOOKUP($B525,R_DG!$A$7:$G$1305,5,0)</f>
        <v>#REF!</v>
      </c>
      <c r="H525" s="608">
        <f>VLOOKUP($B525,R_DG!$A$7:$G$1305,6,0)</f>
        <v>0</v>
      </c>
      <c r="I525" s="608">
        <f>VLOOKUP($B525,R_DG!$A$7:$G$1305,7,0)</f>
        <v>0</v>
      </c>
      <c r="J525" s="608" t="e">
        <f t="shared" si="108"/>
        <v>#REF!</v>
      </c>
      <c r="K525" s="608">
        <f t="shared" si="108"/>
        <v>0</v>
      </c>
      <c r="L525" s="725">
        <f t="shared" si="108"/>
        <v>0</v>
      </c>
      <c r="M525" s="726">
        <f t="shared" si="109"/>
        <v>0</v>
      </c>
      <c r="N525" s="727">
        <f t="shared" ca="1" si="110"/>
        <v>0</v>
      </c>
    </row>
    <row r="526" spans="1:14" ht="20.100000000000001" hidden="1" customHeight="1">
      <c r="A526" s="696"/>
      <c r="B526" s="740" t="s">
        <v>1179</v>
      </c>
      <c r="C526" s="713" t="str">
        <f>VLOOKUP($B526,R_DG!$A$7:$G$1305,2,0)</f>
        <v>D2.6021</v>
      </c>
      <c r="D526" s="723" t="str">
        <f>VLOOKUP($B526,R_DG!$A$7:$G$1305,3,0)</f>
        <v>Lắp xà đỡ ≤ 25kg</v>
      </c>
      <c r="E526" s="714" t="str">
        <f>VLOOKUP($B526,R_DG!$A$7:$G$1305,4,0)</f>
        <v>bộ</v>
      </c>
      <c r="F526" s="724">
        <v>1</v>
      </c>
      <c r="G526" s="608">
        <f>VLOOKUP($B526,R_DG!$A$7:$G$1305,5,0)</f>
        <v>0</v>
      </c>
      <c r="H526" s="608">
        <f>VLOOKUP($B526,R_DG!$A$7:$G$1305,6,0)</f>
        <v>208581.5</v>
      </c>
      <c r="I526" s="608">
        <f>VLOOKUP($B526,R_DG!$A$7:$G$1305,7,0)</f>
        <v>0</v>
      </c>
      <c r="J526" s="608">
        <f t="shared" si="108"/>
        <v>0</v>
      </c>
      <c r="K526" s="608">
        <f t="shared" si="108"/>
        <v>208581.5</v>
      </c>
      <c r="L526" s="725">
        <f t="shared" si="108"/>
        <v>0</v>
      </c>
      <c r="M526" s="726">
        <f t="shared" si="109"/>
        <v>0</v>
      </c>
      <c r="N526" s="727">
        <f t="shared" ca="1" si="110"/>
        <v>0</v>
      </c>
    </row>
    <row r="527" spans="1:14" ht="20.100000000000001" hidden="1" customHeight="1">
      <c r="A527" s="696"/>
      <c r="B527" s="226" t="s">
        <v>2228</v>
      </c>
      <c r="C527" s="713" t="str">
        <f>VLOOKUP($B527,R_DG!$A$7:$G$1305,2,0)</f>
        <v>02.1115</v>
      </c>
      <c r="D527" s="723" t="str">
        <f>VLOOKUP($B527,R_DG!$A$7:$G$1305,3,0)</f>
        <v>Bốc dỡ xà, thép thanh</v>
      </c>
      <c r="E527" s="714" t="str">
        <f>VLOOKUP($B527,R_DG!$A$7:$G$1305,4,0)</f>
        <v>tấn</v>
      </c>
      <c r="F527" s="724"/>
      <c r="G527" s="608">
        <f>VLOOKUP($B527,R_DG!$A$7:$G$1305,5,0)</f>
        <v>0</v>
      </c>
      <c r="H527" s="608">
        <f>VLOOKUP($B527,R_DG!$A$7:$G$1305,6,0)</f>
        <v>0</v>
      </c>
      <c r="I527" s="608">
        <f>VLOOKUP($B527,R_DG!$A$7:$G$1305,7,0)</f>
        <v>0</v>
      </c>
      <c r="J527" s="608">
        <f t="shared" si="108"/>
        <v>0</v>
      </c>
      <c r="K527" s="608">
        <f t="shared" si="108"/>
        <v>0</v>
      </c>
      <c r="L527" s="725">
        <f t="shared" si="108"/>
        <v>0</v>
      </c>
      <c r="M527" s="726">
        <f t="shared" si="109"/>
        <v>0</v>
      </c>
      <c r="N527" s="727">
        <f t="shared" ca="1" si="110"/>
        <v>0</v>
      </c>
    </row>
    <row r="528" spans="1:14" ht="20.100000000000001" customHeight="1">
      <c r="A528" s="728" t="s">
        <v>2255</v>
      </c>
      <c r="B528" s="729"/>
      <c r="C528" s="717"/>
      <c r="D528" s="718" t="s">
        <v>2256</v>
      </c>
      <c r="E528" s="718" t="s">
        <v>163</v>
      </c>
      <c r="F528" s="719"/>
      <c r="G528" s="720"/>
      <c r="H528" s="720"/>
      <c r="I528" s="720"/>
      <c r="J528" s="720" t="e">
        <f>SUM(J529:J535)</f>
        <v>#REF!</v>
      </c>
      <c r="K528" s="720">
        <f>SUM(K529:K535)</f>
        <v>277290.69999999995</v>
      </c>
      <c r="L528" s="721">
        <f>SUM(L529:L535)</f>
        <v>0</v>
      </c>
      <c r="M528" s="693">
        <f>IF(ERROR.TYPE(IF(HLOOKUP(A528,maBK,1,0)&lt;&gt;"",#NULL!,"ABC"))&lt;&gt;7,1,0)</f>
        <v>0</v>
      </c>
      <c r="N528" s="712">
        <f ca="1">SUMIF(maBK,$A528,tongBK1)</f>
        <v>0</v>
      </c>
    </row>
    <row r="529" spans="1:14" ht="20.100000000000001" hidden="1" customHeight="1">
      <c r="A529" s="696"/>
      <c r="B529" s="226" t="s">
        <v>4053</v>
      </c>
      <c r="C529" s="713">
        <f>VLOOKUP($B529,R_DG!$A$7:$G$1305,2,0)</f>
        <v>0</v>
      </c>
      <c r="D529" s="723" t="str">
        <f>VLOOKUP($B529,R_DG!$A$7:$G$1305,3,0)</f>
        <v>Đà sắt L75x75x8x800 1 ốp (7,85kg/cái)</v>
      </c>
      <c r="E529" s="714" t="str">
        <f>VLOOKUP($B529,R_DG!$A$7:$G$1305,4,0)</f>
        <v>cái</v>
      </c>
      <c r="F529" s="724">
        <v>2</v>
      </c>
      <c r="G529" s="608" t="e">
        <f>VLOOKUP($B529,R_DG!$A$7:$G$1305,5,0)</f>
        <v>#REF!</v>
      </c>
      <c r="H529" s="608">
        <f>VLOOKUP($B529,R_DG!$A$7:$G$1305,6,0)</f>
        <v>0</v>
      </c>
      <c r="I529" s="608">
        <f>VLOOKUP($B529,R_DG!$A$7:$G$1305,7,0)</f>
        <v>0</v>
      </c>
      <c r="J529" s="608" t="e">
        <f t="shared" si="108"/>
        <v>#REF!</v>
      </c>
      <c r="K529" s="608">
        <f t="shared" si="108"/>
        <v>0</v>
      </c>
      <c r="L529" s="725">
        <f t="shared" si="108"/>
        <v>0</v>
      </c>
      <c r="M529" s="726">
        <f t="shared" ref="M529:M535" si="111">IF(F529&gt;0,M$528,0)</f>
        <v>0</v>
      </c>
      <c r="N529" s="727">
        <f t="shared" ref="N529:N535" ca="1" si="112">$F529*N$528</f>
        <v>0</v>
      </c>
    </row>
    <row r="530" spans="1:14" ht="20.100000000000001" hidden="1" customHeight="1">
      <c r="A530" s="696"/>
      <c r="B530" s="226" t="s">
        <v>3313</v>
      </c>
      <c r="C530" s="713">
        <f>VLOOKUP($B530,R_DG!$A$7:$G$1305,2,0)</f>
        <v>0</v>
      </c>
      <c r="D530" s="723" t="str">
        <f>VLOOKUP($B530,R_DG!$A$7:$G$1305,3,0)</f>
        <v>Thanh chống L50x50x5x810 (2,47kg/cái)</v>
      </c>
      <c r="E530" s="714" t="str">
        <f>VLOOKUP($B530,R_DG!$A$7:$G$1305,4,0)</f>
        <v>cái</v>
      </c>
      <c r="F530" s="724">
        <v>2</v>
      </c>
      <c r="G530" s="608">
        <f>VLOOKUP($B530,R_DG!$A$7:$G$1305,5,0)</f>
        <v>71533.670000000013</v>
      </c>
      <c r="H530" s="608">
        <f>VLOOKUP($B530,R_DG!$A$7:$G$1305,6,0)</f>
        <v>0</v>
      </c>
      <c r="I530" s="608">
        <f>VLOOKUP($B530,R_DG!$A$7:$G$1305,7,0)</f>
        <v>0</v>
      </c>
      <c r="J530" s="608">
        <f t="shared" si="108"/>
        <v>143067.34000000003</v>
      </c>
      <c r="K530" s="608">
        <f t="shared" si="108"/>
        <v>0</v>
      </c>
      <c r="L530" s="725">
        <f t="shared" si="108"/>
        <v>0</v>
      </c>
      <c r="M530" s="726">
        <f t="shared" si="111"/>
        <v>0</v>
      </c>
      <c r="N530" s="727">
        <f t="shared" ca="1" si="112"/>
        <v>0</v>
      </c>
    </row>
    <row r="531" spans="1:14" ht="20.100000000000001" hidden="1" customHeight="1">
      <c r="A531" s="696"/>
      <c r="B531" s="226" t="s">
        <v>90</v>
      </c>
      <c r="C531" s="713">
        <f>VLOOKUP($B531,R_DG!$A$7:$G$1305,2,0)</f>
        <v>0</v>
      </c>
      <c r="D531" s="723" t="str">
        <f>VLOOKUP($B531,R_DG!$A$7:$G$1305,3,0)</f>
        <v>Boulon 16x400+ 2 long đền vuông D18-50x50x3/Zn</v>
      </c>
      <c r="E531" s="714" t="str">
        <f>VLOOKUP($B531,R_DG!$A$7:$G$1305,4,0)</f>
        <v>bộ</v>
      </c>
      <c r="F531" s="724">
        <v>2</v>
      </c>
      <c r="G531" s="608" t="e">
        <f>VLOOKUP($B531,R_DG!$A$7:$G$1305,5,0)</f>
        <v>#REF!</v>
      </c>
      <c r="H531" s="608">
        <f>VLOOKUP($B531,R_DG!$A$7:$G$1305,6,0)</f>
        <v>0</v>
      </c>
      <c r="I531" s="608">
        <f>VLOOKUP($B531,R_DG!$A$7:$G$1305,7,0)</f>
        <v>0</v>
      </c>
      <c r="J531" s="608" t="e">
        <f t="shared" si="108"/>
        <v>#REF!</v>
      </c>
      <c r="K531" s="608">
        <f t="shared" si="108"/>
        <v>0</v>
      </c>
      <c r="L531" s="725">
        <f t="shared" si="108"/>
        <v>0</v>
      </c>
      <c r="M531" s="726">
        <f t="shared" si="111"/>
        <v>0</v>
      </c>
      <c r="N531" s="727">
        <f t="shared" ca="1" si="112"/>
        <v>0</v>
      </c>
    </row>
    <row r="532" spans="1:14" ht="20.100000000000001" hidden="1" customHeight="1">
      <c r="A532" s="696"/>
      <c r="B532" s="226" t="s">
        <v>2257</v>
      </c>
      <c r="C532" s="713">
        <f>VLOOKUP($B532,R_DG!$A$7:$G$1305,2,0)</f>
        <v>0</v>
      </c>
      <c r="D532" s="723" t="str">
        <f>VLOOKUP($B532,R_DG!$A$7:$G$1305,3,0)</f>
        <v>Boulon 16x400VRS+ 4 long đền vuông D18-50x50x3/Zn</v>
      </c>
      <c r="E532" s="714" t="str">
        <f>VLOOKUP($B532,R_DG!$A$7:$G$1305,4,0)</f>
        <v>bộ</v>
      </c>
      <c r="F532" s="724">
        <v>1</v>
      </c>
      <c r="G532" s="608" t="e">
        <f>VLOOKUP($B532,R_DG!$A$7:$G$1305,5,0)</f>
        <v>#REF!</v>
      </c>
      <c r="H532" s="608">
        <f>VLOOKUP($B532,R_DG!$A$7:$G$1305,6,0)</f>
        <v>0</v>
      </c>
      <c r="I532" s="608">
        <f>VLOOKUP($B532,R_DG!$A$7:$G$1305,7,0)</f>
        <v>0</v>
      </c>
      <c r="J532" s="608" t="e">
        <f t="shared" si="108"/>
        <v>#REF!</v>
      </c>
      <c r="K532" s="608">
        <f t="shared" si="108"/>
        <v>0</v>
      </c>
      <c r="L532" s="725">
        <f t="shared" si="108"/>
        <v>0</v>
      </c>
      <c r="M532" s="726">
        <f t="shared" si="111"/>
        <v>0</v>
      </c>
      <c r="N532" s="727">
        <f t="shared" ca="1" si="112"/>
        <v>0</v>
      </c>
    </row>
    <row r="533" spans="1:14" ht="20.100000000000001" hidden="1" customHeight="1">
      <c r="A533" s="696"/>
      <c r="B533" s="226" t="s">
        <v>76</v>
      </c>
      <c r="C533" s="713">
        <f>VLOOKUP($B533,R_DG!$A$7:$G$1305,2,0)</f>
        <v>0</v>
      </c>
      <c r="D533" s="723" t="str">
        <f>VLOOKUP($B533,R_DG!$A$7:$G$1305,3,0)</f>
        <v>Boulon 16x50+ 2 long đền vuông D18-50x50x3/Zn</v>
      </c>
      <c r="E533" s="714" t="str">
        <f>VLOOKUP($B533,R_DG!$A$7:$G$1305,4,0)</f>
        <v>bộ</v>
      </c>
      <c r="F533" s="724">
        <v>2</v>
      </c>
      <c r="G533" s="608" t="e">
        <f>VLOOKUP($B533,R_DG!$A$7:$G$1305,5,0)</f>
        <v>#REF!</v>
      </c>
      <c r="H533" s="608">
        <f>VLOOKUP($B533,R_DG!$A$7:$G$1305,6,0)</f>
        <v>0</v>
      </c>
      <c r="I533" s="608">
        <f>VLOOKUP($B533,R_DG!$A$7:$G$1305,7,0)</f>
        <v>0</v>
      </c>
      <c r="J533" s="608" t="e">
        <f t="shared" si="108"/>
        <v>#REF!</v>
      </c>
      <c r="K533" s="608">
        <f t="shared" si="108"/>
        <v>0</v>
      </c>
      <c r="L533" s="725">
        <f t="shared" si="108"/>
        <v>0</v>
      </c>
      <c r="M533" s="726">
        <f t="shared" si="111"/>
        <v>0</v>
      </c>
      <c r="N533" s="727">
        <f t="shared" ca="1" si="112"/>
        <v>0</v>
      </c>
    </row>
    <row r="534" spans="1:14" ht="20.100000000000001" hidden="1" customHeight="1">
      <c r="A534" s="696"/>
      <c r="B534" s="740" t="s">
        <v>1183</v>
      </c>
      <c r="C534" s="713" t="str">
        <f>VLOOKUP($B534,R_DG!$A$7:$G$1305,2,0)</f>
        <v>D2.6022</v>
      </c>
      <c r="D534" s="723" t="str">
        <f>VLOOKUP($B534,R_DG!$A$7:$G$1305,3,0)</f>
        <v>Lắp xà néo ≤ 25kg</v>
      </c>
      <c r="E534" s="714" t="str">
        <f>VLOOKUP($B534,R_DG!$A$7:$G$1305,4,0)</f>
        <v>bộ</v>
      </c>
      <c r="F534" s="724">
        <v>1</v>
      </c>
      <c r="G534" s="608">
        <f>VLOOKUP($B534,R_DG!$A$7:$G$1305,5,0)</f>
        <v>0</v>
      </c>
      <c r="H534" s="608">
        <f>VLOOKUP($B534,R_DG!$A$7:$G$1305,6,0)</f>
        <v>277290.69999999995</v>
      </c>
      <c r="I534" s="608">
        <f>VLOOKUP($B534,R_DG!$A$7:$G$1305,7,0)</f>
        <v>0</v>
      </c>
      <c r="J534" s="608">
        <f t="shared" si="108"/>
        <v>0</v>
      </c>
      <c r="K534" s="608">
        <f t="shared" si="108"/>
        <v>277290.69999999995</v>
      </c>
      <c r="L534" s="725">
        <f t="shared" si="108"/>
        <v>0</v>
      </c>
      <c r="M534" s="726">
        <f t="shared" si="111"/>
        <v>0</v>
      </c>
      <c r="N534" s="727">
        <f t="shared" ca="1" si="112"/>
        <v>0</v>
      </c>
    </row>
    <row r="535" spans="1:14" ht="20.100000000000001" hidden="1" customHeight="1">
      <c r="A535" s="696"/>
      <c r="B535" s="226" t="s">
        <v>2228</v>
      </c>
      <c r="C535" s="713" t="str">
        <f>VLOOKUP($B535,R_DG!$A$7:$G$1305,2,0)</f>
        <v>02.1115</v>
      </c>
      <c r="D535" s="723" t="str">
        <f>VLOOKUP($B535,R_DG!$A$7:$G$1305,3,0)</f>
        <v>Bốc dỡ xà, thép thanh</v>
      </c>
      <c r="E535" s="714" t="str">
        <f>VLOOKUP($B535,R_DG!$A$7:$G$1305,4,0)</f>
        <v>tấn</v>
      </c>
      <c r="F535" s="724"/>
      <c r="G535" s="608">
        <f>VLOOKUP($B535,R_DG!$A$7:$G$1305,5,0)</f>
        <v>0</v>
      </c>
      <c r="H535" s="608">
        <f>VLOOKUP($B535,R_DG!$A$7:$G$1305,6,0)</f>
        <v>0</v>
      </c>
      <c r="I535" s="608">
        <f>VLOOKUP($B535,R_DG!$A$7:$G$1305,7,0)</f>
        <v>0</v>
      </c>
      <c r="J535" s="608">
        <f t="shared" si="108"/>
        <v>0</v>
      </c>
      <c r="K535" s="608">
        <f t="shared" si="108"/>
        <v>0</v>
      </c>
      <c r="L535" s="725">
        <f t="shared" si="108"/>
        <v>0</v>
      </c>
      <c r="M535" s="726">
        <f t="shared" si="111"/>
        <v>0</v>
      </c>
      <c r="N535" s="727">
        <f t="shared" ca="1" si="112"/>
        <v>0</v>
      </c>
    </row>
    <row r="536" spans="1:14" ht="20.100000000000001" customHeight="1">
      <c r="A536" s="728" t="s">
        <v>2258</v>
      </c>
      <c r="B536" s="729"/>
      <c r="C536" s="717"/>
      <c r="D536" s="718" t="s">
        <v>2259</v>
      </c>
      <c r="E536" s="718" t="s">
        <v>163</v>
      </c>
      <c r="F536" s="719"/>
      <c r="G536" s="720"/>
      <c r="H536" s="720"/>
      <c r="I536" s="720"/>
      <c r="J536" s="720" t="e">
        <f>SUM(J537:J541)</f>
        <v>#REF!</v>
      </c>
      <c r="K536" s="720">
        <f>SUM(K537:K541)</f>
        <v>282198.5</v>
      </c>
      <c r="L536" s="721">
        <f>SUM(L537:L541)</f>
        <v>0</v>
      </c>
      <c r="M536" s="693">
        <f>IF(ERROR.TYPE(IF(HLOOKUP(A536,maBK,1,0)&lt;&gt;"",#NULL!,"ABC"))&lt;&gt;7,1,0)</f>
        <v>0</v>
      </c>
      <c r="N536" s="712">
        <f ca="1">SUMIF(maBK,$A536,tongBK1)</f>
        <v>0</v>
      </c>
    </row>
    <row r="537" spans="1:14" ht="20.100000000000001" hidden="1" customHeight="1">
      <c r="A537" s="696"/>
      <c r="B537" s="226" t="s">
        <v>3309</v>
      </c>
      <c r="C537" s="713">
        <f>VLOOKUP($B537,R_DG!$A$7:$G$1305,2,0)</f>
        <v>0</v>
      </c>
      <c r="D537" s="723" t="str">
        <f>VLOOKUP($B537,R_DG!$A$7:$G$1305,3,0)</f>
        <v>Đà sắt L75x75x8x2100 lệch 100% 3 ốp (20,84kg/cái)</v>
      </c>
      <c r="E537" s="714" t="str">
        <f>VLOOKUP($B537,R_DG!$A$7:$G$1305,4,0)</f>
        <v>cái</v>
      </c>
      <c r="F537" s="724">
        <v>1</v>
      </c>
      <c r="G537" s="608" t="e">
        <f>VLOOKUP($B537,R_DG!$A$7:$G$1305,5,0)</f>
        <v>#REF!</v>
      </c>
      <c r="H537" s="608">
        <f>VLOOKUP($B537,R_DG!$A$7:$G$1305,6,0)</f>
        <v>0</v>
      </c>
      <c r="I537" s="608">
        <f>VLOOKUP($B537,R_DG!$A$7:$G$1305,7,0)</f>
        <v>0</v>
      </c>
      <c r="J537" s="608" t="e">
        <f t="shared" si="108"/>
        <v>#REF!</v>
      </c>
      <c r="K537" s="608">
        <f t="shared" si="108"/>
        <v>0</v>
      </c>
      <c r="L537" s="725">
        <f t="shared" si="108"/>
        <v>0</v>
      </c>
      <c r="M537" s="726">
        <f t="shared" ref="M537:M542" si="113">IF(F537&gt;0,M$536,0)</f>
        <v>0</v>
      </c>
      <c r="N537" s="727">
        <f t="shared" ref="N537:N542" ca="1" si="114">$F537*N$536</f>
        <v>0</v>
      </c>
    </row>
    <row r="538" spans="1:14" ht="20.100000000000001" hidden="1" customHeight="1">
      <c r="A538" s="696"/>
      <c r="B538" s="226" t="s">
        <v>4051</v>
      </c>
      <c r="C538" s="713">
        <f>VLOOKUP($B538,R_DG!$A$7:$G$1305,2,0)</f>
        <v>0</v>
      </c>
      <c r="D538" s="723" t="str">
        <f>VLOOKUP($B538,R_DG!$A$7:$G$1305,3,0)</f>
        <v>Thanh chống L50x50x5x1990 (6,07kg/cái)</v>
      </c>
      <c r="E538" s="714" t="str">
        <f>VLOOKUP($B538,R_DG!$A$7:$G$1305,4,0)</f>
        <v>cái</v>
      </c>
      <c r="F538" s="724">
        <v>1</v>
      </c>
      <c r="G538" s="608">
        <f>VLOOKUP($B538,R_DG!$A$7:$G$1305,5,0)</f>
        <v>175778.78949999998</v>
      </c>
      <c r="H538" s="608">
        <f>VLOOKUP($B538,R_DG!$A$7:$G$1305,6,0)</f>
        <v>0</v>
      </c>
      <c r="I538" s="608">
        <f>VLOOKUP($B538,R_DG!$A$7:$G$1305,7,0)</f>
        <v>0</v>
      </c>
      <c r="J538" s="608">
        <f t="shared" si="108"/>
        <v>175778.78949999998</v>
      </c>
      <c r="K538" s="608">
        <f t="shared" si="108"/>
        <v>0</v>
      </c>
      <c r="L538" s="725">
        <f t="shared" si="108"/>
        <v>0</v>
      </c>
      <c r="M538" s="726">
        <f t="shared" si="113"/>
        <v>0</v>
      </c>
      <c r="N538" s="727">
        <f t="shared" ca="1" si="114"/>
        <v>0</v>
      </c>
    </row>
    <row r="539" spans="1:14" ht="20.100000000000001" hidden="1" customHeight="1">
      <c r="A539" s="696"/>
      <c r="B539" s="226" t="s">
        <v>84</v>
      </c>
      <c r="C539" s="713">
        <f>VLOOKUP($B539,R_DG!$A$7:$G$1305,2,0)</f>
        <v>0</v>
      </c>
      <c r="D539" s="723" t="str">
        <f>VLOOKUP($B539,R_DG!$A$7:$G$1305,3,0)</f>
        <v>Boulon 16x250+ 2 long đền vuông D18-50x50x3/Zn</v>
      </c>
      <c r="E539" s="714" t="str">
        <f>VLOOKUP($B539,R_DG!$A$7:$G$1305,4,0)</f>
        <v>bộ</v>
      </c>
      <c r="F539" s="724">
        <v>2</v>
      </c>
      <c r="G539" s="608" t="e">
        <f>VLOOKUP($B539,R_DG!$A$7:$G$1305,5,0)</f>
        <v>#REF!</v>
      </c>
      <c r="H539" s="608">
        <f>VLOOKUP($B539,R_DG!$A$7:$G$1305,6,0)</f>
        <v>0</v>
      </c>
      <c r="I539" s="608">
        <f>VLOOKUP($B539,R_DG!$A$7:$G$1305,7,0)</f>
        <v>0</v>
      </c>
      <c r="J539" s="608" t="e">
        <f t="shared" si="108"/>
        <v>#REF!</v>
      </c>
      <c r="K539" s="608">
        <f t="shared" si="108"/>
        <v>0</v>
      </c>
      <c r="L539" s="725">
        <f t="shared" si="108"/>
        <v>0</v>
      </c>
      <c r="M539" s="726">
        <f t="shared" si="113"/>
        <v>0</v>
      </c>
      <c r="N539" s="727">
        <f t="shared" ca="1" si="114"/>
        <v>0</v>
      </c>
    </row>
    <row r="540" spans="1:14" ht="20.100000000000001" hidden="1" customHeight="1">
      <c r="A540" s="696"/>
      <c r="B540" s="226" t="s">
        <v>76</v>
      </c>
      <c r="C540" s="713">
        <f>VLOOKUP($B540,R_DG!$A$7:$G$1305,2,0)</f>
        <v>0</v>
      </c>
      <c r="D540" s="723" t="str">
        <f>VLOOKUP($B540,R_DG!$A$7:$G$1305,3,0)</f>
        <v>Boulon 16x50+ 2 long đền vuông D18-50x50x3/Zn</v>
      </c>
      <c r="E540" s="714" t="str">
        <f>VLOOKUP($B540,R_DG!$A$7:$G$1305,4,0)</f>
        <v>bộ</v>
      </c>
      <c r="F540" s="724">
        <v>1</v>
      </c>
      <c r="G540" s="608" t="e">
        <f>VLOOKUP($B540,R_DG!$A$7:$G$1305,5,0)</f>
        <v>#REF!</v>
      </c>
      <c r="H540" s="608">
        <f>VLOOKUP($B540,R_DG!$A$7:$G$1305,6,0)</f>
        <v>0</v>
      </c>
      <c r="I540" s="608">
        <f>VLOOKUP($B540,R_DG!$A$7:$G$1305,7,0)</f>
        <v>0</v>
      </c>
      <c r="J540" s="608" t="e">
        <f t="shared" si="108"/>
        <v>#REF!</v>
      </c>
      <c r="K540" s="608">
        <f t="shared" si="108"/>
        <v>0</v>
      </c>
      <c r="L540" s="725">
        <f t="shared" si="108"/>
        <v>0</v>
      </c>
      <c r="M540" s="726">
        <f t="shared" si="113"/>
        <v>0</v>
      </c>
      <c r="N540" s="727">
        <f t="shared" ca="1" si="114"/>
        <v>0</v>
      </c>
    </row>
    <row r="541" spans="1:14" ht="20.100000000000001" hidden="1" customHeight="1">
      <c r="A541" s="696"/>
      <c r="B541" s="740" t="s">
        <v>2260</v>
      </c>
      <c r="C541" s="713" t="str">
        <f>VLOOKUP($B541,R_DG!$A$7:$G$1305,2,0)</f>
        <v>D2.6031</v>
      </c>
      <c r="D541" s="723" t="str">
        <f>VLOOKUP($B541,R_DG!$A$7:$G$1305,3,0)</f>
        <v>Lắp xà đỡ ≤ 50kg</v>
      </c>
      <c r="E541" s="714" t="str">
        <f>VLOOKUP($B541,R_DG!$A$7:$G$1305,4,0)</f>
        <v>bộ</v>
      </c>
      <c r="F541" s="724">
        <v>1</v>
      </c>
      <c r="G541" s="608">
        <f>VLOOKUP($B541,R_DG!$A$7:$G$1305,5,0)</f>
        <v>0</v>
      </c>
      <c r="H541" s="608">
        <f>VLOOKUP($B541,R_DG!$A$7:$G$1305,6,0)</f>
        <v>282198.5</v>
      </c>
      <c r="I541" s="608">
        <f>VLOOKUP($B541,R_DG!$A$7:$G$1305,7,0)</f>
        <v>0</v>
      </c>
      <c r="J541" s="608">
        <f t="shared" si="108"/>
        <v>0</v>
      </c>
      <c r="K541" s="608">
        <f t="shared" si="108"/>
        <v>282198.5</v>
      </c>
      <c r="L541" s="725">
        <f t="shared" si="108"/>
        <v>0</v>
      </c>
      <c r="M541" s="726">
        <f t="shared" si="113"/>
        <v>0</v>
      </c>
      <c r="N541" s="727">
        <f t="shared" ca="1" si="114"/>
        <v>0</v>
      </c>
    </row>
    <row r="542" spans="1:14" ht="20.100000000000001" hidden="1" customHeight="1">
      <c r="A542" s="696"/>
      <c r="B542" s="226" t="s">
        <v>2228</v>
      </c>
      <c r="C542" s="713" t="str">
        <f>VLOOKUP($B542,R_DG!$A$7:$G$1305,2,0)</f>
        <v>02.1115</v>
      </c>
      <c r="D542" s="723" t="str">
        <f>VLOOKUP($B542,R_DG!$A$7:$G$1305,3,0)</f>
        <v>Bốc dỡ xà, thép thanh</v>
      </c>
      <c r="E542" s="714" t="str">
        <f>VLOOKUP($B542,R_DG!$A$7:$G$1305,4,0)</f>
        <v>tấn</v>
      </c>
      <c r="F542" s="724"/>
      <c r="G542" s="608">
        <f>VLOOKUP($B542,R_DG!$A$7:$G$1305,5,0)</f>
        <v>0</v>
      </c>
      <c r="H542" s="608">
        <f>VLOOKUP($B542,R_DG!$A$7:$G$1305,6,0)</f>
        <v>0</v>
      </c>
      <c r="I542" s="608">
        <f>VLOOKUP($B542,R_DG!$A$7:$G$1305,7,0)</f>
        <v>0</v>
      </c>
      <c r="J542" s="608">
        <f t="shared" si="108"/>
        <v>0</v>
      </c>
      <c r="K542" s="608">
        <f t="shared" si="108"/>
        <v>0</v>
      </c>
      <c r="L542" s="725">
        <f t="shared" si="108"/>
        <v>0</v>
      </c>
      <c r="M542" s="726">
        <f t="shared" si="113"/>
        <v>0</v>
      </c>
      <c r="N542" s="727">
        <f t="shared" ca="1" si="114"/>
        <v>0</v>
      </c>
    </row>
    <row r="543" spans="1:14" ht="20.100000000000001" customHeight="1">
      <c r="A543" s="728" t="s">
        <v>2261</v>
      </c>
      <c r="B543" s="729"/>
      <c r="C543" s="717"/>
      <c r="D543" s="718" t="s">
        <v>2262</v>
      </c>
      <c r="E543" s="718" t="s">
        <v>163</v>
      </c>
      <c r="F543" s="719"/>
      <c r="G543" s="720"/>
      <c r="H543" s="720"/>
      <c r="I543" s="720"/>
      <c r="J543" s="720" t="e">
        <f>SUM(J544:J548)</f>
        <v>#REF!</v>
      </c>
      <c r="K543" s="720">
        <f>SUM(K544:K548)</f>
        <v>0</v>
      </c>
      <c r="L543" s="721">
        <f>SUM(L544:L548)</f>
        <v>0</v>
      </c>
      <c r="M543" s="693">
        <f>IF(ERROR.TYPE(IF(HLOOKUP(A543,maBK,1,0)&lt;&gt;"",#NULL!,"ABC"))&lt;&gt;7,1,0)</f>
        <v>0</v>
      </c>
      <c r="N543" s="712">
        <f ca="1">SUMIF(maBK,$A543,tongBK1)</f>
        <v>0</v>
      </c>
    </row>
    <row r="544" spans="1:14" ht="20.100000000000001" hidden="1" customHeight="1">
      <c r="A544" s="696"/>
      <c r="B544" s="226" t="s">
        <v>3309</v>
      </c>
      <c r="C544" s="713">
        <f>VLOOKUP($B544,R_DG!$A$7:$G$1305,2,0)</f>
        <v>0</v>
      </c>
      <c r="D544" s="723" t="str">
        <f>VLOOKUP($B544,R_DG!$A$7:$G$1305,3,0)</f>
        <v>Đà sắt L75x75x8x2100 lệch 100% 3 ốp (20,84kg/cái)</v>
      </c>
      <c r="E544" s="714" t="str">
        <f>VLOOKUP($B544,R_DG!$A$7:$G$1305,4,0)</f>
        <v>cái</v>
      </c>
      <c r="F544" s="724">
        <v>2</v>
      </c>
      <c r="G544" s="608" t="e">
        <f>VLOOKUP($B544,R_DG!$A$7:$G$1305,5,0)</f>
        <v>#REF!</v>
      </c>
      <c r="H544" s="608">
        <f>VLOOKUP($B544,R_DG!$A$7:$G$1305,6,0)</f>
        <v>0</v>
      </c>
      <c r="I544" s="608">
        <f>VLOOKUP($B544,R_DG!$A$7:$G$1305,7,0)</f>
        <v>0</v>
      </c>
      <c r="J544" s="608" t="e">
        <f t="shared" si="108"/>
        <v>#REF!</v>
      </c>
      <c r="K544" s="608">
        <f t="shared" si="108"/>
        <v>0</v>
      </c>
      <c r="L544" s="725">
        <f t="shared" si="108"/>
        <v>0</v>
      </c>
      <c r="M544" s="726">
        <f t="shared" ref="M544:M551" si="115">IF(F544&gt;0,M$543,0)</f>
        <v>0</v>
      </c>
      <c r="N544" s="727">
        <f t="shared" ref="N544:N551" ca="1" si="116">$F544*N$543</f>
        <v>0</v>
      </c>
    </row>
    <row r="545" spans="1:14" ht="20.100000000000001" hidden="1" customHeight="1">
      <c r="A545" s="696"/>
      <c r="B545" s="226" t="s">
        <v>4051</v>
      </c>
      <c r="C545" s="713">
        <f>VLOOKUP($B545,R_DG!$A$7:$G$1305,2,0)</f>
        <v>0</v>
      </c>
      <c r="D545" s="723" t="str">
        <f>VLOOKUP($B545,R_DG!$A$7:$G$1305,3,0)</f>
        <v>Thanh chống L50x50x5x1990 (6,07kg/cái)</v>
      </c>
      <c r="E545" s="714" t="str">
        <f>VLOOKUP($B545,R_DG!$A$7:$G$1305,4,0)</f>
        <v>cái</v>
      </c>
      <c r="F545" s="724">
        <v>2</v>
      </c>
      <c r="G545" s="608">
        <f>VLOOKUP($B545,R_DG!$A$7:$G$1305,5,0)</f>
        <v>175778.78949999998</v>
      </c>
      <c r="H545" s="608">
        <f>VLOOKUP($B545,R_DG!$A$7:$G$1305,6,0)</f>
        <v>0</v>
      </c>
      <c r="I545" s="608">
        <f>VLOOKUP($B545,R_DG!$A$7:$G$1305,7,0)</f>
        <v>0</v>
      </c>
      <c r="J545" s="608">
        <f t="shared" si="108"/>
        <v>351557.57899999997</v>
      </c>
      <c r="K545" s="608">
        <f t="shared" si="108"/>
        <v>0</v>
      </c>
      <c r="L545" s="725">
        <f t="shared" si="108"/>
        <v>0</v>
      </c>
      <c r="M545" s="726">
        <f t="shared" si="115"/>
        <v>0</v>
      </c>
      <c r="N545" s="727">
        <f t="shared" ca="1" si="116"/>
        <v>0</v>
      </c>
    </row>
    <row r="546" spans="1:14" ht="20.100000000000001" hidden="1" customHeight="1">
      <c r="A546" s="696"/>
      <c r="B546" s="226" t="s">
        <v>647</v>
      </c>
      <c r="C546" s="713">
        <f>VLOOKUP($B546,R_DG!$A$7:$G$1305,2,0)</f>
        <v>0</v>
      </c>
      <c r="D546" s="723" t="str">
        <f>VLOOKUP($B546,R_DG!$A$7:$G$1305,3,0)</f>
        <v>Sắt dẹt 50 x 5</v>
      </c>
      <c r="E546" s="714" t="str">
        <f>VLOOKUP($B546,R_DG!$A$7:$G$1305,4,0)</f>
        <v>kg</v>
      </c>
      <c r="F546" s="724"/>
      <c r="G546" s="608">
        <f>VLOOKUP($B546,R_DG!$A$7:$G$1305,5,0)</f>
        <v>28941</v>
      </c>
      <c r="H546" s="608">
        <f>VLOOKUP($B546,R_DG!$A$7:$G$1305,6,0)</f>
        <v>0</v>
      </c>
      <c r="I546" s="608">
        <f>VLOOKUP($B546,R_DG!$A$7:$G$1305,7,0)</f>
        <v>0</v>
      </c>
      <c r="J546" s="608">
        <f t="shared" si="108"/>
        <v>0</v>
      </c>
      <c r="K546" s="608">
        <f t="shared" si="108"/>
        <v>0</v>
      </c>
      <c r="L546" s="725">
        <f t="shared" si="108"/>
        <v>0</v>
      </c>
      <c r="M546" s="726">
        <f t="shared" si="115"/>
        <v>0</v>
      </c>
      <c r="N546" s="727">
        <f t="shared" ca="1" si="116"/>
        <v>0</v>
      </c>
    </row>
    <row r="547" spans="1:14" ht="20.100000000000001" hidden="1" customHeight="1">
      <c r="A547" s="696"/>
      <c r="B547" s="226" t="s">
        <v>2237</v>
      </c>
      <c r="C547" s="713">
        <f>VLOOKUP($B547,R_DG!$A$7:$G$1305,2,0)</f>
        <v>0</v>
      </c>
      <c r="D547" s="723" t="str">
        <f>VLOOKUP($B547,R_DG!$A$7:$G$1305,3,0)</f>
        <v>Boulon 16x300VRS+ 4 long đền vuông D18-50x50x3/Zn</v>
      </c>
      <c r="E547" s="714" t="str">
        <f>VLOOKUP($B547,R_DG!$A$7:$G$1305,4,0)</f>
        <v>bộ</v>
      </c>
      <c r="F547" s="724">
        <v>3</v>
      </c>
      <c r="G547" s="608" t="e">
        <f>VLOOKUP($B547,R_DG!$A$7:$G$1305,5,0)</f>
        <v>#REF!</v>
      </c>
      <c r="H547" s="608">
        <f>VLOOKUP($B547,R_DG!$A$7:$G$1305,6,0)</f>
        <v>0</v>
      </c>
      <c r="I547" s="608">
        <f>VLOOKUP($B547,R_DG!$A$7:$G$1305,7,0)</f>
        <v>0</v>
      </c>
      <c r="J547" s="608" t="e">
        <f t="shared" si="108"/>
        <v>#REF!</v>
      </c>
      <c r="K547" s="608">
        <f t="shared" si="108"/>
        <v>0</v>
      </c>
      <c r="L547" s="725">
        <f t="shared" si="108"/>
        <v>0</v>
      </c>
      <c r="M547" s="726">
        <f t="shared" si="115"/>
        <v>0</v>
      </c>
      <c r="N547" s="727">
        <f t="shared" ca="1" si="116"/>
        <v>0</v>
      </c>
    </row>
    <row r="548" spans="1:14" ht="20.100000000000001" hidden="1" customHeight="1">
      <c r="A548" s="696"/>
      <c r="B548" s="226" t="s">
        <v>86</v>
      </c>
      <c r="C548" s="713">
        <f>VLOOKUP($B548,R_DG!$A$7:$G$1305,2,0)</f>
        <v>0</v>
      </c>
      <c r="D548" s="723" t="str">
        <f>VLOOKUP($B548,R_DG!$A$7:$G$1305,3,0)</f>
        <v>Boulon 16x300+ 2 long đền vuông D18-50x50x3/Zn</v>
      </c>
      <c r="E548" s="714" t="str">
        <f>VLOOKUP($B548,R_DG!$A$7:$G$1305,4,0)</f>
        <v>bộ</v>
      </c>
      <c r="F548" s="724">
        <v>1</v>
      </c>
      <c r="G548" s="608" t="e">
        <f>VLOOKUP($B548,R_DG!$A$7:$G$1305,5,0)</f>
        <v>#REF!</v>
      </c>
      <c r="H548" s="608">
        <f>VLOOKUP($B548,R_DG!$A$7:$G$1305,6,0)</f>
        <v>0</v>
      </c>
      <c r="I548" s="608">
        <f>VLOOKUP($B548,R_DG!$A$7:$G$1305,7,0)</f>
        <v>0</v>
      </c>
      <c r="J548" s="608" t="e">
        <f t="shared" si="108"/>
        <v>#REF!</v>
      </c>
      <c r="K548" s="608">
        <f t="shared" si="108"/>
        <v>0</v>
      </c>
      <c r="L548" s="725">
        <f t="shared" si="108"/>
        <v>0</v>
      </c>
      <c r="M548" s="726">
        <f t="shared" si="115"/>
        <v>0</v>
      </c>
      <c r="N548" s="727">
        <f t="shared" ca="1" si="116"/>
        <v>0</v>
      </c>
    </row>
    <row r="549" spans="1:14" ht="20.100000000000001" hidden="1" customHeight="1">
      <c r="A549" s="696"/>
      <c r="B549" s="226" t="s">
        <v>84</v>
      </c>
      <c r="C549" s="713">
        <f>VLOOKUP($B549,R_DG!$A$7:$G$1305,2,0)</f>
        <v>0</v>
      </c>
      <c r="D549" s="723" t="str">
        <f>VLOOKUP($B549,R_DG!$A$7:$G$1305,3,0)</f>
        <v>Boulon 16x250+ 2 long đền vuông D18-50x50x3/Zn</v>
      </c>
      <c r="E549" s="714" t="str">
        <f>VLOOKUP($B549,R_DG!$A$7:$G$1305,4,0)</f>
        <v>bộ</v>
      </c>
      <c r="F549" s="724">
        <v>1</v>
      </c>
      <c r="G549" s="608" t="e">
        <f>VLOOKUP($B549,R_DG!$A$7:$G$1305,5,0)</f>
        <v>#REF!</v>
      </c>
      <c r="H549" s="608">
        <f>VLOOKUP($B549,R_DG!$A$7:$G$1305,6,0)</f>
        <v>0</v>
      </c>
      <c r="I549" s="608">
        <f>VLOOKUP($B549,R_DG!$A$7:$G$1305,7,0)</f>
        <v>0</v>
      </c>
      <c r="J549" s="608" t="e">
        <f t="shared" si="108"/>
        <v>#REF!</v>
      </c>
      <c r="K549" s="608">
        <f t="shared" si="108"/>
        <v>0</v>
      </c>
      <c r="L549" s="725">
        <f t="shared" si="108"/>
        <v>0</v>
      </c>
      <c r="M549" s="726">
        <f t="shared" si="115"/>
        <v>0</v>
      </c>
      <c r="N549" s="727">
        <f t="shared" ca="1" si="116"/>
        <v>0</v>
      </c>
    </row>
    <row r="550" spans="1:14" ht="20.100000000000001" hidden="1" customHeight="1">
      <c r="A550" s="696"/>
      <c r="B550" s="227" t="s">
        <v>1187</v>
      </c>
      <c r="C550" s="713" t="str">
        <f>VLOOKUP($B550,R_DG!$A$7:$G$1305,2,0)</f>
        <v>D2.6042</v>
      </c>
      <c r="D550" s="723" t="str">
        <f>VLOOKUP($B550,R_DG!$A$7:$G$1305,3,0)</f>
        <v>Lắp xà néo ≤ 100kg</v>
      </c>
      <c r="E550" s="714" t="str">
        <f>VLOOKUP($B550,R_DG!$A$7:$G$1305,4,0)</f>
        <v>bộ</v>
      </c>
      <c r="F550" s="724">
        <v>1</v>
      </c>
      <c r="G550" s="608">
        <f>VLOOKUP($B550,R_DG!$A$7:$G$1305,5,0)</f>
        <v>0</v>
      </c>
      <c r="H550" s="608">
        <f>VLOOKUP($B550,R_DG!$A$7:$G$1305,6,0)</f>
        <v>505503.4</v>
      </c>
      <c r="I550" s="608">
        <f>VLOOKUP($B550,R_DG!$A$7:$G$1305,7,0)</f>
        <v>0</v>
      </c>
      <c r="J550" s="608">
        <f t="shared" si="108"/>
        <v>0</v>
      </c>
      <c r="K550" s="608">
        <f t="shared" si="108"/>
        <v>505503.4</v>
      </c>
      <c r="L550" s="725">
        <f t="shared" si="108"/>
        <v>0</v>
      </c>
      <c r="M550" s="726">
        <f t="shared" si="115"/>
        <v>0</v>
      </c>
      <c r="N550" s="727">
        <f t="shared" ca="1" si="116"/>
        <v>0</v>
      </c>
    </row>
    <row r="551" spans="1:14" ht="20.100000000000001" hidden="1" customHeight="1">
      <c r="A551" s="696"/>
      <c r="B551" s="226" t="s">
        <v>2228</v>
      </c>
      <c r="C551" s="713" t="str">
        <f>VLOOKUP($B551,R_DG!$A$7:$G$1305,2,0)</f>
        <v>02.1115</v>
      </c>
      <c r="D551" s="723" t="str">
        <f>VLOOKUP($B551,R_DG!$A$7:$G$1305,3,0)</f>
        <v>Bốc dỡ xà, thép thanh</v>
      </c>
      <c r="E551" s="714" t="str">
        <f>VLOOKUP($B551,R_DG!$A$7:$G$1305,4,0)</f>
        <v>tấn</v>
      </c>
      <c r="F551" s="724"/>
      <c r="G551" s="608">
        <f>VLOOKUP($B551,R_DG!$A$7:$G$1305,5,0)</f>
        <v>0</v>
      </c>
      <c r="H551" s="608">
        <f>VLOOKUP($B551,R_DG!$A$7:$G$1305,6,0)</f>
        <v>0</v>
      </c>
      <c r="I551" s="608">
        <f>VLOOKUP($B551,R_DG!$A$7:$G$1305,7,0)</f>
        <v>0</v>
      </c>
      <c r="J551" s="608">
        <f t="shared" si="108"/>
        <v>0</v>
      </c>
      <c r="K551" s="608">
        <f t="shared" si="108"/>
        <v>0</v>
      </c>
      <c r="L551" s="725">
        <f t="shared" si="108"/>
        <v>0</v>
      </c>
      <c r="M551" s="726">
        <f t="shared" si="115"/>
        <v>0</v>
      </c>
      <c r="N551" s="727">
        <f t="shared" ca="1" si="116"/>
        <v>0</v>
      </c>
    </row>
    <row r="552" spans="1:14" ht="20.100000000000001" customHeight="1">
      <c r="A552" s="728" t="s">
        <v>2263</v>
      </c>
      <c r="B552" s="729"/>
      <c r="C552" s="717"/>
      <c r="D552" s="718" t="s">
        <v>2264</v>
      </c>
      <c r="E552" s="718" t="s">
        <v>163</v>
      </c>
      <c r="F552" s="719"/>
      <c r="G552" s="720"/>
      <c r="H552" s="720"/>
      <c r="I552" s="720"/>
      <c r="J552" s="720" t="e">
        <f>SUM(J553:J557)</f>
        <v>#REF!</v>
      </c>
      <c r="K552" s="720">
        <f>SUM(K553:K557)</f>
        <v>208581.5</v>
      </c>
      <c r="L552" s="721">
        <f>SUM(L553:L557)</f>
        <v>0</v>
      </c>
      <c r="M552" s="693">
        <f>IF(ERROR.TYPE(IF(HLOOKUP(A552,maBK,1,0)&lt;&gt;"",#NULL!,"ABC"))&lt;&gt;7,1,0)</f>
        <v>0</v>
      </c>
      <c r="N552" s="712">
        <f ca="1">SUMIF(maBK,$A552,tongBK1)</f>
        <v>0</v>
      </c>
    </row>
    <row r="553" spans="1:14" ht="20.100000000000001" hidden="1" customHeight="1">
      <c r="A553" s="696"/>
      <c r="B553" s="226" t="s">
        <v>3311</v>
      </c>
      <c r="C553" s="713">
        <f>VLOOKUP($B553,R_DG!$A$7:$G$1305,2,0)</f>
        <v>0</v>
      </c>
      <c r="D553" s="723" t="str">
        <f>VLOOKUP($B553,R_DG!$A$7:$G$1305,3,0)</f>
        <v>Đà sắt L75x75x8x2000 lệch 2/3 3 ốp (19,93kg/cái)</v>
      </c>
      <c r="E553" s="714" t="str">
        <f>VLOOKUP($B553,R_DG!$A$7:$G$1305,4,0)</f>
        <v>cái</v>
      </c>
      <c r="F553" s="724">
        <v>1</v>
      </c>
      <c r="G553" s="608" t="e">
        <f>VLOOKUP($B553,R_DG!$A$7:$G$1305,5,0)</f>
        <v>#REF!</v>
      </c>
      <c r="H553" s="608">
        <f>VLOOKUP($B553,R_DG!$A$7:$G$1305,6,0)</f>
        <v>0</v>
      </c>
      <c r="I553" s="608">
        <f>VLOOKUP($B553,R_DG!$A$7:$G$1305,7,0)</f>
        <v>0</v>
      </c>
      <c r="J553" s="608" t="e">
        <f t="shared" si="108"/>
        <v>#REF!</v>
      </c>
      <c r="K553" s="608">
        <f t="shared" si="108"/>
        <v>0</v>
      </c>
      <c r="L553" s="725">
        <f t="shared" si="108"/>
        <v>0</v>
      </c>
      <c r="M553" s="726">
        <f t="shared" ref="M553:M558" si="117">IF(F553&gt;0,M$552,0)</f>
        <v>0</v>
      </c>
      <c r="N553" s="733">
        <f t="shared" ref="N553:N558" ca="1" si="118">$F553*N$552</f>
        <v>0</v>
      </c>
    </row>
    <row r="554" spans="1:14" ht="20.100000000000001" hidden="1" customHeight="1">
      <c r="A554" s="696"/>
      <c r="B554" s="226" t="s">
        <v>4052</v>
      </c>
      <c r="C554" s="713">
        <f>VLOOKUP($B554,R_DG!$A$7:$G$1305,2,0)</f>
        <v>0</v>
      </c>
      <c r="D554" s="723" t="str">
        <f>VLOOKUP($B554,R_DG!$A$7:$G$1305,3,0)</f>
        <v>Thanh chống L50x50x5x1150 (3,51kg/cái)</v>
      </c>
      <c r="E554" s="714" t="str">
        <f>VLOOKUP($B554,R_DG!$A$7:$G$1305,4,0)</f>
        <v>cái</v>
      </c>
      <c r="F554" s="724">
        <v>1</v>
      </c>
      <c r="G554" s="608">
        <f>VLOOKUP($B554,R_DG!$A$7:$G$1305,5,0)</f>
        <v>101653.11</v>
      </c>
      <c r="H554" s="608">
        <f>VLOOKUP($B554,R_DG!$A$7:$G$1305,6,0)</f>
        <v>0</v>
      </c>
      <c r="I554" s="608">
        <f>VLOOKUP($B554,R_DG!$A$7:$G$1305,7,0)</f>
        <v>0</v>
      </c>
      <c r="J554" s="608">
        <f t="shared" si="108"/>
        <v>101653.11</v>
      </c>
      <c r="K554" s="608">
        <f t="shared" si="108"/>
        <v>0</v>
      </c>
      <c r="L554" s="725">
        <f t="shared" si="108"/>
        <v>0</v>
      </c>
      <c r="M554" s="726">
        <f t="shared" si="117"/>
        <v>0</v>
      </c>
      <c r="N554" s="727">
        <f t="shared" ca="1" si="118"/>
        <v>0</v>
      </c>
    </row>
    <row r="555" spans="1:14" ht="20.100000000000001" hidden="1" customHeight="1">
      <c r="A555" s="696"/>
      <c r="B555" s="226" t="s">
        <v>84</v>
      </c>
      <c r="C555" s="713">
        <f>VLOOKUP($B555,R_DG!$A$7:$G$1305,2,0)</f>
        <v>0</v>
      </c>
      <c r="D555" s="723" t="str">
        <f>VLOOKUP($B555,R_DG!$A$7:$G$1305,3,0)</f>
        <v>Boulon 16x250+ 2 long đền vuông D18-50x50x3/Zn</v>
      </c>
      <c r="E555" s="714" t="str">
        <f>VLOOKUP($B555,R_DG!$A$7:$G$1305,4,0)</f>
        <v>bộ</v>
      </c>
      <c r="F555" s="724">
        <v>2</v>
      </c>
      <c r="G555" s="608" t="e">
        <f>VLOOKUP($B555,R_DG!$A$7:$G$1305,5,0)</f>
        <v>#REF!</v>
      </c>
      <c r="H555" s="608">
        <f>VLOOKUP($B555,R_DG!$A$7:$G$1305,6,0)</f>
        <v>0</v>
      </c>
      <c r="I555" s="608">
        <f>VLOOKUP($B555,R_DG!$A$7:$G$1305,7,0)</f>
        <v>0</v>
      </c>
      <c r="J555" s="608" t="e">
        <f t="shared" si="108"/>
        <v>#REF!</v>
      </c>
      <c r="K555" s="608">
        <f t="shared" si="108"/>
        <v>0</v>
      </c>
      <c r="L555" s="725">
        <f t="shared" si="108"/>
        <v>0</v>
      </c>
      <c r="M555" s="726">
        <f t="shared" si="117"/>
        <v>0</v>
      </c>
      <c r="N555" s="727">
        <f t="shared" ca="1" si="118"/>
        <v>0</v>
      </c>
    </row>
    <row r="556" spans="1:14" ht="20.100000000000001" hidden="1" customHeight="1">
      <c r="A556" s="696"/>
      <c r="B556" s="226" t="s">
        <v>76</v>
      </c>
      <c r="C556" s="713">
        <f>VLOOKUP($B556,R_DG!$A$7:$G$1305,2,0)</f>
        <v>0</v>
      </c>
      <c r="D556" s="723" t="str">
        <f>VLOOKUP($B556,R_DG!$A$7:$G$1305,3,0)</f>
        <v>Boulon 16x50+ 2 long đền vuông D18-50x50x3/Zn</v>
      </c>
      <c r="E556" s="714" t="str">
        <f>VLOOKUP($B556,R_DG!$A$7:$G$1305,4,0)</f>
        <v>bộ</v>
      </c>
      <c r="F556" s="724">
        <v>1</v>
      </c>
      <c r="G556" s="608" t="e">
        <f>VLOOKUP($B556,R_DG!$A$7:$G$1305,5,0)</f>
        <v>#REF!</v>
      </c>
      <c r="H556" s="608">
        <f>VLOOKUP($B556,R_DG!$A$7:$G$1305,6,0)</f>
        <v>0</v>
      </c>
      <c r="I556" s="608">
        <f>VLOOKUP($B556,R_DG!$A$7:$G$1305,7,0)</f>
        <v>0</v>
      </c>
      <c r="J556" s="608" t="e">
        <f t="shared" si="108"/>
        <v>#REF!</v>
      </c>
      <c r="K556" s="608">
        <f t="shared" si="108"/>
        <v>0</v>
      </c>
      <c r="L556" s="725">
        <f t="shared" si="108"/>
        <v>0</v>
      </c>
      <c r="M556" s="726">
        <f t="shared" si="117"/>
        <v>0</v>
      </c>
      <c r="N556" s="727">
        <f t="shared" ca="1" si="118"/>
        <v>0</v>
      </c>
    </row>
    <row r="557" spans="1:14" ht="20.100000000000001" hidden="1" customHeight="1">
      <c r="A557" s="696"/>
      <c r="B557" s="226" t="s">
        <v>1179</v>
      </c>
      <c r="C557" s="713" t="str">
        <f>VLOOKUP($B557,R_DG!$A$7:$G$1305,2,0)</f>
        <v>D2.6021</v>
      </c>
      <c r="D557" s="723" t="str">
        <f>VLOOKUP($B557,R_DG!$A$7:$G$1305,3,0)</f>
        <v>Lắp xà đỡ ≤ 25kg</v>
      </c>
      <c r="E557" s="714" t="str">
        <f>VLOOKUP($B557,R_DG!$A$7:$G$1305,4,0)</f>
        <v>bộ</v>
      </c>
      <c r="F557" s="724">
        <v>1</v>
      </c>
      <c r="G557" s="608">
        <f>VLOOKUP($B557,R_DG!$A$7:$G$1305,5,0)</f>
        <v>0</v>
      </c>
      <c r="H557" s="608">
        <f>VLOOKUP($B557,R_DG!$A$7:$G$1305,6,0)</f>
        <v>208581.5</v>
      </c>
      <c r="I557" s="608">
        <f>VLOOKUP($B557,R_DG!$A$7:$G$1305,7,0)</f>
        <v>0</v>
      </c>
      <c r="J557" s="608">
        <f t="shared" si="108"/>
        <v>0</v>
      </c>
      <c r="K557" s="608">
        <f t="shared" si="108"/>
        <v>208581.5</v>
      </c>
      <c r="L557" s="725">
        <f t="shared" si="108"/>
        <v>0</v>
      </c>
      <c r="M557" s="726">
        <f t="shared" si="117"/>
        <v>0</v>
      </c>
      <c r="N557" s="727">
        <f t="shared" ca="1" si="118"/>
        <v>0</v>
      </c>
    </row>
    <row r="558" spans="1:14" ht="20.100000000000001" hidden="1" customHeight="1">
      <c r="A558" s="696"/>
      <c r="B558" s="226" t="s">
        <v>2228</v>
      </c>
      <c r="C558" s="713" t="str">
        <f>VLOOKUP($B558,R_DG!$A$7:$G$1305,2,0)</f>
        <v>02.1115</v>
      </c>
      <c r="D558" s="723" t="str">
        <f>VLOOKUP($B558,R_DG!$A$7:$G$1305,3,0)</f>
        <v>Bốc dỡ xà, thép thanh</v>
      </c>
      <c r="E558" s="714" t="str">
        <f>VLOOKUP($B558,R_DG!$A$7:$G$1305,4,0)</f>
        <v>tấn</v>
      </c>
      <c r="F558" s="724"/>
      <c r="G558" s="608">
        <f>VLOOKUP($B558,R_DG!$A$7:$G$1305,5,0)</f>
        <v>0</v>
      </c>
      <c r="H558" s="608">
        <f>VLOOKUP($B558,R_DG!$A$7:$G$1305,6,0)</f>
        <v>0</v>
      </c>
      <c r="I558" s="608">
        <f>VLOOKUP($B558,R_DG!$A$7:$G$1305,7,0)</f>
        <v>0</v>
      </c>
      <c r="J558" s="608">
        <f t="shared" si="108"/>
        <v>0</v>
      </c>
      <c r="K558" s="608">
        <f t="shared" si="108"/>
        <v>0</v>
      </c>
      <c r="L558" s="725">
        <f t="shared" si="108"/>
        <v>0</v>
      </c>
      <c r="M558" s="726">
        <f t="shared" si="117"/>
        <v>0</v>
      </c>
      <c r="N558" s="727">
        <f t="shared" ca="1" si="118"/>
        <v>0</v>
      </c>
    </row>
    <row r="559" spans="1:14" ht="20.100000000000001" customHeight="1">
      <c r="A559" s="728" t="s">
        <v>2265</v>
      </c>
      <c r="B559" s="729"/>
      <c r="C559" s="717"/>
      <c r="D559" s="718" t="s">
        <v>2266</v>
      </c>
      <c r="E559" s="718" t="s">
        <v>163</v>
      </c>
      <c r="F559" s="719"/>
      <c r="G559" s="720"/>
      <c r="H559" s="720"/>
      <c r="I559" s="720"/>
      <c r="J559" s="720" t="e">
        <f>SUM(J560:J564)</f>
        <v>#REF!</v>
      </c>
      <c r="K559" s="720">
        <f>SUM(K560:K564)</f>
        <v>0</v>
      </c>
      <c r="L559" s="721">
        <f>SUM(L560:L564)</f>
        <v>0</v>
      </c>
      <c r="M559" s="693">
        <f>IF(ERROR.TYPE(IF(HLOOKUP(A559,maBK,1,0)&lt;&gt;"",#NULL!,"ABC"))&lt;&gt;7,1,0)</f>
        <v>0</v>
      </c>
      <c r="N559" s="712">
        <f ca="1">SUMIF(maBK,$A559,tongBK1)</f>
        <v>0</v>
      </c>
    </row>
    <row r="560" spans="1:14" ht="20.100000000000001" hidden="1" customHeight="1">
      <c r="A560" s="696"/>
      <c r="B560" s="226" t="s">
        <v>3311</v>
      </c>
      <c r="C560" s="713">
        <f>VLOOKUP($B560,R_DG!$A$7:$G$1305,2,0)</f>
        <v>0</v>
      </c>
      <c r="D560" s="723" t="str">
        <f>VLOOKUP($B560,R_DG!$A$7:$G$1305,3,0)</f>
        <v>Đà sắt L75x75x8x2000 lệch 2/3 3 ốp (19,93kg/cái)</v>
      </c>
      <c r="E560" s="714" t="str">
        <f>VLOOKUP($B560,R_DG!$A$7:$G$1305,4,0)</f>
        <v>cái</v>
      </c>
      <c r="F560" s="724">
        <v>2</v>
      </c>
      <c r="G560" s="608" t="e">
        <f>VLOOKUP($B560,R_DG!$A$7:$G$1305,5,0)</f>
        <v>#REF!</v>
      </c>
      <c r="H560" s="608">
        <f>VLOOKUP($B560,R_DG!$A$7:$G$1305,6,0)</f>
        <v>0</v>
      </c>
      <c r="I560" s="608">
        <f>VLOOKUP($B560,R_DG!$A$7:$G$1305,7,0)</f>
        <v>0</v>
      </c>
      <c r="J560" s="608" t="e">
        <f t="shared" si="108"/>
        <v>#REF!</v>
      </c>
      <c r="K560" s="608">
        <f t="shared" si="108"/>
        <v>0</v>
      </c>
      <c r="L560" s="725">
        <f t="shared" si="108"/>
        <v>0</v>
      </c>
      <c r="M560" s="726">
        <f t="shared" ref="M560:M567" si="119">IF(F560&gt;0,M$559,0)</f>
        <v>0</v>
      </c>
      <c r="N560" s="727">
        <f t="shared" ref="N560:N567" ca="1" si="120">$F560*N$559</f>
        <v>0</v>
      </c>
    </row>
    <row r="561" spans="1:14" ht="20.100000000000001" hidden="1" customHeight="1">
      <c r="A561" s="696"/>
      <c r="B561" s="226" t="s">
        <v>4052</v>
      </c>
      <c r="C561" s="713">
        <f>VLOOKUP($B561,R_DG!$A$7:$G$1305,2,0)</f>
        <v>0</v>
      </c>
      <c r="D561" s="723" t="str">
        <f>VLOOKUP($B561,R_DG!$A$7:$G$1305,3,0)</f>
        <v>Thanh chống L50x50x5x1150 (3,51kg/cái)</v>
      </c>
      <c r="E561" s="714" t="str">
        <f>VLOOKUP($B561,R_DG!$A$7:$G$1305,4,0)</f>
        <v>cái</v>
      </c>
      <c r="F561" s="724">
        <v>2</v>
      </c>
      <c r="G561" s="608">
        <f>VLOOKUP($B561,R_DG!$A$7:$G$1305,5,0)</f>
        <v>101653.11</v>
      </c>
      <c r="H561" s="608">
        <f>VLOOKUP($B561,R_DG!$A$7:$G$1305,6,0)</f>
        <v>0</v>
      </c>
      <c r="I561" s="608">
        <f>VLOOKUP($B561,R_DG!$A$7:$G$1305,7,0)</f>
        <v>0</v>
      </c>
      <c r="J561" s="608">
        <f t="shared" si="108"/>
        <v>203306.22</v>
      </c>
      <c r="K561" s="608">
        <f t="shared" si="108"/>
        <v>0</v>
      </c>
      <c r="L561" s="725">
        <f t="shared" si="108"/>
        <v>0</v>
      </c>
      <c r="M561" s="726">
        <f t="shared" si="119"/>
        <v>0</v>
      </c>
      <c r="N561" s="727">
        <f t="shared" ca="1" si="120"/>
        <v>0</v>
      </c>
    </row>
    <row r="562" spans="1:14" ht="20.100000000000001" hidden="1" customHeight="1">
      <c r="A562" s="696"/>
      <c r="B562" s="226" t="s">
        <v>2237</v>
      </c>
      <c r="C562" s="713">
        <f>VLOOKUP($B562,R_DG!$A$7:$G$1305,2,0)</f>
        <v>0</v>
      </c>
      <c r="D562" s="723" t="str">
        <f>VLOOKUP($B562,R_DG!$A$7:$G$1305,3,0)</f>
        <v>Boulon 16x300VRS+ 4 long đền vuông D18-50x50x3/Zn</v>
      </c>
      <c r="E562" s="714" t="str">
        <f>VLOOKUP($B562,R_DG!$A$7:$G$1305,4,0)</f>
        <v>bộ</v>
      </c>
      <c r="F562" s="724">
        <v>3</v>
      </c>
      <c r="G562" s="608" t="e">
        <f>VLOOKUP($B562,R_DG!$A$7:$G$1305,5,0)</f>
        <v>#REF!</v>
      </c>
      <c r="H562" s="608">
        <f>VLOOKUP($B562,R_DG!$A$7:$G$1305,6,0)</f>
        <v>0</v>
      </c>
      <c r="I562" s="608">
        <f>VLOOKUP($B562,R_DG!$A$7:$G$1305,7,0)</f>
        <v>0</v>
      </c>
      <c r="J562" s="608" t="e">
        <f t="shared" si="108"/>
        <v>#REF!</v>
      </c>
      <c r="K562" s="608">
        <f t="shared" si="108"/>
        <v>0</v>
      </c>
      <c r="L562" s="725">
        <f t="shared" si="108"/>
        <v>0</v>
      </c>
      <c r="M562" s="726">
        <f t="shared" si="119"/>
        <v>0</v>
      </c>
      <c r="N562" s="727">
        <f t="shared" ca="1" si="120"/>
        <v>0</v>
      </c>
    </row>
    <row r="563" spans="1:14" ht="20.100000000000001" hidden="1" customHeight="1">
      <c r="A563" s="696"/>
      <c r="B563" s="226" t="s">
        <v>86</v>
      </c>
      <c r="C563" s="713">
        <f>VLOOKUP($B563,R_DG!$A$7:$G$1305,2,0)</f>
        <v>0</v>
      </c>
      <c r="D563" s="723" t="str">
        <f>VLOOKUP($B563,R_DG!$A$7:$G$1305,3,0)</f>
        <v>Boulon 16x300+ 2 long đền vuông D18-50x50x3/Zn</v>
      </c>
      <c r="E563" s="714" t="str">
        <f>VLOOKUP($B563,R_DG!$A$7:$G$1305,4,0)</f>
        <v>bộ</v>
      </c>
      <c r="F563" s="724">
        <v>1</v>
      </c>
      <c r="G563" s="608" t="e">
        <f>VLOOKUP($B563,R_DG!$A$7:$G$1305,5,0)</f>
        <v>#REF!</v>
      </c>
      <c r="H563" s="608">
        <f>VLOOKUP($B563,R_DG!$A$7:$G$1305,6,0)</f>
        <v>0</v>
      </c>
      <c r="I563" s="608">
        <f>VLOOKUP($B563,R_DG!$A$7:$G$1305,7,0)</f>
        <v>0</v>
      </c>
      <c r="J563" s="608" t="e">
        <f t="shared" si="108"/>
        <v>#REF!</v>
      </c>
      <c r="K563" s="608">
        <f t="shared" si="108"/>
        <v>0</v>
      </c>
      <c r="L563" s="725">
        <f t="shared" si="108"/>
        <v>0</v>
      </c>
      <c r="M563" s="726">
        <f t="shared" si="119"/>
        <v>0</v>
      </c>
      <c r="N563" s="727">
        <f t="shared" ca="1" si="120"/>
        <v>0</v>
      </c>
    </row>
    <row r="564" spans="1:14" ht="20.100000000000001" hidden="1" customHeight="1">
      <c r="A564" s="696"/>
      <c r="B564" s="226" t="s">
        <v>84</v>
      </c>
      <c r="C564" s="713">
        <f>VLOOKUP($B564,R_DG!$A$7:$G$1305,2,0)</f>
        <v>0</v>
      </c>
      <c r="D564" s="723" t="str">
        <f>VLOOKUP($B564,R_DG!$A$7:$G$1305,3,0)</f>
        <v>Boulon 16x250+ 2 long đền vuông D18-50x50x3/Zn</v>
      </c>
      <c r="E564" s="714" t="str">
        <f>VLOOKUP($B564,R_DG!$A$7:$G$1305,4,0)</f>
        <v>bộ</v>
      </c>
      <c r="F564" s="724">
        <v>1</v>
      </c>
      <c r="G564" s="608" t="e">
        <f>VLOOKUP($B564,R_DG!$A$7:$G$1305,5,0)</f>
        <v>#REF!</v>
      </c>
      <c r="H564" s="608">
        <f>VLOOKUP($B564,R_DG!$A$7:$G$1305,6,0)</f>
        <v>0</v>
      </c>
      <c r="I564" s="608">
        <f>VLOOKUP($B564,R_DG!$A$7:$G$1305,7,0)</f>
        <v>0</v>
      </c>
      <c r="J564" s="608" t="e">
        <f t="shared" si="108"/>
        <v>#REF!</v>
      </c>
      <c r="K564" s="608">
        <f t="shared" si="108"/>
        <v>0</v>
      </c>
      <c r="L564" s="725">
        <f t="shared" si="108"/>
        <v>0</v>
      </c>
      <c r="M564" s="726">
        <f t="shared" si="119"/>
        <v>0</v>
      </c>
      <c r="N564" s="727">
        <f t="shared" ca="1" si="120"/>
        <v>0</v>
      </c>
    </row>
    <row r="565" spans="1:14" ht="20.100000000000001" hidden="1" customHeight="1">
      <c r="A565" s="696"/>
      <c r="B565" s="226" t="s">
        <v>76</v>
      </c>
      <c r="C565" s="713">
        <f>VLOOKUP($B565,R_DG!$A$7:$G$1305,2,0)</f>
        <v>0</v>
      </c>
      <c r="D565" s="723" t="str">
        <f>VLOOKUP($B565,R_DG!$A$7:$G$1305,3,0)</f>
        <v>Boulon 16x50+ 2 long đền vuông D18-50x50x3/Zn</v>
      </c>
      <c r="E565" s="714" t="str">
        <f>VLOOKUP($B565,R_DG!$A$7:$G$1305,4,0)</f>
        <v>bộ</v>
      </c>
      <c r="F565" s="724">
        <v>2</v>
      </c>
      <c r="G565" s="608" t="e">
        <f>VLOOKUP($B565,R_DG!$A$7:$G$1305,5,0)</f>
        <v>#REF!</v>
      </c>
      <c r="H565" s="608">
        <f>VLOOKUP($B565,R_DG!$A$7:$G$1305,6,0)</f>
        <v>0</v>
      </c>
      <c r="I565" s="608">
        <f>VLOOKUP($B565,R_DG!$A$7:$G$1305,7,0)</f>
        <v>0</v>
      </c>
      <c r="J565" s="608" t="e">
        <f t="shared" si="108"/>
        <v>#REF!</v>
      </c>
      <c r="K565" s="608">
        <f t="shared" si="108"/>
        <v>0</v>
      </c>
      <c r="L565" s="725">
        <f t="shared" si="108"/>
        <v>0</v>
      </c>
      <c r="M565" s="726">
        <f t="shared" si="119"/>
        <v>0</v>
      </c>
      <c r="N565" s="727">
        <f t="shared" ca="1" si="120"/>
        <v>0</v>
      </c>
    </row>
    <row r="566" spans="1:14" ht="20.100000000000001" hidden="1" customHeight="1">
      <c r="A566" s="696"/>
      <c r="B566" s="226" t="s">
        <v>1185</v>
      </c>
      <c r="C566" s="713" t="str">
        <f>VLOOKUP($B566,R_DG!$A$7:$G$1305,2,0)</f>
        <v>D2.6032</v>
      </c>
      <c r="D566" s="723" t="str">
        <f>VLOOKUP($B566,R_DG!$A$7:$G$1305,3,0)</f>
        <v>Lắp xà néo ≤ 50kg</v>
      </c>
      <c r="E566" s="714" t="str">
        <f>VLOOKUP($B566,R_DG!$A$7:$G$1305,4,0)</f>
        <v>bộ</v>
      </c>
      <c r="F566" s="724">
        <v>1</v>
      </c>
      <c r="G566" s="608">
        <f>VLOOKUP($B566,R_DG!$A$7:$G$1305,5,0)</f>
        <v>0</v>
      </c>
      <c r="H566" s="608">
        <f>VLOOKUP($B566,R_DG!$A$7:$G$1305,6,0)</f>
        <v>375446.7</v>
      </c>
      <c r="I566" s="608">
        <f>VLOOKUP($B566,R_DG!$A$7:$G$1305,7,0)</f>
        <v>0</v>
      </c>
      <c r="J566" s="608">
        <f t="shared" si="108"/>
        <v>0</v>
      </c>
      <c r="K566" s="608">
        <f t="shared" si="108"/>
        <v>375446.7</v>
      </c>
      <c r="L566" s="725">
        <f t="shared" si="108"/>
        <v>0</v>
      </c>
      <c r="M566" s="726">
        <f t="shared" si="119"/>
        <v>0</v>
      </c>
      <c r="N566" s="727">
        <f t="shared" ca="1" si="120"/>
        <v>0</v>
      </c>
    </row>
    <row r="567" spans="1:14" ht="20.100000000000001" hidden="1" customHeight="1">
      <c r="A567" s="696"/>
      <c r="B567" s="226" t="s">
        <v>2228</v>
      </c>
      <c r="C567" s="713" t="str">
        <f>VLOOKUP($B567,R_DG!$A$7:$G$1305,2,0)</f>
        <v>02.1115</v>
      </c>
      <c r="D567" s="723" t="str">
        <f>VLOOKUP($B567,R_DG!$A$7:$G$1305,3,0)</f>
        <v>Bốc dỡ xà, thép thanh</v>
      </c>
      <c r="E567" s="714" t="str">
        <f>VLOOKUP($B567,R_DG!$A$7:$G$1305,4,0)</f>
        <v>tấn</v>
      </c>
      <c r="F567" s="724"/>
      <c r="G567" s="608">
        <f>VLOOKUP($B567,R_DG!$A$7:$G$1305,5,0)</f>
        <v>0</v>
      </c>
      <c r="H567" s="608">
        <f>VLOOKUP($B567,R_DG!$A$7:$G$1305,6,0)</f>
        <v>0</v>
      </c>
      <c r="I567" s="608">
        <f>VLOOKUP($B567,R_DG!$A$7:$G$1305,7,0)</f>
        <v>0</v>
      </c>
      <c r="J567" s="608">
        <f t="shared" si="108"/>
        <v>0</v>
      </c>
      <c r="K567" s="608">
        <f t="shared" si="108"/>
        <v>0</v>
      </c>
      <c r="L567" s="725">
        <f t="shared" si="108"/>
        <v>0</v>
      </c>
      <c r="M567" s="726">
        <f t="shared" si="119"/>
        <v>0</v>
      </c>
      <c r="N567" s="727">
        <f t="shared" ca="1" si="120"/>
        <v>0</v>
      </c>
    </row>
    <row r="568" spans="1:14" ht="20.100000000000001" customHeight="1">
      <c r="A568" s="728" t="s">
        <v>2267</v>
      </c>
      <c r="B568" s="729"/>
      <c r="C568" s="717"/>
      <c r="D568" s="718" t="s">
        <v>2268</v>
      </c>
      <c r="E568" s="718" t="s">
        <v>163</v>
      </c>
      <c r="F568" s="719"/>
      <c r="G568" s="720"/>
      <c r="H568" s="720"/>
      <c r="I568" s="720"/>
      <c r="J568" s="720" t="e">
        <f>SUM(J569:J573)</f>
        <v>#REF!</v>
      </c>
      <c r="K568" s="720">
        <f>SUM(K569:K573)</f>
        <v>1143517.4000000001</v>
      </c>
      <c r="L568" s="721">
        <f>SUM(L569:L573)</f>
        <v>0</v>
      </c>
      <c r="M568" s="693">
        <f>IF(ERROR.TYPE(IF(HLOOKUP(A568,maBK,1,0)&lt;&gt;"",#NULL!,"ABC"))&lt;&gt;7,1,0)</f>
        <v>0</v>
      </c>
      <c r="N568" s="712">
        <f ca="1">SUMIF(maBK,$A568,tongBK1)</f>
        <v>0</v>
      </c>
    </row>
    <row r="569" spans="1:14" ht="20.100000000000001" hidden="1" customHeight="1">
      <c r="A569" s="696"/>
      <c r="B569" s="226" t="s">
        <v>669</v>
      </c>
      <c r="C569" s="713">
        <f>VLOOKUP($B569,R_DG!$A$7:$G$1305,2,0)</f>
        <v>0</v>
      </c>
      <c r="D569" s="723" t="str">
        <f>VLOOKUP($B569,R_DG!$A$7:$G$1305,3,0)</f>
        <v>Thép hình L75 x75 x8</v>
      </c>
      <c r="E569" s="714" t="str">
        <f>VLOOKUP($B569,R_DG!$A$7:$G$1305,4,0)</f>
        <v>kg</v>
      </c>
      <c r="F569" s="724">
        <f>9.02*(2.4+3*0.07)</f>
        <v>23.542199999999998</v>
      </c>
      <c r="G569" s="608">
        <f>VLOOKUP($B569,R_DG!$A$7:$G$1305,5,0)</f>
        <v>28961</v>
      </c>
      <c r="H569" s="608">
        <f>VLOOKUP($B569,R_DG!$A$7:$G$1305,6,0)</f>
        <v>0</v>
      </c>
      <c r="I569" s="608">
        <f>VLOOKUP($B569,R_DG!$A$7:$G$1305,7,0)</f>
        <v>0</v>
      </c>
      <c r="J569" s="608">
        <f t="shared" si="108"/>
        <v>681805.65419999987</v>
      </c>
      <c r="K569" s="608">
        <f t="shared" si="108"/>
        <v>0</v>
      </c>
      <c r="L569" s="725">
        <f t="shared" si="108"/>
        <v>0</v>
      </c>
      <c r="M569" s="726">
        <f>IF(F569&gt;0,M$568,0)</f>
        <v>0</v>
      </c>
      <c r="N569" s="727">
        <f ca="1">$F569*N$568</f>
        <v>0</v>
      </c>
    </row>
    <row r="570" spans="1:14" ht="20.100000000000001" hidden="1" customHeight="1">
      <c r="A570" s="696"/>
      <c r="B570" s="226" t="s">
        <v>86</v>
      </c>
      <c r="C570" s="713">
        <f>VLOOKUP($B570,R_DG!$A$7:$G$1305,2,0)</f>
        <v>0</v>
      </c>
      <c r="D570" s="723" t="str">
        <f>VLOOKUP($B570,R_DG!$A$7:$G$1305,3,0)</f>
        <v>Boulon 16x300+ 2 long đền vuông D18-50x50x3/Zn</v>
      </c>
      <c r="E570" s="714" t="str">
        <f>VLOOKUP($B570,R_DG!$A$7:$G$1305,4,0)</f>
        <v>bộ</v>
      </c>
      <c r="F570" s="724">
        <v>2</v>
      </c>
      <c r="G570" s="608" t="e">
        <f>VLOOKUP($B570,R_DG!$A$7:$G$1305,5,0)</f>
        <v>#REF!</v>
      </c>
      <c r="H570" s="608">
        <f>VLOOKUP($B570,R_DG!$A$7:$G$1305,6,0)</f>
        <v>0</v>
      </c>
      <c r="I570" s="608">
        <f>VLOOKUP($B570,R_DG!$A$7:$G$1305,7,0)</f>
        <v>0</v>
      </c>
      <c r="J570" s="608" t="e">
        <f t="shared" si="108"/>
        <v>#REF!</v>
      </c>
      <c r="K570" s="608">
        <f t="shared" si="108"/>
        <v>0</v>
      </c>
      <c r="L570" s="725">
        <f t="shared" si="108"/>
        <v>0</v>
      </c>
      <c r="M570" s="726">
        <f>IF(F570&gt;0,M$568,0)</f>
        <v>0</v>
      </c>
      <c r="N570" s="727">
        <f ca="1">$F570*N$568</f>
        <v>0</v>
      </c>
    </row>
    <row r="571" spans="1:14" ht="20.100000000000001" hidden="1" customHeight="1">
      <c r="A571" s="696"/>
      <c r="B571" s="226" t="s">
        <v>1193</v>
      </c>
      <c r="C571" s="713" t="str">
        <f>VLOOKUP($B571,R_DG!$A$7:$G$1305,2,0)</f>
        <v>D2.6054</v>
      </c>
      <c r="D571" s="723" t="str">
        <f>VLOOKUP($B571,R_DG!$A$7:$G$1305,3,0)</f>
        <v>Lắp xà cột Pi loại ≤140kg/xà</v>
      </c>
      <c r="E571" s="714" t="str">
        <f>VLOOKUP($B571,R_DG!$A$7:$G$1305,4,0)</f>
        <v>bộ</v>
      </c>
      <c r="F571" s="724">
        <v>1</v>
      </c>
      <c r="G571" s="608">
        <f>VLOOKUP($B571,R_DG!$A$7:$G$1305,5,0)</f>
        <v>0</v>
      </c>
      <c r="H571" s="608">
        <f>VLOOKUP($B571,R_DG!$A$7:$G$1305,6,0)</f>
        <v>571758.70000000007</v>
      </c>
      <c r="I571" s="608">
        <f>VLOOKUP($B571,R_DG!$A$7:$G$1305,7,0)</f>
        <v>0</v>
      </c>
      <c r="J571" s="608">
        <f t="shared" si="108"/>
        <v>0</v>
      </c>
      <c r="K571" s="608">
        <f t="shared" si="108"/>
        <v>571758.70000000007</v>
      </c>
      <c r="L571" s="725">
        <f t="shared" si="108"/>
        <v>0</v>
      </c>
      <c r="M571" s="726">
        <f>IF(F571&gt;0,M$568,0)</f>
        <v>0</v>
      </c>
      <c r="N571" s="727">
        <f ca="1">$F571*N$568</f>
        <v>0</v>
      </c>
    </row>
    <row r="572" spans="1:14" ht="20.100000000000001" hidden="1" customHeight="1">
      <c r="A572" s="696"/>
      <c r="B572" s="226" t="s">
        <v>2228</v>
      </c>
      <c r="C572" s="713" t="str">
        <f>VLOOKUP($B572,R_DG!$A$7:$G$1305,2,0)</f>
        <v>02.1115</v>
      </c>
      <c r="D572" s="723" t="str">
        <f>VLOOKUP($B572,R_DG!$A$7:$G$1305,3,0)</f>
        <v>Bốc dỡ xà, thép thanh</v>
      </c>
      <c r="E572" s="714" t="str">
        <f>VLOOKUP($B572,R_DG!$A$7:$G$1305,4,0)</f>
        <v>tấn</v>
      </c>
      <c r="F572" s="724"/>
      <c r="G572" s="608">
        <f>VLOOKUP($B572,R_DG!$A$7:$G$1305,5,0)</f>
        <v>0</v>
      </c>
      <c r="H572" s="608">
        <f>VLOOKUP($B572,R_DG!$A$7:$G$1305,6,0)</f>
        <v>0</v>
      </c>
      <c r="I572" s="608">
        <f>VLOOKUP($B572,R_DG!$A$7:$G$1305,7,0)</f>
        <v>0</v>
      </c>
      <c r="J572" s="608">
        <f t="shared" si="108"/>
        <v>0</v>
      </c>
      <c r="K572" s="608">
        <f t="shared" si="108"/>
        <v>0</v>
      </c>
      <c r="L572" s="725">
        <f t="shared" si="108"/>
        <v>0</v>
      </c>
      <c r="M572" s="726">
        <f>IF(F572&gt;0,M$568,0)</f>
        <v>0</v>
      </c>
      <c r="N572" s="727">
        <f ca="1">$F572*N$568</f>
        <v>0</v>
      </c>
    </row>
    <row r="573" spans="1:14" ht="20.100000000000001" customHeight="1">
      <c r="A573" s="728" t="s">
        <v>2269</v>
      </c>
      <c r="B573" s="729"/>
      <c r="C573" s="717"/>
      <c r="D573" s="718" t="s">
        <v>2270</v>
      </c>
      <c r="E573" s="718" t="s">
        <v>163</v>
      </c>
      <c r="F573" s="719"/>
      <c r="G573" s="720"/>
      <c r="H573" s="720"/>
      <c r="I573" s="720"/>
      <c r="J573" s="720" t="e">
        <f>SUM(J574:J578)</f>
        <v>#REF!</v>
      </c>
      <c r="K573" s="720">
        <f>SUM(K574:K578)</f>
        <v>571758.70000000007</v>
      </c>
      <c r="L573" s="721">
        <f>SUM(L574:L578)</f>
        <v>0</v>
      </c>
      <c r="M573" s="693">
        <f>IF(ERROR.TYPE(IF(HLOOKUP(A573,maBK,1,0)&lt;&gt;"",#NULL!,"ABC"))&lt;&gt;7,1,0)</f>
        <v>0</v>
      </c>
      <c r="N573" s="712">
        <f ca="1">SUMIF(maBK,$A573,tongBK1)</f>
        <v>0</v>
      </c>
    </row>
    <row r="574" spans="1:14" ht="20.100000000000001" hidden="1" customHeight="1">
      <c r="A574" s="696"/>
      <c r="B574" s="226" t="s">
        <v>669</v>
      </c>
      <c r="C574" s="713">
        <f>VLOOKUP($B574,R_DG!$A$7:$G$1305,2,0)</f>
        <v>0</v>
      </c>
      <c r="D574" s="723" t="str">
        <f>VLOOKUP($B574,R_DG!$A$7:$G$1305,3,0)</f>
        <v>Thép hình L75 x75 x8</v>
      </c>
      <c r="E574" s="714" t="str">
        <f>VLOOKUP($B574,R_DG!$A$7:$G$1305,4,0)</f>
        <v>kg</v>
      </c>
      <c r="F574" s="724">
        <f>9.02*(2.4+3*0.1)*2</f>
        <v>48.707999999999998</v>
      </c>
      <c r="G574" s="608">
        <f>VLOOKUP($B574,R_DG!$A$7:$G$1305,5,0)</f>
        <v>28961</v>
      </c>
      <c r="H574" s="608">
        <f>VLOOKUP($B574,R_DG!$A$7:$G$1305,6,0)</f>
        <v>0</v>
      </c>
      <c r="I574" s="608">
        <f>VLOOKUP($B574,R_DG!$A$7:$G$1305,7,0)</f>
        <v>0</v>
      </c>
      <c r="J574" s="608">
        <f t="shared" si="108"/>
        <v>1410632.388</v>
      </c>
      <c r="K574" s="608">
        <f t="shared" si="108"/>
        <v>0</v>
      </c>
      <c r="L574" s="725">
        <f t="shared" si="108"/>
        <v>0</v>
      </c>
      <c r="M574" s="726">
        <f>IF(F574&gt;0,M$573,0)</f>
        <v>0</v>
      </c>
      <c r="N574" s="727">
        <f ca="1">$F574*N$573</f>
        <v>0</v>
      </c>
    </row>
    <row r="575" spans="1:14" ht="20.100000000000001" hidden="1" customHeight="1">
      <c r="A575" s="696"/>
      <c r="B575" s="226" t="s">
        <v>86</v>
      </c>
      <c r="C575" s="713">
        <f>VLOOKUP($B575,R_DG!$A$7:$G$1305,2,0)</f>
        <v>0</v>
      </c>
      <c r="D575" s="723" t="str">
        <f>VLOOKUP($B575,R_DG!$A$7:$G$1305,3,0)</f>
        <v>Boulon 16x300+ 2 long đền vuông D18-50x50x3/Zn</v>
      </c>
      <c r="E575" s="714" t="str">
        <f>VLOOKUP($B575,R_DG!$A$7:$G$1305,4,0)</f>
        <v>bộ</v>
      </c>
      <c r="F575" s="724">
        <v>2</v>
      </c>
      <c r="G575" s="608" t="e">
        <f>VLOOKUP($B575,R_DG!$A$7:$G$1305,5,0)</f>
        <v>#REF!</v>
      </c>
      <c r="H575" s="608">
        <f>VLOOKUP($B575,R_DG!$A$7:$G$1305,6,0)</f>
        <v>0</v>
      </c>
      <c r="I575" s="608">
        <f>VLOOKUP($B575,R_DG!$A$7:$G$1305,7,0)</f>
        <v>0</v>
      </c>
      <c r="J575" s="608" t="e">
        <f t="shared" si="108"/>
        <v>#REF!</v>
      </c>
      <c r="K575" s="608">
        <f t="shared" si="108"/>
        <v>0</v>
      </c>
      <c r="L575" s="725">
        <f t="shared" si="108"/>
        <v>0</v>
      </c>
      <c r="M575" s="726">
        <f>IF(F575&gt;0,M$573,0)</f>
        <v>0</v>
      </c>
      <c r="N575" s="727">
        <f ca="1">$F575*N$573</f>
        <v>0</v>
      </c>
    </row>
    <row r="576" spans="1:14" ht="20.100000000000001" hidden="1" customHeight="1">
      <c r="A576" s="696"/>
      <c r="B576" s="226" t="s">
        <v>106</v>
      </c>
      <c r="C576" s="713">
        <f>VLOOKUP($B576,R_DG!$A$7:$G$1305,2,0)</f>
        <v>0</v>
      </c>
      <c r="D576" s="723" t="str">
        <f>VLOOKUP($B576,R_DG!$A$7:$G$1305,3,0)</f>
        <v>Boulon 16x300VRS+ 4 long đền vuông D18-50x50x3/Zn</v>
      </c>
      <c r="E576" s="714" t="str">
        <f>VLOOKUP($B576,R_DG!$A$7:$G$1305,4,0)</f>
        <v>bộ</v>
      </c>
      <c r="F576" s="724">
        <v>4</v>
      </c>
      <c r="G576" s="608" t="e">
        <f>VLOOKUP($B576,R_DG!$A$7:$G$1305,5,0)</f>
        <v>#REF!</v>
      </c>
      <c r="H576" s="608">
        <f>VLOOKUP($B576,R_DG!$A$7:$G$1305,6,0)</f>
        <v>0</v>
      </c>
      <c r="I576" s="608">
        <f>VLOOKUP($B576,R_DG!$A$7:$G$1305,7,0)</f>
        <v>0</v>
      </c>
      <c r="J576" s="608" t="e">
        <f t="shared" si="108"/>
        <v>#REF!</v>
      </c>
      <c r="K576" s="608">
        <f t="shared" si="108"/>
        <v>0</v>
      </c>
      <c r="L576" s="725">
        <f t="shared" si="108"/>
        <v>0</v>
      </c>
      <c r="M576" s="726">
        <f>IF(F576&gt;0,M$573,0)</f>
        <v>0</v>
      </c>
      <c r="N576" s="727">
        <f ca="1">$F576*N$573</f>
        <v>0</v>
      </c>
    </row>
    <row r="577" spans="1:14" ht="20.100000000000001" hidden="1" customHeight="1">
      <c r="A577" s="696"/>
      <c r="B577" s="226" t="s">
        <v>1193</v>
      </c>
      <c r="C577" s="713" t="str">
        <f>VLOOKUP($B577,R_DG!$A$7:$G$1305,2,0)</f>
        <v>D2.6054</v>
      </c>
      <c r="D577" s="723" t="str">
        <f>VLOOKUP($B577,R_DG!$A$7:$G$1305,3,0)</f>
        <v>Lắp xà cột Pi loại ≤140kg/xà</v>
      </c>
      <c r="E577" s="714" t="str">
        <f>VLOOKUP($B577,R_DG!$A$7:$G$1305,4,0)</f>
        <v>bộ</v>
      </c>
      <c r="F577" s="724">
        <v>1</v>
      </c>
      <c r="G577" s="608">
        <f>VLOOKUP($B577,R_DG!$A$7:$G$1305,5,0)</f>
        <v>0</v>
      </c>
      <c r="H577" s="608">
        <f>VLOOKUP($B577,R_DG!$A$7:$G$1305,6,0)</f>
        <v>571758.70000000007</v>
      </c>
      <c r="I577" s="608">
        <f>VLOOKUP($B577,R_DG!$A$7:$G$1305,7,0)</f>
        <v>0</v>
      </c>
      <c r="J577" s="608">
        <f t="shared" ref="J577:L578" si="121">G577*$F577</f>
        <v>0</v>
      </c>
      <c r="K577" s="608">
        <f t="shared" si="121"/>
        <v>571758.70000000007</v>
      </c>
      <c r="L577" s="725">
        <f t="shared" si="121"/>
        <v>0</v>
      </c>
      <c r="M577" s="726">
        <f>IF(F577&gt;0,M$573,0)</f>
        <v>0</v>
      </c>
      <c r="N577" s="727">
        <f ca="1">$F577*N$573</f>
        <v>0</v>
      </c>
    </row>
    <row r="578" spans="1:14" ht="20.100000000000001" hidden="1" customHeight="1">
      <c r="A578" s="696"/>
      <c r="B578" s="226" t="s">
        <v>2228</v>
      </c>
      <c r="C578" s="713" t="str">
        <f>VLOOKUP($B578,R_DG!$A$7:$G$1305,2,0)</f>
        <v>02.1115</v>
      </c>
      <c r="D578" s="723" t="str">
        <f>VLOOKUP($B578,R_DG!$A$7:$G$1305,3,0)</f>
        <v>Bốc dỡ xà, thép thanh</v>
      </c>
      <c r="E578" s="714" t="str">
        <f>VLOOKUP($B578,R_DG!$A$7:$G$1305,4,0)</f>
        <v>tấn</v>
      </c>
      <c r="F578" s="724"/>
      <c r="G578" s="608">
        <f>VLOOKUP($B578,R_DG!$A$7:$G$1305,5,0)</f>
        <v>0</v>
      </c>
      <c r="H578" s="608">
        <f>VLOOKUP($B578,R_DG!$A$7:$G$1305,6,0)</f>
        <v>0</v>
      </c>
      <c r="I578" s="608">
        <f>VLOOKUP($B578,R_DG!$A$7:$G$1305,7,0)</f>
        <v>0</v>
      </c>
      <c r="J578" s="608">
        <f t="shared" si="121"/>
        <v>0</v>
      </c>
      <c r="K578" s="608">
        <f t="shared" si="121"/>
        <v>0</v>
      </c>
      <c r="L578" s="725">
        <f t="shared" si="121"/>
        <v>0</v>
      </c>
      <c r="M578" s="726">
        <f>IF(F578&gt;0,M$573,0)</f>
        <v>0</v>
      </c>
      <c r="N578" s="727">
        <f ca="1">$F578*N$573</f>
        <v>0</v>
      </c>
    </row>
    <row r="579" spans="1:14" ht="20.100000000000001" customHeight="1">
      <c r="A579" s="741" t="s">
        <v>2271</v>
      </c>
      <c r="B579" s="729"/>
      <c r="C579" s="717"/>
      <c r="D579" s="718" t="s">
        <v>2272</v>
      </c>
      <c r="E579" s="718" t="s">
        <v>163</v>
      </c>
      <c r="F579" s="719"/>
      <c r="G579" s="720"/>
      <c r="H579" s="720"/>
      <c r="I579" s="720"/>
      <c r="J579" s="720">
        <f>SUM(J580:J586)</f>
        <v>482852</v>
      </c>
      <c r="K579" s="720">
        <f>SUM(K580:K586)</f>
        <v>106623</v>
      </c>
      <c r="L579" s="721">
        <f>SUM(L580:L586)</f>
        <v>0</v>
      </c>
      <c r="N579" s="712">
        <f ca="1">SUMIF(maBK,$A579,tongBK1)</f>
        <v>0</v>
      </c>
    </row>
    <row r="580" spans="1:14" ht="20.100000000000001" hidden="1" customHeight="1">
      <c r="A580" s="696"/>
      <c r="B580" s="226" t="s">
        <v>142</v>
      </c>
      <c r="C580" s="713">
        <f>VLOOKUP($B580,R_DG!$A$7:$G$1305,2,0)</f>
        <v>0</v>
      </c>
      <c r="D580" s="723" t="str">
        <f>VLOOKUP($B580,R_DG!$A$7:$G$1305,3,0)</f>
        <v>Boulon mắt 16x250+ 2 long đền vuông D18-50x50x3/Zn</v>
      </c>
      <c r="E580" s="714" t="str">
        <f>VLOOKUP($B580,R_DG!$A$7:$G$1305,4,0)</f>
        <v>bộ</v>
      </c>
      <c r="F580" s="724">
        <v>1</v>
      </c>
      <c r="G580" s="608">
        <f>VLOOKUP($B580,R_DG!$A$7:$G$1305,5,0)</f>
        <v>27300</v>
      </c>
      <c r="H580" s="608">
        <f>VLOOKUP($B580,R_DG!$A$7:$G$1305,6,0)</f>
        <v>0</v>
      </c>
      <c r="I580" s="608">
        <f>VLOOKUP($B580,R_DG!$A$7:$G$1305,7,0)</f>
        <v>0</v>
      </c>
      <c r="J580" s="608">
        <f t="shared" ref="J580:L622" si="122">G580*$F580</f>
        <v>27300</v>
      </c>
      <c r="K580" s="608">
        <f t="shared" si="122"/>
        <v>0</v>
      </c>
      <c r="L580" s="725">
        <f t="shared" si="122"/>
        <v>0</v>
      </c>
      <c r="M580" s="1127">
        <f t="shared" ref="M580:M586" si="123">IF(F580&gt;0,M$579,0)</f>
        <v>0</v>
      </c>
      <c r="N580" s="727">
        <f t="shared" ref="N580:N586" ca="1" si="124">$F580*N$579</f>
        <v>0</v>
      </c>
    </row>
    <row r="581" spans="1:14" ht="20.100000000000001" hidden="1" customHeight="1">
      <c r="A581" s="696"/>
      <c r="B581" s="226" t="s">
        <v>634</v>
      </c>
      <c r="C581" s="713">
        <f>VLOOKUP($B581,R_DG!$A$7:$G$1305,2,0)</f>
        <v>0</v>
      </c>
      <c r="D581" s="723" t="str">
        <f>VLOOKUP($B581,R_DG!$A$7:$G$1305,3,0)</f>
        <v>Sứ chằng nhỏ</v>
      </c>
      <c r="E581" s="714" t="str">
        <f>VLOOKUP($B581,R_DG!$A$7:$G$1305,4,0)</f>
        <v>cái</v>
      </c>
      <c r="F581" s="724">
        <v>1</v>
      </c>
      <c r="G581" s="608">
        <f>VLOOKUP($B581,R_DG!$A$7:$G$1305,5,0)</f>
        <v>47000</v>
      </c>
      <c r="H581" s="608">
        <f>VLOOKUP($B581,R_DG!$A$7:$G$1305,6,0)</f>
        <v>0</v>
      </c>
      <c r="I581" s="608">
        <f>VLOOKUP($B581,R_DG!$A$7:$G$1305,7,0)</f>
        <v>0</v>
      </c>
      <c r="J581" s="608">
        <f t="shared" si="122"/>
        <v>47000</v>
      </c>
      <c r="K581" s="608">
        <f t="shared" si="122"/>
        <v>0</v>
      </c>
      <c r="L581" s="725">
        <f t="shared" si="122"/>
        <v>0</v>
      </c>
      <c r="M581" s="1127">
        <f t="shared" si="123"/>
        <v>0</v>
      </c>
      <c r="N581" s="727">
        <f t="shared" ca="1" si="124"/>
        <v>0</v>
      </c>
    </row>
    <row r="582" spans="1:14" ht="20.100000000000001" hidden="1" customHeight="1">
      <c r="A582" s="696"/>
      <c r="B582" s="226" t="s">
        <v>401</v>
      </c>
      <c r="C582" s="713">
        <f>VLOOKUP($B582,R_DG!$A$7:$G$1305,2,0)</f>
        <v>0</v>
      </c>
      <c r="D582" s="723" t="str">
        <f>VLOOKUP($B582,R_DG!$A$7:$G$1305,3,0)</f>
        <v>Kẹp cáp chằng 3 boulon (B46x130)</v>
      </c>
      <c r="E582" s="714" t="str">
        <f>VLOOKUP($B582,R_DG!$A$7:$G$1305,4,0)</f>
        <v>cái</v>
      </c>
      <c r="F582" s="724">
        <v>4</v>
      </c>
      <c r="G582" s="608">
        <f>VLOOKUP($B582,R_DG!$A$7:$G$1305,5,0)</f>
        <v>40000</v>
      </c>
      <c r="H582" s="608">
        <f>VLOOKUP($B582,R_DG!$A$7:$G$1305,6,0)</f>
        <v>0</v>
      </c>
      <c r="I582" s="608">
        <f>VLOOKUP($B582,R_DG!$A$7:$G$1305,7,0)</f>
        <v>0</v>
      </c>
      <c r="J582" s="608">
        <f t="shared" si="122"/>
        <v>160000</v>
      </c>
      <c r="K582" s="608">
        <f t="shared" si="122"/>
        <v>0</v>
      </c>
      <c r="L582" s="725">
        <f t="shared" si="122"/>
        <v>0</v>
      </c>
      <c r="M582" s="1127">
        <f t="shared" si="123"/>
        <v>0</v>
      </c>
      <c r="N582" s="727">
        <f t="shared" ca="1" si="124"/>
        <v>0</v>
      </c>
    </row>
    <row r="583" spans="1:14" ht="20.100000000000001" hidden="1" customHeight="1">
      <c r="A583" s="696"/>
      <c r="B583" s="226" t="s">
        <v>379</v>
      </c>
      <c r="C583" s="713">
        <f>VLOOKUP($B583,R_DG!$A$7:$G$1305,2,0)</f>
        <v>0</v>
      </c>
      <c r="D583" s="723" t="str">
        <f>VLOOKUP($B583,R_DG!$A$7:$G$1305,3,0)</f>
        <v>Cáp thép 3/8"</v>
      </c>
      <c r="E583" s="714" t="str">
        <f>VLOOKUP($B583,R_DG!$A$7:$G$1305,4,0)</f>
        <v>kg</v>
      </c>
      <c r="F583" s="724">
        <f>(11)*0.396</f>
        <v>4.3559999999999999</v>
      </c>
      <c r="G583" s="608">
        <f>VLOOKUP($B583,R_DG!$A$7:$G$1305,5,0)</f>
        <v>42000</v>
      </c>
      <c r="H583" s="608">
        <f>VLOOKUP($B583,R_DG!$A$7:$G$1305,6,0)</f>
        <v>0</v>
      </c>
      <c r="I583" s="608">
        <f>VLOOKUP($B583,R_DG!$A$7:$G$1305,7,0)</f>
        <v>0</v>
      </c>
      <c r="J583" s="608">
        <f t="shared" si="122"/>
        <v>182952</v>
      </c>
      <c r="K583" s="608">
        <f t="shared" si="122"/>
        <v>0</v>
      </c>
      <c r="L583" s="725">
        <f t="shared" si="122"/>
        <v>0</v>
      </c>
      <c r="M583" s="1127">
        <f t="shared" si="123"/>
        <v>0</v>
      </c>
      <c r="N583" s="733">
        <f t="shared" ca="1" si="124"/>
        <v>0</v>
      </c>
    </row>
    <row r="584" spans="1:14" ht="20.100000000000001" hidden="1" customHeight="1">
      <c r="A584" s="696"/>
      <c r="B584" s="226" t="s">
        <v>796</v>
      </c>
      <c r="C584" s="713">
        <f>VLOOKUP($B584,R_DG!$A$7:$G$1305,2,0)</f>
        <v>0</v>
      </c>
      <c r="D584" s="723" t="str">
        <f>VLOOKUP($B584,R_DG!$A$7:$G$1305,3,0)</f>
        <v>Yếm cáp dày 2mm</v>
      </c>
      <c r="E584" s="714" t="str">
        <f>VLOOKUP($B584,R_DG!$A$7:$G$1305,4,0)</f>
        <v>cái</v>
      </c>
      <c r="F584" s="724">
        <v>2</v>
      </c>
      <c r="G584" s="608">
        <f>VLOOKUP($B584,R_DG!$A$7:$G$1305,5,0)</f>
        <v>5300</v>
      </c>
      <c r="H584" s="608">
        <f>VLOOKUP($B584,R_DG!$A$7:$G$1305,6,0)</f>
        <v>0</v>
      </c>
      <c r="I584" s="608">
        <f>VLOOKUP($B584,R_DG!$A$7:$G$1305,7,0)</f>
        <v>0</v>
      </c>
      <c r="J584" s="608">
        <f t="shared" si="122"/>
        <v>10600</v>
      </c>
      <c r="K584" s="608">
        <f t="shared" si="122"/>
        <v>0</v>
      </c>
      <c r="L584" s="725">
        <f t="shared" si="122"/>
        <v>0</v>
      </c>
      <c r="M584" s="1127">
        <f t="shared" si="123"/>
        <v>0</v>
      </c>
      <c r="N584" s="727">
        <f t="shared" ca="1" si="124"/>
        <v>0</v>
      </c>
    </row>
    <row r="585" spans="1:14" ht="20.100000000000001" hidden="1" customHeight="1">
      <c r="A585" s="696"/>
      <c r="B585" s="226" t="s">
        <v>577</v>
      </c>
      <c r="C585" s="713">
        <f>VLOOKUP($B585,R_DG!$A$7:$G$1305,2,0)</f>
        <v>0</v>
      </c>
      <c r="D585" s="723" t="str">
        <f>VLOOKUP($B585,R_DG!$A$7:$G$1305,3,0)</f>
        <v>Máng che dây chằng dày 1,6x40x2000mm</v>
      </c>
      <c r="E585" s="714" t="str">
        <f>VLOOKUP($B585,R_DG!$A$7:$G$1305,4,0)</f>
        <v>cái</v>
      </c>
      <c r="F585" s="724">
        <v>1</v>
      </c>
      <c r="G585" s="608">
        <f>VLOOKUP($B585,R_DG!$A$7:$G$1305,5,0)</f>
        <v>55000</v>
      </c>
      <c r="H585" s="608">
        <f>VLOOKUP($B585,R_DG!$A$7:$G$1305,6,0)</f>
        <v>0</v>
      </c>
      <c r="I585" s="608">
        <f>VLOOKUP($B585,R_DG!$A$7:$G$1305,7,0)</f>
        <v>0</v>
      </c>
      <c r="J585" s="608">
        <f t="shared" si="122"/>
        <v>55000</v>
      </c>
      <c r="K585" s="608">
        <f t="shared" si="122"/>
        <v>0</v>
      </c>
      <c r="L585" s="725">
        <f t="shared" si="122"/>
        <v>0</v>
      </c>
      <c r="M585" s="1127">
        <f t="shared" si="123"/>
        <v>0</v>
      </c>
      <c r="N585" s="727">
        <f t="shared" ca="1" si="124"/>
        <v>0</v>
      </c>
    </row>
    <row r="586" spans="1:14" ht="20.100000000000001" hidden="1" customHeight="1">
      <c r="A586" s="696"/>
      <c r="B586" s="226" t="s">
        <v>1226</v>
      </c>
      <c r="C586" s="713" t="str">
        <f>VLOOKUP($B586,R_DG!$A$7:$G$1305,2,0)</f>
        <v>D3.3251</v>
      </c>
      <c r="D586" s="723" t="str">
        <f>VLOOKUP($B586,R_DG!$A$7:$G$1305,3,0)</f>
        <v>Lắp bộ dây néo</v>
      </c>
      <c r="E586" s="714" t="str">
        <f>VLOOKUP($B586,R_DG!$A$7:$G$1305,4,0)</f>
        <v>bộ</v>
      </c>
      <c r="F586" s="724">
        <f>F580</f>
        <v>1</v>
      </c>
      <c r="G586" s="608">
        <f>VLOOKUP($B586,R_DG!$A$7:$G$1305,5,0)</f>
        <v>0</v>
      </c>
      <c r="H586" s="608">
        <f>VLOOKUP($B586,R_DG!$A$7:$G$1305,6,0)</f>
        <v>106623</v>
      </c>
      <c r="I586" s="608">
        <f>VLOOKUP($B586,R_DG!$A$7:$G$1305,7,0)</f>
        <v>0</v>
      </c>
      <c r="J586" s="608">
        <f t="shared" si="122"/>
        <v>0</v>
      </c>
      <c r="K586" s="608">
        <f t="shared" si="122"/>
        <v>106623</v>
      </c>
      <c r="L586" s="725">
        <f t="shared" si="122"/>
        <v>0</v>
      </c>
      <c r="M586" s="1127">
        <f t="shared" si="123"/>
        <v>0</v>
      </c>
      <c r="N586" s="727">
        <f t="shared" ca="1" si="124"/>
        <v>0</v>
      </c>
    </row>
    <row r="587" spans="1:14">
      <c r="A587" s="741" t="s">
        <v>2273</v>
      </c>
      <c r="B587" s="729"/>
      <c r="C587" s="717"/>
      <c r="D587" s="718" t="s">
        <v>2274</v>
      </c>
      <c r="E587" s="718" t="s">
        <v>163</v>
      </c>
      <c r="F587" s="719"/>
      <c r="G587" s="720"/>
      <c r="H587" s="720"/>
      <c r="I587" s="720"/>
      <c r="J587" s="720">
        <f>SUM(J588:J596)</f>
        <v>701588</v>
      </c>
      <c r="K587" s="720">
        <f>SUM(K588:K596)</f>
        <v>294346.34999999998</v>
      </c>
      <c r="L587" s="721">
        <f>SUM(L588:L596)</f>
        <v>0</v>
      </c>
      <c r="N587" s="712">
        <f ca="1">SUMIF(maBK,$A587,tongBK1)</f>
        <v>0</v>
      </c>
    </row>
    <row r="588" spans="1:14" ht="20.100000000000001" hidden="1" customHeight="1">
      <c r="A588" s="696"/>
      <c r="B588" s="226" t="s">
        <v>142</v>
      </c>
      <c r="C588" s="713">
        <f>VLOOKUP($B588,R_DG!$A$7:$G$1305,2,0)</f>
        <v>0</v>
      </c>
      <c r="D588" s="723" t="str">
        <f>VLOOKUP($B588,R_DG!$A$7:$G$1305,3,0)</f>
        <v>Boulon mắt 16x250+ 2 long đền vuông D18-50x50x3/Zn</v>
      </c>
      <c r="E588" s="714" t="str">
        <f>VLOOKUP($B588,R_DG!$A$7:$G$1305,4,0)</f>
        <v>bộ</v>
      </c>
      <c r="F588" s="724">
        <v>1</v>
      </c>
      <c r="G588" s="608">
        <f>VLOOKUP($B588,R_DG!$A$7:$G$1305,5,0)</f>
        <v>27300</v>
      </c>
      <c r="H588" s="608">
        <f>VLOOKUP($B588,R_DG!$A$7:$G$1305,6,0)</f>
        <v>0</v>
      </c>
      <c r="I588" s="608">
        <f>VLOOKUP($B588,R_DG!$A$7:$G$1305,7,0)</f>
        <v>0</v>
      </c>
      <c r="J588" s="608">
        <f t="shared" si="122"/>
        <v>27300</v>
      </c>
      <c r="K588" s="608">
        <f t="shared" si="122"/>
        <v>0</v>
      </c>
      <c r="L588" s="725">
        <f t="shared" si="122"/>
        <v>0</v>
      </c>
      <c r="M588" s="1127">
        <f t="shared" ref="M588:M596" si="125">IF(F588&gt;0,M$587,0)</f>
        <v>0</v>
      </c>
      <c r="N588" s="727">
        <f t="shared" ref="N588:N596" ca="1" si="126">$F588*N$587</f>
        <v>0</v>
      </c>
    </row>
    <row r="589" spans="1:14" ht="20.100000000000001" hidden="1" customHeight="1">
      <c r="A589" s="696"/>
      <c r="B589" s="226" t="s">
        <v>634</v>
      </c>
      <c r="C589" s="1297">
        <f>VLOOKUP($B589,R_DG!$A$7:$G$1305,2,0)</f>
        <v>0</v>
      </c>
      <c r="D589" s="1298" t="str">
        <f>VLOOKUP($B589,R_DG!$A$7:$G$1305,3,0)</f>
        <v>Sứ chằng nhỏ</v>
      </c>
      <c r="E589" s="1299" t="str">
        <f>VLOOKUP($B589,R_DG!$A$7:$G$1305,4,0)</f>
        <v>cái</v>
      </c>
      <c r="F589" s="1309">
        <v>1</v>
      </c>
      <c r="G589" s="1301">
        <f>VLOOKUP($B589,R_DG!$A$7:$G$1305,5,0)</f>
        <v>47000</v>
      </c>
      <c r="H589" s="1301">
        <f>VLOOKUP($B589,R_DG!$A$7:$G$1305,6,0)</f>
        <v>0</v>
      </c>
      <c r="I589" s="1301">
        <f>VLOOKUP($B589,R_DG!$A$7:$G$1305,7,0)</f>
        <v>0</v>
      </c>
      <c r="J589" s="1301">
        <f t="shared" si="122"/>
        <v>47000</v>
      </c>
      <c r="K589" s="1301">
        <f t="shared" si="122"/>
        <v>0</v>
      </c>
      <c r="L589" s="1302">
        <f t="shared" si="122"/>
        <v>0</v>
      </c>
      <c r="M589" s="1127">
        <f t="shared" si="125"/>
        <v>0</v>
      </c>
      <c r="N589" s="727">
        <f t="shared" ca="1" si="126"/>
        <v>0</v>
      </c>
    </row>
    <row r="590" spans="1:14" ht="20.100000000000001" hidden="1" customHeight="1">
      <c r="A590" s="696"/>
      <c r="B590" s="226" t="s">
        <v>401</v>
      </c>
      <c r="C590" s="1303">
        <f>VLOOKUP($B590,R_DG!$A$7:$G$1305,2,0)</f>
        <v>0</v>
      </c>
      <c r="D590" s="1304" t="str">
        <f>VLOOKUP($B590,R_DG!$A$7:$G$1305,3,0)</f>
        <v>Kẹp cáp chằng 3 boulon (B46x130)</v>
      </c>
      <c r="E590" s="1305" t="str">
        <f>VLOOKUP($B590,R_DG!$A$7:$G$1305,4,0)</f>
        <v>cái</v>
      </c>
      <c r="F590" s="1310">
        <v>4</v>
      </c>
      <c r="G590" s="1307">
        <f>VLOOKUP($B590,R_DG!$A$7:$G$1305,5,0)</f>
        <v>40000</v>
      </c>
      <c r="H590" s="1307">
        <f>VLOOKUP($B590,R_DG!$A$7:$G$1305,6,0)</f>
        <v>0</v>
      </c>
      <c r="I590" s="1307">
        <f>VLOOKUP($B590,R_DG!$A$7:$G$1305,7,0)</f>
        <v>0</v>
      </c>
      <c r="J590" s="1307">
        <f t="shared" si="122"/>
        <v>160000</v>
      </c>
      <c r="K590" s="1307">
        <f t="shared" si="122"/>
        <v>0</v>
      </c>
      <c r="L590" s="1308">
        <f t="shared" si="122"/>
        <v>0</v>
      </c>
      <c r="M590" s="1127">
        <f t="shared" si="125"/>
        <v>0</v>
      </c>
      <c r="N590" s="727">
        <f t="shared" ca="1" si="126"/>
        <v>0</v>
      </c>
    </row>
    <row r="591" spans="1:14" ht="20.100000000000001" hidden="1" customHeight="1">
      <c r="A591" s="696"/>
      <c r="B591" s="226" t="s">
        <v>379</v>
      </c>
      <c r="C591" s="713">
        <f>VLOOKUP($B591,R_DG!$A$7:$G$1305,2,0)</f>
        <v>0</v>
      </c>
      <c r="D591" s="723" t="str">
        <f>VLOOKUP($B591,R_DG!$A$7:$G$1305,3,0)</f>
        <v>Cáp thép 3/8"</v>
      </c>
      <c r="E591" s="714" t="str">
        <f>VLOOKUP($B591,R_DG!$A$7:$G$1305,4,0)</f>
        <v>kg</v>
      </c>
      <c r="F591" s="724">
        <f>9*0.396</f>
        <v>3.5640000000000001</v>
      </c>
      <c r="G591" s="608">
        <f>VLOOKUP($B591,R_DG!$A$7:$G$1305,5,0)</f>
        <v>42000</v>
      </c>
      <c r="H591" s="608">
        <f>VLOOKUP($B591,R_DG!$A$7:$G$1305,6,0)</f>
        <v>0</v>
      </c>
      <c r="I591" s="608">
        <f>VLOOKUP($B591,R_DG!$A$7:$G$1305,7,0)</f>
        <v>0</v>
      </c>
      <c r="J591" s="608">
        <f t="shared" si="122"/>
        <v>149688</v>
      </c>
      <c r="K591" s="608">
        <f t="shared" si="122"/>
        <v>0</v>
      </c>
      <c r="L591" s="725">
        <f t="shared" si="122"/>
        <v>0</v>
      </c>
      <c r="M591" s="1127">
        <f t="shared" si="125"/>
        <v>0</v>
      </c>
      <c r="N591" s="727">
        <f t="shared" ca="1" si="126"/>
        <v>0</v>
      </c>
    </row>
    <row r="592" spans="1:14" ht="20.100000000000001" hidden="1" customHeight="1">
      <c r="A592" s="696"/>
      <c r="B592" s="226" t="s">
        <v>683</v>
      </c>
      <c r="C592" s="713">
        <f>VLOOKUP($B592,R_DG!$A$7:$G$1305,2,0)</f>
        <v>0</v>
      </c>
      <c r="D592" s="723" t="str">
        <f>VLOOKUP($B592,R_DG!$A$7:$G$1305,3,0)</f>
        <v>Bộ chống chằng hẹp φ60/56x1200+2BL12x40+BL16x200/50</v>
      </c>
      <c r="E592" s="714" t="str">
        <f>VLOOKUP($B592,R_DG!$A$7:$G$1305,4,0)</f>
        <v>bộ</v>
      </c>
      <c r="F592" s="724">
        <v>1</v>
      </c>
      <c r="G592" s="608">
        <f>VLOOKUP($B592,R_DG!$A$7:$G$1305,5,0)</f>
        <v>252000</v>
      </c>
      <c r="H592" s="608">
        <f>VLOOKUP($B592,R_DG!$A$7:$G$1305,6,0)</f>
        <v>0</v>
      </c>
      <c r="I592" s="608">
        <f>VLOOKUP($B592,R_DG!$A$7:$G$1305,7,0)</f>
        <v>0</v>
      </c>
      <c r="J592" s="608">
        <f t="shared" si="122"/>
        <v>252000</v>
      </c>
      <c r="K592" s="608">
        <f t="shared" si="122"/>
        <v>0</v>
      </c>
      <c r="L592" s="725">
        <f t="shared" si="122"/>
        <v>0</v>
      </c>
      <c r="M592" s="1127">
        <f t="shared" si="125"/>
        <v>0</v>
      </c>
      <c r="N592" s="727">
        <f t="shared" ca="1" si="126"/>
        <v>0</v>
      </c>
    </row>
    <row r="593" spans="1:14" ht="20.100000000000001" hidden="1" customHeight="1">
      <c r="A593" s="696"/>
      <c r="B593" s="226" t="s">
        <v>796</v>
      </c>
      <c r="C593" s="713">
        <f>VLOOKUP($B593,R_DG!$A$7:$G$1305,2,0)</f>
        <v>0</v>
      </c>
      <c r="D593" s="723" t="str">
        <f>VLOOKUP($B593,R_DG!$A$7:$G$1305,3,0)</f>
        <v>Yếm cáp dày 2mm</v>
      </c>
      <c r="E593" s="714" t="str">
        <f>VLOOKUP($B593,R_DG!$A$7:$G$1305,4,0)</f>
        <v>cái</v>
      </c>
      <c r="F593" s="724">
        <v>2</v>
      </c>
      <c r="G593" s="608">
        <f>VLOOKUP($B593,R_DG!$A$7:$G$1305,5,0)</f>
        <v>5300</v>
      </c>
      <c r="H593" s="608">
        <f>VLOOKUP($B593,R_DG!$A$7:$G$1305,6,0)</f>
        <v>0</v>
      </c>
      <c r="I593" s="608">
        <f>VLOOKUP($B593,R_DG!$A$7:$G$1305,7,0)</f>
        <v>0</v>
      </c>
      <c r="J593" s="608">
        <f t="shared" si="122"/>
        <v>10600</v>
      </c>
      <c r="K593" s="608">
        <f t="shared" si="122"/>
        <v>0</v>
      </c>
      <c r="L593" s="725">
        <f t="shared" si="122"/>
        <v>0</v>
      </c>
      <c r="M593" s="1127">
        <f t="shared" si="125"/>
        <v>0</v>
      </c>
      <c r="N593" s="727">
        <f t="shared" ca="1" si="126"/>
        <v>0</v>
      </c>
    </row>
    <row r="594" spans="1:14" ht="20.100000000000001" hidden="1" customHeight="1">
      <c r="A594" s="696"/>
      <c r="B594" s="226" t="s">
        <v>577</v>
      </c>
      <c r="C594" s="713">
        <f>VLOOKUP($B594,R_DG!$A$7:$G$1305,2,0)</f>
        <v>0</v>
      </c>
      <c r="D594" s="723" t="str">
        <f>VLOOKUP($B594,R_DG!$A$7:$G$1305,3,0)</f>
        <v>Máng che dây chằng dày 1,6x40x2000mm</v>
      </c>
      <c r="E594" s="714" t="str">
        <f>VLOOKUP($B594,R_DG!$A$7:$G$1305,4,0)</f>
        <v>cái</v>
      </c>
      <c r="F594" s="724">
        <v>1</v>
      </c>
      <c r="G594" s="608">
        <f>VLOOKUP($B594,R_DG!$A$7:$G$1305,5,0)</f>
        <v>55000</v>
      </c>
      <c r="H594" s="608">
        <f>VLOOKUP($B594,R_DG!$A$7:$G$1305,6,0)</f>
        <v>0</v>
      </c>
      <c r="I594" s="608">
        <f>VLOOKUP($B594,R_DG!$A$7:$G$1305,7,0)</f>
        <v>0</v>
      </c>
      <c r="J594" s="608">
        <f t="shared" si="122"/>
        <v>55000</v>
      </c>
      <c r="K594" s="608">
        <f t="shared" si="122"/>
        <v>0</v>
      </c>
      <c r="L594" s="725">
        <f t="shared" si="122"/>
        <v>0</v>
      </c>
      <c r="M594" s="1127">
        <f t="shared" si="125"/>
        <v>0</v>
      </c>
      <c r="N594" s="727">
        <f t="shared" ca="1" si="126"/>
        <v>0</v>
      </c>
    </row>
    <row r="595" spans="1:14" ht="20.100000000000001" hidden="1" customHeight="1">
      <c r="A595" s="696"/>
      <c r="B595" s="226" t="s">
        <v>1226</v>
      </c>
      <c r="C595" s="713" t="str">
        <f>VLOOKUP($B595,R_DG!$A$7:$G$1305,2,0)</f>
        <v>D3.3251</v>
      </c>
      <c r="D595" s="723" t="str">
        <f>VLOOKUP($B595,R_DG!$A$7:$G$1305,3,0)</f>
        <v>Lắp bộ dây néo</v>
      </c>
      <c r="E595" s="714" t="str">
        <f>VLOOKUP($B595,R_DG!$A$7:$G$1305,4,0)</f>
        <v>bộ</v>
      </c>
      <c r="F595" s="724">
        <f>F588</f>
        <v>1</v>
      </c>
      <c r="G595" s="608">
        <f>VLOOKUP($B595,R_DG!$A$7:$G$1305,5,0)</f>
        <v>0</v>
      </c>
      <c r="H595" s="608">
        <f>VLOOKUP($B595,R_DG!$A$7:$G$1305,6,0)</f>
        <v>106623</v>
      </c>
      <c r="I595" s="608">
        <f>VLOOKUP($B595,R_DG!$A$7:$G$1305,7,0)</f>
        <v>0</v>
      </c>
      <c r="J595" s="608">
        <f t="shared" si="122"/>
        <v>0</v>
      </c>
      <c r="K595" s="608">
        <f t="shared" si="122"/>
        <v>106623</v>
      </c>
      <c r="L595" s="725">
        <f t="shared" si="122"/>
        <v>0</v>
      </c>
      <c r="M595" s="1127">
        <f t="shared" si="125"/>
        <v>0</v>
      </c>
      <c r="N595" s="727">
        <f t="shared" ca="1" si="126"/>
        <v>0</v>
      </c>
    </row>
    <row r="596" spans="1:14" ht="20.100000000000001" hidden="1" customHeight="1">
      <c r="A596" s="696"/>
      <c r="B596" s="226" t="s">
        <v>1224</v>
      </c>
      <c r="C596" s="713" t="str">
        <f>VLOOKUP($B596,R_DG!$A$7:$G$1305,2,0)</f>
        <v>D2.6011</v>
      </c>
      <c r="D596" s="723" t="str">
        <f>VLOOKUP($B596,R_DG!$A$7:$G$1305,3,0)</f>
        <v>Lắp bộ chống lệch</v>
      </c>
      <c r="E596" s="714" t="str">
        <f>VLOOKUP($B596,R_DG!$A$7:$G$1305,4,0)</f>
        <v>bộ</v>
      </c>
      <c r="F596" s="724">
        <f>F586</f>
        <v>1</v>
      </c>
      <c r="G596" s="608">
        <f>VLOOKUP($B596,R_DG!$A$7:$G$1305,5,0)</f>
        <v>0</v>
      </c>
      <c r="H596" s="608">
        <f>VLOOKUP($B596,R_DG!$A$7:$G$1305,6,0)</f>
        <v>187723.35</v>
      </c>
      <c r="I596" s="608">
        <f>VLOOKUP($B596,R_DG!$A$7:$G$1305,7,0)</f>
        <v>0</v>
      </c>
      <c r="J596" s="608">
        <f t="shared" si="122"/>
        <v>0</v>
      </c>
      <c r="K596" s="608">
        <f t="shared" si="122"/>
        <v>187723.35</v>
      </c>
      <c r="L596" s="725">
        <f t="shared" si="122"/>
        <v>0</v>
      </c>
      <c r="M596" s="1127">
        <f t="shared" si="125"/>
        <v>0</v>
      </c>
      <c r="N596" s="727">
        <f t="shared" ca="1" si="126"/>
        <v>0</v>
      </c>
    </row>
    <row r="597" spans="1:14" ht="20.100000000000001" customHeight="1">
      <c r="A597" s="728" t="s">
        <v>2572</v>
      </c>
      <c r="B597" s="729"/>
      <c r="C597" s="717"/>
      <c r="D597" s="718" t="s">
        <v>2573</v>
      </c>
      <c r="E597" s="718" t="s">
        <v>163</v>
      </c>
      <c r="F597" s="719"/>
      <c r="G597" s="720"/>
      <c r="H597" s="720"/>
      <c r="I597" s="720"/>
      <c r="J597" s="720">
        <f>SUM(J598:J604)</f>
        <v>727650</v>
      </c>
      <c r="K597" s="720">
        <f>SUM(K598:K604)</f>
        <v>106623</v>
      </c>
      <c r="L597" s="721">
        <f>SUM(L598:L604)</f>
        <v>0</v>
      </c>
      <c r="M597" s="693">
        <f>IF(ERROR.TYPE(IF(HLOOKUP(A597,maBK,1,0)&lt;&gt;"",#NULL!,"ABC"))&lt;&gt;7,1,0)</f>
        <v>0</v>
      </c>
      <c r="N597" s="712">
        <f ca="1">SUMIF(maBK,$A597,tongBK1)</f>
        <v>0</v>
      </c>
    </row>
    <row r="598" spans="1:14" ht="20.100000000000001" hidden="1" customHeight="1">
      <c r="A598" s="696"/>
      <c r="B598" s="226" t="s">
        <v>142</v>
      </c>
      <c r="C598" s="713">
        <f>VLOOKUP($B598,R_DG!$A$7:$G$1305,2,0)</f>
        <v>0</v>
      </c>
      <c r="D598" s="723" t="str">
        <f>VLOOKUP($B598,R_DG!$A$7:$G$1305,3,0)</f>
        <v>Boulon mắt 16x250+ 2 long đền vuông D18-50x50x3/Zn</v>
      </c>
      <c r="E598" s="714" t="str">
        <f>VLOOKUP($B598,R_DG!$A$7:$G$1305,4,0)</f>
        <v>bộ</v>
      </c>
      <c r="F598" s="724">
        <v>1</v>
      </c>
      <c r="G598" s="608">
        <f>VLOOKUP($B598,R_DG!$A$7:$G$1305,5,0)</f>
        <v>27300</v>
      </c>
      <c r="H598" s="608">
        <f>VLOOKUP($B598,R_DG!$A$7:$G$1305,6,0)</f>
        <v>0</v>
      </c>
      <c r="I598" s="608">
        <f>VLOOKUP($B598,R_DG!$A$7:$G$1305,7,0)</f>
        <v>0</v>
      </c>
      <c r="J598" s="608">
        <f t="shared" si="122"/>
        <v>27300</v>
      </c>
      <c r="K598" s="608">
        <f t="shared" si="122"/>
        <v>0</v>
      </c>
      <c r="L598" s="725">
        <f t="shared" si="122"/>
        <v>0</v>
      </c>
      <c r="M598" s="726">
        <f t="shared" ref="M598:M604" si="127">IF(F598&gt;0,M$597,0)</f>
        <v>0</v>
      </c>
      <c r="N598" s="727">
        <f t="shared" ref="N598:N604" ca="1" si="128">$F598*N$597</f>
        <v>0</v>
      </c>
    </row>
    <row r="599" spans="1:14" ht="20.100000000000001" hidden="1" customHeight="1">
      <c r="A599" s="696"/>
      <c r="B599" s="226" t="s">
        <v>634</v>
      </c>
      <c r="C599" s="713">
        <f>VLOOKUP($B599,R_DG!$A$7:$G$1305,2,0)</f>
        <v>0</v>
      </c>
      <c r="D599" s="723" t="str">
        <f>VLOOKUP($B599,R_DG!$A$7:$G$1305,3,0)</f>
        <v>Sứ chằng nhỏ</v>
      </c>
      <c r="E599" s="714" t="str">
        <f>VLOOKUP($B599,R_DG!$A$7:$G$1305,4,0)</f>
        <v>cái</v>
      </c>
      <c r="F599" s="724">
        <v>1</v>
      </c>
      <c r="G599" s="608">
        <f>VLOOKUP($B599,R_DG!$A$7:$G$1305,5,0)</f>
        <v>47000</v>
      </c>
      <c r="H599" s="608">
        <f>VLOOKUP($B599,R_DG!$A$7:$G$1305,6,0)</f>
        <v>0</v>
      </c>
      <c r="I599" s="608">
        <f>VLOOKUP($B599,R_DG!$A$7:$G$1305,7,0)</f>
        <v>0</v>
      </c>
      <c r="J599" s="608">
        <f t="shared" si="122"/>
        <v>47000</v>
      </c>
      <c r="K599" s="608">
        <f t="shared" si="122"/>
        <v>0</v>
      </c>
      <c r="L599" s="725">
        <f t="shared" si="122"/>
        <v>0</v>
      </c>
      <c r="M599" s="726">
        <f t="shared" si="127"/>
        <v>0</v>
      </c>
      <c r="N599" s="727">
        <f t="shared" ca="1" si="128"/>
        <v>0</v>
      </c>
    </row>
    <row r="600" spans="1:14" ht="20.100000000000001" hidden="1" customHeight="1">
      <c r="A600" s="696"/>
      <c r="B600" s="226" t="s">
        <v>401</v>
      </c>
      <c r="C600" s="713">
        <f>VLOOKUP($B600,R_DG!$A$7:$G$1305,2,0)</f>
        <v>0</v>
      </c>
      <c r="D600" s="723" t="str">
        <f>VLOOKUP($B600,R_DG!$A$7:$G$1305,3,0)</f>
        <v>Kẹp cáp chằng 3 boulon (B46x130)</v>
      </c>
      <c r="E600" s="714" t="str">
        <f>VLOOKUP($B600,R_DG!$A$7:$G$1305,4,0)</f>
        <v>cái</v>
      </c>
      <c r="F600" s="724">
        <v>8</v>
      </c>
      <c r="G600" s="608">
        <f>VLOOKUP($B600,R_DG!$A$7:$G$1305,5,0)</f>
        <v>40000</v>
      </c>
      <c r="H600" s="608">
        <f>VLOOKUP($B600,R_DG!$A$7:$G$1305,6,0)</f>
        <v>0</v>
      </c>
      <c r="I600" s="608">
        <f>VLOOKUP($B600,R_DG!$A$7:$G$1305,7,0)</f>
        <v>0</v>
      </c>
      <c r="J600" s="608">
        <f t="shared" si="122"/>
        <v>320000</v>
      </c>
      <c r="K600" s="608">
        <f t="shared" si="122"/>
        <v>0</v>
      </c>
      <c r="L600" s="725">
        <f t="shared" si="122"/>
        <v>0</v>
      </c>
      <c r="M600" s="726">
        <f t="shared" si="127"/>
        <v>0</v>
      </c>
      <c r="N600" s="727">
        <f t="shared" ca="1" si="128"/>
        <v>0</v>
      </c>
    </row>
    <row r="601" spans="1:14" ht="20.100000000000001" hidden="1" customHeight="1">
      <c r="A601" s="696"/>
      <c r="B601" s="226" t="s">
        <v>379</v>
      </c>
      <c r="C601" s="713">
        <f>VLOOKUP($B601,R_DG!$A$7:$G$1305,2,0)</f>
        <v>0</v>
      </c>
      <c r="D601" s="723" t="str">
        <f>VLOOKUP($B601,R_DG!$A$7:$G$1305,3,0)</f>
        <v>Cáp thép 3/8"</v>
      </c>
      <c r="E601" s="714" t="str">
        <f>VLOOKUP($B601,R_DG!$A$7:$G$1305,4,0)</f>
        <v>kg</v>
      </c>
      <c r="F601" s="730">
        <f>15*0.425</f>
        <v>6.375</v>
      </c>
      <c r="G601" s="608">
        <f>VLOOKUP($B601,R_DG!$A$7:$G$1305,5,0)</f>
        <v>42000</v>
      </c>
      <c r="H601" s="608">
        <f>VLOOKUP($B601,R_DG!$A$7:$G$1305,6,0)</f>
        <v>0</v>
      </c>
      <c r="I601" s="608">
        <f>VLOOKUP($B601,R_DG!$A$7:$G$1305,7,0)</f>
        <v>0</v>
      </c>
      <c r="J601" s="608">
        <f t="shared" si="122"/>
        <v>267750</v>
      </c>
      <c r="K601" s="608">
        <f t="shared" si="122"/>
        <v>0</v>
      </c>
      <c r="L601" s="725">
        <f t="shared" si="122"/>
        <v>0</v>
      </c>
      <c r="M601" s="726">
        <f t="shared" si="127"/>
        <v>0</v>
      </c>
      <c r="N601" s="727">
        <f t="shared" ca="1" si="128"/>
        <v>0</v>
      </c>
    </row>
    <row r="602" spans="1:14" ht="20.100000000000001" hidden="1" customHeight="1">
      <c r="A602" s="696"/>
      <c r="B602" s="226" t="s">
        <v>796</v>
      </c>
      <c r="C602" s="713">
        <f>VLOOKUP($B602,R_DG!$A$7:$G$1305,2,0)</f>
        <v>0</v>
      </c>
      <c r="D602" s="723" t="str">
        <f>VLOOKUP($B602,R_DG!$A$7:$G$1305,3,0)</f>
        <v>Yếm cáp dày 2mm</v>
      </c>
      <c r="E602" s="714" t="str">
        <f>VLOOKUP($B602,R_DG!$A$7:$G$1305,4,0)</f>
        <v>cái</v>
      </c>
      <c r="F602" s="724">
        <v>2</v>
      </c>
      <c r="G602" s="608">
        <f>VLOOKUP($B602,R_DG!$A$7:$G$1305,5,0)</f>
        <v>5300</v>
      </c>
      <c r="H602" s="608">
        <f>VLOOKUP($B602,R_DG!$A$7:$G$1305,6,0)</f>
        <v>0</v>
      </c>
      <c r="I602" s="608">
        <f>VLOOKUP($B602,R_DG!$A$7:$G$1305,7,0)</f>
        <v>0</v>
      </c>
      <c r="J602" s="608">
        <f t="shared" si="122"/>
        <v>10600</v>
      </c>
      <c r="K602" s="608">
        <f t="shared" si="122"/>
        <v>0</v>
      </c>
      <c r="L602" s="725">
        <f t="shared" si="122"/>
        <v>0</v>
      </c>
      <c r="M602" s="726">
        <f t="shared" si="127"/>
        <v>0</v>
      </c>
      <c r="N602" s="727">
        <f t="shared" ca="1" si="128"/>
        <v>0</v>
      </c>
    </row>
    <row r="603" spans="1:14" ht="20.100000000000001" hidden="1" customHeight="1">
      <c r="A603" s="696"/>
      <c r="B603" s="226" t="s">
        <v>577</v>
      </c>
      <c r="C603" s="713">
        <f>VLOOKUP($B603,R_DG!$A$7:$G$1305,2,0)</f>
        <v>0</v>
      </c>
      <c r="D603" s="723" t="str">
        <f>VLOOKUP($B603,R_DG!$A$7:$G$1305,3,0)</f>
        <v>Máng che dây chằng dày 1,6x40x2000mm</v>
      </c>
      <c r="E603" s="714" t="str">
        <f>VLOOKUP($B603,R_DG!$A$7:$G$1305,4,0)</f>
        <v>cái</v>
      </c>
      <c r="F603" s="724">
        <v>1</v>
      </c>
      <c r="G603" s="608">
        <f>VLOOKUP($B603,R_DG!$A$7:$G$1305,5,0)</f>
        <v>55000</v>
      </c>
      <c r="H603" s="608">
        <f>VLOOKUP($B603,R_DG!$A$7:$G$1305,6,0)</f>
        <v>0</v>
      </c>
      <c r="I603" s="608">
        <f>VLOOKUP($B603,R_DG!$A$7:$G$1305,7,0)</f>
        <v>0</v>
      </c>
      <c r="J603" s="608">
        <f t="shared" si="122"/>
        <v>55000</v>
      </c>
      <c r="K603" s="608">
        <f t="shared" si="122"/>
        <v>0</v>
      </c>
      <c r="L603" s="725">
        <f t="shared" si="122"/>
        <v>0</v>
      </c>
      <c r="M603" s="726">
        <f t="shared" si="127"/>
        <v>0</v>
      </c>
      <c r="N603" s="727">
        <f t="shared" ca="1" si="128"/>
        <v>0</v>
      </c>
    </row>
    <row r="604" spans="1:14" ht="20.100000000000001" hidden="1" customHeight="1">
      <c r="A604" s="696"/>
      <c r="B604" s="226" t="s">
        <v>1226</v>
      </c>
      <c r="C604" s="713" t="str">
        <f>VLOOKUP($B604,R_DG!$A$7:$G$1305,2,0)</f>
        <v>D3.3251</v>
      </c>
      <c r="D604" s="723" t="str">
        <f>VLOOKUP($B604,R_DG!$A$7:$G$1305,3,0)</f>
        <v>Lắp bộ dây néo</v>
      </c>
      <c r="E604" s="714" t="str">
        <f>VLOOKUP($B604,R_DG!$A$7:$G$1305,4,0)</f>
        <v>bộ</v>
      </c>
      <c r="F604" s="724">
        <f>F598</f>
        <v>1</v>
      </c>
      <c r="G604" s="608">
        <f>VLOOKUP($B604,R_DG!$A$7:$G$1305,5,0)</f>
        <v>0</v>
      </c>
      <c r="H604" s="608">
        <f>VLOOKUP($B604,R_DG!$A$7:$G$1305,6,0)</f>
        <v>106623</v>
      </c>
      <c r="I604" s="608">
        <f>VLOOKUP($B604,R_DG!$A$7:$G$1305,7,0)</f>
        <v>0</v>
      </c>
      <c r="J604" s="608">
        <f t="shared" si="122"/>
        <v>0</v>
      </c>
      <c r="K604" s="608">
        <f t="shared" si="122"/>
        <v>106623</v>
      </c>
      <c r="L604" s="725">
        <f t="shared" si="122"/>
        <v>0</v>
      </c>
      <c r="M604" s="726">
        <f t="shared" si="127"/>
        <v>0</v>
      </c>
      <c r="N604" s="727">
        <f t="shared" ca="1" si="128"/>
        <v>0</v>
      </c>
    </row>
    <row r="605" spans="1:14" ht="20.100000000000001" customHeight="1">
      <c r="A605" s="728" t="s">
        <v>2575</v>
      </c>
      <c r="B605" s="729"/>
      <c r="C605" s="717"/>
      <c r="D605" s="718" t="s">
        <v>2574</v>
      </c>
      <c r="E605" s="718" t="s">
        <v>163</v>
      </c>
      <c r="F605" s="719"/>
      <c r="G605" s="720"/>
      <c r="H605" s="720"/>
      <c r="I605" s="720"/>
      <c r="J605" s="720">
        <f>SUM(J606:J614)</f>
        <v>1003700</v>
      </c>
      <c r="K605" s="720">
        <f>SUM(K606:K614)</f>
        <v>294346.34999999998</v>
      </c>
      <c r="L605" s="721">
        <f>SUM(L606:L614)</f>
        <v>0</v>
      </c>
      <c r="M605" s="693">
        <f>IF(ERROR.TYPE(IF(HLOOKUP(A605,maBK,1,0)&lt;&gt;"",#NULL!,"ABC"))&lt;&gt;7,1,0)</f>
        <v>0</v>
      </c>
      <c r="N605" s="712">
        <f ca="1">SUMIF(maBK,$A605,tongBK1)</f>
        <v>0</v>
      </c>
    </row>
    <row r="606" spans="1:14" ht="20.100000000000001" hidden="1" customHeight="1">
      <c r="A606" s="696"/>
      <c r="B606" s="226" t="s">
        <v>144</v>
      </c>
      <c r="C606" s="713">
        <f>VLOOKUP($B606,R_DG!$A$7:$G$1305,2,0)</f>
        <v>0</v>
      </c>
      <c r="D606" s="723" t="str">
        <f>VLOOKUP($B606,R_DG!$A$7:$G$1305,3,0)</f>
        <v>Boulon mắt 16x300+ 2 long đền vuông D18-50x50x3/Zn</v>
      </c>
      <c r="E606" s="714" t="str">
        <f>VLOOKUP($B606,R_DG!$A$7:$G$1305,4,0)</f>
        <v>bộ</v>
      </c>
      <c r="F606" s="724">
        <v>1</v>
      </c>
      <c r="G606" s="608">
        <f>VLOOKUP($B606,R_DG!$A$7:$G$1305,5,0)</f>
        <v>30200</v>
      </c>
      <c r="H606" s="608">
        <f>VLOOKUP($B606,R_DG!$A$7:$G$1305,6,0)</f>
        <v>0</v>
      </c>
      <c r="I606" s="608">
        <f>VLOOKUP($B606,R_DG!$A$7:$G$1305,7,0)</f>
        <v>0</v>
      </c>
      <c r="J606" s="608">
        <f t="shared" si="122"/>
        <v>30200</v>
      </c>
      <c r="K606" s="608">
        <f t="shared" si="122"/>
        <v>0</v>
      </c>
      <c r="L606" s="725">
        <f t="shared" si="122"/>
        <v>0</v>
      </c>
      <c r="M606" s="726">
        <f t="shared" ref="M606:M614" si="129">IF(F606&gt;0,M$605,0)</f>
        <v>0</v>
      </c>
      <c r="N606" s="727">
        <f t="shared" ref="N606:N614" ca="1" si="130">$F606*N$605</f>
        <v>0</v>
      </c>
    </row>
    <row r="607" spans="1:14" ht="20.100000000000001" hidden="1" customHeight="1">
      <c r="A607" s="696"/>
      <c r="B607" s="226" t="s">
        <v>634</v>
      </c>
      <c r="C607" s="713">
        <f>VLOOKUP($B607,R_DG!$A$7:$G$1305,2,0)</f>
        <v>0</v>
      </c>
      <c r="D607" s="723" t="str">
        <f>VLOOKUP($B607,R_DG!$A$7:$G$1305,3,0)</f>
        <v>Sứ chằng nhỏ</v>
      </c>
      <c r="E607" s="714" t="str">
        <f>VLOOKUP($B607,R_DG!$A$7:$G$1305,4,0)</f>
        <v>cái</v>
      </c>
      <c r="F607" s="724">
        <v>1</v>
      </c>
      <c r="G607" s="608">
        <f>VLOOKUP($B607,R_DG!$A$7:$G$1305,5,0)</f>
        <v>47000</v>
      </c>
      <c r="H607" s="608">
        <f>VLOOKUP($B607,R_DG!$A$7:$G$1305,6,0)</f>
        <v>0</v>
      </c>
      <c r="I607" s="608">
        <f>VLOOKUP($B607,R_DG!$A$7:$G$1305,7,0)</f>
        <v>0</v>
      </c>
      <c r="J607" s="608">
        <f t="shared" si="122"/>
        <v>47000</v>
      </c>
      <c r="K607" s="608">
        <f t="shared" si="122"/>
        <v>0</v>
      </c>
      <c r="L607" s="725">
        <f t="shared" si="122"/>
        <v>0</v>
      </c>
      <c r="M607" s="726">
        <f t="shared" si="129"/>
        <v>0</v>
      </c>
      <c r="N607" s="727">
        <f t="shared" ca="1" si="130"/>
        <v>0</v>
      </c>
    </row>
    <row r="608" spans="1:14" ht="20.100000000000001" hidden="1" customHeight="1">
      <c r="A608" s="696"/>
      <c r="B608" s="226" t="s">
        <v>401</v>
      </c>
      <c r="C608" s="713">
        <f>VLOOKUP($B608,R_DG!$A$7:$G$1305,2,0)</f>
        <v>0</v>
      </c>
      <c r="D608" s="723" t="str">
        <f>VLOOKUP($B608,R_DG!$A$7:$G$1305,3,0)</f>
        <v>Kẹp cáp chằng 3 boulon (B46x130)</v>
      </c>
      <c r="E608" s="714" t="str">
        <f>VLOOKUP($B608,R_DG!$A$7:$G$1305,4,0)</f>
        <v>cái</v>
      </c>
      <c r="F608" s="724">
        <v>8</v>
      </c>
      <c r="G608" s="608">
        <f>VLOOKUP($B608,R_DG!$A$7:$G$1305,5,0)</f>
        <v>40000</v>
      </c>
      <c r="H608" s="608">
        <f>VLOOKUP($B608,R_DG!$A$7:$G$1305,6,0)</f>
        <v>0</v>
      </c>
      <c r="I608" s="608">
        <f>VLOOKUP($B608,R_DG!$A$7:$G$1305,7,0)</f>
        <v>0</v>
      </c>
      <c r="J608" s="608">
        <f t="shared" si="122"/>
        <v>320000</v>
      </c>
      <c r="K608" s="608">
        <f t="shared" si="122"/>
        <v>0</v>
      </c>
      <c r="L608" s="725">
        <f t="shared" si="122"/>
        <v>0</v>
      </c>
      <c r="M608" s="726">
        <f t="shared" si="129"/>
        <v>0</v>
      </c>
      <c r="N608" s="727">
        <f t="shared" ca="1" si="130"/>
        <v>0</v>
      </c>
    </row>
    <row r="609" spans="1:14" ht="20.100000000000001" hidden="1" customHeight="1">
      <c r="A609" s="696"/>
      <c r="B609" s="226" t="s">
        <v>379</v>
      </c>
      <c r="C609" s="713">
        <f>VLOOKUP($B609,R_DG!$A$7:$G$1305,2,0)</f>
        <v>0</v>
      </c>
      <c r="D609" s="723" t="str">
        <f>VLOOKUP($B609,R_DG!$A$7:$G$1305,3,0)</f>
        <v>Cáp thép 3/8"</v>
      </c>
      <c r="E609" s="714" t="str">
        <f>VLOOKUP($B609,R_DG!$A$7:$G$1305,4,0)</f>
        <v>kg</v>
      </c>
      <c r="F609" s="730">
        <f>14*0.425</f>
        <v>5.95</v>
      </c>
      <c r="G609" s="608">
        <f>VLOOKUP($B609,R_DG!$A$7:$G$1305,5,0)</f>
        <v>42000</v>
      </c>
      <c r="H609" s="608">
        <f>VLOOKUP($B609,R_DG!$A$7:$G$1305,6,0)</f>
        <v>0</v>
      </c>
      <c r="I609" s="608">
        <f>VLOOKUP($B609,R_DG!$A$7:$G$1305,7,0)</f>
        <v>0</v>
      </c>
      <c r="J609" s="608">
        <f t="shared" si="122"/>
        <v>249900</v>
      </c>
      <c r="K609" s="608">
        <f t="shared" si="122"/>
        <v>0</v>
      </c>
      <c r="L609" s="725">
        <f t="shared" si="122"/>
        <v>0</v>
      </c>
      <c r="M609" s="726">
        <f t="shared" si="129"/>
        <v>0</v>
      </c>
      <c r="N609" s="727">
        <f t="shared" ca="1" si="130"/>
        <v>0</v>
      </c>
    </row>
    <row r="610" spans="1:14" ht="20.100000000000001" hidden="1" customHeight="1">
      <c r="A610" s="696"/>
      <c r="B610" s="226" t="s">
        <v>682</v>
      </c>
      <c r="C610" s="713">
        <f>VLOOKUP($B610,R_DG!$A$7:$G$1305,2,0)</f>
        <v>0</v>
      </c>
      <c r="D610" s="723" t="str">
        <f>VLOOKUP($B610,R_DG!$A$7:$G$1305,3,0)</f>
        <v>Bộ chống chằng hẹp φ60/56x1500+2BL12x40+BL16x250/80</v>
      </c>
      <c r="E610" s="714" t="str">
        <f>VLOOKUP($B610,R_DG!$A$7:$G$1305,4,0)</f>
        <v>bộ</v>
      </c>
      <c r="F610" s="724">
        <v>1</v>
      </c>
      <c r="G610" s="608">
        <f>VLOOKUP($B610,R_DG!$A$7:$G$1305,5,0)</f>
        <v>291000</v>
      </c>
      <c r="H610" s="608">
        <f>VLOOKUP($B610,R_DG!$A$7:$G$1305,6,0)</f>
        <v>0</v>
      </c>
      <c r="I610" s="608">
        <f>VLOOKUP($B610,R_DG!$A$7:$G$1305,7,0)</f>
        <v>0</v>
      </c>
      <c r="J610" s="608">
        <f t="shared" si="122"/>
        <v>291000</v>
      </c>
      <c r="K610" s="608">
        <f t="shared" si="122"/>
        <v>0</v>
      </c>
      <c r="L610" s="725">
        <f t="shared" si="122"/>
        <v>0</v>
      </c>
      <c r="M610" s="726">
        <f t="shared" si="129"/>
        <v>0</v>
      </c>
      <c r="N610" s="727">
        <f t="shared" ca="1" si="130"/>
        <v>0</v>
      </c>
    </row>
    <row r="611" spans="1:14" ht="20.100000000000001" hidden="1" customHeight="1">
      <c r="A611" s="696"/>
      <c r="B611" s="226" t="s">
        <v>796</v>
      </c>
      <c r="C611" s="713">
        <f>VLOOKUP($B611,R_DG!$A$7:$G$1305,2,0)</f>
        <v>0</v>
      </c>
      <c r="D611" s="723" t="str">
        <f>VLOOKUP($B611,R_DG!$A$7:$G$1305,3,0)</f>
        <v>Yếm cáp dày 2mm</v>
      </c>
      <c r="E611" s="714" t="str">
        <f>VLOOKUP($B611,R_DG!$A$7:$G$1305,4,0)</f>
        <v>cái</v>
      </c>
      <c r="F611" s="724">
        <v>2</v>
      </c>
      <c r="G611" s="608">
        <f>VLOOKUP($B611,R_DG!$A$7:$G$1305,5,0)</f>
        <v>5300</v>
      </c>
      <c r="H611" s="608">
        <f>VLOOKUP($B611,R_DG!$A$7:$G$1305,6,0)</f>
        <v>0</v>
      </c>
      <c r="I611" s="608">
        <f>VLOOKUP($B611,R_DG!$A$7:$G$1305,7,0)</f>
        <v>0</v>
      </c>
      <c r="J611" s="608">
        <f t="shared" si="122"/>
        <v>10600</v>
      </c>
      <c r="K611" s="608">
        <f t="shared" si="122"/>
        <v>0</v>
      </c>
      <c r="L611" s="725">
        <f t="shared" si="122"/>
        <v>0</v>
      </c>
      <c r="M611" s="726">
        <f t="shared" si="129"/>
        <v>0</v>
      </c>
      <c r="N611" s="727">
        <f t="shared" ca="1" si="130"/>
        <v>0</v>
      </c>
    </row>
    <row r="612" spans="1:14" ht="20.100000000000001" hidden="1" customHeight="1">
      <c r="A612" s="696"/>
      <c r="B612" s="226" t="s">
        <v>577</v>
      </c>
      <c r="C612" s="713">
        <f>VLOOKUP($B612,R_DG!$A$7:$G$1305,2,0)</f>
        <v>0</v>
      </c>
      <c r="D612" s="723" t="str">
        <f>VLOOKUP($B612,R_DG!$A$7:$G$1305,3,0)</f>
        <v>Máng che dây chằng dày 1,6x40x2000mm</v>
      </c>
      <c r="E612" s="714" t="str">
        <f>VLOOKUP($B612,R_DG!$A$7:$G$1305,4,0)</f>
        <v>cái</v>
      </c>
      <c r="F612" s="724">
        <v>1</v>
      </c>
      <c r="G612" s="608">
        <f>VLOOKUP($B612,R_DG!$A$7:$G$1305,5,0)</f>
        <v>55000</v>
      </c>
      <c r="H612" s="608">
        <f>VLOOKUP($B612,R_DG!$A$7:$G$1305,6,0)</f>
        <v>0</v>
      </c>
      <c r="I612" s="608">
        <f>VLOOKUP($B612,R_DG!$A$7:$G$1305,7,0)</f>
        <v>0</v>
      </c>
      <c r="J612" s="608">
        <f t="shared" si="122"/>
        <v>55000</v>
      </c>
      <c r="K612" s="608">
        <f t="shared" si="122"/>
        <v>0</v>
      </c>
      <c r="L612" s="725">
        <f t="shared" si="122"/>
        <v>0</v>
      </c>
      <c r="M612" s="726">
        <f t="shared" si="129"/>
        <v>0</v>
      </c>
      <c r="N612" s="727">
        <f t="shared" ca="1" si="130"/>
        <v>0</v>
      </c>
    </row>
    <row r="613" spans="1:14" ht="20.100000000000001" hidden="1" customHeight="1">
      <c r="A613" s="696"/>
      <c r="B613" s="226" t="s">
        <v>1226</v>
      </c>
      <c r="C613" s="713" t="str">
        <f>VLOOKUP($B613,R_DG!$A$7:$G$1305,2,0)</f>
        <v>D3.3251</v>
      </c>
      <c r="D613" s="723" t="str">
        <f>VLOOKUP($B613,R_DG!$A$7:$G$1305,3,0)</f>
        <v>Lắp bộ dây néo</v>
      </c>
      <c r="E613" s="714" t="str">
        <f>VLOOKUP($B613,R_DG!$A$7:$G$1305,4,0)</f>
        <v>bộ</v>
      </c>
      <c r="F613" s="724">
        <f>F606</f>
        <v>1</v>
      </c>
      <c r="G613" s="608">
        <f>VLOOKUP($B613,R_DG!$A$7:$G$1305,5,0)</f>
        <v>0</v>
      </c>
      <c r="H613" s="608">
        <f>VLOOKUP($B613,R_DG!$A$7:$G$1305,6,0)</f>
        <v>106623</v>
      </c>
      <c r="I613" s="608">
        <f>VLOOKUP($B613,R_DG!$A$7:$G$1305,7,0)</f>
        <v>0</v>
      </c>
      <c r="J613" s="608">
        <f t="shared" si="122"/>
        <v>0</v>
      </c>
      <c r="K613" s="608">
        <f t="shared" si="122"/>
        <v>106623</v>
      </c>
      <c r="L613" s="725">
        <f t="shared" si="122"/>
        <v>0</v>
      </c>
      <c r="M613" s="726">
        <f t="shared" si="129"/>
        <v>0</v>
      </c>
      <c r="N613" s="727">
        <f t="shared" ca="1" si="130"/>
        <v>0</v>
      </c>
    </row>
    <row r="614" spans="1:14" ht="20.100000000000001" hidden="1" customHeight="1">
      <c r="A614" s="696"/>
      <c r="B614" s="226" t="s">
        <v>1224</v>
      </c>
      <c r="C614" s="713" t="str">
        <f>VLOOKUP($B614,R_DG!$A$7:$G$1305,2,0)</f>
        <v>D2.6011</v>
      </c>
      <c r="D614" s="723" t="str">
        <f>VLOOKUP($B614,R_DG!$A$7:$G$1305,3,0)</f>
        <v>Lắp bộ chống lệch</v>
      </c>
      <c r="E614" s="714" t="str">
        <f>VLOOKUP($B614,R_DG!$A$7:$G$1305,4,0)</f>
        <v>bộ</v>
      </c>
      <c r="F614" s="724">
        <f>F604</f>
        <v>1</v>
      </c>
      <c r="G614" s="608">
        <f>VLOOKUP($B614,R_DG!$A$7:$G$1305,5,0)</f>
        <v>0</v>
      </c>
      <c r="H614" s="608">
        <f>VLOOKUP($B614,R_DG!$A$7:$G$1305,6,0)</f>
        <v>187723.35</v>
      </c>
      <c r="I614" s="608">
        <f>VLOOKUP($B614,R_DG!$A$7:$G$1305,7,0)</f>
        <v>0</v>
      </c>
      <c r="J614" s="608">
        <f t="shared" si="122"/>
        <v>0</v>
      </c>
      <c r="K614" s="608">
        <f t="shared" si="122"/>
        <v>187723.35</v>
      </c>
      <c r="L614" s="725">
        <f t="shared" si="122"/>
        <v>0</v>
      </c>
      <c r="M614" s="726">
        <f t="shared" si="129"/>
        <v>0</v>
      </c>
      <c r="N614" s="727">
        <f t="shared" ca="1" si="130"/>
        <v>0</v>
      </c>
    </row>
    <row r="615" spans="1:14" ht="20.100000000000001" customHeight="1">
      <c r="A615" s="728" t="s">
        <v>2577</v>
      </c>
      <c r="B615" s="729"/>
      <c r="C615" s="717"/>
      <c r="D615" s="718" t="s">
        <v>2576</v>
      </c>
      <c r="E615" s="718" t="s">
        <v>163</v>
      </c>
      <c r="F615" s="719"/>
      <c r="G615" s="720"/>
      <c r="H615" s="720"/>
      <c r="I615" s="720"/>
      <c r="J615" s="720">
        <f>SUM(J616:J622)</f>
        <v>2221800</v>
      </c>
      <c r="K615" s="720">
        <f>SUM(K616:K622)</f>
        <v>213246</v>
      </c>
      <c r="L615" s="721">
        <f>SUM(L616:L622)</f>
        <v>0</v>
      </c>
      <c r="M615" s="693">
        <f>IF(ERROR.TYPE(IF(HLOOKUP(A615,maBK,1,0)&lt;&gt;"",#NULL!,"ABC"))&lt;&gt;7,1,0)</f>
        <v>0</v>
      </c>
      <c r="N615" s="712">
        <f ca="1">SUMIF(maBK,$A615,tongBK1)</f>
        <v>0</v>
      </c>
    </row>
    <row r="616" spans="1:14" ht="20.100000000000001" hidden="1" customHeight="1">
      <c r="A616" s="696"/>
      <c r="B616" s="226" t="s">
        <v>142</v>
      </c>
      <c r="C616" s="713">
        <f>VLOOKUP($B616,R_DG!$A$7:$G$1305,2,0)</f>
        <v>0</v>
      </c>
      <c r="D616" s="723" t="str">
        <f>VLOOKUP($B616,R_DG!$A$7:$G$1305,3,0)</f>
        <v>Boulon mắt 16x250+ 2 long đền vuông D18-50x50x3/Zn</v>
      </c>
      <c r="E616" s="714" t="str">
        <f>VLOOKUP($B616,R_DG!$A$7:$G$1305,4,0)</f>
        <v>bộ</v>
      </c>
      <c r="F616" s="724">
        <v>2</v>
      </c>
      <c r="G616" s="608">
        <f>VLOOKUP($B616,R_DG!$A$7:$G$1305,5,0)</f>
        <v>27300</v>
      </c>
      <c r="H616" s="608">
        <f>VLOOKUP($B616,R_DG!$A$7:$G$1305,6,0)</f>
        <v>0</v>
      </c>
      <c r="I616" s="608">
        <f>VLOOKUP($B616,R_DG!$A$7:$G$1305,7,0)</f>
        <v>0</v>
      </c>
      <c r="J616" s="608">
        <f t="shared" si="122"/>
        <v>54600</v>
      </c>
      <c r="K616" s="608">
        <f t="shared" si="122"/>
        <v>0</v>
      </c>
      <c r="L616" s="725">
        <f t="shared" si="122"/>
        <v>0</v>
      </c>
      <c r="M616" s="726">
        <f t="shared" ref="M616:M622" si="131">IF(F616&gt;0,M$615,0)</f>
        <v>0</v>
      </c>
      <c r="N616" s="727">
        <f t="shared" ref="N616:N622" ca="1" si="132">$F616*N$615</f>
        <v>0</v>
      </c>
    </row>
    <row r="617" spans="1:14" ht="20.100000000000001" hidden="1" customHeight="1">
      <c r="A617" s="696"/>
      <c r="B617" s="226" t="s">
        <v>634</v>
      </c>
      <c r="C617" s="713">
        <f>VLOOKUP($B617,R_DG!$A$7:$G$1305,2,0)</f>
        <v>0</v>
      </c>
      <c r="D617" s="723" t="str">
        <f>VLOOKUP($B617,R_DG!$A$7:$G$1305,3,0)</f>
        <v>Sứ chằng nhỏ</v>
      </c>
      <c r="E617" s="714" t="str">
        <f>VLOOKUP($B617,R_DG!$A$7:$G$1305,4,0)</f>
        <v>cái</v>
      </c>
      <c r="F617" s="724">
        <v>2</v>
      </c>
      <c r="G617" s="608">
        <f>VLOOKUP($B617,R_DG!$A$7:$G$1305,5,0)</f>
        <v>47000</v>
      </c>
      <c r="H617" s="608">
        <f>VLOOKUP($B617,R_DG!$A$7:$G$1305,6,0)</f>
        <v>0</v>
      </c>
      <c r="I617" s="608">
        <f>VLOOKUP($B617,R_DG!$A$7:$G$1305,7,0)</f>
        <v>0</v>
      </c>
      <c r="J617" s="608">
        <f t="shared" si="122"/>
        <v>94000</v>
      </c>
      <c r="K617" s="608">
        <f t="shared" si="122"/>
        <v>0</v>
      </c>
      <c r="L617" s="725">
        <f t="shared" si="122"/>
        <v>0</v>
      </c>
      <c r="M617" s="726">
        <f t="shared" si="131"/>
        <v>0</v>
      </c>
      <c r="N617" s="727">
        <f t="shared" ca="1" si="132"/>
        <v>0</v>
      </c>
    </row>
    <row r="618" spans="1:14" ht="20.100000000000001" hidden="1" customHeight="1">
      <c r="A618" s="696"/>
      <c r="B618" s="226" t="s">
        <v>401</v>
      </c>
      <c r="C618" s="713">
        <f>VLOOKUP($B618,R_DG!$A$7:$G$1305,2,0)</f>
        <v>0</v>
      </c>
      <c r="D618" s="723" t="str">
        <f>VLOOKUP($B618,R_DG!$A$7:$G$1305,3,0)</f>
        <v>Kẹp cáp chằng 3 boulon (B46x130)</v>
      </c>
      <c r="E618" s="714" t="str">
        <f>VLOOKUP($B618,R_DG!$A$7:$G$1305,4,0)</f>
        <v>cái</v>
      </c>
      <c r="F618" s="724">
        <v>16</v>
      </c>
      <c r="G618" s="608">
        <f>VLOOKUP($B618,R_DG!$A$7:$G$1305,5,0)</f>
        <v>40000</v>
      </c>
      <c r="H618" s="608">
        <f>VLOOKUP($B618,R_DG!$A$7:$G$1305,6,0)</f>
        <v>0</v>
      </c>
      <c r="I618" s="608">
        <f>VLOOKUP($B618,R_DG!$A$7:$G$1305,7,0)</f>
        <v>0</v>
      </c>
      <c r="J618" s="608">
        <f t="shared" si="122"/>
        <v>640000</v>
      </c>
      <c r="K618" s="608">
        <f t="shared" si="122"/>
        <v>0</v>
      </c>
      <c r="L618" s="725">
        <f t="shared" si="122"/>
        <v>0</v>
      </c>
      <c r="M618" s="726">
        <f t="shared" si="131"/>
        <v>0</v>
      </c>
      <c r="N618" s="727">
        <f t="shared" ca="1" si="132"/>
        <v>0</v>
      </c>
    </row>
    <row r="619" spans="1:14" ht="20.100000000000001" hidden="1" customHeight="1">
      <c r="A619" s="696"/>
      <c r="B619" s="226" t="s">
        <v>379</v>
      </c>
      <c r="C619" s="713">
        <f>VLOOKUP($B619,R_DG!$A$7:$G$1305,2,0)</f>
        <v>0</v>
      </c>
      <c r="D619" s="723" t="str">
        <f>VLOOKUP($B619,R_DG!$A$7:$G$1305,3,0)</f>
        <v>Cáp thép 3/8"</v>
      </c>
      <c r="E619" s="714" t="str">
        <f>VLOOKUP($B619,R_DG!$A$7:$G$1305,4,0)</f>
        <v>kg</v>
      </c>
      <c r="F619" s="730">
        <v>31</v>
      </c>
      <c r="G619" s="608">
        <f>VLOOKUP($B619,R_DG!$A$7:$G$1305,5,0)</f>
        <v>42000</v>
      </c>
      <c r="H619" s="608">
        <f>VLOOKUP($B619,R_DG!$A$7:$G$1305,6,0)</f>
        <v>0</v>
      </c>
      <c r="I619" s="608">
        <f>VLOOKUP($B619,R_DG!$A$7:$G$1305,7,0)</f>
        <v>0</v>
      </c>
      <c r="J619" s="608">
        <f t="shared" si="122"/>
        <v>1302000</v>
      </c>
      <c r="K619" s="608">
        <f t="shared" si="122"/>
        <v>0</v>
      </c>
      <c r="L619" s="725">
        <f t="shared" si="122"/>
        <v>0</v>
      </c>
      <c r="M619" s="726">
        <f t="shared" si="131"/>
        <v>0</v>
      </c>
      <c r="N619" s="727">
        <f t="shared" ca="1" si="132"/>
        <v>0</v>
      </c>
    </row>
    <row r="620" spans="1:14" ht="20.100000000000001" hidden="1" customHeight="1">
      <c r="A620" s="696"/>
      <c r="B620" s="226" t="s">
        <v>796</v>
      </c>
      <c r="C620" s="713">
        <f>VLOOKUP($B620,R_DG!$A$7:$G$1305,2,0)</f>
        <v>0</v>
      </c>
      <c r="D620" s="723" t="str">
        <f>VLOOKUP($B620,R_DG!$A$7:$G$1305,3,0)</f>
        <v>Yếm cáp dày 2mm</v>
      </c>
      <c r="E620" s="714" t="str">
        <f>VLOOKUP($B620,R_DG!$A$7:$G$1305,4,0)</f>
        <v>cái</v>
      </c>
      <c r="F620" s="724">
        <v>4</v>
      </c>
      <c r="G620" s="608">
        <f>VLOOKUP($B620,R_DG!$A$7:$G$1305,5,0)</f>
        <v>5300</v>
      </c>
      <c r="H620" s="608">
        <f>VLOOKUP($B620,R_DG!$A$7:$G$1305,6,0)</f>
        <v>0</v>
      </c>
      <c r="I620" s="608">
        <f>VLOOKUP($B620,R_DG!$A$7:$G$1305,7,0)</f>
        <v>0</v>
      </c>
      <c r="J620" s="608">
        <f t="shared" si="122"/>
        <v>21200</v>
      </c>
      <c r="K620" s="608">
        <f t="shared" si="122"/>
        <v>0</v>
      </c>
      <c r="L620" s="725">
        <f t="shared" si="122"/>
        <v>0</v>
      </c>
      <c r="M620" s="726">
        <f t="shared" si="131"/>
        <v>0</v>
      </c>
      <c r="N620" s="727">
        <f t="shared" ca="1" si="132"/>
        <v>0</v>
      </c>
    </row>
    <row r="621" spans="1:14" ht="20.100000000000001" hidden="1" customHeight="1">
      <c r="A621" s="696"/>
      <c r="B621" s="226" t="s">
        <v>577</v>
      </c>
      <c r="C621" s="713">
        <f>VLOOKUP($B621,R_DG!$A$7:$G$1305,2,0)</f>
        <v>0</v>
      </c>
      <c r="D621" s="723" t="str">
        <f>VLOOKUP($B621,R_DG!$A$7:$G$1305,3,0)</f>
        <v>Máng che dây chằng dày 1,6x40x2000mm</v>
      </c>
      <c r="E621" s="714" t="str">
        <f>VLOOKUP($B621,R_DG!$A$7:$G$1305,4,0)</f>
        <v>cái</v>
      </c>
      <c r="F621" s="724">
        <v>2</v>
      </c>
      <c r="G621" s="608">
        <f>VLOOKUP($B621,R_DG!$A$7:$G$1305,5,0)</f>
        <v>55000</v>
      </c>
      <c r="H621" s="608">
        <f>VLOOKUP($B621,R_DG!$A$7:$G$1305,6,0)</f>
        <v>0</v>
      </c>
      <c r="I621" s="608">
        <f>VLOOKUP($B621,R_DG!$A$7:$G$1305,7,0)</f>
        <v>0</v>
      </c>
      <c r="J621" s="608">
        <f t="shared" si="122"/>
        <v>110000</v>
      </c>
      <c r="K621" s="608">
        <f t="shared" si="122"/>
        <v>0</v>
      </c>
      <c r="L621" s="725">
        <f t="shared" si="122"/>
        <v>0</v>
      </c>
      <c r="M621" s="726">
        <f t="shared" si="131"/>
        <v>0</v>
      </c>
      <c r="N621" s="727">
        <f t="shared" ca="1" si="132"/>
        <v>0</v>
      </c>
    </row>
    <row r="622" spans="1:14" ht="20.100000000000001" hidden="1" customHeight="1">
      <c r="A622" s="696"/>
      <c r="B622" s="226" t="s">
        <v>1226</v>
      </c>
      <c r="C622" s="713" t="str">
        <f>VLOOKUP($B622,R_DG!$A$7:$G$1305,2,0)</f>
        <v>D3.3251</v>
      </c>
      <c r="D622" s="723" t="str">
        <f>VLOOKUP($B622,R_DG!$A$7:$G$1305,3,0)</f>
        <v>Lắp bộ dây néo</v>
      </c>
      <c r="E622" s="714" t="str">
        <f>VLOOKUP($B622,R_DG!$A$7:$G$1305,4,0)</f>
        <v>bộ</v>
      </c>
      <c r="F622" s="724">
        <f>F616</f>
        <v>2</v>
      </c>
      <c r="G622" s="608">
        <f>VLOOKUP($B622,R_DG!$A$7:$G$1305,5,0)</f>
        <v>0</v>
      </c>
      <c r="H622" s="608">
        <f>VLOOKUP($B622,R_DG!$A$7:$G$1305,6,0)</f>
        <v>106623</v>
      </c>
      <c r="I622" s="608">
        <f>VLOOKUP($B622,R_DG!$A$7:$G$1305,7,0)</f>
        <v>0</v>
      </c>
      <c r="J622" s="608">
        <f t="shared" si="122"/>
        <v>0</v>
      </c>
      <c r="K622" s="608">
        <f t="shared" si="122"/>
        <v>213246</v>
      </c>
      <c r="L622" s="725">
        <f t="shared" si="122"/>
        <v>0</v>
      </c>
      <c r="M622" s="726">
        <f t="shared" si="131"/>
        <v>0</v>
      </c>
      <c r="N622" s="727">
        <f t="shared" ca="1" si="132"/>
        <v>0</v>
      </c>
    </row>
    <row r="623" spans="1:14" ht="20.100000000000001" customHeight="1">
      <c r="A623" s="728" t="s">
        <v>2579</v>
      </c>
      <c r="B623" s="729"/>
      <c r="C623" s="717"/>
      <c r="D623" s="718" t="s">
        <v>2578</v>
      </c>
      <c r="E623" s="718" t="s">
        <v>163</v>
      </c>
      <c r="F623" s="719"/>
      <c r="G623" s="720"/>
      <c r="H623" s="720"/>
      <c r="I623" s="720"/>
      <c r="J623" s="720">
        <f>SUM(J624:J631)</f>
        <v>738740</v>
      </c>
      <c r="K623" s="720">
        <f>SUM(K624:K631)</f>
        <v>106623</v>
      </c>
      <c r="L623" s="721">
        <f>SUM(L624:L631)</f>
        <v>0</v>
      </c>
      <c r="N623" s="712">
        <f ca="1">SUMIF(maBK,$A623,tongBK1)</f>
        <v>0</v>
      </c>
    </row>
    <row r="624" spans="1:14" ht="20.100000000000001" hidden="1" customHeight="1">
      <c r="A624" s="696"/>
      <c r="B624" s="226" t="s">
        <v>144</v>
      </c>
      <c r="C624" s="713">
        <f>VLOOKUP($B624,R_DG!$A$7:$G$1305,2,0)</f>
        <v>0</v>
      </c>
      <c r="D624" s="723" t="str">
        <f>VLOOKUP($B624,R_DG!$A$7:$G$1305,3,0)</f>
        <v>Boulon mắt 16x300+ 2 long đền vuông D18-50x50x3/Zn</v>
      </c>
      <c r="E624" s="714" t="str">
        <f>VLOOKUP($B624,R_DG!$A$7:$G$1305,4,0)</f>
        <v>bộ</v>
      </c>
      <c r="F624" s="724">
        <v>1</v>
      </c>
      <c r="G624" s="608">
        <f>VLOOKUP($B624,R_DG!$A$7:$G$1305,5,0)</f>
        <v>30200</v>
      </c>
      <c r="H624" s="608">
        <f>VLOOKUP($B624,R_DG!$A$7:$G$1305,6,0)</f>
        <v>0</v>
      </c>
      <c r="I624" s="608">
        <f>VLOOKUP($B624,R_DG!$A$7:$G$1305,7,0)</f>
        <v>0</v>
      </c>
      <c r="J624" s="608">
        <f t="shared" ref="J624:L682" si="133">G624*$F624</f>
        <v>30200</v>
      </c>
      <c r="K624" s="608">
        <f t="shared" si="133"/>
        <v>0</v>
      </c>
      <c r="L624" s="725">
        <f t="shared" si="133"/>
        <v>0</v>
      </c>
      <c r="M624" s="1127">
        <f t="shared" ref="M624:M631" si="134">IF(F624&gt;0,M$623,0)</f>
        <v>0</v>
      </c>
      <c r="N624" s="727">
        <f t="shared" ref="N624:N631" ca="1" si="135">$F624*N$623</f>
        <v>0</v>
      </c>
    </row>
    <row r="625" spans="1:14" ht="20.100000000000001" hidden="1" customHeight="1">
      <c r="A625" s="696"/>
      <c r="B625" s="226" t="s">
        <v>634</v>
      </c>
      <c r="C625" s="713">
        <f>VLOOKUP($B625,R_DG!$A$7:$G$1305,2,0)</f>
        <v>0</v>
      </c>
      <c r="D625" s="723" t="str">
        <f>VLOOKUP($B625,R_DG!$A$7:$G$1305,3,0)</f>
        <v>Sứ chằng nhỏ</v>
      </c>
      <c r="E625" s="714" t="str">
        <f>VLOOKUP($B625,R_DG!$A$7:$G$1305,4,0)</f>
        <v>cái</v>
      </c>
      <c r="F625" s="724">
        <v>1</v>
      </c>
      <c r="G625" s="608">
        <f>VLOOKUP($B625,R_DG!$A$7:$G$1305,5,0)</f>
        <v>47000</v>
      </c>
      <c r="H625" s="608">
        <f>VLOOKUP($B625,R_DG!$A$7:$G$1305,6,0)</f>
        <v>0</v>
      </c>
      <c r="I625" s="608">
        <f>VLOOKUP($B625,R_DG!$A$7:$G$1305,7,0)</f>
        <v>0</v>
      </c>
      <c r="J625" s="608">
        <f t="shared" si="133"/>
        <v>47000</v>
      </c>
      <c r="K625" s="608">
        <f t="shared" si="133"/>
        <v>0</v>
      </c>
      <c r="L625" s="725">
        <f t="shared" si="133"/>
        <v>0</v>
      </c>
      <c r="M625" s="1127">
        <f t="shared" si="134"/>
        <v>0</v>
      </c>
      <c r="N625" s="727">
        <f t="shared" ca="1" si="135"/>
        <v>0</v>
      </c>
    </row>
    <row r="626" spans="1:14" ht="20.100000000000001" hidden="1" customHeight="1">
      <c r="A626" s="696"/>
      <c r="B626" s="226" t="s">
        <v>401</v>
      </c>
      <c r="C626" s="713">
        <f>VLOOKUP($B626,R_DG!$A$7:$G$1305,2,0)</f>
        <v>0</v>
      </c>
      <c r="D626" s="723" t="str">
        <f>VLOOKUP($B626,R_DG!$A$7:$G$1305,3,0)</f>
        <v>Kẹp cáp chằng 3 boulon (B46x130)</v>
      </c>
      <c r="E626" s="714" t="str">
        <f>VLOOKUP($B626,R_DG!$A$7:$G$1305,4,0)</f>
        <v>cái</v>
      </c>
      <c r="F626" s="724">
        <v>8</v>
      </c>
      <c r="G626" s="608">
        <f>VLOOKUP($B626,R_DG!$A$7:$G$1305,5,0)</f>
        <v>40000</v>
      </c>
      <c r="H626" s="608">
        <f>VLOOKUP($B626,R_DG!$A$7:$G$1305,6,0)</f>
        <v>0</v>
      </c>
      <c r="I626" s="608">
        <f>VLOOKUP($B626,R_DG!$A$7:$G$1305,7,0)</f>
        <v>0</v>
      </c>
      <c r="J626" s="608">
        <f t="shared" si="133"/>
        <v>320000</v>
      </c>
      <c r="K626" s="608">
        <f t="shared" si="133"/>
        <v>0</v>
      </c>
      <c r="L626" s="725">
        <f t="shared" si="133"/>
        <v>0</v>
      </c>
      <c r="M626" s="1127">
        <f t="shared" si="134"/>
        <v>0</v>
      </c>
      <c r="N626" s="727">
        <f t="shared" ca="1" si="135"/>
        <v>0</v>
      </c>
    </row>
    <row r="627" spans="1:14" ht="20.100000000000001" hidden="1" customHeight="1">
      <c r="A627" s="696"/>
      <c r="B627" s="226" t="s">
        <v>381</v>
      </c>
      <c r="C627" s="713">
        <f>VLOOKUP($B627,R_DG!$A$7:$G$1305,2,0)</f>
        <v>0</v>
      </c>
      <c r="D627" s="723" t="str">
        <f>VLOOKUP($B627,R_DG!$A$7:$G$1305,3,0)&amp;" (15m/bộ)"</f>
        <v>Cáp thép 5/8" (15m/bộ) (15m/bộ)</v>
      </c>
      <c r="E627" s="714" t="str">
        <f>VLOOKUP($B627,R_DG!$A$7:$G$1305,4,0)</f>
        <v>kg</v>
      </c>
      <c r="F627" s="730">
        <f>15*0.438</f>
        <v>6.57</v>
      </c>
      <c r="G627" s="608">
        <f>VLOOKUP($B627,R_DG!$A$7:$G$1305,5,0)</f>
        <v>42000</v>
      </c>
      <c r="H627" s="608">
        <f>VLOOKUP($B627,R_DG!$A$7:$G$1305,6,0)</f>
        <v>0</v>
      </c>
      <c r="I627" s="608">
        <f>VLOOKUP($B627,R_DG!$A$7:$G$1305,7,0)</f>
        <v>0</v>
      </c>
      <c r="J627" s="608">
        <f t="shared" si="133"/>
        <v>275940</v>
      </c>
      <c r="K627" s="608">
        <f t="shared" si="133"/>
        <v>0</v>
      </c>
      <c r="L627" s="725">
        <f t="shared" si="133"/>
        <v>0</v>
      </c>
      <c r="M627" s="1127">
        <f t="shared" si="134"/>
        <v>0</v>
      </c>
      <c r="N627" s="727">
        <f t="shared" ca="1" si="135"/>
        <v>0</v>
      </c>
    </row>
    <row r="628" spans="1:14" ht="20.100000000000001" hidden="1" customHeight="1">
      <c r="A628" s="696"/>
      <c r="B628" s="226" t="s">
        <v>796</v>
      </c>
      <c r="C628" s="713">
        <f>VLOOKUP($B628,R_DG!$A$7:$G$1305,2,0)</f>
        <v>0</v>
      </c>
      <c r="D628" s="723" t="str">
        <f>VLOOKUP($B628,R_DG!$A$7:$G$1305,3,0)</f>
        <v>Yếm cáp dày 2mm</v>
      </c>
      <c r="E628" s="714" t="str">
        <f>VLOOKUP($B628,R_DG!$A$7:$G$1305,4,0)</f>
        <v>cái</v>
      </c>
      <c r="F628" s="724">
        <v>2</v>
      </c>
      <c r="G628" s="608">
        <f>VLOOKUP($B628,R_DG!$A$7:$G$1305,5,0)</f>
        <v>5300</v>
      </c>
      <c r="H628" s="608">
        <f>VLOOKUP($B628,R_DG!$A$7:$G$1305,6,0)</f>
        <v>0</v>
      </c>
      <c r="I628" s="608">
        <f>VLOOKUP($B628,R_DG!$A$7:$G$1305,7,0)</f>
        <v>0</v>
      </c>
      <c r="J628" s="608">
        <f t="shared" si="133"/>
        <v>10600</v>
      </c>
      <c r="K628" s="608">
        <f t="shared" si="133"/>
        <v>0</v>
      </c>
      <c r="L628" s="725">
        <f t="shared" si="133"/>
        <v>0</v>
      </c>
      <c r="M628" s="1127">
        <f t="shared" si="134"/>
        <v>0</v>
      </c>
      <c r="N628" s="727">
        <f t="shared" ca="1" si="135"/>
        <v>0</v>
      </c>
    </row>
    <row r="629" spans="1:14" ht="20.100000000000001" hidden="1" customHeight="1">
      <c r="A629" s="696"/>
      <c r="B629" s="226" t="s">
        <v>577</v>
      </c>
      <c r="C629" s="713">
        <f>VLOOKUP($B629,R_DG!$A$7:$G$1305,2,0)</f>
        <v>0</v>
      </c>
      <c r="D629" s="723" t="str">
        <f>VLOOKUP($B629,R_DG!$A$7:$G$1305,3,0)</f>
        <v>Máng che dây chằng dày 1,6x40x2000mm</v>
      </c>
      <c r="E629" s="714" t="str">
        <f>VLOOKUP($B629,R_DG!$A$7:$G$1305,4,0)</f>
        <v>cái</v>
      </c>
      <c r="F629" s="724">
        <v>1</v>
      </c>
      <c r="G629" s="608">
        <f>VLOOKUP($B629,R_DG!$A$7:$G$1305,5,0)</f>
        <v>55000</v>
      </c>
      <c r="H629" s="608">
        <f>VLOOKUP($B629,R_DG!$A$7:$G$1305,6,0)</f>
        <v>0</v>
      </c>
      <c r="I629" s="608">
        <f>VLOOKUP($B629,R_DG!$A$7:$G$1305,7,0)</f>
        <v>0</v>
      </c>
      <c r="J629" s="608">
        <f t="shared" si="133"/>
        <v>55000</v>
      </c>
      <c r="K629" s="608">
        <f t="shared" si="133"/>
        <v>0</v>
      </c>
      <c r="L629" s="725">
        <f t="shared" si="133"/>
        <v>0</v>
      </c>
      <c r="M629" s="1127">
        <f t="shared" si="134"/>
        <v>0</v>
      </c>
      <c r="N629" s="727">
        <f t="shared" ca="1" si="135"/>
        <v>0</v>
      </c>
    </row>
    <row r="630" spans="1:14" ht="20.100000000000001" hidden="1" customHeight="1">
      <c r="A630" s="696"/>
      <c r="B630" s="226" t="s">
        <v>1226</v>
      </c>
      <c r="C630" s="713" t="str">
        <f>VLOOKUP($B630,R_DG!$A$7:$G$1305,2,0)</f>
        <v>D3.3251</v>
      </c>
      <c r="D630" s="723" t="str">
        <f>VLOOKUP($B630,R_DG!$A$7:$G$1305,3,0)</f>
        <v>Lắp bộ dây néo</v>
      </c>
      <c r="E630" s="714" t="str">
        <f>VLOOKUP($B630,R_DG!$A$7:$G$1305,4,0)</f>
        <v>bộ</v>
      </c>
      <c r="F630" s="724">
        <f>F624</f>
        <v>1</v>
      </c>
      <c r="G630" s="608">
        <f>VLOOKUP($B630,R_DG!$A$7:$G$1305,5,0)</f>
        <v>0</v>
      </c>
      <c r="H630" s="608">
        <f>VLOOKUP($B630,R_DG!$A$7:$G$1305,6,0)</f>
        <v>106623</v>
      </c>
      <c r="I630" s="608">
        <f>VLOOKUP($B630,R_DG!$A$7:$G$1305,7,0)</f>
        <v>0</v>
      </c>
      <c r="J630" s="608">
        <f t="shared" si="133"/>
        <v>0</v>
      </c>
      <c r="K630" s="608">
        <f t="shared" si="133"/>
        <v>106623</v>
      </c>
      <c r="L630" s="725">
        <f t="shared" si="133"/>
        <v>0</v>
      </c>
      <c r="M630" s="1127">
        <f t="shared" si="134"/>
        <v>0</v>
      </c>
      <c r="N630" s="727">
        <f t="shared" ca="1" si="135"/>
        <v>0</v>
      </c>
    </row>
    <row r="631" spans="1:14" ht="20.100000000000001" hidden="1" customHeight="1">
      <c r="A631" s="696"/>
      <c r="B631" s="226" t="s">
        <v>1226</v>
      </c>
      <c r="C631" s="713" t="str">
        <f>VLOOKUP($B631,R_DG!$A$7:$G$1305,2,0)</f>
        <v>D3.3251</v>
      </c>
      <c r="D631" s="723" t="str">
        <f>VLOOKUP($B631,R_DG!$A$7:$G$1305,3,0)</f>
        <v>Lắp bộ dây néo</v>
      </c>
      <c r="E631" s="714" t="str">
        <f>VLOOKUP($B631,R_DG!$A$7:$G$1305,4,0)</f>
        <v>bộ</v>
      </c>
      <c r="F631" s="724"/>
      <c r="G631" s="608">
        <f>VLOOKUP($B631,R_DG!$A$7:$G$1305,5,0)</f>
        <v>0</v>
      </c>
      <c r="H631" s="608">
        <f>VLOOKUP($B631,R_DG!$A$7:$G$1305,6,0)</f>
        <v>106623</v>
      </c>
      <c r="I631" s="608">
        <f>VLOOKUP($B631,R_DG!$A$7:$G$1305,7,0)</f>
        <v>0</v>
      </c>
      <c r="J631" s="608">
        <f t="shared" si="133"/>
        <v>0</v>
      </c>
      <c r="K631" s="608">
        <f t="shared" si="133"/>
        <v>0</v>
      </c>
      <c r="L631" s="725">
        <f t="shared" si="133"/>
        <v>0</v>
      </c>
      <c r="M631" s="726">
        <f t="shared" si="134"/>
        <v>0</v>
      </c>
      <c r="N631" s="727">
        <f t="shared" ca="1" si="135"/>
        <v>0</v>
      </c>
    </row>
    <row r="632" spans="1:14" ht="20.100000000000001" customHeight="1">
      <c r="A632" s="728" t="s">
        <v>2581</v>
      </c>
      <c r="B632" s="729"/>
      <c r="C632" s="717"/>
      <c r="D632" s="718" t="s">
        <v>2580</v>
      </c>
      <c r="E632" s="718" t="s">
        <v>163</v>
      </c>
      <c r="F632" s="719"/>
      <c r="G632" s="720"/>
      <c r="H632" s="720"/>
      <c r="I632" s="720"/>
      <c r="J632" s="720">
        <f>SUM(J633:J641)</f>
        <v>992948</v>
      </c>
      <c r="K632" s="720">
        <f>SUM(K633:K641)</f>
        <v>294346.34999999998</v>
      </c>
      <c r="L632" s="721">
        <f>SUM(L633:L641)</f>
        <v>0</v>
      </c>
      <c r="N632" s="712">
        <f ca="1">SUMIF(maBK,$A632,tongBK1)</f>
        <v>0</v>
      </c>
    </row>
    <row r="633" spans="1:14" ht="20.100000000000001" hidden="1" customHeight="1">
      <c r="A633" s="696"/>
      <c r="B633" s="226" t="s">
        <v>144</v>
      </c>
      <c r="C633" s="713">
        <f>VLOOKUP($B633,R_DG!$A$7:$G$1305,2,0)</f>
        <v>0</v>
      </c>
      <c r="D633" s="723" t="str">
        <f>VLOOKUP($B633,R_DG!$A$7:$G$1305,3,0)</f>
        <v>Boulon mắt 16x300+ 2 long đền vuông D18-50x50x3/Zn</v>
      </c>
      <c r="E633" s="714" t="str">
        <f>VLOOKUP($B633,R_DG!$A$7:$G$1305,4,0)</f>
        <v>bộ</v>
      </c>
      <c r="F633" s="724">
        <v>1</v>
      </c>
      <c r="G633" s="608">
        <f>VLOOKUP($B633,R_DG!$A$7:$G$1305,5,0)</f>
        <v>30200</v>
      </c>
      <c r="H633" s="608">
        <f>VLOOKUP($B633,R_DG!$A$7:$G$1305,6,0)</f>
        <v>0</v>
      </c>
      <c r="I633" s="608">
        <f>VLOOKUP($B633,R_DG!$A$7:$G$1305,7,0)</f>
        <v>0</v>
      </c>
      <c r="J633" s="608">
        <f t="shared" si="133"/>
        <v>30200</v>
      </c>
      <c r="K633" s="608">
        <f t="shared" si="133"/>
        <v>0</v>
      </c>
      <c r="L633" s="725">
        <f t="shared" si="133"/>
        <v>0</v>
      </c>
      <c r="M633" s="1127">
        <f t="shared" ref="M633:M641" si="136">IF(F633&gt;0,M$632,0)</f>
        <v>0</v>
      </c>
      <c r="N633" s="727">
        <f t="shared" ref="N633:N641" ca="1" si="137">$F633*N$632</f>
        <v>0</v>
      </c>
    </row>
    <row r="634" spans="1:14" ht="20.100000000000001" hidden="1" customHeight="1">
      <c r="A634" s="696"/>
      <c r="B634" s="226" t="s">
        <v>634</v>
      </c>
      <c r="C634" s="713">
        <f>VLOOKUP($B634,R_DG!$A$7:$G$1305,2,0)</f>
        <v>0</v>
      </c>
      <c r="D634" s="723" t="str">
        <f>VLOOKUP($B634,R_DG!$A$7:$G$1305,3,0)</f>
        <v>Sứ chằng nhỏ</v>
      </c>
      <c r="E634" s="714" t="str">
        <f>VLOOKUP($B634,R_DG!$A$7:$G$1305,4,0)</f>
        <v>cái</v>
      </c>
      <c r="F634" s="724">
        <v>1</v>
      </c>
      <c r="G634" s="608">
        <f>VLOOKUP($B634,R_DG!$A$7:$G$1305,5,0)</f>
        <v>47000</v>
      </c>
      <c r="H634" s="608">
        <f>VLOOKUP($B634,R_DG!$A$7:$G$1305,6,0)</f>
        <v>0</v>
      </c>
      <c r="I634" s="608">
        <f>VLOOKUP($B634,R_DG!$A$7:$G$1305,7,0)</f>
        <v>0</v>
      </c>
      <c r="J634" s="608">
        <f t="shared" si="133"/>
        <v>47000</v>
      </c>
      <c r="K634" s="608">
        <f t="shared" si="133"/>
        <v>0</v>
      </c>
      <c r="L634" s="725">
        <f t="shared" si="133"/>
        <v>0</v>
      </c>
      <c r="M634" s="1127">
        <f t="shared" si="136"/>
        <v>0</v>
      </c>
      <c r="N634" s="727">
        <f t="shared" ca="1" si="137"/>
        <v>0</v>
      </c>
    </row>
    <row r="635" spans="1:14" ht="20.100000000000001" hidden="1" customHeight="1">
      <c r="A635" s="696"/>
      <c r="B635" s="226" t="s">
        <v>401</v>
      </c>
      <c r="C635" s="713">
        <f>VLOOKUP($B635,R_DG!$A$7:$G$1305,2,0)</f>
        <v>0</v>
      </c>
      <c r="D635" s="723" t="str">
        <f>VLOOKUP($B635,R_DG!$A$7:$G$1305,3,0)</f>
        <v>Kẹp cáp chằng 3 boulon (B46x130)</v>
      </c>
      <c r="E635" s="714" t="str">
        <f>VLOOKUP($B635,R_DG!$A$7:$G$1305,4,0)</f>
        <v>cái</v>
      </c>
      <c r="F635" s="724">
        <v>8</v>
      </c>
      <c r="G635" s="608">
        <f>VLOOKUP($B635,R_DG!$A$7:$G$1305,5,0)</f>
        <v>40000</v>
      </c>
      <c r="H635" s="608">
        <f>VLOOKUP($B635,R_DG!$A$7:$G$1305,6,0)</f>
        <v>0</v>
      </c>
      <c r="I635" s="608">
        <f>VLOOKUP($B635,R_DG!$A$7:$G$1305,7,0)</f>
        <v>0</v>
      </c>
      <c r="J635" s="608">
        <f t="shared" si="133"/>
        <v>320000</v>
      </c>
      <c r="K635" s="608">
        <f t="shared" si="133"/>
        <v>0</v>
      </c>
      <c r="L635" s="725">
        <f t="shared" si="133"/>
        <v>0</v>
      </c>
      <c r="M635" s="1127">
        <f t="shared" si="136"/>
        <v>0</v>
      </c>
      <c r="N635" s="727">
        <f t="shared" ca="1" si="137"/>
        <v>0</v>
      </c>
    </row>
    <row r="636" spans="1:14" ht="20.100000000000001" hidden="1" customHeight="1">
      <c r="A636" s="696"/>
      <c r="B636" s="226" t="s">
        <v>381</v>
      </c>
      <c r="C636" s="713">
        <f>VLOOKUP($B636,R_DG!$A$7:$G$1305,2,0)</f>
        <v>0</v>
      </c>
      <c r="D636" s="723" t="str">
        <f>VLOOKUP($B636,R_DG!$A$7:$G$1305,3,0)&amp;" (13m/bộ)"</f>
        <v>Cáp thép 5/8" (15m/bộ) (13m/bộ)</v>
      </c>
      <c r="E636" s="714" t="str">
        <f>VLOOKUP($B636,R_DG!$A$7:$G$1305,4,0)</f>
        <v>kg</v>
      </c>
      <c r="F636" s="730">
        <f>13*0.438</f>
        <v>5.694</v>
      </c>
      <c r="G636" s="608">
        <f>VLOOKUP($B636,R_DG!$A$7:$G$1305,5,0)</f>
        <v>42000</v>
      </c>
      <c r="H636" s="608">
        <f>VLOOKUP($B636,R_DG!$A$7:$G$1305,6,0)</f>
        <v>0</v>
      </c>
      <c r="I636" s="608">
        <f>VLOOKUP($B636,R_DG!$A$7:$G$1305,7,0)</f>
        <v>0</v>
      </c>
      <c r="J636" s="608">
        <f t="shared" si="133"/>
        <v>239148</v>
      </c>
      <c r="K636" s="608">
        <f t="shared" si="133"/>
        <v>0</v>
      </c>
      <c r="L636" s="725">
        <f t="shared" si="133"/>
        <v>0</v>
      </c>
      <c r="M636" s="1127">
        <f t="shared" si="136"/>
        <v>0</v>
      </c>
      <c r="N636" s="727">
        <f t="shared" ca="1" si="137"/>
        <v>0</v>
      </c>
    </row>
    <row r="637" spans="1:14" ht="20.100000000000001" hidden="1" customHeight="1">
      <c r="A637" s="696"/>
      <c r="B637" s="226" t="s">
        <v>682</v>
      </c>
      <c r="C637" s="713">
        <f>VLOOKUP($B637,R_DG!$A$7:$G$1305,2,0)</f>
        <v>0</v>
      </c>
      <c r="D637" s="723" t="str">
        <f>VLOOKUP($B637,R_DG!$A$7:$G$1305,3,0)</f>
        <v>Bộ chống chằng hẹp φ60/56x1500+2BL12x40+BL16x250/80</v>
      </c>
      <c r="E637" s="714" t="str">
        <f>VLOOKUP($B637,R_DG!$A$7:$G$1305,4,0)</f>
        <v>bộ</v>
      </c>
      <c r="F637" s="724">
        <v>1</v>
      </c>
      <c r="G637" s="608">
        <f>VLOOKUP($B637,R_DG!$A$7:$G$1305,5,0)</f>
        <v>291000</v>
      </c>
      <c r="H637" s="608">
        <f>VLOOKUP($B637,R_DG!$A$7:$G$1305,6,0)</f>
        <v>0</v>
      </c>
      <c r="I637" s="608">
        <f>VLOOKUP($B637,R_DG!$A$7:$G$1305,7,0)</f>
        <v>0</v>
      </c>
      <c r="J637" s="608">
        <f t="shared" si="133"/>
        <v>291000</v>
      </c>
      <c r="K637" s="608">
        <f t="shared" si="133"/>
        <v>0</v>
      </c>
      <c r="L637" s="725">
        <f t="shared" si="133"/>
        <v>0</v>
      </c>
      <c r="M637" s="1127">
        <f t="shared" si="136"/>
        <v>0</v>
      </c>
      <c r="N637" s="727">
        <f t="shared" ca="1" si="137"/>
        <v>0</v>
      </c>
    </row>
    <row r="638" spans="1:14" ht="20.100000000000001" hidden="1" customHeight="1">
      <c r="A638" s="696"/>
      <c r="B638" s="226" t="s">
        <v>796</v>
      </c>
      <c r="C638" s="713">
        <f>VLOOKUP($B638,R_DG!$A$7:$G$1305,2,0)</f>
        <v>0</v>
      </c>
      <c r="D638" s="723" t="str">
        <f>VLOOKUP($B638,R_DG!$A$7:$G$1305,3,0)</f>
        <v>Yếm cáp dày 2mm</v>
      </c>
      <c r="E638" s="714" t="str">
        <f>VLOOKUP($B638,R_DG!$A$7:$G$1305,4,0)</f>
        <v>cái</v>
      </c>
      <c r="F638" s="724">
        <v>2</v>
      </c>
      <c r="G638" s="608">
        <f>VLOOKUP($B638,R_DG!$A$7:$G$1305,5,0)</f>
        <v>5300</v>
      </c>
      <c r="H638" s="608">
        <f>VLOOKUP($B638,R_DG!$A$7:$G$1305,6,0)</f>
        <v>0</v>
      </c>
      <c r="I638" s="608">
        <f>VLOOKUP($B638,R_DG!$A$7:$G$1305,7,0)</f>
        <v>0</v>
      </c>
      <c r="J638" s="608">
        <f t="shared" si="133"/>
        <v>10600</v>
      </c>
      <c r="K638" s="608">
        <f t="shared" si="133"/>
        <v>0</v>
      </c>
      <c r="L638" s="725">
        <f t="shared" si="133"/>
        <v>0</v>
      </c>
      <c r="M638" s="1127">
        <f t="shared" si="136"/>
        <v>0</v>
      </c>
      <c r="N638" s="727">
        <f t="shared" ca="1" si="137"/>
        <v>0</v>
      </c>
    </row>
    <row r="639" spans="1:14" ht="20.100000000000001" hidden="1" customHeight="1">
      <c r="A639" s="696"/>
      <c r="B639" s="226" t="s">
        <v>577</v>
      </c>
      <c r="C639" s="713">
        <f>VLOOKUP($B639,R_DG!$A$7:$G$1305,2,0)</f>
        <v>0</v>
      </c>
      <c r="D639" s="723" t="str">
        <f>VLOOKUP($B639,R_DG!$A$7:$G$1305,3,0)</f>
        <v>Máng che dây chằng dày 1,6x40x2000mm</v>
      </c>
      <c r="E639" s="714" t="str">
        <f>VLOOKUP($B639,R_DG!$A$7:$G$1305,4,0)</f>
        <v>cái</v>
      </c>
      <c r="F639" s="724">
        <v>1</v>
      </c>
      <c r="G639" s="608">
        <f>VLOOKUP($B639,R_DG!$A$7:$G$1305,5,0)</f>
        <v>55000</v>
      </c>
      <c r="H639" s="608">
        <f>VLOOKUP($B639,R_DG!$A$7:$G$1305,6,0)</f>
        <v>0</v>
      </c>
      <c r="I639" s="608">
        <f>VLOOKUP($B639,R_DG!$A$7:$G$1305,7,0)</f>
        <v>0</v>
      </c>
      <c r="J639" s="608">
        <f t="shared" si="133"/>
        <v>55000</v>
      </c>
      <c r="K639" s="608">
        <f t="shared" si="133"/>
        <v>0</v>
      </c>
      <c r="L639" s="725">
        <f t="shared" si="133"/>
        <v>0</v>
      </c>
      <c r="M639" s="1127">
        <f t="shared" si="136"/>
        <v>0</v>
      </c>
      <c r="N639" s="727">
        <f t="shared" ca="1" si="137"/>
        <v>0</v>
      </c>
    </row>
    <row r="640" spans="1:14" ht="20.100000000000001" hidden="1" customHeight="1">
      <c r="A640" s="696"/>
      <c r="B640" s="226" t="s">
        <v>1226</v>
      </c>
      <c r="C640" s="713" t="str">
        <f>VLOOKUP($B640,R_DG!$A$7:$G$1305,2,0)</f>
        <v>D3.3251</v>
      </c>
      <c r="D640" s="723" t="str">
        <f>VLOOKUP($B640,R_DG!$A$7:$G$1305,3,0)</f>
        <v>Lắp bộ dây néo</v>
      </c>
      <c r="E640" s="714" t="str">
        <f>VLOOKUP($B640,R_DG!$A$7:$G$1305,4,0)</f>
        <v>bộ</v>
      </c>
      <c r="F640" s="724">
        <v>1</v>
      </c>
      <c r="G640" s="608">
        <f>VLOOKUP($B640,R_DG!$A$7:$G$1305,5,0)</f>
        <v>0</v>
      </c>
      <c r="H640" s="608">
        <f>VLOOKUP($B640,R_DG!$A$7:$G$1305,6,0)</f>
        <v>106623</v>
      </c>
      <c r="I640" s="608">
        <f>VLOOKUP($B640,R_DG!$A$7:$G$1305,7,0)</f>
        <v>0</v>
      </c>
      <c r="J640" s="608">
        <f t="shared" si="133"/>
        <v>0</v>
      </c>
      <c r="K640" s="608">
        <f t="shared" si="133"/>
        <v>106623</v>
      </c>
      <c r="L640" s="725">
        <f t="shared" si="133"/>
        <v>0</v>
      </c>
      <c r="M640" s="1127">
        <f t="shared" si="136"/>
        <v>0</v>
      </c>
      <c r="N640" s="727">
        <f t="shared" ca="1" si="137"/>
        <v>0</v>
      </c>
    </row>
    <row r="641" spans="1:14" ht="20.100000000000001" hidden="1" customHeight="1">
      <c r="A641" s="696"/>
      <c r="B641" s="226" t="s">
        <v>1224</v>
      </c>
      <c r="C641" s="713" t="str">
        <f>VLOOKUP($B641,R_DG!$A$7:$G$1305,2,0)</f>
        <v>D2.6011</v>
      </c>
      <c r="D641" s="723" t="str">
        <f>VLOOKUP($B641,R_DG!$A$7:$G$1305,3,0)</f>
        <v>Lắp bộ chống lệch</v>
      </c>
      <c r="E641" s="714" t="str">
        <f>VLOOKUP($B641,R_DG!$A$7:$G$1305,4,0)</f>
        <v>bộ</v>
      </c>
      <c r="F641" s="724">
        <v>1</v>
      </c>
      <c r="G641" s="608">
        <f>VLOOKUP($B641,R_DG!$A$7:$G$1305,5,0)</f>
        <v>0</v>
      </c>
      <c r="H641" s="608">
        <f>VLOOKUP($B641,R_DG!$A$7:$G$1305,6,0)</f>
        <v>187723.35</v>
      </c>
      <c r="I641" s="608">
        <f>VLOOKUP($B641,R_DG!$A$7:$G$1305,7,0)</f>
        <v>0</v>
      </c>
      <c r="J641" s="608">
        <f t="shared" si="133"/>
        <v>0</v>
      </c>
      <c r="K641" s="608">
        <f t="shared" si="133"/>
        <v>187723.35</v>
      </c>
      <c r="L641" s="725">
        <f t="shared" si="133"/>
        <v>0</v>
      </c>
      <c r="M641" s="1127">
        <f t="shared" si="136"/>
        <v>0</v>
      </c>
      <c r="N641" s="727">
        <f t="shared" ca="1" si="137"/>
        <v>0</v>
      </c>
    </row>
    <row r="642" spans="1:14" ht="20.100000000000001" customHeight="1">
      <c r="A642" s="728" t="s">
        <v>2583</v>
      </c>
      <c r="B642" s="729"/>
      <c r="C642" s="717"/>
      <c r="D642" s="718" t="s">
        <v>2582</v>
      </c>
      <c r="E642" s="718" t="s">
        <v>163</v>
      </c>
      <c r="F642" s="719"/>
      <c r="G642" s="720"/>
      <c r="H642" s="720"/>
      <c r="I642" s="720"/>
      <c r="J642" s="720">
        <f>SUM(J643:J649)</f>
        <v>2389800</v>
      </c>
      <c r="K642" s="720">
        <f>SUM(K643:K649)</f>
        <v>213246</v>
      </c>
      <c r="L642" s="721">
        <f>SUM(L643:L649)</f>
        <v>0</v>
      </c>
      <c r="M642" s="693">
        <f>IF(ERROR.TYPE(IF(HLOOKUP(A642,maBK,1,0)&lt;&gt;"",#NULL!,"ABC"))&lt;&gt;7,1,0)</f>
        <v>0</v>
      </c>
      <c r="N642" s="712">
        <f ca="1">SUMIF(maBK,$A642,tongBK1)</f>
        <v>0</v>
      </c>
    </row>
    <row r="643" spans="1:14" ht="20.100000000000001" hidden="1" customHeight="1">
      <c r="A643" s="696"/>
      <c r="B643" s="226" t="s">
        <v>142</v>
      </c>
      <c r="C643" s="713">
        <f>VLOOKUP($B643,R_DG!$A$7:$G$1305,2,0)</f>
        <v>0</v>
      </c>
      <c r="D643" s="723" t="str">
        <f>VLOOKUP($B643,R_DG!$A$7:$G$1305,3,0)</f>
        <v>Boulon mắt 16x250+ 2 long đền vuông D18-50x50x3/Zn</v>
      </c>
      <c r="E643" s="714" t="str">
        <f>VLOOKUP($B643,R_DG!$A$7:$G$1305,4,0)</f>
        <v>bộ</v>
      </c>
      <c r="F643" s="724">
        <v>2</v>
      </c>
      <c r="G643" s="608">
        <f>VLOOKUP($B643,R_DG!$A$7:$G$1305,5,0)</f>
        <v>27300</v>
      </c>
      <c r="H643" s="608">
        <f>VLOOKUP($B643,R_DG!$A$7:$G$1305,6,0)</f>
        <v>0</v>
      </c>
      <c r="I643" s="608">
        <f>VLOOKUP($B643,R_DG!$A$7:$G$1305,7,0)</f>
        <v>0</v>
      </c>
      <c r="J643" s="608">
        <f t="shared" si="133"/>
        <v>54600</v>
      </c>
      <c r="K643" s="608">
        <f t="shared" si="133"/>
        <v>0</v>
      </c>
      <c r="L643" s="725">
        <f t="shared" si="133"/>
        <v>0</v>
      </c>
      <c r="M643" s="726">
        <f t="shared" ref="M643:M649" si="138">IF(F643&gt;0,M$642,0)</f>
        <v>0</v>
      </c>
      <c r="N643" s="727">
        <f t="shared" ref="N643:N649" ca="1" si="139">$F643*N$642</f>
        <v>0</v>
      </c>
    </row>
    <row r="644" spans="1:14" ht="20.100000000000001" hidden="1" customHeight="1">
      <c r="A644" s="696"/>
      <c r="B644" s="226" t="s">
        <v>634</v>
      </c>
      <c r="C644" s="713">
        <f>VLOOKUP($B644,R_DG!$A$7:$G$1305,2,0)</f>
        <v>0</v>
      </c>
      <c r="D644" s="723" t="str">
        <f>VLOOKUP($B644,R_DG!$A$7:$G$1305,3,0)</f>
        <v>Sứ chằng nhỏ</v>
      </c>
      <c r="E644" s="714" t="str">
        <f>VLOOKUP($B644,R_DG!$A$7:$G$1305,4,0)</f>
        <v>cái</v>
      </c>
      <c r="F644" s="724">
        <v>2</v>
      </c>
      <c r="G644" s="608">
        <f>VLOOKUP($B644,R_DG!$A$7:$G$1305,5,0)</f>
        <v>47000</v>
      </c>
      <c r="H644" s="608">
        <f>VLOOKUP($B644,R_DG!$A$7:$G$1305,6,0)</f>
        <v>0</v>
      </c>
      <c r="I644" s="608">
        <f>VLOOKUP($B644,R_DG!$A$7:$G$1305,7,0)</f>
        <v>0</v>
      </c>
      <c r="J644" s="608">
        <f t="shared" si="133"/>
        <v>94000</v>
      </c>
      <c r="K644" s="608">
        <f t="shared" si="133"/>
        <v>0</v>
      </c>
      <c r="L644" s="725">
        <f t="shared" si="133"/>
        <v>0</v>
      </c>
      <c r="M644" s="726">
        <f t="shared" si="138"/>
        <v>0</v>
      </c>
      <c r="N644" s="727">
        <f t="shared" ca="1" si="139"/>
        <v>0</v>
      </c>
    </row>
    <row r="645" spans="1:14" ht="20.100000000000001" hidden="1" customHeight="1">
      <c r="A645" s="696"/>
      <c r="B645" s="226" t="s">
        <v>401</v>
      </c>
      <c r="C645" s="713">
        <f>VLOOKUP($B645,R_DG!$A$7:$G$1305,2,0)</f>
        <v>0</v>
      </c>
      <c r="D645" s="723" t="str">
        <f>VLOOKUP($B645,R_DG!$A$7:$G$1305,3,0)</f>
        <v>Kẹp cáp chằng 3 boulon (B46x130)</v>
      </c>
      <c r="E645" s="714" t="str">
        <f>VLOOKUP($B645,R_DG!$A$7:$G$1305,4,0)</f>
        <v>cái</v>
      </c>
      <c r="F645" s="724">
        <v>16</v>
      </c>
      <c r="G645" s="608">
        <f>VLOOKUP($B645,R_DG!$A$7:$G$1305,5,0)</f>
        <v>40000</v>
      </c>
      <c r="H645" s="608">
        <f>VLOOKUP($B645,R_DG!$A$7:$G$1305,6,0)</f>
        <v>0</v>
      </c>
      <c r="I645" s="608">
        <f>VLOOKUP($B645,R_DG!$A$7:$G$1305,7,0)</f>
        <v>0</v>
      </c>
      <c r="J645" s="608">
        <f t="shared" si="133"/>
        <v>640000</v>
      </c>
      <c r="K645" s="608">
        <f t="shared" si="133"/>
        <v>0</v>
      </c>
      <c r="L645" s="725">
        <f t="shared" si="133"/>
        <v>0</v>
      </c>
      <c r="M645" s="726">
        <f t="shared" si="138"/>
        <v>0</v>
      </c>
      <c r="N645" s="727">
        <f t="shared" ca="1" si="139"/>
        <v>0</v>
      </c>
    </row>
    <row r="646" spans="1:14" ht="20.100000000000001" hidden="1" customHeight="1">
      <c r="A646" s="696"/>
      <c r="B646" s="226" t="s">
        <v>381</v>
      </c>
      <c r="C646" s="713">
        <f>VLOOKUP($B646,R_DG!$A$7:$G$1305,2,0)</f>
        <v>0</v>
      </c>
      <c r="D646" s="723" t="str">
        <f>VLOOKUP($B646,R_DG!$A$7:$G$1305,3,0)</f>
        <v>Cáp thép 5/8" (15m/bộ)</v>
      </c>
      <c r="E646" s="714" t="str">
        <f>VLOOKUP($B646,R_DG!$A$7:$G$1305,4,0)</f>
        <v>kg</v>
      </c>
      <c r="F646" s="730">
        <v>35</v>
      </c>
      <c r="G646" s="608">
        <f>VLOOKUP($B646,R_DG!$A$7:$G$1305,5,0)</f>
        <v>42000</v>
      </c>
      <c r="H646" s="608">
        <f>VLOOKUP($B646,R_DG!$A$7:$G$1305,6,0)</f>
        <v>0</v>
      </c>
      <c r="I646" s="608">
        <f>VLOOKUP($B646,R_DG!$A$7:$G$1305,7,0)</f>
        <v>0</v>
      </c>
      <c r="J646" s="608">
        <f t="shared" si="133"/>
        <v>1470000</v>
      </c>
      <c r="K646" s="608">
        <f t="shared" si="133"/>
        <v>0</v>
      </c>
      <c r="L646" s="725">
        <f t="shared" si="133"/>
        <v>0</v>
      </c>
      <c r="M646" s="726">
        <f t="shared" si="138"/>
        <v>0</v>
      </c>
      <c r="N646" s="727">
        <f t="shared" ca="1" si="139"/>
        <v>0</v>
      </c>
    </row>
    <row r="647" spans="1:14" ht="20.100000000000001" hidden="1" customHeight="1">
      <c r="A647" s="696"/>
      <c r="B647" s="226" t="s">
        <v>796</v>
      </c>
      <c r="C647" s="713">
        <f>VLOOKUP($B647,R_DG!$A$7:$G$1305,2,0)</f>
        <v>0</v>
      </c>
      <c r="D647" s="723" t="str">
        <f>VLOOKUP($B647,R_DG!$A$7:$G$1305,3,0)</f>
        <v>Yếm cáp dày 2mm</v>
      </c>
      <c r="E647" s="714" t="str">
        <f>VLOOKUP($B647,R_DG!$A$7:$G$1305,4,0)</f>
        <v>cái</v>
      </c>
      <c r="F647" s="724">
        <v>4</v>
      </c>
      <c r="G647" s="608">
        <f>VLOOKUP($B647,R_DG!$A$7:$G$1305,5,0)</f>
        <v>5300</v>
      </c>
      <c r="H647" s="608">
        <f>VLOOKUP($B647,R_DG!$A$7:$G$1305,6,0)</f>
        <v>0</v>
      </c>
      <c r="I647" s="608">
        <f>VLOOKUP($B647,R_DG!$A$7:$G$1305,7,0)</f>
        <v>0</v>
      </c>
      <c r="J647" s="608">
        <f t="shared" si="133"/>
        <v>21200</v>
      </c>
      <c r="K647" s="608">
        <f t="shared" si="133"/>
        <v>0</v>
      </c>
      <c r="L647" s="725">
        <f t="shared" si="133"/>
        <v>0</v>
      </c>
      <c r="M647" s="726">
        <f t="shared" si="138"/>
        <v>0</v>
      </c>
      <c r="N647" s="727">
        <f t="shared" ca="1" si="139"/>
        <v>0</v>
      </c>
    </row>
    <row r="648" spans="1:14" ht="20.100000000000001" hidden="1" customHeight="1">
      <c r="A648" s="696"/>
      <c r="B648" s="226" t="s">
        <v>577</v>
      </c>
      <c r="C648" s="713">
        <f>VLOOKUP($B648,R_DG!$A$7:$G$1305,2,0)</f>
        <v>0</v>
      </c>
      <c r="D648" s="723" t="str">
        <f>VLOOKUP($B648,R_DG!$A$7:$G$1305,3,0)</f>
        <v>Máng che dây chằng dày 1,6x40x2000mm</v>
      </c>
      <c r="E648" s="714" t="str">
        <f>VLOOKUP($B648,R_DG!$A$7:$G$1305,4,0)</f>
        <v>cái</v>
      </c>
      <c r="F648" s="724">
        <v>2</v>
      </c>
      <c r="G648" s="608">
        <f>VLOOKUP($B648,R_DG!$A$7:$G$1305,5,0)</f>
        <v>55000</v>
      </c>
      <c r="H648" s="608">
        <f>VLOOKUP($B648,R_DG!$A$7:$G$1305,6,0)</f>
        <v>0</v>
      </c>
      <c r="I648" s="608">
        <f>VLOOKUP($B648,R_DG!$A$7:$G$1305,7,0)</f>
        <v>0</v>
      </c>
      <c r="J648" s="608">
        <f t="shared" si="133"/>
        <v>110000</v>
      </c>
      <c r="K648" s="608">
        <f t="shared" si="133"/>
        <v>0</v>
      </c>
      <c r="L648" s="725">
        <f t="shared" si="133"/>
        <v>0</v>
      </c>
      <c r="M648" s="726">
        <f t="shared" si="138"/>
        <v>0</v>
      </c>
      <c r="N648" s="727">
        <f t="shared" ca="1" si="139"/>
        <v>0</v>
      </c>
    </row>
    <row r="649" spans="1:14" ht="20.100000000000001" hidden="1" customHeight="1">
      <c r="A649" s="696"/>
      <c r="B649" s="226" t="s">
        <v>1226</v>
      </c>
      <c r="C649" s="713" t="str">
        <f>VLOOKUP($B649,R_DG!$A$7:$G$1305,2,0)</f>
        <v>D3.3251</v>
      </c>
      <c r="D649" s="723" t="str">
        <f>VLOOKUP($B649,R_DG!$A$7:$G$1305,3,0)</f>
        <v>Lắp bộ dây néo</v>
      </c>
      <c r="E649" s="714" t="str">
        <f>VLOOKUP($B649,R_DG!$A$7:$G$1305,4,0)</f>
        <v>bộ</v>
      </c>
      <c r="F649" s="724">
        <v>2</v>
      </c>
      <c r="G649" s="608">
        <f>VLOOKUP($B649,R_DG!$A$7:$G$1305,5,0)</f>
        <v>0</v>
      </c>
      <c r="H649" s="608">
        <f>VLOOKUP($B649,R_DG!$A$7:$G$1305,6,0)</f>
        <v>106623</v>
      </c>
      <c r="I649" s="608">
        <f>VLOOKUP($B649,R_DG!$A$7:$G$1305,7,0)</f>
        <v>0</v>
      </c>
      <c r="J649" s="608">
        <f t="shared" si="133"/>
        <v>0</v>
      </c>
      <c r="K649" s="608">
        <f t="shared" si="133"/>
        <v>213246</v>
      </c>
      <c r="L649" s="725">
        <f t="shared" si="133"/>
        <v>0</v>
      </c>
      <c r="M649" s="726">
        <f t="shared" si="138"/>
        <v>0</v>
      </c>
      <c r="N649" s="727">
        <f t="shared" ca="1" si="139"/>
        <v>0</v>
      </c>
    </row>
    <row r="650" spans="1:14" ht="20.100000000000001" customHeight="1">
      <c r="A650" s="728" t="s">
        <v>2585</v>
      </c>
      <c r="B650" s="729"/>
      <c r="C650" s="717"/>
      <c r="D650" s="718" t="s">
        <v>2584</v>
      </c>
      <c r="E650" s="718" t="s">
        <v>163</v>
      </c>
      <c r="F650" s="719"/>
      <c r="G650" s="720"/>
      <c r="H650" s="720"/>
      <c r="I650" s="720"/>
      <c r="J650" s="720">
        <f>SUM(J651:J657)</f>
        <v>1299900</v>
      </c>
      <c r="K650" s="720">
        <f>SUM(K651:K657)</f>
        <v>106623</v>
      </c>
      <c r="L650" s="721">
        <f>SUM(L651:L657)</f>
        <v>0</v>
      </c>
      <c r="M650" s="693">
        <f>IF(ERROR.TYPE(IF(HLOOKUP(A650,maBK,1,0)&lt;&gt;"",#NULL!,"ABC"))&lt;&gt;7,1,0)</f>
        <v>0</v>
      </c>
      <c r="N650" s="712">
        <f ca="1">SUMIF(maBK,$A650,tongBK1)</f>
        <v>0</v>
      </c>
    </row>
    <row r="651" spans="1:14" ht="20.100000000000001" hidden="1" customHeight="1">
      <c r="A651" s="696"/>
      <c r="B651" s="226" t="s">
        <v>142</v>
      </c>
      <c r="C651" s="713">
        <f>VLOOKUP($B651,R_DG!$A$7:$G$1305,2,0)</f>
        <v>0</v>
      </c>
      <c r="D651" s="723" t="str">
        <f>VLOOKUP($B651,R_DG!$A$7:$G$1305,3,0)</f>
        <v>Boulon mắt 16x250+ 2 long đền vuông D18-50x50x3/Zn</v>
      </c>
      <c r="E651" s="714" t="str">
        <f>VLOOKUP($B651,R_DG!$A$7:$G$1305,4,0)</f>
        <v>bộ</v>
      </c>
      <c r="F651" s="724">
        <v>1</v>
      </c>
      <c r="G651" s="608">
        <f>VLOOKUP($B651,R_DG!$A$7:$G$1305,5,0)</f>
        <v>27300</v>
      </c>
      <c r="H651" s="608">
        <f>VLOOKUP($B651,R_DG!$A$7:$G$1305,6,0)</f>
        <v>0</v>
      </c>
      <c r="I651" s="608">
        <f>VLOOKUP($B651,R_DG!$A$7:$G$1305,7,0)</f>
        <v>0</v>
      </c>
      <c r="J651" s="608">
        <f t="shared" si="133"/>
        <v>27300</v>
      </c>
      <c r="K651" s="608">
        <f t="shared" si="133"/>
        <v>0</v>
      </c>
      <c r="L651" s="725">
        <f t="shared" si="133"/>
        <v>0</v>
      </c>
      <c r="M651" s="726">
        <f t="shared" ref="M651:M657" si="140">IF(F651&gt;0,M$650,0)</f>
        <v>0</v>
      </c>
      <c r="N651" s="727">
        <f t="shared" ref="N651:N657" ca="1" si="141">$F651*N$650</f>
        <v>0</v>
      </c>
    </row>
    <row r="652" spans="1:14" ht="20.100000000000001" hidden="1" customHeight="1">
      <c r="A652" s="696"/>
      <c r="B652" s="226" t="s">
        <v>634</v>
      </c>
      <c r="C652" s="713">
        <f>VLOOKUP($B652,R_DG!$A$7:$G$1305,2,0)</f>
        <v>0</v>
      </c>
      <c r="D652" s="723" t="str">
        <f>VLOOKUP($B652,R_DG!$A$7:$G$1305,3,0)</f>
        <v>Sứ chằng nhỏ</v>
      </c>
      <c r="E652" s="714" t="str">
        <f>VLOOKUP($B652,R_DG!$A$7:$G$1305,4,0)</f>
        <v>cái</v>
      </c>
      <c r="F652" s="724">
        <v>1</v>
      </c>
      <c r="G652" s="608">
        <f>VLOOKUP($B652,R_DG!$A$7:$G$1305,5,0)</f>
        <v>47000</v>
      </c>
      <c r="H652" s="608">
        <f>VLOOKUP($B652,R_DG!$A$7:$G$1305,6,0)</f>
        <v>0</v>
      </c>
      <c r="I652" s="608">
        <f>VLOOKUP($B652,R_DG!$A$7:$G$1305,7,0)</f>
        <v>0</v>
      </c>
      <c r="J652" s="608">
        <f t="shared" si="133"/>
        <v>47000</v>
      </c>
      <c r="K652" s="608">
        <f t="shared" si="133"/>
        <v>0</v>
      </c>
      <c r="L652" s="725">
        <f t="shared" si="133"/>
        <v>0</v>
      </c>
      <c r="M652" s="726">
        <f t="shared" si="140"/>
        <v>0</v>
      </c>
      <c r="N652" s="727">
        <f t="shared" ca="1" si="141"/>
        <v>0</v>
      </c>
    </row>
    <row r="653" spans="1:14" ht="20.100000000000001" hidden="1" customHeight="1">
      <c r="A653" s="696"/>
      <c r="B653" s="226" t="s">
        <v>401</v>
      </c>
      <c r="C653" s="713">
        <f>VLOOKUP($B653,R_DG!$A$7:$G$1305,2,0)</f>
        <v>0</v>
      </c>
      <c r="D653" s="723" t="str">
        <f>VLOOKUP($B653,R_DG!$A$7:$G$1305,3,0)</f>
        <v>Kẹp cáp chằng 3 boulon (B46x130)</v>
      </c>
      <c r="E653" s="714" t="str">
        <f>VLOOKUP($B653,R_DG!$A$7:$G$1305,4,0)</f>
        <v>cái</v>
      </c>
      <c r="F653" s="724">
        <v>8</v>
      </c>
      <c r="G653" s="608">
        <f>VLOOKUP($B653,R_DG!$A$7:$G$1305,5,0)</f>
        <v>40000</v>
      </c>
      <c r="H653" s="608">
        <f>VLOOKUP($B653,R_DG!$A$7:$G$1305,6,0)</f>
        <v>0</v>
      </c>
      <c r="I653" s="608">
        <f>VLOOKUP($B653,R_DG!$A$7:$G$1305,7,0)</f>
        <v>0</v>
      </c>
      <c r="J653" s="608">
        <f t="shared" si="133"/>
        <v>320000</v>
      </c>
      <c r="K653" s="608">
        <f t="shared" si="133"/>
        <v>0</v>
      </c>
      <c r="L653" s="725">
        <f t="shared" si="133"/>
        <v>0</v>
      </c>
      <c r="M653" s="726">
        <f t="shared" si="140"/>
        <v>0</v>
      </c>
      <c r="N653" s="727">
        <f t="shared" ca="1" si="141"/>
        <v>0</v>
      </c>
    </row>
    <row r="654" spans="1:14" ht="20.100000000000001" hidden="1" customHeight="1">
      <c r="A654" s="696"/>
      <c r="B654" s="226" t="s">
        <v>379</v>
      </c>
      <c r="C654" s="713">
        <f>VLOOKUP($B654,R_DG!$A$7:$G$1305,2,0)</f>
        <v>0</v>
      </c>
      <c r="D654" s="723" t="str">
        <f>VLOOKUP($B654,R_DG!$A$7:$G$1305,3,0)</f>
        <v>Cáp thép 3/8"</v>
      </c>
      <c r="E654" s="714" t="str">
        <f>VLOOKUP($B654,R_DG!$A$7:$G$1305,4,0)</f>
        <v>kg</v>
      </c>
      <c r="F654" s="730">
        <v>20</v>
      </c>
      <c r="G654" s="608">
        <f>VLOOKUP($B654,R_DG!$A$7:$G$1305,5,0)</f>
        <v>42000</v>
      </c>
      <c r="H654" s="608">
        <f>VLOOKUP($B654,R_DG!$A$7:$G$1305,6,0)</f>
        <v>0</v>
      </c>
      <c r="I654" s="608">
        <f>VLOOKUP($B654,R_DG!$A$7:$G$1305,7,0)</f>
        <v>0</v>
      </c>
      <c r="J654" s="608">
        <f t="shared" si="133"/>
        <v>840000</v>
      </c>
      <c r="K654" s="608">
        <f t="shared" si="133"/>
        <v>0</v>
      </c>
      <c r="L654" s="725">
        <f t="shared" si="133"/>
        <v>0</v>
      </c>
      <c r="M654" s="726">
        <f t="shared" si="140"/>
        <v>0</v>
      </c>
      <c r="N654" s="727">
        <f t="shared" ca="1" si="141"/>
        <v>0</v>
      </c>
    </row>
    <row r="655" spans="1:14" ht="20.100000000000001" hidden="1" customHeight="1">
      <c r="A655" s="696"/>
      <c r="B655" s="226" t="s">
        <v>796</v>
      </c>
      <c r="C655" s="713">
        <f>VLOOKUP($B655,R_DG!$A$7:$G$1305,2,0)</f>
        <v>0</v>
      </c>
      <c r="D655" s="723" t="str">
        <f>VLOOKUP($B655,R_DG!$A$7:$G$1305,3,0)</f>
        <v>Yếm cáp dày 2mm</v>
      </c>
      <c r="E655" s="714" t="str">
        <f>VLOOKUP($B655,R_DG!$A$7:$G$1305,4,0)</f>
        <v>cái</v>
      </c>
      <c r="F655" s="724">
        <v>2</v>
      </c>
      <c r="G655" s="608">
        <f>VLOOKUP($B655,R_DG!$A$7:$G$1305,5,0)</f>
        <v>5300</v>
      </c>
      <c r="H655" s="608">
        <f>VLOOKUP($B655,R_DG!$A$7:$G$1305,6,0)</f>
        <v>0</v>
      </c>
      <c r="I655" s="608">
        <f>VLOOKUP($B655,R_DG!$A$7:$G$1305,7,0)</f>
        <v>0</v>
      </c>
      <c r="J655" s="608">
        <f t="shared" si="133"/>
        <v>10600</v>
      </c>
      <c r="K655" s="608">
        <f t="shared" si="133"/>
        <v>0</v>
      </c>
      <c r="L655" s="725">
        <f t="shared" si="133"/>
        <v>0</v>
      </c>
      <c r="M655" s="726">
        <f t="shared" si="140"/>
        <v>0</v>
      </c>
      <c r="N655" s="727">
        <f t="shared" ca="1" si="141"/>
        <v>0</v>
      </c>
    </row>
    <row r="656" spans="1:14" ht="20.100000000000001" hidden="1" customHeight="1">
      <c r="A656" s="696"/>
      <c r="B656" s="226" t="s">
        <v>577</v>
      </c>
      <c r="C656" s="713">
        <f>VLOOKUP($B656,R_DG!$A$7:$G$1305,2,0)</f>
        <v>0</v>
      </c>
      <c r="D656" s="723" t="str">
        <f>VLOOKUP($B656,R_DG!$A$7:$G$1305,3,0)</f>
        <v>Máng che dây chằng dày 1,6x40x2000mm</v>
      </c>
      <c r="E656" s="714" t="str">
        <f>VLOOKUP($B656,R_DG!$A$7:$G$1305,4,0)</f>
        <v>cái</v>
      </c>
      <c r="F656" s="724">
        <v>1</v>
      </c>
      <c r="G656" s="608">
        <f>VLOOKUP($B656,R_DG!$A$7:$G$1305,5,0)</f>
        <v>55000</v>
      </c>
      <c r="H656" s="608">
        <f>VLOOKUP($B656,R_DG!$A$7:$G$1305,6,0)</f>
        <v>0</v>
      </c>
      <c r="I656" s="608">
        <f>VLOOKUP($B656,R_DG!$A$7:$G$1305,7,0)</f>
        <v>0</v>
      </c>
      <c r="J656" s="608">
        <f t="shared" si="133"/>
        <v>55000</v>
      </c>
      <c r="K656" s="608">
        <f t="shared" si="133"/>
        <v>0</v>
      </c>
      <c r="L656" s="725">
        <f t="shared" si="133"/>
        <v>0</v>
      </c>
      <c r="M656" s="726">
        <f t="shared" si="140"/>
        <v>0</v>
      </c>
      <c r="N656" s="727">
        <f t="shared" ca="1" si="141"/>
        <v>0</v>
      </c>
    </row>
    <row r="657" spans="1:14" ht="20.100000000000001" hidden="1" customHeight="1">
      <c r="A657" s="696"/>
      <c r="B657" s="226" t="s">
        <v>1226</v>
      </c>
      <c r="C657" s="713" t="str">
        <f>VLOOKUP($B657,R_DG!$A$7:$G$1305,2,0)</f>
        <v>D3.3251</v>
      </c>
      <c r="D657" s="723" t="str">
        <f>VLOOKUP($B657,R_DG!$A$7:$G$1305,3,0)</f>
        <v>Lắp bộ dây néo</v>
      </c>
      <c r="E657" s="714" t="str">
        <f>VLOOKUP($B657,R_DG!$A$7:$G$1305,4,0)</f>
        <v>bộ</v>
      </c>
      <c r="F657" s="724">
        <f>F651</f>
        <v>1</v>
      </c>
      <c r="G657" s="608">
        <f>VLOOKUP($B657,R_DG!$A$7:$G$1305,5,0)</f>
        <v>0</v>
      </c>
      <c r="H657" s="608">
        <f>VLOOKUP($B657,R_DG!$A$7:$G$1305,6,0)</f>
        <v>106623</v>
      </c>
      <c r="I657" s="608">
        <f>VLOOKUP($B657,R_DG!$A$7:$G$1305,7,0)</f>
        <v>0</v>
      </c>
      <c r="J657" s="608">
        <f t="shared" si="133"/>
        <v>0</v>
      </c>
      <c r="K657" s="608">
        <f t="shared" si="133"/>
        <v>106623</v>
      </c>
      <c r="L657" s="725">
        <f t="shared" si="133"/>
        <v>0</v>
      </c>
      <c r="M657" s="726">
        <f t="shared" si="140"/>
        <v>0</v>
      </c>
      <c r="N657" s="727">
        <f t="shared" ca="1" si="141"/>
        <v>0</v>
      </c>
    </row>
    <row r="658" spans="1:14" ht="20.100000000000001" customHeight="1">
      <c r="A658" s="728" t="s">
        <v>2587</v>
      </c>
      <c r="B658" s="729"/>
      <c r="C658" s="717"/>
      <c r="D658" s="718" t="s">
        <v>2586</v>
      </c>
      <c r="E658" s="718" t="s">
        <v>163</v>
      </c>
      <c r="F658" s="719"/>
      <c r="G658" s="720"/>
      <c r="H658" s="720"/>
      <c r="I658" s="720"/>
      <c r="J658" s="720">
        <f>SUM(J659:J667)</f>
        <v>1380900</v>
      </c>
      <c r="K658" s="720">
        <f>SUM(K659:K667)</f>
        <v>294346.34999999998</v>
      </c>
      <c r="L658" s="721">
        <f>SUM(L659:L667)</f>
        <v>0</v>
      </c>
      <c r="M658" s="693">
        <f>IF(ERROR.TYPE(IF(HLOOKUP(A658,maBK,1,0)&lt;&gt;"",#NULL!,"ABC"))&lt;&gt;7,1,0)</f>
        <v>0</v>
      </c>
      <c r="N658" s="712">
        <f ca="1">SUMIF(maBK,$A658,tongBK1)</f>
        <v>0</v>
      </c>
    </row>
    <row r="659" spans="1:14" ht="20.100000000000001" hidden="1" customHeight="1">
      <c r="A659" s="696"/>
      <c r="B659" s="226" t="s">
        <v>142</v>
      </c>
      <c r="C659" s="713">
        <f>VLOOKUP($B659,R_DG!$A$7:$G$1305,2,0)</f>
        <v>0</v>
      </c>
      <c r="D659" s="723" t="str">
        <f>VLOOKUP($B659,R_DG!$A$7:$G$1305,3,0)</f>
        <v>Boulon mắt 16x250+ 2 long đền vuông D18-50x50x3/Zn</v>
      </c>
      <c r="E659" s="714" t="str">
        <f>VLOOKUP($B659,R_DG!$A$7:$G$1305,4,0)</f>
        <v>bộ</v>
      </c>
      <c r="F659" s="724">
        <v>1</v>
      </c>
      <c r="G659" s="608">
        <f>VLOOKUP($B659,R_DG!$A$7:$G$1305,5,0)</f>
        <v>27300</v>
      </c>
      <c r="H659" s="608">
        <f>VLOOKUP($B659,R_DG!$A$7:$G$1305,6,0)</f>
        <v>0</v>
      </c>
      <c r="I659" s="608">
        <f>VLOOKUP($B659,R_DG!$A$7:$G$1305,7,0)</f>
        <v>0</v>
      </c>
      <c r="J659" s="608">
        <f t="shared" si="133"/>
        <v>27300</v>
      </c>
      <c r="K659" s="608">
        <f t="shared" si="133"/>
        <v>0</v>
      </c>
      <c r="L659" s="725">
        <f t="shared" si="133"/>
        <v>0</v>
      </c>
      <c r="M659" s="726">
        <f t="shared" ref="M659:M667" si="142">IF(F659&gt;0,M$658,0)</f>
        <v>0</v>
      </c>
      <c r="N659" s="727">
        <f t="shared" ref="N659:N667" ca="1" si="143">$F659*N$658</f>
        <v>0</v>
      </c>
    </row>
    <row r="660" spans="1:14" ht="20.100000000000001" hidden="1" customHeight="1">
      <c r="A660" s="696"/>
      <c r="B660" s="226" t="s">
        <v>634</v>
      </c>
      <c r="C660" s="713">
        <f>VLOOKUP($B660,R_DG!$A$7:$G$1305,2,0)</f>
        <v>0</v>
      </c>
      <c r="D660" s="723" t="str">
        <f>VLOOKUP($B660,R_DG!$A$7:$G$1305,3,0)</f>
        <v>Sứ chằng nhỏ</v>
      </c>
      <c r="E660" s="714" t="str">
        <f>VLOOKUP($B660,R_DG!$A$7:$G$1305,4,0)</f>
        <v>cái</v>
      </c>
      <c r="F660" s="724">
        <v>1</v>
      </c>
      <c r="G660" s="608">
        <f>VLOOKUP($B660,R_DG!$A$7:$G$1305,5,0)</f>
        <v>47000</v>
      </c>
      <c r="H660" s="608">
        <f>VLOOKUP($B660,R_DG!$A$7:$G$1305,6,0)</f>
        <v>0</v>
      </c>
      <c r="I660" s="608">
        <f>VLOOKUP($B660,R_DG!$A$7:$G$1305,7,0)</f>
        <v>0</v>
      </c>
      <c r="J660" s="608">
        <f t="shared" si="133"/>
        <v>47000</v>
      </c>
      <c r="K660" s="608">
        <f t="shared" si="133"/>
        <v>0</v>
      </c>
      <c r="L660" s="725">
        <f t="shared" si="133"/>
        <v>0</v>
      </c>
      <c r="M660" s="726">
        <f t="shared" si="142"/>
        <v>0</v>
      </c>
      <c r="N660" s="727">
        <f t="shared" ca="1" si="143"/>
        <v>0</v>
      </c>
    </row>
    <row r="661" spans="1:14" ht="20.100000000000001" hidden="1" customHeight="1">
      <c r="A661" s="696"/>
      <c r="B661" s="226" t="s">
        <v>401</v>
      </c>
      <c r="C661" s="713">
        <f>VLOOKUP($B661,R_DG!$A$7:$G$1305,2,0)</f>
        <v>0</v>
      </c>
      <c r="D661" s="723" t="str">
        <f>VLOOKUP($B661,R_DG!$A$7:$G$1305,3,0)</f>
        <v>Kẹp cáp chằng 3 boulon (B46x130)</v>
      </c>
      <c r="E661" s="714" t="str">
        <f>VLOOKUP($B661,R_DG!$A$7:$G$1305,4,0)</f>
        <v>cái</v>
      </c>
      <c r="F661" s="724">
        <v>8</v>
      </c>
      <c r="G661" s="608">
        <f>VLOOKUP($B661,R_DG!$A$7:$G$1305,5,0)</f>
        <v>40000</v>
      </c>
      <c r="H661" s="608">
        <f>VLOOKUP($B661,R_DG!$A$7:$G$1305,6,0)</f>
        <v>0</v>
      </c>
      <c r="I661" s="608">
        <f>VLOOKUP($B661,R_DG!$A$7:$G$1305,7,0)</f>
        <v>0</v>
      </c>
      <c r="J661" s="608">
        <f t="shared" si="133"/>
        <v>320000</v>
      </c>
      <c r="K661" s="608">
        <f t="shared" si="133"/>
        <v>0</v>
      </c>
      <c r="L661" s="725">
        <f t="shared" si="133"/>
        <v>0</v>
      </c>
      <c r="M661" s="726">
        <f t="shared" si="142"/>
        <v>0</v>
      </c>
      <c r="N661" s="727">
        <f t="shared" ca="1" si="143"/>
        <v>0</v>
      </c>
    </row>
    <row r="662" spans="1:14" ht="20.100000000000001" hidden="1" customHeight="1">
      <c r="A662" s="696"/>
      <c r="B662" s="226" t="s">
        <v>379</v>
      </c>
      <c r="C662" s="713">
        <f>VLOOKUP($B662,R_DG!$A$7:$G$1305,2,0)</f>
        <v>0</v>
      </c>
      <c r="D662" s="723" t="str">
        <f>VLOOKUP($B662,R_DG!$A$7:$G$1305,3,0)</f>
        <v>Cáp thép 3/8"</v>
      </c>
      <c r="E662" s="714" t="str">
        <f>VLOOKUP($B662,R_DG!$A$7:$G$1305,4,0)</f>
        <v>kg</v>
      </c>
      <c r="F662" s="730">
        <v>15</v>
      </c>
      <c r="G662" s="608">
        <f>VLOOKUP($B662,R_DG!$A$7:$G$1305,5,0)</f>
        <v>42000</v>
      </c>
      <c r="H662" s="608">
        <f>VLOOKUP($B662,R_DG!$A$7:$G$1305,6,0)</f>
        <v>0</v>
      </c>
      <c r="I662" s="608">
        <f>VLOOKUP($B662,R_DG!$A$7:$G$1305,7,0)</f>
        <v>0</v>
      </c>
      <c r="J662" s="608">
        <f t="shared" si="133"/>
        <v>630000</v>
      </c>
      <c r="K662" s="608">
        <f t="shared" si="133"/>
        <v>0</v>
      </c>
      <c r="L662" s="725">
        <f t="shared" si="133"/>
        <v>0</v>
      </c>
      <c r="M662" s="726">
        <f t="shared" si="142"/>
        <v>0</v>
      </c>
      <c r="N662" s="727">
        <f t="shared" ca="1" si="143"/>
        <v>0</v>
      </c>
    </row>
    <row r="663" spans="1:14" ht="20.100000000000001" hidden="1" customHeight="1">
      <c r="A663" s="696"/>
      <c r="B663" s="226" t="s">
        <v>682</v>
      </c>
      <c r="C663" s="713">
        <f>VLOOKUP($B663,R_DG!$A$7:$G$1305,2,0)</f>
        <v>0</v>
      </c>
      <c r="D663" s="723" t="str">
        <f>VLOOKUP($B663,R_DG!$A$7:$G$1305,3,0)</f>
        <v>Bộ chống chằng hẹp φ60/56x1500+2BL12x40+BL16x250/80</v>
      </c>
      <c r="E663" s="714" t="str">
        <f>VLOOKUP($B663,R_DG!$A$7:$G$1305,4,0)</f>
        <v>bộ</v>
      </c>
      <c r="F663" s="724">
        <v>1</v>
      </c>
      <c r="G663" s="608">
        <f>VLOOKUP($B663,R_DG!$A$7:$G$1305,5,0)</f>
        <v>291000</v>
      </c>
      <c r="H663" s="608">
        <f>VLOOKUP($B663,R_DG!$A$7:$G$1305,6,0)</f>
        <v>0</v>
      </c>
      <c r="I663" s="608">
        <f>VLOOKUP($B663,R_DG!$A$7:$G$1305,7,0)</f>
        <v>0</v>
      </c>
      <c r="J663" s="608">
        <f t="shared" si="133"/>
        <v>291000</v>
      </c>
      <c r="K663" s="608">
        <f t="shared" si="133"/>
        <v>0</v>
      </c>
      <c r="L663" s="725">
        <f t="shared" si="133"/>
        <v>0</v>
      </c>
      <c r="M663" s="726">
        <f t="shared" si="142"/>
        <v>0</v>
      </c>
      <c r="N663" s="727">
        <f t="shared" ca="1" si="143"/>
        <v>0</v>
      </c>
    </row>
    <row r="664" spans="1:14" ht="20.100000000000001" hidden="1" customHeight="1">
      <c r="A664" s="696"/>
      <c r="B664" s="226" t="s">
        <v>796</v>
      </c>
      <c r="C664" s="713">
        <f>VLOOKUP($B664,R_DG!$A$7:$G$1305,2,0)</f>
        <v>0</v>
      </c>
      <c r="D664" s="723" t="str">
        <f>VLOOKUP($B664,R_DG!$A$7:$G$1305,3,0)</f>
        <v>Yếm cáp dày 2mm</v>
      </c>
      <c r="E664" s="714" t="str">
        <f>VLOOKUP($B664,R_DG!$A$7:$G$1305,4,0)</f>
        <v>cái</v>
      </c>
      <c r="F664" s="724">
        <v>2</v>
      </c>
      <c r="G664" s="608">
        <f>VLOOKUP($B664,R_DG!$A$7:$G$1305,5,0)</f>
        <v>5300</v>
      </c>
      <c r="H664" s="608">
        <f>VLOOKUP($B664,R_DG!$A$7:$G$1305,6,0)</f>
        <v>0</v>
      </c>
      <c r="I664" s="608">
        <f>VLOOKUP($B664,R_DG!$A$7:$G$1305,7,0)</f>
        <v>0</v>
      </c>
      <c r="J664" s="608">
        <f t="shared" si="133"/>
        <v>10600</v>
      </c>
      <c r="K664" s="608">
        <f t="shared" si="133"/>
        <v>0</v>
      </c>
      <c r="L664" s="725">
        <f t="shared" si="133"/>
        <v>0</v>
      </c>
      <c r="M664" s="726">
        <f t="shared" si="142"/>
        <v>0</v>
      </c>
      <c r="N664" s="727">
        <f t="shared" ca="1" si="143"/>
        <v>0</v>
      </c>
    </row>
    <row r="665" spans="1:14" ht="20.100000000000001" hidden="1" customHeight="1">
      <c r="A665" s="696"/>
      <c r="B665" s="226" t="s">
        <v>577</v>
      </c>
      <c r="C665" s="713">
        <f>VLOOKUP($B665,R_DG!$A$7:$G$1305,2,0)</f>
        <v>0</v>
      </c>
      <c r="D665" s="723" t="str">
        <f>VLOOKUP($B665,R_DG!$A$7:$G$1305,3,0)</f>
        <v>Máng che dây chằng dày 1,6x40x2000mm</v>
      </c>
      <c r="E665" s="714" t="str">
        <f>VLOOKUP($B665,R_DG!$A$7:$G$1305,4,0)</f>
        <v>cái</v>
      </c>
      <c r="F665" s="724">
        <v>1</v>
      </c>
      <c r="G665" s="608">
        <f>VLOOKUP($B665,R_DG!$A$7:$G$1305,5,0)</f>
        <v>55000</v>
      </c>
      <c r="H665" s="608">
        <f>VLOOKUP($B665,R_DG!$A$7:$G$1305,6,0)</f>
        <v>0</v>
      </c>
      <c r="I665" s="608">
        <f>VLOOKUP($B665,R_DG!$A$7:$G$1305,7,0)</f>
        <v>0</v>
      </c>
      <c r="J665" s="608">
        <f t="shared" si="133"/>
        <v>55000</v>
      </c>
      <c r="K665" s="608">
        <f t="shared" si="133"/>
        <v>0</v>
      </c>
      <c r="L665" s="725">
        <f t="shared" si="133"/>
        <v>0</v>
      </c>
      <c r="M665" s="726">
        <f t="shared" si="142"/>
        <v>0</v>
      </c>
      <c r="N665" s="727">
        <f t="shared" ca="1" si="143"/>
        <v>0</v>
      </c>
    </row>
    <row r="666" spans="1:14" ht="20.100000000000001" hidden="1" customHeight="1">
      <c r="A666" s="696"/>
      <c r="B666" s="226" t="s">
        <v>1226</v>
      </c>
      <c r="C666" s="713" t="str">
        <f>VLOOKUP($B666,R_DG!$A$7:$G$1305,2,0)</f>
        <v>D3.3251</v>
      </c>
      <c r="D666" s="723" t="str">
        <f>VLOOKUP($B666,R_DG!$A$7:$G$1305,3,0)</f>
        <v>Lắp bộ dây néo</v>
      </c>
      <c r="E666" s="714" t="str">
        <f>VLOOKUP($B666,R_DG!$A$7:$G$1305,4,0)</f>
        <v>bộ</v>
      </c>
      <c r="F666" s="724">
        <v>1</v>
      </c>
      <c r="G666" s="608">
        <f>VLOOKUP($B666,R_DG!$A$7:$G$1305,5,0)</f>
        <v>0</v>
      </c>
      <c r="H666" s="608">
        <f>VLOOKUP($B666,R_DG!$A$7:$G$1305,6,0)</f>
        <v>106623</v>
      </c>
      <c r="I666" s="608">
        <f>VLOOKUP($B666,R_DG!$A$7:$G$1305,7,0)</f>
        <v>0</v>
      </c>
      <c r="J666" s="608">
        <f t="shared" si="133"/>
        <v>0</v>
      </c>
      <c r="K666" s="608">
        <f t="shared" si="133"/>
        <v>106623</v>
      </c>
      <c r="L666" s="725">
        <f t="shared" si="133"/>
        <v>0</v>
      </c>
      <c r="M666" s="726">
        <f t="shared" si="142"/>
        <v>0</v>
      </c>
      <c r="N666" s="727">
        <f t="shared" ca="1" si="143"/>
        <v>0</v>
      </c>
    </row>
    <row r="667" spans="1:14" ht="20.100000000000001" hidden="1" customHeight="1">
      <c r="A667" s="696"/>
      <c r="B667" s="226" t="s">
        <v>1224</v>
      </c>
      <c r="C667" s="713" t="str">
        <f>VLOOKUP($B667,R_DG!$A$7:$G$1305,2,0)</f>
        <v>D2.6011</v>
      </c>
      <c r="D667" s="723" t="str">
        <f>VLOOKUP($B667,R_DG!$A$7:$G$1305,3,0)</f>
        <v>Lắp bộ chống lệch</v>
      </c>
      <c r="E667" s="714" t="str">
        <f>VLOOKUP($B667,R_DG!$A$7:$G$1305,4,0)</f>
        <v>bộ</v>
      </c>
      <c r="F667" s="724">
        <v>1</v>
      </c>
      <c r="G667" s="608">
        <f>VLOOKUP($B667,R_DG!$A$7:$G$1305,5,0)</f>
        <v>0</v>
      </c>
      <c r="H667" s="608">
        <f>VLOOKUP($B667,R_DG!$A$7:$G$1305,6,0)</f>
        <v>187723.35</v>
      </c>
      <c r="I667" s="608">
        <f>VLOOKUP($B667,R_DG!$A$7:$G$1305,7,0)</f>
        <v>0</v>
      </c>
      <c r="J667" s="608">
        <f t="shared" si="133"/>
        <v>0</v>
      </c>
      <c r="K667" s="608">
        <f t="shared" si="133"/>
        <v>187723.35</v>
      </c>
      <c r="L667" s="725">
        <f t="shared" si="133"/>
        <v>0</v>
      </c>
      <c r="M667" s="726">
        <f t="shared" si="142"/>
        <v>0</v>
      </c>
      <c r="N667" s="727">
        <f t="shared" ca="1" si="143"/>
        <v>0</v>
      </c>
    </row>
    <row r="668" spans="1:14" ht="20.100000000000001" customHeight="1">
      <c r="A668" s="728" t="s">
        <v>2589</v>
      </c>
      <c r="B668" s="729"/>
      <c r="C668" s="717"/>
      <c r="D668" s="718" t="s">
        <v>2588</v>
      </c>
      <c r="E668" s="718" t="s">
        <v>163</v>
      </c>
      <c r="F668" s="719"/>
      <c r="G668" s="720"/>
      <c r="H668" s="720"/>
      <c r="I668" s="720"/>
      <c r="J668" s="720">
        <f>SUM(J669:J675)</f>
        <v>1545264</v>
      </c>
      <c r="K668" s="720">
        <f>SUM(K669:K675)</f>
        <v>213246</v>
      </c>
      <c r="L668" s="721">
        <f>SUM(L669:L675)</f>
        <v>0</v>
      </c>
      <c r="M668" s="693">
        <f>IF(ERROR.TYPE(IF(HLOOKUP(A668,maBK,1,0)&lt;&gt;"",#NULL!,"ABC"))&lt;&gt;7,1,0)</f>
        <v>0</v>
      </c>
      <c r="N668" s="712">
        <f ca="1">SUMIF(maBK,$A668,tongBK1)</f>
        <v>0</v>
      </c>
    </row>
    <row r="669" spans="1:14" ht="20.100000000000001" hidden="1" customHeight="1">
      <c r="A669" s="696"/>
      <c r="B669" s="226" t="s">
        <v>142</v>
      </c>
      <c r="C669" s="713">
        <f>VLOOKUP($B669,R_DG!$A$7:$G$1305,2,0)</f>
        <v>0</v>
      </c>
      <c r="D669" s="723" t="str">
        <f>VLOOKUP($B669,R_DG!$A$7:$G$1305,3,0)</f>
        <v>Boulon mắt 16x250+ 2 long đền vuông D18-50x50x3/Zn</v>
      </c>
      <c r="E669" s="714" t="str">
        <f>VLOOKUP($B669,R_DG!$A$7:$G$1305,4,0)</f>
        <v>bộ</v>
      </c>
      <c r="F669" s="724">
        <v>2</v>
      </c>
      <c r="G669" s="608">
        <f>VLOOKUP($B669,R_DG!$A$7:$G$1305,5,0)</f>
        <v>27300</v>
      </c>
      <c r="H669" s="608">
        <f>VLOOKUP($B669,R_DG!$A$7:$G$1305,6,0)</f>
        <v>0</v>
      </c>
      <c r="I669" s="608">
        <f>VLOOKUP($B669,R_DG!$A$7:$G$1305,7,0)</f>
        <v>0</v>
      </c>
      <c r="J669" s="608">
        <f t="shared" si="133"/>
        <v>54600</v>
      </c>
      <c r="K669" s="608">
        <f t="shared" si="133"/>
        <v>0</v>
      </c>
      <c r="L669" s="725">
        <f t="shared" si="133"/>
        <v>0</v>
      </c>
      <c r="M669" s="726">
        <f t="shared" ref="M669:M675" si="144">IF(F669&gt;0,M$668,0)</f>
        <v>0</v>
      </c>
      <c r="N669" s="727">
        <f t="shared" ref="N669:N675" ca="1" si="145">$F669*N$668</f>
        <v>0</v>
      </c>
    </row>
    <row r="670" spans="1:14" ht="20.100000000000001" hidden="1" customHeight="1">
      <c r="A670" s="696"/>
      <c r="B670" s="226" t="s">
        <v>634</v>
      </c>
      <c r="C670" s="713">
        <f>VLOOKUP($B670,R_DG!$A$7:$G$1305,2,0)</f>
        <v>0</v>
      </c>
      <c r="D670" s="723" t="str">
        <f>VLOOKUP($B670,R_DG!$A$7:$G$1305,3,0)</f>
        <v>Sứ chằng nhỏ</v>
      </c>
      <c r="E670" s="714" t="str">
        <f>VLOOKUP($B670,R_DG!$A$7:$G$1305,4,0)</f>
        <v>cái</v>
      </c>
      <c r="F670" s="724">
        <v>2</v>
      </c>
      <c r="G670" s="608">
        <f>VLOOKUP($B670,R_DG!$A$7:$G$1305,5,0)</f>
        <v>47000</v>
      </c>
      <c r="H670" s="608">
        <f>VLOOKUP($B670,R_DG!$A$7:$G$1305,6,0)</f>
        <v>0</v>
      </c>
      <c r="I670" s="608">
        <f>VLOOKUP($B670,R_DG!$A$7:$G$1305,7,0)</f>
        <v>0</v>
      </c>
      <c r="J670" s="608">
        <f t="shared" si="133"/>
        <v>94000</v>
      </c>
      <c r="K670" s="608">
        <f t="shared" si="133"/>
        <v>0</v>
      </c>
      <c r="L670" s="725">
        <f t="shared" si="133"/>
        <v>0</v>
      </c>
      <c r="M670" s="726">
        <f t="shared" si="144"/>
        <v>0</v>
      </c>
      <c r="N670" s="727">
        <f t="shared" ca="1" si="145"/>
        <v>0</v>
      </c>
    </row>
    <row r="671" spans="1:14" ht="20.100000000000001" hidden="1" customHeight="1">
      <c r="A671" s="696"/>
      <c r="B671" s="226" t="s">
        <v>401</v>
      </c>
      <c r="C671" s="713">
        <f>VLOOKUP($B671,R_DG!$A$7:$G$1305,2,0)</f>
        <v>0</v>
      </c>
      <c r="D671" s="723" t="str">
        <f>VLOOKUP($B671,R_DG!$A$7:$G$1305,3,0)</f>
        <v>Kẹp cáp chằng 3 boulon (B46x130)</v>
      </c>
      <c r="E671" s="714" t="str">
        <f>VLOOKUP($B671,R_DG!$A$7:$G$1305,4,0)</f>
        <v>cái</v>
      </c>
      <c r="F671" s="724">
        <v>16</v>
      </c>
      <c r="G671" s="608">
        <f>VLOOKUP($B671,R_DG!$A$7:$G$1305,5,0)</f>
        <v>40000</v>
      </c>
      <c r="H671" s="608">
        <f>VLOOKUP($B671,R_DG!$A$7:$G$1305,6,0)</f>
        <v>0</v>
      </c>
      <c r="I671" s="608">
        <f>VLOOKUP($B671,R_DG!$A$7:$G$1305,7,0)</f>
        <v>0</v>
      </c>
      <c r="J671" s="608">
        <f t="shared" si="133"/>
        <v>640000</v>
      </c>
      <c r="K671" s="608">
        <f t="shared" si="133"/>
        <v>0</v>
      </c>
      <c r="L671" s="725">
        <f t="shared" si="133"/>
        <v>0</v>
      </c>
      <c r="M671" s="726">
        <f t="shared" si="144"/>
        <v>0</v>
      </c>
      <c r="N671" s="727">
        <f t="shared" ca="1" si="145"/>
        <v>0</v>
      </c>
    </row>
    <row r="672" spans="1:14" ht="20.100000000000001" hidden="1" customHeight="1">
      <c r="A672" s="696"/>
      <c r="B672" s="226" t="s">
        <v>381</v>
      </c>
      <c r="C672" s="713">
        <f>VLOOKUP($B672,R_DG!$A$7:$G$1305,2,0)</f>
        <v>0</v>
      </c>
      <c r="D672" s="723" t="str">
        <f>VLOOKUP($B672,R_DG!$A$7:$G$1305,3,0)</f>
        <v>Cáp thép 5/8" (15m/bộ)</v>
      </c>
      <c r="E672" s="714" t="str">
        <f>VLOOKUP($B672,R_DG!$A$7:$G$1305,4,0)</f>
        <v>kg</v>
      </c>
      <c r="F672" s="730">
        <f>34*0.438</f>
        <v>14.891999999999999</v>
      </c>
      <c r="G672" s="608">
        <f>VLOOKUP($B672,R_DG!$A$7:$G$1305,5,0)</f>
        <v>42000</v>
      </c>
      <c r="H672" s="608">
        <f>VLOOKUP($B672,R_DG!$A$7:$G$1305,6,0)</f>
        <v>0</v>
      </c>
      <c r="I672" s="608">
        <f>VLOOKUP($B672,R_DG!$A$7:$G$1305,7,0)</f>
        <v>0</v>
      </c>
      <c r="J672" s="608">
        <f t="shared" si="133"/>
        <v>625464</v>
      </c>
      <c r="K672" s="608">
        <f t="shared" si="133"/>
        <v>0</v>
      </c>
      <c r="L672" s="725">
        <f t="shared" si="133"/>
        <v>0</v>
      </c>
      <c r="M672" s="726">
        <f t="shared" si="144"/>
        <v>0</v>
      </c>
      <c r="N672" s="727">
        <f t="shared" ca="1" si="145"/>
        <v>0</v>
      </c>
    </row>
    <row r="673" spans="1:14" ht="20.100000000000001" hidden="1" customHeight="1">
      <c r="A673" s="696"/>
      <c r="B673" s="226" t="s">
        <v>796</v>
      </c>
      <c r="C673" s="713">
        <f>VLOOKUP($B673,R_DG!$A$7:$G$1305,2,0)</f>
        <v>0</v>
      </c>
      <c r="D673" s="723" t="str">
        <f>VLOOKUP($B673,R_DG!$A$7:$G$1305,3,0)</f>
        <v>Yếm cáp dày 2mm</v>
      </c>
      <c r="E673" s="714" t="str">
        <f>VLOOKUP($B673,R_DG!$A$7:$G$1305,4,0)</f>
        <v>cái</v>
      </c>
      <c r="F673" s="724">
        <v>4</v>
      </c>
      <c r="G673" s="608">
        <f>VLOOKUP($B673,R_DG!$A$7:$G$1305,5,0)</f>
        <v>5300</v>
      </c>
      <c r="H673" s="608">
        <f>VLOOKUP($B673,R_DG!$A$7:$G$1305,6,0)</f>
        <v>0</v>
      </c>
      <c r="I673" s="608">
        <f>VLOOKUP($B673,R_DG!$A$7:$G$1305,7,0)</f>
        <v>0</v>
      </c>
      <c r="J673" s="608">
        <f t="shared" si="133"/>
        <v>21200</v>
      </c>
      <c r="K673" s="608">
        <f t="shared" si="133"/>
        <v>0</v>
      </c>
      <c r="L673" s="725">
        <f t="shared" si="133"/>
        <v>0</v>
      </c>
      <c r="M673" s="726">
        <f t="shared" si="144"/>
        <v>0</v>
      </c>
      <c r="N673" s="727">
        <f t="shared" ca="1" si="145"/>
        <v>0</v>
      </c>
    </row>
    <row r="674" spans="1:14" ht="20.100000000000001" hidden="1" customHeight="1">
      <c r="A674" s="696"/>
      <c r="B674" s="226" t="s">
        <v>577</v>
      </c>
      <c r="C674" s="713">
        <f>VLOOKUP($B674,R_DG!$A$7:$G$1305,2,0)</f>
        <v>0</v>
      </c>
      <c r="D674" s="723" t="str">
        <f>VLOOKUP($B674,R_DG!$A$7:$G$1305,3,0)</f>
        <v>Máng che dây chằng dày 1,6x40x2000mm</v>
      </c>
      <c r="E674" s="714" t="str">
        <f>VLOOKUP($B674,R_DG!$A$7:$G$1305,4,0)</f>
        <v>cái</v>
      </c>
      <c r="F674" s="724">
        <v>2</v>
      </c>
      <c r="G674" s="608">
        <f>VLOOKUP($B674,R_DG!$A$7:$G$1305,5,0)</f>
        <v>55000</v>
      </c>
      <c r="H674" s="608">
        <f>VLOOKUP($B674,R_DG!$A$7:$G$1305,6,0)</f>
        <v>0</v>
      </c>
      <c r="I674" s="608">
        <f>VLOOKUP($B674,R_DG!$A$7:$G$1305,7,0)</f>
        <v>0</v>
      </c>
      <c r="J674" s="608">
        <f t="shared" si="133"/>
        <v>110000</v>
      </c>
      <c r="K674" s="608">
        <f t="shared" si="133"/>
        <v>0</v>
      </c>
      <c r="L674" s="725">
        <f t="shared" si="133"/>
        <v>0</v>
      </c>
      <c r="M674" s="726">
        <f t="shared" si="144"/>
        <v>0</v>
      </c>
      <c r="N674" s="727">
        <f t="shared" ca="1" si="145"/>
        <v>0</v>
      </c>
    </row>
    <row r="675" spans="1:14" ht="20.100000000000001" hidden="1" customHeight="1">
      <c r="A675" s="696"/>
      <c r="B675" s="226" t="s">
        <v>1226</v>
      </c>
      <c r="C675" s="713" t="str">
        <f>VLOOKUP($B675,R_DG!$A$7:$G$1305,2,0)</f>
        <v>D3.3251</v>
      </c>
      <c r="D675" s="723" t="str">
        <f>VLOOKUP($B675,R_DG!$A$7:$G$1305,3,0)</f>
        <v>Lắp bộ dây néo</v>
      </c>
      <c r="E675" s="714" t="str">
        <f>VLOOKUP($B675,R_DG!$A$7:$G$1305,4,0)</f>
        <v>bộ</v>
      </c>
      <c r="F675" s="724">
        <v>2</v>
      </c>
      <c r="G675" s="608">
        <f>VLOOKUP($B675,R_DG!$A$7:$G$1305,5,0)</f>
        <v>0</v>
      </c>
      <c r="H675" s="608">
        <f>VLOOKUP($B675,R_DG!$A$7:$G$1305,6,0)</f>
        <v>106623</v>
      </c>
      <c r="I675" s="608">
        <f>VLOOKUP($B675,R_DG!$A$7:$G$1305,7,0)</f>
        <v>0</v>
      </c>
      <c r="J675" s="608">
        <f t="shared" si="133"/>
        <v>0</v>
      </c>
      <c r="K675" s="608">
        <f t="shared" si="133"/>
        <v>213246</v>
      </c>
      <c r="L675" s="725">
        <f t="shared" si="133"/>
        <v>0</v>
      </c>
      <c r="M675" s="726">
        <f t="shared" si="144"/>
        <v>0</v>
      </c>
      <c r="N675" s="727">
        <f t="shared" ca="1" si="145"/>
        <v>0</v>
      </c>
    </row>
    <row r="676" spans="1:14" ht="20.100000000000001" customHeight="1">
      <c r="A676" s="728" t="s">
        <v>2275</v>
      </c>
      <c r="B676" s="729"/>
      <c r="C676" s="717"/>
      <c r="D676" s="718" t="s">
        <v>2276</v>
      </c>
      <c r="E676" s="718" t="s">
        <v>163</v>
      </c>
      <c r="F676" s="719"/>
      <c r="G676" s="720"/>
      <c r="H676" s="720"/>
      <c r="I676" s="720"/>
      <c r="J676" s="720">
        <f>SUM(J677:J682)</f>
        <v>1143200</v>
      </c>
      <c r="K676" s="720">
        <f>SUM(K677:K682)</f>
        <v>213246</v>
      </c>
      <c r="L676" s="721">
        <f>SUM(L677:L682)</f>
        <v>0</v>
      </c>
      <c r="M676" s="693">
        <f>IF(ERROR.TYPE(IF(HLOOKUP(A676,maBK,1,0)&lt;&gt;"",#NULL!,"ABC"))&lt;&gt;7,1,0)</f>
        <v>0</v>
      </c>
      <c r="N676" s="712">
        <f ca="1">SUMIF(maBK,$A676,tongBK1)</f>
        <v>0</v>
      </c>
    </row>
    <row r="677" spans="1:14" ht="20.100000000000001" hidden="1" customHeight="1">
      <c r="A677" s="696"/>
      <c r="B677" s="226" t="s">
        <v>142</v>
      </c>
      <c r="C677" s="713">
        <f>VLOOKUP($B677,R_DG!$A$7:$G$1305,2,0)</f>
        <v>0</v>
      </c>
      <c r="D677" s="723" t="str">
        <f>VLOOKUP($B677,R_DG!$A$7:$G$1305,3,0)</f>
        <v>Boulon mắt 16x250+ 2 long đền vuông D18-50x50x3/Zn</v>
      </c>
      <c r="E677" s="714" t="str">
        <f>VLOOKUP($B677,R_DG!$A$7:$G$1305,4,0)</f>
        <v>bộ</v>
      </c>
      <c r="F677" s="724">
        <v>2</v>
      </c>
      <c r="G677" s="608">
        <f>VLOOKUP($B677,R_DG!$A$7:$G$1305,5,0)</f>
        <v>27300</v>
      </c>
      <c r="H677" s="608">
        <f>VLOOKUP($B677,R_DG!$A$7:$G$1305,6,0)</f>
        <v>0</v>
      </c>
      <c r="I677" s="608">
        <f>VLOOKUP($B677,R_DG!$A$7:$G$1305,7,0)</f>
        <v>0</v>
      </c>
      <c r="J677" s="608">
        <f t="shared" si="133"/>
        <v>54600</v>
      </c>
      <c r="K677" s="608">
        <f t="shared" si="133"/>
        <v>0</v>
      </c>
      <c r="L677" s="725">
        <f t="shared" si="133"/>
        <v>0</v>
      </c>
      <c r="M677" s="726">
        <f t="shared" ref="M677:M682" si="146">IF(F677&gt;0,M$676,0)</f>
        <v>0</v>
      </c>
      <c r="N677" s="727">
        <f t="shared" ref="N677:N682" ca="1" si="147">$F677*N$676</f>
        <v>0</v>
      </c>
    </row>
    <row r="678" spans="1:14" ht="20.100000000000001" hidden="1" customHeight="1">
      <c r="A678" s="696"/>
      <c r="B678" s="226" t="s">
        <v>634</v>
      </c>
      <c r="C678" s="713">
        <f>VLOOKUP($B678,R_DG!$A$7:$G$1305,2,0)</f>
        <v>0</v>
      </c>
      <c r="D678" s="723" t="str">
        <f>VLOOKUP($B678,R_DG!$A$7:$G$1305,3,0)</f>
        <v>Sứ chằng nhỏ</v>
      </c>
      <c r="E678" s="714" t="str">
        <f>VLOOKUP($B678,R_DG!$A$7:$G$1305,4,0)</f>
        <v>cái</v>
      </c>
      <c r="F678" s="724">
        <v>2</v>
      </c>
      <c r="G678" s="608">
        <f>VLOOKUP($B678,R_DG!$A$7:$G$1305,5,0)</f>
        <v>47000</v>
      </c>
      <c r="H678" s="608">
        <f>VLOOKUP($B678,R_DG!$A$7:$G$1305,6,0)</f>
        <v>0</v>
      </c>
      <c r="I678" s="608">
        <f>VLOOKUP($B678,R_DG!$A$7:$G$1305,7,0)</f>
        <v>0</v>
      </c>
      <c r="J678" s="608">
        <f t="shared" si="133"/>
        <v>94000</v>
      </c>
      <c r="K678" s="608">
        <f t="shared" si="133"/>
        <v>0</v>
      </c>
      <c r="L678" s="725">
        <f t="shared" si="133"/>
        <v>0</v>
      </c>
      <c r="M678" s="726">
        <f t="shared" si="146"/>
        <v>0</v>
      </c>
      <c r="N678" s="727">
        <f t="shared" ca="1" si="147"/>
        <v>0</v>
      </c>
    </row>
    <row r="679" spans="1:14" ht="20.100000000000001" hidden="1" customHeight="1">
      <c r="A679" s="696"/>
      <c r="B679" s="226" t="s">
        <v>401</v>
      </c>
      <c r="C679" s="713">
        <f>VLOOKUP($B679,R_DG!$A$7:$G$1305,2,0)</f>
        <v>0</v>
      </c>
      <c r="D679" s="723" t="str">
        <f>VLOOKUP($B679,R_DG!$A$7:$G$1305,3,0)</f>
        <v>Kẹp cáp chằng 3 boulon (B46x130)</v>
      </c>
      <c r="E679" s="714" t="str">
        <f>VLOOKUP($B679,R_DG!$A$7:$G$1305,4,0)</f>
        <v>cái</v>
      </c>
      <c r="F679" s="724">
        <v>12</v>
      </c>
      <c r="G679" s="608">
        <f>VLOOKUP($B679,R_DG!$A$7:$G$1305,5,0)</f>
        <v>40000</v>
      </c>
      <c r="H679" s="608">
        <f>VLOOKUP($B679,R_DG!$A$7:$G$1305,6,0)</f>
        <v>0</v>
      </c>
      <c r="I679" s="608">
        <f>VLOOKUP($B679,R_DG!$A$7:$G$1305,7,0)</f>
        <v>0</v>
      </c>
      <c r="J679" s="608">
        <f t="shared" si="133"/>
        <v>480000</v>
      </c>
      <c r="K679" s="608">
        <f t="shared" si="133"/>
        <v>0</v>
      </c>
      <c r="L679" s="725">
        <f t="shared" si="133"/>
        <v>0</v>
      </c>
      <c r="M679" s="726">
        <f t="shared" si="146"/>
        <v>0</v>
      </c>
      <c r="N679" s="727">
        <f t="shared" ca="1" si="147"/>
        <v>0</v>
      </c>
    </row>
    <row r="680" spans="1:14" ht="20.100000000000001" hidden="1" customHeight="1">
      <c r="A680" s="696"/>
      <c r="B680" s="226" t="s">
        <v>381</v>
      </c>
      <c r="C680" s="713">
        <f>VLOOKUP($B680,R_DG!$A$7:$G$1305,2,0)</f>
        <v>0</v>
      </c>
      <c r="D680" s="723" t="str">
        <f>VLOOKUP($B680,R_DG!$A$7:$G$1305,3,0)</f>
        <v>Cáp thép 5/8" (15m/bộ)</v>
      </c>
      <c r="E680" s="714" t="str">
        <f>VLOOKUP($B680,R_DG!$A$7:$G$1305,4,0)</f>
        <v>kg</v>
      </c>
      <c r="F680" s="724">
        <v>12</v>
      </c>
      <c r="G680" s="608">
        <f>VLOOKUP($B680,R_DG!$A$7:$G$1305,5,0)</f>
        <v>42000</v>
      </c>
      <c r="H680" s="608">
        <f>VLOOKUP($B680,R_DG!$A$7:$G$1305,6,0)</f>
        <v>0</v>
      </c>
      <c r="I680" s="608">
        <f>VLOOKUP($B680,R_DG!$A$7:$G$1305,7,0)</f>
        <v>0</v>
      </c>
      <c r="J680" s="608">
        <f t="shared" si="133"/>
        <v>504000</v>
      </c>
      <c r="K680" s="608">
        <f t="shared" si="133"/>
        <v>0</v>
      </c>
      <c r="L680" s="725">
        <f t="shared" si="133"/>
        <v>0</v>
      </c>
      <c r="M680" s="726">
        <f t="shared" si="146"/>
        <v>0</v>
      </c>
      <c r="N680" s="727">
        <f t="shared" ca="1" si="147"/>
        <v>0</v>
      </c>
    </row>
    <row r="681" spans="1:14" ht="20.100000000000001" hidden="1" customHeight="1">
      <c r="A681" s="696"/>
      <c r="B681" s="226" t="s">
        <v>796</v>
      </c>
      <c r="C681" s="713">
        <f>VLOOKUP($B681,R_DG!$A$7:$G$1305,2,0)</f>
        <v>0</v>
      </c>
      <c r="D681" s="723" t="str">
        <f>VLOOKUP($B681,R_DG!$A$7:$G$1305,3,0)</f>
        <v>Yếm cáp dày 2mm</v>
      </c>
      <c r="E681" s="714" t="str">
        <f>VLOOKUP($B681,R_DG!$A$7:$G$1305,4,0)</f>
        <v>cái</v>
      </c>
      <c r="F681" s="724">
        <v>2</v>
      </c>
      <c r="G681" s="608">
        <f>VLOOKUP($B681,R_DG!$A$7:$G$1305,5,0)</f>
        <v>5300</v>
      </c>
      <c r="H681" s="608">
        <f>VLOOKUP($B681,R_DG!$A$7:$G$1305,6,0)</f>
        <v>0</v>
      </c>
      <c r="I681" s="608">
        <f>VLOOKUP($B681,R_DG!$A$7:$G$1305,7,0)</f>
        <v>0</v>
      </c>
      <c r="J681" s="608">
        <f t="shared" si="133"/>
        <v>10600</v>
      </c>
      <c r="K681" s="608">
        <f t="shared" si="133"/>
        <v>0</v>
      </c>
      <c r="L681" s="725">
        <f t="shared" si="133"/>
        <v>0</v>
      </c>
      <c r="M681" s="726">
        <f t="shared" si="146"/>
        <v>0</v>
      </c>
      <c r="N681" s="727">
        <f t="shared" ca="1" si="147"/>
        <v>0</v>
      </c>
    </row>
    <row r="682" spans="1:14" ht="20.100000000000001" hidden="1" customHeight="1">
      <c r="A682" s="696"/>
      <c r="B682" s="226" t="s">
        <v>1226</v>
      </c>
      <c r="C682" s="713" t="str">
        <f>VLOOKUP($B682,R_DG!$A$7:$G$1305,2,0)</f>
        <v>D3.3251</v>
      </c>
      <c r="D682" s="723" t="str">
        <f>VLOOKUP($B682,R_DG!$A$7:$G$1305,3,0)</f>
        <v>Lắp bộ dây néo</v>
      </c>
      <c r="E682" s="714" t="str">
        <f>VLOOKUP($B682,R_DG!$A$7:$G$1305,4,0)</f>
        <v>bộ</v>
      </c>
      <c r="F682" s="724">
        <v>2</v>
      </c>
      <c r="G682" s="608">
        <f>VLOOKUP($B682,R_DG!$A$7:$G$1305,5,0)</f>
        <v>0</v>
      </c>
      <c r="H682" s="608">
        <f>VLOOKUP($B682,R_DG!$A$7:$G$1305,6,0)</f>
        <v>106623</v>
      </c>
      <c r="I682" s="608">
        <f>VLOOKUP($B682,R_DG!$A$7:$G$1305,7,0)</f>
        <v>0</v>
      </c>
      <c r="J682" s="608">
        <f t="shared" si="133"/>
        <v>0</v>
      </c>
      <c r="K682" s="608">
        <f t="shared" si="133"/>
        <v>213246</v>
      </c>
      <c r="L682" s="725">
        <f t="shared" si="133"/>
        <v>0</v>
      </c>
      <c r="M682" s="726">
        <f t="shared" si="146"/>
        <v>0</v>
      </c>
      <c r="N682" s="727">
        <f t="shared" ca="1" si="147"/>
        <v>0</v>
      </c>
    </row>
    <row r="683" spans="1:14" ht="20.100000000000001" customHeight="1">
      <c r="A683" s="728" t="s">
        <v>2596</v>
      </c>
      <c r="B683" s="729"/>
      <c r="C683" s="717"/>
      <c r="D683" s="718" t="s">
        <v>2595</v>
      </c>
      <c r="E683" s="718" t="s">
        <v>163</v>
      </c>
      <c r="F683" s="719"/>
      <c r="G683" s="720"/>
      <c r="H683" s="720"/>
      <c r="I683" s="720"/>
      <c r="J683" s="720">
        <f>SUM(J684:J689)</f>
        <v>1782400</v>
      </c>
      <c r="K683" s="720">
        <f>SUM(K684:K689)</f>
        <v>213246</v>
      </c>
      <c r="L683" s="721">
        <f>SUM(L684:L689)</f>
        <v>0</v>
      </c>
      <c r="M683" s="693">
        <f>IF(ERROR.TYPE(IF(HLOOKUP(A683,maBK,1,0)&lt;&gt;"",#NULL!,"ABC"))&lt;&gt;7,1,0)</f>
        <v>0</v>
      </c>
      <c r="N683" s="712">
        <f ca="1">SUMIF(maBK,$A683,tongBK1)</f>
        <v>0</v>
      </c>
    </row>
    <row r="684" spans="1:14" ht="20.100000000000001" hidden="1" customHeight="1">
      <c r="A684" s="696"/>
      <c r="B684" s="226" t="s">
        <v>142</v>
      </c>
      <c r="C684" s="713">
        <f>VLOOKUP($B684,R_DG!$A$7:$G$1305,2,0)</f>
        <v>0</v>
      </c>
      <c r="D684" s="723" t="str">
        <f>VLOOKUP($B684,R_DG!$A$7:$G$1305,3,0)</f>
        <v>Boulon mắt 16x250+ 2 long đền vuông D18-50x50x3/Zn</v>
      </c>
      <c r="E684" s="714" t="str">
        <f>VLOOKUP($B684,R_DG!$A$7:$G$1305,4,0)</f>
        <v>bộ</v>
      </c>
      <c r="F684" s="724">
        <v>4</v>
      </c>
      <c r="G684" s="608">
        <f>VLOOKUP($B684,R_DG!$A$7:$G$1305,5,0)</f>
        <v>27300</v>
      </c>
      <c r="H684" s="608">
        <f>VLOOKUP($B684,R_DG!$A$7:$G$1305,6,0)</f>
        <v>0</v>
      </c>
      <c r="I684" s="608">
        <f>VLOOKUP($B684,R_DG!$A$7:$G$1305,7,0)</f>
        <v>0</v>
      </c>
      <c r="J684" s="608">
        <f t="shared" ref="J684:L689" si="148">G684*$F684</f>
        <v>109200</v>
      </c>
      <c r="K684" s="608">
        <f t="shared" si="148"/>
        <v>0</v>
      </c>
      <c r="L684" s="725">
        <f t="shared" si="148"/>
        <v>0</v>
      </c>
      <c r="M684" s="726">
        <f t="shared" ref="M684:M689" si="149">IF(F684&gt;0,M$683,0)</f>
        <v>0</v>
      </c>
      <c r="N684" s="727">
        <f t="shared" ref="N684:N689" ca="1" si="150">$F684*N$683</f>
        <v>0</v>
      </c>
    </row>
    <row r="685" spans="1:14" ht="20.100000000000001" hidden="1" customHeight="1">
      <c r="A685" s="696"/>
      <c r="B685" s="226" t="s">
        <v>634</v>
      </c>
      <c r="C685" s="713">
        <f>VLOOKUP($B685,R_DG!$A$7:$G$1305,2,0)</f>
        <v>0</v>
      </c>
      <c r="D685" s="723" t="str">
        <f>VLOOKUP($B685,R_DG!$A$7:$G$1305,3,0)</f>
        <v>Sứ chằng nhỏ</v>
      </c>
      <c r="E685" s="714" t="str">
        <f>VLOOKUP($B685,R_DG!$A$7:$G$1305,4,0)</f>
        <v>cái</v>
      </c>
      <c r="F685" s="724">
        <v>4</v>
      </c>
      <c r="G685" s="608">
        <f>VLOOKUP($B685,R_DG!$A$7:$G$1305,5,0)</f>
        <v>47000</v>
      </c>
      <c r="H685" s="608">
        <f>VLOOKUP($B685,R_DG!$A$7:$G$1305,6,0)</f>
        <v>0</v>
      </c>
      <c r="I685" s="608">
        <f>VLOOKUP($B685,R_DG!$A$7:$G$1305,7,0)</f>
        <v>0</v>
      </c>
      <c r="J685" s="608">
        <f t="shared" si="148"/>
        <v>188000</v>
      </c>
      <c r="K685" s="608">
        <f t="shared" si="148"/>
        <v>0</v>
      </c>
      <c r="L685" s="725">
        <f t="shared" si="148"/>
        <v>0</v>
      </c>
      <c r="M685" s="726">
        <f t="shared" si="149"/>
        <v>0</v>
      </c>
      <c r="N685" s="727">
        <f t="shared" ca="1" si="150"/>
        <v>0</v>
      </c>
    </row>
    <row r="686" spans="1:14" ht="20.100000000000001" hidden="1" customHeight="1">
      <c r="A686" s="696"/>
      <c r="B686" s="226" t="s">
        <v>401</v>
      </c>
      <c r="C686" s="713">
        <f>VLOOKUP($B686,R_DG!$A$7:$G$1305,2,0)</f>
        <v>0</v>
      </c>
      <c r="D686" s="723" t="str">
        <f>VLOOKUP($B686,R_DG!$A$7:$G$1305,3,0)</f>
        <v>Kẹp cáp chằng 3 boulon (B46x130)</v>
      </c>
      <c r="E686" s="714" t="str">
        <f>VLOOKUP($B686,R_DG!$A$7:$G$1305,4,0)</f>
        <v>cái</v>
      </c>
      <c r="F686" s="724">
        <v>24</v>
      </c>
      <c r="G686" s="608">
        <f>VLOOKUP($B686,R_DG!$A$7:$G$1305,5,0)</f>
        <v>40000</v>
      </c>
      <c r="H686" s="608">
        <f>VLOOKUP($B686,R_DG!$A$7:$G$1305,6,0)</f>
        <v>0</v>
      </c>
      <c r="I686" s="608">
        <f>VLOOKUP($B686,R_DG!$A$7:$G$1305,7,0)</f>
        <v>0</v>
      </c>
      <c r="J686" s="608">
        <f t="shared" si="148"/>
        <v>960000</v>
      </c>
      <c r="K686" s="608">
        <f t="shared" si="148"/>
        <v>0</v>
      </c>
      <c r="L686" s="725">
        <f t="shared" si="148"/>
        <v>0</v>
      </c>
      <c r="M686" s="726">
        <f t="shared" si="149"/>
        <v>0</v>
      </c>
      <c r="N686" s="727">
        <f t="shared" ca="1" si="150"/>
        <v>0</v>
      </c>
    </row>
    <row r="687" spans="1:14" ht="20.100000000000001" hidden="1" customHeight="1">
      <c r="A687" s="696"/>
      <c r="B687" s="226" t="s">
        <v>381</v>
      </c>
      <c r="C687" s="713">
        <f>VLOOKUP($B687,R_DG!$A$7:$G$1305,2,0)</f>
        <v>0</v>
      </c>
      <c r="D687" s="723" t="str">
        <f>VLOOKUP($B687,R_DG!$A$7:$G$1305,3,0)</f>
        <v>Cáp thép 5/8" (15m/bộ)</v>
      </c>
      <c r="E687" s="714" t="str">
        <f>VLOOKUP($B687,R_DG!$A$7:$G$1305,4,0)</f>
        <v>kg</v>
      </c>
      <c r="F687" s="724">
        <v>12</v>
      </c>
      <c r="G687" s="608">
        <f>VLOOKUP($B687,R_DG!$A$7:$G$1305,5,0)</f>
        <v>42000</v>
      </c>
      <c r="H687" s="608">
        <f>VLOOKUP($B687,R_DG!$A$7:$G$1305,6,0)</f>
        <v>0</v>
      </c>
      <c r="I687" s="608">
        <f>VLOOKUP($B687,R_DG!$A$7:$G$1305,7,0)</f>
        <v>0</v>
      </c>
      <c r="J687" s="608">
        <f t="shared" si="148"/>
        <v>504000</v>
      </c>
      <c r="K687" s="608">
        <f t="shared" si="148"/>
        <v>0</v>
      </c>
      <c r="L687" s="725">
        <f t="shared" si="148"/>
        <v>0</v>
      </c>
      <c r="M687" s="726">
        <f t="shared" si="149"/>
        <v>0</v>
      </c>
      <c r="N687" s="727">
        <f t="shared" ca="1" si="150"/>
        <v>0</v>
      </c>
    </row>
    <row r="688" spans="1:14" ht="20.100000000000001" hidden="1" customHeight="1">
      <c r="A688" s="696"/>
      <c r="B688" s="226" t="s">
        <v>796</v>
      </c>
      <c r="C688" s="713">
        <f>VLOOKUP($B688,R_DG!$A$7:$G$1305,2,0)</f>
        <v>0</v>
      </c>
      <c r="D688" s="723" t="str">
        <f>VLOOKUP($B688,R_DG!$A$7:$G$1305,3,0)</f>
        <v>Yếm cáp dày 2mm</v>
      </c>
      <c r="E688" s="714" t="str">
        <f>VLOOKUP($B688,R_DG!$A$7:$G$1305,4,0)</f>
        <v>cái</v>
      </c>
      <c r="F688" s="724">
        <v>4</v>
      </c>
      <c r="G688" s="608">
        <f>VLOOKUP($B688,R_DG!$A$7:$G$1305,5,0)</f>
        <v>5300</v>
      </c>
      <c r="H688" s="608">
        <f>VLOOKUP($B688,R_DG!$A$7:$G$1305,6,0)</f>
        <v>0</v>
      </c>
      <c r="I688" s="608">
        <f>VLOOKUP($B688,R_DG!$A$7:$G$1305,7,0)</f>
        <v>0</v>
      </c>
      <c r="J688" s="608">
        <f t="shared" si="148"/>
        <v>21200</v>
      </c>
      <c r="K688" s="608">
        <f t="shared" si="148"/>
        <v>0</v>
      </c>
      <c r="L688" s="725">
        <f t="shared" si="148"/>
        <v>0</v>
      </c>
      <c r="M688" s="726">
        <f t="shared" si="149"/>
        <v>0</v>
      </c>
      <c r="N688" s="727">
        <f t="shared" ca="1" si="150"/>
        <v>0</v>
      </c>
    </row>
    <row r="689" spans="1:14" ht="20.100000000000001" hidden="1" customHeight="1">
      <c r="A689" s="696"/>
      <c r="B689" s="226" t="s">
        <v>1226</v>
      </c>
      <c r="C689" s="713" t="str">
        <f>VLOOKUP($B689,R_DG!$A$7:$G$1305,2,0)</f>
        <v>D3.3251</v>
      </c>
      <c r="D689" s="723" t="str">
        <f>VLOOKUP($B689,R_DG!$A$7:$G$1305,3,0)</f>
        <v>Lắp bộ dây néo</v>
      </c>
      <c r="E689" s="714" t="str">
        <f>VLOOKUP($B689,R_DG!$A$7:$G$1305,4,0)</f>
        <v>bộ</v>
      </c>
      <c r="F689" s="724">
        <v>2</v>
      </c>
      <c r="G689" s="608">
        <f>VLOOKUP($B689,R_DG!$A$7:$G$1305,5,0)</f>
        <v>0</v>
      </c>
      <c r="H689" s="608">
        <f>VLOOKUP($B689,R_DG!$A$7:$G$1305,6,0)</f>
        <v>106623</v>
      </c>
      <c r="I689" s="608">
        <f>VLOOKUP($B689,R_DG!$A$7:$G$1305,7,0)</f>
        <v>0</v>
      </c>
      <c r="J689" s="608">
        <f t="shared" si="148"/>
        <v>0</v>
      </c>
      <c r="K689" s="608">
        <f t="shared" si="148"/>
        <v>213246</v>
      </c>
      <c r="L689" s="725">
        <f t="shared" si="148"/>
        <v>0</v>
      </c>
      <c r="M689" s="726">
        <f t="shared" si="149"/>
        <v>0</v>
      </c>
      <c r="N689" s="727">
        <f t="shared" ca="1" si="150"/>
        <v>0</v>
      </c>
    </row>
    <row r="690" spans="1:14" ht="20.100000000000001" customHeight="1">
      <c r="A690" s="742" t="s">
        <v>2277</v>
      </c>
      <c r="B690" s="729"/>
      <c r="C690" s="717"/>
      <c r="D690" s="718" t="s">
        <v>2278</v>
      </c>
      <c r="E690" s="718" t="s">
        <v>163</v>
      </c>
      <c r="F690" s="719"/>
      <c r="G690" s="720"/>
      <c r="H690" s="720"/>
      <c r="I690" s="720"/>
      <c r="J690" s="720">
        <f>SUM(J691:J696)</f>
        <v>268000</v>
      </c>
      <c r="K690" s="720">
        <f>SUM(K691:K696)</f>
        <v>304853.08919999999</v>
      </c>
      <c r="L690" s="721">
        <f>SUM(L691:L696)</f>
        <v>0</v>
      </c>
      <c r="N690" s="712">
        <f ca="1">SUMIF(maBK,$A690,tongBK1)</f>
        <v>0</v>
      </c>
    </row>
    <row r="691" spans="1:14" ht="20.100000000000001" hidden="1" customHeight="1">
      <c r="A691" s="696"/>
      <c r="B691" s="226" t="s">
        <v>686</v>
      </c>
      <c r="C691" s="713">
        <f>VLOOKUP($B691,R_DG!$A$7:$G$1305,2,0)</f>
        <v>0</v>
      </c>
      <c r="D691" s="723" t="str">
        <f>VLOOKUP($B691,R_DG!$A$7:$G$1305,3,0)</f>
        <v>Ty neo φ16x2400</v>
      </c>
      <c r="E691" s="714" t="str">
        <f>VLOOKUP($B691,R_DG!$A$7:$G$1305,4,0)</f>
        <v>cái</v>
      </c>
      <c r="F691" s="724">
        <v>1</v>
      </c>
      <c r="G691" s="608">
        <f>VLOOKUP($B691,R_DG!$A$7:$G$1305,5,0)</f>
        <v>185000</v>
      </c>
      <c r="H691" s="608">
        <f>VLOOKUP($B691,R_DG!$A$7:$G$1305,6,0)</f>
        <v>0</v>
      </c>
      <c r="I691" s="608">
        <f>VLOOKUP($B691,R_DG!$A$7:$G$1305,7,0)</f>
        <v>0</v>
      </c>
      <c r="J691" s="608">
        <f t="shared" ref="J691:L717" si="151">G691*$F691</f>
        <v>185000</v>
      </c>
      <c r="K691" s="608">
        <f t="shared" si="151"/>
        <v>0</v>
      </c>
      <c r="L691" s="725">
        <f t="shared" si="151"/>
        <v>0</v>
      </c>
      <c r="M691" s="1127">
        <f t="shared" ref="M691:M696" si="152">IF(F691&gt;0,M$690,0)</f>
        <v>0</v>
      </c>
      <c r="N691" s="727">
        <f t="shared" ref="N691:N696" ca="1" si="153">$F691*N$690</f>
        <v>0</v>
      </c>
    </row>
    <row r="692" spans="1:14" ht="20.100000000000001" hidden="1" customHeight="1">
      <c r="A692" s="696"/>
      <c r="B692" s="226" t="s">
        <v>696</v>
      </c>
      <c r="C692" s="713">
        <f>VLOOKUP($B692,R_DG!$A$7:$G$1305,2,0)</f>
        <v>0</v>
      </c>
      <c r="D692" s="723" t="str">
        <f>VLOOKUP($B692,R_DG!$A$7:$G$1305,3,0)</f>
        <v>Neo xòe 8 hướng (dày 3,2mm)</v>
      </c>
      <c r="E692" s="714" t="str">
        <f>VLOOKUP($B692,R_DG!$A$7:$G$1305,4,0)</f>
        <v>cái</v>
      </c>
      <c r="F692" s="724">
        <v>1</v>
      </c>
      <c r="G692" s="608">
        <f>VLOOKUP($B692,R_DG!$A$7:$G$1305,5,0)</f>
        <v>83000</v>
      </c>
      <c r="H692" s="608">
        <f>VLOOKUP($B692,R_DG!$A$7:$G$1305,6,0)</f>
        <v>0</v>
      </c>
      <c r="I692" s="608">
        <f>VLOOKUP($B692,R_DG!$A$7:$G$1305,7,0)</f>
        <v>0</v>
      </c>
      <c r="J692" s="608">
        <f t="shared" si="151"/>
        <v>83000</v>
      </c>
      <c r="K692" s="608">
        <f t="shared" si="151"/>
        <v>0</v>
      </c>
      <c r="L692" s="725">
        <f t="shared" si="151"/>
        <v>0</v>
      </c>
      <c r="M692" s="1127">
        <f t="shared" si="152"/>
        <v>0</v>
      </c>
      <c r="N692" s="727">
        <f t="shared" ca="1" si="153"/>
        <v>0</v>
      </c>
    </row>
    <row r="693" spans="1:14" ht="20.100000000000001" hidden="1" customHeight="1">
      <c r="A693" s="696"/>
      <c r="B693" s="226" t="str">
        <f>IF(CAPDAT=1,"MDD1",IF(CAPDAT=2,"MDD2",IF(CAPDAT=3,"MDD3",IF(CAPDAT=4,"MDD4"))))</f>
        <v>MDD3</v>
      </c>
      <c r="C693" s="713" t="str">
        <f>VLOOKUP($B693,R_DG!$A$7:$G$1305,2,0)</f>
        <v>AB.11400</v>
      </c>
      <c r="D693" s="723" t="str">
        <f>VLOOKUP($B693,R_DG!$A$7:$G$1305,3,0)</f>
        <v>Đào hố móng đất cấp 3 sâu &gt;1m, rộng &lt;1m</v>
      </c>
      <c r="E693" s="714" t="str">
        <f>VLOOKUP($B693,R_DG!$A$7:$G$1305,4,0)</f>
        <v>m3</v>
      </c>
      <c r="F693" s="724">
        <v>0.45100000000000001</v>
      </c>
      <c r="G693" s="608">
        <f>VLOOKUP($B693,R_DG!$A$7:$G$1305,5,0)</f>
        <v>0</v>
      </c>
      <c r="H693" s="608">
        <f>VLOOKUP($B693,R_DG!$A$7:$G$1305,6,0)</f>
        <v>418738.31999999995</v>
      </c>
      <c r="I693" s="608">
        <f>VLOOKUP($B693,R_DG!$A$7:$G$1305,7,0)</f>
        <v>0</v>
      </c>
      <c r="J693" s="608">
        <f t="shared" si="151"/>
        <v>0</v>
      </c>
      <c r="K693" s="608">
        <f t="shared" si="151"/>
        <v>188850.98231999998</v>
      </c>
      <c r="L693" s="725">
        <f t="shared" si="151"/>
        <v>0</v>
      </c>
      <c r="M693" s="1127">
        <f t="shared" si="152"/>
        <v>0</v>
      </c>
      <c r="N693" s="727">
        <f t="shared" ca="1" si="153"/>
        <v>0</v>
      </c>
    </row>
    <row r="694" spans="1:14" ht="20.100000000000001" hidden="1" customHeight="1">
      <c r="A694" s="696"/>
      <c r="B694" s="226" t="str">
        <f>IF(CAPDAT=1,"MDAP1",IF(CAPDAT=2,"MDAP2",IF(CAPDAT=3,"MDAP3",IF(CAPDAT=4,"MDAP4"))))</f>
        <v>MDAP3</v>
      </c>
      <c r="C694" s="713" t="str">
        <f>VLOOKUP($B694,R_DG!$A$7:$G$1305,2,0)</f>
        <v>AB.13000</v>
      </c>
      <c r="D694" s="723" t="str">
        <f>VLOOKUP($B694,R_DG!$A$7:$G$1305,3,0)</f>
        <v>Đắp đất hố móng, đất cấp 3, k = 0,85</v>
      </c>
      <c r="E694" s="714" t="str">
        <f>VLOOKUP($B694,R_DG!$A$7:$G$1305,4,0)</f>
        <v>m3</v>
      </c>
      <c r="F694" s="724">
        <v>0.45100000000000001</v>
      </c>
      <c r="G694" s="608">
        <f>VLOOKUP($B694,R_DG!$A$7:$G$1305,5,0)</f>
        <v>0</v>
      </c>
      <c r="H694" s="608">
        <f>DG!F5</f>
        <v>257210.88</v>
      </c>
      <c r="I694" s="608">
        <f>VLOOKUP($B694,R_DG!$A$7:$G$1305,7,0)</f>
        <v>0</v>
      </c>
      <c r="J694" s="608">
        <f t="shared" si="151"/>
        <v>0</v>
      </c>
      <c r="K694" s="608">
        <f t="shared" si="151"/>
        <v>116002.10688000001</v>
      </c>
      <c r="L694" s="725">
        <f t="shared" si="151"/>
        <v>0</v>
      </c>
      <c r="M694" s="1127">
        <f t="shared" si="152"/>
        <v>0</v>
      </c>
      <c r="N694" s="727">
        <f t="shared" ca="1" si="153"/>
        <v>0</v>
      </c>
    </row>
    <row r="695" spans="1:14" ht="20.100000000000001" hidden="1" customHeight="1">
      <c r="A695" s="696"/>
      <c r="B695" s="226" t="s">
        <v>2279</v>
      </c>
      <c r="C695" s="713" t="str">
        <f>VLOOKUP($B695,R_DG!$A$7:$G$1305,2,0)</f>
        <v>02.3111</v>
      </c>
      <c r="D695" s="723" t="str">
        <f>VLOOKUP($B695,R_DG!$A$7:$G$1305,3,0)</f>
        <v>Bốc dỡ neo xèo</v>
      </c>
      <c r="E695" s="714" t="str">
        <f>VLOOKUP($B695,R_DG!$A$7:$G$1305,4,0)</f>
        <v>tấn</v>
      </c>
      <c r="F695" s="724"/>
      <c r="G695" s="608">
        <f>VLOOKUP($B695,R_DG!$A$7:$G$1305,5,0)</f>
        <v>0</v>
      </c>
      <c r="H695" s="608">
        <f>VLOOKUP($B695,R_DG!$A$7:$G$1305,6,0)</f>
        <v>0</v>
      </c>
      <c r="I695" s="608">
        <f>VLOOKUP($B695,R_DG!$A$7:$G$1305,7,0)</f>
        <v>0</v>
      </c>
      <c r="J695" s="608">
        <f t="shared" si="151"/>
        <v>0</v>
      </c>
      <c r="K695" s="608">
        <f t="shared" si="151"/>
        <v>0</v>
      </c>
      <c r="L695" s="725">
        <f t="shared" si="151"/>
        <v>0</v>
      </c>
      <c r="M695" s="726">
        <f t="shared" si="152"/>
        <v>0</v>
      </c>
      <c r="N695" s="727">
        <f t="shared" ca="1" si="153"/>
        <v>0</v>
      </c>
    </row>
    <row r="696" spans="1:14" ht="20.100000000000001" hidden="1" customHeight="1">
      <c r="A696" s="696"/>
      <c r="B696" s="226" t="s">
        <v>696</v>
      </c>
      <c r="C696" s="713">
        <f>VLOOKUP($B696,R_DG!$A$7:$G$1305,2,0)</f>
        <v>0</v>
      </c>
      <c r="D696" s="723" t="str">
        <f>VLOOKUP($B696,R_DG!$A$7:$G$1305,3,0)</f>
        <v>Neo xòe 8 hướng (dày 3,2mm)</v>
      </c>
      <c r="E696" s="714" t="str">
        <f>VLOOKUP($B696,R_DG!$A$7:$G$1305,4,0)</f>
        <v>cái</v>
      </c>
      <c r="F696" s="724"/>
      <c r="G696" s="608">
        <f>VLOOKUP($B696,R_DG!$A$7:$G$1305,5,0)</f>
        <v>83000</v>
      </c>
      <c r="H696" s="608">
        <f>VLOOKUP($B696,R_DG!$A$7:$G$1305,6,0)</f>
        <v>0</v>
      </c>
      <c r="I696" s="608">
        <f>VLOOKUP($B696,R_DG!$A$7:$G$1305,7,0)</f>
        <v>0</v>
      </c>
      <c r="J696" s="608">
        <f t="shared" si="151"/>
        <v>0</v>
      </c>
      <c r="K696" s="608">
        <f t="shared" si="151"/>
        <v>0</v>
      </c>
      <c r="L696" s="725">
        <f t="shared" si="151"/>
        <v>0</v>
      </c>
      <c r="M696" s="726">
        <f t="shared" si="152"/>
        <v>0</v>
      </c>
      <c r="N696" s="727">
        <f t="shared" ca="1" si="153"/>
        <v>0</v>
      </c>
    </row>
    <row r="697" spans="1:14" ht="20.100000000000001" customHeight="1">
      <c r="A697" s="742" t="s">
        <v>2280</v>
      </c>
      <c r="B697" s="729"/>
      <c r="C697" s="717"/>
      <c r="D697" s="718" t="s">
        <v>2281</v>
      </c>
      <c r="E697" s="718" t="s">
        <v>163</v>
      </c>
      <c r="F697" s="719"/>
      <c r="G697" s="720"/>
      <c r="H697" s="720"/>
      <c r="I697" s="720"/>
      <c r="J697" s="720">
        <f>SUM(J698:J703)</f>
        <v>268000</v>
      </c>
      <c r="K697" s="720">
        <f>SUM(K698:K703)</f>
        <v>169663.24919999999</v>
      </c>
      <c r="L697" s="721">
        <f>SUM(L698:L703)</f>
        <v>0</v>
      </c>
      <c r="N697" s="712">
        <f ca="1">SUMIF(maBK,$A697,tongBK1)</f>
        <v>0</v>
      </c>
    </row>
    <row r="698" spans="1:14" ht="20.100000000000001" hidden="1" customHeight="1">
      <c r="A698" s="696"/>
      <c r="B698" s="226" t="s">
        <v>686</v>
      </c>
      <c r="C698" s="713">
        <f>VLOOKUP($B698,R_DG!$A$7:$G$1305,2,0)</f>
        <v>0</v>
      </c>
      <c r="D698" s="723" t="str">
        <f>VLOOKUP($B698,R_DG!$A$7:$G$1305,3,0)</f>
        <v>Ty neo φ16x2400</v>
      </c>
      <c r="E698" s="714" t="str">
        <f>VLOOKUP($B698,R_DG!$A$7:$G$1305,4,0)</f>
        <v>cái</v>
      </c>
      <c r="F698" s="724">
        <v>1</v>
      </c>
      <c r="G698" s="608">
        <f>VLOOKUP($B698,R_DG!$A$7:$G$1305,5,0)</f>
        <v>185000</v>
      </c>
      <c r="H698" s="608">
        <f>VLOOKUP($B698,R_DG!$A$7:$G$1305,6,0)</f>
        <v>0</v>
      </c>
      <c r="I698" s="608">
        <f>VLOOKUP($B698,R_DG!$A$7:$G$1305,7,0)</f>
        <v>0</v>
      </c>
      <c r="J698" s="608">
        <f t="shared" si="151"/>
        <v>185000</v>
      </c>
      <c r="K698" s="608">
        <f t="shared" si="151"/>
        <v>0</v>
      </c>
      <c r="L698" s="725">
        <f t="shared" si="151"/>
        <v>0</v>
      </c>
      <c r="M698" s="1127">
        <f t="shared" ref="M698:M703" si="154">IF(F698&gt;0,M$697,0)</f>
        <v>0</v>
      </c>
      <c r="N698" s="727">
        <f t="shared" ref="N698:N703" ca="1" si="155">$F698*N$697</f>
        <v>0</v>
      </c>
    </row>
    <row r="699" spans="1:14" ht="20.100000000000001" hidden="1" customHeight="1">
      <c r="A699" s="696"/>
      <c r="B699" s="226" t="s">
        <v>696</v>
      </c>
      <c r="C699" s="1297">
        <f>VLOOKUP($B699,R_DG!$A$7:$G$1305,2,0)</f>
        <v>0</v>
      </c>
      <c r="D699" s="1298" t="str">
        <f>VLOOKUP($B699,R_DG!$A$7:$G$1305,3,0)</f>
        <v>Neo xòe 8 hướng (dày 3,2mm)</v>
      </c>
      <c r="E699" s="1299" t="str">
        <f>VLOOKUP($B699,R_DG!$A$7:$G$1305,4,0)</f>
        <v>cái</v>
      </c>
      <c r="F699" s="1309">
        <v>1</v>
      </c>
      <c r="G699" s="1301">
        <f>VLOOKUP($B699,R_DG!$A$7:$G$1305,5,0)</f>
        <v>83000</v>
      </c>
      <c r="H699" s="1301">
        <f>VLOOKUP($B699,R_DG!$A$7:$G$1305,6,0)</f>
        <v>0</v>
      </c>
      <c r="I699" s="1301">
        <f>VLOOKUP($B699,R_DG!$A$7:$G$1305,7,0)</f>
        <v>0</v>
      </c>
      <c r="J699" s="1301">
        <f t="shared" si="151"/>
        <v>83000</v>
      </c>
      <c r="K699" s="1301">
        <f t="shared" si="151"/>
        <v>0</v>
      </c>
      <c r="L699" s="1302">
        <f t="shared" si="151"/>
        <v>0</v>
      </c>
      <c r="M699" s="1127">
        <f t="shared" si="154"/>
        <v>0</v>
      </c>
      <c r="N699" s="727">
        <f t="shared" ca="1" si="155"/>
        <v>0</v>
      </c>
    </row>
    <row r="700" spans="1:14" ht="20.100000000000001" hidden="1" customHeight="1">
      <c r="A700" s="696"/>
      <c r="B700" s="226" t="str">
        <f>IF(CAPDAT=1,"MDD1",IF(CAPDAT=2,"MDD2",IF(CAPDAT=3,"MDD3",IF(CAPDAT=4,"MDD4"))))</f>
        <v>MDD3</v>
      </c>
      <c r="C700" s="1303" t="str">
        <f>VLOOKUP($B700,R_DG!$A$7:$G$1305,2,0)</f>
        <v>AB.11400</v>
      </c>
      <c r="D700" s="1304" t="str">
        <f>VLOOKUP($B700,R_DG!$A$7:$G$1305,3,0)</f>
        <v>Đào hố móng đất cấp 3 sâu &gt;1m, rộng &lt;1m</v>
      </c>
      <c r="E700" s="1305" t="str">
        <f>VLOOKUP($B700,R_DG!$A$7:$G$1305,4,0)</f>
        <v>m3</v>
      </c>
      <c r="F700" s="1310">
        <v>0.251</v>
      </c>
      <c r="G700" s="1307">
        <f>VLOOKUP($B700,R_DG!$A$7:$G$1305,5,0)</f>
        <v>0</v>
      </c>
      <c r="H700" s="1307">
        <f>VLOOKUP($B700,R_DG!$A$7:$G$1305,6,0)</f>
        <v>418738.31999999995</v>
      </c>
      <c r="I700" s="1307">
        <f>VLOOKUP($B700,R_DG!$A$7:$G$1305,7,0)</f>
        <v>0</v>
      </c>
      <c r="J700" s="1307">
        <f t="shared" si="151"/>
        <v>0</v>
      </c>
      <c r="K700" s="1307">
        <f t="shared" si="151"/>
        <v>105103.31831999999</v>
      </c>
      <c r="L700" s="1308">
        <f t="shared" si="151"/>
        <v>0</v>
      </c>
      <c r="M700" s="1127">
        <f t="shared" si="154"/>
        <v>0</v>
      </c>
      <c r="N700" s="727">
        <f t="shared" ca="1" si="155"/>
        <v>0</v>
      </c>
    </row>
    <row r="701" spans="1:14" hidden="1">
      <c r="A701" s="696"/>
      <c r="B701" s="226" t="str">
        <f>IF(CAPDAT=1,"MDAP1",IF(CAPDAT=2,"MDAP2",IF(CAPDAT=3,"MDAP3",IF(CAPDAT=4,"MDAP4"))))</f>
        <v>MDAP3</v>
      </c>
      <c r="C701" s="713" t="str">
        <f>VLOOKUP($B701,R_DG!$A$7:$G$1305,2,0)</f>
        <v>AB.13000</v>
      </c>
      <c r="D701" s="723" t="str">
        <f>VLOOKUP($B701,R_DG!$A$7:$G$1305,3,0)</f>
        <v>Đắp đất hố móng, đất cấp 3, k = 0,85</v>
      </c>
      <c r="E701" s="714" t="str">
        <f>VLOOKUP($B701,R_DG!$A$7:$G$1305,4,0)</f>
        <v>m3</v>
      </c>
      <c r="F701" s="724">
        <v>0.251</v>
      </c>
      <c r="G701" s="608">
        <f>VLOOKUP($B701,R_DG!$A$7:$G$1305,5,0)</f>
        <v>0</v>
      </c>
      <c r="H701" s="608">
        <f>DG!F5</f>
        <v>257210.88</v>
      </c>
      <c r="I701" s="608">
        <f>VLOOKUP($B701,R_DG!$A$7:$G$1305,7,0)</f>
        <v>0</v>
      </c>
      <c r="J701" s="608">
        <f t="shared" si="151"/>
        <v>0</v>
      </c>
      <c r="K701" s="608">
        <f t="shared" si="151"/>
        <v>64559.93088</v>
      </c>
      <c r="L701" s="725">
        <f t="shared" si="151"/>
        <v>0</v>
      </c>
      <c r="M701" s="1127">
        <f t="shared" si="154"/>
        <v>0</v>
      </c>
      <c r="N701" s="727">
        <f t="shared" ca="1" si="155"/>
        <v>0</v>
      </c>
    </row>
    <row r="702" spans="1:14" ht="15.75" hidden="1">
      <c r="A702" s="696"/>
      <c r="B702" s="226" t="s">
        <v>2279</v>
      </c>
      <c r="C702" s="713" t="str">
        <f>VLOOKUP($B702,R_DG!$A$7:$G$1305,2,0)</f>
        <v>02.3111</v>
      </c>
      <c r="D702" s="723" t="str">
        <f>VLOOKUP($B702,R_DG!$A$7:$G$1305,3,0)</f>
        <v>Bốc dỡ neo xèo</v>
      </c>
      <c r="E702" s="714" t="str">
        <f>VLOOKUP($B702,R_DG!$A$7:$G$1305,4,0)</f>
        <v>tấn</v>
      </c>
      <c r="F702" s="724"/>
      <c r="G702" s="608">
        <f>VLOOKUP($B702,R_DG!$A$7:$G$1305,5,0)</f>
        <v>0</v>
      </c>
      <c r="H702" s="608">
        <f>VLOOKUP($B702,R_DG!$A$7:$G$1305,6,0)</f>
        <v>0</v>
      </c>
      <c r="I702" s="608">
        <f>VLOOKUP($B702,R_DG!$A$7:$G$1305,7,0)</f>
        <v>0</v>
      </c>
      <c r="J702" s="608">
        <f t="shared" si="151"/>
        <v>0</v>
      </c>
      <c r="K702" s="608">
        <f t="shared" si="151"/>
        <v>0</v>
      </c>
      <c r="L702" s="725">
        <f t="shared" si="151"/>
        <v>0</v>
      </c>
      <c r="M702" s="726">
        <f t="shared" si="154"/>
        <v>0</v>
      </c>
      <c r="N702" s="727">
        <f t="shared" ca="1" si="155"/>
        <v>0</v>
      </c>
    </row>
    <row r="703" spans="1:14" ht="15.75" hidden="1">
      <c r="A703" s="696"/>
      <c r="B703" s="226" t="s">
        <v>696</v>
      </c>
      <c r="C703" s="713">
        <f>VLOOKUP($B703,R_DG!$A$7:$G$1305,2,0)</f>
        <v>0</v>
      </c>
      <c r="D703" s="723" t="str">
        <f>VLOOKUP($B703,R_DG!$A$7:$G$1305,3,0)</f>
        <v>Neo xòe 8 hướng (dày 3,2mm)</v>
      </c>
      <c r="E703" s="714" t="str">
        <f>VLOOKUP($B703,R_DG!$A$7:$G$1305,4,0)</f>
        <v>cái</v>
      </c>
      <c r="F703" s="724"/>
      <c r="G703" s="608">
        <f>VLOOKUP($B703,R_DG!$A$7:$G$1305,5,0)</f>
        <v>83000</v>
      </c>
      <c r="H703" s="608">
        <f>VLOOKUP($B703,R_DG!$A$7:$G$1305,6,0)</f>
        <v>0</v>
      </c>
      <c r="I703" s="608">
        <f>VLOOKUP($B703,R_DG!$A$7:$G$1305,7,0)</f>
        <v>0</v>
      </c>
      <c r="J703" s="608">
        <f t="shared" si="151"/>
        <v>0</v>
      </c>
      <c r="K703" s="608">
        <f t="shared" si="151"/>
        <v>0</v>
      </c>
      <c r="L703" s="725">
        <f t="shared" si="151"/>
        <v>0</v>
      </c>
      <c r="M703" s="726">
        <f t="shared" si="154"/>
        <v>0</v>
      </c>
      <c r="N703" s="727">
        <f t="shared" ca="1" si="155"/>
        <v>0</v>
      </c>
    </row>
    <row r="704" spans="1:14">
      <c r="A704" s="742" t="s">
        <v>2591</v>
      </c>
      <c r="B704" s="729"/>
      <c r="C704" s="717"/>
      <c r="D704" s="718" t="s">
        <v>2590</v>
      </c>
      <c r="E704" s="718" t="s">
        <v>163</v>
      </c>
      <c r="F704" s="719"/>
      <c r="G704" s="720"/>
      <c r="H704" s="720"/>
      <c r="I704" s="720"/>
      <c r="J704" s="720">
        <f>SUM(J705:J710)</f>
        <v>445000</v>
      </c>
      <c r="K704" s="720">
        <f>SUM(K705:K710)</f>
        <v>304853.08919999999</v>
      </c>
      <c r="L704" s="721">
        <f>SUM(L705:L710)</f>
        <v>0</v>
      </c>
      <c r="N704" s="712">
        <f ca="1">SUMIF(maBK,$A704,tongBK1)</f>
        <v>0</v>
      </c>
    </row>
    <row r="705" spans="1:14" hidden="1">
      <c r="A705" s="696"/>
      <c r="B705" s="226" t="s">
        <v>690</v>
      </c>
      <c r="C705" s="713">
        <f>VLOOKUP($B705,R_DG!$A$7:$G$1305,2,0)</f>
        <v>0</v>
      </c>
      <c r="D705" s="723" t="str">
        <f>VLOOKUP($B705,R_DG!$A$7:$G$1305,3,0)</f>
        <v>Ty neo φ22x2400</v>
      </c>
      <c r="E705" s="714" t="str">
        <f>VLOOKUP($B705,R_DG!$A$7:$G$1305,4,0)</f>
        <v>cái</v>
      </c>
      <c r="F705" s="724">
        <v>1</v>
      </c>
      <c r="G705" s="608">
        <f>VLOOKUP($B705,R_DG!$A$7:$G$1305,5,0)</f>
        <v>362000</v>
      </c>
      <c r="H705" s="608">
        <f>VLOOKUP($B705,R_DG!$A$7:$G$1305,6,0)</f>
        <v>0</v>
      </c>
      <c r="I705" s="608">
        <f>VLOOKUP($B705,R_DG!$A$7:$G$1305,7,0)</f>
        <v>0</v>
      </c>
      <c r="J705" s="608">
        <f t="shared" si="151"/>
        <v>362000</v>
      </c>
      <c r="K705" s="608">
        <f t="shared" si="151"/>
        <v>0</v>
      </c>
      <c r="L705" s="725">
        <f t="shared" si="151"/>
        <v>0</v>
      </c>
      <c r="M705" s="1127">
        <f t="shared" ref="M705:M710" si="156">IF(F705&gt;0,M$704,0)</f>
        <v>0</v>
      </c>
      <c r="N705" s="727">
        <f t="shared" ref="N705:N710" ca="1" si="157">$F705*N$704</f>
        <v>0</v>
      </c>
    </row>
    <row r="706" spans="1:14" hidden="1">
      <c r="A706" s="696"/>
      <c r="B706" s="226" t="s">
        <v>696</v>
      </c>
      <c r="C706" s="713">
        <f>VLOOKUP($B706,R_DG!$A$7:$G$1305,2,0)</f>
        <v>0</v>
      </c>
      <c r="D706" s="723" t="str">
        <f>VLOOKUP($B706,R_DG!$A$7:$G$1305,3,0)</f>
        <v>Neo xòe 8 hướng (dày 3,2mm)</v>
      </c>
      <c r="E706" s="714" t="str">
        <f>VLOOKUP($B706,R_DG!$A$7:$G$1305,4,0)</f>
        <v>cái</v>
      </c>
      <c r="F706" s="724">
        <v>1</v>
      </c>
      <c r="G706" s="608">
        <f>VLOOKUP($B706,R_DG!$A$7:$G$1305,5,0)</f>
        <v>83000</v>
      </c>
      <c r="H706" s="608">
        <f>VLOOKUP($B706,R_DG!$A$7:$G$1305,6,0)</f>
        <v>0</v>
      </c>
      <c r="I706" s="608">
        <f>VLOOKUP($B706,R_DG!$A$7:$G$1305,7,0)</f>
        <v>0</v>
      </c>
      <c r="J706" s="608">
        <f t="shared" si="151"/>
        <v>83000</v>
      </c>
      <c r="K706" s="608">
        <f t="shared" si="151"/>
        <v>0</v>
      </c>
      <c r="L706" s="725">
        <f t="shared" si="151"/>
        <v>0</v>
      </c>
      <c r="M706" s="1127">
        <f t="shared" si="156"/>
        <v>0</v>
      </c>
      <c r="N706" s="727">
        <f t="shared" ca="1" si="157"/>
        <v>0</v>
      </c>
    </row>
    <row r="707" spans="1:14" ht="15.75" hidden="1">
      <c r="A707" s="696"/>
      <c r="B707" s="226" t="s">
        <v>484</v>
      </c>
      <c r="C707" s="713" t="str">
        <f>VLOOKUP($B707,R_DG!$A$7:$G$1305,2,0)</f>
        <v>04.9001</v>
      </c>
      <c r="D707" s="723" t="str">
        <f>VLOOKUP($B707,R_DG!$A$7:$G$1305,3,0)</f>
        <v>Bitum</v>
      </c>
      <c r="E707" s="714" t="str">
        <f>VLOOKUP($B707,R_DG!$A$7:$G$1305,4,0)</f>
        <v>m2</v>
      </c>
      <c r="F707" s="724"/>
      <c r="G707" s="608">
        <f>VLOOKUP($B707,R_DG!$A$7:$G$1305,5,0)</f>
        <v>5849</v>
      </c>
      <c r="H707" s="608">
        <f>VLOOKUP($B707,R_DG!$A$7:$G$1305,6,0)</f>
        <v>0</v>
      </c>
      <c r="I707" s="608">
        <f>VLOOKUP($B707,R_DG!$A$7:$G$1305,7,0)</f>
        <v>0</v>
      </c>
      <c r="J707" s="608">
        <f t="shared" si="151"/>
        <v>0</v>
      </c>
      <c r="K707" s="608">
        <f t="shared" si="151"/>
        <v>0</v>
      </c>
      <c r="L707" s="725">
        <f t="shared" si="151"/>
        <v>0</v>
      </c>
      <c r="M707" s="726">
        <f t="shared" si="156"/>
        <v>0</v>
      </c>
      <c r="N707" s="727">
        <f t="shared" ca="1" si="157"/>
        <v>0</v>
      </c>
    </row>
    <row r="708" spans="1:14" hidden="1">
      <c r="A708" s="696"/>
      <c r="B708" s="226" t="str">
        <f>IF(CAPDAT=1,"MDD1",IF(CAPDAT=2,"MDD2",IF(CAPDAT=3,"MDD3",IF(CAPDAT=4,"MDD4"))))</f>
        <v>MDD3</v>
      </c>
      <c r="C708" s="713" t="str">
        <f>VLOOKUP($B708,R_DG!$A$7:$G$1305,2,0)</f>
        <v>AB.11400</v>
      </c>
      <c r="D708" s="723" t="str">
        <f>VLOOKUP($B708,R_DG!$A$7:$G$1305,3,0)</f>
        <v>Đào hố móng đất cấp 3 sâu &gt;1m, rộng &lt;1m</v>
      </c>
      <c r="E708" s="714" t="str">
        <f>VLOOKUP($B708,R_DG!$A$7:$G$1305,4,0)</f>
        <v>m3</v>
      </c>
      <c r="F708" s="730">
        <v>0.45100000000000001</v>
      </c>
      <c r="G708" s="608">
        <f>VLOOKUP($B708,R_DG!$A$7:$G$1305,5,0)</f>
        <v>0</v>
      </c>
      <c r="H708" s="608">
        <f>VLOOKUP($B708,R_DG!$A$7:$G$1305,6,0)</f>
        <v>418738.31999999995</v>
      </c>
      <c r="I708" s="608">
        <f>VLOOKUP($B708,R_DG!$A$7:$G$1305,7,0)</f>
        <v>0</v>
      </c>
      <c r="J708" s="608">
        <f t="shared" si="151"/>
        <v>0</v>
      </c>
      <c r="K708" s="608">
        <f t="shared" si="151"/>
        <v>188850.98231999998</v>
      </c>
      <c r="L708" s="725">
        <f t="shared" si="151"/>
        <v>0</v>
      </c>
      <c r="M708" s="1127">
        <f t="shared" si="156"/>
        <v>0</v>
      </c>
      <c r="N708" s="727">
        <f t="shared" ca="1" si="157"/>
        <v>0</v>
      </c>
    </row>
    <row r="709" spans="1:14" hidden="1">
      <c r="A709" s="696"/>
      <c r="B709" s="226" t="str">
        <f>IF(CAPDAT=1,"MDAP1",IF(CAPDAT=2,"MDAP2",IF(CAPDAT=3,"MDAP3",IF(CAPDAT=4,"MDAP4"))))</f>
        <v>MDAP3</v>
      </c>
      <c r="C709" s="713" t="str">
        <f>VLOOKUP($B709,R_DG!$A$7:$G$1305,2,0)</f>
        <v>AB.13000</v>
      </c>
      <c r="D709" s="723" t="str">
        <f>VLOOKUP($B709,R_DG!$A$7:$G$1305,3,0)</f>
        <v>Đắp đất hố móng, đất cấp 3, k = 0,85</v>
      </c>
      <c r="E709" s="714" t="str">
        <f>VLOOKUP($B709,R_DG!$A$7:$G$1305,4,0)</f>
        <v>m3</v>
      </c>
      <c r="F709" s="730">
        <v>0.45100000000000001</v>
      </c>
      <c r="G709" s="608">
        <f>VLOOKUP($B709,R_DG!$A$7:$G$1305,5,0)</f>
        <v>0</v>
      </c>
      <c r="H709" s="608">
        <f>DG!F5</f>
        <v>257210.88</v>
      </c>
      <c r="I709" s="608">
        <f>VLOOKUP($B709,R_DG!$A$7:$G$1305,7,0)</f>
        <v>0</v>
      </c>
      <c r="J709" s="608">
        <f t="shared" si="151"/>
        <v>0</v>
      </c>
      <c r="K709" s="608">
        <f t="shared" si="151"/>
        <v>116002.10688000001</v>
      </c>
      <c r="L709" s="725">
        <f t="shared" si="151"/>
        <v>0</v>
      </c>
      <c r="M709" s="1127">
        <f t="shared" si="156"/>
        <v>0</v>
      </c>
      <c r="N709" s="727">
        <f t="shared" ca="1" si="157"/>
        <v>0</v>
      </c>
    </row>
    <row r="710" spans="1:14" ht="15.75" hidden="1">
      <c r="A710" s="696"/>
      <c r="B710" s="226" t="s">
        <v>2152</v>
      </c>
      <c r="C710" s="713" t="str">
        <f>VLOOKUP($B710,R_DG!$A$7:$G$1305,2,0)</f>
        <v>02.1123</v>
      </c>
      <c r="D710" s="723" t="str">
        <f>VLOOKUP($B710,R_DG!$A$7:$G$1305,3,0)</f>
        <v>Bốc dỡ đà cản, đế néo</v>
      </c>
      <c r="E710" s="714" t="str">
        <f>VLOOKUP($B710,R_DG!$A$7:$G$1305,4,0)</f>
        <v>tấn</v>
      </c>
      <c r="F710" s="724"/>
      <c r="G710" s="608">
        <f>VLOOKUP($B710,R_DG!$A$7:$G$1305,5,0)</f>
        <v>0</v>
      </c>
      <c r="H710" s="608">
        <f>VLOOKUP($B710,R_DG!$A$7:$G$1305,6,0)</f>
        <v>0</v>
      </c>
      <c r="I710" s="608">
        <f>VLOOKUP($B710,R_DG!$A$7:$G$1305,7,0)</f>
        <v>0</v>
      </c>
      <c r="J710" s="608">
        <f t="shared" si="151"/>
        <v>0</v>
      </c>
      <c r="K710" s="608">
        <f t="shared" si="151"/>
        <v>0</v>
      </c>
      <c r="L710" s="725">
        <f t="shared" si="151"/>
        <v>0</v>
      </c>
      <c r="M710" s="726">
        <f t="shared" si="156"/>
        <v>0</v>
      </c>
      <c r="N710" s="727">
        <f t="shared" ca="1" si="157"/>
        <v>0</v>
      </c>
    </row>
    <row r="711" spans="1:14">
      <c r="A711" s="728" t="s">
        <v>2592</v>
      </c>
      <c r="B711" s="729"/>
      <c r="C711" s="717"/>
      <c r="D711" s="718" t="s">
        <v>2597</v>
      </c>
      <c r="E711" s="718" t="s">
        <v>163</v>
      </c>
      <c r="F711" s="719"/>
      <c r="G711" s="720"/>
      <c r="H711" s="720"/>
      <c r="I711" s="720"/>
      <c r="J711" s="720">
        <f>SUM(J712:J717)</f>
        <v>445000</v>
      </c>
      <c r="K711" s="720">
        <f>SUM(K712:K717)</f>
        <v>130256.24919999999</v>
      </c>
      <c r="L711" s="721">
        <f>SUM(L712:L717)</f>
        <v>0</v>
      </c>
      <c r="N711" s="712">
        <f ca="1">SUMIF(maBK,$A711,tongBK1)</f>
        <v>0</v>
      </c>
    </row>
    <row r="712" spans="1:14" hidden="1">
      <c r="A712" s="696"/>
      <c r="B712" s="226" t="s">
        <v>690</v>
      </c>
      <c r="C712" s="713">
        <f>VLOOKUP($B712,R_DG!$A$7:$G$1305,2,0)</f>
        <v>0</v>
      </c>
      <c r="D712" s="723" t="str">
        <f>VLOOKUP($B712,R_DG!$A$7:$G$1305,3,0)</f>
        <v>Ty neo φ22x2400</v>
      </c>
      <c r="E712" s="714" t="str">
        <f>VLOOKUP($B712,R_DG!$A$7:$G$1305,4,0)</f>
        <v>cái</v>
      </c>
      <c r="F712" s="724">
        <v>1</v>
      </c>
      <c r="G712" s="608">
        <f>VLOOKUP($B712,R_DG!$A$7:$G$1305,5,0)</f>
        <v>362000</v>
      </c>
      <c r="H712" s="608">
        <f>VLOOKUP($B712,R_DG!$A$7:$G$1305,6,0)</f>
        <v>0</v>
      </c>
      <c r="I712" s="608">
        <f>VLOOKUP($B712,R_DG!$A$7:$G$1305,7,0)</f>
        <v>0</v>
      </c>
      <c r="J712" s="608">
        <f t="shared" si="151"/>
        <v>362000</v>
      </c>
      <c r="K712" s="608">
        <f t="shared" si="151"/>
        <v>0</v>
      </c>
      <c r="L712" s="725">
        <f t="shared" si="151"/>
        <v>0</v>
      </c>
      <c r="M712" s="1127">
        <f t="shared" ref="M712:M717" si="158">IF(F712&gt;0,M$711,0)</f>
        <v>0</v>
      </c>
      <c r="N712" s="727">
        <f t="shared" ref="N712:N717" ca="1" si="159">$F712*N$711</f>
        <v>0</v>
      </c>
    </row>
    <row r="713" spans="1:14" hidden="1">
      <c r="A713" s="696"/>
      <c r="B713" s="226" t="s">
        <v>696</v>
      </c>
      <c r="C713" s="713">
        <f>VLOOKUP($B713,R_DG!$A$7:$G$1305,2,0)</f>
        <v>0</v>
      </c>
      <c r="D713" s="723" t="str">
        <f>VLOOKUP($B713,R_DG!$A$7:$G$1305,3,0)</f>
        <v>Neo xòe 8 hướng (dày 3,2mm)</v>
      </c>
      <c r="E713" s="714" t="str">
        <f>VLOOKUP($B713,R_DG!$A$7:$G$1305,4,0)</f>
        <v>cái</v>
      </c>
      <c r="F713" s="724">
        <v>1</v>
      </c>
      <c r="G713" s="608">
        <f>VLOOKUP($B713,R_DG!$A$7:$G$1305,5,0)</f>
        <v>83000</v>
      </c>
      <c r="H713" s="608">
        <f>VLOOKUP($B713,R_DG!$A$7:$G$1305,6,0)</f>
        <v>0</v>
      </c>
      <c r="I713" s="608">
        <f>VLOOKUP($B713,R_DG!$A$7:$G$1305,7,0)</f>
        <v>0</v>
      </c>
      <c r="J713" s="608">
        <f t="shared" si="151"/>
        <v>83000</v>
      </c>
      <c r="K713" s="608">
        <f t="shared" si="151"/>
        <v>0</v>
      </c>
      <c r="L713" s="725">
        <f t="shared" si="151"/>
        <v>0</v>
      </c>
      <c r="M713" s="1127">
        <f t="shared" si="158"/>
        <v>0</v>
      </c>
      <c r="N713" s="727">
        <f t="shared" ca="1" si="159"/>
        <v>0</v>
      </c>
    </row>
    <row r="714" spans="1:14" ht="15.75" hidden="1">
      <c r="A714" s="696"/>
      <c r="B714" s="226" t="s">
        <v>484</v>
      </c>
      <c r="C714" s="713" t="str">
        <f>VLOOKUP($B714,R_DG!$A$7:$G$1305,2,0)</f>
        <v>04.9001</v>
      </c>
      <c r="D714" s="723" t="str">
        <f>VLOOKUP($B714,R_DG!$A$7:$G$1305,3,0)</f>
        <v>Bitum</v>
      </c>
      <c r="E714" s="714" t="str">
        <f>VLOOKUP($B714,R_DG!$A$7:$G$1305,4,0)</f>
        <v>m2</v>
      </c>
      <c r="F714" s="724"/>
      <c r="G714" s="608">
        <f>VLOOKUP($B714,R_DG!$A$7:$G$1305,5,0)</f>
        <v>5849</v>
      </c>
      <c r="H714" s="608">
        <f>VLOOKUP($B714,R_DG!$A$7:$G$1305,6,0)</f>
        <v>0</v>
      </c>
      <c r="I714" s="608">
        <f>VLOOKUP($B714,R_DG!$A$7:$G$1305,7,0)</f>
        <v>0</v>
      </c>
      <c r="J714" s="608">
        <f t="shared" si="151"/>
        <v>0</v>
      </c>
      <c r="K714" s="608">
        <f t="shared" si="151"/>
        <v>0</v>
      </c>
      <c r="L714" s="725">
        <f t="shared" si="151"/>
        <v>0</v>
      </c>
      <c r="M714" s="726">
        <f t="shared" si="158"/>
        <v>0</v>
      </c>
      <c r="N714" s="727">
        <f t="shared" ca="1" si="159"/>
        <v>0</v>
      </c>
    </row>
    <row r="715" spans="1:14" hidden="1">
      <c r="A715" s="696"/>
      <c r="B715" s="226" t="str">
        <f>IF(CAPDAT=1,"MDD1",IF(CAPDAT=2,"MDD2",IF(CAPDAT=3,"MDD3",IF(CAPDAT=4,"MDD4"))))</f>
        <v>MDD3</v>
      </c>
      <c r="C715" s="713" t="str">
        <f>VLOOKUP($B715,R_DG!$A$7:$G$1305,2,0)</f>
        <v>AB.11400</v>
      </c>
      <c r="D715" s="723" t="str">
        <f>VLOOKUP($B715,R_DG!$A$7:$G$1305,3,0)</f>
        <v>Đào hố móng đất cấp 3 sâu &gt;1m, rộng &lt;1m</v>
      </c>
      <c r="E715" s="714" t="str">
        <f>VLOOKUP($B715,R_DG!$A$7:$G$1305,4,0)</f>
        <v>m3</v>
      </c>
      <c r="F715" s="724">
        <v>0.251</v>
      </c>
      <c r="G715" s="608">
        <f>VLOOKUP($B715,R_DG!$A$7:$G$1305,5,0)</f>
        <v>0</v>
      </c>
      <c r="H715" s="608">
        <f>VLOOKUP($B715,R_DG!$A$7:$G$1305,6,0)</f>
        <v>418738.31999999995</v>
      </c>
      <c r="I715" s="608">
        <f>VLOOKUP($B715,R_DG!$A$7:$G$1305,7,0)</f>
        <v>0</v>
      </c>
      <c r="J715" s="608">
        <f t="shared" si="151"/>
        <v>0</v>
      </c>
      <c r="K715" s="608">
        <f t="shared" si="151"/>
        <v>105103.31831999999</v>
      </c>
      <c r="L715" s="725">
        <f t="shared" si="151"/>
        <v>0</v>
      </c>
      <c r="M715" s="1127">
        <f t="shared" si="158"/>
        <v>0</v>
      </c>
      <c r="N715" s="727">
        <f t="shared" ca="1" si="159"/>
        <v>0</v>
      </c>
    </row>
    <row r="716" spans="1:14" hidden="1">
      <c r="A716" s="696"/>
      <c r="B716" s="226" t="str">
        <f>IF(CAPDAT=1,"MDAP1",IF(CAPDAT=2,"MDAP2",IF(CAPDAT=3,"MDAP3",IF(CAPDAT=4,"MDAP4"))))</f>
        <v>MDAP3</v>
      </c>
      <c r="C716" s="713" t="str">
        <f>VLOOKUP($B716,R_DG!$A$7:$G$1305,2,0)</f>
        <v>AB.13000</v>
      </c>
      <c r="D716" s="723" t="str">
        <f>VLOOKUP($B716,R_DG!$A$7:$G$1305,3,0)</f>
        <v>Đắp đất hố móng, đất cấp 3, k = 0,85</v>
      </c>
      <c r="E716" s="714" t="str">
        <f>VLOOKUP($B716,R_DG!$A$7:$G$1305,4,0)</f>
        <v>m3</v>
      </c>
      <c r="F716" s="724">
        <v>0.251</v>
      </c>
      <c r="G716" s="608">
        <f>VLOOKUP($B716,R_DG!$A$7:$G$1305,5,0)</f>
        <v>0</v>
      </c>
      <c r="H716" s="608">
        <f>VLOOKUP($B716,R_DG!$A$7:$G$1305,6,0)</f>
        <v>100210.88</v>
      </c>
      <c r="I716" s="608">
        <f>VLOOKUP($B716,R_DG!$A$7:$G$1305,7,0)</f>
        <v>0</v>
      </c>
      <c r="J716" s="608">
        <f t="shared" si="151"/>
        <v>0</v>
      </c>
      <c r="K716" s="608">
        <f t="shared" si="151"/>
        <v>25152.93088</v>
      </c>
      <c r="L716" s="725">
        <f t="shared" si="151"/>
        <v>0</v>
      </c>
      <c r="M716" s="1127">
        <f t="shared" si="158"/>
        <v>0</v>
      </c>
      <c r="N716" s="727">
        <f t="shared" ca="1" si="159"/>
        <v>0</v>
      </c>
    </row>
    <row r="717" spans="1:14" ht="15.75" hidden="1">
      <c r="A717" s="696"/>
      <c r="B717" s="226" t="s">
        <v>2152</v>
      </c>
      <c r="C717" s="713" t="str">
        <f>VLOOKUP($B717,R_DG!$A$7:$G$1305,2,0)</f>
        <v>02.1123</v>
      </c>
      <c r="D717" s="723" t="str">
        <f>VLOOKUP($B717,R_DG!$A$7:$G$1305,3,0)</f>
        <v>Bốc dỡ đà cản, đế néo</v>
      </c>
      <c r="E717" s="714" t="str">
        <f>VLOOKUP($B717,R_DG!$A$7:$G$1305,4,0)</f>
        <v>tấn</v>
      </c>
      <c r="F717" s="724"/>
      <c r="G717" s="608">
        <f>VLOOKUP($B717,R_DG!$A$7:$G$1305,5,0)</f>
        <v>0</v>
      </c>
      <c r="H717" s="608">
        <f>VLOOKUP($B717,R_DG!$A$7:$G$1305,6,0)</f>
        <v>0</v>
      </c>
      <c r="I717" s="608">
        <f>VLOOKUP($B717,R_DG!$A$7:$G$1305,7,0)</f>
        <v>0</v>
      </c>
      <c r="J717" s="608">
        <f t="shared" si="151"/>
        <v>0</v>
      </c>
      <c r="K717" s="608">
        <f t="shared" si="151"/>
        <v>0</v>
      </c>
      <c r="L717" s="725">
        <f t="shared" si="151"/>
        <v>0</v>
      </c>
      <c r="M717" s="726">
        <f t="shared" si="158"/>
        <v>0</v>
      </c>
      <c r="N717" s="727">
        <f t="shared" ca="1" si="159"/>
        <v>0</v>
      </c>
    </row>
    <row r="718" spans="1:14" ht="15.75">
      <c r="A718" s="743" t="s">
        <v>2333</v>
      </c>
      <c r="B718" s="744"/>
      <c r="C718" s="717"/>
      <c r="D718" s="718" t="s">
        <v>2332</v>
      </c>
      <c r="E718" s="718" t="s">
        <v>163</v>
      </c>
      <c r="F718" s="745"/>
      <c r="G718" s="720"/>
      <c r="H718" s="720"/>
      <c r="I718" s="720"/>
      <c r="J718" s="720" t="e">
        <f>SUM(J719:J720)</f>
        <v>#REF!</v>
      </c>
      <c r="K718" s="720">
        <f>SUM(K719:K720)</f>
        <v>0</v>
      </c>
      <c r="L718" s="721">
        <f>SUM(L719:L720)</f>
        <v>0</v>
      </c>
      <c r="M718" s="693">
        <f>IF(ERROR.TYPE(IF(HLOOKUP(A718,maBK,1,0)&lt;&gt;"",#NULL!,"ABC"))&lt;&gt;7,1,0)</f>
        <v>0</v>
      </c>
      <c r="N718" s="712">
        <f ca="1">SUMIF(maBK,$A718,tongBK1)</f>
        <v>0</v>
      </c>
    </row>
    <row r="719" spans="1:14" ht="15.75" hidden="1">
      <c r="A719" s="696"/>
      <c r="B719" s="226" t="s">
        <v>622</v>
      </c>
      <c r="C719" s="713">
        <f>VLOOKUP($B719,R_DG!$A$7:$G$1305,2,0)</f>
        <v>0</v>
      </c>
      <c r="D719" s="723" t="str">
        <f>VLOOKUP($B719,R_DG!$A$7:$G$1305,3,0)</f>
        <v>Uclevis</v>
      </c>
      <c r="E719" s="714" t="str">
        <f>VLOOKUP($B719,R_DG!$A$7:$G$1305,4,0)</f>
        <v>bộ</v>
      </c>
      <c r="F719" s="724">
        <v>1</v>
      </c>
      <c r="G719" s="608">
        <f>VLOOKUP($B719,R_DG!$A$7:$G$1305,5,0)</f>
        <v>17000</v>
      </c>
      <c r="H719" s="608">
        <f>VLOOKUP($B719,R_DG!$A$7:$G$1305,6,0)</f>
        <v>0</v>
      </c>
      <c r="I719" s="608">
        <f>VLOOKUP($B719,R_DG!$A$7:$G$1305,7,0)</f>
        <v>0</v>
      </c>
      <c r="J719" s="608">
        <f t="shared" ref="J719:L720" si="160">G719*$F719</f>
        <v>17000</v>
      </c>
      <c r="K719" s="608">
        <f t="shared" si="160"/>
        <v>0</v>
      </c>
      <c r="L719" s="725">
        <f t="shared" si="160"/>
        <v>0</v>
      </c>
      <c r="M719" s="726">
        <f>IF(F719&gt;0,M$718,0)</f>
        <v>0</v>
      </c>
      <c r="N719" s="727">
        <f ca="1">$F719*N$718</f>
        <v>0</v>
      </c>
    </row>
    <row r="720" spans="1:14" ht="15.75" hidden="1">
      <c r="A720" s="696"/>
      <c r="B720" s="226" t="s">
        <v>86</v>
      </c>
      <c r="C720" s="713">
        <f>VLOOKUP($B720,R_DG!$A$7:$G$1305,2,0)</f>
        <v>0</v>
      </c>
      <c r="D720" s="723" t="str">
        <f>VLOOKUP($B720,R_DG!$A$7:$G$1305,3,0)</f>
        <v>Boulon 16x300+ 2 long đền vuông D18-50x50x3/Zn</v>
      </c>
      <c r="E720" s="714" t="str">
        <f>VLOOKUP($B720,R_DG!$A$7:$G$1305,4,0)</f>
        <v>bộ</v>
      </c>
      <c r="F720" s="724">
        <v>1</v>
      </c>
      <c r="G720" s="608" t="e">
        <f>VLOOKUP($B720,R_DG!$A$7:$G$1305,5,0)</f>
        <v>#REF!</v>
      </c>
      <c r="H720" s="608">
        <f>VLOOKUP($B720,R_DG!$A$7:$G$1305,6,0)</f>
        <v>0</v>
      </c>
      <c r="I720" s="608">
        <f>VLOOKUP($B720,R_DG!$A$7:$G$1305,7,0)</f>
        <v>0</v>
      </c>
      <c r="J720" s="608" t="e">
        <f t="shared" si="160"/>
        <v>#REF!</v>
      </c>
      <c r="K720" s="608">
        <f t="shared" si="160"/>
        <v>0</v>
      </c>
      <c r="L720" s="725">
        <f t="shared" si="160"/>
        <v>0</v>
      </c>
      <c r="M720" s="726">
        <f>IF(F720&gt;0,M$718,0)</f>
        <v>0</v>
      </c>
      <c r="N720" s="727">
        <f ca="1">$F720*N$718</f>
        <v>0</v>
      </c>
    </row>
    <row r="721" spans="1:14" ht="15.75">
      <c r="A721" s="743" t="s">
        <v>2283</v>
      </c>
      <c r="B721" s="744"/>
      <c r="C721" s="717"/>
      <c r="D721" s="718" t="s">
        <v>2334</v>
      </c>
      <c r="E721" s="718" t="s">
        <v>163</v>
      </c>
      <c r="F721" s="719"/>
      <c r="G721" s="720"/>
      <c r="H721" s="720"/>
      <c r="I721" s="720"/>
      <c r="J721" s="720">
        <f>SUM(J722:J725)</f>
        <v>161900</v>
      </c>
      <c r="K721" s="720">
        <f>SUM(K722:K725)</f>
        <v>259648.56000000003</v>
      </c>
      <c r="L721" s="721">
        <f>SUM(L722:L725)</f>
        <v>4712.5600000000004</v>
      </c>
      <c r="M721" s="693">
        <f>IF(ERROR.TYPE(IF(HLOOKUP(A721,maBK,1,0)&lt;&gt;"",#NULL!,"ABC"))&lt;&gt;7,1,0)</f>
        <v>0</v>
      </c>
      <c r="N721" s="712">
        <f ca="1">SUMIF(maBK,$A721,tongBK1)</f>
        <v>0</v>
      </c>
    </row>
    <row r="722" spans="1:14" ht="15.75" hidden="1">
      <c r="A722" s="696"/>
      <c r="B722" s="746" t="s">
        <v>2284</v>
      </c>
      <c r="C722" s="713">
        <f>VLOOKUP($B722,R_DG!$A$7:$G$1305,2,0)</f>
        <v>0</v>
      </c>
      <c r="D722" s="723" t="str">
        <f>VLOOKUP($B722,R_DG!$A$7:$G$1305,3,0)</f>
        <v>Khóa néo dây cỡ dây 50 (5U)</v>
      </c>
      <c r="E722" s="714" t="str">
        <f>VLOOKUP($B722,R_DG!$A$7:$G$1305,4,0)</f>
        <v>cái</v>
      </c>
      <c r="F722" s="724">
        <v>1</v>
      </c>
      <c r="G722" s="608">
        <f>VLOOKUP($B722,R_DG!$A$7:$G$1305,5,0)</f>
        <v>62700</v>
      </c>
      <c r="H722" s="608">
        <f>VLOOKUP($B722,R_DG!$A$7:$G$1305,6,0)</f>
        <v>0</v>
      </c>
      <c r="I722" s="608">
        <f>VLOOKUP($B722,R_DG!$A$7:$G$1305,7,0)</f>
        <v>0</v>
      </c>
      <c r="J722" s="608">
        <f t="shared" ref="J722:L725" si="161">G722*$F722</f>
        <v>62700</v>
      </c>
      <c r="K722" s="608">
        <f t="shared" si="161"/>
        <v>0</v>
      </c>
      <c r="L722" s="725">
        <f t="shared" si="161"/>
        <v>0</v>
      </c>
      <c r="M722" s="726">
        <f>IF(F722&gt;0,M$721,0)</f>
        <v>0</v>
      </c>
      <c r="N722" s="727">
        <f ca="1">$F722*N$721</f>
        <v>0</v>
      </c>
    </row>
    <row r="723" spans="1:14" ht="15.75" hidden="1">
      <c r="A723" s="696"/>
      <c r="B723" s="226" t="s">
        <v>582</v>
      </c>
      <c r="C723" s="713">
        <f>VLOOKUP($B723,R_DG!$A$7:$G$1305,2,0)</f>
        <v>0</v>
      </c>
      <c r="D723" s="723" t="str">
        <f>VLOOKUP($B723,R_DG!$A$7:$G$1305,3,0)</f>
        <v xml:space="preserve">Móc treo chữ U </v>
      </c>
      <c r="E723" s="714" t="str">
        <f>VLOOKUP($B723,R_DG!$A$7:$G$1305,4,0)</f>
        <v>cái</v>
      </c>
      <c r="F723" s="724">
        <v>2</v>
      </c>
      <c r="G723" s="608">
        <f>VLOOKUP($B723,R_DG!$A$7:$G$1305,5,0)</f>
        <v>28000</v>
      </c>
      <c r="H723" s="608">
        <f>VLOOKUP($B723,R_DG!$A$7:$G$1305,6,0)</f>
        <v>0</v>
      </c>
      <c r="I723" s="608">
        <f>VLOOKUP($B723,R_DG!$A$7:$G$1305,7,0)</f>
        <v>0</v>
      </c>
      <c r="J723" s="608">
        <f t="shared" si="161"/>
        <v>56000</v>
      </c>
      <c r="K723" s="608">
        <f t="shared" si="161"/>
        <v>0</v>
      </c>
      <c r="L723" s="725">
        <f t="shared" si="161"/>
        <v>0</v>
      </c>
      <c r="M723" s="726">
        <f>IF(F723&gt;0,M$721,0)</f>
        <v>0</v>
      </c>
      <c r="N723" s="727">
        <f ca="1">$F723*N$721</f>
        <v>0</v>
      </c>
    </row>
    <row r="724" spans="1:14" ht="15.75" hidden="1">
      <c r="A724" s="696"/>
      <c r="B724" s="226" t="s">
        <v>144</v>
      </c>
      <c r="C724" s="713">
        <f>VLOOKUP($B724,R_DG!$A$7:$G$1305,2,0)</f>
        <v>0</v>
      </c>
      <c r="D724" s="723" t="str">
        <f>VLOOKUP($B724,R_DG!$A$7:$G$1305,3,0)</f>
        <v>Boulon mắt 16x300+ 2 long đền vuông D18-50x50x3/Zn</v>
      </c>
      <c r="E724" s="714" t="str">
        <f>VLOOKUP($B724,R_DG!$A$7:$G$1305,4,0)</f>
        <v>bộ</v>
      </c>
      <c r="F724" s="724">
        <v>1</v>
      </c>
      <c r="G724" s="608">
        <f>VLOOKUP($B724,R_DG!$A$7:$G$1305,5,0)</f>
        <v>30200</v>
      </c>
      <c r="H724" s="608">
        <f>VLOOKUP($B724,R_DG!$A$7:$G$1305,6,0)</f>
        <v>0</v>
      </c>
      <c r="I724" s="608">
        <f>VLOOKUP($B724,R_DG!$A$7:$G$1305,7,0)</f>
        <v>0</v>
      </c>
      <c r="J724" s="608">
        <f t="shared" si="161"/>
        <v>30200</v>
      </c>
      <c r="K724" s="608">
        <f t="shared" si="161"/>
        <v>0</v>
      </c>
      <c r="L724" s="725">
        <f t="shared" si="161"/>
        <v>0</v>
      </c>
      <c r="M724" s="726">
        <f>IF(F724&gt;0,M$721,0)</f>
        <v>0</v>
      </c>
      <c r="N724" s="727">
        <f ca="1">$F724*N$721</f>
        <v>0</v>
      </c>
    </row>
    <row r="725" spans="1:14" ht="15.75" hidden="1">
      <c r="A725" s="696"/>
      <c r="B725" s="226" t="s">
        <v>500</v>
      </c>
      <c r="C725" s="713" t="str">
        <f>VLOOKUP($B725,R_DG!$A$7:$G$1305,2,0)</f>
        <v>D3.4011</v>
      </c>
      <c r="D725" s="723" t="str">
        <f>VLOOKUP($B725,R_DG!$A$7:$G$1305,3,0)</f>
        <v>Kẹp ép WR cỡ dây 50mm2</v>
      </c>
      <c r="E725" s="714" t="str">
        <f>VLOOKUP($B725,R_DG!$A$7:$G$1305,4,0)</f>
        <v>cái</v>
      </c>
      <c r="F725" s="724">
        <v>1</v>
      </c>
      <c r="G725" s="608">
        <f>VLOOKUP($B725,R_DG!$A$7:$G$1305,5,0)</f>
        <v>13000</v>
      </c>
      <c r="H725" s="608">
        <f>VLOOKUP($B725,R_DG!$A$7:$G$1305,6,0)</f>
        <v>259648.56000000003</v>
      </c>
      <c r="I725" s="608">
        <f>VLOOKUP($B725,R_DG!$A$7:$G$1305,7,0)</f>
        <v>4712.5600000000004</v>
      </c>
      <c r="J725" s="608">
        <f t="shared" si="161"/>
        <v>13000</v>
      </c>
      <c r="K725" s="608">
        <f t="shared" si="161"/>
        <v>259648.56000000003</v>
      </c>
      <c r="L725" s="725">
        <f t="shared" si="161"/>
        <v>4712.5600000000004</v>
      </c>
      <c r="M725" s="726">
        <f>IF(F725&gt;0,M$721,0)</f>
        <v>0</v>
      </c>
      <c r="N725" s="727">
        <f ca="1">$F725*N$721</f>
        <v>0</v>
      </c>
    </row>
    <row r="726" spans="1:14" ht="15.75">
      <c r="A726" s="743" t="s">
        <v>2285</v>
      </c>
      <c r="B726" s="695"/>
      <c r="C726" s="717"/>
      <c r="D726" s="718" t="s">
        <v>2337</v>
      </c>
      <c r="E726" s="718" t="s">
        <v>163</v>
      </c>
      <c r="F726" s="745"/>
      <c r="G726" s="720"/>
      <c r="H726" s="720"/>
      <c r="I726" s="720"/>
      <c r="J726" s="720">
        <f>SUM(J727:J728)</f>
        <v>241000</v>
      </c>
      <c r="K726" s="720">
        <f>SUM(K727:K728)</f>
        <v>55458.14</v>
      </c>
      <c r="L726" s="721">
        <f>SUM(L727:L728)</f>
        <v>0</v>
      </c>
      <c r="M726" s="693">
        <v>1</v>
      </c>
      <c r="N726" s="712">
        <f ca="1">SUMIF(maBK,$A726,tongBK1)</f>
        <v>0</v>
      </c>
    </row>
    <row r="727" spans="1:14" ht="15.75" hidden="1">
      <c r="A727" s="696"/>
      <c r="B727" s="226" t="s">
        <v>626</v>
      </c>
      <c r="C727" s="713" t="str">
        <f>VLOOKUP($B727,R_DG!$A$7:$G$1305,2,0)</f>
        <v>D3.1122</v>
      </c>
      <c r="D727" s="723" t="str">
        <f>VLOOKUP($B727,R_DG!$A$7:$G$1305,3,0)</f>
        <v xml:space="preserve">Sứ đứng 24KV </v>
      </c>
      <c r="E727" s="714" t="str">
        <f>VLOOKUP($B727,R_DG!$A$7:$G$1305,4,0)</f>
        <v>cái</v>
      </c>
      <c r="F727" s="724">
        <v>1</v>
      </c>
      <c r="G727" s="608">
        <f>VLOOKUP($B727,R_DG!$A$7:$G$1305,5,0)</f>
        <v>185000</v>
      </c>
      <c r="H727" s="608">
        <f>VLOOKUP($B727,R_DG!$A$7:$G$1305,6,0)</f>
        <v>55458.14</v>
      </c>
      <c r="I727" s="608">
        <f>VLOOKUP($B727,R_DG!$A$7:$G$1305,7,0)</f>
        <v>0</v>
      </c>
      <c r="J727" s="608">
        <f t="shared" ref="J727:L728" si="162">G727*$F727</f>
        <v>185000</v>
      </c>
      <c r="K727" s="608">
        <f t="shared" si="162"/>
        <v>55458.14</v>
      </c>
      <c r="L727" s="725">
        <f t="shared" si="162"/>
        <v>0</v>
      </c>
      <c r="M727" s="726">
        <f>IF(F727&gt;0,M$726,0)</f>
        <v>1</v>
      </c>
      <c r="N727" s="727">
        <f ca="1">$F727*N$726</f>
        <v>0</v>
      </c>
    </row>
    <row r="728" spans="1:14" ht="15.75" hidden="1">
      <c r="A728" s="696"/>
      <c r="B728" s="226" t="s">
        <v>384</v>
      </c>
      <c r="C728" s="713">
        <f>VLOOKUP($B728,R_DG!$A$7:$G$1305,2,0)</f>
        <v>0</v>
      </c>
      <c r="D728" s="723" t="str">
        <f>VLOOKUP($B728,R_DG!$A$7:$G$1305,3,0)</f>
        <v>Chân sứ đứng D20</v>
      </c>
      <c r="E728" s="714" t="str">
        <f>VLOOKUP($B728,R_DG!$A$7:$G$1305,4,0)</f>
        <v>cái</v>
      </c>
      <c r="F728" s="724">
        <v>1</v>
      </c>
      <c r="G728" s="608">
        <f>VLOOKUP($B728,R_DG!$A$7:$G$1305,5,0)</f>
        <v>56000</v>
      </c>
      <c r="H728" s="608">
        <f>VLOOKUP($B728,R_DG!$A$7:$G$1305,6,0)</f>
        <v>0</v>
      </c>
      <c r="I728" s="608">
        <f>VLOOKUP($B728,R_DG!$A$7:$G$1305,7,0)</f>
        <v>0</v>
      </c>
      <c r="J728" s="608">
        <f t="shared" si="162"/>
        <v>56000</v>
      </c>
      <c r="K728" s="608">
        <f t="shared" si="162"/>
        <v>0</v>
      </c>
      <c r="L728" s="725">
        <f t="shared" si="162"/>
        <v>0</v>
      </c>
      <c r="M728" s="726">
        <f>IF(F728&gt;0,M$726,0)</f>
        <v>1</v>
      </c>
      <c r="N728" s="727">
        <f ca="1">$F728*N$726</f>
        <v>0</v>
      </c>
    </row>
    <row r="729" spans="1:14" ht="15.75">
      <c r="A729" s="743" t="s">
        <v>2286</v>
      </c>
      <c r="B729" s="695"/>
      <c r="C729" s="717"/>
      <c r="D729" s="718" t="s">
        <v>2336</v>
      </c>
      <c r="E729" s="718" t="s">
        <v>163</v>
      </c>
      <c r="F729" s="745"/>
      <c r="G729" s="720"/>
      <c r="H729" s="720"/>
      <c r="I729" s="720"/>
      <c r="J729" s="720" t="e">
        <f>SUM(J730:J732)</f>
        <v>#REF!</v>
      </c>
      <c r="K729" s="720">
        <f>SUM(K730:K732)</f>
        <v>55458.14</v>
      </c>
      <c r="L729" s="721">
        <f>SUM(L730:L732)</f>
        <v>0</v>
      </c>
      <c r="M729" s="693">
        <f>IF(ERROR.TYPE(IF(HLOOKUP(A729,maBK,1,0)&lt;&gt;"",#NULL!,"ABC"))&lt;&gt;7,1,0)</f>
        <v>0</v>
      </c>
      <c r="N729" s="712">
        <f ca="1">SUMIF(maBK,$A729,tongBK1)</f>
        <v>0</v>
      </c>
    </row>
    <row r="730" spans="1:14" ht="15.75" hidden="1">
      <c r="A730" s="696"/>
      <c r="B730" s="226" t="s">
        <v>626</v>
      </c>
      <c r="C730" s="713" t="str">
        <f>VLOOKUP($B730,R_DG!$A$7:$G$1305,2,0)</f>
        <v>D3.1122</v>
      </c>
      <c r="D730" s="723" t="str">
        <f>VLOOKUP($B730,R_DG!$A$7:$G$1305,3,0)</f>
        <v xml:space="preserve">Sứ đứng 24KV </v>
      </c>
      <c r="E730" s="714" t="str">
        <f>VLOOKUP($B730,R_DG!$A$7:$G$1305,4,0)</f>
        <v>cái</v>
      </c>
      <c r="F730" s="724">
        <v>1</v>
      </c>
      <c r="G730" s="608">
        <f>VLOOKUP($B730,R_DG!$A$7:$G$1305,5,0)</f>
        <v>185000</v>
      </c>
      <c r="H730" s="608">
        <f>VLOOKUP($B730,R_DG!$A$7:$G$1305,6,0)</f>
        <v>55458.14</v>
      </c>
      <c r="I730" s="608">
        <f>VLOOKUP($B730,R_DG!$A$7:$G$1305,7,0)</f>
        <v>0</v>
      </c>
      <c r="J730" s="608">
        <f t="shared" ref="J730:L732" si="163">G730*$F730</f>
        <v>185000</v>
      </c>
      <c r="K730" s="608">
        <f t="shared" si="163"/>
        <v>55458.14</v>
      </c>
      <c r="L730" s="725">
        <f t="shared" si="163"/>
        <v>0</v>
      </c>
      <c r="M730" s="726">
        <f>IF(F730&gt;0,M$729,0)</f>
        <v>0</v>
      </c>
      <c r="N730" s="727">
        <f ca="1">$F730*N$729</f>
        <v>0</v>
      </c>
    </row>
    <row r="731" spans="1:14" ht="15.75" hidden="1">
      <c r="A731" s="696"/>
      <c r="B731" s="226" t="s">
        <v>382</v>
      </c>
      <c r="C731" s="713">
        <f>VLOOKUP($B731,R_DG!$A$7:$G$1305,2,0)</f>
        <v>0</v>
      </c>
      <c r="D731" s="723" t="str">
        <f>VLOOKUP($B731,R_DG!$A$7:$G$1305,3,0)</f>
        <v>Chân sứ đỉnh thẳng dài 870x4mm</v>
      </c>
      <c r="E731" s="714" t="str">
        <f>VLOOKUP($B731,R_DG!$A$7:$G$1305,4,0)</f>
        <v>cái</v>
      </c>
      <c r="F731" s="724">
        <v>1</v>
      </c>
      <c r="G731" s="608">
        <f>VLOOKUP($B731,R_DG!$A$7:$G$1305,5,0)</f>
        <v>118000</v>
      </c>
      <c r="H731" s="608">
        <f>VLOOKUP($B731,R_DG!$A$7:$G$1305,6,0)</f>
        <v>0</v>
      </c>
      <c r="I731" s="608">
        <f>VLOOKUP($B731,R_DG!$A$7:$G$1305,7,0)</f>
        <v>0</v>
      </c>
      <c r="J731" s="608">
        <f t="shared" si="163"/>
        <v>118000</v>
      </c>
      <c r="K731" s="608">
        <f t="shared" si="163"/>
        <v>0</v>
      </c>
      <c r="L731" s="725">
        <f t="shared" si="163"/>
        <v>0</v>
      </c>
      <c r="M731" s="726">
        <f>IF(F731&gt;0,M$729,0)</f>
        <v>0</v>
      </c>
      <c r="N731" s="727">
        <f ca="1">$F731*N$729</f>
        <v>0</v>
      </c>
    </row>
    <row r="732" spans="1:14" ht="15.75" hidden="1">
      <c r="A732" s="696"/>
      <c r="B732" s="226" t="s">
        <v>86</v>
      </c>
      <c r="C732" s="713">
        <f>VLOOKUP($B732,R_DG!$A$7:$G$1305,2,0)</f>
        <v>0</v>
      </c>
      <c r="D732" s="723" t="str">
        <f>VLOOKUP($B732,R_DG!$A$7:$G$1305,3,0)</f>
        <v>Boulon 16x300+ 2 long đền vuông D18-50x50x3/Zn</v>
      </c>
      <c r="E732" s="714" t="str">
        <f>VLOOKUP($B732,R_DG!$A$7:$G$1305,4,0)</f>
        <v>bộ</v>
      </c>
      <c r="F732" s="724">
        <v>2</v>
      </c>
      <c r="G732" s="608" t="e">
        <f>VLOOKUP($B732,R_DG!$A$7:$G$1305,5,0)</f>
        <v>#REF!</v>
      </c>
      <c r="H732" s="608">
        <f>VLOOKUP($B732,R_DG!$A$7:$G$1305,6,0)</f>
        <v>0</v>
      </c>
      <c r="I732" s="608">
        <f>VLOOKUP($B732,R_DG!$A$7:$G$1305,7,0)</f>
        <v>0</v>
      </c>
      <c r="J732" s="608" t="e">
        <f t="shared" si="163"/>
        <v>#REF!</v>
      </c>
      <c r="K732" s="608">
        <f t="shared" si="163"/>
        <v>0</v>
      </c>
      <c r="L732" s="725">
        <f t="shared" si="163"/>
        <v>0</v>
      </c>
      <c r="M732" s="726">
        <f>IF(F732&gt;0,M$729,0)</f>
        <v>0</v>
      </c>
      <c r="N732" s="727">
        <f ca="1">$F732*N$729</f>
        <v>0</v>
      </c>
    </row>
    <row r="733" spans="1:14" ht="15.75">
      <c r="A733" s="743" t="s">
        <v>2287</v>
      </c>
      <c r="B733" s="695"/>
      <c r="C733" s="717"/>
      <c r="D733" s="718" t="s">
        <v>2335</v>
      </c>
      <c r="E733" s="718" t="s">
        <v>163</v>
      </c>
      <c r="F733" s="745"/>
      <c r="G733" s="720"/>
      <c r="H733" s="720"/>
      <c r="I733" s="720"/>
      <c r="J733" s="720" t="e">
        <f>SUM(J734:J736)</f>
        <v>#REF!</v>
      </c>
      <c r="K733" s="720">
        <f>SUM(K734:K736)</f>
        <v>110916.28</v>
      </c>
      <c r="L733" s="721">
        <f>SUM(L734:L736)</f>
        <v>0</v>
      </c>
      <c r="M733" s="693">
        <f>IF(ERROR.TYPE(IF(HLOOKUP(A733,maBK,1,0)&lt;&gt;"",#NULL!,"ABC"))&lt;&gt;7,1,0)</f>
        <v>0</v>
      </c>
      <c r="N733" s="712">
        <f ca="1">SUMIF(maBK,$A733,tongBK1)</f>
        <v>0</v>
      </c>
    </row>
    <row r="734" spans="1:14" ht="15.75" hidden="1">
      <c r="A734" s="731"/>
      <c r="B734" s="226" t="s">
        <v>626</v>
      </c>
      <c r="C734" s="713" t="str">
        <f>VLOOKUP($B734,R_DG!$A$7:$G$1305,2,0)</f>
        <v>D3.1122</v>
      </c>
      <c r="D734" s="723" t="str">
        <f>VLOOKUP($B734,R_DG!$A$7:$G$1305,3,0)</f>
        <v xml:space="preserve">Sứ đứng 24KV </v>
      </c>
      <c r="E734" s="714" t="str">
        <f>VLOOKUP($B734,R_DG!$A$7:$G$1305,4,0)</f>
        <v>cái</v>
      </c>
      <c r="F734" s="734">
        <v>2</v>
      </c>
      <c r="G734" s="608">
        <f>VLOOKUP($B734,R_DG!$A$7:$G$1305,5,0)</f>
        <v>185000</v>
      </c>
      <c r="H734" s="608">
        <f>VLOOKUP($B734,R_DG!$A$7:$G$1305,6,0)</f>
        <v>55458.14</v>
      </c>
      <c r="I734" s="608">
        <f>VLOOKUP($B734,R_DG!$A$7:$G$1305,7,0)</f>
        <v>0</v>
      </c>
      <c r="J734" s="608">
        <f t="shared" ref="J734:L736" si="164">G734*$F734</f>
        <v>370000</v>
      </c>
      <c r="K734" s="608">
        <f t="shared" si="164"/>
        <v>110916.28</v>
      </c>
      <c r="L734" s="725">
        <f t="shared" si="164"/>
        <v>0</v>
      </c>
      <c r="M734" s="726">
        <f>IF(F734&gt;0,M$733,0)</f>
        <v>0</v>
      </c>
      <c r="N734" s="727">
        <f ca="1">$F734*N$733</f>
        <v>0</v>
      </c>
    </row>
    <row r="735" spans="1:14" ht="15.75" hidden="1">
      <c r="A735" s="731"/>
      <c r="B735" s="226" t="s">
        <v>383</v>
      </c>
      <c r="C735" s="713">
        <f>VLOOKUP($B735,R_DG!$A$7:$G$1305,2,0)</f>
        <v>0</v>
      </c>
      <c r="D735" s="723" t="str">
        <f>VLOOKUP($B735,R_DG!$A$7:$G$1305,3,0)</f>
        <v>Chân sứ đỉnh đỡ góc dài 870x4mm</v>
      </c>
      <c r="E735" s="714" t="str">
        <f>VLOOKUP($B735,R_DG!$A$7:$G$1305,4,0)</f>
        <v>cái</v>
      </c>
      <c r="F735" s="734">
        <v>2</v>
      </c>
      <c r="G735" s="608">
        <f>VLOOKUP($B735,R_DG!$A$7:$G$1305,5,0)</f>
        <v>120000</v>
      </c>
      <c r="H735" s="608">
        <f>VLOOKUP($B735,R_DG!$A$7:$G$1305,6,0)</f>
        <v>0</v>
      </c>
      <c r="I735" s="608">
        <f>VLOOKUP($B735,R_DG!$A$7:$G$1305,7,0)</f>
        <v>0</v>
      </c>
      <c r="J735" s="608">
        <f t="shared" si="164"/>
        <v>240000</v>
      </c>
      <c r="K735" s="608">
        <f t="shared" si="164"/>
        <v>0</v>
      </c>
      <c r="L735" s="725">
        <f t="shared" si="164"/>
        <v>0</v>
      </c>
      <c r="M735" s="726">
        <f>IF(F735&gt;0,M$733,0)</f>
        <v>0</v>
      </c>
      <c r="N735" s="727">
        <f ca="1">$F735*N$733</f>
        <v>0</v>
      </c>
    </row>
    <row r="736" spans="1:14" ht="15.75" hidden="1">
      <c r="A736" s="731"/>
      <c r="B736" s="226" t="s">
        <v>86</v>
      </c>
      <c r="C736" s="713">
        <f>VLOOKUP($B736,R_DG!$A$7:$G$1305,2,0)</f>
        <v>0</v>
      </c>
      <c r="D736" s="723" t="str">
        <f>VLOOKUP($B736,R_DG!$A$7:$G$1305,3,0)</f>
        <v>Boulon 16x300+ 2 long đền vuông D18-50x50x3/Zn</v>
      </c>
      <c r="E736" s="714" t="str">
        <f>VLOOKUP($B736,R_DG!$A$7:$G$1305,4,0)</f>
        <v>bộ</v>
      </c>
      <c r="F736" s="734">
        <v>2</v>
      </c>
      <c r="G736" s="608" t="e">
        <f>VLOOKUP($B736,R_DG!$A$7:$G$1305,5,0)</f>
        <v>#REF!</v>
      </c>
      <c r="H736" s="608">
        <f>VLOOKUP($B736,R_DG!$A$7:$G$1305,6,0)</f>
        <v>0</v>
      </c>
      <c r="I736" s="608">
        <f>VLOOKUP($B736,R_DG!$A$7:$G$1305,7,0)</f>
        <v>0</v>
      </c>
      <c r="J736" s="608" t="e">
        <f t="shared" si="164"/>
        <v>#REF!</v>
      </c>
      <c r="K736" s="608">
        <f t="shared" si="164"/>
        <v>0</v>
      </c>
      <c r="L736" s="725">
        <f t="shared" si="164"/>
        <v>0</v>
      </c>
      <c r="M736" s="726">
        <f>IF(F736&gt;0,M$733,0)</f>
        <v>0</v>
      </c>
      <c r="N736" s="727">
        <f ca="1">$F736*N$733</f>
        <v>0</v>
      </c>
    </row>
    <row r="737" spans="1:14" ht="15.75">
      <c r="A737" s="743" t="s">
        <v>2288</v>
      </c>
      <c r="B737" s="695"/>
      <c r="C737" s="717"/>
      <c r="D737" s="718" t="s">
        <v>2345</v>
      </c>
      <c r="E737" s="718" t="s">
        <v>163</v>
      </c>
      <c r="F737" s="745"/>
      <c r="G737" s="720"/>
      <c r="H737" s="720"/>
      <c r="I737" s="720"/>
      <c r="J737" s="720">
        <f>SUM(J738:J742)</f>
        <v>278900</v>
      </c>
      <c r="K737" s="720">
        <f>SUM(K738:K742)</f>
        <v>0</v>
      </c>
      <c r="L737" s="721">
        <f>SUM(L738:L742)</f>
        <v>0</v>
      </c>
      <c r="M737" s="693">
        <f>IF(ERROR.TYPE(IF(HLOOKUP(A737,maBK,1,0)&lt;&gt;"",#NULL!,"ABC"))&lt;&gt;7,1,0)</f>
        <v>0</v>
      </c>
      <c r="N737" s="712">
        <f ca="1">SUMIF(maBK,$A737,tongBK1)</f>
        <v>0</v>
      </c>
    </row>
    <row r="738" spans="1:14" ht="15.75" hidden="1">
      <c r="A738" s="696"/>
      <c r="B738" s="226" t="s">
        <v>2289</v>
      </c>
      <c r="C738" s="713">
        <f>VLOOKUP($B738,R_DG!$A$7:$G$1305,2,0)</f>
        <v>0</v>
      </c>
      <c r="D738" s="723" t="str">
        <f>VLOOKUP($B738,R_DG!$A$7:$G$1305,3,0)</f>
        <v>Sứ treo loại 70kN</v>
      </c>
      <c r="E738" s="714" t="str">
        <f>VLOOKUP($B738,R_DG!$A$7:$G$1305,4,0)</f>
        <v>bát</v>
      </c>
      <c r="F738" s="724">
        <v>2</v>
      </c>
      <c r="G738" s="608">
        <f>VLOOKUP($B738,R_DG!$A$7:$G$1305,5,0)</f>
        <v>73500</v>
      </c>
      <c r="H738" s="608">
        <f>VLOOKUP($B738,R_DG!$A$7:$G$1305,6,0)</f>
        <v>0</v>
      </c>
      <c r="I738" s="608">
        <f>VLOOKUP($B738,R_DG!$A$7:$G$1305,7,0)</f>
        <v>0</v>
      </c>
      <c r="J738" s="608">
        <f t="shared" ref="J738:L742" si="165">G738*$F738</f>
        <v>147000</v>
      </c>
      <c r="K738" s="608">
        <f t="shared" si="165"/>
        <v>0</v>
      </c>
      <c r="L738" s="725">
        <f t="shared" si="165"/>
        <v>0</v>
      </c>
      <c r="M738" s="726">
        <f>IF(F738&gt;0,M$737,0)</f>
        <v>0</v>
      </c>
      <c r="N738" s="727">
        <f ca="1">$F738*N$737</f>
        <v>0</v>
      </c>
    </row>
    <row r="739" spans="1:14" ht="15.75" hidden="1">
      <c r="A739" s="696"/>
      <c r="B739" s="226" t="s">
        <v>582</v>
      </c>
      <c r="C739" s="713">
        <f>VLOOKUP($B739,R_DG!$A$7:$G$1305,2,0)</f>
        <v>0</v>
      </c>
      <c r="D739" s="723" t="str">
        <f>VLOOKUP($B739,R_DG!$A$7:$G$1305,3,0)</f>
        <v xml:space="preserve">Móc treo chữ U </v>
      </c>
      <c r="E739" s="714" t="str">
        <f>VLOOKUP($B739,R_DG!$A$7:$G$1305,4,0)</f>
        <v>cái</v>
      </c>
      <c r="F739" s="724">
        <v>2</v>
      </c>
      <c r="G739" s="608">
        <f>VLOOKUP($B739,R_DG!$A$7:$G$1305,5,0)</f>
        <v>28000</v>
      </c>
      <c r="H739" s="608">
        <f>VLOOKUP($B739,R_DG!$A$7:$G$1305,6,0)</f>
        <v>0</v>
      </c>
      <c r="I739" s="608">
        <f>VLOOKUP($B739,R_DG!$A$7:$G$1305,7,0)</f>
        <v>0</v>
      </c>
      <c r="J739" s="608">
        <f t="shared" si="165"/>
        <v>56000</v>
      </c>
      <c r="K739" s="608">
        <f t="shared" si="165"/>
        <v>0</v>
      </c>
      <c r="L739" s="725">
        <f t="shared" si="165"/>
        <v>0</v>
      </c>
      <c r="M739" s="726">
        <f>IF(F739&gt;0,M$737,0)</f>
        <v>0</v>
      </c>
      <c r="N739" s="727">
        <f ca="1">$F739*N$737</f>
        <v>0</v>
      </c>
    </row>
    <row r="740" spans="1:14" ht="15.75" hidden="1">
      <c r="A740" s="696"/>
      <c r="B740" s="226" t="s">
        <v>586</v>
      </c>
      <c r="C740" s="713">
        <f>VLOOKUP($B740,R_DG!$A$7:$G$1305,2,0)</f>
        <v>0</v>
      </c>
      <c r="D740" s="723" t="str">
        <f>VLOOKUP($B740,R_DG!$A$7:$G$1305,3,0)</f>
        <v>Vòng treo đầu tròn</v>
      </c>
      <c r="E740" s="714" t="str">
        <f>VLOOKUP($B740,R_DG!$A$7:$G$1305,4,0)</f>
        <v>cái</v>
      </c>
      <c r="F740" s="724">
        <v>1</v>
      </c>
      <c r="G740" s="608">
        <f>VLOOKUP($B740,R_DG!$A$7:$G$1305,5,0)</f>
        <v>4700</v>
      </c>
      <c r="H740" s="608">
        <f>VLOOKUP($B740,R_DG!$A$7:$G$1305,6,0)</f>
        <v>0</v>
      </c>
      <c r="I740" s="608">
        <f>VLOOKUP($B740,R_DG!$A$7:$G$1305,7,0)</f>
        <v>0</v>
      </c>
      <c r="J740" s="608">
        <f t="shared" si="165"/>
        <v>4700</v>
      </c>
      <c r="K740" s="608">
        <f t="shared" si="165"/>
        <v>0</v>
      </c>
      <c r="L740" s="725">
        <f t="shared" si="165"/>
        <v>0</v>
      </c>
      <c r="M740" s="726">
        <f>IF(F740&gt;0,M$737,0)</f>
        <v>0</v>
      </c>
      <c r="N740" s="727">
        <f ca="1">$F740*N$737</f>
        <v>0</v>
      </c>
    </row>
    <row r="741" spans="1:14" ht="15.75" hidden="1">
      <c r="A741" s="696"/>
      <c r="B741" s="226" t="s">
        <v>578</v>
      </c>
      <c r="C741" s="713">
        <f>VLOOKUP($B741,R_DG!$A$7:$G$1305,2,0)</f>
        <v>0</v>
      </c>
      <c r="D741" s="723" t="str">
        <f>VLOOKUP($B741,R_DG!$A$7:$G$1305,3,0)</f>
        <v>Mắt nối đơn</v>
      </c>
      <c r="E741" s="714" t="str">
        <f>VLOOKUP($B741,R_DG!$A$7:$G$1305,4,0)</f>
        <v>cái</v>
      </c>
      <c r="F741" s="724">
        <v>1</v>
      </c>
      <c r="G741" s="608">
        <f>VLOOKUP($B741,R_DG!$A$7:$G$1305,5,0)</f>
        <v>41000</v>
      </c>
      <c r="H741" s="608">
        <f>VLOOKUP($B741,R_DG!$A$7:$G$1305,6,0)</f>
        <v>0</v>
      </c>
      <c r="I741" s="608">
        <f>VLOOKUP($B741,R_DG!$A$7:$G$1305,7,0)</f>
        <v>0</v>
      </c>
      <c r="J741" s="608">
        <f t="shared" si="165"/>
        <v>41000</v>
      </c>
      <c r="K741" s="608">
        <f t="shared" si="165"/>
        <v>0</v>
      </c>
      <c r="L741" s="725">
        <f t="shared" si="165"/>
        <v>0</v>
      </c>
      <c r="M741" s="726">
        <f>IF(F741&gt;0,M$737,0)</f>
        <v>0</v>
      </c>
      <c r="N741" s="727">
        <f ca="1">$F741*N$737</f>
        <v>0</v>
      </c>
    </row>
    <row r="742" spans="1:14" ht="15.75" hidden="1">
      <c r="A742" s="696"/>
      <c r="B742" s="226" t="s">
        <v>2290</v>
      </c>
      <c r="C742" s="713">
        <f>VLOOKUP($B742,R_DG!$A$7:$G$1305,2,0)</f>
        <v>0</v>
      </c>
      <c r="D742" s="723" t="str">
        <f>VLOOKUP($B742,R_DG!$A$7:$G$1305,3,0)</f>
        <v>Boulon mắt 16x300+ 2 long đền vuông D18-50x50x3/Zn</v>
      </c>
      <c r="E742" s="714" t="str">
        <f>VLOOKUP($B742,R_DG!$A$7:$G$1305,4,0)</f>
        <v>bộ</v>
      </c>
      <c r="F742" s="724">
        <v>1</v>
      </c>
      <c r="G742" s="608">
        <f>VLOOKUP($B742,R_DG!$A$7:$G$1305,5,0)</f>
        <v>30200</v>
      </c>
      <c r="H742" s="608">
        <f>VLOOKUP($B742,R_DG!$A$7:$G$1305,6,0)</f>
        <v>0</v>
      </c>
      <c r="I742" s="608">
        <f>VLOOKUP($B742,R_DG!$A$7:$G$1305,7,0)</f>
        <v>0</v>
      </c>
      <c r="J742" s="608">
        <f t="shared" si="165"/>
        <v>30200</v>
      </c>
      <c r="K742" s="608">
        <f t="shared" si="165"/>
        <v>0</v>
      </c>
      <c r="L742" s="725">
        <f t="shared" si="165"/>
        <v>0</v>
      </c>
      <c r="M742" s="726">
        <f>IF(F742&gt;0,M$737,0)</f>
        <v>0</v>
      </c>
      <c r="N742" s="727">
        <f ca="1">$F742*N$737</f>
        <v>0</v>
      </c>
    </row>
    <row r="743" spans="1:14" ht="15.75">
      <c r="A743" s="743" t="s">
        <v>2291</v>
      </c>
      <c r="B743" s="695"/>
      <c r="C743" s="717"/>
      <c r="D743" s="718" t="s">
        <v>2346</v>
      </c>
      <c r="E743" s="718" t="s">
        <v>163</v>
      </c>
      <c r="F743" s="745"/>
      <c r="G743" s="720"/>
      <c r="H743" s="720"/>
      <c r="I743" s="720"/>
      <c r="J743" s="720">
        <f>SUM(J744:J747)</f>
        <v>134200</v>
      </c>
      <c r="K743" s="720">
        <f>SUM(K744:K747)</f>
        <v>0</v>
      </c>
      <c r="L743" s="721">
        <f>SUM(L744:L747)</f>
        <v>0</v>
      </c>
      <c r="M743" s="693">
        <f>IF(ERROR.TYPE(IF(HLOOKUP(A743,maBK,1,0)&lt;&gt;"",#NULL!,"ABC"))&lt;&gt;7,1,0)</f>
        <v>0</v>
      </c>
      <c r="N743" s="712">
        <f ca="1">SUMIF(maBK,$A743,tongBK1)</f>
        <v>0</v>
      </c>
    </row>
    <row r="744" spans="1:14" ht="15.75" hidden="1">
      <c r="A744" s="696"/>
      <c r="B744" s="226" t="s">
        <v>637</v>
      </c>
      <c r="C744" s="713">
        <f>VLOOKUP($B744,R_DG!$A$7:$G$1305,2,0)</f>
        <v>0</v>
      </c>
      <c r="D744" s="723" t="str">
        <f>VLOOKUP($B744,R_DG!$A$7:$G$1305,3,0)</f>
        <v>Sứ treo loại 70kN</v>
      </c>
      <c r="E744" s="714" t="str">
        <f>VLOOKUP($B744,R_DG!$A$7:$G$1305,4,0)</f>
        <v>bát</v>
      </c>
      <c r="F744" s="724">
        <v>1</v>
      </c>
      <c r="G744" s="608">
        <f>VLOOKUP($B744,R_DG!$A$7:$G$1305,5,0)</f>
        <v>73500</v>
      </c>
      <c r="H744" s="608">
        <f>VLOOKUP($B744,R_DG!$A$7:$G$1305,6,0)</f>
        <v>0</v>
      </c>
      <c r="I744" s="608">
        <f>VLOOKUP($B744,R_DG!$A$7:$G$1305,7,0)</f>
        <v>0</v>
      </c>
      <c r="J744" s="608">
        <f t="shared" ref="J744:L747" si="166">G744*$F744</f>
        <v>73500</v>
      </c>
      <c r="K744" s="608">
        <f t="shared" si="166"/>
        <v>0</v>
      </c>
      <c r="L744" s="725">
        <f t="shared" si="166"/>
        <v>0</v>
      </c>
      <c r="M744" s="726">
        <f>IF(F744&gt;0,M$743,0)</f>
        <v>0</v>
      </c>
      <c r="N744" s="727">
        <f ca="1">$F744*N$743</f>
        <v>0</v>
      </c>
    </row>
    <row r="745" spans="1:14" ht="15.75" hidden="1">
      <c r="A745" s="696"/>
      <c r="B745" s="226" t="s">
        <v>582</v>
      </c>
      <c r="C745" s="713">
        <f>VLOOKUP($B745,R_DG!$A$7:$G$1305,2,0)</f>
        <v>0</v>
      </c>
      <c r="D745" s="723" t="str">
        <f>VLOOKUP($B745,R_DG!$A$7:$G$1305,3,0)</f>
        <v xml:space="preserve">Móc treo chữ U </v>
      </c>
      <c r="E745" s="714" t="str">
        <f>VLOOKUP($B745,R_DG!$A$7:$G$1305,4,0)</f>
        <v>cái</v>
      </c>
      <c r="F745" s="724">
        <v>2</v>
      </c>
      <c r="G745" s="608">
        <f>VLOOKUP($B745,R_DG!$A$7:$G$1305,5,0)</f>
        <v>28000</v>
      </c>
      <c r="H745" s="608">
        <f>VLOOKUP($B745,R_DG!$A$7:$G$1305,6,0)</f>
        <v>0</v>
      </c>
      <c r="I745" s="608">
        <f>VLOOKUP($B745,R_DG!$A$7:$G$1305,7,0)</f>
        <v>0</v>
      </c>
      <c r="J745" s="608">
        <f t="shared" si="166"/>
        <v>56000</v>
      </c>
      <c r="K745" s="608">
        <f t="shared" si="166"/>
        <v>0</v>
      </c>
      <c r="L745" s="725">
        <f t="shared" si="166"/>
        <v>0</v>
      </c>
      <c r="M745" s="726">
        <f>IF(F745&gt;0,M$743,0)</f>
        <v>0</v>
      </c>
      <c r="N745" s="727">
        <f ca="1">$F745*N$743</f>
        <v>0</v>
      </c>
    </row>
    <row r="746" spans="1:14" ht="15.75" hidden="1">
      <c r="A746" s="696"/>
      <c r="B746" s="226" t="s">
        <v>586</v>
      </c>
      <c r="C746" s="713">
        <f>VLOOKUP($B746,R_DG!$A$7:$G$1305,2,0)</f>
        <v>0</v>
      </c>
      <c r="D746" s="723" t="str">
        <f>VLOOKUP($B746,R_DG!$A$7:$G$1305,3,0)</f>
        <v>Vòng treo đầu tròn</v>
      </c>
      <c r="E746" s="714" t="str">
        <f>VLOOKUP($B746,R_DG!$A$7:$G$1305,4,0)</f>
        <v>cái</v>
      </c>
      <c r="F746" s="724">
        <v>1</v>
      </c>
      <c r="G746" s="608">
        <f>VLOOKUP($B746,R_DG!$A$7:$G$1305,5,0)</f>
        <v>4700</v>
      </c>
      <c r="H746" s="608">
        <f>VLOOKUP($B746,R_DG!$A$7:$G$1305,6,0)</f>
        <v>0</v>
      </c>
      <c r="I746" s="608">
        <f>VLOOKUP($B746,R_DG!$A$7:$G$1305,7,0)</f>
        <v>0</v>
      </c>
      <c r="J746" s="608">
        <f t="shared" si="166"/>
        <v>4700</v>
      </c>
      <c r="K746" s="608">
        <f t="shared" si="166"/>
        <v>0</v>
      </c>
      <c r="L746" s="725">
        <f t="shared" si="166"/>
        <v>0</v>
      </c>
      <c r="M746" s="726">
        <f>IF(F746&gt;0,M$743,0)</f>
        <v>0</v>
      </c>
      <c r="N746" s="727">
        <f ca="1">$F746*N$743</f>
        <v>0</v>
      </c>
    </row>
    <row r="747" spans="1:14" ht="15.75" hidden="1">
      <c r="A747" s="696"/>
      <c r="B747" s="226" t="s">
        <v>578</v>
      </c>
      <c r="C747" s="713">
        <f>VLOOKUP($B747,R_DG!$A$7:$G$1305,2,0)</f>
        <v>0</v>
      </c>
      <c r="D747" s="723" t="str">
        <f>VLOOKUP($B747,R_DG!$A$7:$G$1305,3,0)</f>
        <v>Mắt nối đơn</v>
      </c>
      <c r="E747" s="714" t="str">
        <f>VLOOKUP($B747,R_DG!$A$7:$G$1305,4,0)</f>
        <v>cái</v>
      </c>
      <c r="F747" s="724"/>
      <c r="G747" s="608">
        <f>VLOOKUP($B747,R_DG!$A$7:$G$1305,5,0)</f>
        <v>41000</v>
      </c>
      <c r="H747" s="608">
        <f>VLOOKUP($B747,R_DG!$A$7:$G$1305,6,0)</f>
        <v>0</v>
      </c>
      <c r="I747" s="608">
        <f>VLOOKUP($B747,R_DG!$A$7:$G$1305,7,0)</f>
        <v>0</v>
      </c>
      <c r="J747" s="608">
        <f t="shared" si="166"/>
        <v>0</v>
      </c>
      <c r="K747" s="608">
        <f t="shared" si="166"/>
        <v>0</v>
      </c>
      <c r="L747" s="725">
        <f t="shared" si="166"/>
        <v>0</v>
      </c>
      <c r="M747" s="726">
        <f>IF(F747&gt;0,M$743,0)</f>
        <v>0</v>
      </c>
      <c r="N747" s="727">
        <f ca="1">$F747*N$743</f>
        <v>0</v>
      </c>
    </row>
    <row r="748" spans="1:14" ht="15.75">
      <c r="A748" s="743" t="s">
        <v>2292</v>
      </c>
      <c r="B748" s="695"/>
      <c r="C748" s="717"/>
      <c r="D748" s="718" t="s">
        <v>4740</v>
      </c>
      <c r="E748" s="718" t="s">
        <v>163</v>
      </c>
      <c r="F748" s="745"/>
      <c r="G748" s="720"/>
      <c r="H748" s="720"/>
      <c r="I748" s="720"/>
      <c r="J748" s="720">
        <f>SUM(J749:J753)</f>
        <v>379700</v>
      </c>
      <c r="K748" s="720">
        <f>SUM(K749:K753)</f>
        <v>59708.88</v>
      </c>
      <c r="L748" s="721">
        <f>SUM(L749:L753)</f>
        <v>0</v>
      </c>
      <c r="M748" s="693">
        <f>IF(ERROR.TYPE(IF(HLOOKUP(A748,maBK,1,0)&lt;&gt;"",#NULL!,"ABC"))&lt;&gt;7,1,0)</f>
        <v>0</v>
      </c>
      <c r="N748" s="712">
        <f ca="1">SUMIF(maBK,$A748,tongBK1)</f>
        <v>0</v>
      </c>
    </row>
    <row r="749" spans="1:14" ht="15.75" hidden="1">
      <c r="A749" s="696"/>
      <c r="B749" s="226" t="s">
        <v>2293</v>
      </c>
      <c r="C749" s="713" t="str">
        <f>VLOOKUP($B749,R_DG!$A$7:$G$1305,2,0)</f>
        <v>D3.2125</v>
      </c>
      <c r="D749" s="723" t="str">
        <f>VLOOKUP($B749,R_DG!$A$7:$G$1305,3,0)</f>
        <v>Sứ treo polymer</v>
      </c>
      <c r="E749" s="714" t="str">
        <f>VLOOKUP($B749,R_DG!$A$7:$G$1305,4,0)</f>
        <v>chuỗi</v>
      </c>
      <c r="F749" s="724">
        <v>1</v>
      </c>
      <c r="G749" s="608">
        <f>VLOOKUP($B749,R_DG!$A$7:$G$1305,5,0)</f>
        <v>220000</v>
      </c>
      <c r="H749" s="608">
        <f>VLOOKUP($B749,R_DG!$A$7:$G$1305,6,0)</f>
        <v>59708.88</v>
      </c>
      <c r="I749" s="608">
        <f>VLOOKUP($B749,R_DG!$A$7:$G$1305,7,0)</f>
        <v>0</v>
      </c>
      <c r="J749" s="608">
        <f t="shared" ref="J749:L753" si="167">G749*$F749</f>
        <v>220000</v>
      </c>
      <c r="K749" s="608">
        <f t="shared" si="167"/>
        <v>59708.88</v>
      </c>
      <c r="L749" s="725">
        <f t="shared" si="167"/>
        <v>0</v>
      </c>
      <c r="M749" s="726">
        <f>IF(F749&gt;0,M$748,0)</f>
        <v>0</v>
      </c>
      <c r="N749" s="727">
        <f ca="1">$F749*N$748</f>
        <v>0</v>
      </c>
    </row>
    <row r="750" spans="1:14" ht="15.75" hidden="1">
      <c r="A750" s="696"/>
      <c r="B750" s="226" t="s">
        <v>582</v>
      </c>
      <c r="C750" s="713">
        <f>VLOOKUP($B750,R_DG!$A$7:$G$1305,2,0)</f>
        <v>0</v>
      </c>
      <c r="D750" s="723" t="str">
        <f>VLOOKUP($B750,R_DG!$A$7:$G$1305,3,0)</f>
        <v xml:space="preserve">Móc treo chữ U </v>
      </c>
      <c r="E750" s="714" t="str">
        <f>VLOOKUP($B750,R_DG!$A$7:$G$1305,4,0)</f>
        <v>cái</v>
      </c>
      <c r="F750" s="724">
        <v>2</v>
      </c>
      <c r="G750" s="608">
        <f>VLOOKUP($B750,R_DG!$A$7:$G$1305,5,0)</f>
        <v>28000</v>
      </c>
      <c r="H750" s="608">
        <f>VLOOKUP($B750,R_DG!$A$7:$G$1305,6,0)</f>
        <v>0</v>
      </c>
      <c r="I750" s="608">
        <f>VLOOKUP($B750,R_DG!$A$7:$G$1305,7,0)</f>
        <v>0</v>
      </c>
      <c r="J750" s="608">
        <f t="shared" si="167"/>
        <v>56000</v>
      </c>
      <c r="K750" s="608">
        <f t="shared" si="167"/>
        <v>0</v>
      </c>
      <c r="L750" s="725">
        <f t="shared" si="167"/>
        <v>0</v>
      </c>
      <c r="M750" s="726">
        <f>IF(F750&gt;0,M$748,0)</f>
        <v>0</v>
      </c>
      <c r="N750" s="727">
        <f ca="1">$F750*N$748</f>
        <v>0</v>
      </c>
    </row>
    <row r="751" spans="1:14" ht="15.75" hidden="1">
      <c r="A751" s="696"/>
      <c r="B751" s="226" t="s">
        <v>2284</v>
      </c>
      <c r="C751" s="713">
        <f>VLOOKUP($B751,R_DG!$A$7:$G$1305,2,0)</f>
        <v>0</v>
      </c>
      <c r="D751" s="723" t="str">
        <f>VLOOKUP($B751,R_DG!$A$7:$G$1305,3,0)</f>
        <v>Khóa néo dây cỡ dây 50 (5U)</v>
      </c>
      <c r="E751" s="714" t="str">
        <f>VLOOKUP($B751,R_DG!$A$7:$G$1305,4,0)</f>
        <v>cái</v>
      </c>
      <c r="F751" s="724">
        <v>1</v>
      </c>
      <c r="G751" s="608">
        <f>VLOOKUP($B751,R_DG!$A$7:$G$1305,5,0)</f>
        <v>62700</v>
      </c>
      <c r="H751" s="608">
        <f>VLOOKUP($B751,R_DG!$A$7:$G$1305,6,0)</f>
        <v>0</v>
      </c>
      <c r="I751" s="608">
        <f>VLOOKUP($B751,R_DG!$A$7:$G$1305,7,0)</f>
        <v>0</v>
      </c>
      <c r="J751" s="608">
        <f t="shared" si="167"/>
        <v>62700</v>
      </c>
      <c r="K751" s="608">
        <f t="shared" si="167"/>
        <v>0</v>
      </c>
      <c r="L751" s="725">
        <f t="shared" si="167"/>
        <v>0</v>
      </c>
      <c r="M751" s="726">
        <f>IF(F751&gt;0,M$748,0)</f>
        <v>0</v>
      </c>
      <c r="N751" s="727">
        <f ca="1">$F751*N$748</f>
        <v>0</v>
      </c>
    </row>
    <row r="752" spans="1:14" ht="15.75" hidden="1">
      <c r="A752" s="696"/>
      <c r="B752" s="226" t="s">
        <v>575</v>
      </c>
      <c r="C752" s="713">
        <f>VLOOKUP($B752,R_DG!$A$7:$G$1305,2,0)</f>
        <v>0</v>
      </c>
      <c r="D752" s="723" t="str">
        <f>VLOOKUP($B752,R_DG!$A$7:$G$1305,3,0)</f>
        <v>Giáp níu dừng dây bọc 70</v>
      </c>
      <c r="E752" s="714" t="str">
        <f>VLOOKUP($B752,R_DG!$A$7:$G$1305,4,0)</f>
        <v>cái</v>
      </c>
      <c r="F752" s="724">
        <v>0</v>
      </c>
      <c r="G752" s="608">
        <f>VLOOKUP($B752,R_DG!$A$7:$G$1305,5,0)</f>
        <v>200000</v>
      </c>
      <c r="H752" s="608">
        <f>VLOOKUP($B752,R_DG!$A$7:$G$1305,6,0)</f>
        <v>0</v>
      </c>
      <c r="I752" s="608">
        <f>VLOOKUP($B752,R_DG!$A$7:$G$1305,7,0)</f>
        <v>0</v>
      </c>
      <c r="J752" s="608">
        <f t="shared" si="167"/>
        <v>0</v>
      </c>
      <c r="K752" s="608">
        <f t="shared" si="167"/>
        <v>0</v>
      </c>
      <c r="L752" s="725">
        <f t="shared" si="167"/>
        <v>0</v>
      </c>
      <c r="M752" s="726">
        <f>IF(F752&gt;0,M$748,0)</f>
        <v>0</v>
      </c>
      <c r="N752" s="727">
        <f ca="1">$F752*N$748</f>
        <v>0</v>
      </c>
    </row>
    <row r="753" spans="1:14" ht="15.75" hidden="1">
      <c r="A753" s="696"/>
      <c r="B753" s="226" t="s">
        <v>578</v>
      </c>
      <c r="C753" s="713">
        <f>VLOOKUP($B753,R_DG!$A$7:$G$1305,2,0)</f>
        <v>0</v>
      </c>
      <c r="D753" s="723" t="str">
        <f>VLOOKUP($B753,R_DG!$A$7:$G$1305,3,0)</f>
        <v>Mắt nối đơn</v>
      </c>
      <c r="E753" s="714" t="str">
        <f>VLOOKUP($B753,R_DG!$A$7:$G$1305,4,0)</f>
        <v>cái</v>
      </c>
      <c r="F753" s="724">
        <v>1</v>
      </c>
      <c r="G753" s="608">
        <f>VLOOKUP($B753,R_DG!$A$7:$G$1305,5,0)</f>
        <v>41000</v>
      </c>
      <c r="H753" s="608">
        <f>VLOOKUP($B753,R_DG!$A$7:$G$1305,6,0)</f>
        <v>0</v>
      </c>
      <c r="I753" s="608">
        <f>VLOOKUP($B753,R_DG!$A$7:$G$1305,7,0)</f>
        <v>0</v>
      </c>
      <c r="J753" s="608">
        <f t="shared" si="167"/>
        <v>41000</v>
      </c>
      <c r="K753" s="608">
        <f t="shared" si="167"/>
        <v>0</v>
      </c>
      <c r="L753" s="725">
        <f t="shared" si="167"/>
        <v>0</v>
      </c>
      <c r="M753" s="726">
        <f>IF(F753&gt;0,M$748,0)</f>
        <v>0</v>
      </c>
      <c r="N753" s="727">
        <f ca="1">$F753*N$748</f>
        <v>0</v>
      </c>
    </row>
    <row r="754" spans="1:14" ht="15.75">
      <c r="A754" s="743" t="s">
        <v>2593</v>
      </c>
      <c r="B754" s="695"/>
      <c r="C754" s="717"/>
      <c r="D754" s="718" t="s">
        <v>4741</v>
      </c>
      <c r="E754" s="718" t="s">
        <v>163</v>
      </c>
      <c r="F754" s="745"/>
      <c r="G754" s="720"/>
      <c r="H754" s="720"/>
      <c r="I754" s="720"/>
      <c r="J754" s="720">
        <f>SUM(J755:J760)</f>
        <v>537200</v>
      </c>
      <c r="K754" s="720">
        <f>SUM(K755:K760)</f>
        <v>59708.88</v>
      </c>
      <c r="L754" s="721">
        <f>SUM(L755:L760)</f>
        <v>0</v>
      </c>
      <c r="M754" s="693">
        <f>IF(ERROR.TYPE(IF(HLOOKUP(A754,maBK,1,0)&lt;&gt;"",#NULL!,"ABC"))&lt;&gt;7,1,0)</f>
        <v>0</v>
      </c>
      <c r="N754" s="712">
        <f ca="1">SUMIF(maBK,$A754,tongBK1)</f>
        <v>0</v>
      </c>
    </row>
    <row r="755" spans="1:14" ht="15.75" hidden="1">
      <c r="A755" s="696"/>
      <c r="B755" s="226" t="s">
        <v>2293</v>
      </c>
      <c r="C755" s="713" t="str">
        <f>VLOOKUP($B755,R_DG!$A$7:$G$1305,2,0)</f>
        <v>D3.2125</v>
      </c>
      <c r="D755" s="723" t="str">
        <f>VLOOKUP($B755,R_DG!$A$7:$G$1305,3,0)</f>
        <v>Sứ treo polymer</v>
      </c>
      <c r="E755" s="714" t="str">
        <f>VLOOKUP($B755,R_DG!$A$7:$G$1305,4,0)</f>
        <v>chuỗi</v>
      </c>
      <c r="F755" s="724">
        <v>1</v>
      </c>
      <c r="G755" s="608">
        <f>VLOOKUP($B755,R_DG!$A$7:$G$1305,5,0)</f>
        <v>220000</v>
      </c>
      <c r="H755" s="608">
        <f>VLOOKUP($B755,R_DG!$A$7:$G$1305,6,0)</f>
        <v>59708.88</v>
      </c>
      <c r="I755" s="608">
        <f>VLOOKUP($B755,R_DG!$A$7:$G$1305,7,0)</f>
        <v>0</v>
      </c>
      <c r="J755" s="608">
        <f t="shared" ref="J755:L760" si="168">G755*$F755</f>
        <v>220000</v>
      </c>
      <c r="K755" s="608">
        <f t="shared" si="168"/>
        <v>59708.88</v>
      </c>
      <c r="L755" s="725">
        <f t="shared" si="168"/>
        <v>0</v>
      </c>
      <c r="M755" s="726">
        <f t="shared" ref="M755:M760" si="169">IF(F755&gt;0,M$754,0)</f>
        <v>0</v>
      </c>
      <c r="N755" s="727">
        <f t="shared" ref="N755:N760" ca="1" si="170">$F755*N$754</f>
        <v>0</v>
      </c>
    </row>
    <row r="756" spans="1:14" ht="15.75" hidden="1">
      <c r="A756" s="696"/>
      <c r="B756" s="226" t="s">
        <v>582</v>
      </c>
      <c r="C756" s="713">
        <f>VLOOKUP($B756,R_DG!$A$7:$G$1305,2,0)</f>
        <v>0</v>
      </c>
      <c r="D756" s="723" t="str">
        <f>VLOOKUP($B756,R_DG!$A$7:$G$1305,3,0)</f>
        <v xml:space="preserve">Móc treo chữ U </v>
      </c>
      <c r="E756" s="714" t="str">
        <f>VLOOKUP($B756,R_DG!$A$7:$G$1305,4,0)</f>
        <v>cái</v>
      </c>
      <c r="F756" s="724">
        <v>2</v>
      </c>
      <c r="G756" s="608">
        <f>VLOOKUP($B756,R_DG!$A$7:$G$1305,5,0)</f>
        <v>28000</v>
      </c>
      <c r="H756" s="608">
        <f>VLOOKUP($B756,R_DG!$A$7:$G$1305,6,0)</f>
        <v>0</v>
      </c>
      <c r="I756" s="608">
        <f>VLOOKUP($B756,R_DG!$A$7:$G$1305,7,0)</f>
        <v>0</v>
      </c>
      <c r="J756" s="608">
        <f t="shared" si="168"/>
        <v>56000</v>
      </c>
      <c r="K756" s="608">
        <f t="shared" si="168"/>
        <v>0</v>
      </c>
      <c r="L756" s="725">
        <f t="shared" si="168"/>
        <v>0</v>
      </c>
      <c r="M756" s="726">
        <f t="shared" si="169"/>
        <v>0</v>
      </c>
      <c r="N756" s="727">
        <f t="shared" ca="1" si="170"/>
        <v>0</v>
      </c>
    </row>
    <row r="757" spans="1:14" ht="15.75" hidden="1">
      <c r="A757" s="696"/>
      <c r="B757" s="226" t="s">
        <v>2850</v>
      </c>
      <c r="C757" s="713">
        <f>VLOOKUP($B757,R_DG!$A$7:$G$1305,2,0)</f>
        <v>0</v>
      </c>
      <c r="D757" s="723" t="str">
        <f>VLOOKUP($B757,R_DG!$A$7:$G$1305,3,0)</f>
        <v>Giáp níu dừng dây bọc 50</v>
      </c>
      <c r="E757" s="714" t="str">
        <f>VLOOKUP($B757,R_DG!$A$7:$G$1305,4,0)</f>
        <v>cái</v>
      </c>
      <c r="F757" s="724">
        <v>1</v>
      </c>
      <c r="G757" s="608">
        <f>VLOOKUP($B757,R_DG!$A$7:$G$1305,5,0)</f>
        <v>190000</v>
      </c>
      <c r="H757" s="608">
        <f>VLOOKUP($B757,R_DG!$A$7:$G$1305,6,0)</f>
        <v>0</v>
      </c>
      <c r="I757" s="608">
        <f>VLOOKUP($B757,R_DG!$A$7:$G$1305,7,0)</f>
        <v>0</v>
      </c>
      <c r="J757" s="608">
        <f t="shared" si="168"/>
        <v>190000</v>
      </c>
      <c r="K757" s="608">
        <f t="shared" si="168"/>
        <v>0</v>
      </c>
      <c r="L757" s="725">
        <f t="shared" si="168"/>
        <v>0</v>
      </c>
      <c r="M757" s="726">
        <f t="shared" si="169"/>
        <v>0</v>
      </c>
      <c r="N757" s="727">
        <f t="shared" ca="1" si="170"/>
        <v>0</v>
      </c>
    </row>
    <row r="758" spans="1:14" ht="15.75" hidden="1">
      <c r="A758" s="696"/>
      <c r="B758" s="226" t="s">
        <v>575</v>
      </c>
      <c r="C758" s="713">
        <f>VLOOKUP($B758,R_DG!$A$7:$G$1305,2,0)</f>
        <v>0</v>
      </c>
      <c r="D758" s="723" t="str">
        <f>VLOOKUP($B758,R_DG!$A$7:$G$1305,3,0)</f>
        <v>Giáp níu dừng dây bọc 70</v>
      </c>
      <c r="E758" s="714" t="str">
        <f>VLOOKUP($B758,R_DG!$A$7:$G$1305,4,0)</f>
        <v>cái</v>
      </c>
      <c r="F758" s="724">
        <v>0</v>
      </c>
      <c r="G758" s="608">
        <f>VLOOKUP($B758,R_DG!$A$7:$G$1305,5,0)</f>
        <v>200000</v>
      </c>
      <c r="H758" s="608">
        <f>VLOOKUP($B758,R_DG!$A$7:$G$1305,6,0)</f>
        <v>0</v>
      </c>
      <c r="I758" s="608">
        <f>VLOOKUP($B758,R_DG!$A$7:$G$1305,7,0)</f>
        <v>0</v>
      </c>
      <c r="J758" s="608">
        <f t="shared" si="168"/>
        <v>0</v>
      </c>
      <c r="K758" s="608">
        <f t="shared" si="168"/>
        <v>0</v>
      </c>
      <c r="L758" s="725">
        <f t="shared" si="168"/>
        <v>0</v>
      </c>
      <c r="M758" s="726">
        <f t="shared" si="169"/>
        <v>0</v>
      </c>
      <c r="N758" s="727">
        <f t="shared" ca="1" si="170"/>
        <v>0</v>
      </c>
    </row>
    <row r="759" spans="1:14" ht="15.75" hidden="1">
      <c r="A759" s="696"/>
      <c r="B759" s="226" t="s">
        <v>2594</v>
      </c>
      <c r="C759" s="713">
        <f>VLOOKUP($B759,R_DG!$A$7:$G$1305,2,0)</f>
        <v>0</v>
      </c>
      <c r="D759" s="723" t="str">
        <f>VLOOKUP($B759,R_DG!$A$7:$G$1305,3,0)</f>
        <v>Boulon mắt 16x300+ 2 long đền vuông D18-50x50x3/Zn</v>
      </c>
      <c r="E759" s="714" t="str">
        <f>VLOOKUP($B759,R_DG!$A$7:$G$1305,4,0)</f>
        <v>bộ</v>
      </c>
      <c r="F759" s="724">
        <v>1</v>
      </c>
      <c r="G759" s="608">
        <f>VLOOKUP($B759,R_DG!$A$7:$G$1305,5,0)</f>
        <v>30200</v>
      </c>
      <c r="H759" s="608">
        <f>VLOOKUP($B759,R_DG!$A$7:$G$1305,6,0)</f>
        <v>0</v>
      </c>
      <c r="I759" s="608">
        <f>VLOOKUP($B759,R_DG!$A$7:$G$1305,7,0)</f>
        <v>0</v>
      </c>
      <c r="J759" s="608">
        <f>G759*$F759</f>
        <v>30200</v>
      </c>
      <c r="K759" s="608">
        <f>H759*$F759</f>
        <v>0</v>
      </c>
      <c r="L759" s="725">
        <f>I759*$F759</f>
        <v>0</v>
      </c>
      <c r="M759" s="726">
        <f t="shared" si="169"/>
        <v>0</v>
      </c>
      <c r="N759" s="727">
        <f t="shared" ca="1" si="170"/>
        <v>0</v>
      </c>
    </row>
    <row r="760" spans="1:14" ht="15.75" hidden="1">
      <c r="A760" s="696"/>
      <c r="B760" s="226" t="s">
        <v>578</v>
      </c>
      <c r="C760" s="713">
        <f>VLOOKUP($B760,R_DG!$A$7:$G$1305,2,0)</f>
        <v>0</v>
      </c>
      <c r="D760" s="723" t="str">
        <f>VLOOKUP($B760,R_DG!$A$7:$G$1305,3,0)</f>
        <v>Mắt nối đơn</v>
      </c>
      <c r="E760" s="714" t="str">
        <f>VLOOKUP($B760,R_DG!$A$7:$G$1305,4,0)</f>
        <v>cái</v>
      </c>
      <c r="F760" s="724">
        <v>1</v>
      </c>
      <c r="G760" s="608">
        <f>VLOOKUP($B760,R_DG!$A$7:$G$1305,5,0)</f>
        <v>41000</v>
      </c>
      <c r="H760" s="608">
        <f>VLOOKUP($B760,R_DG!$A$7:$G$1305,6,0)</f>
        <v>0</v>
      </c>
      <c r="I760" s="608">
        <f>VLOOKUP($B760,R_DG!$A$7:$G$1305,7,0)</f>
        <v>0</v>
      </c>
      <c r="J760" s="608">
        <f t="shared" si="168"/>
        <v>41000</v>
      </c>
      <c r="K760" s="608">
        <f t="shared" si="168"/>
        <v>0</v>
      </c>
      <c r="L760" s="725">
        <f t="shared" si="168"/>
        <v>0</v>
      </c>
      <c r="M760" s="726">
        <f t="shared" si="169"/>
        <v>0</v>
      </c>
      <c r="N760" s="727">
        <f t="shared" ca="1" si="170"/>
        <v>0</v>
      </c>
    </row>
    <row r="761" spans="1:14" ht="15.75">
      <c r="A761" s="743" t="s">
        <v>2795</v>
      </c>
      <c r="B761" s="695"/>
      <c r="C761" s="717"/>
      <c r="D761" s="718" t="s">
        <v>2796</v>
      </c>
      <c r="E761" s="718" t="s">
        <v>163</v>
      </c>
      <c r="F761" s="745"/>
      <c r="G761" s="720"/>
      <c r="H761" s="720"/>
      <c r="I761" s="720"/>
      <c r="J761" s="720" t="e">
        <f>SUM(J762:J765)</f>
        <v>#REF!</v>
      </c>
      <c r="K761" s="720">
        <f>SUM(K762:K765)</f>
        <v>138988.89599999998</v>
      </c>
      <c r="L761" s="721">
        <f>SUM(L762:L765)</f>
        <v>0</v>
      </c>
      <c r="M761" s="693">
        <f>IF(ERROR.TYPE(IF(HLOOKUP(A761,maBK,1,0)&lt;&gt;"",#NULL!,"ABC"))&lt;&gt;7,1,0)</f>
        <v>0</v>
      </c>
      <c r="N761" s="712">
        <f ca="1">SUMIF(maBK,$A761,tongBK1)</f>
        <v>0</v>
      </c>
    </row>
    <row r="762" spans="1:14" ht="15.75" hidden="1">
      <c r="A762" s="696"/>
      <c r="B762" s="226" t="s">
        <v>473</v>
      </c>
      <c r="C762" s="713" t="str">
        <f>VLOOKUP($B762,R_DG!$A$7:$G$1305,2,0)</f>
        <v>11.03.204</v>
      </c>
      <c r="D762" s="723" t="str">
        <f>VLOOKUP($B762,R_DG!$A$7:$G$1305,3,0)</f>
        <v>Hộp phân phối trực tiếp 6KH</v>
      </c>
      <c r="E762" s="714" t="str">
        <f>VLOOKUP($B762,R_DG!$A$7:$G$1305,4,0)</f>
        <v>cái</v>
      </c>
      <c r="F762" s="724">
        <v>1</v>
      </c>
      <c r="G762" s="608">
        <f>VLOOKUP($B762,R_DG!$A$7:$G$1305,5,0)</f>
        <v>305000</v>
      </c>
      <c r="H762" s="608">
        <f>VLOOKUP($B762,R_DG!$A$7:$G$1305,6,0)</f>
        <v>138988.89599999998</v>
      </c>
      <c r="I762" s="608">
        <f>VLOOKUP($B762,R_DG!$A$7:$G$1305,7,0)</f>
        <v>0</v>
      </c>
      <c r="J762" s="608">
        <f t="shared" ref="J762:L765" si="171">G762*$F762</f>
        <v>305000</v>
      </c>
      <c r="K762" s="608">
        <f t="shared" si="171"/>
        <v>138988.89599999998</v>
      </c>
      <c r="L762" s="725">
        <f t="shared" si="171"/>
        <v>0</v>
      </c>
      <c r="M762" s="726">
        <f>IF(F762&gt;0,M$761,0)</f>
        <v>0</v>
      </c>
      <c r="N762" s="727">
        <f ca="1">$F762*N$761</f>
        <v>0</v>
      </c>
    </row>
    <row r="763" spans="1:14" ht="15.75" hidden="1">
      <c r="A763" s="696"/>
      <c r="B763" s="226" t="s">
        <v>84</v>
      </c>
      <c r="C763" s="713">
        <f>VLOOKUP($B763,R_DG!$A$7:$G$1305,2,0)</f>
        <v>0</v>
      </c>
      <c r="D763" s="723" t="str">
        <f>VLOOKUP($B763,R_DG!$A$7:$G$1305,3,0)</f>
        <v>Boulon 16x250+ 2 long đền vuông D18-50x50x3/Zn</v>
      </c>
      <c r="E763" s="714" t="str">
        <f>VLOOKUP($B763,R_DG!$A$7:$G$1305,4,0)</f>
        <v>bộ</v>
      </c>
      <c r="F763" s="724">
        <v>1</v>
      </c>
      <c r="G763" s="608" t="e">
        <f>VLOOKUP($B763,R_DG!$A$7:$G$1305,5,0)</f>
        <v>#REF!</v>
      </c>
      <c r="H763" s="608">
        <f>VLOOKUP($B763,R_DG!$A$7:$G$1305,6,0)</f>
        <v>0</v>
      </c>
      <c r="I763" s="608">
        <f>VLOOKUP($B763,R_DG!$A$7:$G$1305,7,0)</f>
        <v>0</v>
      </c>
      <c r="J763" s="608" t="e">
        <f t="shared" si="171"/>
        <v>#REF!</v>
      </c>
      <c r="K763" s="608">
        <f t="shared" si="171"/>
        <v>0</v>
      </c>
      <c r="L763" s="725">
        <f t="shared" si="171"/>
        <v>0</v>
      </c>
      <c r="M763" s="726">
        <f>IF(F763&gt;0,M$761,0)</f>
        <v>0</v>
      </c>
      <c r="N763" s="727">
        <f ca="1">$F763*N$761</f>
        <v>0</v>
      </c>
    </row>
    <row r="764" spans="1:14" ht="15.75" hidden="1">
      <c r="A764" s="696"/>
      <c r="B764" s="226" t="s">
        <v>2315</v>
      </c>
      <c r="C764" s="713">
        <f>VLOOKUP($B764,R_DG!$A$7:$G$1305,2,0)</f>
        <v>0</v>
      </c>
      <c r="D764" s="723" t="str">
        <f>VLOOKUP($B764,R_DG!$A$7:$G$1305,3,0)</f>
        <v>Cáp đồng bọc CV25</v>
      </c>
      <c r="E764" s="714" t="str">
        <f>VLOOKUP($B764,R_DG!$A$7:$G$1305,4,0)</f>
        <v>mét</v>
      </c>
      <c r="F764" s="724">
        <v>3</v>
      </c>
      <c r="G764" s="608">
        <f>VLOOKUP($B764,R_DG!$A$7:$G$1305,5,0)</f>
        <v>48800</v>
      </c>
      <c r="H764" s="608">
        <f>VLOOKUP($B764,R_DG!$A$7:$G$1305,6,0)</f>
        <v>0</v>
      </c>
      <c r="I764" s="608">
        <f>VLOOKUP($B764,R_DG!$A$7:$G$1305,7,0)</f>
        <v>0</v>
      </c>
      <c r="J764" s="608">
        <f t="shared" si="171"/>
        <v>146400</v>
      </c>
      <c r="K764" s="608">
        <f t="shared" si="171"/>
        <v>0</v>
      </c>
      <c r="L764" s="725">
        <f t="shared" si="171"/>
        <v>0</v>
      </c>
      <c r="M764" s="726">
        <f>IF(F764&gt;0,M$761,0)</f>
        <v>0</v>
      </c>
      <c r="N764" s="727">
        <f ca="1">$F764*N$761</f>
        <v>0</v>
      </c>
    </row>
    <row r="765" spans="1:14" ht="15.75" hidden="1">
      <c r="A765" s="696"/>
      <c r="B765" s="226" t="s">
        <v>4837</v>
      </c>
      <c r="C765" s="713">
        <f>VLOOKUP($B765,R_DG!$A$7:$G$1305,2,0)</f>
        <v>0</v>
      </c>
      <c r="D765" s="723" t="str">
        <f>VLOOKUP($B765,R_DG!$A$7:$G$1305,3,0)</f>
        <v>Ghíp nối IPC 95-25 2BL</v>
      </c>
      <c r="E765" s="714" t="str">
        <f>VLOOKUP($B765,R_DG!$A$7:$G$1305,4,0)</f>
        <v>cái</v>
      </c>
      <c r="F765" s="724">
        <v>6</v>
      </c>
      <c r="G765" s="608">
        <f>VLOOKUP($B765,R_DG!$A$7:$G$1305,5,0)</f>
        <v>40000</v>
      </c>
      <c r="H765" s="608">
        <f>VLOOKUP($B765,R_DG!$A$7:$G$1305,6,0)</f>
        <v>0</v>
      </c>
      <c r="I765" s="608">
        <f>VLOOKUP($B765,R_DG!$A$7:$G$1305,7,0)</f>
        <v>0</v>
      </c>
      <c r="J765" s="608">
        <f t="shared" si="171"/>
        <v>240000</v>
      </c>
      <c r="K765" s="608">
        <f t="shared" si="171"/>
        <v>0</v>
      </c>
      <c r="L765" s="725">
        <f t="shared" si="171"/>
        <v>0</v>
      </c>
      <c r="M765" s="726">
        <f>IF(F765&gt;0,M$761,0)</f>
        <v>0</v>
      </c>
      <c r="N765" s="727">
        <f ca="1">$F765*N$761</f>
        <v>0</v>
      </c>
    </row>
    <row r="766" spans="1:14" ht="15.75">
      <c r="A766" s="743" t="s">
        <v>2797</v>
      </c>
      <c r="B766" s="695"/>
      <c r="C766" s="717"/>
      <c r="D766" s="718" t="s">
        <v>3061</v>
      </c>
      <c r="E766" s="718" t="s">
        <v>163</v>
      </c>
      <c r="F766" s="745"/>
      <c r="G766" s="720"/>
      <c r="H766" s="720"/>
      <c r="I766" s="720"/>
      <c r="J766" s="720" t="e">
        <f>SUM(J767:J770)</f>
        <v>#REF!</v>
      </c>
      <c r="K766" s="720">
        <f>SUM(K767:K770)</f>
        <v>138988.89599999998</v>
      </c>
      <c r="L766" s="721">
        <f>SUM(L767:L770)</f>
        <v>0</v>
      </c>
      <c r="M766" s="693">
        <f>IF(ERROR.TYPE(IF(HLOOKUP(A766,maBK,1,0)&lt;&gt;"",#NULL!,"ABC"))&lt;&gt;7,1,0)</f>
        <v>0</v>
      </c>
      <c r="N766" s="712">
        <f ca="1">SUMIF(maBK,$A766,tongBK1)</f>
        <v>0</v>
      </c>
    </row>
    <row r="767" spans="1:14" ht="15.75" hidden="1">
      <c r="A767" s="696"/>
      <c r="B767" s="226" t="s">
        <v>473</v>
      </c>
      <c r="C767" s="713" t="str">
        <f>VLOOKUP($B767,R_DG!$A$7:$G$1305,2,0)</f>
        <v>11.03.204</v>
      </c>
      <c r="D767" s="723" t="str">
        <f>VLOOKUP($B767,R_DG!$A$7:$G$1305,3,0)</f>
        <v>Hộp phân phối trực tiếp 6KH</v>
      </c>
      <c r="E767" s="714" t="str">
        <f>VLOOKUP($B767,R_DG!$A$7:$G$1305,4,0)</f>
        <v>cái</v>
      </c>
      <c r="F767" s="724">
        <v>1</v>
      </c>
      <c r="G767" s="608">
        <f>VLOOKUP($B767,R_DG!$A$7:$G$1305,5,0)</f>
        <v>305000</v>
      </c>
      <c r="H767" s="608">
        <f>VLOOKUP($B767,R_DG!$A$7:$G$1305,6,0)</f>
        <v>138988.89599999998</v>
      </c>
      <c r="I767" s="608">
        <f>VLOOKUP($B767,R_DG!$A$7:$G$1305,7,0)</f>
        <v>0</v>
      </c>
      <c r="J767" s="608">
        <f t="shared" ref="J767:L770" si="172">G767*$F767</f>
        <v>305000</v>
      </c>
      <c r="K767" s="608">
        <f t="shared" si="172"/>
        <v>138988.89599999998</v>
      </c>
      <c r="L767" s="725">
        <f t="shared" si="172"/>
        <v>0</v>
      </c>
      <c r="M767" s="726">
        <f>IF(F767&gt;0,M$766,0)</f>
        <v>0</v>
      </c>
      <c r="N767" s="727">
        <f ca="1">$F767*N$766</f>
        <v>0</v>
      </c>
    </row>
    <row r="768" spans="1:14" ht="15.75" hidden="1">
      <c r="A768" s="696"/>
      <c r="B768" s="226" t="s">
        <v>84</v>
      </c>
      <c r="C768" s="713">
        <f>VLOOKUP($B768,R_DG!$A$7:$G$1305,2,0)</f>
        <v>0</v>
      </c>
      <c r="D768" s="723" t="str">
        <f>VLOOKUP($B768,R_DG!$A$7:$G$1305,3,0)</f>
        <v>Boulon 16x250+ 2 long đền vuông D18-50x50x3/Zn</v>
      </c>
      <c r="E768" s="714" t="str">
        <f>VLOOKUP($B768,R_DG!$A$7:$G$1305,4,0)</f>
        <v>bộ</v>
      </c>
      <c r="F768" s="724">
        <v>1</v>
      </c>
      <c r="G768" s="608" t="e">
        <f>VLOOKUP($B768,R_DG!$A$7:$G$1305,5,0)</f>
        <v>#REF!</v>
      </c>
      <c r="H768" s="608">
        <f>VLOOKUP($B768,R_DG!$A$7:$G$1305,6,0)</f>
        <v>0</v>
      </c>
      <c r="I768" s="608">
        <f>VLOOKUP($B768,R_DG!$A$7:$G$1305,7,0)</f>
        <v>0</v>
      </c>
      <c r="J768" s="608" t="e">
        <f t="shared" si="172"/>
        <v>#REF!</v>
      </c>
      <c r="K768" s="608">
        <f t="shared" si="172"/>
        <v>0</v>
      </c>
      <c r="L768" s="725">
        <f t="shared" si="172"/>
        <v>0</v>
      </c>
      <c r="M768" s="726">
        <f>IF(F768&gt;0,M$766,0)</f>
        <v>0</v>
      </c>
      <c r="N768" s="727">
        <f ca="1">$F768*N$766</f>
        <v>0</v>
      </c>
    </row>
    <row r="769" spans="1:14" ht="15.75" hidden="1">
      <c r="A769" s="696"/>
      <c r="B769" s="226" t="s">
        <v>2315</v>
      </c>
      <c r="C769" s="713">
        <f>VLOOKUP($B769,R_DG!$A$7:$G$1305,2,0)</f>
        <v>0</v>
      </c>
      <c r="D769" s="723" t="str">
        <f>VLOOKUP($B769,R_DG!$A$7:$G$1305,3,0)</f>
        <v>Cáp đồng bọc CV25</v>
      </c>
      <c r="E769" s="714" t="str">
        <f>VLOOKUP($B769,R_DG!$A$7:$G$1305,4,0)</f>
        <v>mét</v>
      </c>
      <c r="F769" s="724">
        <v>4</v>
      </c>
      <c r="G769" s="608">
        <f>VLOOKUP($B769,R_DG!$A$7:$G$1305,5,0)</f>
        <v>48800</v>
      </c>
      <c r="H769" s="608">
        <f>VLOOKUP($B769,R_DG!$A$7:$G$1305,6,0)</f>
        <v>0</v>
      </c>
      <c r="I769" s="608">
        <f>VLOOKUP($B769,R_DG!$A$7:$G$1305,7,0)</f>
        <v>0</v>
      </c>
      <c r="J769" s="608">
        <f t="shared" si="172"/>
        <v>195200</v>
      </c>
      <c r="K769" s="608">
        <f t="shared" si="172"/>
        <v>0</v>
      </c>
      <c r="L769" s="725">
        <f t="shared" si="172"/>
        <v>0</v>
      </c>
      <c r="M769" s="726">
        <f>IF(F769&gt;0,M$766,0)</f>
        <v>0</v>
      </c>
      <c r="N769" s="727">
        <f ca="1">$F769*N$766</f>
        <v>0</v>
      </c>
    </row>
    <row r="770" spans="1:14" ht="15.75" hidden="1">
      <c r="A770" s="696"/>
      <c r="B770" s="226" t="s">
        <v>4837</v>
      </c>
      <c r="C770" s="713">
        <f>VLOOKUP($B770,R_DG!$A$7:$G$1305,2,0)</f>
        <v>0</v>
      </c>
      <c r="D770" s="723" t="str">
        <f>VLOOKUP($B770,R_DG!$A$7:$G$1305,3,0)</f>
        <v>Ghíp nối IPC 95-25 2BL</v>
      </c>
      <c r="E770" s="714" t="str">
        <f>VLOOKUP($B770,R_DG!$A$7:$G$1305,4,0)</f>
        <v>cái</v>
      </c>
      <c r="F770" s="724">
        <v>8</v>
      </c>
      <c r="G770" s="608">
        <f>VLOOKUP($B770,R_DG!$A$7:$G$1305,5,0)</f>
        <v>40000</v>
      </c>
      <c r="H770" s="608">
        <f>VLOOKUP($B770,R_DG!$A$7:$G$1305,6,0)</f>
        <v>0</v>
      </c>
      <c r="I770" s="608">
        <f>VLOOKUP($B770,R_DG!$A$7:$G$1305,7,0)</f>
        <v>0</v>
      </c>
      <c r="J770" s="608">
        <f t="shared" si="172"/>
        <v>320000</v>
      </c>
      <c r="K770" s="608">
        <f t="shared" si="172"/>
        <v>0</v>
      </c>
      <c r="L770" s="725">
        <f t="shared" si="172"/>
        <v>0</v>
      </c>
      <c r="M770" s="726">
        <f>IF(F770&gt;0,M$766,0)</f>
        <v>0</v>
      </c>
      <c r="N770" s="727">
        <f ca="1">$F770*N$766</f>
        <v>0</v>
      </c>
    </row>
    <row r="771" spans="1:14" ht="15.75">
      <c r="A771" s="743" t="s">
        <v>3038</v>
      </c>
      <c r="B771" s="695"/>
      <c r="C771" s="717"/>
      <c r="D771" s="718" t="s">
        <v>4141</v>
      </c>
      <c r="E771" s="718" t="s">
        <v>163</v>
      </c>
      <c r="F771" s="745"/>
      <c r="G771" s="720"/>
      <c r="H771" s="720"/>
      <c r="I771" s="720"/>
      <c r="J771" s="720" t="e">
        <f>SUM(J772:J775)</f>
        <v>#REF!</v>
      </c>
      <c r="K771" s="720">
        <f>SUM(K772:K775)</f>
        <v>347472.24</v>
      </c>
      <c r="L771" s="721">
        <f>SUM(L772:L775)</f>
        <v>0</v>
      </c>
      <c r="M771" s="693">
        <f>IF(ERROR.TYPE(IF(HLOOKUP(A771,maBK,1,0)&lt;&gt;"",#NULL!,"ABC"))&lt;&gt;7,1,0)</f>
        <v>0</v>
      </c>
      <c r="N771" s="712">
        <f ca="1">SUMIF(maBK,$A771,tongBK1)</f>
        <v>0</v>
      </c>
    </row>
    <row r="772" spans="1:14" ht="15.75" hidden="1">
      <c r="A772" s="696"/>
      <c r="B772" s="226" t="s">
        <v>3038</v>
      </c>
      <c r="C772" s="713" t="str">
        <f>VLOOKUP($B772,R_DG!$A$7:$G$1305,2,0)</f>
        <v>11.03.204</v>
      </c>
      <c r="D772" s="723" t="str">
        <f>VLOOKUP($B772,R_DG!$A$7:$G$1305,3,0)</f>
        <v>Hộp MCCB phân đoạn</v>
      </c>
      <c r="E772" s="714" t="str">
        <f>VLOOKUP($B772,R_DG!$A$7:$G$1305,4,0)</f>
        <v>cái</v>
      </c>
      <c r="F772" s="724">
        <v>1</v>
      </c>
      <c r="G772" s="608">
        <f>VLOOKUP($B772,R_DG!$A$7:$G$1305,5,0)</f>
        <v>390000</v>
      </c>
      <c r="H772" s="608">
        <f>VLOOKUP($B772,R_DG!$A$7:$G$1305,6,0)</f>
        <v>347472.24</v>
      </c>
      <c r="I772" s="608">
        <f>VLOOKUP($B772,R_DG!$A$7:$G$1305,7,0)</f>
        <v>0</v>
      </c>
      <c r="J772" s="608">
        <f t="shared" ref="J772:L776" si="173">G772*$F772</f>
        <v>390000</v>
      </c>
      <c r="K772" s="608">
        <f t="shared" si="173"/>
        <v>347472.24</v>
      </c>
      <c r="L772" s="725">
        <f t="shared" si="173"/>
        <v>0</v>
      </c>
      <c r="M772" s="726">
        <f>IF(F772&gt;0,M$771,0)</f>
        <v>0</v>
      </c>
      <c r="N772" s="727">
        <f ca="1">$F772*N$771</f>
        <v>0</v>
      </c>
    </row>
    <row r="773" spans="1:14" ht="15.75" hidden="1">
      <c r="A773" s="696"/>
      <c r="B773" s="226" t="s">
        <v>84</v>
      </c>
      <c r="C773" s="713">
        <f>VLOOKUP($B773,R_DG!$A$7:$G$1305,2,0)</f>
        <v>0</v>
      </c>
      <c r="D773" s="723" t="str">
        <f>VLOOKUP($B773,R_DG!$A$7:$G$1305,3,0)</f>
        <v>Boulon 16x250+ 2 long đền vuông D18-50x50x3/Zn</v>
      </c>
      <c r="E773" s="714" t="str">
        <f>VLOOKUP($B773,R_DG!$A$7:$G$1305,4,0)</f>
        <v>bộ</v>
      </c>
      <c r="F773" s="724">
        <v>2</v>
      </c>
      <c r="G773" s="608" t="e">
        <f>VLOOKUP($B773,R_DG!$A$7:$G$1305,5,0)</f>
        <v>#REF!</v>
      </c>
      <c r="H773" s="608">
        <f>VLOOKUP($B773,R_DG!$A$7:$G$1305,6,0)</f>
        <v>0</v>
      </c>
      <c r="I773" s="608">
        <f>VLOOKUP($B773,R_DG!$A$7:$G$1305,7,0)</f>
        <v>0</v>
      </c>
      <c r="J773" s="608" t="e">
        <f t="shared" si="173"/>
        <v>#REF!</v>
      </c>
      <c r="K773" s="608">
        <f t="shared" si="173"/>
        <v>0</v>
      </c>
      <c r="L773" s="725">
        <f t="shared" si="173"/>
        <v>0</v>
      </c>
      <c r="M773" s="726">
        <f t="shared" ref="M773:M776" si="174">IF(F773&gt;0,M$771,0)</f>
        <v>0</v>
      </c>
      <c r="N773" s="727">
        <f t="shared" ref="N773:N776" ca="1" si="175">$F773*N$771</f>
        <v>0</v>
      </c>
    </row>
    <row r="774" spans="1:14" ht="15.75" hidden="1">
      <c r="A774" s="696"/>
      <c r="B774" s="226" t="s">
        <v>2462</v>
      </c>
      <c r="C774" s="713">
        <f>VLOOKUP($B774,R_DG!$A$7:$G$1305,2,0)</f>
        <v>0</v>
      </c>
      <c r="D774" s="723" t="str">
        <f>VLOOKUP($B774,R_DG!$A$7:$G$1305,3,0)</f>
        <v>Cáp đồng bọc CV50</v>
      </c>
      <c r="E774" s="714" t="str">
        <f>VLOOKUP($B774,R_DG!$A$7:$G$1305,4,0)</f>
        <v>mét</v>
      </c>
      <c r="F774" s="724">
        <v>6</v>
      </c>
      <c r="G774" s="608">
        <f>VLOOKUP($B774,R_DG!$A$7:$G$1305,5,0)</f>
        <v>91800</v>
      </c>
      <c r="H774" s="608">
        <f>VLOOKUP($B774,R_DG!$A$7:$G$1305,6,0)</f>
        <v>0</v>
      </c>
      <c r="I774" s="608">
        <f>VLOOKUP($B774,R_DG!$A$7:$G$1305,7,0)</f>
        <v>0</v>
      </c>
      <c r="J774" s="608">
        <f t="shared" si="173"/>
        <v>550800</v>
      </c>
      <c r="K774" s="608">
        <f t="shared" si="173"/>
        <v>0</v>
      </c>
      <c r="L774" s="725">
        <f t="shared" si="173"/>
        <v>0</v>
      </c>
      <c r="M774" s="726">
        <f t="shared" si="174"/>
        <v>0</v>
      </c>
      <c r="N774" s="727">
        <f t="shared" ca="1" si="175"/>
        <v>0</v>
      </c>
    </row>
    <row r="775" spans="1:14" ht="15.75" hidden="1">
      <c r="A775" s="696"/>
      <c r="B775" s="226" t="s">
        <v>2993</v>
      </c>
      <c r="C775" s="713">
        <f>VLOOKUP($B775,R_DG!$A$7:$G$1305,2,0)</f>
        <v>0</v>
      </c>
      <c r="D775" s="723" t="str">
        <f>VLOOKUP($B775,R_DG!$A$7:$G$1305,3,0)</f>
        <v>Đầu cosse ép Cu 50mm2</v>
      </c>
      <c r="E775" s="714" t="str">
        <f>VLOOKUP($B775,R_DG!$A$7:$G$1305,4,0)</f>
        <v>cái</v>
      </c>
      <c r="F775" s="724">
        <v>8</v>
      </c>
      <c r="G775" s="608">
        <f>VLOOKUP($B775,R_DG!$A$7:$G$1305,5,0)</f>
        <v>9100</v>
      </c>
      <c r="H775" s="608">
        <f>VLOOKUP($B775,R_DG!$A$7:$G$1305,6,0)</f>
        <v>0</v>
      </c>
      <c r="I775" s="608">
        <f>VLOOKUP($B775,R_DG!$A$7:$G$1305,7,0)</f>
        <v>0</v>
      </c>
      <c r="J775" s="608">
        <f t="shared" si="173"/>
        <v>72800</v>
      </c>
      <c r="K775" s="608">
        <f t="shared" si="173"/>
        <v>0</v>
      </c>
      <c r="L775" s="725">
        <f t="shared" si="173"/>
        <v>0</v>
      </c>
      <c r="M775" s="726">
        <f t="shared" si="174"/>
        <v>0</v>
      </c>
      <c r="N775" s="727">
        <f t="shared" ca="1" si="175"/>
        <v>0</v>
      </c>
    </row>
    <row r="776" spans="1:14" ht="15.75" hidden="1">
      <c r="A776" s="696"/>
      <c r="B776" s="226" t="s">
        <v>3040</v>
      </c>
      <c r="C776" s="713">
        <f>VLOOKUP($B776,R_DG!$A$7:$G$1305,2,0)</f>
        <v>0</v>
      </c>
      <c r="D776" s="723" t="str">
        <f>VLOOKUP($B776,R_DG!$A$7:$G$1305,3,0)</f>
        <v>Ống nối dây cỡ 120mm2</v>
      </c>
      <c r="E776" s="714" t="str">
        <f>VLOOKUP($B776,R_DG!$A$7:$G$1305,4,0)</f>
        <v>cái</v>
      </c>
      <c r="F776" s="724">
        <v>4</v>
      </c>
      <c r="G776" s="608">
        <f>VLOOKUP($B776,R_DG!$A$7:$G$1305,5,0)</f>
        <v>122000</v>
      </c>
      <c r="H776" s="608">
        <f>VLOOKUP($B776,R_DG!$A$7:$G$1305,6,0)</f>
        <v>259648.56000000003</v>
      </c>
      <c r="I776" s="608">
        <f>VLOOKUP($B776,R_DG!$A$7:$G$1305,7,0)</f>
        <v>0</v>
      </c>
      <c r="J776" s="608">
        <f t="shared" si="173"/>
        <v>488000</v>
      </c>
      <c r="K776" s="608">
        <f t="shared" si="173"/>
        <v>1038594.2400000001</v>
      </c>
      <c r="L776" s="725">
        <f t="shared" si="173"/>
        <v>0</v>
      </c>
      <c r="M776" s="726">
        <f t="shared" si="174"/>
        <v>0</v>
      </c>
      <c r="N776" s="727">
        <f t="shared" ca="1" si="175"/>
        <v>0</v>
      </c>
    </row>
    <row r="777" spans="1:14" ht="15.75">
      <c r="A777" s="743" t="s">
        <v>4142</v>
      </c>
      <c r="B777" s="695"/>
      <c r="C777" s="717"/>
      <c r="D777" s="718" t="s">
        <v>4143</v>
      </c>
      <c r="E777" s="718" t="s">
        <v>163</v>
      </c>
      <c r="F777" s="745"/>
      <c r="G777" s="720"/>
      <c r="H777" s="720"/>
      <c r="I777" s="720"/>
      <c r="J777" s="720" t="e">
        <f>SUM(J778:J781)</f>
        <v>#REF!</v>
      </c>
      <c r="K777" s="720">
        <f>SUM(K778:K781)</f>
        <v>347472.24</v>
      </c>
      <c r="L777" s="721">
        <f>SUM(L778:L781)</f>
        <v>0</v>
      </c>
      <c r="M777" s="693">
        <f>IF(ERROR.TYPE(IF(HLOOKUP(A777,maBK,1,0)&lt;&gt;"",#NULL!,"ABC"))&lt;&gt;7,1,0)</f>
        <v>0</v>
      </c>
      <c r="N777" s="712">
        <f ca="1">SUMIF(maBK,$A777,tongBK1)</f>
        <v>0</v>
      </c>
    </row>
    <row r="778" spans="1:14" ht="15.75" hidden="1">
      <c r="A778" s="696"/>
      <c r="B778" s="226" t="s">
        <v>3038</v>
      </c>
      <c r="C778" s="713" t="str">
        <f>VLOOKUP($B778,R_DG!$A$7:$G$1305,2,0)</f>
        <v>11.03.204</v>
      </c>
      <c r="D778" s="723" t="str">
        <f>VLOOKUP($B778,R_DG!$A$7:$G$1305,3,0)</f>
        <v>Hộp MCCB phân đoạn</v>
      </c>
      <c r="E778" s="714" t="str">
        <f>VLOOKUP($B778,R_DG!$A$7:$G$1305,4,0)</f>
        <v>cái</v>
      </c>
      <c r="F778" s="724">
        <v>1</v>
      </c>
      <c r="G778" s="608">
        <f>VLOOKUP($B778,R_DG!$A$7:$G$1305,5,0)</f>
        <v>390000</v>
      </c>
      <c r="H778" s="608">
        <f>VLOOKUP($B778,R_DG!$A$7:$G$1305,6,0)</f>
        <v>347472.24</v>
      </c>
      <c r="I778" s="608">
        <f>VLOOKUP($B778,R_DG!$A$7:$G$1305,7,0)</f>
        <v>0</v>
      </c>
      <c r="J778" s="608">
        <f t="shared" ref="J778:L782" si="176">G778*$F778</f>
        <v>390000</v>
      </c>
      <c r="K778" s="608">
        <f t="shared" si="176"/>
        <v>347472.24</v>
      </c>
      <c r="L778" s="725">
        <f t="shared" si="176"/>
        <v>0</v>
      </c>
      <c r="M778" s="726">
        <f>IF(F778&gt;0,M$766,0)</f>
        <v>0</v>
      </c>
      <c r="N778" s="727">
        <f ca="1">$F778*N$771</f>
        <v>0</v>
      </c>
    </row>
    <row r="779" spans="1:14" ht="15.75" hidden="1">
      <c r="A779" s="696"/>
      <c r="B779" s="226" t="s">
        <v>84</v>
      </c>
      <c r="C779" s="713">
        <f>VLOOKUP($B779,R_DG!$A$7:$G$1305,2,0)</f>
        <v>0</v>
      </c>
      <c r="D779" s="723" t="str">
        <f>VLOOKUP($B779,R_DG!$A$7:$G$1305,3,0)</f>
        <v>Boulon 16x250+ 2 long đền vuông D18-50x50x3/Zn</v>
      </c>
      <c r="E779" s="714" t="str">
        <f>VLOOKUP($B779,R_DG!$A$7:$G$1305,4,0)</f>
        <v>bộ</v>
      </c>
      <c r="F779" s="724">
        <v>2</v>
      </c>
      <c r="G779" s="608" t="e">
        <f>VLOOKUP($B779,R_DG!$A$7:$G$1305,5,0)</f>
        <v>#REF!</v>
      </c>
      <c r="H779" s="608">
        <f>VLOOKUP($B779,R_DG!$A$7:$G$1305,6,0)</f>
        <v>0</v>
      </c>
      <c r="I779" s="608">
        <f>VLOOKUP($B779,R_DG!$A$7:$G$1305,7,0)</f>
        <v>0</v>
      </c>
      <c r="J779" s="608" t="e">
        <f t="shared" si="176"/>
        <v>#REF!</v>
      </c>
      <c r="K779" s="608">
        <f t="shared" si="176"/>
        <v>0</v>
      </c>
      <c r="L779" s="725">
        <f t="shared" si="176"/>
        <v>0</v>
      </c>
      <c r="M779" s="726">
        <f>IF(F779&gt;0,M$766,0)</f>
        <v>0</v>
      </c>
      <c r="N779" s="727">
        <f t="shared" ref="N779:N782" ca="1" si="177">$F779*N$771</f>
        <v>0</v>
      </c>
    </row>
    <row r="780" spans="1:14" ht="15.75" hidden="1">
      <c r="A780" s="696"/>
      <c r="B780" s="226" t="s">
        <v>2462</v>
      </c>
      <c r="C780" s="713">
        <f>VLOOKUP($B780,R_DG!$A$7:$G$1305,2,0)</f>
        <v>0</v>
      </c>
      <c r="D780" s="723" t="str">
        <f>VLOOKUP($B780,R_DG!$A$7:$G$1305,3,0)</f>
        <v>Cáp đồng bọc CV50</v>
      </c>
      <c r="E780" s="714" t="str">
        <f>VLOOKUP($B780,R_DG!$A$7:$G$1305,4,0)</f>
        <v>mét</v>
      </c>
      <c r="F780" s="724">
        <v>6</v>
      </c>
      <c r="G780" s="608">
        <f>VLOOKUP($B780,R_DG!$A$7:$G$1305,5,0)</f>
        <v>91800</v>
      </c>
      <c r="H780" s="608">
        <f>VLOOKUP($B780,R_DG!$A$7:$G$1305,6,0)</f>
        <v>0</v>
      </c>
      <c r="I780" s="608">
        <f>VLOOKUP($B780,R_DG!$A$7:$G$1305,7,0)</f>
        <v>0</v>
      </c>
      <c r="J780" s="608">
        <f t="shared" si="176"/>
        <v>550800</v>
      </c>
      <c r="K780" s="608">
        <f t="shared" si="176"/>
        <v>0</v>
      </c>
      <c r="L780" s="725">
        <f t="shared" si="176"/>
        <v>0</v>
      </c>
      <c r="M780" s="726">
        <f>IF(F780&gt;0,M$766,0)</f>
        <v>0</v>
      </c>
      <c r="N780" s="727">
        <f t="shared" ca="1" si="177"/>
        <v>0</v>
      </c>
    </row>
    <row r="781" spans="1:14" ht="15.75" hidden="1">
      <c r="A781" s="696"/>
      <c r="B781" s="226" t="s">
        <v>2993</v>
      </c>
      <c r="C781" s="713">
        <f>VLOOKUP($B781,R_DG!$A$7:$G$1305,2,0)</f>
        <v>0</v>
      </c>
      <c r="D781" s="723" t="str">
        <f>VLOOKUP($B781,R_DG!$A$7:$G$1305,3,0)</f>
        <v>Đầu cosse ép Cu 50mm2</v>
      </c>
      <c r="E781" s="714" t="str">
        <f>VLOOKUP($B781,R_DG!$A$7:$G$1305,4,0)</f>
        <v>cái</v>
      </c>
      <c r="F781" s="724">
        <v>8</v>
      </c>
      <c r="G781" s="608">
        <f>VLOOKUP($B781,R_DG!$A$7:$G$1305,5,0)</f>
        <v>9100</v>
      </c>
      <c r="H781" s="608">
        <f>VLOOKUP($B781,R_DG!$A$7:$G$1305,6,0)</f>
        <v>0</v>
      </c>
      <c r="I781" s="608">
        <f>VLOOKUP($B781,R_DG!$A$7:$G$1305,7,0)</f>
        <v>0</v>
      </c>
      <c r="J781" s="608">
        <f t="shared" si="176"/>
        <v>72800</v>
      </c>
      <c r="K781" s="608">
        <f t="shared" si="176"/>
        <v>0</v>
      </c>
      <c r="L781" s="725">
        <f t="shared" si="176"/>
        <v>0</v>
      </c>
      <c r="M781" s="726">
        <f>IF(F781&gt;0,M$766,0)</f>
        <v>0</v>
      </c>
      <c r="N781" s="727">
        <f t="shared" ca="1" si="177"/>
        <v>0</v>
      </c>
    </row>
    <row r="782" spans="1:14" ht="15.75" hidden="1">
      <c r="A782" s="696"/>
      <c r="B782" s="226" t="s">
        <v>3040</v>
      </c>
      <c r="C782" s="713">
        <f>VLOOKUP($B782,R_DG!$A$7:$G$1305,2,0)</f>
        <v>0</v>
      </c>
      <c r="D782" s="723" t="str">
        <f>VLOOKUP($B782,R_DG!$A$7:$G$1305,3,0)</f>
        <v>Ống nối dây cỡ 120mm2</v>
      </c>
      <c r="E782" s="714" t="str">
        <f>VLOOKUP($B782,R_DG!$A$7:$G$1305,4,0)</f>
        <v>cái</v>
      </c>
      <c r="F782" s="724">
        <v>4</v>
      </c>
      <c r="G782" s="608">
        <f>VLOOKUP($B782,R_DG!$A$7:$G$1305,5,0)</f>
        <v>122000</v>
      </c>
      <c r="H782" s="608">
        <f>VLOOKUP($B782,R_DG!$A$7:$G$1305,6,0)</f>
        <v>259648.56000000003</v>
      </c>
      <c r="I782" s="608">
        <f>VLOOKUP($B782,R_DG!$A$7:$G$1305,7,0)</f>
        <v>0</v>
      </c>
      <c r="J782" s="608">
        <f t="shared" si="176"/>
        <v>488000</v>
      </c>
      <c r="K782" s="608">
        <f t="shared" si="176"/>
        <v>1038594.2400000001</v>
      </c>
      <c r="L782" s="725">
        <f t="shared" si="176"/>
        <v>0</v>
      </c>
      <c r="M782" s="726">
        <f>IF(F782&gt;0,M$766,0)</f>
        <v>0</v>
      </c>
      <c r="N782" s="727">
        <f t="shared" ca="1" si="177"/>
        <v>0</v>
      </c>
    </row>
    <row r="783" spans="1:14" ht="15.75">
      <c r="A783" s="743" t="s">
        <v>3035</v>
      </c>
      <c r="B783" s="695"/>
      <c r="C783" s="717"/>
      <c r="D783" s="718" t="s">
        <v>3043</v>
      </c>
      <c r="E783" s="718" t="s">
        <v>163</v>
      </c>
      <c r="F783" s="745"/>
      <c r="G783" s="720"/>
      <c r="H783" s="720"/>
      <c r="I783" s="720"/>
      <c r="J783" s="720">
        <f>SUM(J784:J785)</f>
        <v>63400</v>
      </c>
      <c r="K783" s="720">
        <f>SUM(K784:K785)</f>
        <v>0</v>
      </c>
      <c r="L783" s="721">
        <f>SUM(L784:L785)</f>
        <v>0</v>
      </c>
      <c r="M783" s="693">
        <f>IF(ERROR.TYPE(IF(HLOOKUP(A783,maBK,1,0)&lt;&gt;"",#NULL!,"ABC"))&lt;&gt;7,1,0)</f>
        <v>0</v>
      </c>
      <c r="N783" s="712">
        <f ca="1">SUMIF(maBK,$A783,tongBK1)</f>
        <v>0</v>
      </c>
    </row>
    <row r="784" spans="1:14" ht="15.75" hidden="1">
      <c r="A784" s="696"/>
      <c r="B784" s="226" t="s">
        <v>2799</v>
      </c>
      <c r="C784" s="713">
        <f>VLOOKUP($B784,R_DG!$A$7:$G$1305,2,0)</f>
        <v>0</v>
      </c>
      <c r="D784" s="723" t="str">
        <f>VLOOKUP($B784,R_DG!$A$7:$G$1305,3,0)</f>
        <v xml:space="preserve">Móc đơn treo cáp </v>
      </c>
      <c r="E784" s="714" t="str">
        <f>VLOOKUP($B784,R_DG!$A$7:$G$1305,4,0)</f>
        <v>cái</v>
      </c>
      <c r="F784" s="724">
        <v>1</v>
      </c>
      <c r="G784" s="608">
        <f>VLOOKUP($B784,R_DG!$A$7:$G$1305,5,0)</f>
        <v>34000</v>
      </c>
      <c r="H784" s="608">
        <f>VLOOKUP($B784,R_DG!$A$7:$G$1305,6,0)</f>
        <v>0</v>
      </c>
      <c r="I784" s="608">
        <f>VLOOKUP($B784,R_DG!$A$7:$G$1305,7,0)</f>
        <v>0</v>
      </c>
      <c r="J784" s="608">
        <f t="shared" ref="J784:L785" si="178">G784*$F784</f>
        <v>34000</v>
      </c>
      <c r="K784" s="608">
        <f t="shared" si="178"/>
        <v>0</v>
      </c>
      <c r="L784" s="725">
        <f t="shared" si="178"/>
        <v>0</v>
      </c>
      <c r="M784" s="726">
        <f>IF(F784&gt;0,M$783,0)</f>
        <v>0</v>
      </c>
      <c r="N784" s="727">
        <f ca="1">$F784*N$783</f>
        <v>0</v>
      </c>
    </row>
    <row r="785" spans="1:14" ht="15.75" hidden="1">
      <c r="A785" s="696"/>
      <c r="B785" s="226" t="s">
        <v>2798</v>
      </c>
      <c r="C785" s="713">
        <f>VLOOKUP($B785,R_DG!$A$7:$G$1305,2,0)</f>
        <v>0</v>
      </c>
      <c r="D785" s="723" t="str">
        <f>VLOOKUP($B785,R_DG!$A$7:$G$1305,3,0)</f>
        <v>Boulon móc 16x250+ 2 long đền vuông D18-50x50x3/Zn</v>
      </c>
      <c r="E785" s="714" t="str">
        <f>VLOOKUP($B785,R_DG!$A$7:$G$1305,4,0)</f>
        <v>bộ</v>
      </c>
      <c r="F785" s="724">
        <v>1</v>
      </c>
      <c r="G785" s="608">
        <f>VLOOKUP($B785,R_DG!$A$7:$G$1305,5,0)</f>
        <v>29400</v>
      </c>
      <c r="H785" s="608">
        <f>VLOOKUP($B785,R_DG!$A$7:$G$1305,6,0)</f>
        <v>0</v>
      </c>
      <c r="I785" s="608">
        <f>VLOOKUP($B785,R_DG!$A$7:$G$1305,7,0)</f>
        <v>0</v>
      </c>
      <c r="J785" s="608">
        <f t="shared" si="178"/>
        <v>29400</v>
      </c>
      <c r="K785" s="608">
        <f t="shared" si="178"/>
        <v>0</v>
      </c>
      <c r="L785" s="725">
        <f t="shared" si="178"/>
        <v>0</v>
      </c>
      <c r="M785" s="726">
        <f>IF(F785&gt;0,M$783,0)</f>
        <v>0</v>
      </c>
      <c r="N785" s="727">
        <f ca="1">$F785*N$783</f>
        <v>0</v>
      </c>
    </row>
    <row r="786" spans="1:14" ht="15.75">
      <c r="A786" s="743" t="s">
        <v>3036</v>
      </c>
      <c r="B786" s="695"/>
      <c r="C786" s="717"/>
      <c r="D786" s="718" t="s">
        <v>3042</v>
      </c>
      <c r="E786" s="718" t="s">
        <v>163</v>
      </c>
      <c r="F786" s="745"/>
      <c r="G786" s="720"/>
      <c r="H786" s="720"/>
      <c r="I786" s="720"/>
      <c r="J786" s="720">
        <f>SUM(J787:J789)</f>
        <v>134400</v>
      </c>
      <c r="K786" s="720">
        <f>SUM(K787:K789)</f>
        <v>0</v>
      </c>
      <c r="L786" s="721">
        <f>SUM(L787:L789)</f>
        <v>0</v>
      </c>
      <c r="M786" s="693">
        <f>IF(ERROR.TYPE(IF(HLOOKUP(A786,maBK,1,0)&lt;&gt;"",#NULL!,"ABC"))&lt;&gt;7,1,0)</f>
        <v>0</v>
      </c>
      <c r="N786" s="712">
        <f ca="1">SUMIF(maBK,$A786,tongBK1)</f>
        <v>0</v>
      </c>
    </row>
    <row r="787" spans="1:14" ht="15.75" hidden="1">
      <c r="A787" s="696"/>
      <c r="B787" s="226" t="s">
        <v>2799</v>
      </c>
      <c r="C787" s="713">
        <f>VLOOKUP($B787,R_DG!$A$7:$G$1305,2,0)</f>
        <v>0</v>
      </c>
      <c r="D787" s="723" t="str">
        <f>VLOOKUP($B787,R_DG!$A$7:$G$1305,3,0)</f>
        <v xml:space="preserve">Móc đơn treo cáp </v>
      </c>
      <c r="E787" s="714" t="str">
        <f>VLOOKUP($B787,R_DG!$A$7:$G$1305,4,0)</f>
        <v>cái</v>
      </c>
      <c r="F787" s="724">
        <v>2</v>
      </c>
      <c r="G787" s="608">
        <f>VLOOKUP($B787,R_DG!$A$7:$G$1305,5,0)</f>
        <v>34000</v>
      </c>
      <c r="H787" s="608">
        <f>VLOOKUP($B787,R_DG!$A$7:$G$1305,6,0)</f>
        <v>0</v>
      </c>
      <c r="I787" s="608">
        <f>VLOOKUP($B787,R_DG!$A$7:$G$1305,7,0)</f>
        <v>0</v>
      </c>
      <c r="J787" s="608">
        <f t="shared" ref="J787:L789" si="179">G787*$F787</f>
        <v>68000</v>
      </c>
      <c r="K787" s="608">
        <f t="shared" si="179"/>
        <v>0</v>
      </c>
      <c r="L787" s="725">
        <f t="shared" si="179"/>
        <v>0</v>
      </c>
      <c r="M787" s="726">
        <f>IF(F787&gt;0,M$786,0)</f>
        <v>0</v>
      </c>
      <c r="N787" s="727">
        <f ca="1">$F787*N$786</f>
        <v>0</v>
      </c>
    </row>
    <row r="788" spans="1:14" ht="15.75" hidden="1">
      <c r="A788" s="696"/>
      <c r="B788" s="226" t="s">
        <v>2801</v>
      </c>
      <c r="C788" s="713">
        <f>VLOOKUP($B788,R_DG!$A$7:$G$1305,2,0)</f>
        <v>0</v>
      </c>
      <c r="D788" s="723" t="str">
        <f>VLOOKUP($B788,R_DG!$A$7:$G$1305,3,0)</f>
        <v>Móc treo chữ A</v>
      </c>
      <c r="E788" s="714" t="str">
        <f>VLOOKUP($B788,R_DG!$A$7:$G$1305,4,0)</f>
        <v>cái</v>
      </c>
      <c r="F788" s="724">
        <v>1</v>
      </c>
      <c r="G788" s="608">
        <f>VLOOKUP($B788,R_DG!$A$7:$G$1305,5,0)</f>
        <v>37000</v>
      </c>
      <c r="H788" s="608">
        <f>VLOOKUP($B788,R_DG!$A$7:$G$1305,6,0)</f>
        <v>0</v>
      </c>
      <c r="I788" s="608">
        <f>VLOOKUP($B788,R_DG!$A$7:$G$1305,7,0)</f>
        <v>0</v>
      </c>
      <c r="J788" s="608">
        <f t="shared" si="179"/>
        <v>37000</v>
      </c>
      <c r="K788" s="608">
        <f t="shared" si="179"/>
        <v>0</v>
      </c>
      <c r="L788" s="725">
        <f t="shared" si="179"/>
        <v>0</v>
      </c>
      <c r="M788" s="726">
        <f>IF(F788&gt;0,M$786,0)</f>
        <v>0</v>
      </c>
      <c r="N788" s="727">
        <f ca="1">$F788*N$786</f>
        <v>0</v>
      </c>
    </row>
    <row r="789" spans="1:14" ht="15.75" hidden="1">
      <c r="A789" s="696"/>
      <c r="B789" s="226" t="s">
        <v>2798</v>
      </c>
      <c r="C789" s="713">
        <f>VLOOKUP($B789,R_DG!$A$7:$G$1305,2,0)</f>
        <v>0</v>
      </c>
      <c r="D789" s="723" t="str">
        <f>VLOOKUP($B789,R_DG!$A$7:$G$1305,3,0)</f>
        <v>Boulon móc 16x250+ 2 long đền vuông D18-50x50x3/Zn</v>
      </c>
      <c r="E789" s="714" t="str">
        <f>VLOOKUP($B789,R_DG!$A$7:$G$1305,4,0)</f>
        <v>bộ</v>
      </c>
      <c r="F789" s="724">
        <v>1</v>
      </c>
      <c r="G789" s="608">
        <f>VLOOKUP($B789,R_DG!$A$7:$G$1305,5,0)</f>
        <v>29400</v>
      </c>
      <c r="H789" s="608">
        <f>VLOOKUP($B789,R_DG!$A$7:$G$1305,6,0)</f>
        <v>0</v>
      </c>
      <c r="I789" s="608">
        <f>VLOOKUP($B789,R_DG!$A$7:$G$1305,7,0)</f>
        <v>0</v>
      </c>
      <c r="J789" s="608">
        <f t="shared" si="179"/>
        <v>29400</v>
      </c>
      <c r="K789" s="608">
        <f t="shared" si="179"/>
        <v>0</v>
      </c>
      <c r="L789" s="725">
        <f t="shared" si="179"/>
        <v>0</v>
      </c>
      <c r="M789" s="726">
        <f>IF(F789&gt;0,M$786,0)</f>
        <v>0</v>
      </c>
      <c r="N789" s="727">
        <f ca="1">$F789*N$786</f>
        <v>0</v>
      </c>
    </row>
    <row r="790" spans="1:14" ht="15.75">
      <c r="A790" s="743" t="s">
        <v>3037</v>
      </c>
      <c r="B790" s="695"/>
      <c r="C790" s="717"/>
      <c r="D790" s="718" t="s">
        <v>3041</v>
      </c>
      <c r="E790" s="718" t="s">
        <v>163</v>
      </c>
      <c r="F790" s="745"/>
      <c r="G790" s="720"/>
      <c r="H790" s="720"/>
      <c r="I790" s="720"/>
      <c r="J790" s="720">
        <f>SUM(J791:J794)</f>
        <v>112300</v>
      </c>
      <c r="K790" s="720">
        <f>SUM(K791:K794)</f>
        <v>176680.8</v>
      </c>
      <c r="L790" s="721">
        <f>SUM(L791:L794)</f>
        <v>0</v>
      </c>
      <c r="M790" s="693">
        <f>IF(ERROR.TYPE(IF(HLOOKUP(A790,maBK,1,0)&lt;&gt;"",#NULL!,"ABC"))&lt;&gt;7,1,0)</f>
        <v>0</v>
      </c>
      <c r="N790" s="712">
        <f ca="1">SUMIF(maBK,$A790,tongBK1)</f>
        <v>0</v>
      </c>
    </row>
    <row r="791" spans="1:14" ht="15.75" hidden="1">
      <c r="A791" s="696"/>
      <c r="B791" s="226" t="s">
        <v>2325</v>
      </c>
      <c r="C791" s="713">
        <f>VLOOKUP($B791,R_DG!$A$7:$G$1305,2,0)</f>
        <v>0</v>
      </c>
      <c r="D791" s="723" t="str">
        <f>VLOOKUP($B791,R_DG!$A$7:$G$1305,3,0)</f>
        <v xml:space="preserve">Móc dừng </v>
      </c>
      <c r="E791" s="714" t="str">
        <f>VLOOKUP($B791,R_DG!$A$7:$G$1305,4,0)</f>
        <v>cái</v>
      </c>
      <c r="F791" s="724"/>
      <c r="G791" s="608">
        <f>VLOOKUP($B791,R_DG!$A$7:$G$1305,5,0)</f>
        <v>11400</v>
      </c>
      <c r="H791" s="608">
        <f>VLOOKUP($B791,R_DG!$A$7:$G$1305,6,0)</f>
        <v>0</v>
      </c>
      <c r="I791" s="608">
        <f>VLOOKUP($B791,R_DG!$A$7:$G$1305,7,0)</f>
        <v>0</v>
      </c>
      <c r="J791" s="608">
        <f t="shared" ref="J791:L794" si="180">G791*$F791</f>
        <v>0</v>
      </c>
      <c r="K791" s="608">
        <f t="shared" si="180"/>
        <v>0</v>
      </c>
      <c r="L791" s="725">
        <f t="shared" si="180"/>
        <v>0</v>
      </c>
      <c r="M791" s="726">
        <f>IF(F791&gt;0,M$790,0)</f>
        <v>0</v>
      </c>
      <c r="N791" s="727">
        <f ca="1">$F791*N$790</f>
        <v>0</v>
      </c>
    </row>
    <row r="792" spans="1:14" ht="15.75" hidden="1">
      <c r="A792" s="696"/>
      <c r="B792" s="226" t="s">
        <v>461</v>
      </c>
      <c r="C792" s="713" t="str">
        <f>VLOOKUP($B792,R_DG!$A$7:$G$1305,2,0)</f>
        <v>D4.6205</v>
      </c>
      <c r="D792" s="723" t="str">
        <f>VLOOKUP($B792,R_DG!$A$7:$G$1305,3,0)</f>
        <v>Kẹp ngừng cáp ABC4x120mm2</v>
      </c>
      <c r="E792" s="714" t="str">
        <f>VLOOKUP($B792,R_DG!$A$7:$G$1305,4,0)</f>
        <v>cái</v>
      </c>
      <c r="F792" s="724">
        <v>1</v>
      </c>
      <c r="G792" s="608">
        <f>VLOOKUP($B792,R_DG!$A$7:$G$1305,5,0)</f>
        <v>79000</v>
      </c>
      <c r="H792" s="608">
        <f>VLOOKUP($B792,R_DG!$A$7:$G$1305,6,0)</f>
        <v>176680.8</v>
      </c>
      <c r="I792" s="608">
        <f>VLOOKUP($B792,R_DG!$A$7:$G$1305,7,0)</f>
        <v>0</v>
      </c>
      <c r="J792" s="608">
        <f t="shared" si="180"/>
        <v>79000</v>
      </c>
      <c r="K792" s="608">
        <f t="shared" si="180"/>
        <v>176680.8</v>
      </c>
      <c r="L792" s="725">
        <f t="shared" si="180"/>
        <v>0</v>
      </c>
      <c r="M792" s="726">
        <f>IF(F792&gt;0,M$790,0)</f>
        <v>0</v>
      </c>
      <c r="N792" s="727">
        <f ca="1">$F792*N$790</f>
        <v>0</v>
      </c>
    </row>
    <row r="793" spans="1:14" ht="15.75" hidden="1">
      <c r="A793" s="696"/>
      <c r="B793" s="226" t="s">
        <v>2802</v>
      </c>
      <c r="C793" s="713">
        <f>VLOOKUP($B793,R_DG!$A$7:$G$1305,2,0)</f>
        <v>0</v>
      </c>
      <c r="D793" s="723" t="str">
        <f>VLOOKUP($B793,R_DG!$A$7:$G$1305,3,0)</f>
        <v>Nắp bịt đầu cáp ABC95mm2</v>
      </c>
      <c r="E793" s="714" t="str">
        <f>VLOOKUP($B793,R_DG!$A$7:$G$1305,4,0)</f>
        <v>cái</v>
      </c>
      <c r="F793" s="724">
        <v>1</v>
      </c>
      <c r="G793" s="608">
        <f>VLOOKUP($B793,R_DG!$A$7:$G$1305,5,0)</f>
        <v>3900</v>
      </c>
      <c r="H793" s="608">
        <f>VLOOKUP($B793,R_DG!$A$7:$G$1305,6,0)</f>
        <v>0</v>
      </c>
      <c r="I793" s="608">
        <f>VLOOKUP($B793,R_DG!$A$7:$G$1305,7,0)</f>
        <v>0</v>
      </c>
      <c r="J793" s="608">
        <f t="shared" si="180"/>
        <v>3900</v>
      </c>
      <c r="K793" s="608">
        <f t="shared" si="180"/>
        <v>0</v>
      </c>
      <c r="L793" s="725">
        <f t="shared" si="180"/>
        <v>0</v>
      </c>
      <c r="M793" s="726">
        <f>IF(F793&gt;0,M$790,0)</f>
        <v>0</v>
      </c>
      <c r="N793" s="727">
        <f ca="1">$F793*N$790</f>
        <v>0</v>
      </c>
    </row>
    <row r="794" spans="1:14" ht="15.75" hidden="1">
      <c r="A794" s="696"/>
      <c r="B794" s="226" t="s">
        <v>2798</v>
      </c>
      <c r="C794" s="713">
        <f>VLOOKUP($B794,R_DG!$A$7:$G$1305,2,0)</f>
        <v>0</v>
      </c>
      <c r="D794" s="723" t="str">
        <f>VLOOKUP($B794,R_DG!$A$7:$G$1305,3,0)</f>
        <v>Boulon móc 16x250+ 2 long đền vuông D18-50x50x3/Zn</v>
      </c>
      <c r="E794" s="714" t="str">
        <f>VLOOKUP($B794,R_DG!$A$7:$G$1305,4,0)</f>
        <v>bộ</v>
      </c>
      <c r="F794" s="724">
        <v>1</v>
      </c>
      <c r="G794" s="608">
        <f>VLOOKUP($B794,R_DG!$A$7:$G$1305,5,0)</f>
        <v>29400</v>
      </c>
      <c r="H794" s="608">
        <f>VLOOKUP($B794,R_DG!$A$7:$G$1305,6,0)</f>
        <v>0</v>
      </c>
      <c r="I794" s="608">
        <f>VLOOKUP($B794,R_DG!$A$7:$G$1305,7,0)</f>
        <v>0</v>
      </c>
      <c r="J794" s="608">
        <f t="shared" si="180"/>
        <v>29400</v>
      </c>
      <c r="K794" s="608">
        <f t="shared" si="180"/>
        <v>0</v>
      </c>
      <c r="L794" s="725">
        <f t="shared" si="180"/>
        <v>0</v>
      </c>
      <c r="M794" s="726">
        <f>IF(F794&gt;0,M$790,0)</f>
        <v>0</v>
      </c>
      <c r="N794" s="727">
        <f ca="1">$F794*N$790</f>
        <v>0</v>
      </c>
    </row>
    <row r="795" spans="1:14" ht="15.75">
      <c r="A795" s="743" t="s">
        <v>3044</v>
      </c>
      <c r="B795" s="695"/>
      <c r="C795" s="717"/>
      <c r="D795" s="718" t="s">
        <v>3047</v>
      </c>
      <c r="E795" s="718" t="s">
        <v>163</v>
      </c>
      <c r="F795" s="745"/>
      <c r="G795" s="720"/>
      <c r="H795" s="720"/>
      <c r="I795" s="720"/>
      <c r="J795" s="720">
        <f>SUM(J796:J797)</f>
        <v>61500</v>
      </c>
      <c r="K795" s="720">
        <f>SUM(K796:K797)</f>
        <v>0</v>
      </c>
      <c r="L795" s="721">
        <f>SUM(L796:L797)</f>
        <v>0</v>
      </c>
      <c r="M795" s="693">
        <f>IF(ERROR.TYPE(IF(HLOOKUP(A795,maBK,1,0)&lt;&gt;"",#NULL!,"ABC"))&lt;&gt;7,1,0)</f>
        <v>0</v>
      </c>
      <c r="N795" s="712">
        <f ca="1">SUMIF(maBK,$A795,tongBK1)</f>
        <v>0</v>
      </c>
    </row>
    <row r="796" spans="1:14" ht="15.75" hidden="1">
      <c r="A796" s="696"/>
      <c r="B796" s="226" t="s">
        <v>2799</v>
      </c>
      <c r="C796" s="713">
        <f>VLOOKUP($B796,R_DG!$A$7:$G$1305,2,0)</f>
        <v>0</v>
      </c>
      <c r="D796" s="723" t="str">
        <f>VLOOKUP($B796,R_DG!$A$7:$G$1305,3,0)</f>
        <v xml:space="preserve">Móc đơn treo cáp </v>
      </c>
      <c r="E796" s="714" t="str">
        <f>VLOOKUP($B796,R_DG!$A$7:$G$1305,4,0)</f>
        <v>cái</v>
      </c>
      <c r="F796" s="724">
        <v>1</v>
      </c>
      <c r="G796" s="608">
        <f>VLOOKUP($B796,R_DG!$A$7:$G$1305,5,0)</f>
        <v>34000</v>
      </c>
      <c r="H796" s="608">
        <f>VLOOKUP($B796,R_DG!$A$7:$G$1305,6,0)</f>
        <v>0</v>
      </c>
      <c r="I796" s="608">
        <f>VLOOKUP($B796,R_DG!$A$7:$G$1305,7,0)</f>
        <v>0</v>
      </c>
      <c r="J796" s="608">
        <f t="shared" ref="J796:L797" si="181">G796*$F796</f>
        <v>34000</v>
      </c>
      <c r="K796" s="608">
        <f t="shared" si="181"/>
        <v>0</v>
      </c>
      <c r="L796" s="725">
        <f t="shared" si="181"/>
        <v>0</v>
      </c>
      <c r="M796" s="726">
        <f>IF(F796&gt;0,M$795,0)</f>
        <v>0</v>
      </c>
      <c r="N796" s="727">
        <f ca="1">$F796*N$795</f>
        <v>0</v>
      </c>
    </row>
    <row r="797" spans="1:14" ht="15.75" hidden="1">
      <c r="A797" s="696"/>
      <c r="B797" s="226" t="s">
        <v>3050</v>
      </c>
      <c r="C797" s="713">
        <f>VLOOKUP($B797,R_DG!$A$7:$G$1305,2,0)</f>
        <v>0</v>
      </c>
      <c r="D797" s="723" t="str">
        <f>VLOOKUP($B797,R_DG!$A$7:$G$1305,3,0)</f>
        <v>Boulon móc 16x200+ 2 long đền vuông D18-50x50x3/Zn</v>
      </c>
      <c r="E797" s="714" t="str">
        <f>VLOOKUP($B797,R_DG!$A$7:$G$1305,4,0)</f>
        <v>bộ</v>
      </c>
      <c r="F797" s="724">
        <v>1</v>
      </c>
      <c r="G797" s="608">
        <f>VLOOKUP($B797,R_DG!$A$7:$G$1305,5,0)</f>
        <v>27500</v>
      </c>
      <c r="H797" s="608">
        <f>VLOOKUP($B797,R_DG!$A$7:$G$1305,6,0)</f>
        <v>0</v>
      </c>
      <c r="I797" s="608">
        <f>VLOOKUP($B797,R_DG!$A$7:$G$1305,7,0)</f>
        <v>0</v>
      </c>
      <c r="J797" s="608">
        <f t="shared" si="181"/>
        <v>27500</v>
      </c>
      <c r="K797" s="608">
        <f t="shared" si="181"/>
        <v>0</v>
      </c>
      <c r="L797" s="725">
        <f t="shared" si="181"/>
        <v>0</v>
      </c>
      <c r="M797" s="726">
        <f>IF(F797&gt;0,M$795,0)</f>
        <v>0</v>
      </c>
      <c r="N797" s="727">
        <f ca="1">$F797*N$795</f>
        <v>0</v>
      </c>
    </row>
    <row r="798" spans="1:14" ht="15.75">
      <c r="A798" s="743" t="s">
        <v>3045</v>
      </c>
      <c r="B798" s="695"/>
      <c r="C798" s="717"/>
      <c r="D798" s="718" t="s">
        <v>3048</v>
      </c>
      <c r="E798" s="718" t="s">
        <v>163</v>
      </c>
      <c r="F798" s="745"/>
      <c r="G798" s="720"/>
      <c r="H798" s="720"/>
      <c r="I798" s="720"/>
      <c r="J798" s="720">
        <f>SUM(J799:J801)</f>
        <v>132500</v>
      </c>
      <c r="K798" s="720">
        <f>SUM(K799:K801)</f>
        <v>0</v>
      </c>
      <c r="L798" s="721">
        <f>SUM(L799:L801)</f>
        <v>0</v>
      </c>
      <c r="M798" s="693">
        <f>IF(ERROR.TYPE(IF(HLOOKUP(A798,maBK,1,0)&lt;&gt;"",#NULL!,"ABC"))&lt;&gt;7,1,0)</f>
        <v>0</v>
      </c>
      <c r="N798" s="712">
        <f ca="1">SUMIF(maBK,$A798,tongBK1)</f>
        <v>0</v>
      </c>
    </row>
    <row r="799" spans="1:14" ht="15.75" hidden="1">
      <c r="A799" s="696"/>
      <c r="B799" s="226" t="s">
        <v>2799</v>
      </c>
      <c r="C799" s="713">
        <f>VLOOKUP($B799,R_DG!$A$7:$G$1305,2,0)</f>
        <v>0</v>
      </c>
      <c r="D799" s="723" t="str">
        <f>VLOOKUP($B799,R_DG!$A$7:$G$1305,3,0)</f>
        <v xml:space="preserve">Móc đơn treo cáp </v>
      </c>
      <c r="E799" s="714" t="str">
        <f>VLOOKUP($B799,R_DG!$A$7:$G$1305,4,0)</f>
        <v>cái</v>
      </c>
      <c r="F799" s="724">
        <v>2</v>
      </c>
      <c r="G799" s="608">
        <f>VLOOKUP($B799,R_DG!$A$7:$G$1305,5,0)</f>
        <v>34000</v>
      </c>
      <c r="H799" s="608">
        <f>VLOOKUP($B799,R_DG!$A$7:$G$1305,6,0)</f>
        <v>0</v>
      </c>
      <c r="I799" s="608">
        <f>VLOOKUP($B799,R_DG!$A$7:$G$1305,7,0)</f>
        <v>0</v>
      </c>
      <c r="J799" s="608">
        <f t="shared" ref="J799:L801" si="182">G799*$F799</f>
        <v>68000</v>
      </c>
      <c r="K799" s="608">
        <f t="shared" si="182"/>
        <v>0</v>
      </c>
      <c r="L799" s="725">
        <f t="shared" si="182"/>
        <v>0</v>
      </c>
      <c r="M799" s="726">
        <f>IF(F799&gt;0,M$798,0)</f>
        <v>0</v>
      </c>
      <c r="N799" s="727">
        <f ca="1">$F799*N$798</f>
        <v>0</v>
      </c>
    </row>
    <row r="800" spans="1:14" ht="15.75" hidden="1">
      <c r="A800" s="696"/>
      <c r="B800" s="226" t="s">
        <v>2801</v>
      </c>
      <c r="C800" s="713">
        <f>VLOOKUP($B800,R_DG!$A$7:$G$1305,2,0)</f>
        <v>0</v>
      </c>
      <c r="D800" s="723" t="str">
        <f>VLOOKUP($B800,R_DG!$A$7:$G$1305,3,0)</f>
        <v>Móc treo chữ A</v>
      </c>
      <c r="E800" s="714" t="str">
        <f>VLOOKUP($B800,R_DG!$A$7:$G$1305,4,0)</f>
        <v>cái</v>
      </c>
      <c r="F800" s="724">
        <v>1</v>
      </c>
      <c r="G800" s="608">
        <f>VLOOKUP($B800,R_DG!$A$7:$G$1305,5,0)</f>
        <v>37000</v>
      </c>
      <c r="H800" s="608">
        <f>VLOOKUP($B800,R_DG!$A$7:$G$1305,6,0)</f>
        <v>0</v>
      </c>
      <c r="I800" s="608">
        <f>VLOOKUP($B800,R_DG!$A$7:$G$1305,7,0)</f>
        <v>0</v>
      </c>
      <c r="J800" s="608">
        <f t="shared" si="182"/>
        <v>37000</v>
      </c>
      <c r="K800" s="608">
        <f t="shared" si="182"/>
        <v>0</v>
      </c>
      <c r="L800" s="725">
        <f t="shared" si="182"/>
        <v>0</v>
      </c>
      <c r="M800" s="726">
        <f>IF(F800&gt;0,M$798,0)</f>
        <v>0</v>
      </c>
      <c r="N800" s="727">
        <f t="shared" ref="N800:N801" ca="1" si="183">$F800*N$798</f>
        <v>0</v>
      </c>
    </row>
    <row r="801" spans="1:14" ht="15.75" hidden="1">
      <c r="A801" s="696"/>
      <c r="B801" s="226" t="s">
        <v>3050</v>
      </c>
      <c r="C801" s="713">
        <f>VLOOKUP($B801,R_DG!$A$7:$G$1305,2,0)</f>
        <v>0</v>
      </c>
      <c r="D801" s="723" t="str">
        <f>VLOOKUP($B801,R_DG!$A$7:$G$1305,3,0)</f>
        <v>Boulon móc 16x200+ 2 long đền vuông D18-50x50x3/Zn</v>
      </c>
      <c r="E801" s="714" t="str">
        <f>VLOOKUP($B801,R_DG!$A$7:$G$1305,4,0)</f>
        <v>bộ</v>
      </c>
      <c r="F801" s="724">
        <v>1</v>
      </c>
      <c r="G801" s="608">
        <f>VLOOKUP($B801,R_DG!$A$7:$G$1305,5,0)</f>
        <v>27500</v>
      </c>
      <c r="H801" s="608">
        <f>VLOOKUP($B801,R_DG!$A$7:$G$1305,6,0)</f>
        <v>0</v>
      </c>
      <c r="I801" s="608">
        <f>VLOOKUP($B801,R_DG!$A$7:$G$1305,7,0)</f>
        <v>0</v>
      </c>
      <c r="J801" s="608">
        <f t="shared" si="182"/>
        <v>27500</v>
      </c>
      <c r="K801" s="608">
        <f t="shared" si="182"/>
        <v>0</v>
      </c>
      <c r="L801" s="725">
        <f t="shared" si="182"/>
        <v>0</v>
      </c>
      <c r="M801" s="726">
        <f>IF(F801&gt;0,M$798,0)</f>
        <v>0</v>
      </c>
      <c r="N801" s="727">
        <f t="shared" ca="1" si="183"/>
        <v>0</v>
      </c>
    </row>
    <row r="802" spans="1:14" ht="15.75">
      <c r="A802" s="743" t="s">
        <v>3046</v>
      </c>
      <c r="B802" s="695"/>
      <c r="C802" s="717"/>
      <c r="D802" s="718" t="s">
        <v>3049</v>
      </c>
      <c r="E802" s="718" t="s">
        <v>163</v>
      </c>
      <c r="F802" s="745"/>
      <c r="G802" s="720"/>
      <c r="H802" s="720"/>
      <c r="I802" s="720"/>
      <c r="J802" s="720">
        <f>SUM(J803:J806)</f>
        <v>110400</v>
      </c>
      <c r="K802" s="720">
        <f>SUM(K803:K806)</f>
        <v>176680.8</v>
      </c>
      <c r="L802" s="721">
        <f>SUM(L803:L806)</f>
        <v>0</v>
      </c>
      <c r="M802" s="693">
        <f>IF(ERROR.TYPE(IF(HLOOKUP(A802,maBK,1,0)&lt;&gt;"",#NULL!,"ABC"))&lt;&gt;7,1,0)</f>
        <v>0</v>
      </c>
      <c r="N802" s="712">
        <f ca="1">SUMIF(maBK,$A802,tongBK1)</f>
        <v>0</v>
      </c>
    </row>
    <row r="803" spans="1:14" ht="15.75" hidden="1">
      <c r="A803" s="696"/>
      <c r="B803" s="226" t="s">
        <v>2325</v>
      </c>
      <c r="C803" s="713">
        <f>VLOOKUP($B803,R_DG!$A$7:$G$1305,2,0)</f>
        <v>0</v>
      </c>
      <c r="D803" s="723" t="str">
        <f>VLOOKUP($B803,R_DG!$A$7:$G$1305,3,0)</f>
        <v xml:space="preserve">Móc dừng </v>
      </c>
      <c r="E803" s="714" t="str">
        <f>VLOOKUP($B803,R_DG!$A$7:$G$1305,4,0)</f>
        <v>cái</v>
      </c>
      <c r="F803" s="724"/>
      <c r="G803" s="608">
        <f>VLOOKUP($B803,R_DG!$A$7:$G$1305,5,0)</f>
        <v>11400</v>
      </c>
      <c r="H803" s="608">
        <f>VLOOKUP($B803,R_DG!$A$7:$G$1305,6,0)</f>
        <v>0</v>
      </c>
      <c r="I803" s="608">
        <f>VLOOKUP($B803,R_DG!$A$7:$G$1305,7,0)</f>
        <v>0</v>
      </c>
      <c r="J803" s="608">
        <f t="shared" ref="J803:L806" si="184">G803*$F803</f>
        <v>0</v>
      </c>
      <c r="K803" s="608">
        <f t="shared" si="184"/>
        <v>0</v>
      </c>
      <c r="L803" s="725">
        <f t="shared" si="184"/>
        <v>0</v>
      </c>
      <c r="M803" s="726">
        <f>IF(F803&gt;0,M$802,0)</f>
        <v>0</v>
      </c>
      <c r="N803" s="727">
        <f ca="1">$F803*N$802</f>
        <v>0</v>
      </c>
    </row>
    <row r="804" spans="1:14" ht="15.75" hidden="1">
      <c r="A804" s="696"/>
      <c r="B804" s="226" t="s">
        <v>461</v>
      </c>
      <c r="C804" s="713" t="str">
        <f>VLOOKUP($B804,R_DG!$A$7:$G$1305,2,0)</f>
        <v>D4.6205</v>
      </c>
      <c r="D804" s="723" t="str">
        <f>VLOOKUP($B804,R_DG!$A$7:$G$1305,3,0)</f>
        <v>Kẹp ngừng cáp ABC4x120mm2</v>
      </c>
      <c r="E804" s="714" t="str">
        <f>VLOOKUP($B804,R_DG!$A$7:$G$1305,4,0)</f>
        <v>cái</v>
      </c>
      <c r="F804" s="724">
        <v>1</v>
      </c>
      <c r="G804" s="608">
        <f>VLOOKUP($B804,R_DG!$A$7:$G$1305,5,0)</f>
        <v>79000</v>
      </c>
      <c r="H804" s="608">
        <f>VLOOKUP($B804,R_DG!$A$7:$G$1305,6,0)</f>
        <v>176680.8</v>
      </c>
      <c r="I804" s="608">
        <f>VLOOKUP($B804,R_DG!$A$7:$G$1305,7,0)</f>
        <v>0</v>
      </c>
      <c r="J804" s="608">
        <f t="shared" si="184"/>
        <v>79000</v>
      </c>
      <c r="K804" s="608">
        <f t="shared" si="184"/>
        <v>176680.8</v>
      </c>
      <c r="L804" s="725">
        <f t="shared" si="184"/>
        <v>0</v>
      </c>
      <c r="M804" s="726">
        <f>IF(F804&gt;0,M$802,0)</f>
        <v>0</v>
      </c>
      <c r="N804" s="727">
        <f t="shared" ref="N804:N806" ca="1" si="185">$F804*N$802</f>
        <v>0</v>
      </c>
    </row>
    <row r="805" spans="1:14" ht="15.75" hidden="1">
      <c r="A805" s="696"/>
      <c r="B805" s="226" t="s">
        <v>2802</v>
      </c>
      <c r="C805" s="713">
        <f>VLOOKUP($B805,R_DG!$A$7:$G$1305,2,0)</f>
        <v>0</v>
      </c>
      <c r="D805" s="723" t="str">
        <f>VLOOKUP($B805,R_DG!$A$7:$G$1305,3,0)</f>
        <v>Nắp bịt đầu cáp ABC95mm2</v>
      </c>
      <c r="E805" s="714" t="str">
        <f>VLOOKUP($B805,R_DG!$A$7:$G$1305,4,0)</f>
        <v>cái</v>
      </c>
      <c r="F805" s="724">
        <v>1</v>
      </c>
      <c r="G805" s="608">
        <f>VLOOKUP($B805,R_DG!$A$7:$G$1305,5,0)</f>
        <v>3900</v>
      </c>
      <c r="H805" s="608">
        <f>VLOOKUP($B805,R_DG!$A$7:$G$1305,6,0)</f>
        <v>0</v>
      </c>
      <c r="I805" s="608">
        <f>VLOOKUP($B805,R_DG!$A$7:$G$1305,7,0)</f>
        <v>0</v>
      </c>
      <c r="J805" s="608">
        <f t="shared" si="184"/>
        <v>3900</v>
      </c>
      <c r="K805" s="608">
        <f t="shared" si="184"/>
        <v>0</v>
      </c>
      <c r="L805" s="725">
        <f t="shared" si="184"/>
        <v>0</v>
      </c>
      <c r="M805" s="726">
        <f>IF(F805&gt;0,M$802,0)</f>
        <v>0</v>
      </c>
      <c r="N805" s="727">
        <f t="shared" ca="1" si="185"/>
        <v>0</v>
      </c>
    </row>
    <row r="806" spans="1:14" ht="15.75" hidden="1">
      <c r="A806" s="696"/>
      <c r="B806" s="226" t="s">
        <v>3050</v>
      </c>
      <c r="C806" s="713">
        <f>VLOOKUP($B806,R_DG!$A$7:$G$1305,2,0)</f>
        <v>0</v>
      </c>
      <c r="D806" s="723" t="str">
        <f>VLOOKUP($B806,R_DG!$A$7:$G$1305,3,0)</f>
        <v>Boulon móc 16x200+ 2 long đền vuông D18-50x50x3/Zn</v>
      </c>
      <c r="E806" s="714" t="str">
        <f>VLOOKUP($B806,R_DG!$A$7:$G$1305,4,0)</f>
        <v>bộ</v>
      </c>
      <c r="F806" s="724">
        <v>1</v>
      </c>
      <c r="G806" s="608">
        <f>VLOOKUP($B806,R_DG!$A$7:$G$1305,5,0)</f>
        <v>27500</v>
      </c>
      <c r="H806" s="608">
        <f>VLOOKUP($B806,R_DG!$A$7:$G$1305,6,0)</f>
        <v>0</v>
      </c>
      <c r="I806" s="608">
        <f>VLOOKUP($B806,R_DG!$A$7:$G$1305,7,0)</f>
        <v>0</v>
      </c>
      <c r="J806" s="608">
        <f t="shared" si="184"/>
        <v>27500</v>
      </c>
      <c r="K806" s="608">
        <f t="shared" si="184"/>
        <v>0</v>
      </c>
      <c r="L806" s="725">
        <f t="shared" si="184"/>
        <v>0</v>
      </c>
      <c r="M806" s="726">
        <f>IF(F806&gt;0,M$802,0)</f>
        <v>0</v>
      </c>
      <c r="N806" s="727">
        <f t="shared" ca="1" si="185"/>
        <v>0</v>
      </c>
    </row>
    <row r="807" spans="1:14" ht="15.75">
      <c r="A807" s="743" t="s">
        <v>3057</v>
      </c>
      <c r="B807" s="695"/>
      <c r="C807" s="717"/>
      <c r="D807" s="718" t="s">
        <v>3059</v>
      </c>
      <c r="E807" s="718" t="s">
        <v>163</v>
      </c>
      <c r="F807" s="745"/>
      <c r="G807" s="720"/>
      <c r="H807" s="720"/>
      <c r="I807" s="720"/>
      <c r="J807" s="720">
        <f>SUM(J808:J825)</f>
        <v>8736900</v>
      </c>
      <c r="K807" s="720">
        <f>SUM(K808:K825)</f>
        <v>1104140.4000000001</v>
      </c>
      <c r="L807" s="721">
        <f>SUM(L808:L825)</f>
        <v>0</v>
      </c>
      <c r="M807" s="693">
        <f>IF(ERROR.TYPE(IF(HLOOKUP(A807,maBK,1,0)&lt;&gt;"",#NULL!,"ABC"))&lt;&gt;7,1,0)</f>
        <v>0</v>
      </c>
      <c r="N807" s="712">
        <f ca="1">SUMIF(maBK,$A807,tongBK1)</f>
        <v>0</v>
      </c>
    </row>
    <row r="808" spans="1:14" ht="15.75" hidden="1">
      <c r="A808" s="696"/>
      <c r="B808" s="226" t="s">
        <v>3054</v>
      </c>
      <c r="C808" s="713">
        <f>VLOOKUP($B808,R_DG!$A$7:$G$1305,2,0)</f>
        <v>0</v>
      </c>
      <c r="D808" s="723" t="str">
        <f>VLOOKUP($B808,R_DG!$A$7:$G$1305,3,0)</f>
        <v>Cáp đồng bọc CV120</v>
      </c>
      <c r="E808" s="714" t="str">
        <f>VLOOKUP($B808,R_DG!$A$7:$G$1305,4,0)</f>
        <v>mét</v>
      </c>
      <c r="F808" s="724">
        <v>27</v>
      </c>
      <c r="G808" s="608">
        <f>VLOOKUP($B808,R_DG!$A$7:$G$1305,5,0)</f>
        <v>236300</v>
      </c>
      <c r="H808" s="608">
        <f>VLOOKUP($B808,R_DG!$A$7:$G$1305,6,0)</f>
        <v>0</v>
      </c>
      <c r="I808" s="608">
        <f>VLOOKUP($B808,R_DG!$A$7:$G$1305,7,0)</f>
        <v>0</v>
      </c>
      <c r="J808" s="608">
        <f t="shared" ref="J808:L823" si="186">G808*$F808</f>
        <v>6380100</v>
      </c>
      <c r="K808" s="608">
        <f t="shared" si="186"/>
        <v>0</v>
      </c>
      <c r="L808" s="725">
        <f t="shared" si="186"/>
        <v>0</v>
      </c>
      <c r="M808" s="726">
        <f>IF(F808&gt;0,M$807,0)</f>
        <v>0</v>
      </c>
      <c r="N808" s="727">
        <f ca="1">$F808*N$807</f>
        <v>0</v>
      </c>
    </row>
    <row r="809" spans="1:14" ht="15.75" hidden="1">
      <c r="A809" s="696"/>
      <c r="B809" s="226" t="s">
        <v>2928</v>
      </c>
      <c r="C809" s="713">
        <f>VLOOKUP($B809,R_DG!$A$7:$G$1305,2,0)</f>
        <v>0</v>
      </c>
      <c r="D809" s="723" t="str">
        <f>VLOOKUP($B809,R_DG!$A$7:$G$1305,3,0)</f>
        <v>Cáp đồng bọc CV70</v>
      </c>
      <c r="E809" s="714" t="str">
        <f>VLOOKUP($B809,R_DG!$A$7:$G$1305,4,0)</f>
        <v>mét</v>
      </c>
      <c r="F809" s="724">
        <v>10</v>
      </c>
      <c r="G809" s="608">
        <f>VLOOKUP($B809,R_DG!$A$7:$G$1305,5,0)</f>
        <v>131100</v>
      </c>
      <c r="H809" s="608">
        <f>VLOOKUP($B809,R_DG!$A$7:$G$1305,6,0)</f>
        <v>0</v>
      </c>
      <c r="I809" s="608">
        <f>VLOOKUP($B809,R_DG!$A$7:$G$1305,7,0)</f>
        <v>0</v>
      </c>
      <c r="J809" s="608">
        <f t="shared" si="186"/>
        <v>1311000</v>
      </c>
      <c r="K809" s="608">
        <f t="shared" si="186"/>
        <v>0</v>
      </c>
      <c r="L809" s="725">
        <f t="shared" si="186"/>
        <v>0</v>
      </c>
      <c r="M809" s="726">
        <f t="shared" ref="M809:M825" si="187">IF(F809&gt;0,M$807,0)</f>
        <v>0</v>
      </c>
      <c r="N809" s="727">
        <f t="shared" ref="N809:N825" ca="1" si="188">$F809*N$807</f>
        <v>0</v>
      </c>
    </row>
    <row r="810" spans="1:14" ht="15.75" hidden="1">
      <c r="A810" s="696"/>
      <c r="B810" s="226" t="s">
        <v>2812</v>
      </c>
      <c r="C810" s="713">
        <f>VLOOKUP($B810,R_DG!$A$7:$G$1305,2,0)</f>
        <v>0</v>
      </c>
      <c r="D810" s="723" t="str">
        <f>VLOOKUP($B810,R_DG!$A$7:$G$1305,3,0)</f>
        <v>Đầu cosse ép Cu 70mm2</v>
      </c>
      <c r="E810" s="714" t="str">
        <f>VLOOKUP($B810,R_DG!$A$7:$G$1305,4,0)</f>
        <v>cái</v>
      </c>
      <c r="F810" s="724">
        <v>1</v>
      </c>
      <c r="G810" s="608">
        <f>VLOOKUP($B810,R_DG!$A$7:$G$1305,5,0)</f>
        <v>14000</v>
      </c>
      <c r="H810" s="608">
        <f>VLOOKUP($B810,R_DG!$A$7:$G$1305,6,0)</f>
        <v>0</v>
      </c>
      <c r="I810" s="608">
        <f>VLOOKUP($B810,R_DG!$A$7:$G$1305,7,0)</f>
        <v>0</v>
      </c>
      <c r="J810" s="608">
        <f t="shared" si="186"/>
        <v>14000</v>
      </c>
      <c r="K810" s="608">
        <f t="shared" si="186"/>
        <v>0</v>
      </c>
      <c r="L810" s="725">
        <f t="shared" si="186"/>
        <v>0</v>
      </c>
      <c r="M810" s="726">
        <f t="shared" si="187"/>
        <v>0</v>
      </c>
      <c r="N810" s="727">
        <f t="shared" ca="1" si="188"/>
        <v>0</v>
      </c>
    </row>
    <row r="811" spans="1:14" ht="15.75" hidden="1">
      <c r="A811" s="696"/>
      <c r="B811" s="226" t="s">
        <v>3055</v>
      </c>
      <c r="C811" s="713">
        <f>VLOOKUP($B811,R_DG!$A$7:$G$1305,2,0)</f>
        <v>0</v>
      </c>
      <c r="D811" s="723" t="str">
        <f>VLOOKUP($B811,R_DG!$A$7:$G$1305,3,0)</f>
        <v>Đầu cosse ép Cu 120mm2</v>
      </c>
      <c r="E811" s="714" t="str">
        <f>VLOOKUP($B811,R_DG!$A$7:$G$1305,4,0)</f>
        <v>cái</v>
      </c>
      <c r="F811" s="724">
        <v>3</v>
      </c>
      <c r="G811" s="608">
        <f>VLOOKUP($B811,R_DG!$A$7:$G$1305,5,0)</f>
        <v>27000</v>
      </c>
      <c r="H811" s="608">
        <f>VLOOKUP($B811,R_DG!$A$7:$G$1305,6,0)</f>
        <v>0</v>
      </c>
      <c r="I811" s="608">
        <f>VLOOKUP($B811,R_DG!$A$7:$G$1305,7,0)</f>
        <v>0</v>
      </c>
      <c r="J811" s="608">
        <f>G811*$F811</f>
        <v>81000</v>
      </c>
      <c r="K811" s="608">
        <f>H811*$F811</f>
        <v>0</v>
      </c>
      <c r="L811" s="725">
        <f>I811*$F811</f>
        <v>0</v>
      </c>
      <c r="M811" s="726">
        <f>IF(F811&gt;0,M$807,0)</f>
        <v>0</v>
      </c>
      <c r="N811" s="727">
        <f t="shared" ca="1" si="188"/>
        <v>0</v>
      </c>
    </row>
    <row r="812" spans="1:14" ht="15.75" hidden="1">
      <c r="A812" s="696"/>
      <c r="B812" s="226" t="s">
        <v>3056</v>
      </c>
      <c r="C812" s="713">
        <f>VLOOKUP($B812,R_DG!$A$7:$G$1305,2,0)</f>
        <v>0</v>
      </c>
      <c r="D812" s="723" t="str">
        <f>VLOOKUP($B812,R_DG!$A$7:$G$1305,3,0)</f>
        <v>Chụp đầu cosse 120mm2</v>
      </c>
      <c r="E812" s="714" t="str">
        <f>VLOOKUP($B812,R_DG!$A$7:$G$1305,4,0)</f>
        <v>cái</v>
      </c>
      <c r="F812" s="724">
        <f>F811</f>
        <v>3</v>
      </c>
      <c r="G812" s="608">
        <f>VLOOKUP($B812,R_DG!$A$7:$G$1305,5,0)</f>
        <v>3900</v>
      </c>
      <c r="H812" s="608">
        <f>VLOOKUP($B812,R_DG!$A$7:$G$1305,6,0)</f>
        <v>0</v>
      </c>
      <c r="I812" s="608">
        <f>VLOOKUP($B812,R_DG!$A$7:$G$1305,7,0)</f>
        <v>0</v>
      </c>
      <c r="J812" s="608">
        <f t="shared" si="186"/>
        <v>11700</v>
      </c>
      <c r="K812" s="608">
        <f t="shared" si="186"/>
        <v>0</v>
      </c>
      <c r="L812" s="725">
        <f t="shared" si="186"/>
        <v>0</v>
      </c>
      <c r="M812" s="726">
        <f t="shared" si="187"/>
        <v>0</v>
      </c>
      <c r="N812" s="727">
        <f t="shared" ca="1" si="188"/>
        <v>0</v>
      </c>
    </row>
    <row r="813" spans="1:14" ht="15.75" hidden="1">
      <c r="A813" s="696"/>
      <c r="B813" s="226" t="s">
        <v>2929</v>
      </c>
      <c r="C813" s="713">
        <f>VLOOKUP($B813,R_DG!$A$7:$G$1305,2,0)</f>
        <v>0</v>
      </c>
      <c r="D813" s="723" t="str">
        <f>VLOOKUP($B813,R_DG!$A$7:$G$1305,3,0)</f>
        <v>Chụp đầu cosse 70mm2</v>
      </c>
      <c r="E813" s="714" t="str">
        <f>VLOOKUP($B813,R_DG!$A$7:$G$1305,4,0)</f>
        <v>cái</v>
      </c>
      <c r="F813" s="724">
        <f>F810</f>
        <v>1</v>
      </c>
      <c r="G813" s="608">
        <f>VLOOKUP($B813,R_DG!$A$7:$G$1305,5,0)</f>
        <v>2300</v>
      </c>
      <c r="H813" s="608">
        <f>VLOOKUP($B813,R_DG!$A$7:$G$1305,6,0)</f>
        <v>0</v>
      </c>
      <c r="I813" s="608">
        <f>VLOOKUP($B813,R_DG!$A$7:$G$1305,7,0)</f>
        <v>0</v>
      </c>
      <c r="J813" s="608">
        <f t="shared" si="186"/>
        <v>2300</v>
      </c>
      <c r="K813" s="608">
        <f t="shared" si="186"/>
        <v>0</v>
      </c>
      <c r="L813" s="725">
        <f t="shared" si="186"/>
        <v>0</v>
      </c>
      <c r="M813" s="726">
        <f t="shared" si="187"/>
        <v>0</v>
      </c>
      <c r="N813" s="727">
        <f t="shared" ca="1" si="188"/>
        <v>0</v>
      </c>
    </row>
    <row r="814" spans="1:14" ht="15.75" hidden="1">
      <c r="A814" s="696"/>
      <c r="B814" s="226" t="s">
        <v>1904</v>
      </c>
      <c r="C814" s="713">
        <f>VLOOKUP($B814,R_DG!$A$7:$G$1305,2,0)</f>
        <v>0</v>
      </c>
      <c r="D814" s="723" t="str">
        <f>VLOOKUP($B814,R_DG!$A$7:$G$1305,3,0)</f>
        <v xml:space="preserve">Ống PVC D90x3,8mm </v>
      </c>
      <c r="E814" s="714" t="str">
        <f>VLOOKUP($B814,R_DG!$A$7:$G$1305,4,0)</f>
        <v>m</v>
      </c>
      <c r="F814" s="724">
        <v>8</v>
      </c>
      <c r="G814" s="608">
        <f>VLOOKUP($B814,R_DG!$A$7:$G$1305,5,0)</f>
        <v>63100</v>
      </c>
      <c r="H814" s="608">
        <f>VLOOKUP($B814,R_DG!$A$7:$G$1305,6,0)</f>
        <v>0</v>
      </c>
      <c r="I814" s="608">
        <f>VLOOKUP($B814,R_DG!$A$7:$G$1305,7,0)</f>
        <v>0</v>
      </c>
      <c r="J814" s="608">
        <f t="shared" si="186"/>
        <v>504800</v>
      </c>
      <c r="K814" s="608">
        <f t="shared" si="186"/>
        <v>0</v>
      </c>
      <c r="L814" s="725">
        <f t="shared" si="186"/>
        <v>0</v>
      </c>
      <c r="M814" s="726">
        <f t="shared" si="187"/>
        <v>0</v>
      </c>
      <c r="N814" s="727">
        <f t="shared" ca="1" si="188"/>
        <v>0</v>
      </c>
    </row>
    <row r="815" spans="1:14" ht="15.75" hidden="1">
      <c r="A815" s="696"/>
      <c r="B815" s="226" t="s">
        <v>2464</v>
      </c>
      <c r="C815" s="713">
        <f>VLOOKUP($B815,R_DG!$A$7:$G$1305,2,0)</f>
        <v>0</v>
      </c>
      <c r="D815" s="723" t="str">
        <f>VLOOKUP($B815,R_DG!$A$7:$G$1305,3,0)</f>
        <v>Collier kẹp ống PVC φ 90</v>
      </c>
      <c r="E815" s="714" t="str">
        <f>VLOOKUP($B815,R_DG!$A$7:$G$1305,4,0)</f>
        <v>bộ</v>
      </c>
      <c r="F815" s="724">
        <v>3</v>
      </c>
      <c r="G815" s="608">
        <f>VLOOKUP($B815,R_DG!$A$7:$G$1305,5,0)</f>
        <v>56000</v>
      </c>
      <c r="H815" s="608">
        <f>VLOOKUP($B815,R_DG!$A$7:$G$1305,6,0)</f>
        <v>0</v>
      </c>
      <c r="I815" s="608">
        <f>VLOOKUP($B815,R_DG!$A$7:$G$1305,7,0)</f>
        <v>0</v>
      </c>
      <c r="J815" s="608">
        <f t="shared" si="186"/>
        <v>168000</v>
      </c>
      <c r="K815" s="608">
        <f t="shared" si="186"/>
        <v>0</v>
      </c>
      <c r="L815" s="725">
        <f t="shared" si="186"/>
        <v>0</v>
      </c>
      <c r="M815" s="726">
        <f t="shared" si="187"/>
        <v>0</v>
      </c>
      <c r="N815" s="727">
        <f t="shared" ca="1" si="188"/>
        <v>0</v>
      </c>
    </row>
    <row r="816" spans="1:14" ht="15.75" hidden="1">
      <c r="A816" s="696"/>
      <c r="B816" s="226" t="s">
        <v>2465</v>
      </c>
      <c r="C816" s="713" t="str">
        <f>VLOOKUP($B816,R_DG!$A$7:$G$1305,2,0)</f>
        <v>D2.3241</v>
      </c>
      <c r="D816" s="723" t="str">
        <f>VLOOKUP($B816,R_DG!$A$7:$G$1305,3,0)</f>
        <v>Lắp cổ dề</v>
      </c>
      <c r="E816" s="714" t="str">
        <f>VLOOKUP($B816,R_DG!$A$7:$G$1305,4,0)</f>
        <v>bộ</v>
      </c>
      <c r="F816" s="724">
        <v>3</v>
      </c>
      <c r="G816" s="608">
        <f>VLOOKUP($B816,R_DG!$A$7:$G$1305,5,0)</f>
        <v>0</v>
      </c>
      <c r="H816" s="608">
        <f>VLOOKUP($B816,R_DG!$A$7:$G$1305,6,0)</f>
        <v>82929</v>
      </c>
      <c r="I816" s="608">
        <f>VLOOKUP($B816,R_DG!$A$7:$G$1305,7,0)</f>
        <v>0</v>
      </c>
      <c r="J816" s="608">
        <f t="shared" si="186"/>
        <v>0</v>
      </c>
      <c r="K816" s="608">
        <f t="shared" si="186"/>
        <v>248787</v>
      </c>
      <c r="L816" s="725">
        <f t="shared" si="186"/>
        <v>0</v>
      </c>
      <c r="M816" s="726">
        <f t="shared" si="187"/>
        <v>0</v>
      </c>
      <c r="N816" s="727">
        <f t="shared" ca="1" si="188"/>
        <v>0</v>
      </c>
    </row>
    <row r="817" spans="1:14" ht="15.75" hidden="1">
      <c r="A817" s="696"/>
      <c r="B817" s="226" t="s">
        <v>2466</v>
      </c>
      <c r="C817" s="713">
        <f>VLOOKUP($B817,R_DG!$A$7:$G$1305,2,0)</f>
        <v>0</v>
      </c>
      <c r="D817" s="723" t="str">
        <f>VLOOKUP($B817,R_DG!$A$7:$G$1305,3,0)</f>
        <v>Co 90 độ PVC 90</v>
      </c>
      <c r="E817" s="714" t="str">
        <f>VLOOKUP($B817,R_DG!$A$7:$G$1305,4,0)</f>
        <v>cái</v>
      </c>
      <c r="F817" s="724">
        <v>3</v>
      </c>
      <c r="G817" s="608">
        <f>VLOOKUP($B817,R_DG!$A$7:$G$1305,5,0)</f>
        <v>45400</v>
      </c>
      <c r="H817" s="608">
        <f>VLOOKUP($B817,R_DG!$A$7:$G$1305,6,0)</f>
        <v>0</v>
      </c>
      <c r="I817" s="608">
        <f>VLOOKUP($B817,R_DG!$A$7:$G$1305,7,0)</f>
        <v>0</v>
      </c>
      <c r="J817" s="608">
        <f t="shared" si="186"/>
        <v>136200</v>
      </c>
      <c r="K817" s="608">
        <f t="shared" si="186"/>
        <v>0</v>
      </c>
      <c r="L817" s="725">
        <f t="shared" si="186"/>
        <v>0</v>
      </c>
      <c r="M817" s="726">
        <f t="shared" si="187"/>
        <v>0</v>
      </c>
      <c r="N817" s="727">
        <f t="shared" ca="1" si="188"/>
        <v>0</v>
      </c>
    </row>
    <row r="818" spans="1:14" ht="15.75" hidden="1">
      <c r="A818" s="696"/>
      <c r="B818" s="226" t="s">
        <v>1936</v>
      </c>
      <c r="C818" s="713">
        <f>VLOOKUP($B818,R_DG!$A$7:$G$1305,2,0)</f>
        <v>0</v>
      </c>
      <c r="D818" s="723" t="str">
        <f>VLOOKUP($B818,R_DG!$A$7:$G$1305,3,0)</f>
        <v>Co 135 độ PVC 90</v>
      </c>
      <c r="E818" s="714" t="str">
        <f>VLOOKUP($B818,R_DG!$A$7:$G$1305,4,0)</f>
        <v>cái</v>
      </c>
      <c r="F818" s="724">
        <v>1</v>
      </c>
      <c r="G818" s="608">
        <f>VLOOKUP($B818,R_DG!$A$7:$G$1305,5,0)</f>
        <v>33900</v>
      </c>
      <c r="H818" s="608">
        <f>VLOOKUP($B818,R_DG!$A$7:$G$1305,6,0)</f>
        <v>0</v>
      </c>
      <c r="I818" s="608">
        <f>VLOOKUP($B818,R_DG!$A$7:$G$1305,7,0)</f>
        <v>0</v>
      </c>
      <c r="J818" s="608">
        <f t="shared" si="186"/>
        <v>33900</v>
      </c>
      <c r="K818" s="608">
        <f t="shared" si="186"/>
        <v>0</v>
      </c>
      <c r="L818" s="725">
        <f t="shared" si="186"/>
        <v>0</v>
      </c>
      <c r="M818" s="726">
        <f t="shared" si="187"/>
        <v>0</v>
      </c>
      <c r="N818" s="727">
        <f ca="1">$F818*N$807</f>
        <v>0</v>
      </c>
    </row>
    <row r="819" spans="1:14" ht="15.75" hidden="1">
      <c r="A819" s="696"/>
      <c r="B819" s="226" t="s">
        <v>1951</v>
      </c>
      <c r="C819" s="713">
        <f>VLOOKUP($B819,R_DG!$A$7:$G$1305,2,0)</f>
        <v>0</v>
      </c>
      <c r="D819" s="723" t="str">
        <f>VLOOKUP($B819,R_DG!$A$7:$G$1305,3,0)</f>
        <v xml:space="preserve">Nối thẳng ống PVC 90 </v>
      </c>
      <c r="E819" s="714" t="str">
        <f>VLOOKUP($B819,R_DG!$A$7:$G$1305,4,0)</f>
        <v>cái</v>
      </c>
      <c r="F819" s="724">
        <v>1</v>
      </c>
      <c r="G819" s="608">
        <f>VLOOKUP($B819,R_DG!$A$7:$G$1305,5,0)</f>
        <v>12400</v>
      </c>
      <c r="H819" s="608">
        <f>VLOOKUP($B819,R_DG!$A$7:$G$1305,6,0)</f>
        <v>0</v>
      </c>
      <c r="I819" s="608">
        <f>VLOOKUP($B819,R_DG!$A$7:$G$1305,7,0)</f>
        <v>0</v>
      </c>
      <c r="J819" s="608">
        <f t="shared" si="186"/>
        <v>12400</v>
      </c>
      <c r="K819" s="608">
        <f t="shared" si="186"/>
        <v>0</v>
      </c>
      <c r="L819" s="725">
        <f t="shared" si="186"/>
        <v>0</v>
      </c>
      <c r="M819" s="726">
        <f t="shared" si="187"/>
        <v>0</v>
      </c>
      <c r="N819" s="727">
        <f t="shared" ca="1" si="188"/>
        <v>0</v>
      </c>
    </row>
    <row r="820" spans="1:14" ht="15.75" hidden="1">
      <c r="A820" s="696"/>
      <c r="B820" s="226" t="s">
        <v>2467</v>
      </c>
      <c r="C820" s="713">
        <f>VLOOKUP($B820,R_DG!$A$7:$G$1305,2,0)</f>
        <v>0</v>
      </c>
      <c r="D820" s="723" t="str">
        <f>VLOOKUP($B820,R_DG!$A$7:$G$1305,3,0)</f>
        <v>Keo dán ống PVC (100gr)</v>
      </c>
      <c r="E820" s="714" t="str">
        <f>VLOOKUP($B820,R_DG!$A$7:$G$1305,4,0)</f>
        <v>tuýp</v>
      </c>
      <c r="F820" s="724">
        <v>1</v>
      </c>
      <c r="G820" s="608">
        <f>VLOOKUP($B820,R_DG!$A$7:$G$1305,5,0)</f>
        <v>11500</v>
      </c>
      <c r="H820" s="608">
        <f>VLOOKUP($B820,R_DG!$A$7:$G$1305,6,0)</f>
        <v>0</v>
      </c>
      <c r="I820" s="608">
        <f>VLOOKUP($B820,R_DG!$A$7:$G$1305,7,0)</f>
        <v>0</v>
      </c>
      <c r="J820" s="608">
        <f t="shared" si="186"/>
        <v>11500</v>
      </c>
      <c r="K820" s="608">
        <f t="shared" si="186"/>
        <v>0</v>
      </c>
      <c r="L820" s="725">
        <f t="shared" si="186"/>
        <v>0</v>
      </c>
      <c r="M820" s="726">
        <f t="shared" si="187"/>
        <v>0</v>
      </c>
      <c r="N820" s="727">
        <f t="shared" ca="1" si="188"/>
        <v>0</v>
      </c>
    </row>
    <row r="821" spans="1:14" ht="15.75" hidden="1">
      <c r="A821" s="696"/>
      <c r="B821" s="226" t="s">
        <v>2468</v>
      </c>
      <c r="C821" s="713">
        <f>VLOOKUP($B821,R_DG!$A$7:$G$1305,2,0)</f>
        <v>0</v>
      </c>
      <c r="D821" s="723" t="str">
        <f>VLOOKUP($B821,R_DG!$A$7:$G$1305,3,0)</f>
        <v>Keo silicon bít miệng ống</v>
      </c>
      <c r="E821" s="714" t="str">
        <f>VLOOKUP($B821,R_DG!$A$7:$G$1305,4,0)</f>
        <v>ống</v>
      </c>
      <c r="F821" s="724">
        <v>1</v>
      </c>
      <c r="G821" s="608">
        <f>VLOOKUP($B821,R_DG!$A$7:$G$1305,5,0)</f>
        <v>30000</v>
      </c>
      <c r="H821" s="608">
        <f>VLOOKUP($B821,R_DG!$A$7:$G$1305,6,0)</f>
        <v>0</v>
      </c>
      <c r="I821" s="608">
        <f>VLOOKUP($B821,R_DG!$A$7:$G$1305,7,0)</f>
        <v>0</v>
      </c>
      <c r="J821" s="608">
        <f t="shared" si="186"/>
        <v>30000</v>
      </c>
      <c r="K821" s="608">
        <f t="shared" si="186"/>
        <v>0</v>
      </c>
      <c r="L821" s="725">
        <f t="shared" si="186"/>
        <v>0</v>
      </c>
      <c r="M821" s="726">
        <f t="shared" si="187"/>
        <v>0</v>
      </c>
      <c r="N821" s="727">
        <f t="shared" ca="1" si="188"/>
        <v>0</v>
      </c>
    </row>
    <row r="822" spans="1:14" ht="15.75" hidden="1">
      <c r="A822" s="696"/>
      <c r="B822" s="226" t="s">
        <v>1969</v>
      </c>
      <c r="C822" s="713">
        <f>VLOOKUP($B822,R_DG!$A$7:$G$1305,2,0)</f>
        <v>0</v>
      </c>
      <c r="D822" s="723" t="str">
        <f>VLOOKUP($B822,R_DG!$A$7:$G$1305,3,0)</f>
        <v>Băng keo cách điện (5m/cuộn)</v>
      </c>
      <c r="E822" s="714" t="str">
        <f>VLOOKUP($B822,R_DG!$A$7:$G$1305,4,0)</f>
        <v>cuộn</v>
      </c>
      <c r="F822" s="724">
        <v>5</v>
      </c>
      <c r="G822" s="608">
        <f>VLOOKUP($B822,R_DG!$A$7:$G$1305,5,0)</f>
        <v>8000</v>
      </c>
      <c r="H822" s="608">
        <f>VLOOKUP($B822,R_DG!$A$7:$G$1305,6,0)</f>
        <v>0</v>
      </c>
      <c r="I822" s="608">
        <f>VLOOKUP($B822,R_DG!$A$7:$G$1305,7,0)</f>
        <v>0</v>
      </c>
      <c r="J822" s="608">
        <f t="shared" si="186"/>
        <v>40000</v>
      </c>
      <c r="K822" s="608">
        <f t="shared" si="186"/>
        <v>0</v>
      </c>
      <c r="L822" s="725">
        <f t="shared" si="186"/>
        <v>0</v>
      </c>
      <c r="M822" s="726">
        <f t="shared" si="187"/>
        <v>0</v>
      </c>
      <c r="N822" s="727">
        <f t="shared" ca="1" si="188"/>
        <v>0</v>
      </c>
    </row>
    <row r="823" spans="1:14" ht="15.75" hidden="1">
      <c r="A823" s="696"/>
      <c r="B823" s="226" t="s">
        <v>2469</v>
      </c>
      <c r="C823" s="713" t="str">
        <f>VLOOKUP($B823,R_DG!$A$7:$G$1305,2,0)</f>
        <v>T4.5202</v>
      </c>
      <c r="D823" s="723" t="str">
        <f>VLOOKUP($B823,R_DG!$A$7:$G$1305,3,0)</f>
        <v>Lắp ống nhựa PVC D90</v>
      </c>
      <c r="E823" s="714" t="str">
        <f>VLOOKUP($B823,R_DG!$A$7:$G$1305,4,0)</f>
        <v>mét</v>
      </c>
      <c r="F823" s="724">
        <v>8</v>
      </c>
      <c r="G823" s="608">
        <f>VLOOKUP($B823,R_DG!$A$7:$G$1305,5,0)</f>
        <v>0</v>
      </c>
      <c r="H823" s="608">
        <f>VLOOKUP($B823,R_DG!$A$7:$G$1305,6,0)</f>
        <v>52126.80000000001</v>
      </c>
      <c r="I823" s="608">
        <f>VLOOKUP($B823,R_DG!$A$7:$G$1305,7,0)</f>
        <v>0</v>
      </c>
      <c r="J823" s="608">
        <f t="shared" si="186"/>
        <v>0</v>
      </c>
      <c r="K823" s="608">
        <f t="shared" si="186"/>
        <v>417014.40000000008</v>
      </c>
      <c r="L823" s="725">
        <f t="shared" si="186"/>
        <v>0</v>
      </c>
      <c r="M823" s="726">
        <f t="shared" si="187"/>
        <v>0</v>
      </c>
      <c r="N823" s="727">
        <f t="shared" ca="1" si="188"/>
        <v>0</v>
      </c>
    </row>
    <row r="824" spans="1:14" ht="15.75" hidden="1">
      <c r="A824" s="696"/>
      <c r="B824" s="226" t="s">
        <v>2461</v>
      </c>
      <c r="C824" s="713" t="str">
        <f>VLOOKUP($B824,R_DG!$A$7:$G$1305,2,0)</f>
        <v>T4.4201</v>
      </c>
      <c r="D824" s="723" t="str">
        <f>VLOOKUP($B824,R_DG!$A$7:$G$1305,3,0)</f>
        <v>Lắp cáp đồng xuống thiết bị D ≤ 95mm2</v>
      </c>
      <c r="E824" s="714" t="str">
        <f>VLOOKUP($B824,R_DG!$A$7:$G$1305,4,0)</f>
        <v>m</v>
      </c>
      <c r="F824" s="724">
        <f>F808+F809</f>
        <v>37</v>
      </c>
      <c r="G824" s="608">
        <f>VLOOKUP($B824,R_DG!$A$7:$G$1305,5,0)</f>
        <v>0</v>
      </c>
      <c r="H824" s="608">
        <f>VLOOKUP($B824,R_DG!$A$7:$G$1305,6,0)</f>
        <v>11847</v>
      </c>
      <c r="I824" s="608">
        <f>VLOOKUP($B824,R_DG!$A$7:$G$1305,7,0)</f>
        <v>0</v>
      </c>
      <c r="J824" s="608">
        <f t="shared" ref="J824:L825" si="189">G824*$F824</f>
        <v>0</v>
      </c>
      <c r="K824" s="608">
        <f t="shared" si="189"/>
        <v>438339</v>
      </c>
      <c r="L824" s="725">
        <f t="shared" si="189"/>
        <v>0</v>
      </c>
      <c r="M824" s="726">
        <f t="shared" si="187"/>
        <v>0</v>
      </c>
      <c r="N824" s="727">
        <f t="shared" ca="1" si="188"/>
        <v>0</v>
      </c>
    </row>
    <row r="825" spans="1:14" ht="15.75" hidden="1">
      <c r="A825" s="696"/>
      <c r="B825" s="226" t="s">
        <v>2793</v>
      </c>
      <c r="C825" s="713">
        <f>VLOOKUP($B825,R_DG!$A$7:$G$1305,2,0)</f>
        <v>0</v>
      </c>
      <c r="D825" s="723">
        <f>VLOOKUP($B825,R_DG!$A$7:$G$1305,3,0)</f>
        <v>0</v>
      </c>
      <c r="E825" s="714">
        <f>VLOOKUP($B825,R_DG!$A$7:$G$1305,4,0)</f>
        <v>0</v>
      </c>
      <c r="F825" s="724"/>
      <c r="G825" s="608">
        <f>VLOOKUP($B825,R_DG!$A$7:$G$1305,5,0)</f>
        <v>0</v>
      </c>
      <c r="H825" s="608">
        <f>VLOOKUP($B825,R_DG!$A$7:$G$1305,6,0)</f>
        <v>0</v>
      </c>
      <c r="I825" s="608">
        <f>VLOOKUP($B825,R_DG!$A$7:$G$1305,7,0)</f>
        <v>0</v>
      </c>
      <c r="J825" s="608">
        <f t="shared" si="189"/>
        <v>0</v>
      </c>
      <c r="K825" s="608">
        <f t="shared" si="189"/>
        <v>0</v>
      </c>
      <c r="L825" s="725">
        <f t="shared" si="189"/>
        <v>0</v>
      </c>
      <c r="M825" s="726">
        <f t="shared" si="187"/>
        <v>0</v>
      </c>
      <c r="N825" s="727">
        <f t="shared" ca="1" si="188"/>
        <v>0</v>
      </c>
    </row>
    <row r="826" spans="1:14" ht="15.75">
      <c r="A826" s="743" t="s">
        <v>3058</v>
      </c>
      <c r="B826" s="695"/>
      <c r="C826" s="717"/>
      <c r="D826" s="718" t="s">
        <v>3060</v>
      </c>
      <c r="E826" s="718" t="s">
        <v>163</v>
      </c>
      <c r="F826" s="745"/>
      <c r="G826" s="720"/>
      <c r="H826" s="720"/>
      <c r="I826" s="720"/>
      <c r="J826" s="720">
        <f>SUM(J827:J843)</f>
        <v>6579300</v>
      </c>
      <c r="K826" s="720">
        <f>SUM(K827:K843)</f>
        <v>997517.40000000014</v>
      </c>
      <c r="L826" s="721">
        <f>SUM(L827:L843)</f>
        <v>0</v>
      </c>
      <c r="M826" s="693">
        <f>IF(ERROR.TYPE(IF(HLOOKUP(A826,maBK,1,0)&lt;&gt;"",#NULL!,"ABC"))&lt;&gt;7,1,0)</f>
        <v>0</v>
      </c>
      <c r="N826" s="712">
        <f ca="1">SUMIF(maBK,$A826,tongBK1)</f>
        <v>0</v>
      </c>
    </row>
    <row r="827" spans="1:14" ht="15.75" hidden="1">
      <c r="A827" s="696"/>
      <c r="B827" s="226" t="s">
        <v>3054</v>
      </c>
      <c r="C827" s="713">
        <f>VLOOKUP($B827,R_DG!$A$7:$G$1305,2,0)</f>
        <v>0</v>
      </c>
      <c r="D827" s="723" t="str">
        <f>VLOOKUP($B827,R_DG!$A$7:$G$1305,3,0)</f>
        <v>Cáp đồng bọc CV120</v>
      </c>
      <c r="E827" s="714" t="str">
        <f>VLOOKUP($B827,R_DG!$A$7:$G$1305,4,0)</f>
        <v>mét</v>
      </c>
      <c r="F827" s="724">
        <v>18</v>
      </c>
      <c r="G827" s="608">
        <f>VLOOKUP($B827,R_DG!$A$7:$G$1305,5,0)</f>
        <v>236300</v>
      </c>
      <c r="H827" s="608">
        <f>VLOOKUP($B827,R_DG!$A$7:$G$1305,6,0)</f>
        <v>0</v>
      </c>
      <c r="I827" s="608">
        <f>VLOOKUP($B827,R_DG!$A$7:$G$1305,7,0)</f>
        <v>0</v>
      </c>
      <c r="J827" s="608">
        <f t="shared" ref="J827:L843" si="190">G827*$F827</f>
        <v>4253400</v>
      </c>
      <c r="K827" s="608">
        <f t="shared" si="190"/>
        <v>0</v>
      </c>
      <c r="L827" s="725">
        <f t="shared" si="190"/>
        <v>0</v>
      </c>
      <c r="M827" s="726">
        <f>IF(F827&gt;0,M$826,0)</f>
        <v>0</v>
      </c>
      <c r="N827" s="727">
        <f ca="1">$F827*N$826</f>
        <v>0</v>
      </c>
    </row>
    <row r="828" spans="1:14" ht="15.75" hidden="1">
      <c r="A828" s="696"/>
      <c r="B828" s="226" t="s">
        <v>2928</v>
      </c>
      <c r="C828" s="713">
        <f>VLOOKUP($B828,R_DG!$A$7:$G$1305,2,0)</f>
        <v>0</v>
      </c>
      <c r="D828" s="723" t="str">
        <f>VLOOKUP($B828,R_DG!$A$7:$G$1305,3,0)</f>
        <v>Cáp đồng bọc CV70</v>
      </c>
      <c r="E828" s="714" t="str">
        <f>VLOOKUP($B828,R_DG!$A$7:$G$1305,4,0)</f>
        <v>mét</v>
      </c>
      <c r="F828" s="724">
        <v>10</v>
      </c>
      <c r="G828" s="608">
        <f>VLOOKUP($B828,R_DG!$A$7:$G$1305,5,0)</f>
        <v>131100</v>
      </c>
      <c r="H828" s="608">
        <f>VLOOKUP($B828,R_DG!$A$7:$G$1305,6,0)</f>
        <v>0</v>
      </c>
      <c r="I828" s="608">
        <f>VLOOKUP($B828,R_DG!$A$7:$G$1305,7,0)</f>
        <v>0</v>
      </c>
      <c r="J828" s="608">
        <f t="shared" si="190"/>
        <v>1311000</v>
      </c>
      <c r="K828" s="608">
        <f t="shared" si="190"/>
        <v>0</v>
      </c>
      <c r="L828" s="725">
        <f t="shared" si="190"/>
        <v>0</v>
      </c>
      <c r="M828" s="726">
        <f t="shared" ref="M828:M843" si="191">IF(F828&gt;0,M$826,0)</f>
        <v>0</v>
      </c>
      <c r="N828" s="727">
        <f t="shared" ref="N828:N843" ca="1" si="192">$F828*N$826</f>
        <v>0</v>
      </c>
    </row>
    <row r="829" spans="1:14" ht="15.75" hidden="1">
      <c r="A829" s="696"/>
      <c r="B829" s="226" t="s">
        <v>2812</v>
      </c>
      <c r="C829" s="713">
        <f>VLOOKUP($B829,R_DG!$A$7:$G$1305,2,0)</f>
        <v>0</v>
      </c>
      <c r="D829" s="723" t="str">
        <f>VLOOKUP($B829,R_DG!$A$7:$G$1305,3,0)</f>
        <v>Đầu cosse ép Cu 70mm2</v>
      </c>
      <c r="E829" s="714" t="str">
        <f>VLOOKUP($B829,R_DG!$A$7:$G$1305,4,0)</f>
        <v>cái</v>
      </c>
      <c r="F829" s="724">
        <v>1</v>
      </c>
      <c r="G829" s="608">
        <f>VLOOKUP($B829,R_DG!$A$7:$G$1305,5,0)</f>
        <v>14000</v>
      </c>
      <c r="H829" s="608">
        <f>VLOOKUP($B829,R_DG!$A$7:$G$1305,6,0)</f>
        <v>0</v>
      </c>
      <c r="I829" s="608">
        <f>VLOOKUP($B829,R_DG!$A$7:$G$1305,7,0)</f>
        <v>0</v>
      </c>
      <c r="J829" s="608">
        <f t="shared" si="190"/>
        <v>14000</v>
      </c>
      <c r="K829" s="608">
        <f t="shared" si="190"/>
        <v>0</v>
      </c>
      <c r="L829" s="725">
        <f t="shared" si="190"/>
        <v>0</v>
      </c>
      <c r="M829" s="726">
        <f t="shared" si="191"/>
        <v>0</v>
      </c>
      <c r="N829" s="727">
        <f t="shared" ca="1" si="192"/>
        <v>0</v>
      </c>
    </row>
    <row r="830" spans="1:14" ht="15.75" hidden="1">
      <c r="A830" s="696"/>
      <c r="B830" s="226" t="s">
        <v>3055</v>
      </c>
      <c r="C830" s="713">
        <f>VLOOKUP($B830,R_DG!$A$7:$G$1305,2,0)</f>
        <v>0</v>
      </c>
      <c r="D830" s="723" t="str">
        <f>VLOOKUP($B830,R_DG!$A$7:$G$1305,3,0)</f>
        <v>Đầu cosse ép Cu 120mm2</v>
      </c>
      <c r="E830" s="714" t="str">
        <f>VLOOKUP($B830,R_DG!$A$7:$G$1305,4,0)</f>
        <v>cái</v>
      </c>
      <c r="F830" s="724">
        <v>2</v>
      </c>
      <c r="G830" s="608">
        <f>VLOOKUP($B830,R_DG!$A$7:$G$1305,5,0)</f>
        <v>27000</v>
      </c>
      <c r="H830" s="608">
        <f>VLOOKUP($B830,R_DG!$A$7:$G$1305,6,0)</f>
        <v>0</v>
      </c>
      <c r="I830" s="608">
        <f>VLOOKUP($B830,R_DG!$A$7:$G$1305,7,0)</f>
        <v>0</v>
      </c>
      <c r="J830" s="608">
        <f t="shared" si="190"/>
        <v>54000</v>
      </c>
      <c r="K830" s="608">
        <f t="shared" si="190"/>
        <v>0</v>
      </c>
      <c r="L830" s="725">
        <f t="shared" si="190"/>
        <v>0</v>
      </c>
      <c r="M830" s="726">
        <f t="shared" si="191"/>
        <v>0</v>
      </c>
      <c r="N830" s="727">
        <f t="shared" ca="1" si="192"/>
        <v>0</v>
      </c>
    </row>
    <row r="831" spans="1:14" ht="15.75" hidden="1">
      <c r="A831" s="696"/>
      <c r="B831" s="226" t="s">
        <v>3056</v>
      </c>
      <c r="C831" s="713">
        <f>VLOOKUP($B831,R_DG!$A$7:$G$1305,2,0)</f>
        <v>0</v>
      </c>
      <c r="D831" s="723" t="str">
        <f>VLOOKUP($B831,R_DG!$A$7:$G$1305,3,0)</f>
        <v>Chụp đầu cosse 120mm2</v>
      </c>
      <c r="E831" s="714" t="str">
        <f>VLOOKUP($B831,R_DG!$A$7:$G$1305,4,0)</f>
        <v>cái</v>
      </c>
      <c r="F831" s="724">
        <f>F830</f>
        <v>2</v>
      </c>
      <c r="G831" s="608">
        <f>VLOOKUP($B831,R_DG!$A$7:$G$1305,5,0)</f>
        <v>3900</v>
      </c>
      <c r="H831" s="608">
        <f>VLOOKUP($B831,R_DG!$A$7:$G$1305,6,0)</f>
        <v>0</v>
      </c>
      <c r="I831" s="608">
        <f>VLOOKUP($B831,R_DG!$A$7:$G$1305,7,0)</f>
        <v>0</v>
      </c>
      <c r="J831" s="608">
        <f t="shared" si="190"/>
        <v>7800</v>
      </c>
      <c r="K831" s="608">
        <f t="shared" si="190"/>
        <v>0</v>
      </c>
      <c r="L831" s="725">
        <f t="shared" si="190"/>
        <v>0</v>
      </c>
      <c r="M831" s="726">
        <f t="shared" si="191"/>
        <v>0</v>
      </c>
      <c r="N831" s="727">
        <f t="shared" ca="1" si="192"/>
        <v>0</v>
      </c>
    </row>
    <row r="832" spans="1:14" ht="15.75" hidden="1">
      <c r="A832" s="696"/>
      <c r="B832" s="226" t="s">
        <v>2929</v>
      </c>
      <c r="C832" s="713">
        <f>VLOOKUP($B832,R_DG!$A$7:$G$1305,2,0)</f>
        <v>0</v>
      </c>
      <c r="D832" s="723" t="str">
        <f>VLOOKUP($B832,R_DG!$A$7:$G$1305,3,0)</f>
        <v>Chụp đầu cosse 70mm2</v>
      </c>
      <c r="E832" s="714" t="str">
        <f>VLOOKUP($B832,R_DG!$A$7:$G$1305,4,0)</f>
        <v>cái</v>
      </c>
      <c r="F832" s="724">
        <f>F829</f>
        <v>1</v>
      </c>
      <c r="G832" s="608">
        <f>VLOOKUP($B832,R_DG!$A$7:$G$1305,5,0)</f>
        <v>2300</v>
      </c>
      <c r="H832" s="608">
        <f>VLOOKUP($B832,R_DG!$A$7:$G$1305,6,0)</f>
        <v>0</v>
      </c>
      <c r="I832" s="608">
        <f>VLOOKUP($B832,R_DG!$A$7:$G$1305,7,0)</f>
        <v>0</v>
      </c>
      <c r="J832" s="608">
        <f t="shared" si="190"/>
        <v>2300</v>
      </c>
      <c r="K832" s="608">
        <f t="shared" si="190"/>
        <v>0</v>
      </c>
      <c r="L832" s="725">
        <f t="shared" si="190"/>
        <v>0</v>
      </c>
      <c r="M832" s="726">
        <f t="shared" si="191"/>
        <v>0</v>
      </c>
      <c r="N832" s="727">
        <f t="shared" ca="1" si="192"/>
        <v>0</v>
      </c>
    </row>
    <row r="833" spans="1:14" ht="15.75" hidden="1">
      <c r="A833" s="696"/>
      <c r="B833" s="226" t="s">
        <v>1904</v>
      </c>
      <c r="C833" s="713">
        <f>VLOOKUP($B833,R_DG!$A$7:$G$1305,2,0)</f>
        <v>0</v>
      </c>
      <c r="D833" s="723" t="str">
        <f>VLOOKUP($B833,R_DG!$A$7:$G$1305,3,0)</f>
        <v xml:space="preserve">Ống PVC D90x3,8mm </v>
      </c>
      <c r="E833" s="714" t="str">
        <f>VLOOKUP($B833,R_DG!$A$7:$G$1305,4,0)</f>
        <v>m</v>
      </c>
      <c r="F833" s="724">
        <v>8</v>
      </c>
      <c r="G833" s="608">
        <f>VLOOKUP($B833,R_DG!$A$7:$G$1305,5,0)</f>
        <v>63100</v>
      </c>
      <c r="H833" s="608">
        <f>VLOOKUP($B833,R_DG!$A$7:$G$1305,6,0)</f>
        <v>0</v>
      </c>
      <c r="I833" s="608">
        <f>VLOOKUP($B833,R_DG!$A$7:$G$1305,7,0)</f>
        <v>0</v>
      </c>
      <c r="J833" s="608">
        <f t="shared" si="190"/>
        <v>504800</v>
      </c>
      <c r="K833" s="608">
        <f t="shared" si="190"/>
        <v>0</v>
      </c>
      <c r="L833" s="725">
        <f t="shared" si="190"/>
        <v>0</v>
      </c>
      <c r="M833" s="726">
        <f t="shared" si="191"/>
        <v>0</v>
      </c>
      <c r="N833" s="727">
        <f t="shared" ca="1" si="192"/>
        <v>0</v>
      </c>
    </row>
    <row r="834" spans="1:14" ht="15.75" hidden="1">
      <c r="A834" s="696"/>
      <c r="B834" s="226" t="s">
        <v>2464</v>
      </c>
      <c r="C834" s="713">
        <f>VLOOKUP($B834,R_DG!$A$7:$G$1305,2,0)</f>
        <v>0</v>
      </c>
      <c r="D834" s="723" t="str">
        <f>VLOOKUP($B834,R_DG!$A$7:$G$1305,3,0)</f>
        <v>Collier kẹp ống PVC φ 90</v>
      </c>
      <c r="E834" s="714" t="str">
        <f>VLOOKUP($B834,R_DG!$A$7:$G$1305,4,0)</f>
        <v>bộ</v>
      </c>
      <c r="F834" s="724">
        <v>3</v>
      </c>
      <c r="G834" s="608">
        <f>VLOOKUP($B834,R_DG!$A$7:$G$1305,5,0)</f>
        <v>56000</v>
      </c>
      <c r="H834" s="608">
        <f>VLOOKUP($B834,R_DG!$A$7:$G$1305,6,0)</f>
        <v>0</v>
      </c>
      <c r="I834" s="608">
        <f>VLOOKUP($B834,R_DG!$A$7:$G$1305,7,0)</f>
        <v>0</v>
      </c>
      <c r="J834" s="608">
        <f t="shared" si="190"/>
        <v>168000</v>
      </c>
      <c r="K834" s="608">
        <f t="shared" si="190"/>
        <v>0</v>
      </c>
      <c r="L834" s="725">
        <f t="shared" si="190"/>
        <v>0</v>
      </c>
      <c r="M834" s="726">
        <f t="shared" si="191"/>
        <v>0</v>
      </c>
      <c r="N834" s="727">
        <f t="shared" ca="1" si="192"/>
        <v>0</v>
      </c>
    </row>
    <row r="835" spans="1:14" ht="15.75" hidden="1">
      <c r="A835" s="696"/>
      <c r="B835" s="226" t="s">
        <v>2465</v>
      </c>
      <c r="C835" s="713" t="str">
        <f>VLOOKUP($B835,R_DG!$A$7:$G$1305,2,0)</f>
        <v>D2.3241</v>
      </c>
      <c r="D835" s="723" t="str">
        <f>VLOOKUP($B835,R_DG!$A$7:$G$1305,3,0)</f>
        <v>Lắp cổ dề</v>
      </c>
      <c r="E835" s="714" t="str">
        <f>VLOOKUP($B835,R_DG!$A$7:$G$1305,4,0)</f>
        <v>bộ</v>
      </c>
      <c r="F835" s="724">
        <v>3</v>
      </c>
      <c r="G835" s="608">
        <f>VLOOKUP($B835,R_DG!$A$7:$G$1305,5,0)</f>
        <v>0</v>
      </c>
      <c r="H835" s="608">
        <f>VLOOKUP($B835,R_DG!$A$7:$G$1305,6,0)</f>
        <v>82929</v>
      </c>
      <c r="I835" s="608">
        <f>VLOOKUP($B835,R_DG!$A$7:$G$1305,7,0)</f>
        <v>0</v>
      </c>
      <c r="J835" s="608">
        <f t="shared" si="190"/>
        <v>0</v>
      </c>
      <c r="K835" s="608">
        <f t="shared" si="190"/>
        <v>248787</v>
      </c>
      <c r="L835" s="725">
        <f t="shared" si="190"/>
        <v>0</v>
      </c>
      <c r="M835" s="726">
        <f t="shared" si="191"/>
        <v>0</v>
      </c>
      <c r="N835" s="727">
        <f t="shared" ca="1" si="192"/>
        <v>0</v>
      </c>
    </row>
    <row r="836" spans="1:14" ht="15.75" hidden="1">
      <c r="A836" s="696"/>
      <c r="B836" s="226" t="s">
        <v>2466</v>
      </c>
      <c r="C836" s="713">
        <f>VLOOKUP($B836,R_DG!$A$7:$G$1305,2,0)</f>
        <v>0</v>
      </c>
      <c r="D836" s="723" t="str">
        <f>VLOOKUP($B836,R_DG!$A$7:$G$1305,3,0)</f>
        <v>Co 90 độ PVC 90</v>
      </c>
      <c r="E836" s="714" t="str">
        <f>VLOOKUP($B836,R_DG!$A$7:$G$1305,4,0)</f>
        <v>cái</v>
      </c>
      <c r="F836" s="724">
        <v>3</v>
      </c>
      <c r="G836" s="608">
        <f>VLOOKUP($B836,R_DG!$A$7:$G$1305,5,0)</f>
        <v>45400</v>
      </c>
      <c r="H836" s="608">
        <f>VLOOKUP($B836,R_DG!$A$7:$G$1305,6,0)</f>
        <v>0</v>
      </c>
      <c r="I836" s="608">
        <f>VLOOKUP($B836,R_DG!$A$7:$G$1305,7,0)</f>
        <v>0</v>
      </c>
      <c r="J836" s="608">
        <f t="shared" si="190"/>
        <v>136200</v>
      </c>
      <c r="K836" s="608">
        <f t="shared" si="190"/>
        <v>0</v>
      </c>
      <c r="L836" s="725">
        <f t="shared" si="190"/>
        <v>0</v>
      </c>
      <c r="M836" s="726">
        <f t="shared" si="191"/>
        <v>0</v>
      </c>
      <c r="N836" s="727">
        <f t="shared" ca="1" si="192"/>
        <v>0</v>
      </c>
    </row>
    <row r="837" spans="1:14" ht="15.75" hidden="1">
      <c r="A837" s="696"/>
      <c r="B837" s="226" t="s">
        <v>1936</v>
      </c>
      <c r="C837" s="713">
        <f>VLOOKUP($B837,R_DG!$A$7:$G$1305,2,0)</f>
        <v>0</v>
      </c>
      <c r="D837" s="723" t="str">
        <f>VLOOKUP($B837,R_DG!$A$7:$G$1305,3,0)</f>
        <v>Co 135 độ PVC 90</v>
      </c>
      <c r="E837" s="714" t="str">
        <f>VLOOKUP($B837,R_DG!$A$7:$G$1305,4,0)</f>
        <v>cái</v>
      </c>
      <c r="F837" s="724">
        <v>1</v>
      </c>
      <c r="G837" s="608">
        <f>VLOOKUP($B837,R_DG!$A$7:$G$1305,5,0)</f>
        <v>33900</v>
      </c>
      <c r="H837" s="608">
        <f>VLOOKUP($B837,R_DG!$A$7:$G$1305,6,0)</f>
        <v>0</v>
      </c>
      <c r="I837" s="608">
        <f>VLOOKUP($B837,R_DG!$A$7:$G$1305,7,0)</f>
        <v>0</v>
      </c>
      <c r="J837" s="608">
        <f t="shared" si="190"/>
        <v>33900</v>
      </c>
      <c r="K837" s="608">
        <f t="shared" si="190"/>
        <v>0</v>
      </c>
      <c r="L837" s="725">
        <f t="shared" si="190"/>
        <v>0</v>
      </c>
      <c r="M837" s="726">
        <f t="shared" si="191"/>
        <v>0</v>
      </c>
      <c r="N837" s="727">
        <f t="shared" ca="1" si="192"/>
        <v>0</v>
      </c>
    </row>
    <row r="838" spans="1:14" ht="15.75" hidden="1">
      <c r="A838" s="696"/>
      <c r="B838" s="226" t="s">
        <v>1951</v>
      </c>
      <c r="C838" s="713">
        <f>VLOOKUP($B838,R_DG!$A$7:$G$1305,2,0)</f>
        <v>0</v>
      </c>
      <c r="D838" s="723" t="str">
        <f>VLOOKUP($B838,R_DG!$A$7:$G$1305,3,0)</f>
        <v xml:space="preserve">Nối thẳng ống PVC 90 </v>
      </c>
      <c r="E838" s="714" t="str">
        <f>VLOOKUP($B838,R_DG!$A$7:$G$1305,4,0)</f>
        <v>cái</v>
      </c>
      <c r="F838" s="724">
        <v>1</v>
      </c>
      <c r="G838" s="608">
        <f>VLOOKUP($B838,R_DG!$A$7:$G$1305,5,0)</f>
        <v>12400</v>
      </c>
      <c r="H838" s="608">
        <f>VLOOKUP($B838,R_DG!$A$7:$G$1305,6,0)</f>
        <v>0</v>
      </c>
      <c r="I838" s="608">
        <f>VLOOKUP($B838,R_DG!$A$7:$G$1305,7,0)</f>
        <v>0</v>
      </c>
      <c r="J838" s="608">
        <f t="shared" si="190"/>
        <v>12400</v>
      </c>
      <c r="K838" s="608">
        <f t="shared" si="190"/>
        <v>0</v>
      </c>
      <c r="L838" s="725">
        <f t="shared" si="190"/>
        <v>0</v>
      </c>
      <c r="M838" s="726">
        <f t="shared" si="191"/>
        <v>0</v>
      </c>
      <c r="N838" s="727">
        <f t="shared" ca="1" si="192"/>
        <v>0</v>
      </c>
    </row>
    <row r="839" spans="1:14" ht="15.75" hidden="1">
      <c r="A839" s="696"/>
      <c r="B839" s="226" t="s">
        <v>2467</v>
      </c>
      <c r="C839" s="713">
        <f>VLOOKUP($B839,R_DG!$A$7:$G$1305,2,0)</f>
        <v>0</v>
      </c>
      <c r="D839" s="723" t="str">
        <f>VLOOKUP($B839,R_DG!$A$7:$G$1305,3,0)</f>
        <v>Keo dán ống PVC (100gr)</v>
      </c>
      <c r="E839" s="714" t="str">
        <f>VLOOKUP($B839,R_DG!$A$7:$G$1305,4,0)</f>
        <v>tuýp</v>
      </c>
      <c r="F839" s="724">
        <v>1</v>
      </c>
      <c r="G839" s="608">
        <f>VLOOKUP($B839,R_DG!$A$7:$G$1305,5,0)</f>
        <v>11500</v>
      </c>
      <c r="H839" s="608">
        <f>VLOOKUP($B839,R_DG!$A$7:$G$1305,6,0)</f>
        <v>0</v>
      </c>
      <c r="I839" s="608">
        <f>VLOOKUP($B839,R_DG!$A$7:$G$1305,7,0)</f>
        <v>0</v>
      </c>
      <c r="J839" s="608">
        <f t="shared" si="190"/>
        <v>11500</v>
      </c>
      <c r="K839" s="608">
        <f t="shared" si="190"/>
        <v>0</v>
      </c>
      <c r="L839" s="725">
        <f t="shared" si="190"/>
        <v>0</v>
      </c>
      <c r="M839" s="726">
        <f t="shared" si="191"/>
        <v>0</v>
      </c>
      <c r="N839" s="727">
        <f t="shared" ca="1" si="192"/>
        <v>0</v>
      </c>
    </row>
    <row r="840" spans="1:14" ht="15.75" hidden="1">
      <c r="A840" s="696"/>
      <c r="B840" s="226" t="s">
        <v>2468</v>
      </c>
      <c r="C840" s="713">
        <f>VLOOKUP($B840,R_DG!$A$7:$G$1305,2,0)</f>
        <v>0</v>
      </c>
      <c r="D840" s="723" t="str">
        <f>VLOOKUP($B840,R_DG!$A$7:$G$1305,3,0)</f>
        <v>Keo silicon bít miệng ống</v>
      </c>
      <c r="E840" s="714" t="str">
        <f>VLOOKUP($B840,R_DG!$A$7:$G$1305,4,0)</f>
        <v>ống</v>
      </c>
      <c r="F840" s="724">
        <v>1</v>
      </c>
      <c r="G840" s="608">
        <f>VLOOKUP($B840,R_DG!$A$7:$G$1305,5,0)</f>
        <v>30000</v>
      </c>
      <c r="H840" s="608">
        <f>VLOOKUP($B840,R_DG!$A$7:$G$1305,6,0)</f>
        <v>0</v>
      </c>
      <c r="I840" s="608">
        <f>VLOOKUP($B840,R_DG!$A$7:$G$1305,7,0)</f>
        <v>0</v>
      </c>
      <c r="J840" s="608">
        <f t="shared" si="190"/>
        <v>30000</v>
      </c>
      <c r="K840" s="608">
        <f t="shared" si="190"/>
        <v>0</v>
      </c>
      <c r="L840" s="725">
        <f t="shared" si="190"/>
        <v>0</v>
      </c>
      <c r="M840" s="726">
        <f t="shared" si="191"/>
        <v>0</v>
      </c>
      <c r="N840" s="727">
        <f t="shared" ca="1" si="192"/>
        <v>0</v>
      </c>
    </row>
    <row r="841" spans="1:14" ht="15.75" hidden="1">
      <c r="A841" s="696"/>
      <c r="B841" s="226" t="s">
        <v>1969</v>
      </c>
      <c r="C841" s="713">
        <f>VLOOKUP($B841,R_DG!$A$7:$G$1305,2,0)</f>
        <v>0</v>
      </c>
      <c r="D841" s="723" t="str">
        <f>VLOOKUP($B841,R_DG!$A$7:$G$1305,3,0)</f>
        <v>Băng keo cách điện (5m/cuộn)</v>
      </c>
      <c r="E841" s="714" t="str">
        <f>VLOOKUP($B841,R_DG!$A$7:$G$1305,4,0)</f>
        <v>cuộn</v>
      </c>
      <c r="F841" s="724">
        <v>5</v>
      </c>
      <c r="G841" s="608">
        <f>VLOOKUP($B841,R_DG!$A$7:$G$1305,5,0)</f>
        <v>8000</v>
      </c>
      <c r="H841" s="608">
        <f>VLOOKUP($B841,R_DG!$A$7:$G$1305,6,0)</f>
        <v>0</v>
      </c>
      <c r="I841" s="608">
        <f>VLOOKUP($B841,R_DG!$A$7:$G$1305,7,0)</f>
        <v>0</v>
      </c>
      <c r="J841" s="608">
        <f t="shared" si="190"/>
        <v>40000</v>
      </c>
      <c r="K841" s="608">
        <f t="shared" si="190"/>
        <v>0</v>
      </c>
      <c r="L841" s="725">
        <f t="shared" si="190"/>
        <v>0</v>
      </c>
      <c r="M841" s="726">
        <f t="shared" si="191"/>
        <v>0</v>
      </c>
      <c r="N841" s="727">
        <f t="shared" ca="1" si="192"/>
        <v>0</v>
      </c>
    </row>
    <row r="842" spans="1:14" ht="15.75" hidden="1">
      <c r="A842" s="696"/>
      <c r="B842" s="226" t="s">
        <v>2469</v>
      </c>
      <c r="C842" s="713" t="str">
        <f>VLOOKUP($B842,R_DG!$A$7:$G$1305,2,0)</f>
        <v>T4.5202</v>
      </c>
      <c r="D842" s="723" t="str">
        <f>VLOOKUP($B842,R_DG!$A$7:$G$1305,3,0)</f>
        <v>Lắp ống nhựa PVC D90</v>
      </c>
      <c r="E842" s="714" t="str">
        <f>VLOOKUP($B842,R_DG!$A$7:$G$1305,4,0)</f>
        <v>mét</v>
      </c>
      <c r="F842" s="724">
        <v>8</v>
      </c>
      <c r="G842" s="608">
        <f>VLOOKUP($B842,R_DG!$A$7:$G$1305,5,0)</f>
        <v>0</v>
      </c>
      <c r="H842" s="608">
        <f>VLOOKUP($B842,R_DG!$A$7:$G$1305,6,0)</f>
        <v>52126.80000000001</v>
      </c>
      <c r="I842" s="608">
        <f>VLOOKUP($B842,R_DG!$A$7:$G$1305,7,0)</f>
        <v>0</v>
      </c>
      <c r="J842" s="608">
        <f t="shared" si="190"/>
        <v>0</v>
      </c>
      <c r="K842" s="608">
        <f t="shared" si="190"/>
        <v>417014.40000000008</v>
      </c>
      <c r="L842" s="725">
        <f t="shared" si="190"/>
        <v>0</v>
      </c>
      <c r="M842" s="726">
        <f t="shared" si="191"/>
        <v>0</v>
      </c>
      <c r="N842" s="727">
        <f t="shared" ca="1" si="192"/>
        <v>0</v>
      </c>
    </row>
    <row r="843" spans="1:14" ht="15.75" hidden="1">
      <c r="A843" s="696"/>
      <c r="B843" s="226" t="s">
        <v>2461</v>
      </c>
      <c r="C843" s="713" t="str">
        <f>VLOOKUP($B843,R_DG!$A$7:$G$1305,2,0)</f>
        <v>T4.4201</v>
      </c>
      <c r="D843" s="723" t="str">
        <f>VLOOKUP($B843,R_DG!$A$7:$G$1305,3,0)</f>
        <v>Lắp cáp đồng xuống thiết bị D ≤ 95mm2</v>
      </c>
      <c r="E843" s="714" t="str">
        <f>VLOOKUP($B843,R_DG!$A$7:$G$1305,4,0)</f>
        <v>m</v>
      </c>
      <c r="F843" s="724">
        <f>F827+F828</f>
        <v>28</v>
      </c>
      <c r="G843" s="608">
        <f>VLOOKUP($B843,R_DG!$A$7:$G$1305,5,0)</f>
        <v>0</v>
      </c>
      <c r="H843" s="608">
        <f>VLOOKUP($B843,R_DG!$A$7:$G$1305,6,0)</f>
        <v>11847</v>
      </c>
      <c r="I843" s="608">
        <f>VLOOKUP($B843,R_DG!$A$7:$G$1305,7,0)</f>
        <v>0</v>
      </c>
      <c r="J843" s="608">
        <f t="shared" si="190"/>
        <v>0</v>
      </c>
      <c r="K843" s="608">
        <f t="shared" si="190"/>
        <v>331716</v>
      </c>
      <c r="L843" s="725">
        <f t="shared" si="190"/>
        <v>0</v>
      </c>
      <c r="M843" s="726">
        <f t="shared" si="191"/>
        <v>0</v>
      </c>
      <c r="N843" s="727">
        <f t="shared" ca="1" si="192"/>
        <v>0</v>
      </c>
    </row>
    <row r="844" spans="1:14">
      <c r="A844" s="743" t="s">
        <v>4956</v>
      </c>
      <c r="B844" s="695"/>
      <c r="C844" s="717"/>
      <c r="D844" s="718" t="s">
        <v>4957</v>
      </c>
      <c r="E844" s="718" t="s">
        <v>163</v>
      </c>
      <c r="F844" s="745"/>
      <c r="G844" s="720"/>
      <c r="H844" s="720"/>
      <c r="I844" s="720"/>
      <c r="J844" s="720">
        <f>SUM(J845:J861)</f>
        <v>5738368</v>
      </c>
      <c r="K844" s="720">
        <f>SUM(K845:K861)</f>
        <v>3096342.3360000001</v>
      </c>
      <c r="L844" s="721">
        <f>SUM(L845:L861)</f>
        <v>18850.240000000002</v>
      </c>
      <c r="M844" s="1126">
        <f>IF(ERROR.TYPE(IF(HLOOKUP(A844,maBK,1,0)&lt;&gt;"",#NULL!,"ABC"))&lt;&gt;7,1,0)</f>
        <v>1</v>
      </c>
      <c r="N844" s="712">
        <f ca="1">SUMIF(maBK,$A844,tongBK1)</f>
        <v>0</v>
      </c>
    </row>
    <row r="845" spans="1:14" ht="21.95" hidden="1" customHeight="1">
      <c r="A845" s="696"/>
      <c r="B845" s="401" t="s">
        <v>185</v>
      </c>
      <c r="C845" s="713">
        <f>VLOOKUP($B845,R_DG!$A$7:$G$1305,2,0)</f>
        <v>0</v>
      </c>
      <c r="D845" s="723" t="str">
        <f>VLOOKUP($B845,R_DG!$A$7:$G$1305,3,0)</f>
        <v>Cáp đồng trần M25mm2</v>
      </c>
      <c r="E845" s="402" t="str">
        <f>VLOOKUP(B845,R_DG!$A$7:$G$1305,4,0)</f>
        <v>kg</v>
      </c>
      <c r="F845" s="724">
        <f>(8*3+10+2+0.5+10+0.5+2)*0.224</f>
        <v>10.976000000000001</v>
      </c>
      <c r="G845" s="608">
        <f>VLOOKUP($B845,R_DG!$A$7:$G$1305,5,0)</f>
        <v>255500</v>
      </c>
      <c r="H845" s="608">
        <f>VLOOKUP($B845,R_DG!$A$7:$G$1305,6,0)</f>
        <v>0</v>
      </c>
      <c r="I845" s="608">
        <f>VLOOKUP($B845,R_DG!$A$7:$G$1305,7,0)</f>
        <v>0</v>
      </c>
      <c r="J845" s="608">
        <f t="shared" ref="J845:L861" si="193">G845*$F845</f>
        <v>2804368</v>
      </c>
      <c r="K845" s="608">
        <f t="shared" si="193"/>
        <v>0</v>
      </c>
      <c r="L845" s="725">
        <f t="shared" si="193"/>
        <v>0</v>
      </c>
      <c r="M845" s="1127">
        <f>IF(F845&gt;0,M$844,0)</f>
        <v>1</v>
      </c>
      <c r="N845" s="727">
        <f ca="1">$F845*N$826</f>
        <v>0</v>
      </c>
    </row>
    <row r="846" spans="1:14" ht="21.95" hidden="1" customHeight="1">
      <c r="A846" s="696"/>
      <c r="B846" s="226" t="s">
        <v>405</v>
      </c>
      <c r="C846" s="713">
        <f>VLOOKUP($B846,R_DG!$A$7:$G$1305,2,0)</f>
        <v>0</v>
      </c>
      <c r="D846" s="723" t="str">
        <f>VLOOKUP($B846,R_DG!$A$7:$G$1305,3,0)</f>
        <v>Cọc tiếp đất φ 16- 2,4m + kẹp cọc</v>
      </c>
      <c r="E846" s="402" t="str">
        <f>VLOOKUP(B846,R_DG!$A$7:$G$1305,4,0)</f>
        <v>bộ</v>
      </c>
      <c r="F846" s="724">
        <f>9</f>
        <v>9</v>
      </c>
      <c r="G846" s="608">
        <f>DG!E23</f>
        <v>156000</v>
      </c>
      <c r="H846" s="608">
        <f>VLOOKUP($B846,R_DG!$A$7:$G$1305,6,0)</f>
        <v>0</v>
      </c>
      <c r="I846" s="608">
        <f>VLOOKUP($B846,R_DG!$A$7:$G$1305,7,0)</f>
        <v>0</v>
      </c>
      <c r="J846" s="608">
        <f t="shared" si="193"/>
        <v>1404000</v>
      </c>
      <c r="K846" s="608">
        <f t="shared" si="193"/>
        <v>0</v>
      </c>
      <c r="L846" s="725">
        <f t="shared" si="193"/>
        <v>0</v>
      </c>
      <c r="M846" s="1127">
        <f t="shared" ref="M846:M861" si="194">IF(F846&gt;0,M$844,0)</f>
        <v>1</v>
      </c>
      <c r="N846" s="727">
        <f t="shared" ref="N846:N861" ca="1" si="195">$F846*N$826</f>
        <v>0</v>
      </c>
    </row>
    <row r="847" spans="1:14" ht="15.75" hidden="1">
      <c r="A847" s="696"/>
      <c r="B847" s="226" t="s">
        <v>2197</v>
      </c>
      <c r="C847" s="713">
        <f>VLOOKUP($B847,R_DG!$A$7:$G$1305,2,0)</f>
        <v>0</v>
      </c>
      <c r="D847" s="723" t="str">
        <f>VLOOKUP($B847,R_DG!$A$7:$G$1305,3,0)</f>
        <v xml:space="preserve">Ống PVC D21x1,6mm </v>
      </c>
      <c r="E847" s="402" t="str">
        <f>VLOOKUP(B847,R_DG!$A$7:$G$1305,4,0)</f>
        <v>m</v>
      </c>
      <c r="F847" s="724"/>
      <c r="G847" s="608">
        <f>VLOOKUP($B847,R_DG!$A$7:$G$1305,5,0)</f>
        <v>3700</v>
      </c>
      <c r="H847" s="608">
        <f>VLOOKUP($B847,R_DG!$A$7:$G$1305,6,0)</f>
        <v>0</v>
      </c>
      <c r="I847" s="608">
        <f>VLOOKUP($B847,R_DG!$A$7:$G$1305,7,0)</f>
        <v>0</v>
      </c>
      <c r="J847" s="608">
        <f t="shared" si="193"/>
        <v>0</v>
      </c>
      <c r="K847" s="608">
        <f t="shared" si="193"/>
        <v>0</v>
      </c>
      <c r="L847" s="725">
        <f t="shared" si="193"/>
        <v>0</v>
      </c>
      <c r="M847" s="726">
        <f t="shared" si="194"/>
        <v>0</v>
      </c>
      <c r="N847" s="727">
        <f t="shared" ca="1" si="195"/>
        <v>0</v>
      </c>
    </row>
    <row r="848" spans="1:14" ht="21.95" hidden="1" customHeight="1">
      <c r="A848" s="696"/>
      <c r="B848" s="232" t="s">
        <v>2208</v>
      </c>
      <c r="C848" s="713" t="str">
        <f>VLOOKUP($B848,R_DG!$A$7:$G$1305,2,0)</f>
        <v>D3.4011</v>
      </c>
      <c r="D848" s="723" t="str">
        <f>VLOOKUP($B848,R_DG!$A$7:$G$1305,3,0)</f>
        <v>Kẹp ép WR cỡ dây 50mm2</v>
      </c>
      <c r="E848" s="402" t="str">
        <f>VLOOKUP(B848,R_DG!$A$7:$G$1305,4,0)</f>
        <v>cái</v>
      </c>
      <c r="F848" s="724">
        <f>2</f>
        <v>2</v>
      </c>
      <c r="G848" s="608">
        <f>VLOOKUP($B848,R_DG!$A$7:$G$1305,5,0)</f>
        <v>13000</v>
      </c>
      <c r="H848" s="608">
        <f>VLOOKUP($B848,R_DG!$A$7:$G$1305,6,0)</f>
        <v>259648.56000000003</v>
      </c>
      <c r="I848" s="608">
        <f>VLOOKUP($B848,R_DG!$A$7:$G$1305,7,0)</f>
        <v>4712.5600000000004</v>
      </c>
      <c r="J848" s="608">
        <f t="shared" si="193"/>
        <v>26000</v>
      </c>
      <c r="K848" s="608">
        <f t="shared" si="193"/>
        <v>519297.12000000005</v>
      </c>
      <c r="L848" s="725">
        <f t="shared" si="193"/>
        <v>9425.1200000000008</v>
      </c>
      <c r="M848" s="1127">
        <f t="shared" si="194"/>
        <v>1</v>
      </c>
      <c r="N848" s="727">
        <f t="shared" ca="1" si="195"/>
        <v>0</v>
      </c>
    </row>
    <row r="849" spans="1:14" ht="21.95" hidden="1" customHeight="1">
      <c r="A849" s="696"/>
      <c r="B849" s="232" t="s">
        <v>2004</v>
      </c>
      <c r="C849" s="713">
        <f>VLOOKUP($B849,R_DG!$A$7:$G$1305,2,0)</f>
        <v>0</v>
      </c>
      <c r="D849" s="723" t="str">
        <f>VLOOKUP($B849,R_DG!$A$7:$G$1305,3,0)</f>
        <v>Ốc xiết cáp cỡ 25mm2</v>
      </c>
      <c r="E849" s="402" t="str">
        <f>VLOOKUP(B849,R_DG!$A$7:$G$1305,4,0)</f>
        <v>cái</v>
      </c>
      <c r="F849" s="724">
        <f>2</f>
        <v>2</v>
      </c>
      <c r="G849" s="608">
        <f>VLOOKUP($B849,R_DG!$A$7:$G$1305,5,0)</f>
        <v>36000</v>
      </c>
      <c r="H849" s="608">
        <f>VLOOKUP($B849,R_DG!$A$7:$G$1305,6,0)</f>
        <v>0</v>
      </c>
      <c r="I849" s="608">
        <f>VLOOKUP($B849,R_DG!$A$7:$G$1305,7,0)</f>
        <v>0</v>
      </c>
      <c r="J849" s="608">
        <f t="shared" si="193"/>
        <v>72000</v>
      </c>
      <c r="K849" s="608">
        <f t="shared" si="193"/>
        <v>0</v>
      </c>
      <c r="L849" s="725">
        <f t="shared" si="193"/>
        <v>0</v>
      </c>
      <c r="M849" s="1127">
        <f t="shared" si="194"/>
        <v>1</v>
      </c>
      <c r="N849" s="727">
        <f t="shared" ca="1" si="195"/>
        <v>0</v>
      </c>
    </row>
    <row r="850" spans="1:14" ht="15.75" hidden="1">
      <c r="A850" s="696"/>
      <c r="B850" s="232" t="s">
        <v>2190</v>
      </c>
      <c r="C850" s="713">
        <f>VLOOKUP($B850,R_DG!$A$7:$G$1305,2,0)</f>
        <v>0</v>
      </c>
      <c r="D850" s="723" t="str">
        <f>VLOOKUP($B850,R_DG!$A$7:$G$1305,3,0)</f>
        <v>Boulon 12x40+ 2 long đền vuông D14-50x50x3/Zn</v>
      </c>
      <c r="E850" s="402" t="str">
        <f>VLOOKUP(B850,R_DG!$A$7:$G$1305,4,0)</f>
        <v>bộ</v>
      </c>
      <c r="F850" s="724"/>
      <c r="G850" s="608">
        <f>VLOOKUP($B850,R_DG!$A$7:$G$1305,5,0)</f>
        <v>3000</v>
      </c>
      <c r="H850" s="608">
        <f>VLOOKUP($B850,R_DG!$A$7:$G$1305,6,0)</f>
        <v>0</v>
      </c>
      <c r="I850" s="608">
        <f>VLOOKUP($B850,R_DG!$A$7:$G$1305,7,0)</f>
        <v>0</v>
      </c>
      <c r="J850" s="608">
        <f t="shared" si="193"/>
        <v>0</v>
      </c>
      <c r="K850" s="608">
        <f t="shared" si="193"/>
        <v>0</v>
      </c>
      <c r="L850" s="725">
        <f t="shared" si="193"/>
        <v>0</v>
      </c>
      <c r="M850" s="726">
        <f t="shared" si="194"/>
        <v>0</v>
      </c>
      <c r="N850" s="727">
        <f t="shared" ca="1" si="195"/>
        <v>0</v>
      </c>
    </row>
    <row r="851" spans="1:14" ht="21.95" hidden="1" customHeight="1">
      <c r="A851" s="696"/>
      <c r="B851" s="232" t="s">
        <v>2209</v>
      </c>
      <c r="C851" s="713" t="str">
        <f>VLOOKUP($B851,R_DG!$A$7:$G$1305,2,0)</f>
        <v>D3.4011</v>
      </c>
      <c r="D851" s="723" t="str">
        <f>VLOOKUP($B851,R_DG!$A$7:$G$1305,3,0)</f>
        <v>Kẹp ép cỡ dây 25mm2</v>
      </c>
      <c r="E851" s="402" t="str">
        <f>VLOOKUP(B851,R_DG!$A$7:$G$1305,4,0)</f>
        <v>cái</v>
      </c>
      <c r="F851" s="724">
        <f>2</f>
        <v>2</v>
      </c>
      <c r="G851" s="608">
        <f>VLOOKUP($B851,R_DG!$A$7:$G$1305,5,0)</f>
        <v>14000</v>
      </c>
      <c r="H851" s="608">
        <f>VLOOKUP($B851,R_DG!$A$7:$G$1305,6,0)</f>
        <v>259648.56000000003</v>
      </c>
      <c r="I851" s="608">
        <f>VLOOKUP($B851,R_DG!$A$7:$G$1305,7,0)</f>
        <v>4712.5600000000004</v>
      </c>
      <c r="J851" s="608">
        <f t="shared" si="193"/>
        <v>28000</v>
      </c>
      <c r="K851" s="608">
        <f t="shared" si="193"/>
        <v>519297.12000000005</v>
      </c>
      <c r="L851" s="725">
        <f t="shared" si="193"/>
        <v>9425.1200000000008</v>
      </c>
      <c r="M851" s="1127">
        <f t="shared" si="194"/>
        <v>1</v>
      </c>
      <c r="N851" s="727">
        <f t="shared" ca="1" si="195"/>
        <v>0</v>
      </c>
    </row>
    <row r="852" spans="1:14" ht="15.75" hidden="1">
      <c r="A852" s="696"/>
      <c r="B852" s="226" t="s">
        <v>2210</v>
      </c>
      <c r="C852" s="713">
        <f>VLOOKUP($B852,R_DG!$A$7:$G$1305,2,0)</f>
        <v>0</v>
      </c>
      <c r="D852" s="723" t="str">
        <f>VLOOKUP($B852,R_DG!$A$7:$G$1305,3,0)</f>
        <v>Cổ dê kẹp ống PVC φ 21</v>
      </c>
      <c r="E852" s="402" t="str">
        <f>VLOOKUP(B852,R_DG!$A$7:$G$1305,4,0)</f>
        <v>bộ</v>
      </c>
      <c r="F852" s="724"/>
      <c r="G852" s="608">
        <f>VLOOKUP($B852,R_DG!$A$7:$G$1305,5,0)</f>
        <v>43000</v>
      </c>
      <c r="H852" s="608">
        <f>VLOOKUP($B852,R_DG!$A$7:$G$1305,6,0)</f>
        <v>0</v>
      </c>
      <c r="I852" s="608">
        <f>VLOOKUP($B852,R_DG!$A$7:$G$1305,7,0)</f>
        <v>0</v>
      </c>
      <c r="J852" s="608">
        <f t="shared" si="193"/>
        <v>0</v>
      </c>
      <c r="K852" s="608">
        <f t="shared" si="193"/>
        <v>0</v>
      </c>
      <c r="L852" s="725">
        <f t="shared" si="193"/>
        <v>0</v>
      </c>
      <c r="M852" s="726">
        <f t="shared" si="194"/>
        <v>0</v>
      </c>
      <c r="N852" s="727">
        <f t="shared" ca="1" si="195"/>
        <v>0</v>
      </c>
    </row>
    <row r="853" spans="1:14" ht="15.75" hidden="1">
      <c r="A853" s="696"/>
      <c r="B853" s="226" t="s">
        <v>707</v>
      </c>
      <c r="C853" s="713" t="str">
        <f>VLOOKUP($B853,R_DG!$A$7:$G$1305,2,0)</f>
        <v>D2.3241</v>
      </c>
      <c r="D853" s="723" t="str">
        <f>VLOOKUP($B853,R_DG!$A$7:$G$1305,3,0)</f>
        <v>Lắp cổ dề</v>
      </c>
      <c r="E853" s="402" t="str">
        <f>VLOOKUP(B853,R_DG!$A$7:$G$1305,4,0)</f>
        <v>bộ</v>
      </c>
      <c r="F853" s="724"/>
      <c r="G853" s="608">
        <f>VLOOKUP($B853,R_DG!$A$7:$G$1305,5,0)</f>
        <v>0</v>
      </c>
      <c r="H853" s="608">
        <f>VLOOKUP($B853,R_DG!$A$7:$G$1305,6,0)</f>
        <v>82929</v>
      </c>
      <c r="I853" s="608">
        <f>VLOOKUP($B853,R_DG!$A$7:$G$1305,7,0)</f>
        <v>0</v>
      </c>
      <c r="J853" s="608">
        <f t="shared" si="193"/>
        <v>0</v>
      </c>
      <c r="K853" s="608">
        <f t="shared" si="193"/>
        <v>0</v>
      </c>
      <c r="L853" s="725">
        <f t="shared" si="193"/>
        <v>0</v>
      </c>
      <c r="M853" s="726">
        <f t="shared" si="194"/>
        <v>0</v>
      </c>
      <c r="N853" s="727">
        <f t="shared" ca="1" si="195"/>
        <v>0</v>
      </c>
    </row>
    <row r="854" spans="1:14" ht="15.75" hidden="1">
      <c r="A854" s="696"/>
      <c r="B854" s="226" t="s">
        <v>2190</v>
      </c>
      <c r="C854" s="713">
        <f>VLOOKUP($B854,R_DG!$A$7:$G$1305,2,0)</f>
        <v>0</v>
      </c>
      <c r="D854" s="723" t="str">
        <f>VLOOKUP($B854,R_DG!$A$7:$G$1305,3,0)</f>
        <v>Boulon 12x40+ 2 long đền vuông D14-50x50x3/Zn</v>
      </c>
      <c r="E854" s="402" t="str">
        <f>VLOOKUP(B854,R_DG!$A$7:$G$1305,4,0)</f>
        <v>bộ</v>
      </c>
      <c r="F854" s="724">
        <f>F$246*0</f>
        <v>0</v>
      </c>
      <c r="G854" s="608">
        <f>VLOOKUP($B854,R_DG!$A$7:$G$1305,5,0)</f>
        <v>3000</v>
      </c>
      <c r="H854" s="608">
        <f>VLOOKUP($B854,R_DG!$A$7:$G$1305,6,0)</f>
        <v>0</v>
      </c>
      <c r="I854" s="608">
        <f>VLOOKUP($B854,R_DG!$A$7:$G$1305,7,0)</f>
        <v>0</v>
      </c>
      <c r="J854" s="608">
        <f t="shared" si="193"/>
        <v>0</v>
      </c>
      <c r="K854" s="608">
        <f t="shared" si="193"/>
        <v>0</v>
      </c>
      <c r="L854" s="725">
        <f t="shared" si="193"/>
        <v>0</v>
      </c>
      <c r="M854" s="726">
        <f t="shared" si="194"/>
        <v>0</v>
      </c>
      <c r="N854" s="727">
        <f t="shared" ca="1" si="195"/>
        <v>0</v>
      </c>
    </row>
    <row r="855" spans="1:14" ht="21.95" hidden="1" customHeight="1">
      <c r="A855" s="696"/>
      <c r="B855" s="226" t="s">
        <v>2457</v>
      </c>
      <c r="C855" s="713" t="str">
        <f>VLOOKUP($B855,R_DG!$A$7:$G$1305,2,0)</f>
        <v>D2.8103</v>
      </c>
      <c r="D855" s="723" t="str">
        <f>VLOOKUP($B855,R_DG!$A$7:$G$1305,3,0)</f>
        <v>Đóng cọc tiếp địa trong TBA</v>
      </c>
      <c r="E855" s="402" t="str">
        <f>VLOOKUP(B855,R_DG!$A$7:$G$1305,4,0)</f>
        <v>cọc</v>
      </c>
      <c r="F855" s="724">
        <f>F846</f>
        <v>9</v>
      </c>
      <c r="G855" s="608">
        <f>DG!E23</f>
        <v>156000</v>
      </c>
      <c r="H855" s="608">
        <f>VLOOKUP($B855,R_DG!$A$7:$G$1305,6,0)</f>
        <v>107480.82</v>
      </c>
      <c r="I855" s="608">
        <f>VLOOKUP($B855,R_DG!$A$7:$G$1305,7,0)</f>
        <v>0</v>
      </c>
      <c r="J855" s="608">
        <f t="shared" si="193"/>
        <v>1404000</v>
      </c>
      <c r="K855" s="608">
        <f t="shared" si="193"/>
        <v>967327.38000000012</v>
      </c>
      <c r="L855" s="725">
        <f t="shared" si="193"/>
        <v>0</v>
      </c>
      <c r="M855" s="1127">
        <f t="shared" si="194"/>
        <v>1</v>
      </c>
      <c r="N855" s="727">
        <f t="shared" ca="1" si="195"/>
        <v>0</v>
      </c>
    </row>
    <row r="856" spans="1:14" ht="21.95" hidden="1" customHeight="1">
      <c r="A856" s="696"/>
      <c r="B856" s="226" t="s">
        <v>2458</v>
      </c>
      <c r="C856" s="713" t="str">
        <f>VLOOKUP($B856,R_DG!$A$7:$G$1305,2,0)</f>
        <v>T4.7001</v>
      </c>
      <c r="D856" s="723" t="str">
        <f>VLOOKUP($B856,R_DG!$A$7:$G$1305,3,0)</f>
        <v>Kéo dây tiếp địa trong TBA</v>
      </c>
      <c r="E856" s="402" t="str">
        <f>VLOOKUP(B856,R_DG!$A$7:$G$1305,4,0)</f>
        <v>mét</v>
      </c>
      <c r="F856" s="724">
        <f>F845/0.224</f>
        <v>49</v>
      </c>
      <c r="G856" s="608">
        <f>VLOOKUP($B856,R_DG!$A$7:$G$1305,5,0)</f>
        <v>0</v>
      </c>
      <c r="H856" s="608">
        <f>VLOOKUP($B856,R_DG!$A$7:$G$1305,6,0)</f>
        <v>6871.2599999999993</v>
      </c>
      <c r="I856" s="608">
        <f>VLOOKUP($B856,R_DG!$A$7:$G$1305,7,0)</f>
        <v>0</v>
      </c>
      <c r="J856" s="608">
        <f t="shared" si="193"/>
        <v>0</v>
      </c>
      <c r="K856" s="608">
        <f t="shared" si="193"/>
        <v>336691.74</v>
      </c>
      <c r="L856" s="725">
        <f t="shared" si="193"/>
        <v>0</v>
      </c>
      <c r="M856" s="1127">
        <f t="shared" si="194"/>
        <v>1</v>
      </c>
      <c r="N856" s="727">
        <f t="shared" ca="1" si="195"/>
        <v>0</v>
      </c>
    </row>
    <row r="857" spans="1:14" ht="21.95" hidden="1" customHeight="1">
      <c r="A857" s="696"/>
      <c r="B857" s="232" t="s">
        <v>2211</v>
      </c>
      <c r="C857" s="713" t="str">
        <f>VLOOKUP($B857,R_DG!$A$7:$G$1305,2,0)</f>
        <v>AB.1151</v>
      </c>
      <c r="D857" s="723" t="str">
        <f>VLOOKUP($B857,R_DG!$A$7:$G$1305,3,0)</f>
        <v>Đào rãnh tiếp địa đất cấp 3</v>
      </c>
      <c r="E857" s="402" t="str">
        <f>VLOOKUP(B857,R_DG!$A$7:$G$1305,4,0)</f>
        <v>m3</v>
      </c>
      <c r="F857" s="724">
        <f>8*3*0.3*0.3</f>
        <v>2.1599999999999997</v>
      </c>
      <c r="G857" s="608">
        <f>VLOOKUP($B857,R_DG!$A$7:$G$1305,5,0)</f>
        <v>0</v>
      </c>
      <c r="H857" s="608">
        <f>VLOOKUP($B857,R_DG!$A$7:$G$1305,6,0)</f>
        <v>241579.80000000002</v>
      </c>
      <c r="I857" s="608">
        <f>VLOOKUP($B857,R_DG!$A$7:$G$1305,7,0)</f>
        <v>0</v>
      </c>
      <c r="J857" s="608">
        <f t="shared" si="193"/>
        <v>0</v>
      </c>
      <c r="K857" s="608">
        <f t="shared" si="193"/>
        <v>521812.36799999996</v>
      </c>
      <c r="L857" s="725">
        <f t="shared" si="193"/>
        <v>0</v>
      </c>
      <c r="M857" s="1127">
        <f t="shared" si="194"/>
        <v>1</v>
      </c>
      <c r="N857" s="727">
        <f t="shared" ca="1" si="195"/>
        <v>0</v>
      </c>
    </row>
    <row r="858" spans="1:14" hidden="1">
      <c r="A858" s="696"/>
      <c r="B858" s="226" t="s">
        <v>2212</v>
      </c>
      <c r="C858" s="713" t="str">
        <f>VLOOKUP($B858,R_DG!$A$7:$G$1305,2,0)</f>
        <v>AB.1312</v>
      </c>
      <c r="D858" s="723" t="str">
        <f>VLOOKUP($B858,R_DG!$A$7:$G$1305,3,0)</f>
        <v>Đắp đất rãnh tiếp địa cấp 3, k=0,9</v>
      </c>
      <c r="E858" s="402" t="str">
        <f>VLOOKUP(B858,R_DG!$A$7:$G$1305,4,0)</f>
        <v>m3</v>
      </c>
      <c r="F858" s="724">
        <f>F857</f>
        <v>2.1599999999999997</v>
      </c>
      <c r="G858" s="608">
        <f>VLOOKUP($B858,R_DG!$A$7:$G$1305,5,0)</f>
        <v>0</v>
      </c>
      <c r="H858" s="608">
        <f>VLOOKUP($B858,R_DG!$A$7:$G$1305,6,0)</f>
        <v>107368.8</v>
      </c>
      <c r="I858" s="608">
        <f>VLOOKUP($B858,R_DG!$A$7:$G$1305,7,0)</f>
        <v>0</v>
      </c>
      <c r="J858" s="608">
        <f t="shared" si="193"/>
        <v>0</v>
      </c>
      <c r="K858" s="608">
        <f t="shared" si="193"/>
        <v>231916.60799999998</v>
      </c>
      <c r="L858" s="725">
        <f t="shared" si="193"/>
        <v>0</v>
      </c>
      <c r="M858" s="1127">
        <f t="shared" si="194"/>
        <v>1</v>
      </c>
      <c r="N858" s="727">
        <f t="shared" ca="1" si="195"/>
        <v>0</v>
      </c>
    </row>
    <row r="859" spans="1:14" ht="15.75" hidden="1">
      <c r="A859" s="696"/>
      <c r="B859" s="226" t="s">
        <v>1969</v>
      </c>
      <c r="C859" s="713">
        <f>VLOOKUP($B859,R_DG!$A$7:$G$1305,2,0)</f>
        <v>0</v>
      </c>
      <c r="D859" s="723" t="str">
        <f>VLOOKUP($B859,R_DG!$A$7:$G$1305,3,0)</f>
        <v>Băng keo cách điện (5m/cuộn)</v>
      </c>
      <c r="E859" s="402" t="str">
        <f>VLOOKUP(B859,R_DG!$A$7:$G$1305,4,0)</f>
        <v>cuộn</v>
      </c>
      <c r="F859" s="724">
        <v>0</v>
      </c>
      <c r="G859" s="608">
        <f>VLOOKUP($B859,R_DG!$A$7:$G$1305,5,0)</f>
        <v>8000</v>
      </c>
      <c r="H859" s="608">
        <f>VLOOKUP($B859,R_DG!$A$7:$G$1305,6,0)</f>
        <v>0</v>
      </c>
      <c r="I859" s="608">
        <f>VLOOKUP($B859,R_DG!$A$7:$G$1305,7,0)</f>
        <v>0</v>
      </c>
      <c r="J859" s="608">
        <f t="shared" si="193"/>
        <v>0</v>
      </c>
      <c r="K859" s="608">
        <f t="shared" si="193"/>
        <v>0</v>
      </c>
      <c r="L859" s="725">
        <f t="shared" si="193"/>
        <v>0</v>
      </c>
      <c r="M859" s="726">
        <f t="shared" si="194"/>
        <v>0</v>
      </c>
      <c r="N859" s="727">
        <f t="shared" ca="1" si="195"/>
        <v>0</v>
      </c>
    </row>
    <row r="860" spans="1:14" ht="15.75" hidden="1">
      <c r="A860" s="696"/>
      <c r="B860" s="226" t="s">
        <v>2469</v>
      </c>
      <c r="C860" s="713" t="str">
        <f>VLOOKUP($B860,R_DG!$A$7:$G$1305,2,0)</f>
        <v>T4.5202</v>
      </c>
      <c r="D860" s="723" t="str">
        <f>VLOOKUP($B860,R_DG!$A$7:$G$1305,3,0)</f>
        <v>Lắp ống nhựa PVC D90</v>
      </c>
      <c r="E860" s="402" t="str">
        <f>VLOOKUP(B860,R_DG!$A$7:$G$1305,4,0)</f>
        <v>mét</v>
      </c>
      <c r="F860" s="724"/>
      <c r="G860" s="608">
        <f>VLOOKUP($B860,R_DG!$A$7:$G$1305,5,0)</f>
        <v>0</v>
      </c>
      <c r="H860" s="608">
        <f>VLOOKUP($B860,R_DG!$A$7:$G$1305,6,0)</f>
        <v>52126.80000000001</v>
      </c>
      <c r="I860" s="608">
        <f>VLOOKUP($B860,R_DG!$A$7:$G$1305,7,0)</f>
        <v>0</v>
      </c>
      <c r="J860" s="608">
        <f t="shared" si="193"/>
        <v>0</v>
      </c>
      <c r="K860" s="608">
        <f t="shared" si="193"/>
        <v>0</v>
      </c>
      <c r="L860" s="725">
        <f t="shared" si="193"/>
        <v>0</v>
      </c>
      <c r="M860" s="726">
        <f t="shared" si="194"/>
        <v>0</v>
      </c>
      <c r="N860" s="727">
        <f t="shared" ca="1" si="195"/>
        <v>0</v>
      </c>
    </row>
    <row r="861" spans="1:14" ht="15.75" hidden="1">
      <c r="A861" s="696"/>
      <c r="B861" s="226" t="s">
        <v>2461</v>
      </c>
      <c r="C861" s="713" t="str">
        <f>VLOOKUP($B861,R_DG!$A$7:$G$1305,2,0)</f>
        <v>T4.4201</v>
      </c>
      <c r="D861" s="723" t="str">
        <f>VLOOKUP($B861,R_DG!$A$7:$G$1305,3,0)</f>
        <v>Lắp cáp đồng xuống thiết bị D ≤ 95mm2</v>
      </c>
      <c r="E861" s="402" t="str">
        <f>VLOOKUP(B861,R_DG!$A$7:$G$1305,4,0)</f>
        <v>m</v>
      </c>
      <c r="F861" s="724"/>
      <c r="G861" s="608">
        <f>VLOOKUP($B861,R_DG!$A$7:$G$1305,5,0)</f>
        <v>0</v>
      </c>
      <c r="H861" s="608">
        <f>VLOOKUP($B861,R_DG!$A$7:$G$1305,6,0)</f>
        <v>11847</v>
      </c>
      <c r="I861" s="608">
        <f>VLOOKUP($B861,R_DG!$A$7:$G$1305,7,0)</f>
        <v>0</v>
      </c>
      <c r="J861" s="608">
        <f t="shared" si="193"/>
        <v>0</v>
      </c>
      <c r="K861" s="608">
        <f t="shared" si="193"/>
        <v>0</v>
      </c>
      <c r="L861" s="725">
        <f t="shared" si="193"/>
        <v>0</v>
      </c>
      <c r="M861" s="726">
        <f t="shared" si="194"/>
        <v>0</v>
      </c>
      <c r="N861" s="727">
        <f t="shared" ca="1" si="195"/>
        <v>0</v>
      </c>
    </row>
    <row r="862" spans="1:14">
      <c r="A862" s="728" t="s">
        <v>3094</v>
      </c>
      <c r="B862" s="729"/>
      <c r="C862" s="747"/>
      <c r="D862" s="718" t="s">
        <v>2351</v>
      </c>
      <c r="E862" s="718" t="s">
        <v>2282</v>
      </c>
      <c r="F862" s="719"/>
      <c r="G862" s="720"/>
      <c r="H862" s="720"/>
      <c r="I862" s="720"/>
      <c r="J862" s="720">
        <f ca="1">SUM(J863:J940)</f>
        <v>58544916</v>
      </c>
      <c r="K862" s="720">
        <f ca="1">SUM(K863:K942)</f>
        <v>720933.17760000005</v>
      </c>
      <c r="L862" s="720">
        <f ca="1">SUM(L863:L942)</f>
        <v>33997.890657006697</v>
      </c>
      <c r="M862" s="1126">
        <v>1</v>
      </c>
      <c r="N862" s="712">
        <f ca="1">SUMIF(maBK,$A862,tongBK1)</f>
        <v>0</v>
      </c>
    </row>
    <row r="863" spans="1:14" ht="21.95" hidden="1" customHeight="1">
      <c r="A863" s="696"/>
      <c r="B863" s="226" t="s">
        <v>295</v>
      </c>
      <c r="C863" s="748">
        <v>100</v>
      </c>
      <c r="D863" s="723" t="str">
        <f>VLOOKUP($B863,R_DG!$A$7:$G$1305,3,0)</f>
        <v>Cáp nhôm lõi thép AC-50/8</v>
      </c>
      <c r="E863" s="714" t="str">
        <f>VLOOKUP($B863,R_DG!$A$7:$G$1305,4,0)</f>
        <v>kg</v>
      </c>
      <c r="F863" s="749">
        <f>C863*1.02*0.195</f>
        <v>19.89</v>
      </c>
      <c r="G863" s="608">
        <f>VLOOKUP($B863,R_DG!$A$7:$G$1305,5,0)</f>
        <v>60400</v>
      </c>
      <c r="H863" s="608">
        <f>VLOOKUP($B863,R_DG!$A$7:$G$1305,6,0)</f>
        <v>0</v>
      </c>
      <c r="I863" s="608">
        <f>VLOOKUP($B863,R_DG!$A$7:$G$1305,7,0)</f>
        <v>0</v>
      </c>
      <c r="J863" s="608">
        <f t="shared" ref="J863:L940" si="196">G863*$F863</f>
        <v>1201356</v>
      </c>
      <c r="K863" s="608">
        <f t="shared" si="196"/>
        <v>0</v>
      </c>
      <c r="L863" s="725">
        <f t="shared" si="196"/>
        <v>0</v>
      </c>
      <c r="M863" s="1127">
        <f>IF(F863&gt;0,M$862,0)</f>
        <v>1</v>
      </c>
      <c r="N863" s="750">
        <f t="shared" ref="N863:N926" si="197">$F863</f>
        <v>19.89</v>
      </c>
    </row>
    <row r="864" spans="1:14" hidden="1">
      <c r="A864" s="696"/>
      <c r="B864" s="226" t="s">
        <v>297</v>
      </c>
      <c r="C864" s="748">
        <f t="shared" ref="C864:C919" ca="1" si="198">SUMIF(maBK,B864,tongBK1)</f>
        <v>0</v>
      </c>
      <c r="D864" s="723" t="str">
        <f>VLOOKUP($B864,R_DG!$A$7:$G$1305,3,0)</f>
        <v>Cáp nhôm lõi thép AC-70/11</v>
      </c>
      <c r="E864" s="714" t="str">
        <f>VLOOKUP($B864,R_DG!$A$7:$G$1305,4,0)</f>
        <v>kg</v>
      </c>
      <c r="F864" s="749">
        <f ca="1">C864*1.02*0.279</f>
        <v>0</v>
      </c>
      <c r="G864" s="608">
        <f>VLOOKUP($B864,R_DG!$A$7:$G$1305,5,0)</f>
        <v>71000</v>
      </c>
      <c r="H864" s="608">
        <f>VLOOKUP($B864,R_DG!$A$7:$G$1305,6,0)</f>
        <v>0</v>
      </c>
      <c r="I864" s="608">
        <f>VLOOKUP($B864,R_DG!$A$7:$G$1305,7,0)</f>
        <v>0</v>
      </c>
      <c r="J864" s="608">
        <f t="shared" ca="1" si="196"/>
        <v>0</v>
      </c>
      <c r="K864" s="608">
        <f t="shared" ca="1" si="196"/>
        <v>0</v>
      </c>
      <c r="L864" s="725">
        <f t="shared" ca="1" si="196"/>
        <v>0</v>
      </c>
      <c r="M864" s="1127">
        <f t="shared" ref="M864:M940" ca="1" si="199">IF(F864&gt;0,M$862,0)</f>
        <v>0</v>
      </c>
      <c r="N864" s="750">
        <f t="shared" ca="1" si="197"/>
        <v>0</v>
      </c>
    </row>
    <row r="865" spans="1:14" hidden="1">
      <c r="A865" s="696"/>
      <c r="B865" s="226" t="s">
        <v>299</v>
      </c>
      <c r="C865" s="748">
        <f t="shared" ca="1" si="198"/>
        <v>0</v>
      </c>
      <c r="D865" s="723" t="str">
        <f>VLOOKUP($B865,R_DG!$A$7:$G$1305,3,0)</f>
        <v>Cáp nhôm lõi thép AC-95/16</v>
      </c>
      <c r="E865" s="714" t="str">
        <f>VLOOKUP($B865,R_DG!$A$7:$G$1305,4,0)</f>
        <v>kg</v>
      </c>
      <c r="F865" s="749">
        <f ca="1">C865*1.02*0.391</f>
        <v>0</v>
      </c>
      <c r="G865" s="608">
        <f>VLOOKUP($B865,R_DG!$A$7:$G$1305,5,0)</f>
        <v>73200</v>
      </c>
      <c r="H865" s="608">
        <f>VLOOKUP($B865,R_DG!$A$7:$G$1305,6,0)</f>
        <v>0</v>
      </c>
      <c r="I865" s="608">
        <f>VLOOKUP($B865,R_DG!$A$7:$G$1305,7,0)</f>
        <v>0</v>
      </c>
      <c r="J865" s="608">
        <f t="shared" ca="1" si="196"/>
        <v>0</v>
      </c>
      <c r="K865" s="608">
        <f t="shared" ca="1" si="196"/>
        <v>0</v>
      </c>
      <c r="L865" s="725">
        <f t="shared" ca="1" si="196"/>
        <v>0</v>
      </c>
      <c r="M865" s="1127">
        <f t="shared" ca="1" si="199"/>
        <v>0</v>
      </c>
      <c r="N865" s="750">
        <f t="shared" ca="1" si="197"/>
        <v>0</v>
      </c>
    </row>
    <row r="866" spans="1:14" hidden="1">
      <c r="A866" s="696"/>
      <c r="B866" s="226" t="s">
        <v>301</v>
      </c>
      <c r="C866" s="748">
        <f t="shared" ca="1" si="198"/>
        <v>0</v>
      </c>
      <c r="D866" s="723" t="str">
        <f>VLOOKUP($B866,R_DG!$A$7:$G$1305,3,0)</f>
        <v>Cáp nhôm lõi thép AC-120/19</v>
      </c>
      <c r="E866" s="714" t="str">
        <f>VLOOKUP($B866,R_DG!$A$7:$G$1305,4,0)</f>
        <v>kg</v>
      </c>
      <c r="F866" s="749">
        <f ca="1">C866*1.02*0.53</f>
        <v>0</v>
      </c>
      <c r="G866" s="608">
        <f>VLOOKUP($B866,R_DG!$A$7:$G$1305,5,0)</f>
        <v>73200</v>
      </c>
      <c r="H866" s="608">
        <f>VLOOKUP($B866,R_DG!$A$7:$G$1305,6,0)</f>
        <v>0</v>
      </c>
      <c r="I866" s="608">
        <f>VLOOKUP($B866,R_DG!$A$7:$G$1305,7,0)</f>
        <v>0</v>
      </c>
      <c r="J866" s="608">
        <f t="shared" ca="1" si="196"/>
        <v>0</v>
      </c>
      <c r="K866" s="608">
        <f t="shared" ca="1" si="196"/>
        <v>0</v>
      </c>
      <c r="L866" s="725">
        <f t="shared" ca="1" si="196"/>
        <v>0</v>
      </c>
      <c r="M866" s="1127">
        <f t="shared" ca="1" si="199"/>
        <v>0</v>
      </c>
      <c r="N866" s="750">
        <f t="shared" ca="1" si="197"/>
        <v>0</v>
      </c>
    </row>
    <row r="867" spans="1:14" hidden="1">
      <c r="A867" s="696"/>
      <c r="B867" s="226" t="s">
        <v>303</v>
      </c>
      <c r="C867" s="748">
        <f t="shared" ca="1" si="198"/>
        <v>0</v>
      </c>
      <c r="D867" s="723" t="str">
        <f>VLOOKUP($B867,R_DG!$A$7:$G$1305,3,0)</f>
        <v>Cáp nhôm lõi thép AC-150/24</v>
      </c>
      <c r="E867" s="714" t="str">
        <f>VLOOKUP($B867,R_DG!$A$7:$G$1305,4,0)</f>
        <v>kg</v>
      </c>
      <c r="F867" s="749">
        <f t="shared" ref="F867:F869" ca="1" si="200">C867*1.02*0.185</f>
        <v>0</v>
      </c>
      <c r="G867" s="608">
        <f>VLOOKUP($B867,R_DG!$A$7:$G$1305,5,0)</f>
        <v>73200</v>
      </c>
      <c r="H867" s="608">
        <f>VLOOKUP($B867,R_DG!$A$7:$G$1305,6,0)</f>
        <v>0</v>
      </c>
      <c r="I867" s="608">
        <f>VLOOKUP($B867,R_DG!$A$7:$G$1305,7,0)</f>
        <v>0</v>
      </c>
      <c r="J867" s="608">
        <f t="shared" ca="1" si="196"/>
        <v>0</v>
      </c>
      <c r="K867" s="608">
        <f t="shared" ca="1" si="196"/>
        <v>0</v>
      </c>
      <c r="L867" s="725">
        <f t="shared" ca="1" si="196"/>
        <v>0</v>
      </c>
      <c r="M867" s="1127">
        <f t="shared" ca="1" si="199"/>
        <v>0</v>
      </c>
      <c r="N867" s="750">
        <f t="shared" ca="1" si="197"/>
        <v>0</v>
      </c>
    </row>
    <row r="868" spans="1:14" hidden="1">
      <c r="A868" s="696"/>
      <c r="B868" s="226" t="s">
        <v>305</v>
      </c>
      <c r="C868" s="748">
        <f t="shared" ca="1" si="198"/>
        <v>0</v>
      </c>
      <c r="D868" s="723" t="str">
        <f>VLOOKUP($B868,R_DG!$A$7:$G$1305,3,0)</f>
        <v>Cáp nhôm lõi thép AC-185/29</v>
      </c>
      <c r="E868" s="714" t="str">
        <f>VLOOKUP($B868,R_DG!$A$7:$G$1305,4,0)</f>
        <v>kg</v>
      </c>
      <c r="F868" s="749">
        <f t="shared" ca="1" si="200"/>
        <v>0</v>
      </c>
      <c r="G868" s="608">
        <f>VLOOKUP($B868,R_DG!$A$7:$G$1305,5,0)</f>
        <v>73200</v>
      </c>
      <c r="H868" s="608">
        <f>VLOOKUP($B868,R_DG!$A$7:$G$1305,6,0)</f>
        <v>0</v>
      </c>
      <c r="I868" s="608">
        <f>VLOOKUP($B868,R_DG!$A$7:$G$1305,7,0)</f>
        <v>0</v>
      </c>
      <c r="J868" s="608">
        <f t="shared" ca="1" si="196"/>
        <v>0</v>
      </c>
      <c r="K868" s="608">
        <f t="shared" ca="1" si="196"/>
        <v>0</v>
      </c>
      <c r="L868" s="725">
        <f t="shared" ca="1" si="196"/>
        <v>0</v>
      </c>
      <c r="M868" s="1127">
        <f t="shared" ca="1" si="199"/>
        <v>0</v>
      </c>
      <c r="N868" s="750">
        <f t="shared" ca="1" si="197"/>
        <v>0</v>
      </c>
    </row>
    <row r="869" spans="1:14" hidden="1">
      <c r="A869" s="696"/>
      <c r="B869" s="226" t="s">
        <v>307</v>
      </c>
      <c r="C869" s="748">
        <f t="shared" ca="1" si="198"/>
        <v>0</v>
      </c>
      <c r="D869" s="723" t="str">
        <f>VLOOKUP($B869,R_DG!$A$7:$G$1305,3,0)</f>
        <v>Cáp nhôm lõi thép AC-240/39</v>
      </c>
      <c r="E869" s="714" t="str">
        <f>VLOOKUP($B869,R_DG!$A$7:$G$1305,4,0)</f>
        <v>kg</v>
      </c>
      <c r="F869" s="749">
        <f t="shared" ca="1" si="200"/>
        <v>0</v>
      </c>
      <c r="G869" s="608">
        <f>VLOOKUP($B869,R_DG!$A$7:$G$1305,5,0)</f>
        <v>73200</v>
      </c>
      <c r="H869" s="608">
        <f>VLOOKUP($B869,R_DG!$A$7:$G$1305,6,0)</f>
        <v>0</v>
      </c>
      <c r="I869" s="608">
        <f>VLOOKUP($B869,R_DG!$A$7:$G$1305,7,0)</f>
        <v>0</v>
      </c>
      <c r="J869" s="608">
        <f t="shared" ca="1" si="196"/>
        <v>0</v>
      </c>
      <c r="K869" s="608">
        <f t="shared" ca="1" si="196"/>
        <v>0</v>
      </c>
      <c r="L869" s="725">
        <f t="shared" ca="1" si="196"/>
        <v>0</v>
      </c>
      <c r="M869" s="1127">
        <f t="shared" ca="1" si="199"/>
        <v>0</v>
      </c>
      <c r="N869" s="750">
        <f t="shared" ca="1" si="197"/>
        <v>0</v>
      </c>
    </row>
    <row r="870" spans="1:14" ht="21.95" hidden="1" customHeight="1">
      <c r="A870" s="696"/>
      <c r="B870" s="226" t="s">
        <v>221</v>
      </c>
      <c r="C870" s="748">
        <v>200</v>
      </c>
      <c r="D870" s="723" t="s">
        <v>4992</v>
      </c>
      <c r="E870" s="714" t="str">
        <f>VLOOKUP($B870,R_DG!$A$7:$G$1305,4,0)</f>
        <v>mét</v>
      </c>
      <c r="F870" s="751">
        <f>C870*1.02</f>
        <v>204</v>
      </c>
      <c r="G870" s="608">
        <f>VLOOKUP($B870,R_DG!$A$7:$G$1305,5,0)</f>
        <v>57600</v>
      </c>
      <c r="H870" s="608">
        <f>VLOOKUP($B870,R_DG!$A$7:$G$1305,6,0)</f>
        <v>0</v>
      </c>
      <c r="I870" s="608">
        <f>VLOOKUP($B870,R_DG!$A$7:$G$1305,7,0)</f>
        <v>0</v>
      </c>
      <c r="J870" s="608">
        <f t="shared" si="196"/>
        <v>11750400</v>
      </c>
      <c r="K870" s="608">
        <f t="shared" si="196"/>
        <v>0</v>
      </c>
      <c r="L870" s="725">
        <f t="shared" si="196"/>
        <v>0</v>
      </c>
      <c r="M870" s="1127">
        <f t="shared" si="199"/>
        <v>1</v>
      </c>
      <c r="N870" s="752">
        <f t="shared" si="197"/>
        <v>204</v>
      </c>
    </row>
    <row r="871" spans="1:14" hidden="1">
      <c r="A871" s="696"/>
      <c r="B871" s="226" t="s">
        <v>2541</v>
      </c>
      <c r="C871" s="748">
        <f t="shared" ca="1" si="198"/>
        <v>0</v>
      </c>
      <c r="D871" s="723" t="str">
        <f>VLOOKUP($B871,R_DG!$A$7:$G$1305,3,0)</f>
        <v>Cáp 24KV AC/XLPE/PVC 70mm2</v>
      </c>
      <c r="E871" s="714" t="str">
        <f>VLOOKUP($B871,R_DG!$A$7:$G$1305,4,0)</f>
        <v>mét</v>
      </c>
      <c r="F871" s="751">
        <f t="shared" ref="F871:F919" ca="1" si="201">C871*1.02</f>
        <v>0</v>
      </c>
      <c r="G871" s="608">
        <f>VLOOKUP($B871,R_DG!$A$7:$G$1305,5,0)</f>
        <v>68000</v>
      </c>
      <c r="H871" s="608">
        <f>VLOOKUP($B871,R_DG!$A$7:$G$1305,6,0)</f>
        <v>0</v>
      </c>
      <c r="I871" s="608">
        <f>VLOOKUP($B871,R_DG!$A$7:$G$1305,7,0)</f>
        <v>0</v>
      </c>
      <c r="J871" s="608">
        <f t="shared" ca="1" si="196"/>
        <v>0</v>
      </c>
      <c r="K871" s="608">
        <f t="shared" ca="1" si="196"/>
        <v>0</v>
      </c>
      <c r="L871" s="725">
        <f t="shared" ca="1" si="196"/>
        <v>0</v>
      </c>
      <c r="M871" s="1127">
        <f t="shared" ca="1" si="199"/>
        <v>0</v>
      </c>
      <c r="N871" s="752">
        <f t="shared" ca="1" si="197"/>
        <v>0</v>
      </c>
    </row>
    <row r="872" spans="1:14" hidden="1">
      <c r="A872" s="696"/>
      <c r="B872" s="226" t="s">
        <v>2542</v>
      </c>
      <c r="C872" s="748">
        <f t="shared" ca="1" si="198"/>
        <v>0</v>
      </c>
      <c r="D872" s="723" t="str">
        <f>VLOOKUP($B872,R_DG!$A$7:$G$1305,3,0)</f>
        <v>Cáp 24KV AC/XLPE/PVC 95mm2</v>
      </c>
      <c r="E872" s="714" t="str">
        <f>VLOOKUP($B872,R_DG!$A$7:$G$1305,4,0)</f>
        <v>mét</v>
      </c>
      <c r="F872" s="751">
        <f t="shared" ca="1" si="201"/>
        <v>0</v>
      </c>
      <c r="G872" s="608">
        <f>VLOOKUP($B872,R_DG!$A$7:$G$1305,5,0)</f>
        <v>83900</v>
      </c>
      <c r="H872" s="608">
        <f>VLOOKUP($B872,R_DG!$A$7:$G$1305,6,0)</f>
        <v>0</v>
      </c>
      <c r="I872" s="608">
        <f>VLOOKUP($B872,R_DG!$A$7:$G$1305,7,0)</f>
        <v>0</v>
      </c>
      <c r="J872" s="608">
        <f t="shared" ca="1" si="196"/>
        <v>0</v>
      </c>
      <c r="K872" s="608">
        <f t="shared" ca="1" si="196"/>
        <v>0</v>
      </c>
      <c r="L872" s="725">
        <f t="shared" ca="1" si="196"/>
        <v>0</v>
      </c>
      <c r="M872" s="1127">
        <f t="shared" ca="1" si="199"/>
        <v>0</v>
      </c>
      <c r="N872" s="752">
        <f t="shared" ca="1" si="197"/>
        <v>0</v>
      </c>
    </row>
    <row r="873" spans="1:14" hidden="1">
      <c r="A873" s="696"/>
      <c r="B873" s="226" t="s">
        <v>2543</v>
      </c>
      <c r="C873" s="748">
        <f t="shared" ca="1" si="198"/>
        <v>0</v>
      </c>
      <c r="D873" s="723" t="str">
        <f>VLOOKUP($B873,R_DG!$A$7:$G$1305,3,0)</f>
        <v>Cáp 24KV AC/XLPE/PVC 120mm2</v>
      </c>
      <c r="E873" s="714" t="str">
        <f>VLOOKUP($B873,R_DG!$A$7:$G$1305,4,0)</f>
        <v>mét</v>
      </c>
      <c r="F873" s="751">
        <f t="shared" ca="1" si="201"/>
        <v>0</v>
      </c>
      <c r="G873" s="608">
        <f>VLOOKUP($B873,R_DG!$A$7:$G$1305,5,0)</f>
        <v>98300</v>
      </c>
      <c r="H873" s="608">
        <f>VLOOKUP($B873,R_DG!$A$7:$G$1305,6,0)</f>
        <v>0</v>
      </c>
      <c r="I873" s="608">
        <f>VLOOKUP($B873,R_DG!$A$7:$G$1305,7,0)</f>
        <v>0</v>
      </c>
      <c r="J873" s="608">
        <f t="shared" ca="1" si="196"/>
        <v>0</v>
      </c>
      <c r="K873" s="608">
        <f t="shared" ca="1" si="196"/>
        <v>0</v>
      </c>
      <c r="L873" s="725">
        <f t="shared" ca="1" si="196"/>
        <v>0</v>
      </c>
      <c r="M873" s="1127">
        <f t="shared" ca="1" si="199"/>
        <v>0</v>
      </c>
      <c r="N873" s="752">
        <f t="shared" ca="1" si="197"/>
        <v>0</v>
      </c>
    </row>
    <row r="874" spans="1:14" hidden="1">
      <c r="A874" s="696"/>
      <c r="B874" s="226" t="s">
        <v>2544</v>
      </c>
      <c r="C874" s="748">
        <f t="shared" ca="1" si="198"/>
        <v>0</v>
      </c>
      <c r="D874" s="723" t="str">
        <f>VLOOKUP($B874,R_DG!$A$7:$G$1305,3,0)</f>
        <v>Cáp 24KV AC/XLPE/PVC 150mm2</v>
      </c>
      <c r="E874" s="714" t="str">
        <f>VLOOKUP($B874,R_DG!$A$7:$G$1305,4,0)</f>
        <v>mét</v>
      </c>
      <c r="F874" s="751">
        <f t="shared" ca="1" si="201"/>
        <v>0</v>
      </c>
      <c r="G874" s="608">
        <f>VLOOKUP($B874,R_DG!$A$7:$G$1305,5,0)</f>
        <v>110600</v>
      </c>
      <c r="H874" s="608">
        <f>VLOOKUP($B874,R_DG!$A$7:$G$1305,6,0)</f>
        <v>0</v>
      </c>
      <c r="I874" s="608">
        <f>VLOOKUP($B874,R_DG!$A$7:$G$1305,7,0)</f>
        <v>0</v>
      </c>
      <c r="J874" s="608">
        <f t="shared" ca="1" si="196"/>
        <v>0</v>
      </c>
      <c r="K874" s="608">
        <f t="shared" ca="1" si="196"/>
        <v>0</v>
      </c>
      <c r="L874" s="725">
        <f t="shared" ca="1" si="196"/>
        <v>0</v>
      </c>
      <c r="M874" s="1127">
        <f t="shared" ca="1" si="199"/>
        <v>0</v>
      </c>
      <c r="N874" s="752">
        <f t="shared" ca="1" si="197"/>
        <v>0</v>
      </c>
    </row>
    <row r="875" spans="1:14" hidden="1">
      <c r="A875" s="696"/>
      <c r="B875" s="226" t="s">
        <v>2545</v>
      </c>
      <c r="C875" s="748">
        <f t="shared" ca="1" si="198"/>
        <v>0</v>
      </c>
      <c r="D875" s="723" t="str">
        <f>VLOOKUP($B875,R_DG!$A$7:$G$1305,3,0)</f>
        <v>Cáp 24KV AC/XLPE/PVC 185mm2</v>
      </c>
      <c r="E875" s="714" t="str">
        <f>VLOOKUP($B875,R_DG!$A$7:$G$1305,4,0)</f>
        <v>mét</v>
      </c>
      <c r="F875" s="751">
        <f t="shared" ca="1" si="201"/>
        <v>0</v>
      </c>
      <c r="G875" s="608">
        <f>VLOOKUP($B875,R_DG!$A$7:$G$1305,5,0)</f>
        <v>129100</v>
      </c>
      <c r="H875" s="608">
        <f>VLOOKUP($B875,R_DG!$A$7:$G$1305,6,0)</f>
        <v>0</v>
      </c>
      <c r="I875" s="608">
        <f>VLOOKUP($B875,R_DG!$A$7:$G$1305,7,0)</f>
        <v>0</v>
      </c>
      <c r="J875" s="608">
        <f t="shared" ca="1" si="196"/>
        <v>0</v>
      </c>
      <c r="K875" s="608">
        <f t="shared" ca="1" si="196"/>
        <v>0</v>
      </c>
      <c r="L875" s="725">
        <f t="shared" ca="1" si="196"/>
        <v>0</v>
      </c>
      <c r="M875" s="1127">
        <f t="shared" ca="1" si="199"/>
        <v>0</v>
      </c>
      <c r="N875" s="752">
        <f t="shared" ca="1" si="197"/>
        <v>0</v>
      </c>
    </row>
    <row r="876" spans="1:14" hidden="1">
      <c r="A876" s="696"/>
      <c r="B876" s="226" t="s">
        <v>2546</v>
      </c>
      <c r="C876" s="748">
        <f t="shared" ca="1" si="198"/>
        <v>0</v>
      </c>
      <c r="D876" s="723" t="str">
        <f>VLOOKUP($B876,R_DG!$A$7:$G$1305,3,0)</f>
        <v>Cáp 24KV AC/XLPE/PVC 240mm2</v>
      </c>
      <c r="E876" s="714" t="str">
        <f>VLOOKUP($B876,R_DG!$A$7:$G$1305,4,0)</f>
        <v>mét</v>
      </c>
      <c r="F876" s="751">
        <f t="shared" ca="1" si="201"/>
        <v>0</v>
      </c>
      <c r="G876" s="608">
        <f>VLOOKUP($B876,R_DG!$A$7:$G$1305,5,0)</f>
        <v>154900</v>
      </c>
      <c r="H876" s="608">
        <f>VLOOKUP($B876,R_DG!$A$7:$G$1305,6,0)</f>
        <v>0</v>
      </c>
      <c r="I876" s="608">
        <f>VLOOKUP($B876,R_DG!$A$7:$G$1305,7,0)</f>
        <v>0</v>
      </c>
      <c r="J876" s="608">
        <f t="shared" ca="1" si="196"/>
        <v>0</v>
      </c>
      <c r="K876" s="608">
        <f t="shared" ca="1" si="196"/>
        <v>0</v>
      </c>
      <c r="L876" s="725">
        <f t="shared" ca="1" si="196"/>
        <v>0</v>
      </c>
      <c r="M876" s="1127">
        <f t="shared" ca="1" si="199"/>
        <v>0</v>
      </c>
      <c r="N876" s="752">
        <f t="shared" ca="1" si="197"/>
        <v>0</v>
      </c>
    </row>
    <row r="877" spans="1:14" hidden="1">
      <c r="A877" s="696"/>
      <c r="B877" s="226" t="s">
        <v>201</v>
      </c>
      <c r="C877" s="748">
        <f t="shared" ca="1" si="198"/>
        <v>0</v>
      </c>
      <c r="D877" s="723" t="str">
        <f>VLOOKUP($B877,R_DG!$A$7:$G$1305,3,0)</f>
        <v>Cáp 24KV C/XLPE/PVC 50mm2</v>
      </c>
      <c r="E877" s="714" t="str">
        <f>VLOOKUP($B877,R_DG!$A$7:$G$1305,4,0)</f>
        <v>mét</v>
      </c>
      <c r="F877" s="751">
        <f t="shared" ca="1" si="201"/>
        <v>0</v>
      </c>
      <c r="G877" s="608">
        <f>VLOOKUP($B877,R_DG!$A$7:$G$1305,5,0)</f>
        <v>91500</v>
      </c>
      <c r="H877" s="608">
        <f>VLOOKUP($B877,R_DG!$A$7:$G$1305,6,0)</f>
        <v>0</v>
      </c>
      <c r="I877" s="608">
        <f>VLOOKUP($B877,R_DG!$A$7:$G$1305,7,0)</f>
        <v>0</v>
      </c>
      <c r="J877" s="608">
        <f t="shared" ca="1" si="196"/>
        <v>0</v>
      </c>
      <c r="K877" s="608">
        <f t="shared" ca="1" si="196"/>
        <v>0</v>
      </c>
      <c r="L877" s="725">
        <f t="shared" ca="1" si="196"/>
        <v>0</v>
      </c>
      <c r="M877" s="1127">
        <f t="shared" ca="1" si="199"/>
        <v>0</v>
      </c>
      <c r="N877" s="752">
        <f t="shared" ca="1" si="197"/>
        <v>0</v>
      </c>
    </row>
    <row r="878" spans="1:14" hidden="1">
      <c r="A878" s="696"/>
      <c r="B878" s="226" t="s">
        <v>203</v>
      </c>
      <c r="C878" s="748">
        <f t="shared" ca="1" si="198"/>
        <v>0</v>
      </c>
      <c r="D878" s="723" t="str">
        <f>VLOOKUP($B878,R_DG!$A$7:$G$1305,3,0)</f>
        <v>Cáp 24KV C/XLPE/PVC 70mm2</v>
      </c>
      <c r="E878" s="714" t="str">
        <f>VLOOKUP($B878,R_DG!$A$7:$G$1305,4,0)</f>
        <v>mét</v>
      </c>
      <c r="F878" s="751">
        <f t="shared" ca="1" si="201"/>
        <v>0</v>
      </c>
      <c r="G878" s="608">
        <f>VLOOKUP($B878,R_DG!$A$7:$G$1305,5,0)</f>
        <v>121900</v>
      </c>
      <c r="H878" s="608">
        <f>VLOOKUP($B878,R_DG!$A$7:$G$1305,6,0)</f>
        <v>0</v>
      </c>
      <c r="I878" s="608">
        <f>VLOOKUP($B878,R_DG!$A$7:$G$1305,7,0)</f>
        <v>0</v>
      </c>
      <c r="J878" s="608">
        <f t="shared" ca="1" si="196"/>
        <v>0</v>
      </c>
      <c r="K878" s="608">
        <f t="shared" ca="1" si="196"/>
        <v>0</v>
      </c>
      <c r="L878" s="725">
        <f t="shared" ca="1" si="196"/>
        <v>0</v>
      </c>
      <c r="M878" s="1127">
        <f t="shared" ca="1" si="199"/>
        <v>0</v>
      </c>
      <c r="N878" s="752">
        <f t="shared" ca="1" si="197"/>
        <v>0</v>
      </c>
    </row>
    <row r="879" spans="1:14" hidden="1">
      <c r="A879" s="696"/>
      <c r="B879" s="226" t="s">
        <v>205</v>
      </c>
      <c r="C879" s="748">
        <f t="shared" ca="1" si="198"/>
        <v>0</v>
      </c>
      <c r="D879" s="723" t="str">
        <f>VLOOKUP($B879,R_DG!$A$7:$G$1305,3,0)</f>
        <v>Cáp 24KV C/XLPE/PVC 95mm2</v>
      </c>
      <c r="E879" s="714" t="str">
        <f>VLOOKUP($B879,R_DG!$A$7:$G$1305,4,0)</f>
        <v>mét</v>
      </c>
      <c r="F879" s="751">
        <f t="shared" ca="1" si="201"/>
        <v>0</v>
      </c>
      <c r="G879" s="608">
        <f>VLOOKUP($B879,R_DG!$A$7:$G$1305,5,0)</f>
        <v>163800</v>
      </c>
      <c r="H879" s="608">
        <f>VLOOKUP($B879,R_DG!$A$7:$G$1305,6,0)</f>
        <v>0</v>
      </c>
      <c r="I879" s="608">
        <f>VLOOKUP($B879,R_DG!$A$7:$G$1305,7,0)</f>
        <v>0</v>
      </c>
      <c r="J879" s="608">
        <f t="shared" ca="1" si="196"/>
        <v>0</v>
      </c>
      <c r="K879" s="608">
        <f t="shared" ca="1" si="196"/>
        <v>0</v>
      </c>
      <c r="L879" s="725">
        <f t="shared" ca="1" si="196"/>
        <v>0</v>
      </c>
      <c r="M879" s="1127">
        <f t="shared" ca="1" si="199"/>
        <v>0</v>
      </c>
      <c r="N879" s="752">
        <f t="shared" ca="1" si="197"/>
        <v>0</v>
      </c>
    </row>
    <row r="880" spans="1:14" hidden="1">
      <c r="A880" s="696"/>
      <c r="B880" s="226" t="s">
        <v>207</v>
      </c>
      <c r="C880" s="748">
        <f t="shared" ca="1" si="198"/>
        <v>0</v>
      </c>
      <c r="D880" s="723" t="str">
        <f>VLOOKUP($B880,R_DG!$A$7:$G$1305,3,0)</f>
        <v>Cáp 24KV C/XLPE/PVC 120mm2</v>
      </c>
      <c r="E880" s="714" t="str">
        <f>VLOOKUP($B880,R_DG!$A$7:$G$1305,4,0)</f>
        <v>mét</v>
      </c>
      <c r="F880" s="751">
        <f t="shared" ca="1" si="201"/>
        <v>0</v>
      </c>
      <c r="G880" s="608">
        <f>VLOOKUP($B880,R_DG!$A$7:$G$1305,5,0)</f>
        <v>198900</v>
      </c>
      <c r="H880" s="608">
        <f>VLOOKUP($B880,R_DG!$A$7:$G$1305,6,0)</f>
        <v>0</v>
      </c>
      <c r="I880" s="608">
        <f>VLOOKUP($B880,R_DG!$A$7:$G$1305,7,0)</f>
        <v>0</v>
      </c>
      <c r="J880" s="608">
        <f t="shared" ca="1" si="196"/>
        <v>0</v>
      </c>
      <c r="K880" s="608">
        <f t="shared" ca="1" si="196"/>
        <v>0</v>
      </c>
      <c r="L880" s="725">
        <f t="shared" ca="1" si="196"/>
        <v>0</v>
      </c>
      <c r="M880" s="1127">
        <f t="shared" ca="1" si="199"/>
        <v>0</v>
      </c>
      <c r="N880" s="752">
        <f t="shared" ca="1" si="197"/>
        <v>0</v>
      </c>
    </row>
    <row r="881" spans="1:14" hidden="1">
      <c r="A881" s="696"/>
      <c r="B881" s="226" t="s">
        <v>209</v>
      </c>
      <c r="C881" s="748">
        <f t="shared" ca="1" si="198"/>
        <v>0</v>
      </c>
      <c r="D881" s="723" t="str">
        <f>VLOOKUP($B881,R_DG!$A$7:$G$1305,3,0)</f>
        <v>Cáp 24KV C/XLPE/PVC 150mm2</v>
      </c>
      <c r="E881" s="714" t="str">
        <f>VLOOKUP($B881,R_DG!$A$7:$G$1305,4,0)</f>
        <v>mét</v>
      </c>
      <c r="F881" s="751">
        <f t="shared" ca="1" si="201"/>
        <v>0</v>
      </c>
      <c r="G881" s="608">
        <f>VLOOKUP($B881,R_DG!$A$7:$G$1305,5,0)</f>
        <v>257400</v>
      </c>
      <c r="H881" s="608">
        <f>VLOOKUP($B881,R_DG!$A$7:$G$1305,6,0)</f>
        <v>0</v>
      </c>
      <c r="I881" s="608">
        <f>VLOOKUP($B881,R_DG!$A$7:$G$1305,7,0)</f>
        <v>0</v>
      </c>
      <c r="J881" s="608">
        <f t="shared" ca="1" si="196"/>
        <v>0</v>
      </c>
      <c r="K881" s="608">
        <f t="shared" ca="1" si="196"/>
        <v>0</v>
      </c>
      <c r="L881" s="725">
        <f t="shared" ca="1" si="196"/>
        <v>0</v>
      </c>
      <c r="M881" s="1127">
        <f t="shared" ca="1" si="199"/>
        <v>0</v>
      </c>
      <c r="N881" s="752">
        <f t="shared" ca="1" si="197"/>
        <v>0</v>
      </c>
    </row>
    <row r="882" spans="1:14" hidden="1">
      <c r="A882" s="696"/>
      <c r="B882" s="226" t="s">
        <v>211</v>
      </c>
      <c r="C882" s="748">
        <f t="shared" ca="1" si="198"/>
        <v>0</v>
      </c>
      <c r="D882" s="723" t="str">
        <f>VLOOKUP($B882,R_DG!$A$7:$G$1305,3,0)</f>
        <v>Cáp 24KV C/XLPE/PVC 185mm2</v>
      </c>
      <c r="E882" s="714" t="str">
        <f>VLOOKUP($B882,R_DG!$A$7:$G$1305,4,0)</f>
        <v>mét</v>
      </c>
      <c r="F882" s="751">
        <f t="shared" ca="1" si="201"/>
        <v>0</v>
      </c>
      <c r="G882" s="608">
        <f>VLOOKUP($B882,R_DG!$A$7:$G$1305,5,0)</f>
        <v>305700</v>
      </c>
      <c r="H882" s="608">
        <f>VLOOKUP($B882,R_DG!$A$7:$G$1305,6,0)</f>
        <v>0</v>
      </c>
      <c r="I882" s="608">
        <f>VLOOKUP($B882,R_DG!$A$7:$G$1305,7,0)</f>
        <v>0</v>
      </c>
      <c r="J882" s="608">
        <f t="shared" ca="1" si="196"/>
        <v>0</v>
      </c>
      <c r="K882" s="608">
        <f t="shared" ca="1" si="196"/>
        <v>0</v>
      </c>
      <c r="L882" s="725">
        <f t="shared" ca="1" si="196"/>
        <v>0</v>
      </c>
      <c r="M882" s="1127">
        <f t="shared" ca="1" si="199"/>
        <v>0</v>
      </c>
      <c r="N882" s="752">
        <f t="shared" ca="1" si="197"/>
        <v>0</v>
      </c>
    </row>
    <row r="883" spans="1:14" hidden="1">
      <c r="A883" s="696"/>
      <c r="B883" s="226" t="s">
        <v>213</v>
      </c>
      <c r="C883" s="748">
        <f t="shared" ca="1" si="198"/>
        <v>0</v>
      </c>
      <c r="D883" s="723" t="str">
        <f>VLOOKUP($B883,R_DG!$A$7:$G$1305,3,0)</f>
        <v>Cáp 24KV C/XLPE/PVC 240mm2</v>
      </c>
      <c r="E883" s="714" t="str">
        <f>VLOOKUP($B883,R_DG!$A$7:$G$1305,4,0)</f>
        <v>mét</v>
      </c>
      <c r="F883" s="751">
        <f t="shared" ca="1" si="201"/>
        <v>0</v>
      </c>
      <c r="G883" s="608">
        <f>VLOOKUP($B883,R_DG!$A$7:$G$1305,5,0)</f>
        <v>397300</v>
      </c>
      <c r="H883" s="608">
        <f>VLOOKUP($B883,R_DG!$A$7:$G$1305,6,0)</f>
        <v>0</v>
      </c>
      <c r="I883" s="608">
        <f>VLOOKUP($B883,R_DG!$A$7:$G$1305,7,0)</f>
        <v>0</v>
      </c>
      <c r="J883" s="608">
        <f t="shared" ca="1" si="196"/>
        <v>0</v>
      </c>
      <c r="K883" s="608">
        <f t="shared" ca="1" si="196"/>
        <v>0</v>
      </c>
      <c r="L883" s="725">
        <f t="shared" ca="1" si="196"/>
        <v>0</v>
      </c>
      <c r="M883" s="1127">
        <f t="shared" ca="1" si="199"/>
        <v>0</v>
      </c>
      <c r="N883" s="752">
        <f t="shared" ca="1" si="197"/>
        <v>0</v>
      </c>
    </row>
    <row r="884" spans="1:14" hidden="1">
      <c r="A884" s="696"/>
      <c r="B884" s="692" t="s">
        <v>3247</v>
      </c>
      <c r="C884" s="748">
        <f t="shared" ca="1" si="198"/>
        <v>0</v>
      </c>
      <c r="D884" s="723" t="str">
        <f>VLOOKUP($B884,R_DG!$A$7:$G$1305,3,0)</f>
        <v>Cáp nhôm ABC 2x16mm2</v>
      </c>
      <c r="E884" s="714" t="str">
        <f>VLOOKUP($B884,R_DG!$A$7:$G$1305,4,0)</f>
        <v>mét</v>
      </c>
      <c r="F884" s="751">
        <f ca="1">C884*1.02</f>
        <v>0</v>
      </c>
      <c r="G884" s="608">
        <f>VLOOKUP($B884,R_DG!$A$7:$G$1305,5,0)</f>
        <v>13650</v>
      </c>
      <c r="H884" s="608">
        <f>VLOOKUP($B884,R_DG!$A$7:$G$1305,6,0)</f>
        <v>0</v>
      </c>
      <c r="I884" s="608">
        <f>VLOOKUP($B884,R_DG!$A$7:$G$1305,7,0)</f>
        <v>0</v>
      </c>
      <c r="J884" s="608">
        <f t="shared" ca="1" si="196"/>
        <v>0</v>
      </c>
      <c r="K884" s="608">
        <f t="shared" ca="1" si="196"/>
        <v>0</v>
      </c>
      <c r="L884" s="725">
        <f t="shared" ca="1" si="196"/>
        <v>0</v>
      </c>
      <c r="M884" s="1127">
        <f ca="1">IF(F884&gt;0,M$862,0)</f>
        <v>0</v>
      </c>
      <c r="N884" s="752">
        <f t="shared" ca="1" si="197"/>
        <v>0</v>
      </c>
    </row>
    <row r="885" spans="1:14" hidden="1">
      <c r="A885" s="696"/>
      <c r="B885" s="692" t="s">
        <v>3249</v>
      </c>
      <c r="C885" s="748">
        <f t="shared" ca="1" si="198"/>
        <v>0</v>
      </c>
      <c r="D885" s="723" t="str">
        <f>VLOOKUP($B885,R_DG!$A$7:$G$1305,3,0)</f>
        <v>Cáp nhôm ABC 2x25mm2</v>
      </c>
      <c r="E885" s="714" t="str">
        <f>VLOOKUP($B885,R_DG!$A$7:$G$1305,4,0)</f>
        <v>mét</v>
      </c>
      <c r="F885" s="751">
        <f ca="1">C885*1.02</f>
        <v>0</v>
      </c>
      <c r="G885" s="608">
        <f>VLOOKUP($B885,R_DG!$A$7:$G$1305,5,0)</f>
        <v>18320</v>
      </c>
      <c r="H885" s="608">
        <f>VLOOKUP($B885,R_DG!$A$7:$G$1305,6,0)</f>
        <v>0</v>
      </c>
      <c r="I885" s="608">
        <f>VLOOKUP($B885,R_DG!$A$7:$G$1305,7,0)</f>
        <v>0</v>
      </c>
      <c r="J885" s="608">
        <f t="shared" ca="1" si="196"/>
        <v>0</v>
      </c>
      <c r="K885" s="608">
        <f t="shared" ca="1" si="196"/>
        <v>0</v>
      </c>
      <c r="L885" s="725">
        <f t="shared" ca="1" si="196"/>
        <v>0</v>
      </c>
      <c r="M885" s="1127">
        <f ca="1">IF(F885&gt;0,M$862,0)</f>
        <v>0</v>
      </c>
      <c r="N885" s="752">
        <f t="shared" ca="1" si="197"/>
        <v>0</v>
      </c>
    </row>
    <row r="886" spans="1:14" hidden="1">
      <c r="A886" s="696"/>
      <c r="B886" s="692" t="s">
        <v>3248</v>
      </c>
      <c r="C886" s="748">
        <f t="shared" ca="1" si="198"/>
        <v>0</v>
      </c>
      <c r="D886" s="723" t="str">
        <f>VLOOKUP($B886,R_DG!$A$7:$G$1305,3,0)</f>
        <v>Cáp nhôm ABC 3x16mm2</v>
      </c>
      <c r="E886" s="714" t="str">
        <f>VLOOKUP($B886,R_DG!$A$7:$G$1305,4,0)</f>
        <v>mét</v>
      </c>
      <c r="F886" s="751">
        <f ca="1">C886*1.02</f>
        <v>0</v>
      </c>
      <c r="G886" s="608">
        <f>VLOOKUP($B886,R_DG!$A$7:$G$1305,5,0)</f>
        <v>19700</v>
      </c>
      <c r="H886" s="608">
        <f>VLOOKUP($B886,R_DG!$A$7:$G$1305,6,0)</f>
        <v>0</v>
      </c>
      <c r="I886" s="608">
        <f>VLOOKUP($B886,R_DG!$A$7:$G$1305,7,0)</f>
        <v>0</v>
      </c>
      <c r="J886" s="608">
        <f t="shared" ca="1" si="196"/>
        <v>0</v>
      </c>
      <c r="K886" s="608">
        <f t="shared" ca="1" si="196"/>
        <v>0</v>
      </c>
      <c r="L886" s="725">
        <f t="shared" ca="1" si="196"/>
        <v>0</v>
      </c>
      <c r="M886" s="1127">
        <f ca="1">IF(F886&gt;0,M$862,0)</f>
        <v>0</v>
      </c>
      <c r="N886" s="752">
        <f t="shared" ca="1" si="197"/>
        <v>0</v>
      </c>
    </row>
    <row r="887" spans="1:14" hidden="1">
      <c r="A887" s="696"/>
      <c r="B887" s="692" t="s">
        <v>3245</v>
      </c>
      <c r="C887" s="1311">
        <f t="shared" ca="1" si="198"/>
        <v>0</v>
      </c>
      <c r="D887" s="1312" t="str">
        <f>VLOOKUP($B887,R_DG!$A$7:$G$1305,3,0)</f>
        <v>Cáp nhôm ABC 3x25mm2</v>
      </c>
      <c r="E887" s="1313" t="str">
        <f>VLOOKUP($B887,R_DG!$A$7:$G$1305,4,0)</f>
        <v>mét</v>
      </c>
      <c r="F887" s="1314">
        <f ca="1">C887*1.02</f>
        <v>0</v>
      </c>
      <c r="G887" s="1315">
        <f>VLOOKUP($B887,R_DG!$A$7:$G$1305,5,0)</f>
        <v>26700</v>
      </c>
      <c r="H887" s="1315">
        <f>VLOOKUP($B887,R_DG!$A$7:$G$1305,6,0)</f>
        <v>0</v>
      </c>
      <c r="I887" s="1315">
        <f>VLOOKUP($B887,R_DG!$A$7:$G$1305,7,0)</f>
        <v>0</v>
      </c>
      <c r="J887" s="1315">
        <f t="shared" ca="1" si="196"/>
        <v>0</v>
      </c>
      <c r="K887" s="1315">
        <f t="shared" ca="1" si="196"/>
        <v>0</v>
      </c>
      <c r="L887" s="1316">
        <f t="shared" ca="1" si="196"/>
        <v>0</v>
      </c>
      <c r="M887" s="1127">
        <f ca="1">IF(F887&gt;0,M$862,0)</f>
        <v>0</v>
      </c>
      <c r="N887" s="752">
        <f t="shared" ca="1" si="197"/>
        <v>0</v>
      </c>
    </row>
    <row r="888" spans="1:14" ht="21.95" hidden="1" customHeight="1">
      <c r="A888" s="696"/>
      <c r="B888" s="226" t="s">
        <v>320</v>
      </c>
      <c r="C888" s="1317">
        <v>100</v>
      </c>
      <c r="D888" s="1304" t="str">
        <f>VLOOKUP($B888,R_DG!$A$7:$G$1305,3,0)</f>
        <v>Cáp nhôm ABC 4x70mm2</v>
      </c>
      <c r="E888" s="1305" t="str">
        <f>VLOOKUP($B888,R_DG!$A$7:$G$1305,4,0)</f>
        <v>mét</v>
      </c>
      <c r="F888" s="1318">
        <f t="shared" si="201"/>
        <v>102</v>
      </c>
      <c r="G888" s="1307">
        <f>VLOOKUP($B888,R_DG!$A$7:$G$1305,5,0)</f>
        <v>94300</v>
      </c>
      <c r="H888" s="1307">
        <f>VLOOKUP($B888,R_DG!$A$7:$G$1305,6,0)</f>
        <v>0</v>
      </c>
      <c r="I888" s="1307">
        <f>VLOOKUP($B888,R_DG!$A$7:$G$1305,7,0)</f>
        <v>0</v>
      </c>
      <c r="J888" s="1307">
        <f t="shared" si="196"/>
        <v>9618600</v>
      </c>
      <c r="K888" s="1307">
        <f t="shared" si="196"/>
        <v>0</v>
      </c>
      <c r="L888" s="1308">
        <f t="shared" si="196"/>
        <v>0</v>
      </c>
      <c r="M888" s="1127">
        <f t="shared" si="199"/>
        <v>1</v>
      </c>
      <c r="N888" s="752">
        <f t="shared" si="197"/>
        <v>102</v>
      </c>
    </row>
    <row r="889" spans="1:14" ht="21.95" hidden="1" customHeight="1">
      <c r="A889" s="696"/>
      <c r="B889" s="226" t="s">
        <v>323</v>
      </c>
      <c r="C889" s="748">
        <v>70</v>
      </c>
      <c r="D889" s="723" t="str">
        <f>VLOOKUP($B889,R_DG!$A$7:$G$1305,3,0)</f>
        <v>Cáp nhôm ABC 4x95mm2</v>
      </c>
      <c r="E889" s="714" t="str">
        <f>VLOOKUP($B889,R_DG!$A$7:$G$1305,4,0)</f>
        <v>mét</v>
      </c>
      <c r="F889" s="751">
        <v>108</v>
      </c>
      <c r="G889" s="608">
        <f>VLOOKUP($B889,R_DG!$A$7:$G$1305,5,0)</f>
        <v>126000</v>
      </c>
      <c r="H889" s="608">
        <f>VLOOKUP($B889,R_DG!$A$7:$G$1305,6,0)</f>
        <v>0</v>
      </c>
      <c r="I889" s="608">
        <f>VLOOKUP($B889,R_DG!$A$7:$G$1305,7,0)</f>
        <v>0</v>
      </c>
      <c r="J889" s="608">
        <f t="shared" si="196"/>
        <v>13608000</v>
      </c>
      <c r="K889" s="608">
        <f t="shared" si="196"/>
        <v>0</v>
      </c>
      <c r="L889" s="725">
        <f t="shared" si="196"/>
        <v>0</v>
      </c>
      <c r="M889" s="1127">
        <f t="shared" si="199"/>
        <v>1</v>
      </c>
      <c r="N889" s="752">
        <f t="shared" si="197"/>
        <v>108</v>
      </c>
    </row>
    <row r="890" spans="1:14" hidden="1">
      <c r="A890" s="696"/>
      <c r="B890" s="226" t="s">
        <v>327</v>
      </c>
      <c r="C890" s="748">
        <f t="shared" ca="1" si="198"/>
        <v>0</v>
      </c>
      <c r="D890" s="723" t="str">
        <f>VLOOKUP($B890,R_DG!$A$7:$G$1305,3,0)</f>
        <v>Cáp nhôm ABC 4x120mm2</v>
      </c>
      <c r="E890" s="714" t="str">
        <f>VLOOKUP($B890,R_DG!$A$7:$G$1305,4,0)</f>
        <v>mét</v>
      </c>
      <c r="F890" s="751">
        <f t="shared" ca="1" si="201"/>
        <v>0</v>
      </c>
      <c r="G890" s="608">
        <f>VLOOKUP($B890,R_DG!$A$7:$G$1305,5,0)</f>
        <v>162000</v>
      </c>
      <c r="H890" s="608">
        <f>VLOOKUP($B890,R_DG!$A$7:$G$1305,6,0)</f>
        <v>0</v>
      </c>
      <c r="I890" s="608">
        <f>VLOOKUP($B890,R_DG!$A$7:$G$1305,7,0)</f>
        <v>0</v>
      </c>
      <c r="J890" s="608">
        <f t="shared" ca="1" si="196"/>
        <v>0</v>
      </c>
      <c r="K890" s="608">
        <f t="shared" ca="1" si="196"/>
        <v>0</v>
      </c>
      <c r="L890" s="725">
        <f t="shared" ca="1" si="196"/>
        <v>0</v>
      </c>
      <c r="M890" s="1127">
        <f t="shared" ca="1" si="199"/>
        <v>0</v>
      </c>
      <c r="N890" s="752">
        <f t="shared" ca="1" si="197"/>
        <v>0</v>
      </c>
    </row>
    <row r="891" spans="1:14" hidden="1">
      <c r="A891" s="696"/>
      <c r="B891" s="226" t="s">
        <v>329</v>
      </c>
      <c r="C891" s="748">
        <f t="shared" ca="1" si="198"/>
        <v>0</v>
      </c>
      <c r="D891" s="723" t="str">
        <f>VLOOKUP($B891,R_DG!$A$7:$G$1305,3,0)</f>
        <v>Cáp nhôm ABC 4x150mm2</v>
      </c>
      <c r="E891" s="714" t="str">
        <f>VLOOKUP($B891,R_DG!$A$7:$G$1305,4,0)</f>
        <v>mét</v>
      </c>
      <c r="F891" s="751">
        <f t="shared" ca="1" si="201"/>
        <v>0</v>
      </c>
      <c r="G891" s="608">
        <f>VLOOKUP($B891,R_DG!$A$7:$G$1305,5,0)</f>
        <v>195300</v>
      </c>
      <c r="H891" s="608">
        <f>VLOOKUP($B891,R_DG!$A$7:$G$1305,6,0)</f>
        <v>0</v>
      </c>
      <c r="I891" s="608">
        <f>VLOOKUP($B891,R_DG!$A$7:$G$1305,7,0)</f>
        <v>0</v>
      </c>
      <c r="J891" s="608">
        <f t="shared" ca="1" si="196"/>
        <v>0</v>
      </c>
      <c r="K891" s="608">
        <f t="shared" ca="1" si="196"/>
        <v>0</v>
      </c>
      <c r="L891" s="725">
        <f t="shared" ca="1" si="196"/>
        <v>0</v>
      </c>
      <c r="M891" s="1127">
        <f t="shared" ca="1" si="199"/>
        <v>0</v>
      </c>
      <c r="N891" s="752">
        <f t="shared" ca="1" si="197"/>
        <v>0</v>
      </c>
    </row>
    <row r="892" spans="1:14" hidden="1">
      <c r="A892" s="696"/>
      <c r="B892" s="226" t="s">
        <v>325</v>
      </c>
      <c r="C892" s="748">
        <f t="shared" ca="1" si="198"/>
        <v>0</v>
      </c>
      <c r="D892" s="723" t="str">
        <f>VLOOKUP($B892,R_DG!$A$7:$G$1305,3,0)</f>
        <v>Cáp nhôm ABC 3x95mm2</v>
      </c>
      <c r="E892" s="714" t="str">
        <f>VLOOKUP($B892,R_DG!$A$7:$G$1305,4,0)</f>
        <v>mét</v>
      </c>
      <c r="F892" s="751">
        <f t="shared" ca="1" si="201"/>
        <v>0</v>
      </c>
      <c r="G892" s="608">
        <f>VLOOKUP($B892,R_DG!$A$7:$G$1305,5,0)</f>
        <v>95100</v>
      </c>
      <c r="H892" s="608">
        <f>VLOOKUP($B892,R_DG!$A$7:$G$1305,6,0)</f>
        <v>0</v>
      </c>
      <c r="I892" s="608">
        <f>VLOOKUP($B892,R_DG!$A$7:$G$1305,7,0)</f>
        <v>0</v>
      </c>
      <c r="J892" s="608">
        <f t="shared" ca="1" si="196"/>
        <v>0</v>
      </c>
      <c r="K892" s="608">
        <f t="shared" ca="1" si="196"/>
        <v>0</v>
      </c>
      <c r="L892" s="725">
        <f t="shared" ca="1" si="196"/>
        <v>0</v>
      </c>
      <c r="M892" s="1127">
        <f t="shared" ca="1" si="199"/>
        <v>0</v>
      </c>
      <c r="N892" s="752">
        <f t="shared" ca="1" si="197"/>
        <v>0</v>
      </c>
    </row>
    <row r="893" spans="1:14" hidden="1">
      <c r="A893" s="696"/>
      <c r="B893" s="226" t="s">
        <v>2539</v>
      </c>
      <c r="C893" s="748">
        <f t="shared" ca="1" si="198"/>
        <v>0</v>
      </c>
      <c r="D893" s="723" t="str">
        <f>VLOOKUP($B893,R_DG!$A$7:$G$1305,3,0)</f>
        <v>Cáp nhôm ABC 3x120mm2</v>
      </c>
      <c r="E893" s="714" t="str">
        <f>VLOOKUP($B893,R_DG!$A$7:$G$1305,4,0)</f>
        <v>mét</v>
      </c>
      <c r="F893" s="751">
        <f t="shared" ca="1" si="201"/>
        <v>0</v>
      </c>
      <c r="G893" s="608">
        <f>VLOOKUP($B893,R_DG!$A$7:$G$1305,5,0)</f>
        <v>92000</v>
      </c>
      <c r="H893" s="608">
        <f>VLOOKUP($B893,R_DG!$A$7:$G$1305,6,0)</f>
        <v>0</v>
      </c>
      <c r="I893" s="608">
        <f>VLOOKUP($B893,R_DG!$A$7:$G$1305,7,0)</f>
        <v>0</v>
      </c>
      <c r="J893" s="608">
        <f t="shared" ca="1" si="196"/>
        <v>0</v>
      </c>
      <c r="K893" s="608">
        <f t="shared" ca="1" si="196"/>
        <v>0</v>
      </c>
      <c r="L893" s="725">
        <f t="shared" ca="1" si="196"/>
        <v>0</v>
      </c>
      <c r="M893" s="1127">
        <f t="shared" ca="1" si="199"/>
        <v>0</v>
      </c>
      <c r="N893" s="752">
        <f t="shared" ca="1" si="197"/>
        <v>0</v>
      </c>
    </row>
    <row r="894" spans="1:14" hidden="1">
      <c r="A894" s="696"/>
      <c r="B894" s="226" t="s">
        <v>2540</v>
      </c>
      <c r="C894" s="748">
        <f t="shared" ca="1" si="198"/>
        <v>0</v>
      </c>
      <c r="D894" s="723" t="str">
        <f>VLOOKUP($B894,R_DG!$A$7:$G$1305,3,0)</f>
        <v>Cáp nhôm ABC 3x150mm2</v>
      </c>
      <c r="E894" s="714" t="str">
        <f>VLOOKUP($B894,R_DG!$A$7:$G$1305,4,0)</f>
        <v>mét</v>
      </c>
      <c r="F894" s="751">
        <f t="shared" ca="1" si="201"/>
        <v>0</v>
      </c>
      <c r="G894" s="608">
        <f>VLOOKUP($B894,R_DG!$A$7:$G$1305,5,0)</f>
        <v>147300</v>
      </c>
      <c r="H894" s="608">
        <f>VLOOKUP($B894,R_DG!$A$7:$G$1305,6,0)</f>
        <v>0</v>
      </c>
      <c r="I894" s="608">
        <f>VLOOKUP($B894,R_DG!$A$7:$G$1305,7,0)</f>
        <v>0</v>
      </c>
      <c r="J894" s="608">
        <f t="shared" ca="1" si="196"/>
        <v>0</v>
      </c>
      <c r="K894" s="608">
        <f t="shared" ca="1" si="196"/>
        <v>0</v>
      </c>
      <c r="L894" s="725">
        <f t="shared" ca="1" si="196"/>
        <v>0</v>
      </c>
      <c r="M894" s="1127">
        <f t="shared" ca="1" si="199"/>
        <v>0</v>
      </c>
      <c r="N894" s="752">
        <f t="shared" ca="1" si="197"/>
        <v>0</v>
      </c>
    </row>
    <row r="895" spans="1:14" hidden="1">
      <c r="A895" s="696"/>
      <c r="B895" s="226" t="s">
        <v>3095</v>
      </c>
      <c r="C895" s="748">
        <f t="shared" ca="1" si="198"/>
        <v>0</v>
      </c>
      <c r="D895" s="723" t="str">
        <f>VLOOKUP($B895,R_DG!$A$7:$G$1305,3,0)</f>
        <v>Cáp nhôm bọc AV50</v>
      </c>
      <c r="E895" s="714" t="str">
        <f>VLOOKUP($B895,R_DG!$A$7:$G$1305,4,0)</f>
        <v>mét</v>
      </c>
      <c r="F895" s="751">
        <f t="shared" ca="1" si="201"/>
        <v>0</v>
      </c>
      <c r="G895" s="608">
        <f>VLOOKUP($B895,R_DG!$A$7:$G$1305,5,0)</f>
        <v>10520</v>
      </c>
      <c r="H895" s="608">
        <f>VLOOKUP($B895,R_DG!$A$7:$G$1305,6,0)</f>
        <v>0</v>
      </c>
      <c r="I895" s="608">
        <f>VLOOKUP($B895,R_DG!$A$7:$G$1305,7,0)</f>
        <v>0</v>
      </c>
      <c r="J895" s="608">
        <f t="shared" ca="1" si="196"/>
        <v>0</v>
      </c>
      <c r="K895" s="608">
        <f t="shared" ca="1" si="196"/>
        <v>0</v>
      </c>
      <c r="L895" s="725">
        <f t="shared" ca="1" si="196"/>
        <v>0</v>
      </c>
      <c r="M895" s="1127">
        <f t="shared" ca="1" si="199"/>
        <v>0</v>
      </c>
      <c r="N895" s="752">
        <f t="shared" ca="1" si="197"/>
        <v>0</v>
      </c>
    </row>
    <row r="896" spans="1:14" ht="21.95" hidden="1" customHeight="1">
      <c r="A896" s="696"/>
      <c r="B896" s="226" t="s">
        <v>3096</v>
      </c>
      <c r="C896" s="748">
        <v>50</v>
      </c>
      <c r="D896" s="723" t="str">
        <f>VLOOKUP($B896,R_DG!$A$7:$G$1305,3,0)</f>
        <v>Cáp nhôm bọc AV70</v>
      </c>
      <c r="E896" s="714" t="str">
        <f>VLOOKUP($B896,R_DG!$A$7:$G$1305,4,0)</f>
        <v>mét</v>
      </c>
      <c r="F896" s="751">
        <f t="shared" si="201"/>
        <v>51</v>
      </c>
      <c r="G896" s="608">
        <f>VLOOKUP($B896,R_DG!$A$7:$G$1305,5,0)</f>
        <v>14240</v>
      </c>
      <c r="H896" s="608">
        <f>VLOOKUP($B896,R_DG!$A$7:$G$1305,6,0)</f>
        <v>0</v>
      </c>
      <c r="I896" s="608">
        <f>VLOOKUP($B896,R_DG!$A$7:$G$1305,7,0)</f>
        <v>0</v>
      </c>
      <c r="J896" s="608">
        <f t="shared" si="196"/>
        <v>726240</v>
      </c>
      <c r="K896" s="608">
        <f t="shared" si="196"/>
        <v>0</v>
      </c>
      <c r="L896" s="725">
        <f t="shared" si="196"/>
        <v>0</v>
      </c>
      <c r="M896" s="1127">
        <f t="shared" si="199"/>
        <v>1</v>
      </c>
      <c r="N896" s="752">
        <f t="shared" si="197"/>
        <v>51</v>
      </c>
    </row>
    <row r="897" spans="1:14" hidden="1">
      <c r="A897" s="696"/>
      <c r="B897" s="226" t="s">
        <v>3097</v>
      </c>
      <c r="C897" s="748">
        <f t="shared" ca="1" si="198"/>
        <v>0</v>
      </c>
      <c r="D897" s="723" t="str">
        <f>VLOOKUP($B897,R_DG!$A$7:$G$1305,3,0)</f>
        <v>Cáp nhôm bọc AV95</v>
      </c>
      <c r="E897" s="714" t="str">
        <f>VLOOKUP($B897,R_DG!$A$7:$G$1305,4,0)</f>
        <v>mét</v>
      </c>
      <c r="F897" s="751">
        <f t="shared" ca="1" si="201"/>
        <v>0</v>
      </c>
      <c r="G897" s="608">
        <f>VLOOKUP($B897,R_DG!$A$7:$G$1305,5,0)</f>
        <v>19460</v>
      </c>
      <c r="H897" s="608">
        <f>VLOOKUP($B897,R_DG!$A$7:$G$1305,6,0)</f>
        <v>0</v>
      </c>
      <c r="I897" s="608">
        <f>VLOOKUP($B897,R_DG!$A$7:$G$1305,7,0)</f>
        <v>0</v>
      </c>
      <c r="J897" s="608">
        <f t="shared" ca="1" si="196"/>
        <v>0</v>
      </c>
      <c r="K897" s="608">
        <f t="shared" ca="1" si="196"/>
        <v>0</v>
      </c>
      <c r="L897" s="725">
        <f t="shared" ca="1" si="196"/>
        <v>0</v>
      </c>
      <c r="M897" s="1127">
        <f t="shared" ca="1" si="199"/>
        <v>0</v>
      </c>
      <c r="N897" s="752">
        <f t="shared" ca="1" si="197"/>
        <v>0</v>
      </c>
    </row>
    <row r="898" spans="1:14" hidden="1">
      <c r="A898" s="696"/>
      <c r="B898" s="226" t="s">
        <v>3098</v>
      </c>
      <c r="C898" s="748">
        <f t="shared" ca="1" si="198"/>
        <v>0</v>
      </c>
      <c r="D898" s="723" t="str">
        <f>VLOOKUP($B898,R_DG!$A$7:$G$1305,3,0)</f>
        <v>Cáp nhôm bọc AV120</v>
      </c>
      <c r="E898" s="714" t="str">
        <f>VLOOKUP($B898,R_DG!$A$7:$G$1305,4,0)</f>
        <v>mét</v>
      </c>
      <c r="F898" s="751">
        <f t="shared" ca="1" si="201"/>
        <v>0</v>
      </c>
      <c r="G898" s="608">
        <f>VLOOKUP($B898,R_DG!$A$7:$G$1305,5,0)</f>
        <v>23400</v>
      </c>
      <c r="H898" s="608">
        <f>VLOOKUP($B898,R_DG!$A$7:$G$1305,6,0)</f>
        <v>0</v>
      </c>
      <c r="I898" s="608">
        <f>VLOOKUP($B898,R_DG!$A$7:$G$1305,7,0)</f>
        <v>0</v>
      </c>
      <c r="J898" s="608">
        <f t="shared" ca="1" si="196"/>
        <v>0</v>
      </c>
      <c r="K898" s="608">
        <f t="shared" ca="1" si="196"/>
        <v>0</v>
      </c>
      <c r="L898" s="725">
        <f t="shared" ca="1" si="196"/>
        <v>0</v>
      </c>
      <c r="M898" s="1127">
        <f t="shared" ca="1" si="199"/>
        <v>0</v>
      </c>
      <c r="N898" s="752">
        <f t="shared" ca="1" si="197"/>
        <v>0</v>
      </c>
    </row>
    <row r="899" spans="1:14" hidden="1">
      <c r="A899" s="696"/>
      <c r="B899" s="226" t="s">
        <v>3099</v>
      </c>
      <c r="C899" s="748">
        <f t="shared" ca="1" si="198"/>
        <v>0</v>
      </c>
      <c r="D899" s="723" t="str">
        <f>VLOOKUP($B899,R_DG!$A$7:$G$1305,3,0)</f>
        <v>Cáp nhôm bọc AV150</v>
      </c>
      <c r="E899" s="714" t="str">
        <f>VLOOKUP($B899,R_DG!$A$7:$G$1305,4,0)</f>
        <v>mét</v>
      </c>
      <c r="F899" s="751">
        <f t="shared" ca="1" si="201"/>
        <v>0</v>
      </c>
      <c r="G899" s="608">
        <f>VLOOKUP($B899,R_DG!$A$7:$G$1305,5,0)</f>
        <v>31100</v>
      </c>
      <c r="H899" s="608">
        <f>VLOOKUP($B899,R_DG!$A$7:$G$1305,6,0)</f>
        <v>0</v>
      </c>
      <c r="I899" s="608">
        <f>VLOOKUP($B899,R_DG!$A$7:$G$1305,7,0)</f>
        <v>0</v>
      </c>
      <c r="J899" s="608">
        <f t="shared" ca="1" si="196"/>
        <v>0</v>
      </c>
      <c r="K899" s="608">
        <f t="shared" ca="1" si="196"/>
        <v>0</v>
      </c>
      <c r="L899" s="725">
        <f t="shared" ca="1" si="196"/>
        <v>0</v>
      </c>
      <c r="M899" s="1127">
        <f t="shared" ca="1" si="199"/>
        <v>0</v>
      </c>
      <c r="N899" s="752">
        <f t="shared" ca="1" si="197"/>
        <v>0</v>
      </c>
    </row>
    <row r="900" spans="1:14" hidden="1">
      <c r="A900" s="696"/>
      <c r="B900" s="226" t="s">
        <v>3100</v>
      </c>
      <c r="C900" s="748">
        <f t="shared" ca="1" si="198"/>
        <v>0</v>
      </c>
      <c r="D900" s="723" t="str">
        <f>VLOOKUP($B900,R_DG!$A$7:$G$1305,3,0)</f>
        <v>Cáp nhôm bọc AV185</v>
      </c>
      <c r="E900" s="714" t="str">
        <f>VLOOKUP($B900,R_DG!$A$7:$G$1305,4,0)</f>
        <v>mét</v>
      </c>
      <c r="F900" s="751">
        <f t="shared" ca="1" si="201"/>
        <v>0</v>
      </c>
      <c r="G900" s="608">
        <f>VLOOKUP($B900,R_DG!$A$7:$G$1305,5,0)</f>
        <v>37300</v>
      </c>
      <c r="H900" s="608">
        <f>VLOOKUP($B900,R_DG!$A$7:$G$1305,6,0)</f>
        <v>0</v>
      </c>
      <c r="I900" s="608">
        <f>VLOOKUP($B900,R_DG!$A$7:$G$1305,7,0)</f>
        <v>0</v>
      </c>
      <c r="J900" s="608">
        <f t="shared" ca="1" si="196"/>
        <v>0</v>
      </c>
      <c r="K900" s="608">
        <f t="shared" ca="1" si="196"/>
        <v>0</v>
      </c>
      <c r="L900" s="725">
        <f t="shared" ca="1" si="196"/>
        <v>0</v>
      </c>
      <c r="M900" s="1127">
        <f t="shared" ca="1" si="199"/>
        <v>0</v>
      </c>
      <c r="N900" s="752">
        <f t="shared" ca="1" si="197"/>
        <v>0</v>
      </c>
    </row>
    <row r="901" spans="1:14" hidden="1">
      <c r="A901" s="696"/>
      <c r="B901" s="226" t="s">
        <v>3101</v>
      </c>
      <c r="C901" s="748">
        <f t="shared" ca="1" si="198"/>
        <v>0</v>
      </c>
      <c r="D901" s="723" t="str">
        <f>VLOOKUP($B901,R_DG!$A$7:$G$1305,3,0)</f>
        <v>Cáp nhôm bọc AV240</v>
      </c>
      <c r="E901" s="714" t="str">
        <f>VLOOKUP($B901,R_DG!$A$7:$G$1305,4,0)</f>
        <v>mét</v>
      </c>
      <c r="F901" s="751">
        <f t="shared" ca="1" si="201"/>
        <v>0</v>
      </c>
      <c r="G901" s="608">
        <f>VLOOKUP($B901,R_DG!$A$7:$G$1305,5,0)</f>
        <v>48600</v>
      </c>
      <c r="H901" s="608">
        <f>VLOOKUP($B901,R_DG!$A$7:$G$1305,6,0)</f>
        <v>0</v>
      </c>
      <c r="I901" s="608">
        <f>VLOOKUP($B901,R_DG!$A$7:$G$1305,7,0)</f>
        <v>0</v>
      </c>
      <c r="J901" s="608">
        <f t="shared" ca="1" si="196"/>
        <v>0</v>
      </c>
      <c r="K901" s="608">
        <f t="shared" ca="1" si="196"/>
        <v>0</v>
      </c>
      <c r="L901" s="725">
        <f t="shared" ca="1" si="196"/>
        <v>0</v>
      </c>
      <c r="M901" s="1127">
        <f t="shared" ca="1" si="199"/>
        <v>0</v>
      </c>
      <c r="N901" s="752">
        <f t="shared" ca="1" si="197"/>
        <v>0</v>
      </c>
    </row>
    <row r="902" spans="1:14" hidden="1">
      <c r="A902" s="696"/>
      <c r="B902" s="226" t="s">
        <v>365</v>
      </c>
      <c r="C902" s="748">
        <f t="shared" ca="1" si="198"/>
        <v>0</v>
      </c>
      <c r="D902" s="723" t="str">
        <f>VLOOKUP($B902,R_DG!$A$7:$G$1305,3,0)</f>
        <v>Cáp nhôm A-50</v>
      </c>
      <c r="E902" s="714" t="str">
        <f>VLOOKUP($B902,R_DG!$A$7:$G$1305,4,0)</f>
        <v>kg</v>
      </c>
      <c r="F902" s="751">
        <f t="shared" ca="1" si="201"/>
        <v>0</v>
      </c>
      <c r="G902" s="608">
        <f>VLOOKUP($B902,R_DG!$A$7:$G$1305,5,0)</f>
        <v>93900</v>
      </c>
      <c r="H902" s="608">
        <f>VLOOKUP($B902,R_DG!$A$7:$G$1305,6,0)</f>
        <v>0</v>
      </c>
      <c r="I902" s="608">
        <f>VLOOKUP($B902,R_DG!$A$7:$G$1305,7,0)</f>
        <v>0</v>
      </c>
      <c r="J902" s="608">
        <f t="shared" ca="1" si="196"/>
        <v>0</v>
      </c>
      <c r="K902" s="608">
        <f t="shared" ca="1" si="196"/>
        <v>0</v>
      </c>
      <c r="L902" s="725">
        <f t="shared" ca="1" si="196"/>
        <v>0</v>
      </c>
      <c r="M902" s="1127">
        <f t="shared" ca="1" si="199"/>
        <v>0</v>
      </c>
      <c r="N902" s="752">
        <f t="shared" ca="1" si="197"/>
        <v>0</v>
      </c>
    </row>
    <row r="903" spans="1:14" hidden="1">
      <c r="A903" s="696"/>
      <c r="B903" s="226" t="s">
        <v>367</v>
      </c>
      <c r="C903" s="748">
        <f t="shared" ca="1" si="198"/>
        <v>0</v>
      </c>
      <c r="D903" s="723" t="str">
        <f>VLOOKUP($B903,R_DG!$A$7:$G$1305,3,0)</f>
        <v>Cáp nhôm A-70</v>
      </c>
      <c r="E903" s="714" t="str">
        <f>VLOOKUP($B903,R_DG!$A$7:$G$1305,4,0)</f>
        <v>kg</v>
      </c>
      <c r="F903" s="751">
        <f t="shared" ca="1" si="201"/>
        <v>0</v>
      </c>
      <c r="G903" s="608">
        <f>VLOOKUP($B903,R_DG!$A$7:$G$1305,5,0)</f>
        <v>89300</v>
      </c>
      <c r="H903" s="608">
        <f>VLOOKUP($B903,R_DG!$A$7:$G$1305,6,0)</f>
        <v>0</v>
      </c>
      <c r="I903" s="608">
        <f>VLOOKUP($B903,R_DG!$A$7:$G$1305,7,0)</f>
        <v>0</v>
      </c>
      <c r="J903" s="608">
        <f t="shared" ca="1" si="196"/>
        <v>0</v>
      </c>
      <c r="K903" s="608">
        <f t="shared" ca="1" si="196"/>
        <v>0</v>
      </c>
      <c r="L903" s="725">
        <f t="shared" ca="1" si="196"/>
        <v>0</v>
      </c>
      <c r="M903" s="1127">
        <f t="shared" ca="1" si="199"/>
        <v>0</v>
      </c>
      <c r="N903" s="752">
        <f t="shared" ca="1" si="197"/>
        <v>0</v>
      </c>
    </row>
    <row r="904" spans="1:14" hidden="1">
      <c r="A904" s="696"/>
      <c r="B904" s="226" t="s">
        <v>369</v>
      </c>
      <c r="C904" s="748">
        <f t="shared" ca="1" si="198"/>
        <v>0</v>
      </c>
      <c r="D904" s="723" t="str">
        <f>VLOOKUP($B904,R_DG!$A$7:$G$1305,3,0)</f>
        <v>Cáp nhôm A-95</v>
      </c>
      <c r="E904" s="714" t="str">
        <f>VLOOKUP($B904,R_DG!$A$7:$G$1305,4,0)</f>
        <v>kg</v>
      </c>
      <c r="F904" s="751">
        <f t="shared" ca="1" si="201"/>
        <v>0</v>
      </c>
      <c r="G904" s="608">
        <f>VLOOKUP($B904,R_DG!$A$7:$G$1305,5,0)</f>
        <v>89300</v>
      </c>
      <c r="H904" s="608">
        <f>VLOOKUP($B904,R_DG!$A$7:$G$1305,6,0)</f>
        <v>0</v>
      </c>
      <c r="I904" s="608">
        <f>VLOOKUP($B904,R_DG!$A$7:$G$1305,7,0)</f>
        <v>0</v>
      </c>
      <c r="J904" s="608">
        <f t="shared" ca="1" si="196"/>
        <v>0</v>
      </c>
      <c r="K904" s="608">
        <f t="shared" ca="1" si="196"/>
        <v>0</v>
      </c>
      <c r="L904" s="725">
        <f t="shared" ca="1" si="196"/>
        <v>0</v>
      </c>
      <c r="M904" s="1127">
        <f t="shared" ca="1" si="199"/>
        <v>0</v>
      </c>
      <c r="N904" s="752">
        <f t="shared" ca="1" si="197"/>
        <v>0</v>
      </c>
    </row>
    <row r="905" spans="1:14" hidden="1">
      <c r="A905" s="696"/>
      <c r="B905" s="226" t="s">
        <v>371</v>
      </c>
      <c r="C905" s="748">
        <f t="shared" ca="1" si="198"/>
        <v>0</v>
      </c>
      <c r="D905" s="723" t="str">
        <f>VLOOKUP($B905,R_DG!$A$7:$G$1305,3,0)</f>
        <v>Cáp nhôm A-120</v>
      </c>
      <c r="E905" s="714" t="str">
        <f>VLOOKUP($B905,R_DG!$A$7:$G$1305,4,0)</f>
        <v>kg</v>
      </c>
      <c r="F905" s="751">
        <f t="shared" ca="1" si="201"/>
        <v>0</v>
      </c>
      <c r="G905" s="608">
        <f>VLOOKUP($B905,R_DG!$A$7:$G$1305,5,0)</f>
        <v>89300</v>
      </c>
      <c r="H905" s="608">
        <f>VLOOKUP($B905,R_DG!$A$7:$G$1305,6,0)</f>
        <v>0</v>
      </c>
      <c r="I905" s="608">
        <f>VLOOKUP($B905,R_DG!$A$7:$G$1305,7,0)</f>
        <v>0</v>
      </c>
      <c r="J905" s="608">
        <f t="shared" ca="1" si="196"/>
        <v>0</v>
      </c>
      <c r="K905" s="608">
        <f t="shared" ca="1" si="196"/>
        <v>0</v>
      </c>
      <c r="L905" s="725">
        <f t="shared" ca="1" si="196"/>
        <v>0</v>
      </c>
      <c r="M905" s="1127">
        <f t="shared" ca="1" si="199"/>
        <v>0</v>
      </c>
      <c r="N905" s="752">
        <f t="shared" ca="1" si="197"/>
        <v>0</v>
      </c>
    </row>
    <row r="906" spans="1:14" hidden="1">
      <c r="A906" s="696"/>
      <c r="B906" s="226" t="s">
        <v>373</v>
      </c>
      <c r="C906" s="748">
        <f t="shared" ca="1" si="198"/>
        <v>0</v>
      </c>
      <c r="D906" s="723" t="str">
        <f>VLOOKUP($B906,R_DG!$A$7:$G$1305,3,0)</f>
        <v>Cáp nhôm A-150</v>
      </c>
      <c r="E906" s="714" t="str">
        <f>VLOOKUP($B906,R_DG!$A$7:$G$1305,4,0)</f>
        <v>kg</v>
      </c>
      <c r="F906" s="751">
        <f t="shared" ca="1" si="201"/>
        <v>0</v>
      </c>
      <c r="G906" s="608">
        <f>VLOOKUP($B906,R_DG!$A$7:$G$1305,5,0)</f>
        <v>89300</v>
      </c>
      <c r="H906" s="608">
        <f>VLOOKUP($B906,R_DG!$A$7:$G$1305,6,0)</f>
        <v>0</v>
      </c>
      <c r="I906" s="608">
        <f>VLOOKUP($B906,R_DG!$A$7:$G$1305,7,0)</f>
        <v>0</v>
      </c>
      <c r="J906" s="608">
        <f t="shared" ca="1" si="196"/>
        <v>0</v>
      </c>
      <c r="K906" s="608">
        <f t="shared" ca="1" si="196"/>
        <v>0</v>
      </c>
      <c r="L906" s="725">
        <f t="shared" ca="1" si="196"/>
        <v>0</v>
      </c>
      <c r="M906" s="1127">
        <f t="shared" ca="1" si="199"/>
        <v>0</v>
      </c>
      <c r="N906" s="752">
        <f t="shared" ca="1" si="197"/>
        <v>0</v>
      </c>
    </row>
    <row r="907" spans="1:14" hidden="1">
      <c r="A907" s="696"/>
      <c r="B907" s="226" t="s">
        <v>375</v>
      </c>
      <c r="C907" s="748">
        <f t="shared" ca="1" si="198"/>
        <v>0</v>
      </c>
      <c r="D907" s="723" t="str">
        <f>VLOOKUP($B907,R_DG!$A$7:$G$1305,3,0)</f>
        <v>Cáp nhôm A-185</v>
      </c>
      <c r="E907" s="714" t="str">
        <f>VLOOKUP($B907,R_DG!$A$7:$G$1305,4,0)</f>
        <v>kg</v>
      </c>
      <c r="F907" s="751">
        <f t="shared" ca="1" si="201"/>
        <v>0</v>
      </c>
      <c r="G907" s="608">
        <f>VLOOKUP($B907,R_DG!$A$7:$G$1305,5,0)</f>
        <v>89300</v>
      </c>
      <c r="H907" s="608">
        <f>VLOOKUP($B907,R_DG!$A$7:$G$1305,6,0)</f>
        <v>0</v>
      </c>
      <c r="I907" s="608">
        <f>VLOOKUP($B907,R_DG!$A$7:$G$1305,7,0)</f>
        <v>0</v>
      </c>
      <c r="J907" s="608">
        <f t="shared" ca="1" si="196"/>
        <v>0</v>
      </c>
      <c r="K907" s="608">
        <f t="shared" ca="1" si="196"/>
        <v>0</v>
      </c>
      <c r="L907" s="725">
        <f t="shared" ca="1" si="196"/>
        <v>0</v>
      </c>
      <c r="M907" s="1127">
        <f t="shared" ca="1" si="199"/>
        <v>0</v>
      </c>
      <c r="N907" s="752">
        <f t="shared" ca="1" si="197"/>
        <v>0</v>
      </c>
    </row>
    <row r="908" spans="1:14" hidden="1">
      <c r="A908" s="696"/>
      <c r="B908" s="226" t="s">
        <v>377</v>
      </c>
      <c r="C908" s="748">
        <f t="shared" ca="1" si="198"/>
        <v>0</v>
      </c>
      <c r="D908" s="723" t="str">
        <f>VLOOKUP($B908,R_DG!$A$7:$G$1305,3,0)</f>
        <v>Cáp nhôm A-240</v>
      </c>
      <c r="E908" s="714" t="str">
        <f>VLOOKUP($B908,R_DG!$A$7:$G$1305,4,0)</f>
        <v>kg</v>
      </c>
      <c r="F908" s="751">
        <f t="shared" ca="1" si="201"/>
        <v>0</v>
      </c>
      <c r="G908" s="608">
        <f>VLOOKUP($B908,R_DG!$A$7:$G$1305,5,0)</f>
        <v>89300</v>
      </c>
      <c r="H908" s="608">
        <f>VLOOKUP($B908,R_DG!$A$7:$G$1305,6,0)</f>
        <v>0</v>
      </c>
      <c r="I908" s="608">
        <f>VLOOKUP($B908,R_DG!$A$7:$G$1305,7,0)</f>
        <v>0</v>
      </c>
      <c r="J908" s="608">
        <f t="shared" ca="1" si="196"/>
        <v>0</v>
      </c>
      <c r="K908" s="608">
        <f t="shared" ca="1" si="196"/>
        <v>0</v>
      </c>
      <c r="L908" s="725">
        <f t="shared" ca="1" si="196"/>
        <v>0</v>
      </c>
      <c r="M908" s="1127">
        <f t="shared" ca="1" si="199"/>
        <v>0</v>
      </c>
      <c r="N908" s="752">
        <f t="shared" ca="1" si="197"/>
        <v>0</v>
      </c>
    </row>
    <row r="909" spans="1:14" hidden="1">
      <c r="A909" s="696"/>
      <c r="B909" s="226" t="s">
        <v>251</v>
      </c>
      <c r="C909" s="748">
        <f t="shared" ca="1" si="198"/>
        <v>0</v>
      </c>
      <c r="D909" s="723" t="str">
        <f>VLOOKUP($B909,R_DG!$A$7:$G$1305,3,0)</f>
        <v>Cáp 24kV C/XLPE/DSTA/PVC3x50</v>
      </c>
      <c r="E909" s="714" t="str">
        <f>VLOOKUP($B909,R_DG!$A$7:$G$1305,4,0)</f>
        <v>mét</v>
      </c>
      <c r="F909" s="751">
        <f t="shared" ca="1" si="201"/>
        <v>0</v>
      </c>
      <c r="G909" s="608">
        <f>VLOOKUP($B909,R_DG!$A$7:$G$1305,5,0)</f>
        <v>734700</v>
      </c>
      <c r="H909" s="608">
        <f>VLOOKUP($B909,R_DG!$A$7:$G$1305,6,0)</f>
        <v>0</v>
      </c>
      <c r="I909" s="608">
        <f>VLOOKUP($B909,R_DG!$A$7:$G$1305,7,0)</f>
        <v>0</v>
      </c>
      <c r="J909" s="608">
        <f t="shared" ca="1" si="196"/>
        <v>0</v>
      </c>
      <c r="K909" s="608">
        <f t="shared" ca="1" si="196"/>
        <v>0</v>
      </c>
      <c r="L909" s="725">
        <f t="shared" ca="1" si="196"/>
        <v>0</v>
      </c>
      <c r="M909" s="1127">
        <f t="shared" ca="1" si="199"/>
        <v>0</v>
      </c>
      <c r="N909" s="752">
        <f t="shared" ca="1" si="197"/>
        <v>0</v>
      </c>
    </row>
    <row r="910" spans="1:14" hidden="1">
      <c r="A910" s="696"/>
      <c r="B910" s="226" t="s">
        <v>253</v>
      </c>
      <c r="C910" s="748">
        <f t="shared" ca="1" si="198"/>
        <v>0</v>
      </c>
      <c r="D910" s="723" t="str">
        <f>VLOOKUP($B910,R_DG!$A$7:$G$1305,3,0)</f>
        <v>Cáp 24kV C/XLPE/DSTA/PVC3x70mm2</v>
      </c>
      <c r="E910" s="714" t="str">
        <f>VLOOKUP($B910,R_DG!$A$7:$G$1305,4,0)</f>
        <v>mét</v>
      </c>
      <c r="F910" s="751">
        <f t="shared" ca="1" si="201"/>
        <v>0</v>
      </c>
      <c r="G910" s="608">
        <f>VLOOKUP($B910,R_DG!$A$7:$G$1305,5,0)</f>
        <v>512600</v>
      </c>
      <c r="H910" s="608">
        <f>VLOOKUP($B910,R_DG!$A$7:$G$1305,6,0)</f>
        <v>0</v>
      </c>
      <c r="I910" s="608">
        <f>VLOOKUP($B910,R_DG!$A$7:$G$1305,7,0)</f>
        <v>0</v>
      </c>
      <c r="J910" s="608">
        <f t="shared" ca="1" si="196"/>
        <v>0</v>
      </c>
      <c r="K910" s="608">
        <f t="shared" ca="1" si="196"/>
        <v>0</v>
      </c>
      <c r="L910" s="725">
        <f t="shared" ca="1" si="196"/>
        <v>0</v>
      </c>
      <c r="M910" s="1127">
        <f t="shared" ca="1" si="199"/>
        <v>0</v>
      </c>
      <c r="N910" s="752">
        <f t="shared" ca="1" si="197"/>
        <v>0</v>
      </c>
    </row>
    <row r="911" spans="1:14" hidden="1">
      <c r="A911" s="696"/>
      <c r="B911" s="226" t="s">
        <v>255</v>
      </c>
      <c r="C911" s="748">
        <f t="shared" ca="1" si="198"/>
        <v>0</v>
      </c>
      <c r="D911" s="723" t="str">
        <f>VLOOKUP($B911,R_DG!$A$7:$G$1305,3,0)</f>
        <v>Cáp 24kV C/XLPE/DSTA/PVC3x95mm2</v>
      </c>
      <c r="E911" s="714" t="str">
        <f>VLOOKUP($B911,R_DG!$A$7:$G$1305,4,0)</f>
        <v>mét</v>
      </c>
      <c r="F911" s="751">
        <f t="shared" ca="1" si="201"/>
        <v>0</v>
      </c>
      <c r="G911" s="608">
        <f>VLOOKUP($B911,R_DG!$A$7:$G$1305,5,0)</f>
        <v>651200</v>
      </c>
      <c r="H911" s="608">
        <f>VLOOKUP($B911,R_DG!$A$7:$G$1305,6,0)</f>
        <v>0</v>
      </c>
      <c r="I911" s="608">
        <f>VLOOKUP($B911,R_DG!$A$7:$G$1305,7,0)</f>
        <v>0</v>
      </c>
      <c r="J911" s="608">
        <f t="shared" ca="1" si="196"/>
        <v>0</v>
      </c>
      <c r="K911" s="608">
        <f t="shared" ca="1" si="196"/>
        <v>0</v>
      </c>
      <c r="L911" s="725">
        <f t="shared" ca="1" si="196"/>
        <v>0</v>
      </c>
      <c r="M911" s="1127">
        <f t="shared" ca="1" si="199"/>
        <v>0</v>
      </c>
      <c r="N911" s="752">
        <f t="shared" ca="1" si="197"/>
        <v>0</v>
      </c>
    </row>
    <row r="912" spans="1:14" hidden="1">
      <c r="A912" s="696"/>
      <c r="B912" s="226" t="s">
        <v>257</v>
      </c>
      <c r="C912" s="748">
        <f t="shared" ca="1" si="198"/>
        <v>0</v>
      </c>
      <c r="D912" s="723" t="str">
        <f>VLOOKUP($B912,R_DG!$A$7:$G$1305,3,0)</f>
        <v>Cáp 24kV C/XLPE/DSTA/PVC3x120mm2</v>
      </c>
      <c r="E912" s="714" t="str">
        <f>VLOOKUP($B912,R_DG!$A$7:$G$1305,4,0)</f>
        <v>mét</v>
      </c>
      <c r="F912" s="751">
        <f t="shared" ca="1" si="201"/>
        <v>0</v>
      </c>
      <c r="G912" s="608">
        <f>VLOOKUP($B912,R_DG!$A$7:$G$1305,5,0)</f>
        <v>765800</v>
      </c>
      <c r="H912" s="608">
        <f>VLOOKUP($B912,R_DG!$A$7:$G$1305,6,0)</f>
        <v>0</v>
      </c>
      <c r="I912" s="608">
        <f>VLOOKUP($B912,R_DG!$A$7:$G$1305,7,0)</f>
        <v>0</v>
      </c>
      <c r="J912" s="608">
        <f t="shared" ca="1" si="196"/>
        <v>0</v>
      </c>
      <c r="K912" s="608">
        <f t="shared" ca="1" si="196"/>
        <v>0</v>
      </c>
      <c r="L912" s="725">
        <f t="shared" ca="1" si="196"/>
        <v>0</v>
      </c>
      <c r="M912" s="1127">
        <f ca="1">IF(F912&gt;0,M$862,0)</f>
        <v>0</v>
      </c>
      <c r="N912" s="752">
        <f t="shared" ca="1" si="197"/>
        <v>0</v>
      </c>
    </row>
    <row r="913" spans="1:14" hidden="1">
      <c r="A913" s="696"/>
      <c r="B913" s="226" t="s">
        <v>259</v>
      </c>
      <c r="C913" s="748">
        <f t="shared" ca="1" si="198"/>
        <v>0</v>
      </c>
      <c r="D913" s="723" t="str">
        <f>VLOOKUP($B913,R_DG!$A$7:$G$1305,3,0)</f>
        <v>Cáp 24kV C/XLPE/DSTA/PVC3x150mm2</v>
      </c>
      <c r="E913" s="714" t="str">
        <f>VLOOKUP($B913,R_DG!$A$7:$G$1305,4,0)</f>
        <v>mét</v>
      </c>
      <c r="F913" s="751">
        <f t="shared" ca="1" si="201"/>
        <v>0</v>
      </c>
      <c r="G913" s="608">
        <f>VLOOKUP($B913,R_DG!$A$7:$G$1305,5,0)</f>
        <v>956600</v>
      </c>
      <c r="H913" s="608">
        <f>VLOOKUP($B913,R_DG!$A$7:$G$1305,6,0)</f>
        <v>0</v>
      </c>
      <c r="I913" s="608">
        <f>VLOOKUP($B913,R_DG!$A$7:$G$1305,7,0)</f>
        <v>0</v>
      </c>
      <c r="J913" s="608">
        <f t="shared" ca="1" si="196"/>
        <v>0</v>
      </c>
      <c r="K913" s="608">
        <f t="shared" ca="1" si="196"/>
        <v>0</v>
      </c>
      <c r="L913" s="725">
        <f t="shared" ca="1" si="196"/>
        <v>0</v>
      </c>
      <c r="M913" s="1127">
        <f ca="1">IF(F913&gt;0,M$862,0)</f>
        <v>0</v>
      </c>
      <c r="N913" s="752">
        <f t="shared" ca="1" si="197"/>
        <v>0</v>
      </c>
    </row>
    <row r="914" spans="1:14" hidden="1">
      <c r="A914" s="696"/>
      <c r="B914" s="226" t="s">
        <v>261</v>
      </c>
      <c r="C914" s="748">
        <f t="shared" ca="1" si="198"/>
        <v>0</v>
      </c>
      <c r="D914" s="723" t="str">
        <f>VLOOKUP($B914,R_DG!$A$7:$G$1305,3,0)</f>
        <v>Cáp 24kV C/XLPE/DSTA/PVC3x185mm2</v>
      </c>
      <c r="E914" s="714" t="str">
        <f>VLOOKUP($B914,R_DG!$A$7:$G$1305,4,0)</f>
        <v>mét</v>
      </c>
      <c r="F914" s="751">
        <f t="shared" ca="1" si="201"/>
        <v>0</v>
      </c>
      <c r="G914" s="608">
        <f>VLOOKUP($B914,R_DG!$A$7:$G$1305,5,0)</f>
        <v>1134500</v>
      </c>
      <c r="H914" s="608">
        <f>VLOOKUP($B914,R_DG!$A$7:$G$1305,6,0)</f>
        <v>0</v>
      </c>
      <c r="I914" s="608">
        <f>VLOOKUP($B914,R_DG!$A$7:$G$1305,7,0)</f>
        <v>0</v>
      </c>
      <c r="J914" s="608">
        <f t="shared" ca="1" si="196"/>
        <v>0</v>
      </c>
      <c r="K914" s="608">
        <f t="shared" ca="1" si="196"/>
        <v>0</v>
      </c>
      <c r="L914" s="725">
        <f t="shared" ca="1" si="196"/>
        <v>0</v>
      </c>
      <c r="M914" s="1127">
        <f ca="1">IF(F914&gt;0,M$862,0)</f>
        <v>0</v>
      </c>
      <c r="N914" s="752">
        <f t="shared" ca="1" si="197"/>
        <v>0</v>
      </c>
    </row>
    <row r="915" spans="1:14" hidden="1">
      <c r="A915" s="696"/>
      <c r="B915" s="226" t="s">
        <v>263</v>
      </c>
      <c r="C915" s="748">
        <f t="shared" ca="1" si="198"/>
        <v>0</v>
      </c>
      <c r="D915" s="723" t="str">
        <f>VLOOKUP($B915,R_DG!$A$7:$G$1305,3,0)</f>
        <v>Cáp 24kV C/XLPE/DSTA/PVC3x240mm2</v>
      </c>
      <c r="E915" s="714" t="str">
        <f>VLOOKUP($B915,R_DG!$A$7:$G$1305,4,0)</f>
        <v>mét</v>
      </c>
      <c r="F915" s="751">
        <f t="shared" ca="1" si="201"/>
        <v>0</v>
      </c>
      <c r="G915" s="608">
        <f>VLOOKUP($B915,R_DG!$A$7:$G$1305,5,0)</f>
        <v>1429300</v>
      </c>
      <c r="H915" s="608">
        <f>VLOOKUP($B915,R_DG!$A$7:$G$1305,6,0)</f>
        <v>0</v>
      </c>
      <c r="I915" s="608">
        <f>VLOOKUP($B915,R_DG!$A$7:$G$1305,7,0)</f>
        <v>0</v>
      </c>
      <c r="J915" s="608">
        <f t="shared" ca="1" si="196"/>
        <v>0</v>
      </c>
      <c r="K915" s="608">
        <f t="shared" ca="1" si="196"/>
        <v>0</v>
      </c>
      <c r="L915" s="725">
        <f t="shared" ca="1" si="196"/>
        <v>0</v>
      </c>
      <c r="M915" s="1127">
        <f ca="1">IF(F915&gt;0,M$862,0)</f>
        <v>0</v>
      </c>
      <c r="N915" s="752">
        <f t="shared" ca="1" si="197"/>
        <v>0</v>
      </c>
    </row>
    <row r="916" spans="1:14" hidden="1">
      <c r="A916" s="696"/>
      <c r="B916" s="226" t="s">
        <v>247</v>
      </c>
      <c r="C916" s="748">
        <f t="shared" ca="1" si="198"/>
        <v>0</v>
      </c>
      <c r="D916" s="723" t="str">
        <f>VLOOKUP($B916,R_DG!$A$7:$G$1305,3,0)</f>
        <v>Cáp C/XLPE/DSTA/PVC -0.6/1kV-3x50+35mm2</v>
      </c>
      <c r="E916" s="714" t="str">
        <f>VLOOKUP($B916,R_DG!$A$7:$G$1305,4,0)</f>
        <v>mét</v>
      </c>
      <c r="F916" s="751">
        <f t="shared" ca="1" si="201"/>
        <v>0</v>
      </c>
      <c r="G916" s="608">
        <f>VLOOKUP($B916,R_DG!$A$7:$G$1305,5,0)</f>
        <v>306300</v>
      </c>
      <c r="H916" s="608">
        <f>VLOOKUP($B916,R_DG!$A$7:$G$1305,6,0)</f>
        <v>0</v>
      </c>
      <c r="I916" s="608">
        <f>VLOOKUP($B916,R_DG!$A$7:$G$1305,7,0)</f>
        <v>0</v>
      </c>
      <c r="J916" s="608">
        <f t="shared" ca="1" si="196"/>
        <v>0</v>
      </c>
      <c r="K916" s="608">
        <f t="shared" ca="1" si="196"/>
        <v>0</v>
      </c>
      <c r="L916" s="725">
        <f t="shared" ca="1" si="196"/>
        <v>0</v>
      </c>
      <c r="M916" s="1127">
        <f t="shared" ca="1" si="199"/>
        <v>0</v>
      </c>
      <c r="N916" s="752">
        <f t="shared" ca="1" si="197"/>
        <v>0</v>
      </c>
    </row>
    <row r="917" spans="1:14" ht="21.95" hidden="1" customHeight="1">
      <c r="A917" s="696"/>
      <c r="B917" s="226" t="s">
        <v>4958</v>
      </c>
      <c r="C917" s="748">
        <f t="shared" ca="1" si="198"/>
        <v>272</v>
      </c>
      <c r="D917" s="723" t="str">
        <f>VLOOKUP($B917,R_DG!$A$7:$G$1305,3,0)</f>
        <v>Cáp Duplex Cu 2x16</v>
      </c>
      <c r="E917" s="714" t="str">
        <f>VLOOKUP($B917,R_DG!$A$7:$G$1305,4,0)</f>
        <v>m</v>
      </c>
      <c r="F917" s="751">
        <f t="shared" ca="1" si="201"/>
        <v>277.44</v>
      </c>
      <c r="G917" s="608">
        <f>VLOOKUP($B917,R_DG!$A$7:$G$1305,5,0)</f>
        <v>78000</v>
      </c>
      <c r="H917" s="608">
        <f>VLOOKUP($B917,R_DG!$A$7:$G$1305,6,0)</f>
        <v>0</v>
      </c>
      <c r="I917" s="608">
        <f>VLOOKUP($B917,R_DG!$A$7:$G$1305,7,0)</f>
        <v>0</v>
      </c>
      <c r="J917" s="608">
        <f t="shared" ca="1" si="196"/>
        <v>21640320</v>
      </c>
      <c r="K917" s="608">
        <f t="shared" ca="1" si="196"/>
        <v>0</v>
      </c>
      <c r="L917" s="725">
        <f t="shared" ca="1" si="196"/>
        <v>0</v>
      </c>
      <c r="M917" s="1127">
        <f t="shared" ca="1" si="199"/>
        <v>1</v>
      </c>
      <c r="N917" s="752">
        <f t="shared" ca="1" si="197"/>
        <v>277.44</v>
      </c>
    </row>
    <row r="918" spans="1:14" hidden="1">
      <c r="A918" s="696"/>
      <c r="B918" s="226" t="s">
        <v>1865</v>
      </c>
      <c r="C918" s="748">
        <f t="shared" ca="1" si="198"/>
        <v>0</v>
      </c>
      <c r="D918" s="723" t="str">
        <f>VLOOKUP($B918,R_DG!$A$7:$G$1305,3,0)</f>
        <v>Cáp Quadruplex 4x11</v>
      </c>
      <c r="E918" s="714" t="str">
        <f>VLOOKUP($B918,R_DG!$A$7:$G$1305,4,0)</f>
        <v>m</v>
      </c>
      <c r="F918" s="751">
        <f t="shared" ca="1" si="201"/>
        <v>0</v>
      </c>
      <c r="G918" s="608">
        <f>VLOOKUP($B918,R_DG!$A$7:$G$1305,5,0)</f>
        <v>65300</v>
      </c>
      <c r="H918" s="608">
        <f>VLOOKUP($B918,R_DG!$A$7:$G$1305,6,0)</f>
        <v>0</v>
      </c>
      <c r="I918" s="608">
        <f>VLOOKUP($B918,R_DG!$A$7:$G$1305,7,0)</f>
        <v>0</v>
      </c>
      <c r="J918" s="608">
        <f t="shared" ca="1" si="196"/>
        <v>0</v>
      </c>
      <c r="K918" s="608">
        <f t="shared" ca="1" si="196"/>
        <v>0</v>
      </c>
      <c r="L918" s="725">
        <f t="shared" ca="1" si="196"/>
        <v>0</v>
      </c>
      <c r="M918" s="1127">
        <f t="shared" ca="1" si="199"/>
        <v>0</v>
      </c>
      <c r="N918" s="752">
        <f t="shared" ca="1" si="197"/>
        <v>0</v>
      </c>
    </row>
    <row r="919" spans="1:14" hidden="1">
      <c r="A919" s="696"/>
      <c r="B919" s="226" t="s">
        <v>1867</v>
      </c>
      <c r="C919" s="748">
        <f t="shared" ca="1" si="198"/>
        <v>0</v>
      </c>
      <c r="D919" s="723" t="str">
        <f>VLOOKUP($B919,R_DG!$A$7:$G$1305,3,0)</f>
        <v>Cáp Quadruplex 4x16</v>
      </c>
      <c r="E919" s="714" t="str">
        <f>VLOOKUP($B919,R_DG!$A$7:$G$1305,4,0)</f>
        <v>m</v>
      </c>
      <c r="F919" s="751">
        <f t="shared" ca="1" si="201"/>
        <v>0</v>
      </c>
      <c r="G919" s="608">
        <f>VLOOKUP($B919,R_DG!$A$7:$G$1305,5,0)</f>
        <v>96200</v>
      </c>
      <c r="H919" s="608">
        <f>VLOOKUP($B919,R_DG!$A$7:$G$1305,6,0)</f>
        <v>0</v>
      </c>
      <c r="I919" s="608">
        <f>VLOOKUP($B919,R_DG!$A$7:$G$1305,7,0)</f>
        <v>0</v>
      </c>
      <c r="J919" s="608">
        <f t="shared" ca="1" si="196"/>
        <v>0</v>
      </c>
      <c r="K919" s="608">
        <f t="shared" ca="1" si="196"/>
        <v>0</v>
      </c>
      <c r="L919" s="725">
        <f t="shared" ca="1" si="196"/>
        <v>0</v>
      </c>
      <c r="M919" s="1127">
        <f t="shared" ca="1" si="199"/>
        <v>0</v>
      </c>
      <c r="N919" s="752">
        <f t="shared" ca="1" si="197"/>
        <v>0</v>
      </c>
    </row>
    <row r="920" spans="1:14" ht="21.95" hidden="1" customHeight="1">
      <c r="A920" s="696"/>
      <c r="B920" s="753" t="s">
        <v>1304</v>
      </c>
      <c r="C920" s="713" t="str">
        <f>VLOOKUP($B920,R_DG!$A$7:$G$1305,2,0)</f>
        <v>D3.621</v>
      </c>
      <c r="D920" s="723" t="str">
        <f>VLOOKUP($B920,R_DG!$A$7:$G$1305,3,0)</f>
        <v>Kéo dây nhôm lõi thép cỡ dây 50mm2</v>
      </c>
      <c r="E920" s="714" t="str">
        <f>VLOOKUP($B920,R_DG!$A$7:$G$1305,4,0)</f>
        <v>km</v>
      </c>
      <c r="F920" s="724">
        <f>C863/1000</f>
        <v>0.1</v>
      </c>
      <c r="G920" s="608">
        <f>VLOOKUP($B920,R_DG!$A$7:$G$1305,5,0)</f>
        <v>0</v>
      </c>
      <c r="H920" s="608">
        <f>VLOOKUP($B920,R_DG!$A$7:$G$1305,6,0)</f>
        <v>2252916.1800000002</v>
      </c>
      <c r="I920" s="608">
        <f>VLOOKUP($B920,R_DG!$A$7:$G$1305,7,0)</f>
        <v>99467.866570066893</v>
      </c>
      <c r="J920" s="608">
        <f t="shared" si="196"/>
        <v>0</v>
      </c>
      <c r="K920" s="608">
        <f t="shared" si="196"/>
        <v>225291.61800000002</v>
      </c>
      <c r="L920" s="725">
        <f t="shared" si="196"/>
        <v>9946.7866570066908</v>
      </c>
      <c r="M920" s="1127">
        <f t="shared" si="199"/>
        <v>1</v>
      </c>
      <c r="N920" s="754">
        <f t="shared" si="197"/>
        <v>0.1</v>
      </c>
    </row>
    <row r="921" spans="1:14" hidden="1">
      <c r="A921" s="696"/>
      <c r="B921" s="753" t="s">
        <v>1306</v>
      </c>
      <c r="C921" s="713" t="str">
        <f>VLOOKUP($B921,R_DG!$A$7:$G$1305,2,0)</f>
        <v>06.6401</v>
      </c>
      <c r="D921" s="723" t="str">
        <f>VLOOKUP($B921,R_DG!$A$7:$G$1305,3,0)</f>
        <v>Kéo dây nhôm lõi thép cỡ dây 70mm2</v>
      </c>
      <c r="E921" s="714" t="str">
        <f>VLOOKUP($B921,R_DG!$A$7:$G$1305,4,0)</f>
        <v>km</v>
      </c>
      <c r="F921" s="724">
        <f ca="1">C864/1000</f>
        <v>0</v>
      </c>
      <c r="G921" s="608">
        <f>VLOOKUP($B921,R_DG!$A$7:$G$1305,5,0)</f>
        <v>27801</v>
      </c>
      <c r="H921" s="608">
        <f>VLOOKUP($B921,R_DG!$A$7:$G$1305,6,0)</f>
        <v>0</v>
      </c>
      <c r="I921" s="608">
        <f>VLOOKUP($B921,R_DG!$A$7:$G$1305,7,0)</f>
        <v>0</v>
      </c>
      <c r="J921" s="608">
        <f t="shared" ca="1" si="196"/>
        <v>0</v>
      </c>
      <c r="K921" s="608">
        <f t="shared" ca="1" si="196"/>
        <v>0</v>
      </c>
      <c r="L921" s="725">
        <f t="shared" ca="1" si="196"/>
        <v>0</v>
      </c>
      <c r="M921" s="1127">
        <f t="shared" ca="1" si="199"/>
        <v>0</v>
      </c>
      <c r="N921" s="754">
        <f t="shared" ca="1" si="197"/>
        <v>0</v>
      </c>
    </row>
    <row r="922" spans="1:14" hidden="1">
      <c r="A922" s="696"/>
      <c r="B922" s="753" t="s">
        <v>1308</v>
      </c>
      <c r="C922" s="713" t="str">
        <f>VLOOKUP($B922,R_DG!$A$7:$G$1305,2,0)</f>
        <v>06.6402</v>
      </c>
      <c r="D922" s="723" t="str">
        <f>VLOOKUP($B922,R_DG!$A$7:$G$1305,3,0)</f>
        <v>Kéo dây nhôm lõi thép cỡ dây 95mm2</v>
      </c>
      <c r="E922" s="714" t="str">
        <f>VLOOKUP($B922,R_DG!$A$7:$G$1305,4,0)</f>
        <v>km</v>
      </c>
      <c r="F922" s="724">
        <f ca="1">C865/1000</f>
        <v>0</v>
      </c>
      <c r="G922" s="608">
        <f>VLOOKUP($B922,R_DG!$A$7:$G$1305,5,0)</f>
        <v>0</v>
      </c>
      <c r="H922" s="608">
        <f>VLOOKUP($B922,R_DG!$A$7:$G$1305,6,0)</f>
        <v>3058082.1</v>
      </c>
      <c r="I922" s="608">
        <f>VLOOKUP($B922,R_DG!$A$7:$G$1305,7,0)</f>
        <v>134445.87542675587</v>
      </c>
      <c r="J922" s="608">
        <f t="shared" ca="1" si="196"/>
        <v>0</v>
      </c>
      <c r="K922" s="608">
        <f t="shared" ca="1" si="196"/>
        <v>0</v>
      </c>
      <c r="L922" s="725">
        <f t="shared" ca="1" si="196"/>
        <v>0</v>
      </c>
      <c r="M922" s="1127">
        <f t="shared" ca="1" si="199"/>
        <v>0</v>
      </c>
      <c r="N922" s="754">
        <f t="shared" ca="1" si="197"/>
        <v>0</v>
      </c>
    </row>
    <row r="923" spans="1:14" hidden="1">
      <c r="A923" s="696"/>
      <c r="B923" s="753" t="s">
        <v>1310</v>
      </c>
      <c r="C923" s="713" t="str">
        <f>VLOOKUP($B923,R_DG!$A$7:$G$1305,2,0)</f>
        <v>06.6403</v>
      </c>
      <c r="D923" s="723" t="str">
        <f>VLOOKUP($B923,R_DG!$A$7:$G$1305,3,0)</f>
        <v>Kéo dây nhôm lõi thép cỡ dây 120mm2</v>
      </c>
      <c r="E923" s="714" t="str">
        <f>VLOOKUP($B923,R_DG!$A$7:$G$1305,4,0)</f>
        <v>km</v>
      </c>
      <c r="F923" s="724">
        <f ca="1">C866/1000</f>
        <v>0</v>
      </c>
      <c r="G923" s="608">
        <f>VLOOKUP($B923,R_DG!$A$7:$G$1305,5,0)</f>
        <v>37730</v>
      </c>
      <c r="H923" s="608">
        <f>VLOOKUP($B923,R_DG!$A$7:$G$1305,6,0)</f>
        <v>4188411.18</v>
      </c>
      <c r="I923" s="608">
        <f>VLOOKUP($B923,R_DG!$A$7:$G$1305,7,0)</f>
        <v>134445.87542675587</v>
      </c>
      <c r="J923" s="608">
        <f t="shared" ca="1" si="196"/>
        <v>0</v>
      </c>
      <c r="K923" s="608">
        <f t="shared" ca="1" si="196"/>
        <v>0</v>
      </c>
      <c r="L923" s="725">
        <f t="shared" ca="1" si="196"/>
        <v>0</v>
      </c>
      <c r="M923" s="1127">
        <f t="shared" ca="1" si="199"/>
        <v>0</v>
      </c>
      <c r="N923" s="754">
        <f t="shared" ca="1" si="197"/>
        <v>0</v>
      </c>
    </row>
    <row r="924" spans="1:14" hidden="1">
      <c r="A924" s="696"/>
      <c r="B924" s="753" t="s">
        <v>1312</v>
      </c>
      <c r="C924" s="713" t="str">
        <f>VLOOKUP($B924,R_DG!$A$7:$G$1305,2,0)</f>
        <v>06.6404</v>
      </c>
      <c r="D924" s="723" t="str">
        <f>VLOOKUP($B924,R_DG!$A$7:$G$1305,3,0)</f>
        <v>Kéo dây nhôm lõi thép cỡ dây 150mm2</v>
      </c>
      <c r="E924" s="714" t="str">
        <f>VLOOKUP($B924,R_DG!$A$7:$G$1305,4,0)</f>
        <v>km</v>
      </c>
      <c r="F924" s="724">
        <f ca="1">C867/1000</f>
        <v>0</v>
      </c>
      <c r="G924" s="608">
        <f>VLOOKUP($B924,R_DG!$A$7:$G$1305,5,0)</f>
        <v>42730</v>
      </c>
      <c r="H924" s="608">
        <f>VLOOKUP($B924,R_DG!$A$7:$G$1305,6,0)</f>
        <v>0</v>
      </c>
      <c r="I924" s="608">
        <f>VLOOKUP($B924,R_DG!$A$7:$G$1305,7,0)</f>
        <v>0</v>
      </c>
      <c r="J924" s="608">
        <f t="shared" ca="1" si="196"/>
        <v>0</v>
      </c>
      <c r="K924" s="608">
        <f t="shared" ca="1" si="196"/>
        <v>0</v>
      </c>
      <c r="L924" s="725">
        <f t="shared" ca="1" si="196"/>
        <v>0</v>
      </c>
      <c r="M924" s="1127">
        <f t="shared" ca="1" si="199"/>
        <v>0</v>
      </c>
      <c r="N924" s="754">
        <f t="shared" ca="1" si="197"/>
        <v>0</v>
      </c>
    </row>
    <row r="925" spans="1:14" hidden="1">
      <c r="A925" s="696"/>
      <c r="B925" s="753" t="s">
        <v>1314</v>
      </c>
      <c r="C925" s="713" t="str">
        <f>VLOOKUP($B925,R_DG!$A$7:$G$1305,2,0)</f>
        <v>06.6108</v>
      </c>
      <c r="D925" s="723" t="str">
        <f>VLOOKUP($B925,R_DG!$A$7:$G$1305,3,0)</f>
        <v>Kéo dây nhôm lõi thép bọc XLPE cỡ dây 150mm2</v>
      </c>
      <c r="E925" s="714" t="str">
        <f>VLOOKUP($B925,R_DG!$A$7:$G$1305,4,0)</f>
        <v>km</v>
      </c>
      <c r="F925" s="724"/>
      <c r="G925" s="608">
        <f>VLOOKUP($B925,R_DG!$A$7:$G$1305,5,0)</f>
        <v>42730</v>
      </c>
      <c r="H925" s="608">
        <f>VLOOKUP($B925,R_DG!$A$7:$G$1305,6,0)</f>
        <v>0</v>
      </c>
      <c r="I925" s="608">
        <f>VLOOKUP($B925,R_DG!$A$7:$G$1305,7,0)</f>
        <v>0</v>
      </c>
      <c r="J925" s="608">
        <f t="shared" si="196"/>
        <v>0</v>
      </c>
      <c r="K925" s="608">
        <f t="shared" si="196"/>
        <v>0</v>
      </c>
      <c r="L925" s="725">
        <f t="shared" si="196"/>
        <v>0</v>
      </c>
      <c r="M925" s="1127">
        <f t="shared" si="199"/>
        <v>0</v>
      </c>
      <c r="N925" s="754">
        <f t="shared" si="197"/>
        <v>0</v>
      </c>
    </row>
    <row r="926" spans="1:14" hidden="1">
      <c r="A926" s="696"/>
      <c r="B926" s="753" t="s">
        <v>1316</v>
      </c>
      <c r="C926" s="713" t="str">
        <f>VLOOKUP($B926,R_DG!$A$7:$G$1305,2,0)</f>
        <v>06.6405</v>
      </c>
      <c r="D926" s="723" t="str">
        <f>VLOOKUP($B926,R_DG!$A$7:$G$1305,3,0)</f>
        <v>Kéo dây nhôm lõi thép cỡ dây 185mm2</v>
      </c>
      <c r="E926" s="714" t="str">
        <f>VLOOKUP($B926,R_DG!$A$7:$G$1305,4,0)</f>
        <v>km</v>
      </c>
      <c r="F926" s="724"/>
      <c r="G926" s="608">
        <f>VLOOKUP($B926,R_DG!$A$7:$G$1305,5,0)</f>
        <v>42730</v>
      </c>
      <c r="H926" s="608">
        <f>VLOOKUP($B926,R_DG!$A$7:$G$1305,6,0)</f>
        <v>0</v>
      </c>
      <c r="I926" s="608">
        <f>VLOOKUP($B926,R_DG!$A$7:$G$1305,7,0)</f>
        <v>0</v>
      </c>
      <c r="J926" s="608">
        <f t="shared" si="196"/>
        <v>0</v>
      </c>
      <c r="K926" s="608">
        <f t="shared" si="196"/>
        <v>0</v>
      </c>
      <c r="L926" s="725">
        <f t="shared" si="196"/>
        <v>0</v>
      </c>
      <c r="M926" s="1127">
        <f t="shared" si="199"/>
        <v>0</v>
      </c>
      <c r="N926" s="754">
        <f t="shared" si="197"/>
        <v>0</v>
      </c>
    </row>
    <row r="927" spans="1:14" hidden="1">
      <c r="A927" s="696"/>
      <c r="B927" s="753" t="s">
        <v>1318</v>
      </c>
      <c r="C927" s="713" t="str">
        <f>VLOOKUP($B927,R_DG!$A$7:$G$1305,2,0)</f>
        <v>06.6406</v>
      </c>
      <c r="D927" s="723" t="str">
        <f>VLOOKUP($B927,R_DG!$A$7:$G$1305,3,0)</f>
        <v>Kéo dây nhôm lõi thép cỡ dây 240mm2</v>
      </c>
      <c r="E927" s="714" t="str">
        <f>VLOOKUP($B927,R_DG!$A$7:$G$1305,4,0)</f>
        <v>km</v>
      </c>
      <c r="F927" s="724"/>
      <c r="G927" s="608">
        <f>VLOOKUP($B927,R_DG!$A$7:$G$1305,5,0)</f>
        <v>32886</v>
      </c>
      <c r="H927" s="608">
        <f>VLOOKUP($B927,R_DG!$A$7:$G$1305,6,0)</f>
        <v>0</v>
      </c>
      <c r="I927" s="608">
        <f>VLOOKUP($B927,R_DG!$A$7:$G$1305,7,0)</f>
        <v>0</v>
      </c>
      <c r="J927" s="608">
        <f t="shared" si="196"/>
        <v>0</v>
      </c>
      <c r="K927" s="608">
        <f t="shared" si="196"/>
        <v>0</v>
      </c>
      <c r="L927" s="725">
        <f t="shared" si="196"/>
        <v>0</v>
      </c>
      <c r="M927" s="1127">
        <f t="shared" si="199"/>
        <v>0</v>
      </c>
      <c r="N927" s="754">
        <f t="shared" ref="N927:N942" si="202">$F927</f>
        <v>0</v>
      </c>
    </row>
    <row r="928" spans="1:14" ht="21.95" hidden="1" customHeight="1">
      <c r="A928" s="696"/>
      <c r="B928" s="753" t="s">
        <v>1277</v>
      </c>
      <c r="C928" s="713" t="str">
        <f>VLOOKUP($B928,R_DG!$A$7:$G$1305,2,0)</f>
        <v>D3.621</v>
      </c>
      <c r="D928" s="723" t="str">
        <f>VLOOKUP($B928,R_DG!$A$7:$G$1305,3,0)</f>
        <v>Kéo dây nhôm bọc 50mm2</v>
      </c>
      <c r="E928" s="714" t="str">
        <f>VLOOKUP($B928,R_DG!$A$7:$G$1305,4,0)</f>
        <v>km</v>
      </c>
      <c r="F928" s="724">
        <f>C870/1000</f>
        <v>0.2</v>
      </c>
      <c r="G928" s="608">
        <f>VLOOKUP($B928,R_DG!$A$7:$G$1305,5,0)</f>
        <v>0</v>
      </c>
      <c r="H928" s="608">
        <f>VLOOKUP($B928,R_DG!$A$7:$G$1305,6,0)</f>
        <v>2478207.7980000004</v>
      </c>
      <c r="I928" s="608">
        <f>VLOOKUP($B928,R_DG!$A$7:$G$1305,7,0)</f>
        <v>120255.52000000002</v>
      </c>
      <c r="J928" s="608">
        <f t="shared" si="196"/>
        <v>0</v>
      </c>
      <c r="K928" s="608">
        <f t="shared" si="196"/>
        <v>495641.5596000001</v>
      </c>
      <c r="L928" s="725">
        <f t="shared" si="196"/>
        <v>24051.104000000007</v>
      </c>
      <c r="M928" s="1127">
        <f t="shared" si="199"/>
        <v>1</v>
      </c>
      <c r="N928" s="754">
        <f t="shared" si="202"/>
        <v>0.2</v>
      </c>
    </row>
    <row r="929" spans="1:14" hidden="1">
      <c r="A929" s="696"/>
      <c r="B929" s="753" t="s">
        <v>1281</v>
      </c>
      <c r="C929" s="713" t="str">
        <f>VLOOKUP($B929,R_DG!$A$7:$G$1305,2,0)</f>
        <v>06.6402</v>
      </c>
      <c r="D929" s="723" t="str">
        <f>VLOOKUP($B929,R_DG!$A$7:$G$1305,3,0)</f>
        <v>Kéo dây nhôm bọc 95mm2</v>
      </c>
      <c r="E929" s="714" t="str">
        <f>VLOOKUP($B929,R_DG!$A$7:$G$1305,4,0)</f>
        <v>km</v>
      </c>
      <c r="F929" s="724">
        <f ca="1">C871/1000</f>
        <v>0</v>
      </c>
      <c r="G929" s="608">
        <f>VLOOKUP($B929,R_DG!$A$7:$G$1305,5,0)</f>
        <v>37730</v>
      </c>
      <c r="H929" s="608">
        <f>VLOOKUP($B929,R_DG!$A$7:$G$1305,6,0)</f>
        <v>0</v>
      </c>
      <c r="I929" s="608">
        <f>VLOOKUP($B929,R_DG!$A$7:$G$1305,7,0)</f>
        <v>0</v>
      </c>
      <c r="J929" s="608">
        <f t="shared" ca="1" si="196"/>
        <v>0</v>
      </c>
      <c r="K929" s="608">
        <f t="shared" ca="1" si="196"/>
        <v>0</v>
      </c>
      <c r="L929" s="725">
        <f t="shared" ca="1" si="196"/>
        <v>0</v>
      </c>
      <c r="M929" s="1127">
        <f t="shared" ca="1" si="199"/>
        <v>0</v>
      </c>
      <c r="N929" s="754">
        <f t="shared" ca="1" si="202"/>
        <v>0</v>
      </c>
    </row>
    <row r="930" spans="1:14" hidden="1">
      <c r="A930" s="696"/>
      <c r="B930" s="753" t="s">
        <v>1283</v>
      </c>
      <c r="C930" s="713" t="str">
        <f>VLOOKUP($B930,R_DG!$A$7:$G$1305,2,0)</f>
        <v>06.6403</v>
      </c>
      <c r="D930" s="723" t="str">
        <f>VLOOKUP($B930,R_DG!$A$7:$G$1305,3,0)</f>
        <v>Kéo dây nhôm bọc 120mm2</v>
      </c>
      <c r="E930" s="714" t="str">
        <f>VLOOKUP($B930,R_DG!$A$7:$G$1305,4,0)</f>
        <v>km</v>
      </c>
      <c r="F930" s="724">
        <f ca="1">C873/1000</f>
        <v>0</v>
      </c>
      <c r="G930" s="608">
        <f>VLOOKUP($B930,R_DG!$A$7:$G$1305,5,0)</f>
        <v>37730</v>
      </c>
      <c r="H930" s="608">
        <f>VLOOKUP($B930,R_DG!$A$7:$G$1305,6,0)</f>
        <v>0</v>
      </c>
      <c r="I930" s="608">
        <f>VLOOKUP($B930,R_DG!$A$7:$G$1305,7,0)</f>
        <v>0</v>
      </c>
      <c r="J930" s="608">
        <f t="shared" ca="1" si="196"/>
        <v>0</v>
      </c>
      <c r="K930" s="608">
        <f t="shared" ca="1" si="196"/>
        <v>0</v>
      </c>
      <c r="L930" s="725">
        <f t="shared" ca="1" si="196"/>
        <v>0</v>
      </c>
      <c r="M930" s="1127">
        <f t="shared" ca="1" si="199"/>
        <v>0</v>
      </c>
      <c r="N930" s="754">
        <f t="shared" ca="1" si="202"/>
        <v>0</v>
      </c>
    </row>
    <row r="931" spans="1:14" hidden="1">
      <c r="A931" s="696"/>
      <c r="B931" s="753" t="s">
        <v>1285</v>
      </c>
      <c r="C931" s="713" t="str">
        <f>VLOOKUP($B931,R_DG!$A$7:$G$1305,2,0)</f>
        <v>06.6404</v>
      </c>
      <c r="D931" s="723" t="str">
        <f>VLOOKUP($B931,R_DG!$A$7:$G$1305,3,0)</f>
        <v>Kéo dây nhôm bọc 150mm2</v>
      </c>
      <c r="E931" s="714" t="str">
        <f>VLOOKUP($B931,R_DG!$A$7:$G$1305,4,0)</f>
        <v>km</v>
      </c>
      <c r="F931" s="734">
        <f ca="1">C874/1000</f>
        <v>0</v>
      </c>
      <c r="G931" s="608">
        <f>VLOOKUP($B931,R_DG!$A$7:$G$1305,5,0)</f>
        <v>42730</v>
      </c>
      <c r="H931" s="608">
        <f>VLOOKUP($B931,R_DG!$A$7:$G$1305,6,0)</f>
        <v>0</v>
      </c>
      <c r="I931" s="608">
        <f>VLOOKUP($B931,R_DG!$A$7:$G$1305,7,0)</f>
        <v>0</v>
      </c>
      <c r="J931" s="608">
        <f t="shared" ca="1" si="196"/>
        <v>0</v>
      </c>
      <c r="K931" s="608">
        <f t="shared" ca="1" si="196"/>
        <v>0</v>
      </c>
      <c r="L931" s="725">
        <f t="shared" ca="1" si="196"/>
        <v>0</v>
      </c>
      <c r="M931" s="1127">
        <f t="shared" ca="1" si="199"/>
        <v>0</v>
      </c>
      <c r="N931" s="754">
        <f t="shared" ca="1" si="202"/>
        <v>0</v>
      </c>
    </row>
    <row r="932" spans="1:14" hidden="1">
      <c r="A932" s="696"/>
      <c r="B932" s="753" t="s">
        <v>1288</v>
      </c>
      <c r="C932" s="713" t="str">
        <f>VLOOKUP($B932,R_DG!$A$7:$G$1305,2,0)</f>
        <v>06.6405</v>
      </c>
      <c r="D932" s="723" t="str">
        <f>VLOOKUP($B932,R_DG!$A$7:$G$1305,3,0)</f>
        <v>Kéo dây nhôm bọc 185mm2</v>
      </c>
      <c r="E932" s="714" t="str">
        <f>VLOOKUP($B932,R_DG!$A$7:$G$1305,4,0)</f>
        <v>km</v>
      </c>
      <c r="F932" s="734"/>
      <c r="G932" s="608">
        <f>VLOOKUP($B932,R_DG!$A$7:$G$1305,5,0)</f>
        <v>42730</v>
      </c>
      <c r="H932" s="608">
        <f>VLOOKUP($B932,R_DG!$A$7:$G$1305,6,0)</f>
        <v>0</v>
      </c>
      <c r="I932" s="608">
        <f>VLOOKUP($B932,R_DG!$A$7:$G$1305,7,0)</f>
        <v>0</v>
      </c>
      <c r="J932" s="608">
        <f t="shared" si="196"/>
        <v>0</v>
      </c>
      <c r="K932" s="608">
        <f t="shared" si="196"/>
        <v>0</v>
      </c>
      <c r="L932" s="725">
        <f t="shared" si="196"/>
        <v>0</v>
      </c>
      <c r="M932" s="1127">
        <f t="shared" si="199"/>
        <v>0</v>
      </c>
      <c r="N932" s="754">
        <f t="shared" si="202"/>
        <v>0</v>
      </c>
    </row>
    <row r="933" spans="1:14" hidden="1">
      <c r="A933" s="696"/>
      <c r="B933" s="753" t="s">
        <v>1349</v>
      </c>
      <c r="C933" s="713" t="str">
        <f>VLOOKUP($B933,R_DG!$A$7:$G$1305,2,0)</f>
        <v>06.5072</v>
      </c>
      <c r="D933" s="723" t="str">
        <f>VLOOKUP($B933,R_DG!$A$7:$G$1305,3,0)</f>
        <v xml:space="preserve">Kéo dây qua vị trí bẻ góc dây </v>
      </c>
      <c r="E933" s="714" t="str">
        <f>VLOOKUP($B933,R_DG!$A$7:$G$1305,4,0)</f>
        <v>vị trí</v>
      </c>
      <c r="F933" s="734"/>
      <c r="G933" s="608">
        <f>VLOOKUP($B933,R_DG!$A$7:$G$1305,5,0)</f>
        <v>0</v>
      </c>
      <c r="H933" s="608">
        <f>VLOOKUP($B933,R_DG!$A$7:$G$1305,6,0)</f>
        <v>0</v>
      </c>
      <c r="I933" s="608">
        <f>VLOOKUP($B933,R_DG!$A$7:$G$1305,7,0)</f>
        <v>0</v>
      </c>
      <c r="J933" s="608">
        <f t="shared" si="196"/>
        <v>0</v>
      </c>
      <c r="K933" s="608">
        <f t="shared" si="196"/>
        <v>0</v>
      </c>
      <c r="L933" s="725">
        <f t="shared" si="196"/>
        <v>0</v>
      </c>
      <c r="M933" s="1127">
        <f t="shared" si="199"/>
        <v>0</v>
      </c>
      <c r="N933" s="754">
        <f t="shared" si="202"/>
        <v>0</v>
      </c>
    </row>
    <row r="934" spans="1:14" hidden="1">
      <c r="A934" s="696"/>
      <c r="B934" s="753" t="s">
        <v>1352</v>
      </c>
      <c r="C934" s="713" t="str">
        <f>VLOOKUP($B934,R_DG!$A$7:$G$1305,2,0)</f>
        <v>06.5082</v>
      </c>
      <c r="D934" s="723" t="str">
        <f>VLOOKUP($B934,R_DG!$A$7:$G$1305,3,0)</f>
        <v>Kéo dây qua sông ( S&lt;=300)</v>
      </c>
      <c r="E934" s="714" t="str">
        <f>VLOOKUP($B934,R_DG!$A$7:$G$1305,4,0)</f>
        <v>vị trí</v>
      </c>
      <c r="F934" s="736"/>
      <c r="G934" s="608">
        <f>VLOOKUP($B934,R_DG!$A$7:$G$1305,5,0)</f>
        <v>0</v>
      </c>
      <c r="H934" s="608">
        <f>VLOOKUP($B934,R_DG!$A$7:$G$1305,6,0)</f>
        <v>0</v>
      </c>
      <c r="I934" s="608">
        <f>VLOOKUP($B934,R_DG!$A$7:$G$1305,7,0)</f>
        <v>0</v>
      </c>
      <c r="J934" s="608">
        <f t="shared" si="196"/>
        <v>0</v>
      </c>
      <c r="K934" s="608">
        <f t="shared" si="196"/>
        <v>0</v>
      </c>
      <c r="L934" s="725">
        <f t="shared" si="196"/>
        <v>0</v>
      </c>
      <c r="M934" s="1127">
        <f t="shared" si="199"/>
        <v>0</v>
      </c>
      <c r="N934" s="754">
        <f t="shared" si="202"/>
        <v>0</v>
      </c>
    </row>
    <row r="935" spans="1:14" hidden="1">
      <c r="A935" s="696"/>
      <c r="B935" s="226" t="s">
        <v>1292</v>
      </c>
      <c r="C935" s="713" t="str">
        <f>VLOOKUP($B935,R_DG!$A$7:$G$1305,2,0)</f>
        <v>D3.6308</v>
      </c>
      <c r="D935" s="723" t="str">
        <f>VLOOKUP($B935,R_DG!$A$7:$G$1305,3,0)</f>
        <v>Kéo dây ABC 4x150mm2</v>
      </c>
      <c r="E935" s="714" t="str">
        <f>VLOOKUP($B935,R_DG!$A$7:$G$1305,4,0)</f>
        <v>km</v>
      </c>
      <c r="F935" s="724">
        <f ca="1">(C890+C894+C893+C891)/1000</f>
        <v>0</v>
      </c>
      <c r="G935" s="608">
        <f>VLOOKUP($B935,R_DG!$A$7:$G$1305,5,0)</f>
        <v>0</v>
      </c>
      <c r="H935" s="608">
        <f>VLOOKUP($B935,R_DG!$A$7:$G$1305,6,0)</f>
        <v>14654739</v>
      </c>
      <c r="I935" s="608">
        <f>VLOOKUP($B935,R_DG!$A$7:$G$1305,7,0)</f>
        <v>163984.79999999999</v>
      </c>
      <c r="J935" s="608">
        <f t="shared" ca="1" si="196"/>
        <v>0</v>
      </c>
      <c r="K935" s="608">
        <f t="shared" ca="1" si="196"/>
        <v>0</v>
      </c>
      <c r="L935" s="725">
        <f t="shared" ca="1" si="196"/>
        <v>0</v>
      </c>
      <c r="M935" s="1127">
        <f t="shared" ca="1" si="199"/>
        <v>0</v>
      </c>
      <c r="N935" s="754">
        <f t="shared" ca="1" si="202"/>
        <v>0</v>
      </c>
    </row>
    <row r="936" spans="1:14" ht="21.95" hidden="1" customHeight="1">
      <c r="A936" s="696"/>
      <c r="B936" s="226" t="s">
        <v>1296</v>
      </c>
      <c r="C936" s="713" t="str">
        <f>VLOOKUP($B936,R_DG!$A$7:$G$1305,2,0)</f>
        <v>06.6506</v>
      </c>
      <c r="D936" s="723" t="str">
        <f>VLOOKUP($B936,R_DG!$A$7:$G$1305,3,0)</f>
        <v>Kéo dây ABC 4x95mm2</v>
      </c>
      <c r="E936" s="714" t="str">
        <f>VLOOKUP($B936,R_DG!$A$7:$G$1305,4,0)</f>
        <v>km</v>
      </c>
      <c r="F936" s="724">
        <f>C889/1000</f>
        <v>7.0000000000000007E-2</v>
      </c>
      <c r="G936" s="608">
        <f>VLOOKUP($B936,R_DG!$A$7:$G$1305,5,0)</f>
        <v>0</v>
      </c>
      <c r="H936" s="608">
        <f>VLOOKUP($B936,R_DG!$A$7:$G$1305,6,0)</f>
        <v>0</v>
      </c>
      <c r="I936" s="608">
        <f>VLOOKUP($B936,R_DG!$A$7:$G$1305,7,0)</f>
        <v>0</v>
      </c>
      <c r="J936" s="608">
        <f t="shared" si="196"/>
        <v>0</v>
      </c>
      <c r="K936" s="608">
        <f t="shared" si="196"/>
        <v>0</v>
      </c>
      <c r="L936" s="725">
        <f t="shared" si="196"/>
        <v>0</v>
      </c>
      <c r="M936" s="726">
        <f t="shared" si="199"/>
        <v>1</v>
      </c>
      <c r="N936" s="754">
        <f t="shared" si="202"/>
        <v>7.0000000000000007E-2</v>
      </c>
    </row>
    <row r="937" spans="1:14" ht="21.95" hidden="1" customHeight="1">
      <c r="A937" s="696"/>
      <c r="B937" s="226" t="s">
        <v>1298</v>
      </c>
      <c r="C937" s="713" t="str">
        <f>VLOOKUP($B937,R_DG!$A$7:$G$1305,2,0)</f>
        <v>06.6505</v>
      </c>
      <c r="D937" s="723" t="str">
        <f>VLOOKUP($B937,R_DG!$A$7:$G$1305,3,0)</f>
        <v>Kéo dây ABC 4x70mm2</v>
      </c>
      <c r="E937" s="714" t="str">
        <f>VLOOKUP($B937,R_DG!$A$7:$G$1305,4,0)</f>
        <v>km</v>
      </c>
      <c r="F937" s="724">
        <f>C888/1000</f>
        <v>0.1</v>
      </c>
      <c r="G937" s="608">
        <f>VLOOKUP($B937,R_DG!$A$7:$G$1305,5,0)</f>
        <v>0</v>
      </c>
      <c r="H937" s="608">
        <f>VLOOKUP($B937,R_DG!$A$7:$G$1305,6,0)</f>
        <v>0</v>
      </c>
      <c r="I937" s="608">
        <f>VLOOKUP($B937,R_DG!$A$7:$G$1305,7,0)</f>
        <v>0</v>
      </c>
      <c r="J937" s="608">
        <f t="shared" si="196"/>
        <v>0</v>
      </c>
      <c r="K937" s="608">
        <f t="shared" si="196"/>
        <v>0</v>
      </c>
      <c r="L937" s="725">
        <f t="shared" si="196"/>
        <v>0</v>
      </c>
      <c r="M937" s="726">
        <f t="shared" si="199"/>
        <v>1</v>
      </c>
      <c r="N937" s="754">
        <f t="shared" si="202"/>
        <v>0.1</v>
      </c>
    </row>
    <row r="938" spans="1:14" ht="15.75" hidden="1">
      <c r="A938" s="696"/>
      <c r="B938" s="226" t="s">
        <v>1300</v>
      </c>
      <c r="C938" s="713" t="str">
        <f>VLOOKUP($B938,R_DG!$A$7:$G$1305,2,0)</f>
        <v>06.6504</v>
      </c>
      <c r="D938" s="723" t="str">
        <f>VLOOKUP($B938,R_DG!$A$7:$G$1305,3,0)</f>
        <v>Kéo dây ABC 4x50mm2</v>
      </c>
      <c r="E938" s="714" t="str">
        <f>VLOOKUP($B938,R_DG!$A$7:$G$1305,4,0)</f>
        <v>km</v>
      </c>
      <c r="F938" s="724"/>
      <c r="G938" s="608">
        <f>VLOOKUP($B938,R_DG!$A$7:$G$1305,5,0)</f>
        <v>0</v>
      </c>
      <c r="H938" s="608">
        <f>VLOOKUP($B938,R_DG!$A$7:$G$1305,6,0)</f>
        <v>0</v>
      </c>
      <c r="I938" s="608">
        <f>VLOOKUP($B938,R_DG!$A$7:$G$1305,7,0)</f>
        <v>0</v>
      </c>
      <c r="J938" s="608">
        <f t="shared" si="196"/>
        <v>0</v>
      </c>
      <c r="K938" s="608">
        <f t="shared" si="196"/>
        <v>0</v>
      </c>
      <c r="L938" s="725">
        <f t="shared" si="196"/>
        <v>0</v>
      </c>
      <c r="M938" s="726">
        <f t="shared" si="199"/>
        <v>0</v>
      </c>
      <c r="N938" s="754">
        <f t="shared" si="202"/>
        <v>0</v>
      </c>
    </row>
    <row r="939" spans="1:14" ht="15.75" hidden="1">
      <c r="A939" s="696"/>
      <c r="B939" s="226" t="s">
        <v>1277</v>
      </c>
      <c r="C939" s="713" t="str">
        <f>VLOOKUP($B939,R_DG!$A$7:$G$1305,2,0)</f>
        <v>D3.621</v>
      </c>
      <c r="D939" s="723" t="str">
        <f>VLOOKUP($B939,R_DG!$A$7:$G$1305,3,0)</f>
        <v>Kéo dây nhôm bọc 50mm2</v>
      </c>
      <c r="E939" s="714" t="str">
        <f>VLOOKUP($B939,R_DG!$A$7:$G$1305,4,0)</f>
        <v>km</v>
      </c>
      <c r="F939" s="724"/>
      <c r="G939" s="608">
        <f>VLOOKUP($B939,R_DG!$A$7:$G$1305,5,0)</f>
        <v>0</v>
      </c>
      <c r="H939" s="608">
        <f>VLOOKUP($B939,R_DG!$A$7:$G$1305,6,0)</f>
        <v>2478207.7980000004</v>
      </c>
      <c r="I939" s="608">
        <f>VLOOKUP($B939,R_DG!$A$7:$G$1305,7,0)</f>
        <v>120255.52000000002</v>
      </c>
      <c r="J939" s="608">
        <f t="shared" si="196"/>
        <v>0</v>
      </c>
      <c r="K939" s="608">
        <f t="shared" si="196"/>
        <v>0</v>
      </c>
      <c r="L939" s="725">
        <f t="shared" si="196"/>
        <v>0</v>
      </c>
      <c r="M939" s="726">
        <f t="shared" si="199"/>
        <v>0</v>
      </c>
      <c r="N939" s="754">
        <f t="shared" si="202"/>
        <v>0</v>
      </c>
    </row>
    <row r="940" spans="1:14" ht="15.75" hidden="1">
      <c r="A940" s="696"/>
      <c r="B940" s="753" t="s">
        <v>1290</v>
      </c>
      <c r="C940" s="713" t="str">
        <f>VLOOKUP($B940,R_DG!$A$7:$G$1305,2,0)</f>
        <v>06.6406</v>
      </c>
      <c r="D940" s="723" t="str">
        <f>VLOOKUP($B940,R_DG!$A$7:$G$1305,3,0)</f>
        <v>Kéo dây nhôm bọc 240mm2</v>
      </c>
      <c r="E940" s="714" t="str">
        <f>VLOOKUP($B940,R_DG!$A$7:$G$1305,4,0)</f>
        <v>km</v>
      </c>
      <c r="F940" s="724"/>
      <c r="G940" s="608">
        <f>VLOOKUP($B940,R_DG!$A$7:$G$1305,5,0)</f>
        <v>32886</v>
      </c>
      <c r="H940" s="608">
        <f>VLOOKUP($B940,R_DG!$A$7:$G$1305,6,0)</f>
        <v>0</v>
      </c>
      <c r="I940" s="608">
        <f>VLOOKUP($B940,R_DG!$A$7:$G$1305,7,0)</f>
        <v>0</v>
      </c>
      <c r="J940" s="608">
        <f t="shared" si="196"/>
        <v>0</v>
      </c>
      <c r="K940" s="608">
        <f t="shared" si="196"/>
        <v>0</v>
      </c>
      <c r="L940" s="725">
        <f t="shared" si="196"/>
        <v>0</v>
      </c>
      <c r="M940" s="726">
        <f t="shared" si="199"/>
        <v>0</v>
      </c>
      <c r="N940" s="754">
        <f t="shared" si="202"/>
        <v>0</v>
      </c>
    </row>
    <row r="941" spans="1:14" ht="15.75" hidden="1">
      <c r="A941" s="696"/>
      <c r="B941" s="398" t="s">
        <v>2100</v>
      </c>
      <c r="C941" s="713" t="str">
        <f>VLOOKUP($B941,R_DG!$A$7:$G$1305,2,0)</f>
        <v>CS.2.01.11</v>
      </c>
      <c r="D941" s="723" t="str">
        <f>VLOOKUP($B941,R_DG!$A$7:$G$1305,3,0)</f>
        <v xml:space="preserve">Kéo dây chiếu sáng tiết diện dây   6 ¸ 25mm² </v>
      </c>
      <c r="E941" s="714" t="str">
        <f>VLOOKUP($B941,R_DG!$A$7:$G$1305,4,0)</f>
        <v>m</v>
      </c>
      <c r="F941" s="724">
        <f ca="1">C884+C885+C886+C887</f>
        <v>0</v>
      </c>
      <c r="G941" s="608">
        <f>VLOOKUP($B941,R_DG!$A$7:$G$1305,5,0)</f>
        <v>0</v>
      </c>
      <c r="H941" s="608">
        <f>VLOOKUP($B941,R_DG!$A$7:$G$1305,6,0)</f>
        <v>0</v>
      </c>
      <c r="I941" s="608">
        <f>VLOOKUP($B941,R_DG!$A$7:$G$1305,7,0)</f>
        <v>0</v>
      </c>
      <c r="J941" s="608">
        <f t="shared" ref="J941:L942" ca="1" si="203">G941*$F941</f>
        <v>0</v>
      </c>
      <c r="K941" s="608">
        <f t="shared" ca="1" si="203"/>
        <v>0</v>
      </c>
      <c r="L941" s="725">
        <f t="shared" ca="1" si="203"/>
        <v>0</v>
      </c>
      <c r="M941" s="726">
        <f ca="1">IF(F941&gt;0,M$862,0)</f>
        <v>0</v>
      </c>
      <c r="N941" s="754">
        <f t="shared" ca="1" si="202"/>
        <v>0</v>
      </c>
    </row>
    <row r="942" spans="1:14" ht="15.75" hidden="1">
      <c r="A942" s="696"/>
      <c r="B942" s="398" t="s">
        <v>3241</v>
      </c>
      <c r="C942" s="713" t="str">
        <f>VLOOKUP($B942,R_DG!$A$7:$G$1305,2,0)</f>
        <v>CS.2.01.12</v>
      </c>
      <c r="D942" s="723" t="str">
        <f>VLOOKUP($B942,R_DG!$A$7:$G$1305,3,0)</f>
        <v>Kéo dây chiếu sáng tiết diện dây 26 ¸ 50mm²</v>
      </c>
      <c r="E942" s="714" t="str">
        <f>VLOOKUP($B942,R_DG!$A$7:$G$1305,4,0)</f>
        <v>m</v>
      </c>
      <c r="F942" s="724"/>
      <c r="G942" s="608">
        <f>VLOOKUP($B942,R_DG!$A$7:$G$1305,5,0)</f>
        <v>0</v>
      </c>
      <c r="H942" s="608">
        <f>VLOOKUP($B942,R_DG!$A$7:$G$1305,6,0)</f>
        <v>0</v>
      </c>
      <c r="I942" s="608">
        <f>VLOOKUP($B942,R_DG!$A$7:$G$1305,7,0)</f>
        <v>0</v>
      </c>
      <c r="J942" s="608">
        <f t="shared" si="203"/>
        <v>0</v>
      </c>
      <c r="K942" s="608">
        <f t="shared" si="203"/>
        <v>0</v>
      </c>
      <c r="L942" s="725">
        <f t="shared" si="203"/>
        <v>0</v>
      </c>
      <c r="M942" s="726">
        <f>IF(F942&gt;0,M$862,0)</f>
        <v>0</v>
      </c>
      <c r="N942" s="754">
        <f t="shared" si="202"/>
        <v>0</v>
      </c>
    </row>
    <row r="943" spans="1:14">
      <c r="A943" s="755" t="s">
        <v>2349</v>
      </c>
      <c r="B943" s="729"/>
      <c r="C943" s="717"/>
      <c r="D943" s="718" t="s">
        <v>3102</v>
      </c>
      <c r="E943" s="718" t="s">
        <v>2598</v>
      </c>
      <c r="F943" s="719"/>
      <c r="G943" s="720"/>
      <c r="H943" s="720"/>
      <c r="I943" s="720"/>
      <c r="J943" s="720" t="e">
        <f ca="1">SUM(J944:J1095)</f>
        <v>#REF!</v>
      </c>
      <c r="K943" s="720">
        <f ca="1">SUM(K944:K1095)</f>
        <v>28230398.160000004</v>
      </c>
      <c r="L943" s="721">
        <f ca="1">SUM(L944:L1095)</f>
        <v>400567.60000000003</v>
      </c>
      <c r="M943" s="1126">
        <v>1</v>
      </c>
      <c r="N943" s="712">
        <f ca="1">SUMIF(maBK,$A943,tongBK1)</f>
        <v>0</v>
      </c>
    </row>
    <row r="944" spans="1:14" hidden="1">
      <c r="A944" s="756"/>
      <c r="B944" s="753" t="s">
        <v>2294</v>
      </c>
      <c r="C944" s="713">
        <f>VLOOKUP($B944,R_DG!$A$7:$G$1305,2,0)</f>
        <v>0</v>
      </c>
      <c r="D944" s="723" t="str">
        <f>VLOOKUP($B944,R_DG!$A$7:$G$1305,3,0)</f>
        <v>Khóa đỡ dây cỡ dây 240</v>
      </c>
      <c r="E944" s="714" t="str">
        <f>VLOOKUP($B944,R_DG!$A$7:$G$1305,4,0)</f>
        <v>cái</v>
      </c>
      <c r="F944" s="724">
        <f t="shared" ref="F944:F1007" ca="1" si="204">SUMIF(maBK,B944,tongBK1)</f>
        <v>0</v>
      </c>
      <c r="G944" s="608">
        <f>VLOOKUP($B944,R_DG!$A$7:$G$1305,5,0)</f>
        <v>38091</v>
      </c>
      <c r="H944" s="608">
        <f>VLOOKUP($B944,R_DG!$A$7:$G$1305,6,0)</f>
        <v>0</v>
      </c>
      <c r="I944" s="608">
        <f>VLOOKUP($B944,R_DG!$A$7:$G$1305,7,0)</f>
        <v>0</v>
      </c>
      <c r="J944" s="608">
        <f t="shared" ref="J944:L985" ca="1" si="205">G944*$F944</f>
        <v>0</v>
      </c>
      <c r="K944" s="608">
        <f t="shared" ca="1" si="205"/>
        <v>0</v>
      </c>
      <c r="L944" s="725">
        <f t="shared" ca="1" si="205"/>
        <v>0</v>
      </c>
      <c r="M944" s="1127">
        <f t="shared" ref="M944:M1012" ca="1" si="206">IF(F944&gt;0,M$943,0)</f>
        <v>0</v>
      </c>
      <c r="N944" s="754">
        <f t="shared" ref="N944:N1007" ca="1" si="207">$F944</f>
        <v>0</v>
      </c>
    </row>
    <row r="945" spans="1:14" hidden="1">
      <c r="A945" s="696"/>
      <c r="B945" s="753" t="s">
        <v>2295</v>
      </c>
      <c r="C945" s="713">
        <f>VLOOKUP($B945,R_DG!$A$7:$G$1305,2,0)</f>
        <v>0</v>
      </c>
      <c r="D945" s="723" t="str">
        <f>VLOOKUP($B945,R_DG!$A$7:$G$1305,3,0)</f>
        <v>Khóa đỡ dây cỡ dây 185</v>
      </c>
      <c r="E945" s="714" t="str">
        <f>VLOOKUP($B945,R_DG!$A$7:$G$1305,4,0)</f>
        <v>cái</v>
      </c>
      <c r="F945" s="724">
        <f t="shared" ca="1" si="204"/>
        <v>0</v>
      </c>
      <c r="G945" s="608">
        <f>VLOOKUP($B945,R_DG!$A$7:$G$1305,5,0)</f>
        <v>38091</v>
      </c>
      <c r="H945" s="608">
        <f>VLOOKUP($B945,R_DG!$A$7:$G$1305,6,0)</f>
        <v>0</v>
      </c>
      <c r="I945" s="608">
        <f>VLOOKUP($B945,R_DG!$A$7:$G$1305,7,0)</f>
        <v>0</v>
      </c>
      <c r="J945" s="608">
        <f t="shared" ca="1" si="205"/>
        <v>0</v>
      </c>
      <c r="K945" s="608">
        <f t="shared" ca="1" si="205"/>
        <v>0</v>
      </c>
      <c r="L945" s="725">
        <f t="shared" ca="1" si="205"/>
        <v>0</v>
      </c>
      <c r="M945" s="1127">
        <f t="shared" ca="1" si="206"/>
        <v>0</v>
      </c>
      <c r="N945" s="754">
        <f t="shared" ca="1" si="207"/>
        <v>0</v>
      </c>
    </row>
    <row r="946" spans="1:14" hidden="1">
      <c r="A946" s="696"/>
      <c r="B946" s="753" t="s">
        <v>2296</v>
      </c>
      <c r="C946" s="713">
        <f>VLOOKUP($B946,R_DG!$A$7:$G$1305,2,0)</f>
        <v>0</v>
      </c>
      <c r="D946" s="723" t="str">
        <f>VLOOKUP($B946,R_DG!$A$7:$G$1305,3,0)</f>
        <v>Khóa đỡ dây cỡ dây 150</v>
      </c>
      <c r="E946" s="714" t="str">
        <f>VLOOKUP($B946,R_DG!$A$7:$G$1305,4,0)</f>
        <v>cái</v>
      </c>
      <c r="F946" s="724">
        <f t="shared" ca="1" si="204"/>
        <v>0</v>
      </c>
      <c r="G946" s="608">
        <f>VLOOKUP($B946,R_DG!$A$7:$G$1305,5,0)</f>
        <v>38091</v>
      </c>
      <c r="H946" s="608">
        <f>VLOOKUP($B946,R_DG!$A$7:$G$1305,6,0)</f>
        <v>0</v>
      </c>
      <c r="I946" s="608">
        <f>VLOOKUP($B946,R_DG!$A$7:$G$1305,7,0)</f>
        <v>0</v>
      </c>
      <c r="J946" s="608">
        <f t="shared" ca="1" si="205"/>
        <v>0</v>
      </c>
      <c r="K946" s="608">
        <f t="shared" ca="1" si="205"/>
        <v>0</v>
      </c>
      <c r="L946" s="725">
        <f t="shared" ca="1" si="205"/>
        <v>0</v>
      </c>
      <c r="M946" s="1127">
        <f t="shared" ca="1" si="206"/>
        <v>0</v>
      </c>
      <c r="N946" s="754">
        <f t="shared" ca="1" si="207"/>
        <v>0</v>
      </c>
    </row>
    <row r="947" spans="1:14" hidden="1">
      <c r="A947" s="696"/>
      <c r="B947" s="753" t="s">
        <v>2297</v>
      </c>
      <c r="C947" s="713">
        <f>VLOOKUP($B947,R_DG!$A$7:$G$1305,2,0)</f>
        <v>0</v>
      </c>
      <c r="D947" s="723" t="str">
        <f>VLOOKUP($B947,R_DG!$A$7:$G$1305,3,0)</f>
        <v>Khóa đỡ dây cỡ dây 120</v>
      </c>
      <c r="E947" s="714" t="str">
        <f>VLOOKUP($B947,R_DG!$A$7:$G$1305,4,0)</f>
        <v>cái</v>
      </c>
      <c r="F947" s="724">
        <f t="shared" ca="1" si="204"/>
        <v>0</v>
      </c>
      <c r="G947" s="608">
        <f>VLOOKUP($B947,R_DG!$A$7:$G$1305,5,0)</f>
        <v>23545</v>
      </c>
      <c r="H947" s="608">
        <f>VLOOKUP($B947,R_DG!$A$7:$G$1305,6,0)</f>
        <v>0</v>
      </c>
      <c r="I947" s="608">
        <f>VLOOKUP($B947,R_DG!$A$7:$G$1305,7,0)</f>
        <v>0</v>
      </c>
      <c r="J947" s="608">
        <f t="shared" ca="1" si="205"/>
        <v>0</v>
      </c>
      <c r="K947" s="608">
        <f t="shared" ca="1" si="205"/>
        <v>0</v>
      </c>
      <c r="L947" s="725">
        <f t="shared" ca="1" si="205"/>
        <v>0</v>
      </c>
      <c r="M947" s="1127">
        <f t="shared" ca="1" si="206"/>
        <v>0</v>
      </c>
      <c r="N947" s="754">
        <f t="shared" ca="1" si="207"/>
        <v>0</v>
      </c>
    </row>
    <row r="948" spans="1:14" hidden="1">
      <c r="A948" s="696"/>
      <c r="B948" s="753" t="s">
        <v>2298</v>
      </c>
      <c r="C948" s="713">
        <f>VLOOKUP($B948,R_DG!$A$7:$G$1305,2,0)</f>
        <v>0</v>
      </c>
      <c r="D948" s="723" t="str">
        <f>VLOOKUP($B948,R_DG!$A$7:$G$1305,3,0)</f>
        <v>Khóa đỡ dây cỡ dây 95</v>
      </c>
      <c r="E948" s="714" t="str">
        <f>VLOOKUP($B948,R_DG!$A$7:$G$1305,4,0)</f>
        <v>cái</v>
      </c>
      <c r="F948" s="724">
        <f t="shared" ca="1" si="204"/>
        <v>0</v>
      </c>
      <c r="G948" s="608">
        <f>VLOOKUP($B948,R_DG!$A$7:$G$1305,5,0)</f>
        <v>23545</v>
      </c>
      <c r="H948" s="608">
        <f>VLOOKUP($B948,R_DG!$A$7:$G$1305,6,0)</f>
        <v>0</v>
      </c>
      <c r="I948" s="608">
        <f>VLOOKUP($B948,R_DG!$A$7:$G$1305,7,0)</f>
        <v>0</v>
      </c>
      <c r="J948" s="608">
        <f t="shared" ca="1" si="205"/>
        <v>0</v>
      </c>
      <c r="K948" s="608">
        <f t="shared" ca="1" si="205"/>
        <v>0</v>
      </c>
      <c r="L948" s="725">
        <f t="shared" ca="1" si="205"/>
        <v>0</v>
      </c>
      <c r="M948" s="1127">
        <f t="shared" ca="1" si="206"/>
        <v>0</v>
      </c>
      <c r="N948" s="754">
        <f t="shared" ca="1" si="207"/>
        <v>0</v>
      </c>
    </row>
    <row r="949" spans="1:14" hidden="1">
      <c r="A949" s="696"/>
      <c r="B949" s="753" t="s">
        <v>2299</v>
      </c>
      <c r="C949" s="713">
        <f>VLOOKUP($B949,R_DG!$A$7:$G$1305,2,0)</f>
        <v>0</v>
      </c>
      <c r="D949" s="723" t="str">
        <f>VLOOKUP($B949,R_DG!$A$7:$G$1305,3,0)</f>
        <v>Khóa đỡ dây cỡ dây 70</v>
      </c>
      <c r="E949" s="714" t="str">
        <f>VLOOKUP($B949,R_DG!$A$7:$G$1305,4,0)</f>
        <v>cái</v>
      </c>
      <c r="F949" s="724">
        <f t="shared" ca="1" si="204"/>
        <v>0</v>
      </c>
      <c r="G949" s="608">
        <f>VLOOKUP($B949,R_DG!$A$7:$G$1305,5,0)</f>
        <v>21727</v>
      </c>
      <c r="H949" s="608">
        <f>VLOOKUP($B949,R_DG!$A$7:$G$1305,6,0)</f>
        <v>0</v>
      </c>
      <c r="I949" s="608">
        <f>VLOOKUP($B949,R_DG!$A$7:$G$1305,7,0)</f>
        <v>0</v>
      </c>
      <c r="J949" s="608">
        <f t="shared" ca="1" si="205"/>
        <v>0</v>
      </c>
      <c r="K949" s="608">
        <f t="shared" ca="1" si="205"/>
        <v>0</v>
      </c>
      <c r="L949" s="725">
        <f t="shared" ca="1" si="205"/>
        <v>0</v>
      </c>
      <c r="M949" s="1127">
        <f t="shared" ca="1" si="206"/>
        <v>0</v>
      </c>
      <c r="N949" s="754">
        <f t="shared" ca="1" si="207"/>
        <v>0</v>
      </c>
    </row>
    <row r="950" spans="1:14" hidden="1">
      <c r="A950" s="696"/>
      <c r="B950" s="753" t="s">
        <v>2300</v>
      </c>
      <c r="C950" s="713">
        <f>VLOOKUP($B950,R_DG!$A$7:$G$1305,2,0)</f>
        <v>0</v>
      </c>
      <c r="D950" s="723" t="str">
        <f>VLOOKUP($B950,R_DG!$A$7:$G$1305,3,0)</f>
        <v>Khóa đỡ dây cỡ dây 50</v>
      </c>
      <c r="E950" s="714" t="str">
        <f>VLOOKUP($B950,R_DG!$A$7:$G$1305,4,0)</f>
        <v>cái</v>
      </c>
      <c r="F950" s="724">
        <f t="shared" ca="1" si="204"/>
        <v>0</v>
      </c>
      <c r="G950" s="608">
        <f>VLOOKUP($B950,R_DG!$A$7:$G$1305,5,0)</f>
        <v>21727</v>
      </c>
      <c r="H950" s="608">
        <f>VLOOKUP($B950,R_DG!$A$7:$G$1305,6,0)</f>
        <v>0</v>
      </c>
      <c r="I950" s="608">
        <f>VLOOKUP($B950,R_DG!$A$7:$G$1305,7,0)</f>
        <v>0</v>
      </c>
      <c r="J950" s="608">
        <f t="shared" ca="1" si="205"/>
        <v>0</v>
      </c>
      <c r="K950" s="608">
        <f t="shared" ca="1" si="205"/>
        <v>0</v>
      </c>
      <c r="L950" s="725">
        <f t="shared" ca="1" si="205"/>
        <v>0</v>
      </c>
      <c r="M950" s="1127">
        <f t="shared" ca="1" si="206"/>
        <v>0</v>
      </c>
      <c r="N950" s="754">
        <f t="shared" ca="1" si="207"/>
        <v>0</v>
      </c>
    </row>
    <row r="951" spans="1:14" hidden="1">
      <c r="A951" s="696"/>
      <c r="B951" s="753" t="s">
        <v>563</v>
      </c>
      <c r="C951" s="713">
        <f>VLOOKUP($B951,R_DG!$A$7:$G$1305,2,0)</f>
        <v>0</v>
      </c>
      <c r="D951" s="723" t="str">
        <f>VLOOKUP($B951,R_DG!$A$7:$G$1305,3,0)</f>
        <v>Khóa néo dây cỡ dây 240</v>
      </c>
      <c r="E951" s="714" t="str">
        <f>VLOOKUP($B951,R_DG!$A$7:$G$1305,4,0)</f>
        <v>cái</v>
      </c>
      <c r="F951" s="724">
        <f t="shared" ca="1" si="204"/>
        <v>0</v>
      </c>
      <c r="G951" s="608">
        <f>VLOOKUP($B951,R_DG!$A$7:$G$1305,5,0)</f>
        <v>82000</v>
      </c>
      <c r="H951" s="608">
        <f>VLOOKUP($B951,R_DG!$A$7:$G$1305,6,0)</f>
        <v>0</v>
      </c>
      <c r="I951" s="608">
        <f>VLOOKUP($B951,R_DG!$A$7:$G$1305,7,0)</f>
        <v>0</v>
      </c>
      <c r="J951" s="608">
        <f t="shared" ca="1" si="205"/>
        <v>0</v>
      </c>
      <c r="K951" s="608">
        <f t="shared" ca="1" si="205"/>
        <v>0</v>
      </c>
      <c r="L951" s="725">
        <f t="shared" ca="1" si="205"/>
        <v>0</v>
      </c>
      <c r="M951" s="1127">
        <f t="shared" ca="1" si="206"/>
        <v>0</v>
      </c>
      <c r="N951" s="754">
        <f t="shared" ca="1" si="207"/>
        <v>0</v>
      </c>
    </row>
    <row r="952" spans="1:14" hidden="1">
      <c r="A952" s="696"/>
      <c r="B952" s="757" t="s">
        <v>561</v>
      </c>
      <c r="C952" s="713">
        <f>VLOOKUP($B952,R_DG!$A$7:$G$1305,2,0)</f>
        <v>0</v>
      </c>
      <c r="D952" s="723" t="str">
        <f>VLOOKUP($B952,R_DG!$A$7:$G$1305,3,0)</f>
        <v>Khóa néo dây cỡ dây 185</v>
      </c>
      <c r="E952" s="714" t="str">
        <f>VLOOKUP($B952,R_DG!$A$7:$G$1305,4,0)</f>
        <v>cái</v>
      </c>
      <c r="F952" s="724">
        <f t="shared" ca="1" si="204"/>
        <v>0</v>
      </c>
      <c r="G952" s="608">
        <f>VLOOKUP($B952,R_DG!$A$7:$G$1305,5,0)</f>
        <v>88000</v>
      </c>
      <c r="H952" s="608">
        <f>VLOOKUP($B952,R_DG!$A$7:$G$1305,6,0)</f>
        <v>0</v>
      </c>
      <c r="I952" s="608">
        <f>VLOOKUP($B952,R_DG!$A$7:$G$1305,7,0)</f>
        <v>0</v>
      </c>
      <c r="J952" s="608">
        <f t="shared" ca="1" si="205"/>
        <v>0</v>
      </c>
      <c r="K952" s="608">
        <f t="shared" ca="1" si="205"/>
        <v>0</v>
      </c>
      <c r="L952" s="725">
        <f t="shared" ca="1" si="205"/>
        <v>0</v>
      </c>
      <c r="M952" s="1127">
        <f t="shared" ca="1" si="206"/>
        <v>0</v>
      </c>
      <c r="N952" s="754">
        <f t="shared" ca="1" si="207"/>
        <v>0</v>
      </c>
    </row>
    <row r="953" spans="1:14" hidden="1">
      <c r="A953" s="696"/>
      <c r="B953" s="753" t="s">
        <v>559</v>
      </c>
      <c r="C953" s="713">
        <f>VLOOKUP($B953,R_DG!$A$7:$G$1305,2,0)</f>
        <v>0</v>
      </c>
      <c r="D953" s="723" t="str">
        <f>VLOOKUP($B953,R_DG!$A$7:$G$1305,3,0)</f>
        <v>Khóa néo dây cỡ dây 150</v>
      </c>
      <c r="E953" s="714" t="str">
        <f>VLOOKUP($B953,R_DG!$A$7:$G$1305,4,0)</f>
        <v>cái</v>
      </c>
      <c r="F953" s="724">
        <f t="shared" ca="1" si="204"/>
        <v>0</v>
      </c>
      <c r="G953" s="608">
        <f>VLOOKUP($B953,R_DG!$A$7:$G$1305,5,0)</f>
        <v>77500</v>
      </c>
      <c r="H953" s="608">
        <f>VLOOKUP($B953,R_DG!$A$7:$G$1305,6,0)</f>
        <v>0</v>
      </c>
      <c r="I953" s="608">
        <f>VLOOKUP($B953,R_DG!$A$7:$G$1305,7,0)</f>
        <v>0</v>
      </c>
      <c r="J953" s="608">
        <f t="shared" ca="1" si="205"/>
        <v>0</v>
      </c>
      <c r="K953" s="608">
        <f t="shared" ca="1" si="205"/>
        <v>0</v>
      </c>
      <c r="L953" s="725">
        <f t="shared" ca="1" si="205"/>
        <v>0</v>
      </c>
      <c r="M953" s="1127">
        <f t="shared" ca="1" si="206"/>
        <v>0</v>
      </c>
      <c r="N953" s="754">
        <f t="shared" ca="1" si="207"/>
        <v>0</v>
      </c>
    </row>
    <row r="954" spans="1:14" hidden="1">
      <c r="A954" s="696"/>
      <c r="B954" s="757" t="s">
        <v>557</v>
      </c>
      <c r="C954" s="713">
        <f>VLOOKUP($B954,R_DG!$A$7:$G$1305,2,0)</f>
        <v>0</v>
      </c>
      <c r="D954" s="723" t="str">
        <f>VLOOKUP($B954,R_DG!$A$7:$G$1305,3,0)</f>
        <v>Khóa néo dây cỡ dây 120</v>
      </c>
      <c r="E954" s="714" t="str">
        <f>VLOOKUP($B954,R_DG!$A$7:$G$1305,4,0)</f>
        <v>cái</v>
      </c>
      <c r="F954" s="724">
        <f t="shared" ca="1" si="204"/>
        <v>0</v>
      </c>
      <c r="G954" s="608">
        <f>VLOOKUP($B954,R_DG!$A$7:$G$1305,5,0)</f>
        <v>66000</v>
      </c>
      <c r="H954" s="608">
        <f>VLOOKUP($B954,R_DG!$A$7:$G$1305,6,0)</f>
        <v>0</v>
      </c>
      <c r="I954" s="608">
        <f>VLOOKUP($B954,R_DG!$A$7:$G$1305,7,0)</f>
        <v>0</v>
      </c>
      <c r="J954" s="608">
        <f t="shared" ca="1" si="205"/>
        <v>0</v>
      </c>
      <c r="K954" s="608">
        <f t="shared" ca="1" si="205"/>
        <v>0</v>
      </c>
      <c r="L954" s="725">
        <f t="shared" ca="1" si="205"/>
        <v>0</v>
      </c>
      <c r="M954" s="1127">
        <f t="shared" ca="1" si="206"/>
        <v>0</v>
      </c>
      <c r="N954" s="754">
        <f t="shared" ca="1" si="207"/>
        <v>0</v>
      </c>
    </row>
    <row r="955" spans="1:14" hidden="1">
      <c r="A955" s="696"/>
      <c r="B955" s="753" t="s">
        <v>555</v>
      </c>
      <c r="C955" s="713">
        <f>VLOOKUP($B955,R_DG!$A$7:$G$1305,2,0)</f>
        <v>0</v>
      </c>
      <c r="D955" s="723" t="str">
        <f>VLOOKUP($B955,R_DG!$A$7:$G$1305,3,0)</f>
        <v>Khóa néo dây cỡ dây 95</v>
      </c>
      <c r="E955" s="714" t="str">
        <f>VLOOKUP($B955,R_DG!$A$7:$G$1305,4,0)</f>
        <v>cái</v>
      </c>
      <c r="F955" s="724">
        <f t="shared" ca="1" si="204"/>
        <v>0</v>
      </c>
      <c r="G955" s="608">
        <f>VLOOKUP($B955,R_DG!$A$7:$G$1305,5,0)</f>
        <v>66000</v>
      </c>
      <c r="H955" s="608">
        <f>VLOOKUP($B955,R_DG!$A$7:$G$1305,6,0)</f>
        <v>0</v>
      </c>
      <c r="I955" s="608">
        <f>VLOOKUP($B955,R_DG!$A$7:$G$1305,7,0)</f>
        <v>0</v>
      </c>
      <c r="J955" s="608">
        <f t="shared" ca="1" si="205"/>
        <v>0</v>
      </c>
      <c r="K955" s="608">
        <f t="shared" ca="1" si="205"/>
        <v>0</v>
      </c>
      <c r="L955" s="725">
        <f t="shared" ca="1" si="205"/>
        <v>0</v>
      </c>
      <c r="M955" s="1127">
        <f t="shared" ca="1" si="206"/>
        <v>0</v>
      </c>
      <c r="N955" s="754">
        <f t="shared" ca="1" si="207"/>
        <v>0</v>
      </c>
    </row>
    <row r="956" spans="1:14" hidden="1">
      <c r="A956" s="696"/>
      <c r="B956" s="757" t="s">
        <v>553</v>
      </c>
      <c r="C956" s="713">
        <f>VLOOKUP($B956,R_DG!$A$7:$G$1305,2,0)</f>
        <v>0</v>
      </c>
      <c r="D956" s="723" t="str">
        <f>VLOOKUP($B956,R_DG!$A$7:$G$1305,3,0)</f>
        <v>Khóa néo dây cỡ dây 70</v>
      </c>
      <c r="E956" s="714" t="str">
        <f>VLOOKUP($B956,R_DG!$A$7:$G$1305,4,0)</f>
        <v>cái</v>
      </c>
      <c r="F956" s="724">
        <f t="shared" ca="1" si="204"/>
        <v>0</v>
      </c>
      <c r="G956" s="608">
        <f>VLOOKUP($B956,R_DG!$A$7:$G$1305,5,0)</f>
        <v>41300</v>
      </c>
      <c r="H956" s="608">
        <f>VLOOKUP($B956,R_DG!$A$7:$G$1305,6,0)</f>
        <v>0</v>
      </c>
      <c r="I956" s="608">
        <f>VLOOKUP($B956,R_DG!$A$7:$G$1305,7,0)</f>
        <v>0</v>
      </c>
      <c r="J956" s="608">
        <f t="shared" ca="1" si="205"/>
        <v>0</v>
      </c>
      <c r="K956" s="608">
        <f t="shared" ca="1" si="205"/>
        <v>0</v>
      </c>
      <c r="L956" s="725">
        <f t="shared" ca="1" si="205"/>
        <v>0</v>
      </c>
      <c r="M956" s="1127">
        <f t="shared" ca="1" si="206"/>
        <v>0</v>
      </c>
      <c r="N956" s="754">
        <f t="shared" ca="1" si="207"/>
        <v>0</v>
      </c>
    </row>
    <row r="957" spans="1:14" hidden="1">
      <c r="A957" s="696"/>
      <c r="B957" s="757" t="s">
        <v>552</v>
      </c>
      <c r="C957" s="713">
        <f>VLOOKUP($B957,R_DG!$A$7:$G$1305,2,0)</f>
        <v>0</v>
      </c>
      <c r="D957" s="723" t="str">
        <f>VLOOKUP($B957,R_DG!$A$7:$G$1305,3,0)</f>
        <v>Khóa néo dây cỡ dây 50 (5U)</v>
      </c>
      <c r="E957" s="714" t="str">
        <f>VLOOKUP($B957,R_DG!$A$7:$G$1305,4,0)</f>
        <v>cái</v>
      </c>
      <c r="F957" s="724">
        <f t="shared" ca="1" si="204"/>
        <v>0</v>
      </c>
      <c r="G957" s="608">
        <f>VLOOKUP($B957,R_DG!$A$7:$G$1305,5,0)</f>
        <v>62700</v>
      </c>
      <c r="H957" s="608">
        <f>VLOOKUP($B957,R_DG!$A$7:$G$1305,6,0)</f>
        <v>0</v>
      </c>
      <c r="I957" s="608">
        <f>VLOOKUP($B957,R_DG!$A$7:$G$1305,7,0)</f>
        <v>0</v>
      </c>
      <c r="J957" s="608">
        <f t="shared" ca="1" si="205"/>
        <v>0</v>
      </c>
      <c r="K957" s="608">
        <f t="shared" ca="1" si="205"/>
        <v>0</v>
      </c>
      <c r="L957" s="725">
        <f t="shared" ca="1" si="205"/>
        <v>0</v>
      </c>
      <c r="M957" s="1127">
        <f t="shared" ca="1" si="206"/>
        <v>0</v>
      </c>
      <c r="N957" s="754">
        <f t="shared" ca="1" si="207"/>
        <v>0</v>
      </c>
    </row>
    <row r="958" spans="1:14" hidden="1">
      <c r="A958" s="696"/>
      <c r="B958" s="753" t="s">
        <v>2301</v>
      </c>
      <c r="C958" s="713">
        <f>VLOOKUP($B958,R_DG!$A$7:$G$1305,2,0)</f>
        <v>0</v>
      </c>
      <c r="D958" s="723" t="str">
        <f>VLOOKUP($B958,R_DG!$A$7:$G$1305,3,0)</f>
        <v>Kẹp 2 rãnh (APC) cỡ dây 50mm2</v>
      </c>
      <c r="E958" s="714" t="str">
        <f>VLOOKUP($B958,R_DG!$A$7:$G$1305,4,0)</f>
        <v>cái</v>
      </c>
      <c r="F958" s="724">
        <f t="shared" ca="1" si="204"/>
        <v>0</v>
      </c>
      <c r="G958" s="608">
        <f>VLOOKUP($B958,R_DG!$A$7:$G$1305,5,0)</f>
        <v>6400</v>
      </c>
      <c r="H958" s="608">
        <f>VLOOKUP($B958,R_DG!$A$7:$G$1305,6,0)</f>
        <v>0</v>
      </c>
      <c r="I958" s="608">
        <f>VLOOKUP($B958,R_DG!$A$7:$G$1305,7,0)</f>
        <v>0</v>
      </c>
      <c r="J958" s="608">
        <f t="shared" ca="1" si="205"/>
        <v>0</v>
      </c>
      <c r="K958" s="608">
        <f t="shared" ca="1" si="205"/>
        <v>0</v>
      </c>
      <c r="L958" s="725">
        <f t="shared" ca="1" si="205"/>
        <v>0</v>
      </c>
      <c r="M958" s="1127">
        <f t="shared" ca="1" si="206"/>
        <v>0</v>
      </c>
      <c r="N958" s="754">
        <f t="shared" ca="1" si="207"/>
        <v>0</v>
      </c>
    </row>
    <row r="959" spans="1:14" hidden="1">
      <c r="A959" s="696"/>
      <c r="B959" s="753" t="s">
        <v>2302</v>
      </c>
      <c r="C959" s="713">
        <f>VLOOKUP($B959,R_DG!$A$7:$G$1305,2,0)</f>
        <v>0</v>
      </c>
      <c r="D959" s="723" t="str">
        <f>VLOOKUP($B959,R_DG!$A$7:$G$1305,3,0)</f>
        <v>Kẹp 2 rãnh (APC) cỡ dây 70mm2</v>
      </c>
      <c r="E959" s="714" t="str">
        <f>VLOOKUP($B959,R_DG!$A$7:$G$1305,4,0)</f>
        <v>cái</v>
      </c>
      <c r="F959" s="724">
        <f t="shared" ca="1" si="204"/>
        <v>0</v>
      </c>
      <c r="G959" s="608">
        <f>VLOOKUP($B959,R_DG!$A$7:$G$1305,5,0)</f>
        <v>6400</v>
      </c>
      <c r="H959" s="608">
        <f>VLOOKUP($B959,R_DG!$A$7:$G$1305,6,0)</f>
        <v>0</v>
      </c>
      <c r="I959" s="608">
        <f>VLOOKUP($B959,R_DG!$A$7:$G$1305,7,0)</f>
        <v>0</v>
      </c>
      <c r="J959" s="608">
        <f t="shared" ca="1" si="205"/>
        <v>0</v>
      </c>
      <c r="K959" s="608">
        <f t="shared" ca="1" si="205"/>
        <v>0</v>
      </c>
      <c r="L959" s="725">
        <f t="shared" ca="1" si="205"/>
        <v>0</v>
      </c>
      <c r="M959" s="1127">
        <f t="shared" ca="1" si="206"/>
        <v>0</v>
      </c>
      <c r="N959" s="754">
        <f t="shared" ca="1" si="207"/>
        <v>0</v>
      </c>
    </row>
    <row r="960" spans="1:14" hidden="1">
      <c r="A960" s="696"/>
      <c r="B960" s="753" t="s">
        <v>2303</v>
      </c>
      <c r="C960" s="713">
        <f>VLOOKUP($B960,R_DG!$A$7:$G$1305,2,0)</f>
        <v>0</v>
      </c>
      <c r="D960" s="723" t="str">
        <f>VLOOKUP($B960,R_DG!$A$7:$G$1305,3,0)</f>
        <v>Kẹp 2 rãnh (APC) cỡ dây 95mm2</v>
      </c>
      <c r="E960" s="714" t="str">
        <f>VLOOKUP($B960,R_DG!$A$7:$G$1305,4,0)</f>
        <v>cái</v>
      </c>
      <c r="F960" s="724">
        <f t="shared" ca="1" si="204"/>
        <v>0</v>
      </c>
      <c r="G960" s="608">
        <f>VLOOKUP($B960,R_DG!$A$7:$G$1305,5,0)</f>
        <v>10600</v>
      </c>
      <c r="H960" s="608">
        <f>VLOOKUP($B960,R_DG!$A$7:$G$1305,6,0)</f>
        <v>0</v>
      </c>
      <c r="I960" s="608">
        <f>VLOOKUP($B960,R_DG!$A$7:$G$1305,7,0)</f>
        <v>0</v>
      </c>
      <c r="J960" s="608">
        <f t="shared" ca="1" si="205"/>
        <v>0</v>
      </c>
      <c r="K960" s="608">
        <f t="shared" ca="1" si="205"/>
        <v>0</v>
      </c>
      <c r="L960" s="725">
        <f t="shared" ca="1" si="205"/>
        <v>0</v>
      </c>
      <c r="M960" s="1127">
        <f t="shared" ca="1" si="206"/>
        <v>0</v>
      </c>
      <c r="N960" s="754">
        <f t="shared" ca="1" si="207"/>
        <v>0</v>
      </c>
    </row>
    <row r="961" spans="1:14" hidden="1">
      <c r="A961" s="696"/>
      <c r="B961" s="753" t="s">
        <v>4834</v>
      </c>
      <c r="C961" s="713">
        <f>VLOOKUP($B961,R_DG!$A$7:$G$1305,2,0)</f>
        <v>0</v>
      </c>
      <c r="D961" s="723" t="str">
        <f>VLOOKUP($B961,R_DG!$A$7:$G$1305,3,0)</f>
        <v>Kẹp 2 rãnh (APC) cỡ dây 120mm2</v>
      </c>
      <c r="E961" s="714" t="str">
        <f>VLOOKUP($B961,R_DG!$A$7:$G$1305,4,0)</f>
        <v>cái</v>
      </c>
      <c r="F961" s="724">
        <f t="shared" ca="1" si="204"/>
        <v>0</v>
      </c>
      <c r="G961" s="608">
        <f>VLOOKUP($B961,R_DG!$A$7:$G$1305,5,0)</f>
        <v>16000</v>
      </c>
      <c r="H961" s="608">
        <f>VLOOKUP($B961,R_DG!$A$7:$G$1305,6,0)</f>
        <v>0</v>
      </c>
      <c r="I961" s="608">
        <f>VLOOKUP($B961,R_DG!$A$7:$G$1305,7,0)</f>
        <v>0</v>
      </c>
      <c r="J961" s="608">
        <f t="shared" ca="1" si="205"/>
        <v>0</v>
      </c>
      <c r="K961" s="608">
        <f t="shared" ca="1" si="205"/>
        <v>0</v>
      </c>
      <c r="L961" s="725">
        <f t="shared" ca="1" si="205"/>
        <v>0</v>
      </c>
      <c r="M961" s="1127">
        <f t="shared" ca="1" si="206"/>
        <v>0</v>
      </c>
      <c r="N961" s="754">
        <f t="shared" ca="1" si="207"/>
        <v>0</v>
      </c>
    </row>
    <row r="962" spans="1:14" hidden="1">
      <c r="A962" s="696"/>
      <c r="B962" s="753" t="s">
        <v>4835</v>
      </c>
      <c r="C962" s="713">
        <f>VLOOKUP($B962,R_DG!$A$7:$G$1305,2,0)</f>
        <v>0</v>
      </c>
      <c r="D962" s="723" t="str">
        <f>VLOOKUP($B962,R_DG!$A$7:$G$1305,3,0)</f>
        <v>Kẹp 2 rãnh (APC) cỡ dây 150mm2</v>
      </c>
      <c r="E962" s="714" t="str">
        <f>VLOOKUP($B962,R_DG!$A$7:$G$1305,4,0)</f>
        <v>cái</v>
      </c>
      <c r="F962" s="724">
        <f t="shared" ca="1" si="204"/>
        <v>0</v>
      </c>
      <c r="G962" s="608">
        <f>VLOOKUP($B962,R_DG!$A$7:$G$1305,5,0)</f>
        <v>16000</v>
      </c>
      <c r="H962" s="608">
        <f>VLOOKUP($B962,R_DG!$A$7:$G$1305,6,0)</f>
        <v>0</v>
      </c>
      <c r="I962" s="608">
        <f>VLOOKUP($B962,R_DG!$A$7:$G$1305,7,0)</f>
        <v>0</v>
      </c>
      <c r="J962" s="608">
        <f t="shared" ca="1" si="205"/>
        <v>0</v>
      </c>
      <c r="K962" s="608">
        <f t="shared" ca="1" si="205"/>
        <v>0</v>
      </c>
      <c r="L962" s="725">
        <f t="shared" ca="1" si="205"/>
        <v>0</v>
      </c>
      <c r="M962" s="1127">
        <f t="shared" ca="1" si="206"/>
        <v>0</v>
      </c>
      <c r="N962" s="754">
        <f t="shared" ca="1" si="207"/>
        <v>0</v>
      </c>
    </row>
    <row r="963" spans="1:14" ht="21.95" hidden="1" customHeight="1">
      <c r="A963" s="696"/>
      <c r="B963" s="753" t="s">
        <v>2208</v>
      </c>
      <c r="C963" s="713" t="str">
        <f>VLOOKUP($B963,R_DG!$A$7:$G$1305,2,0)</f>
        <v>D3.4011</v>
      </c>
      <c r="D963" s="723" t="str">
        <f>VLOOKUP($B963,R_DG!$A$7:$G$1305,3,0)</f>
        <v>Kẹp ép WR cỡ dây 50mm2</v>
      </c>
      <c r="E963" s="714" t="str">
        <f>VLOOKUP($B963,R_DG!$A$7:$G$1305,4,0)</f>
        <v>cái</v>
      </c>
      <c r="F963" s="724">
        <v>50</v>
      </c>
      <c r="G963" s="608">
        <f>VLOOKUP($B963,R_DG!$A$7:$G$1305,5,0)</f>
        <v>13000</v>
      </c>
      <c r="H963" s="608">
        <f>VLOOKUP($B963,R_DG!$A$7:$G$1305,6,0)</f>
        <v>259648.56000000003</v>
      </c>
      <c r="I963" s="608">
        <f>VLOOKUP($B963,R_DG!$A$7:$G$1305,7,0)</f>
        <v>4712.5600000000004</v>
      </c>
      <c r="J963" s="608">
        <f t="shared" si="205"/>
        <v>650000</v>
      </c>
      <c r="K963" s="608">
        <f t="shared" si="205"/>
        <v>12982428.000000002</v>
      </c>
      <c r="L963" s="725">
        <f t="shared" si="205"/>
        <v>235628.00000000003</v>
      </c>
      <c r="M963" s="1127">
        <f t="shared" si="206"/>
        <v>1</v>
      </c>
      <c r="N963" s="754">
        <f t="shared" si="207"/>
        <v>50</v>
      </c>
    </row>
    <row r="964" spans="1:14" ht="21.95" hidden="1" customHeight="1">
      <c r="A964" s="696"/>
      <c r="B964" s="753" t="s">
        <v>2304</v>
      </c>
      <c r="C964" s="713" t="str">
        <f>VLOOKUP($B964,R_DG!$A$7:$G$1305,2,0)</f>
        <v>D3.4011</v>
      </c>
      <c r="D964" s="723" t="str">
        <f>VLOOKUP($B964,R_DG!$A$7:$G$1305,3,0)</f>
        <v>Kẹp ép WR cỡ dây 70mm2</v>
      </c>
      <c r="E964" s="714" t="str">
        <f>VLOOKUP($B964,R_DG!$A$7:$G$1305,4,0)</f>
        <v>cái</v>
      </c>
      <c r="F964" s="724">
        <v>35</v>
      </c>
      <c r="G964" s="608">
        <f>VLOOKUP($B964,R_DG!$A$7:$G$1305,5,0)</f>
        <v>14000</v>
      </c>
      <c r="H964" s="608">
        <f>VLOOKUP($B964,R_DG!$A$7:$G$1305,6,0)</f>
        <v>259648.56000000003</v>
      </c>
      <c r="I964" s="608">
        <f>VLOOKUP($B964,R_DG!$A$7:$G$1305,7,0)</f>
        <v>4712.5600000000004</v>
      </c>
      <c r="J964" s="608">
        <f t="shared" si="205"/>
        <v>490000</v>
      </c>
      <c r="K964" s="608">
        <f t="shared" si="205"/>
        <v>9087699.6000000015</v>
      </c>
      <c r="L964" s="725">
        <f t="shared" si="205"/>
        <v>164939.6</v>
      </c>
      <c r="M964" s="1127">
        <f t="shared" si="206"/>
        <v>1</v>
      </c>
      <c r="N964" s="754">
        <f t="shared" si="207"/>
        <v>35</v>
      </c>
    </row>
    <row r="965" spans="1:14" hidden="1">
      <c r="A965" s="696"/>
      <c r="B965" s="753" t="s">
        <v>2305</v>
      </c>
      <c r="C965" s="713" t="str">
        <f>VLOOKUP($B965,R_DG!$A$7:$G$1305,2,0)</f>
        <v>D3.4012</v>
      </c>
      <c r="D965" s="723" t="str">
        <f>VLOOKUP($B965,R_DG!$A$7:$G$1305,3,0)</f>
        <v>Kẹp ép WR cỡ dây 150mm2</v>
      </c>
      <c r="E965" s="714" t="str">
        <f>VLOOKUP($B965,R_DG!$A$7:$G$1305,4,0)</f>
        <v>cái</v>
      </c>
      <c r="F965" s="724">
        <f t="shared" ca="1" si="204"/>
        <v>0</v>
      </c>
      <c r="G965" s="608">
        <f>VLOOKUP($B965,R_DG!$A$7:$G$1305,5,0)</f>
        <v>16000</v>
      </c>
      <c r="H965" s="608">
        <f>VLOOKUP($B965,R_DG!$A$7:$G$1305,6,0)</f>
        <v>326654.63999999996</v>
      </c>
      <c r="I965" s="608">
        <f>VLOOKUP($B965,R_DG!$A$7:$G$1305,7,0)</f>
        <v>4712.5600000000004</v>
      </c>
      <c r="J965" s="608">
        <f t="shared" ca="1" si="205"/>
        <v>0</v>
      </c>
      <c r="K965" s="608">
        <f t="shared" ca="1" si="205"/>
        <v>0</v>
      </c>
      <c r="L965" s="725">
        <f t="shared" ca="1" si="205"/>
        <v>0</v>
      </c>
      <c r="M965" s="1127">
        <f t="shared" ca="1" si="206"/>
        <v>0</v>
      </c>
      <c r="N965" s="754">
        <f t="shared" ca="1" si="207"/>
        <v>0</v>
      </c>
    </row>
    <row r="966" spans="1:14" hidden="1">
      <c r="A966" s="696"/>
      <c r="B966" s="753" t="s">
        <v>2306</v>
      </c>
      <c r="C966" s="713" t="str">
        <f>VLOOKUP($B966,R_DG!$A$7:$G$1305,2,0)</f>
        <v>D3.4013</v>
      </c>
      <c r="D966" s="723" t="str">
        <f>VLOOKUP($B966,R_DG!$A$7:$G$1305,3,0)</f>
        <v>Kẹp ép WR cỡ dây 185mm2</v>
      </c>
      <c r="E966" s="714" t="str">
        <f>VLOOKUP($B966,R_DG!$A$7:$G$1305,4,0)</f>
        <v>cái</v>
      </c>
      <c r="F966" s="724">
        <f t="shared" ca="1" si="204"/>
        <v>0</v>
      </c>
      <c r="G966" s="608">
        <f>VLOOKUP($B966,R_DG!$A$7:$G$1305,5,0)</f>
        <v>21200</v>
      </c>
      <c r="H966" s="608">
        <f>VLOOKUP($B966,R_DG!$A$7:$G$1305,6,0)</f>
        <v>402036.47999999998</v>
      </c>
      <c r="I966" s="608">
        <f>VLOOKUP($B966,R_DG!$A$7:$G$1305,7,0)</f>
        <v>4712.5600000000004</v>
      </c>
      <c r="J966" s="608">
        <f t="shared" ca="1" si="205"/>
        <v>0</v>
      </c>
      <c r="K966" s="608">
        <f t="shared" ca="1" si="205"/>
        <v>0</v>
      </c>
      <c r="L966" s="725">
        <f t="shared" ca="1" si="205"/>
        <v>0</v>
      </c>
      <c r="M966" s="1127">
        <f t="shared" ca="1" si="206"/>
        <v>0</v>
      </c>
      <c r="N966" s="754">
        <f t="shared" ca="1" si="207"/>
        <v>0</v>
      </c>
    </row>
    <row r="967" spans="1:14" hidden="1">
      <c r="A967" s="696"/>
      <c r="B967" s="753" t="s">
        <v>2307</v>
      </c>
      <c r="C967" s="713" t="str">
        <f>VLOOKUP($B967,R_DG!$A$7:$G$1305,2,0)</f>
        <v>D3.4014</v>
      </c>
      <c r="D967" s="723" t="str">
        <f>VLOOKUP($B967,R_DG!$A$7:$G$1305,3,0)</f>
        <v>Kẹp ép WR cỡ dây 240mm2</v>
      </c>
      <c r="E967" s="714" t="str">
        <f>VLOOKUP($B967,R_DG!$A$7:$G$1305,4,0)</f>
        <v>cái</v>
      </c>
      <c r="F967" s="724">
        <f t="shared" ca="1" si="204"/>
        <v>0</v>
      </c>
      <c r="G967" s="608">
        <f>VLOOKUP($B967,R_DG!$A$7:$G$1305,5,0)</f>
        <v>25000</v>
      </c>
      <c r="H967" s="608">
        <f>VLOOKUP($B967,R_DG!$A$7:$G$1305,6,0)</f>
        <v>522089.04000000004</v>
      </c>
      <c r="I967" s="608">
        <f>VLOOKUP($B967,R_DG!$A$7:$G$1305,7,0)</f>
        <v>5890.7000000000007</v>
      </c>
      <c r="J967" s="608">
        <f t="shared" ca="1" si="205"/>
        <v>0</v>
      </c>
      <c r="K967" s="608">
        <f t="shared" ca="1" si="205"/>
        <v>0</v>
      </c>
      <c r="L967" s="725">
        <f t="shared" ca="1" si="205"/>
        <v>0</v>
      </c>
      <c r="M967" s="1127">
        <f t="shared" ca="1" si="206"/>
        <v>0</v>
      </c>
      <c r="N967" s="754">
        <f t="shared" ca="1" si="207"/>
        <v>0</v>
      </c>
    </row>
    <row r="968" spans="1:14" hidden="1">
      <c r="A968" s="696"/>
      <c r="B968" s="753" t="s">
        <v>2308</v>
      </c>
      <c r="C968" s="713">
        <f>VLOOKUP($B968,R_DG!$A$7:$G$1305,2,0)</f>
        <v>0</v>
      </c>
      <c r="D968" s="723" t="str">
        <f>VLOOKUP($B968,R_DG!$A$7:$G$1305,3,0)</f>
        <v>Đầu cosse ép Cu-Al 70mm2</v>
      </c>
      <c r="E968" s="714" t="str">
        <f>VLOOKUP($B968,R_DG!$A$7:$G$1305,4,0)</f>
        <v>cái</v>
      </c>
      <c r="F968" s="724">
        <f t="shared" ca="1" si="204"/>
        <v>0</v>
      </c>
      <c r="G968" s="608">
        <f>VLOOKUP($B968,R_DG!$A$7:$G$1305,5,0)</f>
        <v>18000</v>
      </c>
      <c r="H968" s="608">
        <f>VLOOKUP($B968,R_DG!$A$7:$G$1305,6,0)</f>
        <v>0</v>
      </c>
      <c r="I968" s="608">
        <f>VLOOKUP($B968,R_DG!$A$7:$G$1305,7,0)</f>
        <v>0</v>
      </c>
      <c r="J968" s="608">
        <f t="shared" ca="1" si="205"/>
        <v>0</v>
      </c>
      <c r="K968" s="608">
        <f t="shared" ca="1" si="205"/>
        <v>0</v>
      </c>
      <c r="L968" s="725">
        <f t="shared" ca="1" si="205"/>
        <v>0</v>
      </c>
      <c r="M968" s="1127">
        <f t="shared" ca="1" si="206"/>
        <v>0</v>
      </c>
      <c r="N968" s="754">
        <f t="shared" ca="1" si="207"/>
        <v>0</v>
      </c>
    </row>
    <row r="969" spans="1:14" hidden="1">
      <c r="A969" s="696"/>
      <c r="B969" s="753" t="s">
        <v>2308</v>
      </c>
      <c r="C969" s="713">
        <f>VLOOKUP($B969,R_DG!$A$7:$G$1305,2,0)</f>
        <v>0</v>
      </c>
      <c r="D969" s="723" t="str">
        <f>VLOOKUP($B969,R_DG!$A$7:$G$1305,3,0)</f>
        <v>Đầu cosse ép Cu-Al 70mm2</v>
      </c>
      <c r="E969" s="714" t="str">
        <f>VLOOKUP($B969,R_DG!$A$7:$G$1305,4,0)</f>
        <v>cái</v>
      </c>
      <c r="F969" s="724">
        <f t="shared" ca="1" si="204"/>
        <v>0</v>
      </c>
      <c r="G969" s="608">
        <f>VLOOKUP($B969,R_DG!$A$7:$G$1305,5,0)</f>
        <v>18000</v>
      </c>
      <c r="H969" s="608">
        <f>VLOOKUP($B969,R_DG!$A$7:$G$1305,6,0)</f>
        <v>0</v>
      </c>
      <c r="I969" s="608">
        <f>VLOOKUP($B969,R_DG!$A$7:$G$1305,7,0)</f>
        <v>0</v>
      </c>
      <c r="J969" s="608">
        <f t="shared" ca="1" si="205"/>
        <v>0</v>
      </c>
      <c r="K969" s="608">
        <f t="shared" ca="1" si="205"/>
        <v>0</v>
      </c>
      <c r="L969" s="725">
        <f t="shared" ca="1" si="205"/>
        <v>0</v>
      </c>
      <c r="M969" s="1127">
        <f t="shared" ca="1" si="206"/>
        <v>0</v>
      </c>
      <c r="N969" s="754">
        <f t="shared" ca="1" si="207"/>
        <v>0</v>
      </c>
    </row>
    <row r="970" spans="1:14" hidden="1">
      <c r="A970" s="696"/>
      <c r="B970" s="753" t="s">
        <v>2309</v>
      </c>
      <c r="C970" s="713">
        <f>VLOOKUP($B970,R_DG!$A$7:$G$1305,2,0)</f>
        <v>0</v>
      </c>
      <c r="D970" s="723" t="str">
        <f>VLOOKUP($B970,R_DG!$A$7:$G$1305,3,0)</f>
        <v>Đầu cosse ép Cu-Al 95mm2</v>
      </c>
      <c r="E970" s="714" t="str">
        <f>VLOOKUP($B970,R_DG!$A$7:$G$1305,4,0)</f>
        <v>cái</v>
      </c>
      <c r="F970" s="724">
        <f t="shared" ca="1" si="204"/>
        <v>0</v>
      </c>
      <c r="G970" s="608">
        <f>VLOOKUP($B970,R_DG!$A$7:$G$1305,5,0)</f>
        <v>25000</v>
      </c>
      <c r="H970" s="608">
        <f>VLOOKUP($B970,R_DG!$A$7:$G$1305,6,0)</f>
        <v>0</v>
      </c>
      <c r="I970" s="608">
        <f>VLOOKUP($B970,R_DG!$A$7:$G$1305,7,0)</f>
        <v>0</v>
      </c>
      <c r="J970" s="608">
        <f t="shared" ca="1" si="205"/>
        <v>0</v>
      </c>
      <c r="K970" s="608">
        <f t="shared" ca="1" si="205"/>
        <v>0</v>
      </c>
      <c r="L970" s="725">
        <f t="shared" ca="1" si="205"/>
        <v>0</v>
      </c>
      <c r="M970" s="1127">
        <f t="shared" ca="1" si="206"/>
        <v>0</v>
      </c>
      <c r="N970" s="754">
        <f t="shared" ca="1" si="207"/>
        <v>0</v>
      </c>
    </row>
    <row r="971" spans="1:14" hidden="1">
      <c r="A971" s="696"/>
      <c r="B971" s="753" t="s">
        <v>2310</v>
      </c>
      <c r="C971" s="713">
        <f>VLOOKUP($B971,R_DG!$A$7:$G$1305,2,0)</f>
        <v>0</v>
      </c>
      <c r="D971" s="723" t="str">
        <f>VLOOKUP($B971,R_DG!$A$7:$G$1305,3,0)</f>
        <v>Đầu cosse ép Cu-Al 120mm2</v>
      </c>
      <c r="E971" s="714" t="str">
        <f>VLOOKUP($B971,R_DG!$A$7:$G$1305,4,0)</f>
        <v>cái</v>
      </c>
      <c r="F971" s="724">
        <f t="shared" ca="1" si="204"/>
        <v>0</v>
      </c>
      <c r="G971" s="608">
        <f>VLOOKUP($B971,R_DG!$A$7:$G$1305,5,0)</f>
        <v>34000</v>
      </c>
      <c r="H971" s="608">
        <f>VLOOKUP($B971,R_DG!$A$7:$G$1305,6,0)</f>
        <v>0</v>
      </c>
      <c r="I971" s="608">
        <f>VLOOKUP($B971,R_DG!$A$7:$G$1305,7,0)</f>
        <v>0</v>
      </c>
      <c r="J971" s="608">
        <f t="shared" ca="1" si="205"/>
        <v>0</v>
      </c>
      <c r="K971" s="608">
        <f t="shared" ca="1" si="205"/>
        <v>0</v>
      </c>
      <c r="L971" s="725">
        <f t="shared" ca="1" si="205"/>
        <v>0</v>
      </c>
      <c r="M971" s="1127">
        <f t="shared" ca="1" si="206"/>
        <v>0</v>
      </c>
      <c r="N971" s="754">
        <f t="shared" ca="1" si="207"/>
        <v>0</v>
      </c>
    </row>
    <row r="972" spans="1:14" hidden="1">
      <c r="A972" s="696"/>
      <c r="B972" s="753" t="s">
        <v>2311</v>
      </c>
      <c r="C972" s="713">
        <f>VLOOKUP($B972,R_DG!$A$7:$G$1305,2,0)</f>
        <v>0</v>
      </c>
      <c r="D972" s="723" t="str">
        <f>VLOOKUP($B972,R_DG!$A$7:$G$1305,3,0)</f>
        <v>Đầu cosse ép Cu-Al 150mm2</v>
      </c>
      <c r="E972" s="714" t="str">
        <f>VLOOKUP($B972,R_DG!$A$7:$G$1305,4,0)</f>
        <v>cái</v>
      </c>
      <c r="F972" s="724">
        <f t="shared" ca="1" si="204"/>
        <v>0</v>
      </c>
      <c r="G972" s="608">
        <f>VLOOKUP($B972,R_DG!$A$7:$G$1305,5,0)</f>
        <v>39000</v>
      </c>
      <c r="H972" s="608">
        <f>VLOOKUP($B972,R_DG!$A$7:$G$1305,6,0)</f>
        <v>0</v>
      </c>
      <c r="I972" s="608">
        <f>VLOOKUP($B972,R_DG!$A$7:$G$1305,7,0)</f>
        <v>0</v>
      </c>
      <c r="J972" s="608">
        <f t="shared" ca="1" si="205"/>
        <v>0</v>
      </c>
      <c r="K972" s="608">
        <f t="shared" ca="1" si="205"/>
        <v>0</v>
      </c>
      <c r="L972" s="725">
        <f t="shared" ca="1" si="205"/>
        <v>0</v>
      </c>
      <c r="M972" s="1127">
        <f t="shared" ca="1" si="206"/>
        <v>0</v>
      </c>
      <c r="N972" s="754">
        <f t="shared" ca="1" si="207"/>
        <v>0</v>
      </c>
    </row>
    <row r="973" spans="1:14" hidden="1">
      <c r="A973" s="696"/>
      <c r="B973" s="753" t="s">
        <v>2312</v>
      </c>
      <c r="C973" s="713">
        <f>VLOOKUP($B973,R_DG!$A$7:$G$1305,2,0)</f>
        <v>0</v>
      </c>
      <c r="D973" s="723" t="str">
        <f>VLOOKUP($B973,R_DG!$A$7:$G$1305,3,0)</f>
        <v>Đầu cosse ép Cu-Al 185mm2</v>
      </c>
      <c r="E973" s="714" t="str">
        <f>VLOOKUP($B973,R_DG!$A$7:$G$1305,4,0)</f>
        <v>cái</v>
      </c>
      <c r="F973" s="724">
        <f t="shared" ca="1" si="204"/>
        <v>0</v>
      </c>
      <c r="G973" s="608">
        <f>VLOOKUP($B973,R_DG!$A$7:$G$1305,5,0)</f>
        <v>46000</v>
      </c>
      <c r="H973" s="608">
        <f>VLOOKUP($B973,R_DG!$A$7:$G$1305,6,0)</f>
        <v>0</v>
      </c>
      <c r="I973" s="608">
        <f>VLOOKUP($B973,R_DG!$A$7:$G$1305,7,0)</f>
        <v>0</v>
      </c>
      <c r="J973" s="608">
        <f t="shared" ca="1" si="205"/>
        <v>0</v>
      </c>
      <c r="K973" s="608">
        <f t="shared" ca="1" si="205"/>
        <v>0</v>
      </c>
      <c r="L973" s="725">
        <f t="shared" ca="1" si="205"/>
        <v>0</v>
      </c>
      <c r="M973" s="1127">
        <f t="shared" ca="1" si="206"/>
        <v>0</v>
      </c>
      <c r="N973" s="754">
        <f t="shared" ca="1" si="207"/>
        <v>0</v>
      </c>
    </row>
    <row r="974" spans="1:14" hidden="1">
      <c r="A974" s="696"/>
      <c r="B974" s="753" t="s">
        <v>2313</v>
      </c>
      <c r="C974" s="713">
        <f>VLOOKUP($B974,R_DG!$A$7:$G$1305,2,0)</f>
        <v>0</v>
      </c>
      <c r="D974" s="723" t="str">
        <f>VLOOKUP($B974,R_DG!$A$7:$G$1305,3,0)</f>
        <v>Đầu cosse ép Cu-Al 240mm2</v>
      </c>
      <c r="E974" s="714" t="str">
        <f>VLOOKUP($B974,R_DG!$A$7:$G$1305,4,0)</f>
        <v>cái</v>
      </c>
      <c r="F974" s="724">
        <f t="shared" ca="1" si="204"/>
        <v>0</v>
      </c>
      <c r="G974" s="608">
        <f>VLOOKUP($B974,R_DG!$A$7:$G$1305,5,0)</f>
        <v>59000</v>
      </c>
      <c r="H974" s="608">
        <f>VLOOKUP($B974,R_DG!$A$7:$G$1305,6,0)</f>
        <v>0</v>
      </c>
      <c r="I974" s="608">
        <f>VLOOKUP($B974,R_DG!$A$7:$G$1305,7,0)</f>
        <v>0</v>
      </c>
      <c r="J974" s="608">
        <f t="shared" ca="1" si="205"/>
        <v>0</v>
      </c>
      <c r="K974" s="608">
        <f t="shared" ca="1" si="205"/>
        <v>0</v>
      </c>
      <c r="L974" s="725">
        <f t="shared" ca="1" si="205"/>
        <v>0</v>
      </c>
      <c r="M974" s="1127">
        <f t="shared" ca="1" si="206"/>
        <v>0</v>
      </c>
      <c r="N974" s="754">
        <f t="shared" ca="1" si="207"/>
        <v>0</v>
      </c>
    </row>
    <row r="975" spans="1:14" hidden="1">
      <c r="A975" s="696"/>
      <c r="B975" s="753" t="s">
        <v>518</v>
      </c>
      <c r="C975" s="713" t="str">
        <f>VLOOKUP($B975,R_DG!$A$7:$G$1305,2,0)</f>
        <v>D6.6201</v>
      </c>
      <c r="D975" s="723" t="str">
        <f>VLOOKUP($B975,R_DG!$A$7:$G$1305,3,0)</f>
        <v>Kẹp quai 2/0</v>
      </c>
      <c r="E975" s="714" t="str">
        <f>VLOOKUP($B975,R_DG!$A$7:$G$1305,4,0)</f>
        <v>cái</v>
      </c>
      <c r="F975" s="724">
        <f t="shared" ca="1" si="204"/>
        <v>0</v>
      </c>
      <c r="G975" s="608">
        <f>VLOOKUP($B975,R_DG!$A$7:$G$1305,5,0)</f>
        <v>35200</v>
      </c>
      <c r="H975" s="608">
        <f>VLOOKUP($B975,R_DG!$A$7:$G$1305,6,0)</f>
        <v>98156</v>
      </c>
      <c r="I975" s="608">
        <f>VLOOKUP($B975,R_DG!$A$7:$G$1305,7,0)</f>
        <v>0</v>
      </c>
      <c r="J975" s="608">
        <f t="shared" ca="1" si="205"/>
        <v>0</v>
      </c>
      <c r="K975" s="608">
        <f t="shared" ca="1" si="205"/>
        <v>0</v>
      </c>
      <c r="L975" s="725">
        <f t="shared" ca="1" si="205"/>
        <v>0</v>
      </c>
      <c r="M975" s="1127">
        <f t="shared" ca="1" si="206"/>
        <v>0</v>
      </c>
      <c r="N975" s="754">
        <f t="shared" ca="1" si="207"/>
        <v>0</v>
      </c>
    </row>
    <row r="976" spans="1:14" hidden="1">
      <c r="A976" s="696"/>
      <c r="B976" s="753" t="s">
        <v>523</v>
      </c>
      <c r="C976" s="713" t="str">
        <f>VLOOKUP($B976,R_DG!$A$7:$G$1305,2,0)</f>
        <v>D6.6202</v>
      </c>
      <c r="D976" s="723" t="str">
        <f>VLOOKUP($B976,R_DG!$A$7:$G$1305,3,0)</f>
        <v>Kẹp hotline 2/0</v>
      </c>
      <c r="E976" s="714" t="str">
        <f>VLOOKUP($B976,R_DG!$A$7:$G$1305,4,0)</f>
        <v>cái</v>
      </c>
      <c r="F976" s="724">
        <f t="shared" ca="1" si="204"/>
        <v>0</v>
      </c>
      <c r="G976" s="608">
        <f>VLOOKUP($B976,R_DG!$A$7:$G$1305,5,0)</f>
        <v>77000</v>
      </c>
      <c r="H976" s="608">
        <f>VLOOKUP($B976,R_DG!$A$7:$G$1305,6,0)</f>
        <v>122695</v>
      </c>
      <c r="I976" s="608">
        <f>VLOOKUP($B976,R_DG!$A$7:$G$1305,7,0)</f>
        <v>0</v>
      </c>
      <c r="J976" s="608">
        <f t="shared" ca="1" si="205"/>
        <v>0</v>
      </c>
      <c r="K976" s="608">
        <f t="shared" ca="1" si="205"/>
        <v>0</v>
      </c>
      <c r="L976" s="725">
        <f t="shared" ca="1" si="205"/>
        <v>0</v>
      </c>
      <c r="M976" s="1127">
        <f t="shared" ca="1" si="206"/>
        <v>0</v>
      </c>
      <c r="N976" s="754">
        <f t="shared" ca="1" si="207"/>
        <v>0</v>
      </c>
    </row>
    <row r="977" spans="1:14" ht="21.95" hidden="1" customHeight="1">
      <c r="A977" s="696"/>
      <c r="B977" s="753" t="s">
        <v>521</v>
      </c>
      <c r="C977" s="713" t="str">
        <f>VLOOKUP($B977,R_DG!$A$7:$G$1305,2,0)</f>
        <v>D6.6201</v>
      </c>
      <c r="D977" s="723" t="str">
        <f>VLOOKUP($B977,R_DG!$A$7:$G$1305,3,0)</f>
        <v>Kẹp quai 4/0</v>
      </c>
      <c r="E977" s="714" t="str">
        <f>VLOOKUP($B977,R_DG!$A$7:$G$1305,4,0)</f>
        <v>cái</v>
      </c>
      <c r="F977" s="724">
        <v>12</v>
      </c>
      <c r="G977" s="608">
        <f>VLOOKUP($B977,R_DG!$A$7:$G$1305,5,0)</f>
        <v>81000</v>
      </c>
      <c r="H977" s="608">
        <f>VLOOKUP($B977,R_DG!$A$7:$G$1305,6,0)</f>
        <v>98156</v>
      </c>
      <c r="I977" s="608">
        <f>VLOOKUP($B977,R_DG!$A$7:$G$1305,7,0)</f>
        <v>0</v>
      </c>
      <c r="J977" s="608">
        <f t="shared" si="205"/>
        <v>972000</v>
      </c>
      <c r="K977" s="608">
        <f t="shared" si="205"/>
        <v>1177872</v>
      </c>
      <c r="L977" s="725">
        <f t="shared" si="205"/>
        <v>0</v>
      </c>
      <c r="M977" s="1127">
        <f t="shared" si="206"/>
        <v>1</v>
      </c>
      <c r="N977" s="754">
        <f t="shared" si="207"/>
        <v>12</v>
      </c>
    </row>
    <row r="978" spans="1:14" ht="21.95" hidden="1" customHeight="1">
      <c r="A978" s="696"/>
      <c r="B978" s="758" t="s">
        <v>525</v>
      </c>
      <c r="C978" s="713" t="str">
        <f>VLOOKUP($B978,R_DG!$A$7:$G$1305,2,0)</f>
        <v>D6.6202</v>
      </c>
      <c r="D978" s="723" t="str">
        <f>VLOOKUP($B978,R_DG!$A$7:$G$1305,3,0)</f>
        <v>Kẹp hotline 4/0</v>
      </c>
      <c r="E978" s="714" t="str">
        <f>VLOOKUP($B978,R_DG!$A$7:$G$1305,4,0)</f>
        <v>cái</v>
      </c>
      <c r="F978" s="724">
        <v>12</v>
      </c>
      <c r="G978" s="608">
        <f>VLOOKUP($B978,R_DG!$A$7:$G$1305,5,0)</f>
        <v>55000</v>
      </c>
      <c r="H978" s="608">
        <f>VLOOKUP($B978,R_DG!$A$7:$G$1305,6,0)</f>
        <v>122695</v>
      </c>
      <c r="I978" s="608">
        <f>VLOOKUP($B978,R_DG!$A$7:$G$1305,7,0)</f>
        <v>0</v>
      </c>
      <c r="J978" s="608">
        <f t="shared" si="205"/>
        <v>660000</v>
      </c>
      <c r="K978" s="608">
        <f t="shared" si="205"/>
        <v>1472340</v>
      </c>
      <c r="L978" s="725">
        <f t="shared" si="205"/>
        <v>0</v>
      </c>
      <c r="M978" s="1127">
        <f t="shared" si="206"/>
        <v>1</v>
      </c>
      <c r="N978" s="754">
        <f t="shared" si="207"/>
        <v>12</v>
      </c>
    </row>
    <row r="979" spans="1:14" ht="21.95" hidden="1" customHeight="1">
      <c r="A979" s="696"/>
      <c r="B979" s="753" t="s">
        <v>3031</v>
      </c>
      <c r="C979" s="713">
        <f>VLOOKUP($B979,R_DG!$A$7:$G$1305,2,0)</f>
        <v>0</v>
      </c>
      <c r="D979" s="723" t="str">
        <f>VLOOKUP($B979,R_DG!$A$7:$G$1305,3,0)</f>
        <v>Chụp kẹp quai, hotline</v>
      </c>
      <c r="E979" s="714" t="str">
        <f>VLOOKUP($B979,R_DG!$A$7:$G$1305,4,0)</f>
        <v>cái</v>
      </c>
      <c r="F979" s="724">
        <v>12</v>
      </c>
      <c r="G979" s="608">
        <f>VLOOKUP($B979,R_DG!$A$7:$G$1305,5,0)</f>
        <v>75000</v>
      </c>
      <c r="H979" s="608">
        <f>VLOOKUP($B979,R_DG!$A$7:$G$1305,6,0)</f>
        <v>0</v>
      </c>
      <c r="I979" s="608">
        <f>VLOOKUP($B979,R_DG!$A$7:$G$1305,7,0)</f>
        <v>0</v>
      </c>
      <c r="J979" s="608">
        <f t="shared" si="205"/>
        <v>900000</v>
      </c>
      <c r="K979" s="608">
        <f t="shared" si="205"/>
        <v>0</v>
      </c>
      <c r="L979" s="725">
        <f t="shared" si="205"/>
        <v>0</v>
      </c>
      <c r="M979" s="1127">
        <f>IF(F979&gt;0,M$943,0)</f>
        <v>1</v>
      </c>
      <c r="N979" s="754">
        <f t="shared" si="207"/>
        <v>12</v>
      </c>
    </row>
    <row r="980" spans="1:14" hidden="1">
      <c r="A980" s="696"/>
      <c r="B980" s="758" t="s">
        <v>155</v>
      </c>
      <c r="C980" s="713">
        <f>VLOOKUP($B980,R_DG!$A$7:$G$1305,2,0)</f>
        <v>0</v>
      </c>
      <c r="D980" s="723" t="str">
        <f>VLOOKUP($B980,R_DG!$A$7:$G$1305,3,0)</f>
        <v>Chụp đầu FCO</v>
      </c>
      <c r="E980" s="714" t="str">
        <f>VLOOKUP($B980,R_DG!$A$7:$G$1305,4,0)</f>
        <v>bộ</v>
      </c>
      <c r="F980" s="724">
        <f t="shared" ca="1" si="204"/>
        <v>0</v>
      </c>
      <c r="G980" s="608">
        <f>VLOOKUP($B980,R_DG!$A$7:$G$1305,5,0)</f>
        <v>230000</v>
      </c>
      <c r="H980" s="608">
        <f>VLOOKUP($B980,R_DG!$A$7:$G$1305,6,0)</f>
        <v>0</v>
      </c>
      <c r="I980" s="608">
        <f>VLOOKUP($B980,R_DG!$A$7:$G$1305,7,0)</f>
        <v>0</v>
      </c>
      <c r="J980" s="608">
        <f t="shared" ca="1" si="205"/>
        <v>0</v>
      </c>
      <c r="K980" s="608">
        <f t="shared" ca="1" si="205"/>
        <v>0</v>
      </c>
      <c r="L980" s="725">
        <f t="shared" ca="1" si="205"/>
        <v>0</v>
      </c>
      <c r="M980" s="1127">
        <f ca="1">IF(F980&gt;0,M$943,0)</f>
        <v>0</v>
      </c>
      <c r="N980" s="754">
        <f t="shared" ca="1" si="207"/>
        <v>0</v>
      </c>
    </row>
    <row r="981" spans="1:14" hidden="1">
      <c r="A981" s="696"/>
      <c r="B981" s="758" t="s">
        <v>157</v>
      </c>
      <c r="C981" s="713">
        <f>VLOOKUP($B981,R_DG!$A$7:$G$1305,2,0)</f>
        <v>0</v>
      </c>
      <c r="D981" s="723" t="str">
        <f>VLOOKUP($B981,R_DG!$A$7:$G$1305,3,0)</f>
        <v>Chụp đầu LA</v>
      </c>
      <c r="E981" s="714" t="str">
        <f>VLOOKUP($B981,R_DG!$A$7:$G$1305,4,0)</f>
        <v>cái</v>
      </c>
      <c r="F981" s="724">
        <f t="shared" ca="1" si="204"/>
        <v>0</v>
      </c>
      <c r="G981" s="608">
        <f>VLOOKUP($B981,R_DG!$A$7:$G$1305,5,0)</f>
        <v>75000</v>
      </c>
      <c r="H981" s="608">
        <f>VLOOKUP($B981,R_DG!$A$7:$G$1305,6,0)</f>
        <v>0</v>
      </c>
      <c r="I981" s="608">
        <f>VLOOKUP($B981,R_DG!$A$7:$G$1305,7,0)</f>
        <v>0</v>
      </c>
      <c r="J981" s="608">
        <f t="shared" ca="1" si="205"/>
        <v>0</v>
      </c>
      <c r="K981" s="608">
        <f t="shared" ca="1" si="205"/>
        <v>0</v>
      </c>
      <c r="L981" s="725">
        <f t="shared" ca="1" si="205"/>
        <v>0</v>
      </c>
      <c r="M981" s="1127">
        <f ca="1">IF(F981&gt;0,M$943,0)</f>
        <v>0</v>
      </c>
      <c r="N981" s="754">
        <f t="shared" ca="1" si="207"/>
        <v>0</v>
      </c>
    </row>
    <row r="982" spans="1:14" hidden="1">
      <c r="A982" s="696"/>
      <c r="B982" s="758" t="s">
        <v>159</v>
      </c>
      <c r="C982" s="713">
        <f>VLOOKUP($B982,R_DG!$A$7:$G$1305,2,0)</f>
        <v>0</v>
      </c>
      <c r="D982" s="723" t="str">
        <f>VLOOKUP($B982,R_DG!$A$7:$G$1305,3,0)</f>
        <v>Chụp đầu cực MBA</v>
      </c>
      <c r="E982" s="714" t="str">
        <f>VLOOKUP($B982,R_DG!$A$7:$G$1305,4,0)</f>
        <v>cái</v>
      </c>
      <c r="F982" s="724">
        <f t="shared" ca="1" si="204"/>
        <v>0</v>
      </c>
      <c r="G982" s="608">
        <f>VLOOKUP($B982,R_DG!$A$7:$G$1305,5,0)</f>
        <v>75000</v>
      </c>
      <c r="H982" s="608">
        <f>VLOOKUP($B982,R_DG!$A$7:$G$1305,6,0)</f>
        <v>0</v>
      </c>
      <c r="I982" s="608">
        <f>VLOOKUP($B982,R_DG!$A$7:$G$1305,7,0)</f>
        <v>0</v>
      </c>
      <c r="J982" s="608">
        <f t="shared" ca="1" si="205"/>
        <v>0</v>
      </c>
      <c r="K982" s="608">
        <f t="shared" ca="1" si="205"/>
        <v>0</v>
      </c>
      <c r="L982" s="725">
        <f t="shared" ca="1" si="205"/>
        <v>0</v>
      </c>
      <c r="M982" s="1127">
        <f ca="1">IF(F982&gt;0,M$943,0)</f>
        <v>0</v>
      </c>
      <c r="N982" s="754">
        <f t="shared" ca="1" si="207"/>
        <v>0</v>
      </c>
    </row>
    <row r="983" spans="1:14" hidden="1">
      <c r="A983" s="696"/>
      <c r="B983" s="753" t="s">
        <v>604</v>
      </c>
      <c r="C983" s="713" t="str">
        <f>VLOOKUP($B983,R_DG!$A$7:$G$1305,2,0)</f>
        <v>D3.4011</v>
      </c>
      <c r="D983" s="723" t="str">
        <f>VLOOKUP($B983,R_DG!$A$7:$G$1305,3,0)</f>
        <v>Ống nối dây cỡ 50mm2</v>
      </c>
      <c r="E983" s="714" t="str">
        <f>VLOOKUP($B983,R_DG!$A$7:$G$1305,4,0)</f>
        <v>cái</v>
      </c>
      <c r="F983" s="724">
        <f t="shared" ca="1" si="204"/>
        <v>0</v>
      </c>
      <c r="G983" s="608">
        <f>VLOOKUP($B983,R_DG!$A$7:$G$1305,5,0)</f>
        <v>56000</v>
      </c>
      <c r="H983" s="608">
        <f>VLOOKUP($B983,R_DG!$A$7:$G$1305,6,0)</f>
        <v>259648.56000000003</v>
      </c>
      <c r="I983" s="608">
        <f>VLOOKUP($B983,R_DG!$A$7:$G$1305,7,0)</f>
        <v>4712.5600000000004</v>
      </c>
      <c r="J983" s="608">
        <f t="shared" ca="1" si="205"/>
        <v>0</v>
      </c>
      <c r="K983" s="608">
        <f t="shared" ca="1" si="205"/>
        <v>0</v>
      </c>
      <c r="L983" s="725">
        <f t="shared" ca="1" si="205"/>
        <v>0</v>
      </c>
      <c r="M983" s="1127">
        <f t="shared" ca="1" si="206"/>
        <v>0</v>
      </c>
      <c r="N983" s="754">
        <f t="shared" ca="1" si="207"/>
        <v>0</v>
      </c>
    </row>
    <row r="984" spans="1:14" hidden="1">
      <c r="A984" s="696"/>
      <c r="B984" s="753" t="s">
        <v>606</v>
      </c>
      <c r="C984" s="713" t="str">
        <f>VLOOKUP($B984,R_DG!$A$7:$G$1305,2,0)</f>
        <v>D3.4011</v>
      </c>
      <c r="D984" s="723" t="str">
        <f>VLOOKUP($B984,R_DG!$A$7:$G$1305,3,0)</f>
        <v>Ống nối dây cỡ 70mm2</v>
      </c>
      <c r="E984" s="714" t="str">
        <f>VLOOKUP($B984,R_DG!$A$7:$G$1305,4,0)</f>
        <v>cái</v>
      </c>
      <c r="F984" s="724">
        <f t="shared" ca="1" si="204"/>
        <v>0</v>
      </c>
      <c r="G984" s="608">
        <f>VLOOKUP($B984,R_DG!$A$7:$G$1305,5,0)</f>
        <v>68000</v>
      </c>
      <c r="H984" s="608">
        <f>VLOOKUP($B984,R_DG!$A$7:$G$1305,6,0)</f>
        <v>259648.56000000003</v>
      </c>
      <c r="I984" s="608">
        <f>VLOOKUP($B984,R_DG!$A$7:$G$1305,7,0)</f>
        <v>4712.5600000000004</v>
      </c>
      <c r="J984" s="608">
        <f t="shared" ca="1" si="205"/>
        <v>0</v>
      </c>
      <c r="K984" s="608">
        <f t="shared" ca="1" si="205"/>
        <v>0</v>
      </c>
      <c r="L984" s="725">
        <f t="shared" ca="1" si="205"/>
        <v>0</v>
      </c>
      <c r="M984" s="1127">
        <f t="shared" ca="1" si="206"/>
        <v>0</v>
      </c>
      <c r="N984" s="754">
        <f t="shared" ca="1" si="207"/>
        <v>0</v>
      </c>
    </row>
    <row r="985" spans="1:14" hidden="1">
      <c r="A985" s="696"/>
      <c r="B985" s="753" t="s">
        <v>608</v>
      </c>
      <c r="C985" s="713" t="str">
        <f>VLOOKUP($B985,R_DG!$A$7:$G$1305,2,0)</f>
        <v>D3.4011</v>
      </c>
      <c r="D985" s="723" t="str">
        <f>VLOOKUP($B985,R_DG!$A$7:$G$1305,3,0)</f>
        <v>Ống nối dây cỡ 95mm2</v>
      </c>
      <c r="E985" s="714" t="str">
        <f>VLOOKUP($B985,R_DG!$A$7:$G$1305,4,0)</f>
        <v>cái</v>
      </c>
      <c r="F985" s="724">
        <f t="shared" ca="1" si="204"/>
        <v>0</v>
      </c>
      <c r="G985" s="608">
        <f>VLOOKUP($B985,R_DG!$A$7:$G$1305,5,0)</f>
        <v>77000</v>
      </c>
      <c r="H985" s="608">
        <f>VLOOKUP($B985,R_DG!$A$7:$G$1305,6,0)</f>
        <v>259648.56000000003</v>
      </c>
      <c r="I985" s="608">
        <f>VLOOKUP($B985,R_DG!$A$7:$G$1305,7,0)</f>
        <v>4712.5600000000004</v>
      </c>
      <c r="J985" s="608">
        <f t="shared" ca="1" si="205"/>
        <v>0</v>
      </c>
      <c r="K985" s="608">
        <f t="shared" ca="1" si="205"/>
        <v>0</v>
      </c>
      <c r="L985" s="725">
        <f t="shared" ca="1" si="205"/>
        <v>0</v>
      </c>
      <c r="M985" s="1127">
        <f t="shared" ca="1" si="206"/>
        <v>0</v>
      </c>
      <c r="N985" s="754">
        <f t="shared" ca="1" si="207"/>
        <v>0</v>
      </c>
    </row>
    <row r="986" spans="1:14" hidden="1">
      <c r="A986" s="696"/>
      <c r="B986" s="753" t="s">
        <v>610</v>
      </c>
      <c r="C986" s="713">
        <f>VLOOKUP($B986,R_DG!$A$7:$G$1305,2,0)</f>
        <v>0</v>
      </c>
      <c r="D986" s="723" t="str">
        <f>VLOOKUP($B986,R_DG!$A$7:$G$1305,3,0)</f>
        <v>Ống nối dây cỡ 120mm2</v>
      </c>
      <c r="E986" s="714" t="str">
        <f>VLOOKUP($B986,R_DG!$A$7:$G$1305,4,0)</f>
        <v>cái</v>
      </c>
      <c r="F986" s="724">
        <f t="shared" ca="1" si="204"/>
        <v>0</v>
      </c>
      <c r="G986" s="608">
        <f>VLOOKUP($B986,R_DG!$A$7:$G$1305,5,0)</f>
        <v>122000</v>
      </c>
      <c r="H986" s="608">
        <f>VLOOKUP($B986,R_DG!$A$7:$G$1305,6,0)</f>
        <v>259648.56000000003</v>
      </c>
      <c r="I986" s="608">
        <f>VLOOKUP($B986,R_DG!$A$7:$G$1305,7,0)</f>
        <v>0</v>
      </c>
      <c r="J986" s="608">
        <f t="shared" ref="J986:L1023" ca="1" si="208">G986*$F986</f>
        <v>0</v>
      </c>
      <c r="K986" s="608">
        <f t="shared" ca="1" si="208"/>
        <v>0</v>
      </c>
      <c r="L986" s="725">
        <f t="shared" ca="1" si="208"/>
        <v>0</v>
      </c>
      <c r="M986" s="1127">
        <f t="shared" ca="1" si="206"/>
        <v>0</v>
      </c>
      <c r="N986" s="754">
        <f t="shared" ca="1" si="207"/>
        <v>0</v>
      </c>
    </row>
    <row r="987" spans="1:14" hidden="1">
      <c r="A987" s="696"/>
      <c r="B987" s="753" t="s">
        <v>612</v>
      </c>
      <c r="C987" s="713" t="str">
        <f>VLOOKUP($B987,R_DG!$A$7:$G$1305,2,0)</f>
        <v>D3.4012</v>
      </c>
      <c r="D987" s="723" t="str">
        <f>VLOOKUP($B987,R_DG!$A$7:$G$1305,3,0)</f>
        <v>Ống nối dây cỡ 150mm2</v>
      </c>
      <c r="E987" s="714" t="str">
        <f>VLOOKUP($B987,R_DG!$A$7:$G$1305,4,0)</f>
        <v>cái</v>
      </c>
      <c r="F987" s="724">
        <f t="shared" ca="1" si="204"/>
        <v>0</v>
      </c>
      <c r="G987" s="608">
        <f>VLOOKUP($B987,R_DG!$A$7:$G$1305,5,0)</f>
        <v>132000</v>
      </c>
      <c r="H987" s="608">
        <f>VLOOKUP($B987,R_DG!$A$7:$G$1305,6,0)</f>
        <v>326654.63999999996</v>
      </c>
      <c r="I987" s="608">
        <f>VLOOKUP($B987,R_DG!$A$7:$G$1305,7,0)</f>
        <v>4712.5600000000004</v>
      </c>
      <c r="J987" s="608">
        <f t="shared" ca="1" si="208"/>
        <v>0</v>
      </c>
      <c r="K987" s="608">
        <f t="shared" ca="1" si="208"/>
        <v>0</v>
      </c>
      <c r="L987" s="725">
        <f t="shared" ca="1" si="208"/>
        <v>0</v>
      </c>
      <c r="M987" s="1127">
        <f t="shared" ca="1" si="206"/>
        <v>0</v>
      </c>
      <c r="N987" s="754">
        <f t="shared" ca="1" si="207"/>
        <v>0</v>
      </c>
    </row>
    <row r="988" spans="1:14" hidden="1">
      <c r="A988" s="696"/>
      <c r="B988" s="753" t="s">
        <v>614</v>
      </c>
      <c r="C988" s="713" t="str">
        <f>VLOOKUP($B988,R_DG!$A$7:$G$1305,2,0)</f>
        <v>D3.4013</v>
      </c>
      <c r="D988" s="723" t="str">
        <f>VLOOKUP($B988,R_DG!$A$7:$G$1305,3,0)</f>
        <v>Ống nối dây cỡ 185mm2</v>
      </c>
      <c r="E988" s="714" t="str">
        <f>VLOOKUP($B988,R_DG!$A$7:$G$1305,4,0)</f>
        <v>cái</v>
      </c>
      <c r="F988" s="724">
        <f t="shared" ca="1" si="204"/>
        <v>0</v>
      </c>
      <c r="G988" s="608">
        <f>VLOOKUP($B988,R_DG!$A$7:$G$1305,5,0)</f>
        <v>142000</v>
      </c>
      <c r="H988" s="608">
        <f>VLOOKUP($B988,R_DG!$A$7:$G$1305,6,0)</f>
        <v>402036.47999999998</v>
      </c>
      <c r="I988" s="608">
        <f>VLOOKUP($B988,R_DG!$A$7:$G$1305,7,0)</f>
        <v>4712.5600000000004</v>
      </c>
      <c r="J988" s="608">
        <f t="shared" ca="1" si="208"/>
        <v>0</v>
      </c>
      <c r="K988" s="608">
        <f t="shared" ca="1" si="208"/>
        <v>0</v>
      </c>
      <c r="L988" s="725">
        <f t="shared" ca="1" si="208"/>
        <v>0</v>
      </c>
      <c r="M988" s="1127">
        <f t="shared" ca="1" si="206"/>
        <v>0</v>
      </c>
      <c r="N988" s="754">
        <f t="shared" ca="1" si="207"/>
        <v>0</v>
      </c>
    </row>
    <row r="989" spans="1:14" hidden="1">
      <c r="A989" s="696"/>
      <c r="B989" s="753" t="s">
        <v>616</v>
      </c>
      <c r="C989" s="713" t="str">
        <f>VLOOKUP($B989,R_DG!$A$7:$G$1305,2,0)</f>
        <v>D3.4014</v>
      </c>
      <c r="D989" s="723" t="str">
        <f>VLOOKUP($B989,R_DG!$A$7:$G$1305,3,0)</f>
        <v>Ống nối dây cỡ 240mm2</v>
      </c>
      <c r="E989" s="714" t="str">
        <f>VLOOKUP($B989,R_DG!$A$7:$G$1305,4,0)</f>
        <v>cái</v>
      </c>
      <c r="F989" s="724">
        <f t="shared" ca="1" si="204"/>
        <v>0</v>
      </c>
      <c r="G989" s="608">
        <f>VLOOKUP($B989,R_DG!$A$7:$G$1305,5,0)</f>
        <v>152000</v>
      </c>
      <c r="H989" s="608">
        <f>VLOOKUP($B989,R_DG!$A$7:$G$1305,6,0)</f>
        <v>522089.04000000004</v>
      </c>
      <c r="I989" s="608">
        <f>VLOOKUP($B989,R_DG!$A$7:$G$1305,7,0)</f>
        <v>5890.7000000000007</v>
      </c>
      <c r="J989" s="608">
        <f t="shared" ca="1" si="208"/>
        <v>0</v>
      </c>
      <c r="K989" s="608">
        <f t="shared" ca="1" si="208"/>
        <v>0</v>
      </c>
      <c r="L989" s="725">
        <f t="shared" ca="1" si="208"/>
        <v>0</v>
      </c>
      <c r="M989" s="1127">
        <f t="shared" ca="1" si="206"/>
        <v>0</v>
      </c>
      <c r="N989" s="754">
        <f t="shared" ca="1" si="207"/>
        <v>0</v>
      </c>
    </row>
    <row r="990" spans="1:14" hidden="1">
      <c r="A990" s="696"/>
      <c r="B990" s="753" t="s">
        <v>3021</v>
      </c>
      <c r="C990" s="713">
        <f>VLOOKUP($B990,R_DG!$A$7:$G$1305,2,0)</f>
        <v>0</v>
      </c>
      <c r="D990" s="723" t="str">
        <f>VLOOKUP($B990,R_DG!$A$7:$G$1305,3,0)</f>
        <v>Ống co nhiệt D34</v>
      </c>
      <c r="E990" s="714" t="str">
        <f>VLOOKUP($B990,R_DG!$A$7:$G$1305,4,0)</f>
        <v>m</v>
      </c>
      <c r="F990" s="724">
        <f t="shared" ca="1" si="204"/>
        <v>0</v>
      </c>
      <c r="G990" s="608">
        <f>VLOOKUP($B990,R_DG!$A$7:$G$1305,5,0)</f>
        <v>95000</v>
      </c>
      <c r="H990" s="608">
        <f>VLOOKUP($B990,R_DG!$A$7:$G$1305,6,0)</f>
        <v>0</v>
      </c>
      <c r="I990" s="608">
        <f>VLOOKUP($B990,R_DG!$A$7:$G$1305,7,0)</f>
        <v>0</v>
      </c>
      <c r="J990" s="608">
        <f ca="1">G990*$F990</f>
        <v>0</v>
      </c>
      <c r="K990" s="608">
        <f ca="1">H990*$F990</f>
        <v>0</v>
      </c>
      <c r="L990" s="725">
        <f ca="1">I990*$F990</f>
        <v>0</v>
      </c>
      <c r="M990" s="1127">
        <f ca="1">IF(F990&gt;0,M$943,0)</f>
        <v>0</v>
      </c>
      <c r="N990" s="754">
        <f t="shared" ca="1" si="207"/>
        <v>0</v>
      </c>
    </row>
    <row r="991" spans="1:14" hidden="1">
      <c r="A991" s="696"/>
      <c r="B991" s="753" t="s">
        <v>386</v>
      </c>
      <c r="C991" s="713">
        <f>VLOOKUP($B991,R_DG!$A$7:$G$1305,2,0)</f>
        <v>0</v>
      </c>
      <c r="D991" s="723" t="str">
        <f>VLOOKUP($B991,R_DG!$A$7:$G$1305,3,0)</f>
        <v xml:space="preserve">Dây nhôm buộc </v>
      </c>
      <c r="E991" s="714" t="str">
        <f>VLOOKUP($B991,R_DG!$A$7:$G$1305,4,0)</f>
        <v>kg</v>
      </c>
      <c r="F991" s="724">
        <f t="shared" ca="1" si="204"/>
        <v>0</v>
      </c>
      <c r="G991" s="608">
        <f>VLOOKUP($B991,R_DG!$A$7:$G$1305,5,0)</f>
        <v>32000</v>
      </c>
      <c r="H991" s="608">
        <f>VLOOKUP($B991,R_DG!$A$7:$G$1305,6,0)</f>
        <v>0</v>
      </c>
      <c r="I991" s="608">
        <f>VLOOKUP($B991,R_DG!$A$7:$G$1305,7,0)</f>
        <v>0</v>
      </c>
      <c r="J991" s="608">
        <f t="shared" ca="1" si="208"/>
        <v>0</v>
      </c>
      <c r="K991" s="608">
        <f t="shared" ca="1" si="208"/>
        <v>0</v>
      </c>
      <c r="L991" s="725">
        <f t="shared" ca="1" si="208"/>
        <v>0</v>
      </c>
      <c r="M991" s="1127">
        <f t="shared" ca="1" si="206"/>
        <v>0</v>
      </c>
      <c r="N991" s="754">
        <f t="shared" ca="1" si="207"/>
        <v>0</v>
      </c>
    </row>
    <row r="992" spans="1:14" hidden="1">
      <c r="A992" s="696"/>
      <c r="B992" s="753" t="s">
        <v>2314</v>
      </c>
      <c r="C992" s="713">
        <f>VLOOKUP($B992,R_DG!$A$7:$G$1305,2,0)</f>
        <v>0</v>
      </c>
      <c r="D992" s="723" t="str">
        <f>VLOOKUP($B992,R_DG!$A$7:$G$1305,3,0)</f>
        <v>Biển số - Bảng nguy hiểm</v>
      </c>
      <c r="E992" s="714" t="str">
        <f>VLOOKUP($B992,R_DG!$A$7:$G$1305,4,0)</f>
        <v>cái</v>
      </c>
      <c r="F992" s="724">
        <f t="shared" ca="1" si="204"/>
        <v>0</v>
      </c>
      <c r="G992" s="608">
        <f>VLOOKUP($B992,R_DG!$A$7:$G$1305,5,0)</f>
        <v>19200</v>
      </c>
      <c r="H992" s="608">
        <f>VLOOKUP($B992,R_DG!$A$7:$G$1305,6,0)</f>
        <v>0</v>
      </c>
      <c r="I992" s="608">
        <f>VLOOKUP($B992,R_DG!$A$7:$G$1305,7,0)</f>
        <v>0</v>
      </c>
      <c r="J992" s="608">
        <f t="shared" ca="1" si="208"/>
        <v>0</v>
      </c>
      <c r="K992" s="608">
        <f t="shared" ca="1" si="208"/>
        <v>0</v>
      </c>
      <c r="L992" s="725">
        <f t="shared" ca="1" si="208"/>
        <v>0</v>
      </c>
      <c r="M992" s="1127">
        <f t="shared" ca="1" si="206"/>
        <v>0</v>
      </c>
      <c r="N992" s="754">
        <f t="shared" ca="1" si="207"/>
        <v>0</v>
      </c>
    </row>
    <row r="993" spans="1:14" hidden="1">
      <c r="A993" s="696"/>
      <c r="B993" s="226" t="s">
        <v>4839</v>
      </c>
      <c r="C993" s="713">
        <f>VLOOKUP($B993,R_DG!$A$7:$G$1305,2,0)</f>
        <v>0</v>
      </c>
      <c r="D993" s="723" t="str">
        <f>VLOOKUP($B993,R_DG!$A$7:$G$1305,3,0)</f>
        <v>Ghíp nối IPC 150-25</v>
      </c>
      <c r="E993" s="714" t="str">
        <f>VLOOKUP($B993,R_DG!$A$7:$G$1305,4,0)</f>
        <v>cái</v>
      </c>
      <c r="F993" s="724">
        <f t="shared" ca="1" si="204"/>
        <v>0</v>
      </c>
      <c r="G993" s="608">
        <f>VLOOKUP($B993,R_DG!$A$7:$G$1305,5,0)</f>
        <v>25000</v>
      </c>
      <c r="H993" s="608">
        <f>VLOOKUP($B993,R_DG!$A$7:$G$1305,6,0)</f>
        <v>0</v>
      </c>
      <c r="I993" s="608">
        <f>VLOOKUP($B993,R_DG!$A$7:$G$1305,7,0)</f>
        <v>0</v>
      </c>
      <c r="J993" s="608">
        <f t="shared" ca="1" si="208"/>
        <v>0</v>
      </c>
      <c r="K993" s="608">
        <f t="shared" ca="1" si="208"/>
        <v>0</v>
      </c>
      <c r="L993" s="725">
        <f t="shared" ca="1" si="208"/>
        <v>0</v>
      </c>
      <c r="M993" s="1127">
        <f t="shared" ca="1" si="206"/>
        <v>0</v>
      </c>
      <c r="N993" s="754">
        <f t="shared" ca="1" si="207"/>
        <v>0</v>
      </c>
    </row>
    <row r="994" spans="1:14" hidden="1">
      <c r="A994" s="696"/>
      <c r="B994" s="226" t="s">
        <v>4838</v>
      </c>
      <c r="C994" s="713">
        <f>VLOOKUP($B994,R_DG!$A$7:$G$1305,2,0)</f>
        <v>0</v>
      </c>
      <c r="D994" s="723" t="str">
        <f>VLOOKUP($B994,R_DG!$A$7:$G$1305,3,0)</f>
        <v>Ghíp nối IPC 150-150</v>
      </c>
      <c r="E994" s="714" t="str">
        <f>VLOOKUP($B994,R_DG!$A$7:$G$1305,4,0)</f>
        <v>cái</v>
      </c>
      <c r="F994" s="724">
        <f t="shared" ca="1" si="204"/>
        <v>0</v>
      </c>
      <c r="G994" s="608">
        <f>VLOOKUP($B994,R_DG!$A$7:$G$1305,5,0)</f>
        <v>25000</v>
      </c>
      <c r="H994" s="608">
        <f>VLOOKUP($B994,R_DG!$A$7:$G$1305,6,0)</f>
        <v>0</v>
      </c>
      <c r="I994" s="608">
        <f>VLOOKUP($B994,R_DG!$A$7:$G$1305,7,0)</f>
        <v>0</v>
      </c>
      <c r="J994" s="608">
        <f t="shared" ca="1" si="208"/>
        <v>0</v>
      </c>
      <c r="K994" s="608">
        <f t="shared" ca="1" si="208"/>
        <v>0</v>
      </c>
      <c r="L994" s="725">
        <f t="shared" ca="1" si="208"/>
        <v>0</v>
      </c>
      <c r="M994" s="1127">
        <f t="shared" ca="1" si="206"/>
        <v>0</v>
      </c>
      <c r="N994" s="754">
        <f t="shared" ca="1" si="207"/>
        <v>0</v>
      </c>
    </row>
    <row r="995" spans="1:14" hidden="1">
      <c r="A995" s="696"/>
      <c r="B995" s="226" t="s">
        <v>2071</v>
      </c>
      <c r="C995" s="713">
        <f>VLOOKUP($B995,R_DG!$A$7:$G$1305,2,0)</f>
        <v>0</v>
      </c>
      <c r="D995" s="723" t="str">
        <f>VLOOKUP($B995,R_DG!$A$7:$G$1305,3,0)</f>
        <v>Ghíp nối IPC 95-95</v>
      </c>
      <c r="E995" s="714" t="str">
        <f>VLOOKUP($B995,R_DG!$A$7:$G$1305,4,0)</f>
        <v>cái</v>
      </c>
      <c r="F995" s="724">
        <f t="shared" ca="1" si="204"/>
        <v>0</v>
      </c>
      <c r="G995" s="608">
        <f>VLOOKUP($B995,R_DG!$A$7:$G$1305,5,0)</f>
        <v>45000</v>
      </c>
      <c r="H995" s="608">
        <f>VLOOKUP($B995,R_DG!$A$7:$G$1305,6,0)</f>
        <v>0</v>
      </c>
      <c r="I995" s="608">
        <f>VLOOKUP($B995,R_DG!$A$7:$G$1305,7,0)</f>
        <v>0</v>
      </c>
      <c r="J995" s="608">
        <f t="shared" ca="1" si="208"/>
        <v>0</v>
      </c>
      <c r="K995" s="608">
        <f t="shared" ca="1" si="208"/>
        <v>0</v>
      </c>
      <c r="L995" s="725">
        <f t="shared" ca="1" si="208"/>
        <v>0</v>
      </c>
      <c r="M995" s="1127">
        <f t="shared" ca="1" si="206"/>
        <v>0</v>
      </c>
      <c r="N995" s="754">
        <f t="shared" ca="1" si="207"/>
        <v>0</v>
      </c>
    </row>
    <row r="996" spans="1:14" hidden="1">
      <c r="A996" s="696"/>
      <c r="B996" s="226" t="s">
        <v>4132</v>
      </c>
      <c r="C996" s="713">
        <f>VLOOKUP($B996,R_DG!$A$7:$G$1305,2,0)</f>
        <v>0</v>
      </c>
      <c r="D996" s="723" t="str">
        <f>VLOOKUP($B996,R_DG!$A$7:$G$1305,3,0)</f>
        <v>Ghíp nối IPC 120-120 2BL</v>
      </c>
      <c r="E996" s="714" t="str">
        <f>VLOOKUP($B996,R_DG!$A$7:$G$1305,4,0)</f>
        <v>cái</v>
      </c>
      <c r="F996" s="724">
        <f t="shared" ca="1" si="204"/>
        <v>0</v>
      </c>
      <c r="G996" s="608">
        <f>VLOOKUP($B996,R_DG!$A$7:$G$1305,5,0)</f>
        <v>45000</v>
      </c>
      <c r="H996" s="608">
        <f>VLOOKUP($B996,R_DG!$A$7:$G$1305,6,0)</f>
        <v>0</v>
      </c>
      <c r="I996" s="608">
        <f>VLOOKUP($B996,R_DG!$A$7:$G$1305,7,0)</f>
        <v>0</v>
      </c>
      <c r="J996" s="608">
        <f t="shared" ca="1" si="208"/>
        <v>0</v>
      </c>
      <c r="K996" s="608">
        <f t="shared" ca="1" si="208"/>
        <v>0</v>
      </c>
      <c r="L996" s="725">
        <f t="shared" ca="1" si="208"/>
        <v>0</v>
      </c>
      <c r="M996" s="1127">
        <f t="shared" ca="1" si="206"/>
        <v>0</v>
      </c>
      <c r="N996" s="754">
        <f t="shared" ca="1" si="207"/>
        <v>0</v>
      </c>
    </row>
    <row r="997" spans="1:14" ht="21.95" hidden="1" customHeight="1">
      <c r="A997" s="696"/>
      <c r="B997" s="226" t="s">
        <v>4131</v>
      </c>
      <c r="C997" s="713">
        <f>VLOOKUP($B997,R_DG!$A$7:$G$1305,2,0)</f>
        <v>0</v>
      </c>
      <c r="D997" s="723" t="str">
        <f>VLOOKUP($B997,R_DG!$A$7:$G$1305,3,0)</f>
        <v>Ghíp nối IPC 120-25 2BL</v>
      </c>
      <c r="E997" s="714" t="str">
        <f>VLOOKUP($B997,R_DG!$A$7:$G$1305,4,0)</f>
        <v>cái</v>
      </c>
      <c r="F997" s="724">
        <f t="shared" ca="1" si="204"/>
        <v>216</v>
      </c>
      <c r="G997" s="608">
        <f>VLOOKUP($B997,R_DG!$A$7:$G$1305,5,0)</f>
        <v>45000</v>
      </c>
      <c r="H997" s="608">
        <f>VLOOKUP($B997,R_DG!$A$7:$G$1305,6,0)</f>
        <v>0</v>
      </c>
      <c r="I997" s="608">
        <f>VLOOKUP($B997,R_DG!$A$7:$G$1305,7,0)</f>
        <v>0</v>
      </c>
      <c r="J997" s="608">
        <f t="shared" ca="1" si="208"/>
        <v>9720000</v>
      </c>
      <c r="K997" s="608">
        <f t="shared" ca="1" si="208"/>
        <v>0</v>
      </c>
      <c r="L997" s="725">
        <f t="shared" ca="1" si="208"/>
        <v>0</v>
      </c>
      <c r="M997" s="1127">
        <f t="shared" ca="1" si="206"/>
        <v>1</v>
      </c>
      <c r="N997" s="754">
        <f t="shared" ca="1" si="207"/>
        <v>216</v>
      </c>
    </row>
    <row r="998" spans="1:14" hidden="1">
      <c r="A998" s="696"/>
      <c r="B998" s="226" t="s">
        <v>4837</v>
      </c>
      <c r="C998" s="713">
        <f>VLOOKUP($B998,R_DG!$A$7:$G$1305,2,0)</f>
        <v>0</v>
      </c>
      <c r="D998" s="723" t="str">
        <f>VLOOKUP($B998,R_DG!$A$7:$G$1305,3,0)</f>
        <v>Ghíp nối IPC 95-25 2BL</v>
      </c>
      <c r="E998" s="714" t="str">
        <f>VLOOKUP($B998,R_DG!$A$7:$G$1305,4,0)</f>
        <v>cái</v>
      </c>
      <c r="F998" s="724">
        <f t="shared" ca="1" si="204"/>
        <v>0</v>
      </c>
      <c r="G998" s="608">
        <f>VLOOKUP($B998,R_DG!$A$7:$G$1305,5,0)</f>
        <v>40000</v>
      </c>
      <c r="H998" s="608">
        <f>VLOOKUP($B998,R_DG!$A$7:$G$1305,6,0)</f>
        <v>0</v>
      </c>
      <c r="I998" s="608">
        <f>VLOOKUP($B998,R_DG!$A$7:$G$1305,7,0)</f>
        <v>0</v>
      </c>
      <c r="J998" s="608">
        <f t="shared" ca="1" si="208"/>
        <v>0</v>
      </c>
      <c r="K998" s="608">
        <f t="shared" ca="1" si="208"/>
        <v>0</v>
      </c>
      <c r="L998" s="725">
        <f t="shared" ca="1" si="208"/>
        <v>0</v>
      </c>
      <c r="M998" s="1127">
        <f t="shared" ca="1" si="206"/>
        <v>0</v>
      </c>
      <c r="N998" s="754">
        <f t="shared" ca="1" si="207"/>
        <v>0</v>
      </c>
    </row>
    <row r="999" spans="1:14" hidden="1">
      <c r="A999" s="696"/>
      <c r="B999" s="226" t="s">
        <v>2055</v>
      </c>
      <c r="C999" s="713">
        <f>VLOOKUP($B999,R_DG!$A$7:$G$1305,2,0)</f>
        <v>0</v>
      </c>
      <c r="D999" s="723" t="str">
        <f>VLOOKUP($B999,R_DG!$A$7:$G$1305,3,0)</f>
        <v>Ghíp nối IPC 70-25 2BL</v>
      </c>
      <c r="E999" s="714" t="str">
        <f>VLOOKUP($B999,R_DG!$A$7:$G$1305,4,0)</f>
        <v>cái</v>
      </c>
      <c r="F999" s="724">
        <f t="shared" ca="1" si="204"/>
        <v>0</v>
      </c>
      <c r="G999" s="608">
        <f>VLOOKUP($B999,R_DG!$A$7:$G$1305,5,0)</f>
        <v>22000</v>
      </c>
      <c r="H999" s="608">
        <f>VLOOKUP($B999,R_DG!$A$7:$G$1305,6,0)</f>
        <v>0</v>
      </c>
      <c r="I999" s="608">
        <f>VLOOKUP($B999,R_DG!$A$7:$G$1305,7,0)</f>
        <v>0</v>
      </c>
      <c r="J999" s="608">
        <f t="shared" ca="1" si="208"/>
        <v>0</v>
      </c>
      <c r="K999" s="608">
        <f t="shared" ca="1" si="208"/>
        <v>0</v>
      </c>
      <c r="L999" s="725">
        <f t="shared" ca="1" si="208"/>
        <v>0</v>
      </c>
      <c r="M999" s="1127">
        <f t="shared" ca="1" si="206"/>
        <v>0</v>
      </c>
      <c r="N999" s="754">
        <f t="shared" ca="1" si="207"/>
        <v>0</v>
      </c>
    </row>
    <row r="1000" spans="1:14" hidden="1">
      <c r="A1000" s="696"/>
      <c r="B1000" s="226" t="s">
        <v>4836</v>
      </c>
      <c r="C1000" s="713">
        <f>VLOOKUP($B1000,R_DG!$A$7:$G$1305,2,0)</f>
        <v>0</v>
      </c>
      <c r="D1000" s="723" t="str">
        <f>VLOOKUP($B1000,R_DG!$A$7:$G$1305,3,0)</f>
        <v>Ghíp nối IPC 50-25 2BL</v>
      </c>
      <c r="E1000" s="714" t="str">
        <f>VLOOKUP($B1000,R_DG!$A$7:$G$1305,4,0)</f>
        <v>cái</v>
      </c>
      <c r="F1000" s="724">
        <f t="shared" ca="1" si="204"/>
        <v>0</v>
      </c>
      <c r="G1000" s="608">
        <f>VLOOKUP($B1000,R_DG!$A$7:$G$1305,5,0)</f>
        <v>11700</v>
      </c>
      <c r="H1000" s="608">
        <f>VLOOKUP($B1000,R_DG!$A$7:$G$1305,6,0)</f>
        <v>0</v>
      </c>
      <c r="I1000" s="608">
        <f>VLOOKUP($B1000,R_DG!$A$7:$G$1305,7,0)</f>
        <v>0</v>
      </c>
      <c r="J1000" s="608">
        <f t="shared" ca="1" si="208"/>
        <v>0</v>
      </c>
      <c r="K1000" s="608">
        <f t="shared" ca="1" si="208"/>
        <v>0</v>
      </c>
      <c r="L1000" s="725">
        <f t="shared" ca="1" si="208"/>
        <v>0</v>
      </c>
      <c r="M1000" s="1127">
        <f t="shared" ca="1" si="206"/>
        <v>0</v>
      </c>
      <c r="N1000" s="754">
        <f t="shared" ca="1" si="207"/>
        <v>0</v>
      </c>
    </row>
    <row r="1001" spans="1:14" ht="21.95" hidden="1" customHeight="1">
      <c r="A1001" s="696"/>
      <c r="B1001" s="226" t="s">
        <v>472</v>
      </c>
      <c r="C1001" s="713" t="str">
        <f>VLOOKUP($B1001,R_DG!$A$7:$G$1305,2,0)</f>
        <v>11.03.204</v>
      </c>
      <c r="D1001" s="723" t="str">
        <f>VLOOKUP($B1001,R_DG!$A$7:$G$1305,3,0)</f>
        <v>Hộp phân phối trực tiếp 9KH</v>
      </c>
      <c r="E1001" s="714" t="str">
        <f>VLOOKUP($B1001,R_DG!$A$7:$G$1305,4,0)</f>
        <v>cái</v>
      </c>
      <c r="F1001" s="724">
        <v>10</v>
      </c>
      <c r="G1001" s="608">
        <f>VLOOKUP($B1001,R_DG!$A$7:$G$1305,5,0)</f>
        <v>315000</v>
      </c>
      <c r="H1001" s="608">
        <f>VLOOKUP($B1001,R_DG!$A$7:$G$1305,6,0)</f>
        <v>138988.89599999998</v>
      </c>
      <c r="I1001" s="608">
        <f>VLOOKUP($B1001,R_DG!$A$7:$G$1305,7,0)</f>
        <v>0</v>
      </c>
      <c r="J1001" s="608">
        <f t="shared" si="208"/>
        <v>3150000</v>
      </c>
      <c r="K1001" s="608">
        <f t="shared" si="208"/>
        <v>1389888.9599999997</v>
      </c>
      <c r="L1001" s="725">
        <f t="shared" si="208"/>
        <v>0</v>
      </c>
      <c r="M1001" s="1127">
        <f t="shared" si="206"/>
        <v>1</v>
      </c>
      <c r="N1001" s="754">
        <f t="shared" si="207"/>
        <v>10</v>
      </c>
    </row>
    <row r="1002" spans="1:14" hidden="1">
      <c r="A1002" s="696"/>
      <c r="B1002" s="226" t="s">
        <v>473</v>
      </c>
      <c r="C1002" s="713" t="str">
        <f>VLOOKUP($B1002,R_DG!$A$7:$G$1305,2,0)</f>
        <v>11.03.204</v>
      </c>
      <c r="D1002" s="723" t="str">
        <f>VLOOKUP($B1002,R_DG!$A$7:$G$1305,3,0)</f>
        <v>Hộp phân phối trực tiếp 6KH</v>
      </c>
      <c r="E1002" s="714" t="str">
        <f>VLOOKUP($B1002,R_DG!$A$7:$G$1305,4,0)</f>
        <v>cái</v>
      </c>
      <c r="F1002" s="724">
        <f t="shared" ca="1" si="204"/>
        <v>0</v>
      </c>
      <c r="G1002" s="608">
        <f>VLOOKUP($B1002,R_DG!$A$7:$G$1305,5,0)</f>
        <v>305000</v>
      </c>
      <c r="H1002" s="608">
        <f>VLOOKUP($B1002,R_DG!$A$7:$G$1305,6,0)</f>
        <v>138988.89599999998</v>
      </c>
      <c r="I1002" s="608">
        <f>VLOOKUP($B1002,R_DG!$A$7:$G$1305,7,0)</f>
        <v>0</v>
      </c>
      <c r="J1002" s="608">
        <f t="shared" ca="1" si="208"/>
        <v>0</v>
      </c>
      <c r="K1002" s="608">
        <f t="shared" ca="1" si="208"/>
        <v>0</v>
      </c>
      <c r="L1002" s="725">
        <f t="shared" ca="1" si="208"/>
        <v>0</v>
      </c>
      <c r="M1002" s="1127">
        <f t="shared" ca="1" si="206"/>
        <v>0</v>
      </c>
      <c r="N1002" s="754">
        <f t="shared" ca="1" si="207"/>
        <v>0</v>
      </c>
    </row>
    <row r="1003" spans="1:14" hidden="1">
      <c r="A1003" s="696"/>
      <c r="B1003" s="226" t="s">
        <v>441</v>
      </c>
      <c r="C1003" s="713">
        <f>VLOOKUP($B1003,R_DG!$A$7:$G$1305,2,0)</f>
        <v>0</v>
      </c>
      <c r="D1003" s="723" t="str">
        <f>VLOOKUP($B1003,R_DG!$A$7:$G$1305,3,0)</f>
        <v>Kẹp treo cáp ABC4x150mm2</v>
      </c>
      <c r="E1003" s="714" t="str">
        <f>VLOOKUP($B1003,R_DG!$A$7:$G$1305,4,0)</f>
        <v>cái</v>
      </c>
      <c r="F1003" s="724">
        <f t="shared" ca="1" si="204"/>
        <v>0</v>
      </c>
      <c r="G1003" s="608">
        <f>VLOOKUP($B1003,R_DG!$A$7:$G$1305,5,0)</f>
        <v>29000</v>
      </c>
      <c r="H1003" s="608">
        <f>VLOOKUP($B1003,R_DG!$A$7:$G$1305,6,0)</f>
        <v>0</v>
      </c>
      <c r="I1003" s="608">
        <f>VLOOKUP($B1003,R_DG!$A$7:$G$1305,7,0)</f>
        <v>0</v>
      </c>
      <c r="J1003" s="608">
        <f t="shared" ca="1" si="208"/>
        <v>0</v>
      </c>
      <c r="K1003" s="608">
        <f t="shared" ca="1" si="208"/>
        <v>0</v>
      </c>
      <c r="L1003" s="725">
        <f t="shared" ca="1" si="208"/>
        <v>0</v>
      </c>
      <c r="M1003" s="1127">
        <f t="shared" ca="1" si="206"/>
        <v>0</v>
      </c>
      <c r="N1003" s="754">
        <f t="shared" ca="1" si="207"/>
        <v>0</v>
      </c>
    </row>
    <row r="1004" spans="1:14" hidden="1">
      <c r="A1004" s="696"/>
      <c r="B1004" s="226" t="s">
        <v>439</v>
      </c>
      <c r="C1004" s="713">
        <f>VLOOKUP($B1004,R_DG!$A$7:$G$1305,2,0)</f>
        <v>0</v>
      </c>
      <c r="D1004" s="723" t="str">
        <f>VLOOKUP($B1004,R_DG!$A$7:$G$1305,3,0)</f>
        <v>Kẹp treo cáp ABC4x120mm2</v>
      </c>
      <c r="E1004" s="714" t="str">
        <f>VLOOKUP($B1004,R_DG!$A$7:$G$1305,4,0)</f>
        <v>cái</v>
      </c>
      <c r="F1004" s="724">
        <f t="shared" ca="1" si="204"/>
        <v>0</v>
      </c>
      <c r="G1004" s="608">
        <f>VLOOKUP($B1004,R_DG!$A$7:$G$1305,5,0)</f>
        <v>29000</v>
      </c>
      <c r="H1004" s="608">
        <f>VLOOKUP($B1004,R_DG!$A$7:$G$1305,6,0)</f>
        <v>0</v>
      </c>
      <c r="I1004" s="608">
        <f>VLOOKUP($B1004,R_DG!$A$7:$G$1305,7,0)</f>
        <v>0</v>
      </c>
      <c r="J1004" s="608">
        <f t="shared" ca="1" si="208"/>
        <v>0</v>
      </c>
      <c r="K1004" s="608">
        <f t="shared" ca="1" si="208"/>
        <v>0</v>
      </c>
      <c r="L1004" s="725">
        <f t="shared" ca="1" si="208"/>
        <v>0</v>
      </c>
      <c r="M1004" s="1127">
        <f t="shared" ca="1" si="206"/>
        <v>0</v>
      </c>
      <c r="N1004" s="754">
        <f t="shared" ca="1" si="207"/>
        <v>0</v>
      </c>
    </row>
    <row r="1005" spans="1:14" hidden="1">
      <c r="A1005" s="696"/>
      <c r="B1005" s="226" t="s">
        <v>437</v>
      </c>
      <c r="C1005" s="713">
        <f>VLOOKUP($B1005,R_DG!$A$7:$G$1305,2,0)</f>
        <v>0</v>
      </c>
      <c r="D1005" s="723" t="str">
        <f>VLOOKUP($B1005,R_DG!$A$7:$G$1305,3,0)</f>
        <v>Kẹp treo cáp ABC4x95mm2</v>
      </c>
      <c r="E1005" s="714" t="str">
        <f>VLOOKUP($B1005,R_DG!$A$7:$G$1305,4,0)</f>
        <v>cái</v>
      </c>
      <c r="F1005" s="724">
        <f t="shared" ca="1" si="204"/>
        <v>0</v>
      </c>
      <c r="G1005" s="608">
        <f>VLOOKUP($B1005,R_DG!$A$7:$G$1305,5,0)</f>
        <v>27000</v>
      </c>
      <c r="H1005" s="608">
        <f>VLOOKUP($B1005,R_DG!$A$7:$G$1305,6,0)</f>
        <v>0</v>
      </c>
      <c r="I1005" s="608">
        <f>VLOOKUP($B1005,R_DG!$A$7:$G$1305,7,0)</f>
        <v>0</v>
      </c>
      <c r="J1005" s="608">
        <f t="shared" ca="1" si="208"/>
        <v>0</v>
      </c>
      <c r="K1005" s="608">
        <f t="shared" ca="1" si="208"/>
        <v>0</v>
      </c>
      <c r="L1005" s="725">
        <f t="shared" ca="1" si="208"/>
        <v>0</v>
      </c>
      <c r="M1005" s="1127">
        <f t="shared" ca="1" si="206"/>
        <v>0</v>
      </c>
      <c r="N1005" s="754">
        <f t="shared" ca="1" si="207"/>
        <v>0</v>
      </c>
    </row>
    <row r="1006" spans="1:14" ht="21.95" hidden="1" customHeight="1">
      <c r="A1006" s="696"/>
      <c r="B1006" s="226" t="s">
        <v>435</v>
      </c>
      <c r="C1006" s="713">
        <f>VLOOKUP($B1006,R_DG!$A$7:$G$1305,2,0)</f>
        <v>0</v>
      </c>
      <c r="D1006" s="723" t="str">
        <f>VLOOKUP($B1006,R_DG!$A$7:$G$1305,3,0)</f>
        <v>Kẹp treo cáp ABC4x70mm2</v>
      </c>
      <c r="E1006" s="714" t="str">
        <f>VLOOKUP($B1006,R_DG!$A$7:$G$1305,4,0)</f>
        <v>cái</v>
      </c>
      <c r="F1006" s="724">
        <v>10</v>
      </c>
      <c r="G1006" s="608">
        <f>VLOOKUP($B1006,R_DG!$A$7:$G$1305,5,0)</f>
        <v>27000</v>
      </c>
      <c r="H1006" s="608">
        <f>VLOOKUP($B1006,R_DG!$A$7:$G$1305,6,0)</f>
        <v>0</v>
      </c>
      <c r="I1006" s="608">
        <f>VLOOKUP($B1006,R_DG!$A$7:$G$1305,7,0)</f>
        <v>0</v>
      </c>
      <c r="J1006" s="608">
        <f t="shared" si="208"/>
        <v>270000</v>
      </c>
      <c r="K1006" s="608">
        <f t="shared" si="208"/>
        <v>0</v>
      </c>
      <c r="L1006" s="725">
        <f t="shared" si="208"/>
        <v>0</v>
      </c>
      <c r="M1006" s="1127">
        <f t="shared" si="206"/>
        <v>1</v>
      </c>
      <c r="N1006" s="754">
        <f t="shared" si="207"/>
        <v>10</v>
      </c>
    </row>
    <row r="1007" spans="1:14" hidden="1">
      <c r="A1007" s="696"/>
      <c r="B1007" s="226" t="s">
        <v>433</v>
      </c>
      <c r="C1007" s="713">
        <f>VLOOKUP($B1007,R_DG!$A$7:$G$1305,2,0)</f>
        <v>0</v>
      </c>
      <c r="D1007" s="723" t="str">
        <f>VLOOKUP($B1007,R_DG!$A$7:$G$1305,3,0)</f>
        <v>Kẹp treo cáp ABC4x50mm2</v>
      </c>
      <c r="E1007" s="714" t="str">
        <f>VLOOKUP($B1007,R_DG!$A$7:$G$1305,4,0)</f>
        <v>cái</v>
      </c>
      <c r="F1007" s="724">
        <f t="shared" ca="1" si="204"/>
        <v>0</v>
      </c>
      <c r="G1007" s="608">
        <f>VLOOKUP($B1007,R_DG!$A$7:$G$1305,5,0)</f>
        <v>27000</v>
      </c>
      <c r="H1007" s="608">
        <f>VLOOKUP($B1007,R_DG!$A$7:$G$1305,6,0)</f>
        <v>0</v>
      </c>
      <c r="I1007" s="608">
        <f>VLOOKUP($B1007,R_DG!$A$7:$G$1305,7,0)</f>
        <v>0</v>
      </c>
      <c r="J1007" s="608">
        <f t="shared" ca="1" si="208"/>
        <v>0</v>
      </c>
      <c r="K1007" s="608">
        <f t="shared" ca="1" si="208"/>
        <v>0</v>
      </c>
      <c r="L1007" s="725">
        <f t="shared" ca="1" si="208"/>
        <v>0</v>
      </c>
      <c r="M1007" s="1127">
        <f t="shared" ca="1" si="206"/>
        <v>0</v>
      </c>
      <c r="N1007" s="754">
        <f t="shared" ca="1" si="207"/>
        <v>0</v>
      </c>
    </row>
    <row r="1008" spans="1:14" hidden="1">
      <c r="A1008" s="696"/>
      <c r="B1008" s="226" t="s">
        <v>2800</v>
      </c>
      <c r="C1008" s="713">
        <f>VLOOKUP($B1008,R_DG!$A$7:$G$1305,2,0)</f>
        <v>0</v>
      </c>
      <c r="D1008" s="723" t="str">
        <f>VLOOKUP($B1008,R_DG!$A$7:$G$1305,3,0)</f>
        <v>Móc treo chữ A</v>
      </c>
      <c r="E1008" s="714" t="str">
        <f>VLOOKUP($B1008,R_DG!$A$7:$G$1305,4,0)</f>
        <v>cái</v>
      </c>
      <c r="F1008" s="724">
        <f t="shared" ref="F1008:F1071" ca="1" si="209">SUMIF(maBK,B1008,tongBK1)</f>
        <v>0</v>
      </c>
      <c r="G1008" s="608">
        <f>VLOOKUP($B1008,R_DG!$A$7:$G$1305,5,0)</f>
        <v>37000</v>
      </c>
      <c r="H1008" s="608">
        <f>VLOOKUP($B1008,R_DG!$A$7:$G$1305,6,0)</f>
        <v>0</v>
      </c>
      <c r="I1008" s="608">
        <f>VLOOKUP($B1008,R_DG!$A$7:$G$1305,7,0)</f>
        <v>0</v>
      </c>
      <c r="J1008" s="608">
        <f t="shared" ca="1" si="208"/>
        <v>0</v>
      </c>
      <c r="K1008" s="608">
        <f t="shared" ca="1" si="208"/>
        <v>0</v>
      </c>
      <c r="L1008" s="725">
        <f t="shared" ca="1" si="208"/>
        <v>0</v>
      </c>
      <c r="M1008" s="1127">
        <f t="shared" ca="1" si="206"/>
        <v>0</v>
      </c>
      <c r="N1008" s="754">
        <f t="shared" ref="N1008:N1071" ca="1" si="210">$F1008</f>
        <v>0</v>
      </c>
    </row>
    <row r="1009" spans="1:14" hidden="1">
      <c r="A1009" s="696"/>
      <c r="B1009" s="226" t="s">
        <v>463</v>
      </c>
      <c r="C1009" s="713" t="str">
        <f>VLOOKUP($B1009,R_DG!$A$7:$G$1305,2,0)</f>
        <v>D4.6205</v>
      </c>
      <c r="D1009" s="723" t="str">
        <f>VLOOKUP($B1009,R_DG!$A$7:$G$1305,3,0)</f>
        <v>Kẹp ngừng cáp ABC4x150mm2</v>
      </c>
      <c r="E1009" s="714" t="str">
        <f>VLOOKUP($B1009,R_DG!$A$7:$G$1305,4,0)</f>
        <v>cái</v>
      </c>
      <c r="F1009" s="724">
        <f t="shared" ca="1" si="209"/>
        <v>0</v>
      </c>
      <c r="G1009" s="608">
        <f>VLOOKUP($B1009,R_DG!$A$7:$G$1305,5,0)</f>
        <v>74000</v>
      </c>
      <c r="H1009" s="608">
        <f>VLOOKUP($B1009,R_DG!$A$7:$G$1305,6,0)</f>
        <v>176680.8</v>
      </c>
      <c r="I1009" s="608">
        <f>VLOOKUP($B1009,R_DG!$A$7:$G$1305,7,0)</f>
        <v>0</v>
      </c>
      <c r="J1009" s="608">
        <f t="shared" ca="1" si="208"/>
        <v>0</v>
      </c>
      <c r="K1009" s="608">
        <f t="shared" ca="1" si="208"/>
        <v>0</v>
      </c>
      <c r="L1009" s="725">
        <f t="shared" ca="1" si="208"/>
        <v>0</v>
      </c>
      <c r="M1009" s="1127">
        <f t="shared" ca="1" si="206"/>
        <v>0</v>
      </c>
      <c r="N1009" s="754">
        <f t="shared" ca="1" si="210"/>
        <v>0</v>
      </c>
    </row>
    <row r="1010" spans="1:14" hidden="1">
      <c r="A1010" s="696"/>
      <c r="B1010" s="226" t="s">
        <v>461</v>
      </c>
      <c r="C1010" s="713" t="str">
        <f>VLOOKUP($B1010,R_DG!$A$7:$G$1305,2,0)</f>
        <v>D4.6205</v>
      </c>
      <c r="D1010" s="723" t="str">
        <f>VLOOKUP($B1010,R_DG!$A$7:$G$1305,3,0)</f>
        <v>Kẹp ngừng cáp ABC4x120mm2</v>
      </c>
      <c r="E1010" s="714" t="str">
        <f>VLOOKUP($B1010,R_DG!$A$7:$G$1305,4,0)</f>
        <v>cái</v>
      </c>
      <c r="F1010" s="724">
        <f t="shared" ca="1" si="209"/>
        <v>0</v>
      </c>
      <c r="G1010" s="608">
        <f>VLOOKUP($B1010,R_DG!$A$7:$G$1305,5,0)</f>
        <v>79000</v>
      </c>
      <c r="H1010" s="608">
        <f>VLOOKUP($B1010,R_DG!$A$7:$G$1305,6,0)</f>
        <v>176680.8</v>
      </c>
      <c r="I1010" s="608">
        <f>VLOOKUP($B1010,R_DG!$A$7:$G$1305,7,0)</f>
        <v>0</v>
      </c>
      <c r="J1010" s="608">
        <f t="shared" ca="1" si="208"/>
        <v>0</v>
      </c>
      <c r="K1010" s="608">
        <f t="shared" ca="1" si="208"/>
        <v>0</v>
      </c>
      <c r="L1010" s="725">
        <f t="shared" ca="1" si="208"/>
        <v>0</v>
      </c>
      <c r="M1010" s="1127">
        <f t="shared" ca="1" si="206"/>
        <v>0</v>
      </c>
      <c r="N1010" s="754">
        <f t="shared" ca="1" si="210"/>
        <v>0</v>
      </c>
    </row>
    <row r="1011" spans="1:14" hidden="1">
      <c r="A1011" s="696"/>
      <c r="B1011" s="226" t="s">
        <v>459</v>
      </c>
      <c r="C1011" s="713" t="str">
        <f>VLOOKUP($B1011,R_DG!$A$7:$G$1305,2,0)</f>
        <v>D4.6205</v>
      </c>
      <c r="D1011" s="723" t="str">
        <f>VLOOKUP($B1011,R_DG!$A$7:$G$1305,3,0)</f>
        <v>Kẹp ngừng cáp ABC4x95mm2</v>
      </c>
      <c r="E1011" s="714" t="str">
        <f>VLOOKUP($B1011,R_DG!$A$7:$G$1305,4,0)</f>
        <v>cái</v>
      </c>
      <c r="F1011" s="724">
        <f t="shared" ca="1" si="209"/>
        <v>0</v>
      </c>
      <c r="G1011" s="608">
        <f>VLOOKUP($B1011,R_DG!$A$7:$G$1305,5,0)</f>
        <v>50000</v>
      </c>
      <c r="H1011" s="608">
        <f>VLOOKUP($B1011,R_DG!$A$7:$G$1305,6,0)</f>
        <v>176680.8</v>
      </c>
      <c r="I1011" s="608">
        <f>VLOOKUP($B1011,R_DG!$A$7:$G$1305,7,0)</f>
        <v>0</v>
      </c>
      <c r="J1011" s="608">
        <f t="shared" ca="1" si="208"/>
        <v>0</v>
      </c>
      <c r="K1011" s="608">
        <f t="shared" ca="1" si="208"/>
        <v>0</v>
      </c>
      <c r="L1011" s="725">
        <f t="shared" ca="1" si="208"/>
        <v>0</v>
      </c>
      <c r="M1011" s="1127">
        <f t="shared" ca="1" si="206"/>
        <v>0</v>
      </c>
      <c r="N1011" s="754">
        <f t="shared" ca="1" si="210"/>
        <v>0</v>
      </c>
    </row>
    <row r="1012" spans="1:14" ht="21.95" hidden="1" customHeight="1">
      <c r="A1012" s="696"/>
      <c r="B1012" s="226" t="s">
        <v>457</v>
      </c>
      <c r="C1012" s="713" t="str">
        <f>VLOOKUP($B1012,R_DG!$A$7:$G$1305,2,0)</f>
        <v>D4.6204</v>
      </c>
      <c r="D1012" s="723" t="str">
        <f>VLOOKUP($B1012,R_DG!$A$7:$G$1305,3,0)</f>
        <v>Kẹp ngừng cáp ABC4x70mm2</v>
      </c>
      <c r="E1012" s="714" t="str">
        <f>VLOOKUP($B1012,R_DG!$A$7:$G$1305,4,0)</f>
        <v>cái</v>
      </c>
      <c r="F1012" s="724">
        <v>12</v>
      </c>
      <c r="G1012" s="608">
        <f>VLOOKUP($B1012,R_DG!$A$7:$G$1305,5,0)</f>
        <v>50000</v>
      </c>
      <c r="H1012" s="608">
        <f>VLOOKUP($B1012,R_DG!$A$7:$G$1305,6,0)</f>
        <v>176680.8</v>
      </c>
      <c r="I1012" s="608">
        <f>VLOOKUP($B1012,R_DG!$A$7:$G$1305,7,0)</f>
        <v>0</v>
      </c>
      <c r="J1012" s="608">
        <f t="shared" si="208"/>
        <v>600000</v>
      </c>
      <c r="K1012" s="608">
        <f t="shared" si="208"/>
        <v>2120169.5999999996</v>
      </c>
      <c r="L1012" s="725">
        <f t="shared" si="208"/>
        <v>0</v>
      </c>
      <c r="M1012" s="1127">
        <f t="shared" si="206"/>
        <v>1</v>
      </c>
      <c r="N1012" s="754">
        <f t="shared" si="210"/>
        <v>12</v>
      </c>
    </row>
    <row r="1013" spans="1:14" hidden="1">
      <c r="A1013" s="696"/>
      <c r="B1013" s="226" t="s">
        <v>455</v>
      </c>
      <c r="C1013" s="713" t="str">
        <f>VLOOKUP($B1013,R_DG!$A$7:$G$1305,2,0)</f>
        <v>D4.6204</v>
      </c>
      <c r="D1013" s="723" t="str">
        <f>VLOOKUP($B1013,R_DG!$A$7:$G$1305,3,0)</f>
        <v>Kẹp ngừng cáp ABC4x50mm2</v>
      </c>
      <c r="E1013" s="714" t="str">
        <f>VLOOKUP($B1013,R_DG!$A$7:$G$1305,4,0)</f>
        <v>cái</v>
      </c>
      <c r="F1013" s="724">
        <f t="shared" ca="1" si="209"/>
        <v>0</v>
      </c>
      <c r="G1013" s="608">
        <f>VLOOKUP($B1013,R_DG!$A$7:$G$1305,5,0)</f>
        <v>50000</v>
      </c>
      <c r="H1013" s="608">
        <f>VLOOKUP($B1013,R_DG!$A$7:$G$1305,6,0)</f>
        <v>147234</v>
      </c>
      <c r="I1013" s="608">
        <f>VLOOKUP($B1013,R_DG!$A$7:$G$1305,7,0)</f>
        <v>0</v>
      </c>
      <c r="J1013" s="608">
        <f t="shared" ca="1" si="208"/>
        <v>0</v>
      </c>
      <c r="K1013" s="608">
        <f t="shared" ca="1" si="208"/>
        <v>0</v>
      </c>
      <c r="L1013" s="725">
        <f t="shared" ca="1" si="208"/>
        <v>0</v>
      </c>
      <c r="M1013" s="1127">
        <f t="shared" ref="M1013:M1076" ca="1" si="211">IF(F1013&gt;0,M$943,0)</f>
        <v>0</v>
      </c>
      <c r="N1013" s="754">
        <f t="shared" ca="1" si="210"/>
        <v>0</v>
      </c>
    </row>
    <row r="1014" spans="1:14" hidden="1">
      <c r="A1014" s="696"/>
      <c r="B1014" s="226" t="s">
        <v>492</v>
      </c>
      <c r="C1014" s="713">
        <f>VLOOKUP($B1014,R_DG!$A$7:$G$1305,2,0)</f>
        <v>0</v>
      </c>
      <c r="D1014" s="723" t="str">
        <f>VLOOKUP($B1014,R_DG!$A$7:$G$1305,3,0)</f>
        <v>Nắp bịt đầu cáp ABC70mm2</v>
      </c>
      <c r="E1014" s="714" t="str">
        <f>VLOOKUP($B1014,R_DG!$A$7:$G$1305,4,0)</f>
        <v>cái</v>
      </c>
      <c r="F1014" s="724">
        <f t="shared" ca="1" si="209"/>
        <v>0</v>
      </c>
      <c r="G1014" s="608">
        <f>VLOOKUP($B1014,R_DG!$A$7:$G$1305,5,0)</f>
        <v>1600</v>
      </c>
      <c r="H1014" s="608">
        <f>VLOOKUP($B1014,R_DG!$A$7:$G$1305,6,0)</f>
        <v>0</v>
      </c>
      <c r="I1014" s="608">
        <f>VLOOKUP($B1014,R_DG!$A$7:$G$1305,7,0)</f>
        <v>0</v>
      </c>
      <c r="J1014" s="608">
        <f t="shared" ca="1" si="208"/>
        <v>0</v>
      </c>
      <c r="K1014" s="608">
        <f t="shared" ca="1" si="208"/>
        <v>0</v>
      </c>
      <c r="L1014" s="725">
        <f t="shared" ca="1" si="208"/>
        <v>0</v>
      </c>
      <c r="M1014" s="1127">
        <f t="shared" ca="1" si="211"/>
        <v>0</v>
      </c>
      <c r="N1014" s="754">
        <f t="shared" ca="1" si="210"/>
        <v>0</v>
      </c>
    </row>
    <row r="1015" spans="1:14" hidden="1">
      <c r="A1015" s="696"/>
      <c r="B1015" s="226" t="s">
        <v>490</v>
      </c>
      <c r="C1015" s="713">
        <f>VLOOKUP($B1015,R_DG!$A$7:$G$1305,2,0)</f>
        <v>0</v>
      </c>
      <c r="D1015" s="723" t="str">
        <f>VLOOKUP($B1015,R_DG!$A$7:$G$1305,3,0)</f>
        <v>Nắp bịt đầu cáp ABC95mm2</v>
      </c>
      <c r="E1015" s="714" t="str">
        <f>VLOOKUP($B1015,R_DG!$A$7:$G$1305,4,0)</f>
        <v>cái</v>
      </c>
      <c r="F1015" s="724">
        <f t="shared" ca="1" si="209"/>
        <v>0</v>
      </c>
      <c r="G1015" s="608">
        <f>VLOOKUP($B1015,R_DG!$A$7:$G$1305,5,0)</f>
        <v>3900</v>
      </c>
      <c r="H1015" s="608">
        <f>VLOOKUP($B1015,R_DG!$A$7:$G$1305,6,0)</f>
        <v>0</v>
      </c>
      <c r="I1015" s="608">
        <f>VLOOKUP($B1015,R_DG!$A$7:$G$1305,7,0)</f>
        <v>0</v>
      </c>
      <c r="J1015" s="608">
        <f t="shared" ca="1" si="208"/>
        <v>0</v>
      </c>
      <c r="K1015" s="608">
        <f t="shared" ca="1" si="208"/>
        <v>0</v>
      </c>
      <c r="L1015" s="725">
        <f t="shared" ca="1" si="208"/>
        <v>0</v>
      </c>
      <c r="M1015" s="1127">
        <f t="shared" ca="1" si="211"/>
        <v>0</v>
      </c>
      <c r="N1015" s="754">
        <f t="shared" ca="1" si="210"/>
        <v>0</v>
      </c>
    </row>
    <row r="1016" spans="1:14" hidden="1">
      <c r="A1016" s="696"/>
      <c r="B1016" s="226" t="s">
        <v>494</v>
      </c>
      <c r="C1016" s="713">
        <f>VLOOKUP($B1016,R_DG!$A$7:$G$1305,2,0)</f>
        <v>0</v>
      </c>
      <c r="D1016" s="723" t="str">
        <f>VLOOKUP($B1016,R_DG!$A$7:$G$1305,3,0)</f>
        <v>Nắp bịt đầu cáp ABC50mm2</v>
      </c>
      <c r="E1016" s="714" t="str">
        <f>VLOOKUP($B1016,R_DG!$A$7:$G$1305,4,0)</f>
        <v>cái</v>
      </c>
      <c r="F1016" s="724">
        <f t="shared" ca="1" si="209"/>
        <v>0</v>
      </c>
      <c r="G1016" s="608">
        <f>VLOOKUP($B1016,R_DG!$A$7:$G$1305,5,0)</f>
        <v>1600</v>
      </c>
      <c r="H1016" s="608">
        <f>VLOOKUP($B1016,R_DG!$A$7:$G$1305,6,0)</f>
        <v>0</v>
      </c>
      <c r="I1016" s="608">
        <f>VLOOKUP($B1016,R_DG!$A$7:$G$1305,7,0)</f>
        <v>0</v>
      </c>
      <c r="J1016" s="608">
        <f t="shared" ca="1" si="208"/>
        <v>0</v>
      </c>
      <c r="K1016" s="608">
        <f t="shared" ca="1" si="208"/>
        <v>0</v>
      </c>
      <c r="L1016" s="725">
        <f t="shared" ca="1" si="208"/>
        <v>0</v>
      </c>
      <c r="M1016" s="1127">
        <f t="shared" ca="1" si="211"/>
        <v>0</v>
      </c>
      <c r="N1016" s="754">
        <f t="shared" ca="1" si="210"/>
        <v>0</v>
      </c>
    </row>
    <row r="1017" spans="1:14" hidden="1">
      <c r="A1017" s="696"/>
      <c r="B1017" s="226" t="s">
        <v>2799</v>
      </c>
      <c r="C1017" s="713">
        <f>VLOOKUP($B1017,R_DG!$A$7:$G$1305,2,0)</f>
        <v>0</v>
      </c>
      <c r="D1017" s="723" t="str">
        <f>VLOOKUP($B1017,R_DG!$A$7:$G$1305,3,0)</f>
        <v xml:space="preserve">Móc đơn treo cáp </v>
      </c>
      <c r="E1017" s="714" t="str">
        <f>VLOOKUP($B1017,R_DG!$A$7:$G$1305,4,0)</f>
        <v>cái</v>
      </c>
      <c r="F1017" s="724">
        <f t="shared" ca="1" si="209"/>
        <v>0</v>
      </c>
      <c r="G1017" s="608">
        <f>VLOOKUP($B1017,R_DG!$A$7:$G$1305,5,0)</f>
        <v>34000</v>
      </c>
      <c r="H1017" s="608">
        <f>VLOOKUP($B1017,R_DG!$A$7:$G$1305,6,0)</f>
        <v>0</v>
      </c>
      <c r="I1017" s="608">
        <f>VLOOKUP($B1017,R_DG!$A$7:$G$1305,7,0)</f>
        <v>0</v>
      </c>
      <c r="J1017" s="608">
        <f t="shared" ca="1" si="208"/>
        <v>0</v>
      </c>
      <c r="K1017" s="608">
        <f t="shared" ca="1" si="208"/>
        <v>0</v>
      </c>
      <c r="L1017" s="725">
        <f t="shared" ca="1" si="208"/>
        <v>0</v>
      </c>
      <c r="M1017" s="1127">
        <f t="shared" ca="1" si="211"/>
        <v>0</v>
      </c>
      <c r="N1017" s="754">
        <f t="shared" ca="1" si="210"/>
        <v>0</v>
      </c>
    </row>
    <row r="1018" spans="1:14" hidden="1">
      <c r="A1018" s="696"/>
      <c r="B1018" s="226" t="s">
        <v>2316</v>
      </c>
      <c r="C1018" s="713">
        <f>VLOOKUP($B1018,R_DG!$A$7:$G$1305,2,0)</f>
        <v>0</v>
      </c>
      <c r="D1018" s="723" t="str">
        <f>VLOOKUP($B1018,R_DG!$A$7:$G$1305,3,0)</f>
        <v>Uclevis</v>
      </c>
      <c r="E1018" s="714" t="str">
        <f>VLOOKUP($B1018,R_DG!$A$7:$G$1305,4,0)</f>
        <v>bộ</v>
      </c>
      <c r="F1018" s="724">
        <f t="shared" ca="1" si="209"/>
        <v>0</v>
      </c>
      <c r="G1018" s="608">
        <f>VLOOKUP($B1018,R_DG!$A$7:$G$1305,5,0)</f>
        <v>17000</v>
      </c>
      <c r="H1018" s="608">
        <f>VLOOKUP($B1018,R_DG!$A$7:$G$1305,6,0)</f>
        <v>0</v>
      </c>
      <c r="I1018" s="608">
        <f>VLOOKUP($B1018,R_DG!$A$7:$G$1305,7,0)</f>
        <v>0</v>
      </c>
      <c r="J1018" s="608">
        <f t="shared" ca="1" si="208"/>
        <v>0</v>
      </c>
      <c r="K1018" s="608">
        <f t="shared" ca="1" si="208"/>
        <v>0</v>
      </c>
      <c r="L1018" s="725">
        <f t="shared" ca="1" si="208"/>
        <v>0</v>
      </c>
      <c r="M1018" s="1127">
        <f t="shared" ca="1" si="211"/>
        <v>0</v>
      </c>
      <c r="N1018" s="754">
        <f t="shared" ca="1" si="210"/>
        <v>0</v>
      </c>
    </row>
    <row r="1019" spans="1:14" ht="21.95" hidden="1" customHeight="1">
      <c r="A1019" s="696"/>
      <c r="B1019" s="226" t="s">
        <v>2317</v>
      </c>
      <c r="C1019" s="713">
        <f>VLOOKUP($B1019,R_DG!$A$7:$G$1305,2,0)</f>
        <v>0</v>
      </c>
      <c r="D1019" s="723" t="str">
        <f>VLOOKUP($B1019,R_DG!$A$7:$G$1305,3,0)</f>
        <v>Rack 3 sứ</v>
      </c>
      <c r="E1019" s="714" t="str">
        <f>VLOOKUP($B1019,R_DG!$A$7:$G$1305,4,0)</f>
        <v>bộ</v>
      </c>
      <c r="F1019" s="724">
        <v>20</v>
      </c>
      <c r="G1019" s="608">
        <f>VLOOKUP($B1019,R_DG!$A$7:$G$1305,5,0)</f>
        <v>108800</v>
      </c>
      <c r="H1019" s="608">
        <f>VLOOKUP($B1019,R_DG!$A$7:$G$1305,6,0)</f>
        <v>0</v>
      </c>
      <c r="I1019" s="608">
        <f>VLOOKUP($B1019,R_DG!$A$7:$G$1305,7,0)</f>
        <v>0</v>
      </c>
      <c r="J1019" s="608">
        <f t="shared" si="208"/>
        <v>2176000</v>
      </c>
      <c r="K1019" s="608">
        <f t="shared" si="208"/>
        <v>0</v>
      </c>
      <c r="L1019" s="725">
        <f t="shared" si="208"/>
        <v>0</v>
      </c>
      <c r="M1019" s="1127">
        <f t="shared" si="211"/>
        <v>1</v>
      </c>
      <c r="N1019" s="754">
        <f t="shared" si="210"/>
        <v>20</v>
      </c>
    </row>
    <row r="1020" spans="1:14" hidden="1">
      <c r="A1020" s="696"/>
      <c r="B1020" s="226" t="s">
        <v>2318</v>
      </c>
      <c r="C1020" s="713">
        <f>VLOOKUP($B1020,R_DG!$A$7:$G$1305,2,0)</f>
        <v>0</v>
      </c>
      <c r="D1020" s="723" t="str">
        <f>VLOOKUP($B1020,R_DG!$A$7:$G$1305,3,0)</f>
        <v>Rack 4 sứ</v>
      </c>
      <c r="E1020" s="714" t="str">
        <f>VLOOKUP($B1020,R_DG!$A$7:$G$1305,4,0)</f>
        <v>bộ</v>
      </c>
      <c r="F1020" s="724">
        <f t="shared" ca="1" si="209"/>
        <v>0</v>
      </c>
      <c r="G1020" s="608">
        <f>VLOOKUP($B1020,R_DG!$A$7:$G$1305,5,0)</f>
        <v>135800</v>
      </c>
      <c r="H1020" s="608">
        <f>VLOOKUP($B1020,R_DG!$A$7:$G$1305,6,0)</f>
        <v>0</v>
      </c>
      <c r="I1020" s="608">
        <f>VLOOKUP($B1020,R_DG!$A$7:$G$1305,7,0)</f>
        <v>0</v>
      </c>
      <c r="J1020" s="608">
        <f t="shared" ca="1" si="208"/>
        <v>0</v>
      </c>
      <c r="K1020" s="608">
        <f t="shared" ca="1" si="208"/>
        <v>0</v>
      </c>
      <c r="L1020" s="725">
        <f t="shared" ca="1" si="208"/>
        <v>0</v>
      </c>
      <c r="M1020" s="1127">
        <f t="shared" ca="1" si="211"/>
        <v>0</v>
      </c>
      <c r="N1020" s="754">
        <f t="shared" ca="1" si="210"/>
        <v>0</v>
      </c>
    </row>
    <row r="1021" spans="1:14" hidden="1">
      <c r="A1021" s="696"/>
      <c r="B1021" s="226" t="s">
        <v>2464</v>
      </c>
      <c r="C1021" s="713">
        <f>VLOOKUP($B1021,R_DG!$A$7:$G$1305,2,0)</f>
        <v>0</v>
      </c>
      <c r="D1021" s="723" t="str">
        <f>VLOOKUP($B1021,R_DG!$A$7:$G$1305,3,0)</f>
        <v>Collier kẹp ống PVC φ 90</v>
      </c>
      <c r="E1021" s="714" t="str">
        <f>VLOOKUP($B1021,R_DG!$A$7:$G$1305,4,0)</f>
        <v>bộ</v>
      </c>
      <c r="F1021" s="724">
        <f t="shared" ca="1" si="209"/>
        <v>0</v>
      </c>
      <c r="G1021" s="608">
        <f>VLOOKUP($B1021,R_DG!$A$7:$G$1305,5,0)</f>
        <v>56000</v>
      </c>
      <c r="H1021" s="608">
        <f>VLOOKUP($B1021,R_DG!$A$7:$G$1305,6,0)</f>
        <v>0</v>
      </c>
      <c r="I1021" s="608">
        <f>VLOOKUP($B1021,R_DG!$A$7:$G$1305,7,0)</f>
        <v>0</v>
      </c>
      <c r="J1021" s="608">
        <f t="shared" ca="1" si="208"/>
        <v>0</v>
      </c>
      <c r="K1021" s="608">
        <f t="shared" ca="1" si="208"/>
        <v>0</v>
      </c>
      <c r="L1021" s="725">
        <f t="shared" ca="1" si="208"/>
        <v>0</v>
      </c>
      <c r="M1021" s="1127">
        <f t="shared" ca="1" si="211"/>
        <v>0</v>
      </c>
      <c r="N1021" s="754">
        <f t="shared" ca="1" si="210"/>
        <v>0</v>
      </c>
    </row>
    <row r="1022" spans="1:14" ht="21.95" hidden="1" customHeight="1">
      <c r="A1022" s="696"/>
      <c r="B1022" s="226" t="s">
        <v>4844</v>
      </c>
      <c r="C1022" s="713">
        <f>VLOOKUP($B1022,R_DG!$A$7:$G$1305,2,0)</f>
        <v>0</v>
      </c>
      <c r="D1022" s="723" t="str">
        <f>VLOOKUP($B1022,R_DG!$A$7:$G$1305,3,0)</f>
        <v>Collier kẹp ống PVC φ 114</v>
      </c>
      <c r="E1022" s="714" t="str">
        <f>VLOOKUP($B1022,R_DG!$A$7:$G$1305,4,0)</f>
        <v>bộ</v>
      </c>
      <c r="F1022" s="724">
        <v>4</v>
      </c>
      <c r="G1022" s="608">
        <f>VLOOKUP($B1022,R_DG!$A$7:$G$1305,5,0)</f>
        <v>59000</v>
      </c>
      <c r="H1022" s="608">
        <f>VLOOKUP($B1022,R_DG!$A$7:$G$1305,6,0)</f>
        <v>0</v>
      </c>
      <c r="I1022" s="608">
        <f>VLOOKUP($B1022,R_DG!$A$7:$G$1305,7,0)</f>
        <v>0</v>
      </c>
      <c r="J1022" s="608">
        <f t="shared" si="208"/>
        <v>236000</v>
      </c>
      <c r="K1022" s="608">
        <f t="shared" si="208"/>
        <v>0</v>
      </c>
      <c r="L1022" s="725">
        <f t="shared" si="208"/>
        <v>0</v>
      </c>
      <c r="M1022" s="1127">
        <f t="shared" si="211"/>
        <v>1</v>
      </c>
      <c r="N1022" s="754">
        <f t="shared" si="210"/>
        <v>4</v>
      </c>
    </row>
    <row r="1023" spans="1:14" hidden="1">
      <c r="A1023" s="696"/>
      <c r="B1023" s="226" t="s">
        <v>4845</v>
      </c>
      <c r="C1023" s="713">
        <f>VLOOKUP($B1023,R_DG!$A$7:$G$1305,2,0)</f>
        <v>0</v>
      </c>
      <c r="D1023" s="723" t="str">
        <f>VLOOKUP($B1023,R_DG!$A$7:$G$1305,3,0)</f>
        <v>Đầu cosse ép Cu 50mm2</v>
      </c>
      <c r="E1023" s="714" t="str">
        <f>VLOOKUP($B1023,R_DG!$A$7:$G$1305,4,0)</f>
        <v>cái</v>
      </c>
      <c r="F1023" s="724">
        <f t="shared" ca="1" si="209"/>
        <v>0</v>
      </c>
      <c r="G1023" s="608">
        <f>VLOOKUP($B1023,R_DG!$A$7:$G$1305,5,0)</f>
        <v>9100</v>
      </c>
      <c r="H1023" s="608">
        <f>VLOOKUP($B1023,R_DG!$A$7:$G$1305,6,0)</f>
        <v>0</v>
      </c>
      <c r="I1023" s="608">
        <f>VLOOKUP($B1023,R_DG!$A$7:$G$1305,7,0)</f>
        <v>0</v>
      </c>
      <c r="J1023" s="608">
        <f t="shared" ca="1" si="208"/>
        <v>0</v>
      </c>
      <c r="K1023" s="608">
        <f t="shared" ca="1" si="208"/>
        <v>0</v>
      </c>
      <c r="L1023" s="725">
        <f t="shared" ca="1" si="208"/>
        <v>0</v>
      </c>
      <c r="M1023" s="1127">
        <f t="shared" ca="1" si="211"/>
        <v>0</v>
      </c>
      <c r="N1023" s="754">
        <f t="shared" ca="1" si="210"/>
        <v>0</v>
      </c>
    </row>
    <row r="1024" spans="1:14" hidden="1">
      <c r="A1024" s="696"/>
      <c r="B1024" s="226" t="s">
        <v>2320</v>
      </c>
      <c r="C1024" s="713">
        <f>VLOOKUP($B1024,R_DG!$A$7:$G$1305,2,0)</f>
        <v>0</v>
      </c>
      <c r="D1024" s="723" t="str">
        <f>VLOOKUP($B1024,R_DG!$A$7:$G$1305,3,0)</f>
        <v>Đầu cosse ép Cu 70mm2</v>
      </c>
      <c r="E1024" s="714" t="str">
        <f>VLOOKUP($B1024,R_DG!$A$7:$G$1305,4,0)</f>
        <v>cái</v>
      </c>
      <c r="F1024" s="724">
        <f t="shared" ca="1" si="209"/>
        <v>0</v>
      </c>
      <c r="G1024" s="608">
        <f>VLOOKUP($B1024,R_DG!$A$7:$G$1305,5,0)</f>
        <v>14000</v>
      </c>
      <c r="H1024" s="608">
        <f>VLOOKUP($B1024,R_DG!$A$7:$G$1305,6,0)</f>
        <v>0</v>
      </c>
      <c r="I1024" s="608">
        <f>VLOOKUP($B1024,R_DG!$A$7:$G$1305,7,0)</f>
        <v>0</v>
      </c>
      <c r="J1024" s="608">
        <f t="shared" ref="J1024:L1076" ca="1" si="212">G1024*$F1024</f>
        <v>0</v>
      </c>
      <c r="K1024" s="608">
        <f t="shared" ca="1" si="212"/>
        <v>0</v>
      </c>
      <c r="L1024" s="725">
        <f t="shared" ca="1" si="212"/>
        <v>0</v>
      </c>
      <c r="M1024" s="1127">
        <f t="shared" ca="1" si="211"/>
        <v>0</v>
      </c>
      <c r="N1024" s="754">
        <f t="shared" ca="1" si="210"/>
        <v>0</v>
      </c>
    </row>
    <row r="1025" spans="1:14" hidden="1">
      <c r="A1025" s="696"/>
      <c r="B1025" s="226" t="s">
        <v>4846</v>
      </c>
      <c r="C1025" s="713">
        <f>VLOOKUP($B1025,R_DG!$A$7:$G$1305,2,0)</f>
        <v>0</v>
      </c>
      <c r="D1025" s="723" t="str">
        <f>VLOOKUP($B1025,R_DG!$A$7:$G$1305,3,0)</f>
        <v>Đầu cosse ép Cu 95mm2</v>
      </c>
      <c r="E1025" s="714" t="str">
        <f>VLOOKUP($B1025,R_DG!$A$7:$G$1305,4,0)</f>
        <v>cái</v>
      </c>
      <c r="F1025" s="724">
        <f t="shared" ca="1" si="209"/>
        <v>0</v>
      </c>
      <c r="G1025" s="608">
        <f>VLOOKUP($B1025,R_DG!$A$7:$G$1305,5,0)</f>
        <v>21000</v>
      </c>
      <c r="H1025" s="608">
        <f>VLOOKUP($B1025,R_DG!$A$7:$G$1305,6,0)</f>
        <v>0</v>
      </c>
      <c r="I1025" s="608">
        <f>VLOOKUP($B1025,R_DG!$A$7:$G$1305,7,0)</f>
        <v>0</v>
      </c>
      <c r="J1025" s="608">
        <f t="shared" ca="1" si="212"/>
        <v>0</v>
      </c>
      <c r="K1025" s="608">
        <f t="shared" ca="1" si="212"/>
        <v>0</v>
      </c>
      <c r="L1025" s="725">
        <f t="shared" ca="1" si="212"/>
        <v>0</v>
      </c>
      <c r="M1025" s="1127">
        <f t="shared" ca="1" si="211"/>
        <v>0</v>
      </c>
      <c r="N1025" s="754">
        <f t="shared" ca="1" si="210"/>
        <v>0</v>
      </c>
    </row>
    <row r="1026" spans="1:14" hidden="1">
      <c r="A1026" s="696"/>
      <c r="B1026" s="226" t="s">
        <v>4847</v>
      </c>
      <c r="C1026" s="713">
        <f>VLOOKUP($B1026,R_DG!$A$7:$G$1305,2,0)</f>
        <v>0</v>
      </c>
      <c r="D1026" s="723" t="str">
        <f>VLOOKUP($B1026,R_DG!$A$7:$G$1305,3,0)</f>
        <v>Đầu cosse ép Cu 120mm2</v>
      </c>
      <c r="E1026" s="714" t="str">
        <f>VLOOKUP($B1026,R_DG!$A$7:$G$1305,4,0)</f>
        <v>cái</v>
      </c>
      <c r="F1026" s="724">
        <f t="shared" ca="1" si="209"/>
        <v>0</v>
      </c>
      <c r="G1026" s="608">
        <f>VLOOKUP($B1026,R_DG!$A$7:$G$1305,5,0)</f>
        <v>27000</v>
      </c>
      <c r="H1026" s="608">
        <f>VLOOKUP($B1026,R_DG!$A$7:$G$1305,6,0)</f>
        <v>0</v>
      </c>
      <c r="I1026" s="608">
        <f>VLOOKUP($B1026,R_DG!$A$7:$G$1305,7,0)</f>
        <v>0</v>
      </c>
      <c r="J1026" s="608">
        <f t="shared" ca="1" si="212"/>
        <v>0</v>
      </c>
      <c r="K1026" s="608">
        <f t="shared" ca="1" si="212"/>
        <v>0</v>
      </c>
      <c r="L1026" s="725">
        <f t="shared" ca="1" si="212"/>
        <v>0</v>
      </c>
      <c r="M1026" s="1127">
        <f t="shared" ca="1" si="211"/>
        <v>0</v>
      </c>
      <c r="N1026" s="754">
        <f t="shared" ca="1" si="210"/>
        <v>0</v>
      </c>
    </row>
    <row r="1027" spans="1:14" hidden="1">
      <c r="A1027" s="696"/>
      <c r="B1027" s="226" t="s">
        <v>4848</v>
      </c>
      <c r="C1027" s="713">
        <f>VLOOKUP($B1027,R_DG!$A$7:$G$1305,2,0)</f>
        <v>0</v>
      </c>
      <c r="D1027" s="723" t="str">
        <f>VLOOKUP($B1027,R_DG!$A$7:$G$1305,3,0)</f>
        <v>Đầu cosse ép Cu 150mm2</v>
      </c>
      <c r="E1027" s="714" t="str">
        <f>VLOOKUP($B1027,R_DG!$A$7:$G$1305,4,0)</f>
        <v>cái</v>
      </c>
      <c r="F1027" s="724">
        <f t="shared" ca="1" si="209"/>
        <v>0</v>
      </c>
      <c r="G1027" s="608">
        <f>VLOOKUP($B1027,R_DG!$A$7:$G$1305,5,0)</f>
        <v>36000</v>
      </c>
      <c r="H1027" s="608">
        <f>VLOOKUP($B1027,R_DG!$A$7:$G$1305,6,0)</f>
        <v>0</v>
      </c>
      <c r="I1027" s="608">
        <f>VLOOKUP($B1027,R_DG!$A$7:$G$1305,7,0)</f>
        <v>0</v>
      </c>
      <c r="J1027" s="608">
        <f t="shared" ca="1" si="212"/>
        <v>0</v>
      </c>
      <c r="K1027" s="608">
        <f t="shared" ca="1" si="212"/>
        <v>0</v>
      </c>
      <c r="L1027" s="725">
        <f t="shared" ca="1" si="212"/>
        <v>0</v>
      </c>
      <c r="M1027" s="1127">
        <f t="shared" ca="1" si="211"/>
        <v>0</v>
      </c>
      <c r="N1027" s="754">
        <f t="shared" ca="1" si="210"/>
        <v>0</v>
      </c>
    </row>
    <row r="1028" spans="1:14" hidden="1">
      <c r="A1028" s="696"/>
      <c r="B1028" s="226" t="s">
        <v>4849</v>
      </c>
      <c r="C1028" s="713">
        <f>VLOOKUP($B1028,R_DG!$A$7:$G$1305,2,0)</f>
        <v>0</v>
      </c>
      <c r="D1028" s="723" t="str">
        <f>VLOOKUP($B1028,R_DG!$A$7:$G$1305,3,0)</f>
        <v>Đầu cosse ép Cu 240mm2</v>
      </c>
      <c r="E1028" s="714" t="str">
        <f>VLOOKUP($B1028,R_DG!$A$7:$G$1305,4,0)</f>
        <v>cái</v>
      </c>
      <c r="F1028" s="724">
        <f t="shared" ca="1" si="209"/>
        <v>0</v>
      </c>
      <c r="G1028" s="608">
        <f>VLOOKUP($B1028,R_DG!$A$7:$G$1305,5,0)</f>
        <v>70000</v>
      </c>
      <c r="H1028" s="608">
        <f>VLOOKUP($B1028,R_DG!$A$7:$G$1305,6,0)</f>
        <v>0</v>
      </c>
      <c r="I1028" s="608">
        <f>VLOOKUP($B1028,R_DG!$A$7:$G$1305,7,0)</f>
        <v>0</v>
      </c>
      <c r="J1028" s="608">
        <f t="shared" ca="1" si="212"/>
        <v>0</v>
      </c>
      <c r="K1028" s="608">
        <f t="shared" ca="1" si="212"/>
        <v>0</v>
      </c>
      <c r="L1028" s="725">
        <f t="shared" ca="1" si="212"/>
        <v>0</v>
      </c>
      <c r="M1028" s="1127">
        <f t="shared" ca="1" si="211"/>
        <v>0</v>
      </c>
      <c r="N1028" s="754">
        <f t="shared" ca="1" si="210"/>
        <v>0</v>
      </c>
    </row>
    <row r="1029" spans="1:14" hidden="1">
      <c r="A1029" s="696"/>
      <c r="B1029" s="226" t="s">
        <v>4850</v>
      </c>
      <c r="C1029" s="713">
        <f>VLOOKUP($B1029,R_DG!$A$7:$G$1305,2,0)</f>
        <v>0</v>
      </c>
      <c r="D1029" s="723" t="str">
        <f>VLOOKUP($B1029,R_DG!$A$7:$G$1305,3,0)</f>
        <v xml:space="preserve">Ống PVC D90x3,8mm </v>
      </c>
      <c r="E1029" s="714" t="str">
        <f>VLOOKUP($B1029,R_DG!$A$7:$G$1305,4,0)</f>
        <v>m</v>
      </c>
      <c r="F1029" s="724">
        <f t="shared" ca="1" si="209"/>
        <v>0</v>
      </c>
      <c r="G1029" s="608">
        <f>VLOOKUP($B1029,R_DG!$A$7:$G$1305,5,0)</f>
        <v>63100</v>
      </c>
      <c r="H1029" s="608">
        <f>VLOOKUP($B1029,R_DG!$A$7:$G$1305,6,0)</f>
        <v>0</v>
      </c>
      <c r="I1029" s="608">
        <f>VLOOKUP($B1029,R_DG!$A$7:$G$1305,7,0)</f>
        <v>0</v>
      </c>
      <c r="J1029" s="608">
        <f t="shared" ca="1" si="212"/>
        <v>0</v>
      </c>
      <c r="K1029" s="608">
        <f t="shared" ca="1" si="212"/>
        <v>0</v>
      </c>
      <c r="L1029" s="725">
        <f t="shared" ca="1" si="212"/>
        <v>0</v>
      </c>
      <c r="M1029" s="1127">
        <f t="shared" ca="1" si="211"/>
        <v>0</v>
      </c>
      <c r="N1029" s="754">
        <f t="shared" ca="1" si="210"/>
        <v>0</v>
      </c>
    </row>
    <row r="1030" spans="1:14" hidden="1">
      <c r="A1030" s="696"/>
      <c r="B1030" s="226" t="s">
        <v>4851</v>
      </c>
      <c r="C1030" s="713">
        <f>VLOOKUP($B1030,R_DG!$A$7:$G$1305,2,0)</f>
        <v>0</v>
      </c>
      <c r="D1030" s="723" t="str">
        <f>VLOOKUP($B1030,R_DG!$A$7:$G$1305,3,0)</f>
        <v xml:space="preserve">Ống PVC D114x4,9mm </v>
      </c>
      <c r="E1030" s="714" t="str">
        <f>VLOOKUP($B1030,R_DG!$A$7:$G$1305,4,0)</f>
        <v>m</v>
      </c>
      <c r="F1030" s="724">
        <f t="shared" ca="1" si="209"/>
        <v>0</v>
      </c>
      <c r="G1030" s="608">
        <f>VLOOKUP($B1030,R_DG!$A$7:$G$1305,5,0)</f>
        <v>103700</v>
      </c>
      <c r="H1030" s="608">
        <f>VLOOKUP($B1030,R_DG!$A$7:$G$1305,6,0)</f>
        <v>0</v>
      </c>
      <c r="I1030" s="608">
        <f>VLOOKUP($B1030,R_DG!$A$7:$G$1305,7,0)</f>
        <v>0</v>
      </c>
      <c r="J1030" s="608">
        <f t="shared" ca="1" si="212"/>
        <v>0</v>
      </c>
      <c r="K1030" s="608">
        <f t="shared" ca="1" si="212"/>
        <v>0</v>
      </c>
      <c r="L1030" s="725">
        <f t="shared" ca="1" si="212"/>
        <v>0</v>
      </c>
      <c r="M1030" s="1127">
        <f t="shared" ca="1" si="211"/>
        <v>0</v>
      </c>
      <c r="N1030" s="754">
        <f t="shared" ca="1" si="210"/>
        <v>0</v>
      </c>
    </row>
    <row r="1031" spans="1:14" hidden="1">
      <c r="A1031" s="696"/>
      <c r="B1031" s="226" t="s">
        <v>2319</v>
      </c>
      <c r="C1031" s="713">
        <f>VLOOKUP($B1031,R_DG!$A$7:$G$1305,2,0)</f>
        <v>0</v>
      </c>
      <c r="D1031" s="723" t="str">
        <f>VLOOKUP($B1031,R_DG!$A$7:$G$1305,3,0)</f>
        <v>Co 90 độ PVC 90</v>
      </c>
      <c r="E1031" s="714" t="str">
        <f>VLOOKUP($B1031,R_DG!$A$7:$G$1305,4,0)</f>
        <v>cái</v>
      </c>
      <c r="F1031" s="724">
        <f t="shared" ca="1" si="209"/>
        <v>0</v>
      </c>
      <c r="G1031" s="608">
        <f>VLOOKUP($B1031,R_DG!$A$7:$G$1305,5,0)</f>
        <v>45400</v>
      </c>
      <c r="H1031" s="608">
        <f>VLOOKUP($B1031,R_DG!$A$7:$G$1305,6,0)</f>
        <v>0</v>
      </c>
      <c r="I1031" s="608">
        <f>VLOOKUP($B1031,R_DG!$A$7:$G$1305,7,0)</f>
        <v>0</v>
      </c>
      <c r="J1031" s="608">
        <f t="shared" ca="1" si="212"/>
        <v>0</v>
      </c>
      <c r="K1031" s="608">
        <f t="shared" ca="1" si="212"/>
        <v>0</v>
      </c>
      <c r="L1031" s="725">
        <f t="shared" ca="1" si="212"/>
        <v>0</v>
      </c>
      <c r="M1031" s="1127">
        <f t="shared" ca="1" si="211"/>
        <v>0</v>
      </c>
      <c r="N1031" s="754">
        <f t="shared" ca="1" si="210"/>
        <v>0</v>
      </c>
    </row>
    <row r="1032" spans="1:14" hidden="1">
      <c r="A1032" s="696"/>
      <c r="B1032" s="226" t="s">
        <v>4853</v>
      </c>
      <c r="C1032" s="713">
        <f>VLOOKUP($B1032,R_DG!$A$7:$G$1305,2,0)</f>
        <v>0</v>
      </c>
      <c r="D1032" s="723" t="str">
        <f>VLOOKUP($B1032,R_DG!$A$7:$G$1305,3,0)</f>
        <v>Co 90 độ PVC 114</v>
      </c>
      <c r="E1032" s="714" t="str">
        <f>VLOOKUP($B1032,R_DG!$A$7:$G$1305,4,0)</f>
        <v>cái</v>
      </c>
      <c r="F1032" s="724">
        <f t="shared" ca="1" si="209"/>
        <v>0</v>
      </c>
      <c r="G1032" s="608">
        <f>VLOOKUP($B1032,R_DG!$A$7:$G$1305,5,0)</f>
        <v>43100</v>
      </c>
      <c r="H1032" s="608">
        <f>VLOOKUP($B1032,R_DG!$A$7:$G$1305,6,0)</f>
        <v>0</v>
      </c>
      <c r="I1032" s="608">
        <f>VLOOKUP($B1032,R_DG!$A$7:$G$1305,7,0)</f>
        <v>0</v>
      </c>
      <c r="J1032" s="608">
        <f t="shared" ca="1" si="212"/>
        <v>0</v>
      </c>
      <c r="K1032" s="608">
        <f t="shared" ca="1" si="212"/>
        <v>0</v>
      </c>
      <c r="L1032" s="725">
        <f t="shared" ca="1" si="212"/>
        <v>0</v>
      </c>
      <c r="M1032" s="1127">
        <f t="shared" ca="1" si="211"/>
        <v>0</v>
      </c>
      <c r="N1032" s="754">
        <f t="shared" ca="1" si="210"/>
        <v>0</v>
      </c>
    </row>
    <row r="1033" spans="1:14" hidden="1">
      <c r="A1033" s="696"/>
      <c r="B1033" s="226" t="s">
        <v>4852</v>
      </c>
      <c r="C1033" s="713">
        <f>VLOOKUP($B1033,R_DG!$A$7:$G$1305,2,0)</f>
        <v>0</v>
      </c>
      <c r="D1033" s="723" t="str">
        <f>VLOOKUP($B1033,R_DG!$A$7:$G$1305,3,0)</f>
        <v>Co sừng 90 độ PVC 114</v>
      </c>
      <c r="E1033" s="714" t="str">
        <f>VLOOKUP($B1033,R_DG!$A$7:$G$1305,4,0)</f>
        <v>cái</v>
      </c>
      <c r="F1033" s="724">
        <f t="shared" ca="1" si="209"/>
        <v>0</v>
      </c>
      <c r="G1033" s="608">
        <f>VLOOKUP($B1033,R_DG!$A$7:$G$1305,5,0)</f>
        <v>51700</v>
      </c>
      <c r="H1033" s="608">
        <f>VLOOKUP($B1033,R_DG!$A$7:$G$1305,6,0)</f>
        <v>0</v>
      </c>
      <c r="I1033" s="608">
        <f>VLOOKUP($B1033,R_DG!$A$7:$G$1305,7,0)</f>
        <v>0</v>
      </c>
      <c r="J1033" s="608">
        <f t="shared" ca="1" si="212"/>
        <v>0</v>
      </c>
      <c r="K1033" s="608">
        <f t="shared" ca="1" si="212"/>
        <v>0</v>
      </c>
      <c r="L1033" s="725">
        <f t="shared" ca="1" si="212"/>
        <v>0</v>
      </c>
      <c r="M1033" s="1127">
        <f t="shared" ca="1" si="211"/>
        <v>0</v>
      </c>
      <c r="N1033" s="754">
        <f t="shared" ca="1" si="210"/>
        <v>0</v>
      </c>
    </row>
    <row r="1034" spans="1:14" hidden="1">
      <c r="A1034" s="696"/>
      <c r="B1034" s="226" t="s">
        <v>4854</v>
      </c>
      <c r="C1034" s="713">
        <f>VLOOKUP($B1034,R_DG!$A$7:$G$1305,2,0)</f>
        <v>0</v>
      </c>
      <c r="D1034" s="723" t="str">
        <f>VLOOKUP($B1034,R_DG!$A$7:$G$1305,3,0)</f>
        <v>Co 135 độ PVC 90</v>
      </c>
      <c r="E1034" s="714" t="str">
        <f>VLOOKUP($B1034,R_DG!$A$7:$G$1305,4,0)</f>
        <v>cái</v>
      </c>
      <c r="F1034" s="724">
        <f t="shared" ca="1" si="209"/>
        <v>0</v>
      </c>
      <c r="G1034" s="608">
        <f>VLOOKUP($B1034,R_DG!$A$7:$G$1305,5,0)</f>
        <v>33900</v>
      </c>
      <c r="H1034" s="608">
        <f>VLOOKUP($B1034,R_DG!$A$7:$G$1305,6,0)</f>
        <v>0</v>
      </c>
      <c r="I1034" s="608">
        <f>VLOOKUP($B1034,R_DG!$A$7:$G$1305,7,0)</f>
        <v>0</v>
      </c>
      <c r="J1034" s="608">
        <f t="shared" ca="1" si="212"/>
        <v>0</v>
      </c>
      <c r="K1034" s="608">
        <f t="shared" ca="1" si="212"/>
        <v>0</v>
      </c>
      <c r="L1034" s="725">
        <f t="shared" ca="1" si="212"/>
        <v>0</v>
      </c>
      <c r="M1034" s="1127">
        <f t="shared" ca="1" si="211"/>
        <v>0</v>
      </c>
      <c r="N1034" s="754">
        <f t="shared" ca="1" si="210"/>
        <v>0</v>
      </c>
    </row>
    <row r="1035" spans="1:14" hidden="1">
      <c r="A1035" s="696"/>
      <c r="B1035" s="226" t="s">
        <v>4855</v>
      </c>
      <c r="C1035" s="713">
        <f>VLOOKUP($B1035,R_DG!$A$7:$G$1305,2,0)</f>
        <v>0</v>
      </c>
      <c r="D1035" s="723" t="str">
        <f>VLOOKUP($B1035,R_DG!$A$7:$G$1305,3,0)</f>
        <v>Co 135 độ PVC 114</v>
      </c>
      <c r="E1035" s="714" t="str">
        <f>VLOOKUP($B1035,R_DG!$A$7:$G$1305,4,0)</f>
        <v>cái</v>
      </c>
      <c r="F1035" s="724">
        <f t="shared" ca="1" si="209"/>
        <v>0</v>
      </c>
      <c r="G1035" s="608">
        <f>VLOOKUP($B1035,R_DG!$A$7:$G$1305,5,0)</f>
        <v>43100</v>
      </c>
      <c r="H1035" s="608">
        <f>VLOOKUP($B1035,R_DG!$A$7:$G$1305,6,0)</f>
        <v>0</v>
      </c>
      <c r="I1035" s="608">
        <f>VLOOKUP($B1035,R_DG!$A$7:$G$1305,7,0)</f>
        <v>0</v>
      </c>
      <c r="J1035" s="608">
        <f t="shared" ca="1" si="212"/>
        <v>0</v>
      </c>
      <c r="K1035" s="608">
        <f t="shared" ca="1" si="212"/>
        <v>0</v>
      </c>
      <c r="L1035" s="725">
        <f t="shared" ca="1" si="212"/>
        <v>0</v>
      </c>
      <c r="M1035" s="1127">
        <f t="shared" ca="1" si="211"/>
        <v>0</v>
      </c>
      <c r="N1035" s="754">
        <f t="shared" ca="1" si="210"/>
        <v>0</v>
      </c>
    </row>
    <row r="1036" spans="1:14" hidden="1">
      <c r="A1036" s="696"/>
      <c r="B1036" s="226" t="s">
        <v>76</v>
      </c>
      <c r="C1036" s="713">
        <f>VLOOKUP($B1036,R_DG!$A$7:$G$1305,2,0)</f>
        <v>0</v>
      </c>
      <c r="D1036" s="723" t="str">
        <f>VLOOKUP($B1036,R_DG!$A$7:$G$1305,3,0)</f>
        <v>Boulon 16x50+ 2 long đền vuông D18-50x50x3/Zn</v>
      </c>
      <c r="E1036" s="714" t="str">
        <f>VLOOKUP($B1036,R_DG!$A$7:$G$1305,4,0)</f>
        <v>bộ</v>
      </c>
      <c r="F1036" s="724">
        <f t="shared" ca="1" si="209"/>
        <v>0</v>
      </c>
      <c r="G1036" s="608" t="e">
        <f>VLOOKUP($B1036,R_DG!$A$7:$G$1305,5,0)</f>
        <v>#REF!</v>
      </c>
      <c r="H1036" s="608">
        <f>VLOOKUP($B1036,R_DG!$A$7:$G$1305,6,0)</f>
        <v>0</v>
      </c>
      <c r="I1036" s="608">
        <f>VLOOKUP($B1036,R_DG!$A$7:$G$1305,7,0)</f>
        <v>0</v>
      </c>
      <c r="J1036" s="608" t="e">
        <f t="shared" ca="1" si="212"/>
        <v>#REF!</v>
      </c>
      <c r="K1036" s="608">
        <f t="shared" ca="1" si="212"/>
        <v>0</v>
      </c>
      <c r="L1036" s="725">
        <f t="shared" ca="1" si="212"/>
        <v>0</v>
      </c>
      <c r="M1036" s="1127">
        <f t="shared" ca="1" si="211"/>
        <v>0</v>
      </c>
      <c r="N1036" s="754">
        <f t="shared" ca="1" si="210"/>
        <v>0</v>
      </c>
    </row>
    <row r="1037" spans="1:14" hidden="1">
      <c r="A1037" s="696"/>
      <c r="B1037" s="226" t="s">
        <v>78</v>
      </c>
      <c r="C1037" s="713">
        <f>VLOOKUP($B1037,R_DG!$A$7:$G$1305,2,0)</f>
        <v>0</v>
      </c>
      <c r="D1037" s="723" t="str">
        <f>VLOOKUP($B1037,R_DG!$A$7:$G$1305,3,0)</f>
        <v>Boulon 16x100+ 2 long đền vuông D18-50x50x3/Zn</v>
      </c>
      <c r="E1037" s="714" t="str">
        <f>VLOOKUP($B1037,R_DG!$A$7:$G$1305,4,0)</f>
        <v>bộ</v>
      </c>
      <c r="F1037" s="724">
        <f t="shared" ca="1" si="209"/>
        <v>0</v>
      </c>
      <c r="G1037" s="608" t="e">
        <f>VLOOKUP($B1037,R_DG!$A$7:$G$1305,5,0)</f>
        <v>#REF!</v>
      </c>
      <c r="H1037" s="608">
        <f>VLOOKUP($B1037,R_DG!$A$7:$G$1305,6,0)</f>
        <v>0</v>
      </c>
      <c r="I1037" s="608">
        <f>VLOOKUP($B1037,R_DG!$A$7:$G$1305,7,0)</f>
        <v>0</v>
      </c>
      <c r="J1037" s="608" t="e">
        <f t="shared" ca="1" si="212"/>
        <v>#REF!</v>
      </c>
      <c r="K1037" s="608">
        <f t="shared" ca="1" si="212"/>
        <v>0</v>
      </c>
      <c r="L1037" s="725">
        <f t="shared" ca="1" si="212"/>
        <v>0</v>
      </c>
      <c r="M1037" s="1127">
        <f t="shared" ca="1" si="211"/>
        <v>0</v>
      </c>
      <c r="N1037" s="754">
        <f t="shared" ca="1" si="210"/>
        <v>0</v>
      </c>
    </row>
    <row r="1038" spans="1:14" hidden="1">
      <c r="A1038" s="696"/>
      <c r="B1038" s="226" t="s">
        <v>82</v>
      </c>
      <c r="C1038" s="713">
        <f>VLOOKUP($B1038,R_DG!$A$7:$G$1305,2,0)</f>
        <v>0</v>
      </c>
      <c r="D1038" s="723" t="str">
        <f>VLOOKUP($B1038,R_DG!$A$7:$G$1305,3,0)</f>
        <v>Boulon 16x200+ 2 long đền vuông D18-50x50x3/Zn</v>
      </c>
      <c r="E1038" s="714" t="str">
        <f>VLOOKUP($B1038,R_DG!$A$7:$G$1305,4,0)</f>
        <v>bộ</v>
      </c>
      <c r="F1038" s="724">
        <f t="shared" ca="1" si="209"/>
        <v>0</v>
      </c>
      <c r="G1038" s="608" t="e">
        <f>VLOOKUP($B1038,R_DG!$A$7:$G$1305,5,0)</f>
        <v>#REF!</v>
      </c>
      <c r="H1038" s="608">
        <f>VLOOKUP($B1038,R_DG!$A$7:$G$1305,6,0)</f>
        <v>0</v>
      </c>
      <c r="I1038" s="608">
        <f>VLOOKUP($B1038,R_DG!$A$7:$G$1305,7,0)</f>
        <v>0</v>
      </c>
      <c r="J1038" s="608" t="e">
        <f t="shared" ca="1" si="212"/>
        <v>#REF!</v>
      </c>
      <c r="K1038" s="608">
        <f t="shared" ca="1" si="212"/>
        <v>0</v>
      </c>
      <c r="L1038" s="725">
        <f t="shared" ca="1" si="212"/>
        <v>0</v>
      </c>
      <c r="M1038" s="1127">
        <f t="shared" ca="1" si="211"/>
        <v>0</v>
      </c>
      <c r="N1038" s="754">
        <f t="shared" ca="1" si="210"/>
        <v>0</v>
      </c>
    </row>
    <row r="1039" spans="1:14" hidden="1">
      <c r="A1039" s="696"/>
      <c r="B1039" s="226" t="s">
        <v>84</v>
      </c>
      <c r="C1039" s="713">
        <f>VLOOKUP($B1039,R_DG!$A$7:$G$1305,2,0)</f>
        <v>0</v>
      </c>
      <c r="D1039" s="723" t="str">
        <f>VLOOKUP($B1039,R_DG!$A$7:$G$1305,3,0)</f>
        <v>Boulon 16x250+ 2 long đền vuông D18-50x50x3/Zn</v>
      </c>
      <c r="E1039" s="714" t="str">
        <f>VLOOKUP($B1039,R_DG!$A$7:$G$1305,4,0)</f>
        <v>bộ</v>
      </c>
      <c r="F1039" s="724">
        <f t="shared" ca="1" si="209"/>
        <v>0</v>
      </c>
      <c r="G1039" s="608" t="e">
        <f>VLOOKUP($B1039,R_DG!$A$7:$G$1305,5,0)</f>
        <v>#REF!</v>
      </c>
      <c r="H1039" s="608">
        <f>VLOOKUP($B1039,R_DG!$A$7:$G$1305,6,0)</f>
        <v>0</v>
      </c>
      <c r="I1039" s="608">
        <f>VLOOKUP($B1039,R_DG!$A$7:$G$1305,7,0)</f>
        <v>0</v>
      </c>
      <c r="J1039" s="608" t="e">
        <f t="shared" ca="1" si="212"/>
        <v>#REF!</v>
      </c>
      <c r="K1039" s="608">
        <f t="shared" ca="1" si="212"/>
        <v>0</v>
      </c>
      <c r="L1039" s="725">
        <f t="shared" ca="1" si="212"/>
        <v>0</v>
      </c>
      <c r="M1039" s="1127">
        <f t="shared" ca="1" si="211"/>
        <v>0</v>
      </c>
      <c r="N1039" s="754">
        <f t="shared" ca="1" si="210"/>
        <v>0</v>
      </c>
    </row>
    <row r="1040" spans="1:14" hidden="1">
      <c r="A1040" s="696"/>
      <c r="B1040" s="226" t="s">
        <v>86</v>
      </c>
      <c r="C1040" s="713">
        <f>VLOOKUP($B1040,R_DG!$A$7:$G$1305,2,0)</f>
        <v>0</v>
      </c>
      <c r="D1040" s="723" t="str">
        <f>VLOOKUP($B1040,R_DG!$A$7:$G$1305,3,0)</f>
        <v>Boulon 16x300+ 2 long đền vuông D18-50x50x3/Zn</v>
      </c>
      <c r="E1040" s="714" t="str">
        <f>VLOOKUP($B1040,R_DG!$A$7:$G$1305,4,0)</f>
        <v>bộ</v>
      </c>
      <c r="F1040" s="724">
        <f t="shared" ca="1" si="209"/>
        <v>0</v>
      </c>
      <c r="G1040" s="608" t="e">
        <f>VLOOKUP($B1040,R_DG!$A$7:$G$1305,5,0)</f>
        <v>#REF!</v>
      </c>
      <c r="H1040" s="608">
        <f>VLOOKUP($B1040,R_DG!$A$7:$G$1305,6,0)</f>
        <v>0</v>
      </c>
      <c r="I1040" s="608">
        <f>VLOOKUP($B1040,R_DG!$A$7:$G$1305,7,0)</f>
        <v>0</v>
      </c>
      <c r="J1040" s="608" t="e">
        <f t="shared" ca="1" si="212"/>
        <v>#REF!</v>
      </c>
      <c r="K1040" s="608">
        <f t="shared" ca="1" si="212"/>
        <v>0</v>
      </c>
      <c r="L1040" s="725">
        <f t="shared" ca="1" si="212"/>
        <v>0</v>
      </c>
      <c r="M1040" s="1127">
        <f t="shared" ca="1" si="211"/>
        <v>0</v>
      </c>
      <c r="N1040" s="754">
        <f t="shared" ca="1" si="210"/>
        <v>0</v>
      </c>
    </row>
    <row r="1041" spans="1:14" hidden="1">
      <c r="A1041" s="696"/>
      <c r="B1041" s="226" t="s">
        <v>88</v>
      </c>
      <c r="C1041" s="713">
        <f>VLOOKUP($B1041,R_DG!$A$7:$G$1305,2,0)</f>
        <v>0</v>
      </c>
      <c r="D1041" s="723" t="str">
        <f>VLOOKUP($B1041,R_DG!$A$7:$G$1305,3,0)</f>
        <v>Boulon 16x350+ 2 long đền vuông D18-50x50x3/Zn</v>
      </c>
      <c r="E1041" s="714" t="str">
        <f>VLOOKUP($B1041,R_DG!$A$7:$G$1305,4,0)</f>
        <v>bộ</v>
      </c>
      <c r="F1041" s="724">
        <f t="shared" ca="1" si="209"/>
        <v>0</v>
      </c>
      <c r="G1041" s="608" t="e">
        <f>VLOOKUP($B1041,R_DG!$A$7:$G$1305,5,0)</f>
        <v>#REF!</v>
      </c>
      <c r="H1041" s="608">
        <f>VLOOKUP($B1041,R_DG!$A$7:$G$1305,6,0)</f>
        <v>0</v>
      </c>
      <c r="I1041" s="608">
        <f>VLOOKUP($B1041,R_DG!$A$7:$G$1305,7,0)</f>
        <v>0</v>
      </c>
      <c r="J1041" s="608" t="e">
        <f t="shared" ca="1" si="212"/>
        <v>#REF!</v>
      </c>
      <c r="K1041" s="608">
        <f t="shared" ca="1" si="212"/>
        <v>0</v>
      </c>
      <c r="L1041" s="725">
        <f t="shared" ca="1" si="212"/>
        <v>0</v>
      </c>
      <c r="M1041" s="1127">
        <f t="shared" ca="1" si="211"/>
        <v>0</v>
      </c>
      <c r="N1041" s="754">
        <f t="shared" ca="1" si="210"/>
        <v>0</v>
      </c>
    </row>
    <row r="1042" spans="1:14" hidden="1">
      <c r="A1042" s="696"/>
      <c r="B1042" s="226" t="s">
        <v>90</v>
      </c>
      <c r="C1042" s="713">
        <f>VLOOKUP($B1042,R_DG!$A$7:$G$1305,2,0)</f>
        <v>0</v>
      </c>
      <c r="D1042" s="723" t="str">
        <f>VLOOKUP($B1042,R_DG!$A$7:$G$1305,3,0)</f>
        <v>Boulon 16x400+ 2 long đền vuông D18-50x50x3/Zn</v>
      </c>
      <c r="E1042" s="714" t="str">
        <f>VLOOKUP($B1042,R_DG!$A$7:$G$1305,4,0)</f>
        <v>bộ</v>
      </c>
      <c r="F1042" s="724">
        <f t="shared" ca="1" si="209"/>
        <v>0</v>
      </c>
      <c r="G1042" s="608" t="e">
        <f>VLOOKUP($B1042,R_DG!$A$7:$G$1305,5,0)</f>
        <v>#REF!</v>
      </c>
      <c r="H1042" s="608">
        <f>VLOOKUP($B1042,R_DG!$A$7:$G$1305,6,0)</f>
        <v>0</v>
      </c>
      <c r="I1042" s="608">
        <f>VLOOKUP($B1042,R_DG!$A$7:$G$1305,7,0)</f>
        <v>0</v>
      </c>
      <c r="J1042" s="608" t="e">
        <f t="shared" ca="1" si="212"/>
        <v>#REF!</v>
      </c>
      <c r="K1042" s="608">
        <f t="shared" ca="1" si="212"/>
        <v>0</v>
      </c>
      <c r="L1042" s="725">
        <f t="shared" ca="1" si="212"/>
        <v>0</v>
      </c>
      <c r="M1042" s="1127">
        <f t="shared" ca="1" si="211"/>
        <v>0</v>
      </c>
      <c r="N1042" s="754">
        <f t="shared" ca="1" si="210"/>
        <v>0</v>
      </c>
    </row>
    <row r="1043" spans="1:14" hidden="1">
      <c r="A1043" s="696"/>
      <c r="B1043" s="226" t="s">
        <v>92</v>
      </c>
      <c r="C1043" s="713">
        <f>VLOOKUP($B1043,R_DG!$A$7:$G$1305,2,0)</f>
        <v>0</v>
      </c>
      <c r="D1043" s="723" t="str">
        <f>VLOOKUP($B1043,R_DG!$A$7:$G$1305,3,0)</f>
        <v>Boulon 16x450+ 2 long đền vuông D18-50x50x3/Zn</v>
      </c>
      <c r="E1043" s="714" t="str">
        <f>VLOOKUP($B1043,R_DG!$A$7:$G$1305,4,0)</f>
        <v>bộ</v>
      </c>
      <c r="F1043" s="724">
        <f t="shared" ca="1" si="209"/>
        <v>0</v>
      </c>
      <c r="G1043" s="608" t="e">
        <f>VLOOKUP($B1043,R_DG!$A$7:$G$1305,5,0)</f>
        <v>#REF!</v>
      </c>
      <c r="H1043" s="608">
        <f>VLOOKUP($B1043,R_DG!$A$7:$G$1305,6,0)</f>
        <v>0</v>
      </c>
      <c r="I1043" s="608">
        <f>VLOOKUP($B1043,R_DG!$A$7:$G$1305,7,0)</f>
        <v>0</v>
      </c>
      <c r="J1043" s="608" t="e">
        <f t="shared" ca="1" si="212"/>
        <v>#REF!</v>
      </c>
      <c r="K1043" s="608">
        <f t="shared" ca="1" si="212"/>
        <v>0</v>
      </c>
      <c r="L1043" s="725">
        <f t="shared" ca="1" si="212"/>
        <v>0</v>
      </c>
      <c r="M1043" s="1127">
        <f t="shared" ca="1" si="211"/>
        <v>0</v>
      </c>
      <c r="N1043" s="754">
        <f t="shared" ca="1" si="210"/>
        <v>0</v>
      </c>
    </row>
    <row r="1044" spans="1:14" hidden="1">
      <c r="A1044" s="696"/>
      <c r="B1044" s="226" t="s">
        <v>94</v>
      </c>
      <c r="C1044" s="713">
        <f>VLOOKUP($B1044,R_DG!$A$7:$G$1305,2,0)</f>
        <v>0</v>
      </c>
      <c r="D1044" s="723" t="str">
        <f>VLOOKUP($B1044,R_DG!$A$7:$G$1305,3,0)</f>
        <v>Boulon 16x500+ 2 long đền vuông D18-50x50x3/Zn</v>
      </c>
      <c r="E1044" s="714" t="str">
        <f>VLOOKUP($B1044,R_DG!$A$7:$G$1305,4,0)</f>
        <v>bộ</v>
      </c>
      <c r="F1044" s="724">
        <f t="shared" ca="1" si="209"/>
        <v>0</v>
      </c>
      <c r="G1044" s="608" t="e">
        <f>VLOOKUP($B1044,R_DG!$A$7:$G$1305,5,0)</f>
        <v>#REF!</v>
      </c>
      <c r="H1044" s="608">
        <f>VLOOKUP($B1044,R_DG!$A$7:$G$1305,6,0)</f>
        <v>0</v>
      </c>
      <c r="I1044" s="608">
        <f>VLOOKUP($B1044,R_DG!$A$7:$G$1305,7,0)</f>
        <v>0</v>
      </c>
      <c r="J1044" s="608" t="e">
        <f t="shared" ca="1" si="212"/>
        <v>#REF!</v>
      </c>
      <c r="K1044" s="608">
        <f t="shared" ca="1" si="212"/>
        <v>0</v>
      </c>
      <c r="L1044" s="725">
        <f t="shared" ca="1" si="212"/>
        <v>0</v>
      </c>
      <c r="M1044" s="1127">
        <f t="shared" ca="1" si="211"/>
        <v>0</v>
      </c>
      <c r="N1044" s="754">
        <f t="shared" ca="1" si="210"/>
        <v>0</v>
      </c>
    </row>
    <row r="1045" spans="1:14" hidden="1">
      <c r="A1045" s="696"/>
      <c r="B1045" s="226" t="s">
        <v>4416</v>
      </c>
      <c r="C1045" s="713">
        <f>VLOOKUP($B1045,R_DG!$A$7:$G$1305,2,0)</f>
        <v>0</v>
      </c>
      <c r="D1045" s="723" t="str">
        <f>VLOOKUP($B1045,R_DG!$A$7:$G$1305,3,0)</f>
        <v>Boulon 16x550+ 2 long đền vuông D18-50x50x3/Zn</v>
      </c>
      <c r="E1045" s="714" t="str">
        <f>VLOOKUP($B1045,R_DG!$A$7:$G$1305,4,0)</f>
        <v>bộ</v>
      </c>
      <c r="F1045" s="724">
        <f t="shared" ca="1" si="209"/>
        <v>0</v>
      </c>
      <c r="G1045" s="608" t="e">
        <f>VLOOKUP($B1045,R_DG!$A$7:$G$1305,5,0)</f>
        <v>#REF!</v>
      </c>
      <c r="H1045" s="608">
        <f>VLOOKUP($B1045,R_DG!$A$7:$G$1305,6,0)</f>
        <v>0</v>
      </c>
      <c r="I1045" s="608">
        <f>VLOOKUP($B1045,R_DG!$A$7:$G$1305,7,0)</f>
        <v>0</v>
      </c>
      <c r="J1045" s="608" t="e">
        <f t="shared" ca="1" si="212"/>
        <v>#REF!</v>
      </c>
      <c r="K1045" s="608">
        <f t="shared" ca="1" si="212"/>
        <v>0</v>
      </c>
      <c r="L1045" s="725">
        <f t="shared" ca="1" si="212"/>
        <v>0</v>
      </c>
      <c r="M1045" s="1127">
        <f t="shared" ca="1" si="211"/>
        <v>0</v>
      </c>
      <c r="N1045" s="754">
        <f t="shared" ca="1" si="210"/>
        <v>0</v>
      </c>
    </row>
    <row r="1046" spans="1:14" hidden="1">
      <c r="A1046" s="696"/>
      <c r="B1046" s="226" t="s">
        <v>96</v>
      </c>
      <c r="C1046" s="713">
        <f>VLOOKUP($B1046,R_DG!$A$7:$G$1305,2,0)</f>
        <v>0</v>
      </c>
      <c r="D1046" s="723" t="str">
        <f>VLOOKUP($B1046,R_DG!$A$7:$G$1305,3,0)</f>
        <v>Boulon 16x600+ 2 long đền vuông D18-50x50x3/Zn</v>
      </c>
      <c r="E1046" s="714" t="str">
        <f>VLOOKUP($B1046,R_DG!$A$7:$G$1305,4,0)</f>
        <v>bộ</v>
      </c>
      <c r="F1046" s="724">
        <f t="shared" ca="1" si="209"/>
        <v>0</v>
      </c>
      <c r="G1046" s="608" t="e">
        <f>VLOOKUP($B1046,R_DG!$A$7:$G$1305,5,0)</f>
        <v>#REF!</v>
      </c>
      <c r="H1046" s="608">
        <f>VLOOKUP($B1046,R_DG!$A$7:$G$1305,6,0)</f>
        <v>0</v>
      </c>
      <c r="I1046" s="608">
        <f>VLOOKUP($B1046,R_DG!$A$7:$G$1305,7,0)</f>
        <v>0</v>
      </c>
      <c r="J1046" s="608" t="e">
        <f t="shared" ca="1" si="212"/>
        <v>#REF!</v>
      </c>
      <c r="K1046" s="608">
        <f t="shared" ca="1" si="212"/>
        <v>0</v>
      </c>
      <c r="L1046" s="725">
        <f t="shared" ca="1" si="212"/>
        <v>0</v>
      </c>
      <c r="M1046" s="1127">
        <f t="shared" ca="1" si="211"/>
        <v>0</v>
      </c>
      <c r="N1046" s="754">
        <f t="shared" ca="1" si="210"/>
        <v>0</v>
      </c>
    </row>
    <row r="1047" spans="1:14" hidden="1">
      <c r="A1047" s="696"/>
      <c r="B1047" s="226" t="s">
        <v>3444</v>
      </c>
      <c r="C1047" s="713">
        <f>VLOOKUP($B1047,R_DG!$A$7:$G$1305,2,0)</f>
        <v>0</v>
      </c>
      <c r="D1047" s="723" t="str">
        <f>VLOOKUP($B1047,R_DG!$A$7:$G$1305,3,0)</f>
        <v>Boulon 16x650+ 2 long đền vuông D18-50x50x3/Zn</v>
      </c>
      <c r="E1047" s="714" t="str">
        <f>VLOOKUP($B1047,R_DG!$A$7:$G$1305,4,0)</f>
        <v>bộ</v>
      </c>
      <c r="F1047" s="724">
        <f t="shared" ca="1" si="209"/>
        <v>0</v>
      </c>
      <c r="G1047" s="608" t="e">
        <f>VLOOKUP($B1047,R_DG!$A$7:$G$1305,5,0)</f>
        <v>#REF!</v>
      </c>
      <c r="H1047" s="608">
        <f>VLOOKUP($B1047,R_DG!$A$7:$G$1305,6,0)</f>
        <v>0</v>
      </c>
      <c r="I1047" s="608">
        <f>VLOOKUP($B1047,R_DG!$A$7:$G$1305,7,0)</f>
        <v>0</v>
      </c>
      <c r="J1047" s="608" t="e">
        <f t="shared" ca="1" si="212"/>
        <v>#REF!</v>
      </c>
      <c r="K1047" s="608">
        <f t="shared" ca="1" si="212"/>
        <v>0</v>
      </c>
      <c r="L1047" s="725">
        <f t="shared" ca="1" si="212"/>
        <v>0</v>
      </c>
      <c r="M1047" s="1127">
        <f t="shared" ca="1" si="211"/>
        <v>0</v>
      </c>
      <c r="N1047" s="754">
        <f t="shared" ca="1" si="210"/>
        <v>0</v>
      </c>
    </row>
    <row r="1048" spans="1:14" hidden="1">
      <c r="A1048" s="696"/>
      <c r="B1048" s="226" t="s">
        <v>3450</v>
      </c>
      <c r="C1048" s="713">
        <f>VLOOKUP($B1048,R_DG!$A$7:$G$1305,2,0)</f>
        <v>0</v>
      </c>
      <c r="D1048" s="723" t="str">
        <f>VLOOKUP($B1048,R_DG!$A$7:$G$1305,3,0)</f>
        <v>Boulon 16x700+ 2 long đền vuông D18-50x50x3/Zn</v>
      </c>
      <c r="E1048" s="714" t="str">
        <f>VLOOKUP($B1048,R_DG!$A$7:$G$1305,4,0)</f>
        <v>bộ</v>
      </c>
      <c r="F1048" s="724">
        <f t="shared" ca="1" si="209"/>
        <v>0</v>
      </c>
      <c r="G1048" s="608" t="e">
        <f>VLOOKUP($B1048,R_DG!$A$7:$G$1305,5,0)</f>
        <v>#REF!</v>
      </c>
      <c r="H1048" s="608">
        <f>VLOOKUP($B1048,R_DG!$A$7:$G$1305,6,0)</f>
        <v>0</v>
      </c>
      <c r="I1048" s="608">
        <f>VLOOKUP($B1048,R_DG!$A$7:$G$1305,7,0)</f>
        <v>0</v>
      </c>
      <c r="J1048" s="608" t="e">
        <f t="shared" ca="1" si="212"/>
        <v>#REF!</v>
      </c>
      <c r="K1048" s="608">
        <f t="shared" ca="1" si="212"/>
        <v>0</v>
      </c>
      <c r="L1048" s="725">
        <f t="shared" ca="1" si="212"/>
        <v>0</v>
      </c>
      <c r="M1048" s="1127">
        <f t="shared" ca="1" si="211"/>
        <v>0</v>
      </c>
      <c r="N1048" s="754">
        <f t="shared" ca="1" si="210"/>
        <v>0</v>
      </c>
    </row>
    <row r="1049" spans="1:14" hidden="1">
      <c r="A1049" s="696"/>
      <c r="B1049" s="226" t="s">
        <v>4856</v>
      </c>
      <c r="C1049" s="713">
        <f>VLOOKUP($B1049,R_DG!$A$7:$G$1305,2,0)</f>
        <v>0</v>
      </c>
      <c r="D1049" s="723" t="str">
        <f>VLOOKUP($B1049,R_DG!$A$7:$G$1305,3,0)</f>
        <v>Boulon 16x200VRS+ 4 long đền vuông D18-50x50x3/Zn</v>
      </c>
      <c r="E1049" s="714" t="str">
        <f>VLOOKUP($B1049,R_DG!$A$7:$G$1305,4,0)</f>
        <v>bộ</v>
      </c>
      <c r="F1049" s="724">
        <f t="shared" ca="1" si="209"/>
        <v>0</v>
      </c>
      <c r="G1049" s="608" t="e">
        <f>VLOOKUP($B1049,R_DG!$A$7:$G$1305,5,0)</f>
        <v>#REF!</v>
      </c>
      <c r="H1049" s="608">
        <f>VLOOKUP($B1049,R_DG!$A$7:$G$1305,6,0)</f>
        <v>0</v>
      </c>
      <c r="I1049" s="608">
        <f>VLOOKUP($B1049,R_DG!$A$7:$G$1305,7,0)</f>
        <v>0</v>
      </c>
      <c r="J1049" s="608" t="e">
        <f t="shared" ca="1" si="212"/>
        <v>#REF!</v>
      </c>
      <c r="K1049" s="608">
        <f t="shared" ca="1" si="212"/>
        <v>0</v>
      </c>
      <c r="L1049" s="725">
        <f t="shared" ca="1" si="212"/>
        <v>0</v>
      </c>
      <c r="M1049" s="1127">
        <f t="shared" ca="1" si="211"/>
        <v>0</v>
      </c>
      <c r="N1049" s="754">
        <f t="shared" ca="1" si="210"/>
        <v>0</v>
      </c>
    </row>
    <row r="1050" spans="1:14" hidden="1">
      <c r="A1050" s="696"/>
      <c r="B1050" s="226" t="s">
        <v>2231</v>
      </c>
      <c r="C1050" s="713">
        <f>VLOOKUP($B1050,R_DG!$A$7:$G$1305,2,0)</f>
        <v>0</v>
      </c>
      <c r="D1050" s="723" t="str">
        <f>VLOOKUP($B1050,R_DG!$A$7:$G$1305,3,0)</f>
        <v>Boulon 16x250VRS+ 4 long đền vuông D18-50x50x3/Zn</v>
      </c>
      <c r="E1050" s="714" t="str">
        <f>VLOOKUP($B1050,R_DG!$A$7:$G$1305,4,0)</f>
        <v>bộ</v>
      </c>
      <c r="F1050" s="724">
        <f t="shared" ca="1" si="209"/>
        <v>0</v>
      </c>
      <c r="G1050" s="608" t="e">
        <f>VLOOKUP($B1050,R_DG!$A$7:$G$1305,5,0)</f>
        <v>#REF!</v>
      </c>
      <c r="H1050" s="608">
        <f>VLOOKUP($B1050,R_DG!$A$7:$G$1305,6,0)</f>
        <v>0</v>
      </c>
      <c r="I1050" s="608">
        <f>VLOOKUP($B1050,R_DG!$A$7:$G$1305,7,0)</f>
        <v>0</v>
      </c>
      <c r="J1050" s="608" t="e">
        <f t="shared" ca="1" si="212"/>
        <v>#REF!</v>
      </c>
      <c r="K1050" s="608">
        <f t="shared" ca="1" si="212"/>
        <v>0</v>
      </c>
      <c r="L1050" s="725">
        <f t="shared" ca="1" si="212"/>
        <v>0</v>
      </c>
      <c r="M1050" s="1127">
        <f t="shared" ca="1" si="211"/>
        <v>0</v>
      </c>
      <c r="N1050" s="754">
        <f t="shared" ca="1" si="210"/>
        <v>0</v>
      </c>
    </row>
    <row r="1051" spans="1:14" hidden="1">
      <c r="A1051" s="696"/>
      <c r="B1051" s="226" t="s">
        <v>2237</v>
      </c>
      <c r="C1051" s="713">
        <f>VLOOKUP($B1051,R_DG!$A$7:$G$1305,2,0)</f>
        <v>0</v>
      </c>
      <c r="D1051" s="723" t="str">
        <f>VLOOKUP($B1051,R_DG!$A$7:$G$1305,3,0)</f>
        <v>Boulon 16x300VRS+ 4 long đền vuông D18-50x50x3/Zn</v>
      </c>
      <c r="E1051" s="714" t="str">
        <f>VLOOKUP($B1051,R_DG!$A$7:$G$1305,4,0)</f>
        <v>bộ</v>
      </c>
      <c r="F1051" s="724">
        <f t="shared" ca="1" si="209"/>
        <v>0</v>
      </c>
      <c r="G1051" s="608" t="e">
        <f>VLOOKUP($B1051,R_DG!$A$7:$G$1305,5,0)</f>
        <v>#REF!</v>
      </c>
      <c r="H1051" s="608">
        <f>VLOOKUP($B1051,R_DG!$A$7:$G$1305,6,0)</f>
        <v>0</v>
      </c>
      <c r="I1051" s="608">
        <f>VLOOKUP($B1051,R_DG!$A$7:$G$1305,7,0)</f>
        <v>0</v>
      </c>
      <c r="J1051" s="608" t="e">
        <f t="shared" ca="1" si="212"/>
        <v>#REF!</v>
      </c>
      <c r="K1051" s="608">
        <f t="shared" ca="1" si="212"/>
        <v>0</v>
      </c>
      <c r="L1051" s="725">
        <f t="shared" ca="1" si="212"/>
        <v>0</v>
      </c>
      <c r="M1051" s="1127">
        <f t="shared" ca="1" si="211"/>
        <v>0</v>
      </c>
      <c r="N1051" s="754">
        <f t="shared" ca="1" si="210"/>
        <v>0</v>
      </c>
    </row>
    <row r="1052" spans="1:14" hidden="1">
      <c r="A1052" s="696"/>
      <c r="B1052" s="226" t="s">
        <v>4858</v>
      </c>
      <c r="C1052" s="713">
        <f>VLOOKUP($B1052,R_DG!$A$7:$G$1305,2,0)</f>
        <v>0</v>
      </c>
      <c r="D1052" s="723" t="str">
        <f>VLOOKUP($B1052,R_DG!$A$7:$G$1305,3,0)</f>
        <v>Boulon 16x350VRS+ 4 long đền vuông D18-50x50x3/Zn</v>
      </c>
      <c r="E1052" s="714" t="str">
        <f>VLOOKUP($B1052,R_DG!$A$7:$G$1305,4,0)</f>
        <v>bộ</v>
      </c>
      <c r="F1052" s="724">
        <f t="shared" ca="1" si="209"/>
        <v>0</v>
      </c>
      <c r="G1052" s="608" t="e">
        <f>VLOOKUP($B1052,R_DG!$A$7:$G$1305,5,0)</f>
        <v>#REF!</v>
      </c>
      <c r="H1052" s="608">
        <f>VLOOKUP($B1052,R_DG!$A$7:$G$1305,6,0)</f>
        <v>0</v>
      </c>
      <c r="I1052" s="608">
        <f>VLOOKUP($B1052,R_DG!$A$7:$G$1305,7,0)</f>
        <v>0</v>
      </c>
      <c r="J1052" s="608" t="e">
        <f t="shared" ca="1" si="212"/>
        <v>#REF!</v>
      </c>
      <c r="K1052" s="608">
        <f t="shared" ca="1" si="212"/>
        <v>0</v>
      </c>
      <c r="L1052" s="725">
        <f t="shared" ca="1" si="212"/>
        <v>0</v>
      </c>
      <c r="M1052" s="1127">
        <f t="shared" ca="1" si="211"/>
        <v>0</v>
      </c>
      <c r="N1052" s="754">
        <f t="shared" ca="1" si="210"/>
        <v>0</v>
      </c>
    </row>
    <row r="1053" spans="1:14" hidden="1">
      <c r="A1053" s="696"/>
      <c r="B1053" s="226" t="s">
        <v>110</v>
      </c>
      <c r="C1053" s="713">
        <f>VLOOKUP($B1053,R_DG!$A$7:$G$1305,2,0)</f>
        <v>0</v>
      </c>
      <c r="D1053" s="723" t="str">
        <f>VLOOKUP($B1053,R_DG!$A$7:$G$1305,3,0)</f>
        <v>Boulon 16x400VRS+ 4 long đền vuông D18-50x50x3/Zn</v>
      </c>
      <c r="E1053" s="714" t="str">
        <f>VLOOKUP($B1053,R_DG!$A$7:$G$1305,4,0)</f>
        <v>bộ</v>
      </c>
      <c r="F1053" s="724">
        <f t="shared" ca="1" si="209"/>
        <v>0</v>
      </c>
      <c r="G1053" s="608" t="e">
        <f>VLOOKUP($B1053,R_DG!$A$7:$G$1305,5,0)</f>
        <v>#REF!</v>
      </c>
      <c r="H1053" s="608">
        <f>VLOOKUP($B1053,R_DG!$A$7:$G$1305,6,0)</f>
        <v>0</v>
      </c>
      <c r="I1053" s="608">
        <f>VLOOKUP($B1053,R_DG!$A$7:$G$1305,7,0)</f>
        <v>0</v>
      </c>
      <c r="J1053" s="608" t="e">
        <f t="shared" ca="1" si="212"/>
        <v>#REF!</v>
      </c>
      <c r="K1053" s="608">
        <f t="shared" ca="1" si="212"/>
        <v>0</v>
      </c>
      <c r="L1053" s="725">
        <f t="shared" ca="1" si="212"/>
        <v>0</v>
      </c>
      <c r="M1053" s="1127">
        <f t="shared" ca="1" si="211"/>
        <v>0</v>
      </c>
      <c r="N1053" s="754">
        <f t="shared" ca="1" si="210"/>
        <v>0</v>
      </c>
    </row>
    <row r="1054" spans="1:14" hidden="1">
      <c r="A1054" s="696"/>
      <c r="B1054" s="226" t="s">
        <v>3446</v>
      </c>
      <c r="C1054" s="713">
        <f>VLOOKUP($B1054,R_DG!$A$7:$G$1305,2,0)</f>
        <v>0</v>
      </c>
      <c r="D1054" s="723" t="str">
        <f>VLOOKUP($B1054,R_DG!$A$7:$G$1305,3,0)</f>
        <v>Boulon 16x500VRS+ 4 long đền vuông D18-50x50x3/Zn</v>
      </c>
      <c r="E1054" s="714" t="str">
        <f>VLOOKUP($B1054,R_DG!$A$7:$G$1305,4,0)</f>
        <v>bộ</v>
      </c>
      <c r="F1054" s="724">
        <f t="shared" ca="1" si="209"/>
        <v>0</v>
      </c>
      <c r="G1054" s="608" t="e">
        <f>VLOOKUP($B1054,R_DG!$A$7:$G$1305,5,0)</f>
        <v>#REF!</v>
      </c>
      <c r="H1054" s="608">
        <f>VLOOKUP($B1054,R_DG!$A$7:$G$1305,6,0)</f>
        <v>0</v>
      </c>
      <c r="I1054" s="608">
        <f>VLOOKUP($B1054,R_DG!$A$7:$G$1305,7,0)</f>
        <v>0</v>
      </c>
      <c r="J1054" s="608" t="e">
        <f t="shared" ca="1" si="212"/>
        <v>#REF!</v>
      </c>
      <c r="K1054" s="608">
        <f t="shared" ca="1" si="212"/>
        <v>0</v>
      </c>
      <c r="L1054" s="725">
        <f t="shared" ca="1" si="212"/>
        <v>0</v>
      </c>
      <c r="M1054" s="1127">
        <f t="shared" ca="1" si="211"/>
        <v>0</v>
      </c>
      <c r="N1054" s="754">
        <f t="shared" ca="1" si="210"/>
        <v>0</v>
      </c>
    </row>
    <row r="1055" spans="1:14" hidden="1">
      <c r="A1055" s="696"/>
      <c r="B1055" s="226" t="s">
        <v>2244</v>
      </c>
      <c r="C1055" s="713">
        <f>VLOOKUP($B1055,R_DG!$A$7:$G$1305,2,0)</f>
        <v>0</v>
      </c>
      <c r="D1055" s="723" t="str">
        <f>VLOOKUP($B1055,R_DG!$A$7:$G$1305,3,0)</f>
        <v>Boulon 16x550VRS+ 4 long đền vuông D18-50x50x3/Zn</v>
      </c>
      <c r="E1055" s="714" t="str">
        <f>VLOOKUP($B1055,R_DG!$A$7:$G$1305,4,0)</f>
        <v>bộ</v>
      </c>
      <c r="F1055" s="724">
        <f t="shared" ca="1" si="209"/>
        <v>0</v>
      </c>
      <c r="G1055" s="608" t="e">
        <f>VLOOKUP($B1055,R_DG!$A$7:$G$1305,5,0)</f>
        <v>#REF!</v>
      </c>
      <c r="H1055" s="608">
        <f>VLOOKUP($B1055,R_DG!$A$7:$G$1305,6,0)</f>
        <v>0</v>
      </c>
      <c r="I1055" s="608">
        <f>VLOOKUP($B1055,R_DG!$A$7:$G$1305,7,0)</f>
        <v>0</v>
      </c>
      <c r="J1055" s="608" t="e">
        <f t="shared" ca="1" si="212"/>
        <v>#REF!</v>
      </c>
      <c r="K1055" s="608">
        <f t="shared" ca="1" si="212"/>
        <v>0</v>
      </c>
      <c r="L1055" s="725">
        <f t="shared" ca="1" si="212"/>
        <v>0</v>
      </c>
      <c r="M1055" s="1127">
        <f t="shared" ca="1" si="211"/>
        <v>0</v>
      </c>
      <c r="N1055" s="754">
        <f t="shared" ca="1" si="210"/>
        <v>0</v>
      </c>
    </row>
    <row r="1056" spans="1:14" hidden="1">
      <c r="A1056" s="696"/>
      <c r="B1056" s="226" t="s">
        <v>3449</v>
      </c>
      <c r="C1056" s="713">
        <f>VLOOKUP($B1056,R_DG!$A$7:$G$1305,2,0)</f>
        <v>0</v>
      </c>
      <c r="D1056" s="723" t="str">
        <f>VLOOKUP($B1056,R_DG!$A$7:$G$1305,3,0)</f>
        <v>Boulon 16x650VRS+ 4 long đền vuông D18-50x50x3/Zn</v>
      </c>
      <c r="E1056" s="714" t="str">
        <f>VLOOKUP($B1056,R_DG!$A$7:$G$1305,4,0)</f>
        <v>bộ</v>
      </c>
      <c r="F1056" s="724">
        <f t="shared" ca="1" si="209"/>
        <v>0</v>
      </c>
      <c r="G1056" s="608" t="e">
        <f>VLOOKUP($B1056,R_DG!$A$7:$G$1305,5,0)</f>
        <v>#REF!</v>
      </c>
      <c r="H1056" s="608">
        <f>VLOOKUP($B1056,R_DG!$A$7:$G$1305,6,0)</f>
        <v>0</v>
      </c>
      <c r="I1056" s="608">
        <f>VLOOKUP($B1056,R_DG!$A$7:$G$1305,7,0)</f>
        <v>0</v>
      </c>
      <c r="J1056" s="608" t="e">
        <f t="shared" ca="1" si="212"/>
        <v>#REF!</v>
      </c>
      <c r="K1056" s="608">
        <f t="shared" ca="1" si="212"/>
        <v>0</v>
      </c>
      <c r="L1056" s="725">
        <f t="shared" ca="1" si="212"/>
        <v>0</v>
      </c>
      <c r="M1056" s="1127">
        <f t="shared" ca="1" si="211"/>
        <v>0</v>
      </c>
      <c r="N1056" s="754">
        <f t="shared" ca="1" si="210"/>
        <v>0</v>
      </c>
    </row>
    <row r="1057" spans="1:14" hidden="1">
      <c r="A1057" s="696"/>
      <c r="B1057" s="226" t="s">
        <v>4859</v>
      </c>
      <c r="C1057" s="713">
        <f>VLOOKUP($B1057,R_DG!$A$7:$G$1305,2,0)</f>
        <v>0</v>
      </c>
      <c r="D1057" s="723" t="str">
        <f>VLOOKUP($B1057,R_DG!$A$7:$G$1305,3,0)</f>
        <v>Boulon 16x750VRS+ 4 long đền vuông D18-50x50x3/Zn</v>
      </c>
      <c r="E1057" s="714" t="str">
        <f>VLOOKUP($B1057,R_DG!$A$7:$G$1305,4,0)</f>
        <v>bộ</v>
      </c>
      <c r="F1057" s="724">
        <f t="shared" ca="1" si="209"/>
        <v>0</v>
      </c>
      <c r="G1057" s="608" t="e">
        <f>VLOOKUP($B1057,R_DG!$A$7:$G$1305,5,0)</f>
        <v>#REF!</v>
      </c>
      <c r="H1057" s="608">
        <f>VLOOKUP($B1057,R_DG!$A$7:$G$1305,6,0)</f>
        <v>0</v>
      </c>
      <c r="I1057" s="608">
        <f>VLOOKUP($B1057,R_DG!$A$7:$G$1305,7,0)</f>
        <v>0</v>
      </c>
      <c r="J1057" s="608" t="e">
        <f t="shared" ca="1" si="212"/>
        <v>#REF!</v>
      </c>
      <c r="K1057" s="608">
        <f t="shared" ca="1" si="212"/>
        <v>0</v>
      </c>
      <c r="L1057" s="725">
        <f t="shared" ca="1" si="212"/>
        <v>0</v>
      </c>
      <c r="M1057" s="1127">
        <f t="shared" ca="1" si="211"/>
        <v>0</v>
      </c>
      <c r="N1057" s="754">
        <f t="shared" ca="1" si="210"/>
        <v>0</v>
      </c>
    </row>
    <row r="1058" spans="1:14" hidden="1">
      <c r="A1058" s="696"/>
      <c r="B1058" s="226" t="s">
        <v>4857</v>
      </c>
      <c r="C1058" s="713">
        <f>VLOOKUP($B1058,R_DG!$A$7:$G$1305,2,0)</f>
        <v>0</v>
      </c>
      <c r="D1058" s="723" t="str">
        <f>VLOOKUP($B1058,R_DG!$A$7:$G$1305,3,0)</f>
        <v>Boulon móc 16x200+ 2 long đền vuông D18-50x50x3/Zn</v>
      </c>
      <c r="E1058" s="714" t="str">
        <f>VLOOKUP($B1058,R_DG!$A$7:$G$1305,4,0)</f>
        <v>bộ</v>
      </c>
      <c r="F1058" s="724">
        <f t="shared" ca="1" si="209"/>
        <v>0</v>
      </c>
      <c r="G1058" s="608">
        <f>VLOOKUP($B1058,R_DG!$A$7:$G$1305,5,0)</f>
        <v>27500</v>
      </c>
      <c r="H1058" s="608">
        <f>VLOOKUP($B1058,R_DG!$A$7:$G$1305,6,0)</f>
        <v>0</v>
      </c>
      <c r="I1058" s="608">
        <f>VLOOKUP($B1058,R_DG!$A$7:$G$1305,7,0)</f>
        <v>0</v>
      </c>
      <c r="J1058" s="608">
        <f t="shared" ca="1" si="212"/>
        <v>0</v>
      </c>
      <c r="K1058" s="608">
        <f t="shared" ca="1" si="212"/>
        <v>0</v>
      </c>
      <c r="L1058" s="725">
        <f t="shared" ca="1" si="212"/>
        <v>0</v>
      </c>
      <c r="M1058" s="1127">
        <f t="shared" ca="1" si="211"/>
        <v>0</v>
      </c>
      <c r="N1058" s="754">
        <f t="shared" ca="1" si="210"/>
        <v>0</v>
      </c>
    </row>
    <row r="1059" spans="1:14" hidden="1">
      <c r="A1059" s="696"/>
      <c r="B1059" s="226" t="s">
        <v>2322</v>
      </c>
      <c r="C1059" s="713">
        <f>VLOOKUP($B1059,R_DG!$A$7:$G$1305,2,0)</f>
        <v>0</v>
      </c>
      <c r="D1059" s="723" t="str">
        <f>VLOOKUP($B1059,R_DG!$A$7:$G$1305,3,0)</f>
        <v>Boulon móc 16x250+ 2 long đền vuông D18-50x50x3/Zn</v>
      </c>
      <c r="E1059" s="714" t="str">
        <f>VLOOKUP($B1059,R_DG!$A$7:$G$1305,4,0)</f>
        <v>bộ</v>
      </c>
      <c r="F1059" s="724">
        <f t="shared" ca="1" si="209"/>
        <v>0</v>
      </c>
      <c r="G1059" s="608">
        <f>VLOOKUP($B1059,R_DG!$A$7:$G$1305,5,0)</f>
        <v>29400</v>
      </c>
      <c r="H1059" s="608">
        <f>VLOOKUP($B1059,R_DG!$A$7:$G$1305,6,0)</f>
        <v>0</v>
      </c>
      <c r="I1059" s="608">
        <f>VLOOKUP($B1059,R_DG!$A$7:$G$1305,7,0)</f>
        <v>0</v>
      </c>
      <c r="J1059" s="608">
        <f t="shared" ca="1" si="212"/>
        <v>0</v>
      </c>
      <c r="K1059" s="608">
        <f t="shared" ca="1" si="212"/>
        <v>0</v>
      </c>
      <c r="L1059" s="725">
        <f t="shared" ca="1" si="212"/>
        <v>0</v>
      </c>
      <c r="M1059" s="1127">
        <f t="shared" ca="1" si="211"/>
        <v>0</v>
      </c>
      <c r="N1059" s="754">
        <f t="shared" ca="1" si="210"/>
        <v>0</v>
      </c>
    </row>
    <row r="1060" spans="1:14" hidden="1">
      <c r="A1060" s="696"/>
      <c r="B1060" s="226" t="s">
        <v>2323</v>
      </c>
      <c r="C1060" s="713">
        <f>VLOOKUP($B1060,R_DG!$A$7:$G$1305,2,0)</f>
        <v>0</v>
      </c>
      <c r="D1060" s="723" t="str">
        <f>VLOOKUP($B1060,R_DG!$A$7:$G$1305,3,0)</f>
        <v>Boulon móc 16x300+ 2 long đền vuông D18-50x50x3/Zn</v>
      </c>
      <c r="E1060" s="714" t="str">
        <f>VLOOKUP($B1060,R_DG!$A$7:$G$1305,4,0)</f>
        <v>bộ</v>
      </c>
      <c r="F1060" s="724">
        <f t="shared" ca="1" si="209"/>
        <v>0</v>
      </c>
      <c r="G1060" s="608">
        <f>VLOOKUP($B1060,R_DG!$A$7:$G$1305,5,0)</f>
        <v>30000</v>
      </c>
      <c r="H1060" s="608">
        <f>VLOOKUP($B1060,R_DG!$A$7:$G$1305,6,0)</f>
        <v>0</v>
      </c>
      <c r="I1060" s="608">
        <f>VLOOKUP($B1060,R_DG!$A$7:$G$1305,7,0)</f>
        <v>0</v>
      </c>
      <c r="J1060" s="608">
        <f t="shared" ca="1" si="212"/>
        <v>0</v>
      </c>
      <c r="K1060" s="608">
        <f t="shared" ca="1" si="212"/>
        <v>0</v>
      </c>
      <c r="L1060" s="725">
        <f t="shared" ca="1" si="212"/>
        <v>0</v>
      </c>
      <c r="M1060" s="1127">
        <f t="shared" ca="1" si="211"/>
        <v>0</v>
      </c>
      <c r="N1060" s="754">
        <f t="shared" ca="1" si="210"/>
        <v>0</v>
      </c>
    </row>
    <row r="1061" spans="1:14" hidden="1">
      <c r="A1061" s="696"/>
      <c r="B1061" s="226" t="s">
        <v>2324</v>
      </c>
      <c r="C1061" s="713">
        <f>VLOOKUP($B1061,R_DG!$A$7:$G$1305,2,0)</f>
        <v>0</v>
      </c>
      <c r="D1061" s="723" t="str">
        <f>VLOOKUP($B1061,R_DG!$A$7:$G$1305,3,0)</f>
        <v xml:space="preserve">Collier trụ đôi 8,4m bắt móc dừng </v>
      </c>
      <c r="E1061" s="714" t="str">
        <f>VLOOKUP($B1061,R_DG!$A$7:$G$1305,4,0)</f>
        <v>Kg</v>
      </c>
      <c r="F1061" s="724">
        <f t="shared" ca="1" si="209"/>
        <v>0</v>
      </c>
      <c r="G1061" s="608">
        <f>VLOOKUP($B1061,R_DG!$A$7:$G$1305,5,0)</f>
        <v>15140.380999999999</v>
      </c>
      <c r="H1061" s="608">
        <f>VLOOKUP($B1061,R_DG!$A$7:$G$1305,6,0)</f>
        <v>0</v>
      </c>
      <c r="I1061" s="608">
        <f>VLOOKUP($B1061,R_DG!$A$7:$G$1305,7,0)</f>
        <v>0</v>
      </c>
      <c r="J1061" s="608">
        <f t="shared" ca="1" si="212"/>
        <v>0</v>
      </c>
      <c r="K1061" s="608">
        <f t="shared" ca="1" si="212"/>
        <v>0</v>
      </c>
      <c r="L1061" s="725">
        <f t="shared" ca="1" si="212"/>
        <v>0</v>
      </c>
      <c r="M1061" s="1127">
        <f t="shared" ca="1" si="211"/>
        <v>0</v>
      </c>
      <c r="N1061" s="754">
        <f t="shared" ca="1" si="210"/>
        <v>0</v>
      </c>
    </row>
    <row r="1062" spans="1:14" hidden="1">
      <c r="A1062" s="696"/>
      <c r="B1062" s="226" t="s">
        <v>1460</v>
      </c>
      <c r="C1062" s="713" t="str">
        <f>VLOOKUP($B1062,R_DG!$A$7:$G$1305,2,0)</f>
        <v>D2.9004</v>
      </c>
      <c r="D1062" s="723" t="str">
        <f>VLOOKUP($B1062,R_DG!$A$7:$G$1305,3,0)</f>
        <v>Sơn biển số- bảng nguy hiểm</v>
      </c>
      <c r="E1062" s="714" t="str">
        <f>VLOOKUP($B1062,R_DG!$A$7:$G$1305,4,0)</f>
        <v>cái</v>
      </c>
      <c r="F1062" s="724">
        <f t="shared" ca="1" si="209"/>
        <v>0</v>
      </c>
      <c r="G1062" s="608">
        <f>VLOOKUP($B1062,R_DG!$A$7:$G$1305,5,0)</f>
        <v>7500</v>
      </c>
      <c r="H1062" s="608">
        <f>VLOOKUP($B1062,R_DG!$A$7:$G$1305,6,0)</f>
        <v>26992.9</v>
      </c>
      <c r="I1062" s="608">
        <f>VLOOKUP($B1062,R_DG!$A$7:$G$1305,7,0)</f>
        <v>0</v>
      </c>
      <c r="J1062" s="608">
        <f t="shared" ca="1" si="212"/>
        <v>0</v>
      </c>
      <c r="K1062" s="608">
        <f t="shared" ca="1" si="212"/>
        <v>0</v>
      </c>
      <c r="L1062" s="725">
        <f t="shared" ca="1" si="212"/>
        <v>0</v>
      </c>
      <c r="M1062" s="1127">
        <f t="shared" ca="1" si="211"/>
        <v>0</v>
      </c>
      <c r="N1062" s="754">
        <f t="shared" ca="1" si="210"/>
        <v>0</v>
      </c>
    </row>
    <row r="1063" spans="1:14" ht="21.95" hidden="1" customHeight="1">
      <c r="A1063" s="696"/>
      <c r="B1063" s="226" t="s">
        <v>2315</v>
      </c>
      <c r="C1063" s="713">
        <f>VLOOKUP($B1063,R_DG!$A$7:$G$1305,2,0)</f>
        <v>0</v>
      </c>
      <c r="D1063" s="723" t="str">
        <f>VLOOKUP($B1063,R_DG!$A$7:$G$1305,3,0)</f>
        <v>Cáp đồng bọc CV25</v>
      </c>
      <c r="E1063" s="714" t="str">
        <f>VLOOKUP($B1063,R_DG!$A$7:$G$1305,4,0)</f>
        <v>mét</v>
      </c>
      <c r="F1063" s="724">
        <v>40</v>
      </c>
      <c r="G1063" s="608">
        <f>VLOOKUP($B1063,R_DG!$A$7:$G$1305,5,0)</f>
        <v>48800</v>
      </c>
      <c r="H1063" s="608">
        <f>VLOOKUP($B1063,R_DG!$A$7:$G$1305,6,0)</f>
        <v>0</v>
      </c>
      <c r="I1063" s="608">
        <f>VLOOKUP($B1063,R_DG!$A$7:$G$1305,7,0)</f>
        <v>0</v>
      </c>
      <c r="J1063" s="608">
        <f t="shared" si="212"/>
        <v>1952000</v>
      </c>
      <c r="K1063" s="608">
        <f t="shared" si="212"/>
        <v>0</v>
      </c>
      <c r="L1063" s="725">
        <f t="shared" si="212"/>
        <v>0</v>
      </c>
      <c r="M1063" s="1127">
        <f t="shared" si="211"/>
        <v>1</v>
      </c>
      <c r="N1063" s="754">
        <f t="shared" si="210"/>
        <v>40</v>
      </c>
    </row>
    <row r="1064" spans="1:14" hidden="1">
      <c r="A1064" s="696"/>
      <c r="B1064" s="226" t="s">
        <v>338</v>
      </c>
      <c r="C1064" s="713">
        <f>VLOOKUP($B1064,R_DG!$A$7:$G$1305,2,0)</f>
        <v>0</v>
      </c>
      <c r="D1064" s="723" t="str">
        <f>VLOOKUP($B1064,R_DG!$A$7:$G$1305,3,0)</f>
        <v>Cáp đồng mềm CV2,5</v>
      </c>
      <c r="E1064" s="714" t="str">
        <f>VLOOKUP($B1064,R_DG!$A$7:$G$1305,4,0)</f>
        <v>mét</v>
      </c>
      <c r="F1064" s="724">
        <f t="shared" ca="1" si="209"/>
        <v>0</v>
      </c>
      <c r="G1064" s="608">
        <f>VLOOKUP($B1064,R_DG!$A$7:$G$1305,5,0)</f>
        <v>4190</v>
      </c>
      <c r="H1064" s="608">
        <f>VLOOKUP($B1064,R_DG!$A$7:$G$1305,6,0)</f>
        <v>0</v>
      </c>
      <c r="I1064" s="608">
        <f>VLOOKUP($B1064,R_DG!$A$7:$G$1305,7,0)</f>
        <v>0</v>
      </c>
      <c r="J1064" s="608">
        <f t="shared" ca="1" si="212"/>
        <v>0</v>
      </c>
      <c r="K1064" s="608">
        <f t="shared" ca="1" si="212"/>
        <v>0</v>
      </c>
      <c r="L1064" s="725">
        <f t="shared" ca="1" si="212"/>
        <v>0</v>
      </c>
      <c r="M1064" s="1127">
        <f t="shared" ca="1" si="211"/>
        <v>0</v>
      </c>
      <c r="N1064" s="754">
        <f t="shared" ca="1" si="210"/>
        <v>0</v>
      </c>
    </row>
    <row r="1065" spans="1:14" hidden="1">
      <c r="A1065" s="696"/>
      <c r="B1065" s="226" t="s">
        <v>331</v>
      </c>
      <c r="C1065" s="713">
        <f>VLOOKUP($B1065,R_DG!$A$7:$G$1305,2,0)</f>
        <v>0</v>
      </c>
      <c r="D1065" s="723" t="str">
        <f>VLOOKUP($B1065,R_DG!$A$7:$G$1305,3,0)</f>
        <v>Cát vàng</v>
      </c>
      <c r="E1065" s="714" t="str">
        <f>VLOOKUP($B1065,R_DG!$A$7:$G$1305,4,0)</f>
        <v>m3</v>
      </c>
      <c r="F1065" s="724">
        <f t="shared" ca="1" si="209"/>
        <v>0</v>
      </c>
      <c r="G1065" s="608">
        <f>VLOOKUP($B1065,R_DG!$A$7:$G$1305,5,0)</f>
        <v>390000</v>
      </c>
      <c r="H1065" s="608">
        <f>VLOOKUP($B1065,R_DG!$A$7:$G$1305,6,0)</f>
        <v>0</v>
      </c>
      <c r="I1065" s="608">
        <f>VLOOKUP($B1065,R_DG!$A$7:$G$1305,7,0)</f>
        <v>0</v>
      </c>
      <c r="J1065" s="608">
        <f t="shared" ca="1" si="212"/>
        <v>0</v>
      </c>
      <c r="K1065" s="608">
        <f t="shared" ca="1" si="212"/>
        <v>0</v>
      </c>
      <c r="L1065" s="725">
        <f t="shared" ca="1" si="212"/>
        <v>0</v>
      </c>
      <c r="M1065" s="1127">
        <f t="shared" ca="1" si="211"/>
        <v>0</v>
      </c>
      <c r="N1065" s="754">
        <f t="shared" ca="1" si="210"/>
        <v>0</v>
      </c>
    </row>
    <row r="1066" spans="1:14" hidden="1">
      <c r="A1066" s="696"/>
      <c r="B1066" s="226" t="s">
        <v>4537</v>
      </c>
      <c r="C1066" s="713">
        <f>VLOOKUP($B1066,R_DG!$A$7:$G$1305,2,0)</f>
        <v>0</v>
      </c>
      <c r="D1066" s="723" t="str">
        <f>VLOOKUP($B1066,R_DG!$A$7:$G$1305,3,0)</f>
        <v xml:space="preserve">Cáp CVV 4x4mm2 </v>
      </c>
      <c r="E1066" s="714" t="str">
        <f>VLOOKUP($B1066,R_DG!$A$7:$G$1305,4,0)</f>
        <v>mét</v>
      </c>
      <c r="F1066" s="724">
        <f t="shared" ca="1" si="209"/>
        <v>0</v>
      </c>
      <c r="G1066" s="608">
        <f>VLOOKUP($B1066,R_DG!$A$7:$G$1305,5,0)</f>
        <v>30000</v>
      </c>
      <c r="H1066" s="608">
        <f>VLOOKUP($B1066,R_DG!$A$7:$G$1305,6,0)</f>
        <v>0</v>
      </c>
      <c r="I1066" s="608">
        <f>VLOOKUP($B1066,R_DG!$A$7:$G$1305,7,0)</f>
        <v>0</v>
      </c>
      <c r="J1066" s="608">
        <f t="shared" ca="1" si="212"/>
        <v>0</v>
      </c>
      <c r="K1066" s="608">
        <f t="shared" ca="1" si="212"/>
        <v>0</v>
      </c>
      <c r="L1066" s="725">
        <f t="shared" ca="1" si="212"/>
        <v>0</v>
      </c>
      <c r="M1066" s="1127">
        <f t="shared" ca="1" si="211"/>
        <v>0</v>
      </c>
      <c r="N1066" s="754">
        <f t="shared" ca="1" si="210"/>
        <v>0</v>
      </c>
    </row>
    <row r="1067" spans="1:14" hidden="1">
      <c r="A1067" s="696"/>
      <c r="B1067" s="226" t="s">
        <v>2463</v>
      </c>
      <c r="C1067" s="713">
        <f>VLOOKUP($B1067,R_DG!$A$7:$G$1305,2,0)</f>
        <v>0</v>
      </c>
      <c r="D1067" s="723" t="str">
        <f>VLOOKUP($B1067,R_DG!$A$7:$G$1305,3,0)</f>
        <v xml:space="preserve">Cáp CVV 4x2,5mm2 </v>
      </c>
      <c r="E1067" s="714" t="str">
        <f>VLOOKUP($B1067,R_DG!$A$7:$G$1305,4,0)</f>
        <v>mét</v>
      </c>
      <c r="F1067" s="724">
        <f t="shared" ca="1" si="209"/>
        <v>0</v>
      </c>
      <c r="G1067" s="608">
        <f>VLOOKUP($B1067,R_DG!$A$7:$G$1305,5,0)</f>
        <v>30000</v>
      </c>
      <c r="H1067" s="608">
        <f>VLOOKUP($B1067,R_DG!$A$7:$G$1305,6,0)</f>
        <v>0</v>
      </c>
      <c r="I1067" s="608">
        <f>VLOOKUP($B1067,R_DG!$A$7:$G$1305,7,0)</f>
        <v>0</v>
      </c>
      <c r="J1067" s="608">
        <f t="shared" ca="1" si="212"/>
        <v>0</v>
      </c>
      <c r="K1067" s="608">
        <f t="shared" ca="1" si="212"/>
        <v>0</v>
      </c>
      <c r="L1067" s="725">
        <f t="shared" ca="1" si="212"/>
        <v>0</v>
      </c>
      <c r="M1067" s="1127">
        <f t="shared" ca="1" si="211"/>
        <v>0</v>
      </c>
      <c r="N1067" s="754">
        <f t="shared" ca="1" si="210"/>
        <v>0</v>
      </c>
    </row>
    <row r="1068" spans="1:14" hidden="1">
      <c r="A1068" s="696"/>
      <c r="B1068" s="226" t="s">
        <v>4532</v>
      </c>
      <c r="C1068" s="713">
        <f>VLOOKUP($B1068,R_DG!$A$7:$G$1305,2,0)</f>
        <v>0</v>
      </c>
      <c r="D1068" s="723" t="str">
        <f>VLOOKUP($B1068,R_DG!$A$7:$G$1305,3,0)</f>
        <v>Cáp 24KV C/XLPE/PVC 25mm2</v>
      </c>
      <c r="E1068" s="714" t="str">
        <f>VLOOKUP($B1068,R_DG!$A$7:$G$1305,4,0)</f>
        <v>mét</v>
      </c>
      <c r="F1068" s="724">
        <f t="shared" ca="1" si="209"/>
        <v>0</v>
      </c>
      <c r="G1068" s="608">
        <f>VLOOKUP($B1068,R_DG!$A$7:$G$1305,5,0)</f>
        <v>57600</v>
      </c>
      <c r="H1068" s="608">
        <f>VLOOKUP($B1068,R_DG!$A$7:$G$1305,6,0)</f>
        <v>0</v>
      </c>
      <c r="I1068" s="608">
        <f>VLOOKUP($B1068,R_DG!$A$7:$G$1305,7,0)</f>
        <v>0</v>
      </c>
      <c r="J1068" s="608">
        <f t="shared" ca="1" si="212"/>
        <v>0</v>
      </c>
      <c r="K1068" s="608">
        <f t="shared" ca="1" si="212"/>
        <v>0</v>
      </c>
      <c r="L1068" s="725">
        <f t="shared" ca="1" si="212"/>
        <v>0</v>
      </c>
      <c r="M1068" s="1127">
        <f t="shared" ca="1" si="211"/>
        <v>0</v>
      </c>
      <c r="N1068" s="754">
        <f t="shared" ca="1" si="210"/>
        <v>0</v>
      </c>
    </row>
    <row r="1069" spans="1:14" hidden="1">
      <c r="A1069" s="696"/>
      <c r="B1069" s="226" t="s">
        <v>2184</v>
      </c>
      <c r="C1069" s="713">
        <f>VLOOKUP($B1069,R_DG!$A$7:$G$1305,2,0)</f>
        <v>0</v>
      </c>
      <c r="D1069" s="723" t="str">
        <f>VLOOKUP($B1069,R_DG!$A$7:$G$1305,3,0)</f>
        <v>Cáp đồng trần M25mm2</v>
      </c>
      <c r="E1069" s="714" t="str">
        <f>VLOOKUP($B1069,R_DG!$A$7:$G$1305,4,0)</f>
        <v>kg</v>
      </c>
      <c r="F1069" s="724">
        <f t="shared" ca="1" si="209"/>
        <v>0</v>
      </c>
      <c r="G1069" s="608">
        <f>VLOOKUP($B1069,R_DG!$A$7:$G$1305,5,0)</f>
        <v>255500</v>
      </c>
      <c r="H1069" s="608">
        <f>VLOOKUP($B1069,R_DG!$A$7:$G$1305,6,0)</f>
        <v>0</v>
      </c>
      <c r="I1069" s="608">
        <f>VLOOKUP($B1069,R_DG!$A$7:$G$1305,7,0)</f>
        <v>0</v>
      </c>
      <c r="J1069" s="608">
        <f t="shared" ca="1" si="212"/>
        <v>0</v>
      </c>
      <c r="K1069" s="608">
        <f t="shared" ca="1" si="212"/>
        <v>0</v>
      </c>
      <c r="L1069" s="725">
        <f t="shared" ca="1" si="212"/>
        <v>0</v>
      </c>
      <c r="M1069" s="1127">
        <f t="shared" ca="1" si="211"/>
        <v>0</v>
      </c>
      <c r="N1069" s="754">
        <f t="shared" ca="1" si="210"/>
        <v>0</v>
      </c>
    </row>
    <row r="1070" spans="1:14" hidden="1">
      <c r="A1070" s="696"/>
      <c r="B1070" s="226" t="s">
        <v>792</v>
      </c>
      <c r="C1070" s="713">
        <f>VLOOKUP($B1070,R_DG!$A$7:$G$1305,2,0)</f>
        <v>0</v>
      </c>
      <c r="D1070" s="723" t="str">
        <f>VLOOKUP($B1070,R_DG!$A$7:$G$1305,3,0)</f>
        <v>Đầu cáp ngầm hạ thế 3x50+35mm2</v>
      </c>
      <c r="E1070" s="714" t="str">
        <f>VLOOKUP($B1070,R_DG!$A$7:$G$1305,4,0)</f>
        <v>cái</v>
      </c>
      <c r="F1070" s="724">
        <f t="shared" ca="1" si="209"/>
        <v>0</v>
      </c>
      <c r="G1070" s="608">
        <f>VLOOKUP($B1070,R_DG!$A$7:$G$1305,5,0)</f>
        <v>501197</v>
      </c>
      <c r="H1070" s="608">
        <f>VLOOKUP($B1070,R_DG!$A$7:$G$1305,6,0)</f>
        <v>0</v>
      </c>
      <c r="I1070" s="608">
        <f>VLOOKUP($B1070,R_DG!$A$7:$G$1305,7,0)</f>
        <v>0</v>
      </c>
      <c r="J1070" s="608">
        <f t="shared" ca="1" si="212"/>
        <v>0</v>
      </c>
      <c r="K1070" s="608">
        <f t="shared" ca="1" si="212"/>
        <v>0</v>
      </c>
      <c r="L1070" s="725">
        <f t="shared" ca="1" si="212"/>
        <v>0</v>
      </c>
      <c r="M1070" s="1127">
        <f t="shared" ca="1" si="211"/>
        <v>0</v>
      </c>
      <c r="N1070" s="754">
        <f t="shared" ca="1" si="210"/>
        <v>0</v>
      </c>
    </row>
    <row r="1071" spans="1:14" hidden="1">
      <c r="A1071" s="696"/>
      <c r="B1071" s="226" t="s">
        <v>789</v>
      </c>
      <c r="C1071" s="713">
        <f>VLOOKUP($B1071,R_DG!$A$7:$G$1305,2,0)</f>
        <v>0</v>
      </c>
      <c r="D1071" s="723" t="str">
        <f>VLOOKUP($B1071,R_DG!$A$7:$G$1305,3,0)</f>
        <v>Đầu cáp ngầm hạ thế 3x70+50mm2</v>
      </c>
      <c r="E1071" s="714" t="str">
        <f>VLOOKUP($B1071,R_DG!$A$7:$G$1305,4,0)</f>
        <v>cái</v>
      </c>
      <c r="F1071" s="724">
        <f t="shared" ca="1" si="209"/>
        <v>0</v>
      </c>
      <c r="G1071" s="608">
        <f>VLOOKUP($B1071,R_DG!$A$7:$G$1305,5,0)</f>
        <v>501197</v>
      </c>
      <c r="H1071" s="608">
        <f>VLOOKUP($B1071,R_DG!$A$7:$G$1305,6,0)</f>
        <v>0</v>
      </c>
      <c r="I1071" s="608">
        <f>VLOOKUP($B1071,R_DG!$A$7:$G$1305,7,0)</f>
        <v>0</v>
      </c>
      <c r="J1071" s="608">
        <f t="shared" ca="1" si="212"/>
        <v>0</v>
      </c>
      <c r="K1071" s="608">
        <f t="shared" ca="1" si="212"/>
        <v>0</v>
      </c>
      <c r="L1071" s="725">
        <f t="shared" ca="1" si="212"/>
        <v>0</v>
      </c>
      <c r="M1071" s="1127">
        <f t="shared" ca="1" si="211"/>
        <v>0</v>
      </c>
      <c r="N1071" s="754">
        <f t="shared" ca="1" si="210"/>
        <v>0</v>
      </c>
    </row>
    <row r="1072" spans="1:14" hidden="1">
      <c r="A1072" s="696"/>
      <c r="B1072" s="226" t="s">
        <v>787</v>
      </c>
      <c r="C1072" s="713">
        <f>VLOOKUP($B1072,R_DG!$A$7:$G$1305,2,0)</f>
        <v>0</v>
      </c>
      <c r="D1072" s="723" t="str">
        <f>VLOOKUP($B1072,R_DG!$A$7:$G$1305,3,0)</f>
        <v>Đầu cáp ngầm hạ thế 3x95+50mm2</v>
      </c>
      <c r="E1072" s="714" t="str">
        <f>VLOOKUP($B1072,R_DG!$A$7:$G$1305,4,0)</f>
        <v>cái</v>
      </c>
      <c r="F1072" s="724">
        <f t="shared" ref="F1072:F1095" ca="1" si="213">SUMIF(maBK,B1072,tongBK1)</f>
        <v>0</v>
      </c>
      <c r="G1072" s="608">
        <f>VLOOKUP($B1072,R_DG!$A$7:$G$1305,5,0)</f>
        <v>568023</v>
      </c>
      <c r="H1072" s="608">
        <f>VLOOKUP($B1072,R_DG!$A$7:$G$1305,6,0)</f>
        <v>0</v>
      </c>
      <c r="I1072" s="608">
        <f>VLOOKUP($B1072,R_DG!$A$7:$G$1305,7,0)</f>
        <v>0</v>
      </c>
      <c r="J1072" s="608">
        <f t="shared" ca="1" si="212"/>
        <v>0</v>
      </c>
      <c r="K1072" s="608">
        <f t="shared" ca="1" si="212"/>
        <v>0</v>
      </c>
      <c r="L1072" s="725">
        <f t="shared" ca="1" si="212"/>
        <v>0</v>
      </c>
      <c r="M1072" s="1127">
        <f t="shared" ca="1" si="211"/>
        <v>0</v>
      </c>
      <c r="N1072" s="754">
        <f t="shared" ref="N1072:N1095" ca="1" si="214">$F1072</f>
        <v>0</v>
      </c>
    </row>
    <row r="1073" spans="1:14" hidden="1">
      <c r="A1073" s="696"/>
      <c r="B1073" s="226" t="s">
        <v>785</v>
      </c>
      <c r="C1073" s="713">
        <f>VLOOKUP($B1073,R_DG!$A$7:$G$1305,2,0)</f>
        <v>0</v>
      </c>
      <c r="D1073" s="723" t="str">
        <f>VLOOKUP($B1073,R_DG!$A$7:$G$1305,3,0)</f>
        <v>Đầu cáp ngầm hạ thế 3x120+70mm2</v>
      </c>
      <c r="E1073" s="714" t="str">
        <f>VLOOKUP($B1073,R_DG!$A$7:$G$1305,4,0)</f>
        <v>cái</v>
      </c>
      <c r="F1073" s="724">
        <f t="shared" ca="1" si="213"/>
        <v>0</v>
      </c>
      <c r="G1073" s="608">
        <f>VLOOKUP($B1073,R_DG!$A$7:$G$1305,5,0)</f>
        <v>568023</v>
      </c>
      <c r="H1073" s="608">
        <f>VLOOKUP($B1073,R_DG!$A$7:$G$1305,6,0)</f>
        <v>0</v>
      </c>
      <c r="I1073" s="608">
        <f>VLOOKUP($B1073,R_DG!$A$7:$G$1305,7,0)</f>
        <v>0</v>
      </c>
      <c r="J1073" s="608">
        <f t="shared" ca="1" si="212"/>
        <v>0</v>
      </c>
      <c r="K1073" s="608">
        <f t="shared" ca="1" si="212"/>
        <v>0</v>
      </c>
      <c r="L1073" s="725">
        <f t="shared" ca="1" si="212"/>
        <v>0</v>
      </c>
      <c r="M1073" s="1127">
        <f t="shared" ca="1" si="211"/>
        <v>0</v>
      </c>
      <c r="N1073" s="754">
        <f t="shared" ca="1" si="214"/>
        <v>0</v>
      </c>
    </row>
    <row r="1074" spans="1:14" hidden="1">
      <c r="A1074" s="696"/>
      <c r="B1074" s="226" t="s">
        <v>783</v>
      </c>
      <c r="C1074" s="713">
        <f>VLOOKUP($B1074,R_DG!$A$7:$G$1305,2,0)</f>
        <v>0</v>
      </c>
      <c r="D1074" s="723" t="str">
        <f>VLOOKUP($B1074,R_DG!$A$7:$G$1305,3,0)</f>
        <v>Đầu cáp ngầm hạ thế 3x185+120mm2</v>
      </c>
      <c r="E1074" s="714" t="str">
        <f>VLOOKUP($B1074,R_DG!$A$7:$G$1305,4,0)</f>
        <v>cái</v>
      </c>
      <c r="F1074" s="724">
        <f t="shared" ca="1" si="213"/>
        <v>0</v>
      </c>
      <c r="G1074" s="608">
        <f>VLOOKUP($B1074,R_DG!$A$7:$G$1305,5,0)</f>
        <v>568023</v>
      </c>
      <c r="H1074" s="608">
        <f>VLOOKUP($B1074,R_DG!$A$7:$G$1305,6,0)</f>
        <v>0</v>
      </c>
      <c r="I1074" s="608">
        <f>VLOOKUP($B1074,R_DG!$A$7:$G$1305,7,0)</f>
        <v>0</v>
      </c>
      <c r="J1074" s="608">
        <f t="shared" ca="1" si="212"/>
        <v>0</v>
      </c>
      <c r="K1074" s="608">
        <f t="shared" ca="1" si="212"/>
        <v>0</v>
      </c>
      <c r="L1074" s="725">
        <f t="shared" ca="1" si="212"/>
        <v>0</v>
      </c>
      <c r="M1074" s="1127">
        <f t="shared" ca="1" si="211"/>
        <v>0</v>
      </c>
      <c r="N1074" s="754">
        <f t="shared" ca="1" si="214"/>
        <v>0</v>
      </c>
    </row>
    <row r="1075" spans="1:14" hidden="1">
      <c r="A1075" s="696"/>
      <c r="B1075" s="759" t="s">
        <v>4861</v>
      </c>
      <c r="C1075" s="713">
        <f>VLOOKUP($B1075,R_DG!$A$7:$G$1305,2,0)</f>
        <v>0</v>
      </c>
      <c r="D1075" s="723" t="str">
        <f>VLOOKUP($B1075,R_DG!$A$7:$G$1305,3,0)</f>
        <v>Giáp níu dừng dây bọc 150</v>
      </c>
      <c r="E1075" s="714" t="str">
        <f>VLOOKUP($B1075,R_DG!$A$7:$G$1305,4,0)</f>
        <v>cái</v>
      </c>
      <c r="F1075" s="724">
        <f t="shared" ca="1" si="213"/>
        <v>0</v>
      </c>
      <c r="G1075" s="608">
        <f>VLOOKUP($B1075,R_DG!$A$7:$G$1305,5,0)</f>
        <v>250000</v>
      </c>
      <c r="H1075" s="608">
        <f>VLOOKUP($B1075,R_DG!$A$7:$G$1305,6,0)</f>
        <v>0</v>
      </c>
      <c r="I1075" s="608">
        <f>VLOOKUP($B1075,R_DG!$A$7:$G$1305,7,0)</f>
        <v>0</v>
      </c>
      <c r="J1075" s="608">
        <f t="shared" ca="1" si="212"/>
        <v>0</v>
      </c>
      <c r="K1075" s="608">
        <f t="shared" ca="1" si="212"/>
        <v>0</v>
      </c>
      <c r="L1075" s="725">
        <f t="shared" ca="1" si="212"/>
        <v>0</v>
      </c>
      <c r="M1075" s="1127">
        <f t="shared" ca="1" si="211"/>
        <v>0</v>
      </c>
      <c r="N1075" s="754">
        <f t="shared" ca="1" si="214"/>
        <v>0</v>
      </c>
    </row>
    <row r="1076" spans="1:14" ht="21.95" hidden="1" customHeight="1">
      <c r="A1076" s="696"/>
      <c r="B1076" s="759" t="s">
        <v>4959</v>
      </c>
      <c r="C1076" s="713">
        <f>VLOOKUP($B1076,R_DG!$A$7:$G$1305,2,0)</f>
        <v>0</v>
      </c>
      <c r="D1076" s="723" t="str">
        <f>VLOOKUP($B1076,R_DG!$A$7:$G$1305,3,0)</f>
        <v>Giáp níu dừng dây bọc 50</v>
      </c>
      <c r="E1076" s="714" t="str">
        <f>VLOOKUP($B1076,R_DG!$A$7:$G$1305,4,0)</f>
        <v>cái</v>
      </c>
      <c r="F1076" s="724">
        <v>12</v>
      </c>
      <c r="G1076" s="608">
        <f>VLOOKUP($B1076,R_DG!$A$7:$G$1305,5,0)+200000</f>
        <v>390000</v>
      </c>
      <c r="H1076" s="608">
        <f>VLOOKUP($B1076,R_DG!$A$7:$G$1305,6,0)</f>
        <v>0</v>
      </c>
      <c r="I1076" s="608">
        <f>VLOOKUP($B1076,R_DG!$A$7:$G$1305,7,0)</f>
        <v>0</v>
      </c>
      <c r="J1076" s="608">
        <f t="shared" si="212"/>
        <v>4680000</v>
      </c>
      <c r="K1076" s="608">
        <f t="shared" si="212"/>
        <v>0</v>
      </c>
      <c r="L1076" s="725">
        <f t="shared" si="212"/>
        <v>0</v>
      </c>
      <c r="M1076" s="1127">
        <f t="shared" si="211"/>
        <v>1</v>
      </c>
      <c r="N1076" s="754">
        <f t="shared" si="214"/>
        <v>12</v>
      </c>
    </row>
    <row r="1077" spans="1:14" ht="21.95" hidden="1" customHeight="1">
      <c r="A1077" s="696"/>
      <c r="B1077" s="759" t="s">
        <v>4865</v>
      </c>
      <c r="C1077" s="713">
        <f>VLOOKUP($B1077,R_DG!$A$7:$G$1305,2,0)</f>
        <v>0</v>
      </c>
      <c r="D1077" s="723" t="str">
        <f>VLOOKUP($B1077,R_DG!$A$7:$G$1305,3,0)</f>
        <v>Dây buộc cổ sứ phi kim cỡ 150mm2</v>
      </c>
      <c r="E1077" s="714" t="str">
        <f>VLOOKUP($B1077,R_DG!$A$7:$G$1305,4,0)</f>
        <v>cái</v>
      </c>
      <c r="F1077" s="724">
        <v>12</v>
      </c>
      <c r="G1077" s="608">
        <f>VLOOKUP($B1077,R_DG!$A$7:$G$1305,5,0)</f>
        <v>330000</v>
      </c>
      <c r="H1077" s="608">
        <f>VLOOKUP($B1077,R_DG!$A$7:$G$1305,6,0)</f>
        <v>0</v>
      </c>
      <c r="I1077" s="608">
        <f>VLOOKUP($B1077,R_DG!$A$7:$G$1305,7,0)</f>
        <v>0</v>
      </c>
      <c r="J1077" s="608">
        <f t="shared" ref="J1077:L1092" si="215">G1077*$F1077</f>
        <v>3960000</v>
      </c>
      <c r="K1077" s="608">
        <f t="shared" si="215"/>
        <v>0</v>
      </c>
      <c r="L1077" s="725">
        <f t="shared" si="215"/>
        <v>0</v>
      </c>
      <c r="M1077" s="1127">
        <f>IF(F1077&gt;0,M$943,0)</f>
        <v>1</v>
      </c>
      <c r="N1077" s="754">
        <f>$F1077</f>
        <v>12</v>
      </c>
    </row>
    <row r="1078" spans="1:14" ht="21.95" hidden="1" customHeight="1">
      <c r="A1078" s="696"/>
      <c r="B1078" s="759" t="s">
        <v>4866</v>
      </c>
      <c r="C1078" s="713">
        <f>VLOOKUP($B1078,R_DG!$A$7:$G$1305,2,0)</f>
        <v>0</v>
      </c>
      <c r="D1078" s="723" t="str">
        <f>VLOOKUP($B1078,R_DG!$A$7:$G$1305,3,0)</f>
        <v>Dây buộc cổ sứ phi kim cỡ 50mm2 (đỡ thẳng)</v>
      </c>
      <c r="E1078" s="714" t="str">
        <f>VLOOKUP($B1078,R_DG!$A$7:$G$1305,4,0)</f>
        <v>cái</v>
      </c>
      <c r="F1078" s="724">
        <f ca="1">SUMIF(maBK,B1078,tongBK1)+3</f>
        <v>6</v>
      </c>
      <c r="G1078" s="608">
        <f>VLOOKUP($B1078,R_DG!$A$7:$G$1305,5,0)</f>
        <v>247250</v>
      </c>
      <c r="H1078" s="608">
        <f>VLOOKUP($B1078,R_DG!$A$7:$G$1305,6,0)</f>
        <v>0</v>
      </c>
      <c r="I1078" s="608">
        <f>VLOOKUP($B1078,R_DG!$A$7:$G$1305,7,0)</f>
        <v>0</v>
      </c>
      <c r="J1078" s="608">
        <f t="shared" ca="1" si="215"/>
        <v>1483500</v>
      </c>
      <c r="K1078" s="608">
        <f t="shared" ca="1" si="215"/>
        <v>0</v>
      </c>
      <c r="L1078" s="725">
        <f t="shared" ca="1" si="215"/>
        <v>0</v>
      </c>
      <c r="M1078" s="1127">
        <f ca="1">IF(F1078&gt;0,M$943,0)</f>
        <v>1</v>
      </c>
      <c r="N1078" s="754">
        <f ca="1">$F1078</f>
        <v>6</v>
      </c>
    </row>
    <row r="1079" spans="1:14" hidden="1">
      <c r="A1079" s="696"/>
      <c r="B1079" s="759" t="s">
        <v>4974</v>
      </c>
      <c r="C1079" s="713">
        <f>VLOOKUP($B1079,R_DG!$A$7:$G$1305,2,0)</f>
        <v>0</v>
      </c>
      <c r="D1079" s="723" t="str">
        <f>VLOOKUP($B1079,R_DG!$A$7:$G$1305,3,0)</f>
        <v>Dây buộc cổ sứ phi kim cỡ 50mm2 (đỡ góc)</v>
      </c>
      <c r="E1079" s="714" t="str">
        <f>VLOOKUP($B1079,R_DG!$A$7:$G$1305,4,0)</f>
        <v>cái</v>
      </c>
      <c r="F1079" s="724">
        <f t="shared" ca="1" si="213"/>
        <v>0</v>
      </c>
      <c r="G1079" s="608">
        <f>VLOOKUP($B1079,R_DG!$A$7:$G$1305,5,0)</f>
        <v>258750</v>
      </c>
      <c r="H1079" s="608">
        <f>VLOOKUP($B1079,R_DG!$A$7:$G$1305,6,0)</f>
        <v>0</v>
      </c>
      <c r="I1079" s="608">
        <f>VLOOKUP($B1079,R_DG!$A$7:$G$1305,7,0)</f>
        <v>0</v>
      </c>
      <c r="J1079" s="608">
        <f t="shared" ca="1" si="215"/>
        <v>0</v>
      </c>
      <c r="K1079" s="608">
        <f t="shared" ca="1" si="215"/>
        <v>0</v>
      </c>
      <c r="L1079" s="725">
        <f t="shared" ca="1" si="215"/>
        <v>0</v>
      </c>
      <c r="M1079" s="1127">
        <f t="shared" ref="M1079:M1095" ca="1" si="216">IF(F1079&gt;0,M$943,0)</f>
        <v>0</v>
      </c>
      <c r="N1079" s="754">
        <f t="shared" ca="1" si="214"/>
        <v>0</v>
      </c>
    </row>
    <row r="1080" spans="1:14" hidden="1">
      <c r="A1080" s="696"/>
      <c r="B1080" s="759" t="s">
        <v>2793</v>
      </c>
      <c r="C1080" s="713">
        <f>VLOOKUP($B1080,R_DG!$A$7:$G$1305,2,0)</f>
        <v>0</v>
      </c>
      <c r="D1080" s="723">
        <f>VLOOKUP($B1080,R_DG!$A$7:$G$1305,3,0)</f>
        <v>0</v>
      </c>
      <c r="E1080" s="714">
        <f>VLOOKUP($B1080,R_DG!$A$7:$G$1305,4,0)</f>
        <v>0</v>
      </c>
      <c r="F1080" s="724">
        <f t="shared" ca="1" si="213"/>
        <v>0</v>
      </c>
      <c r="G1080" s="608">
        <f>VLOOKUP($B1080,R_DG!$A$7:$G$1305,5,0)</f>
        <v>0</v>
      </c>
      <c r="H1080" s="608">
        <f>VLOOKUP($B1080,R_DG!$A$7:$G$1305,6,0)</f>
        <v>0</v>
      </c>
      <c r="I1080" s="608">
        <f>VLOOKUP($B1080,R_DG!$A$7:$G$1305,7,0)</f>
        <v>0</v>
      </c>
      <c r="J1080" s="608">
        <f t="shared" ca="1" si="215"/>
        <v>0</v>
      </c>
      <c r="K1080" s="608">
        <f t="shared" ca="1" si="215"/>
        <v>0</v>
      </c>
      <c r="L1080" s="725">
        <f t="shared" ca="1" si="215"/>
        <v>0</v>
      </c>
      <c r="M1080" s="1127">
        <f t="shared" ca="1" si="216"/>
        <v>0</v>
      </c>
      <c r="N1080" s="754">
        <f t="shared" ca="1" si="214"/>
        <v>0</v>
      </c>
    </row>
    <row r="1081" spans="1:14" hidden="1">
      <c r="A1081" s="696"/>
      <c r="B1081" s="759" t="s">
        <v>2793</v>
      </c>
      <c r="C1081" s="713">
        <f>VLOOKUP($B1081,R_DG!$A$7:$G$1305,2,0)</f>
        <v>0</v>
      </c>
      <c r="D1081" s="723">
        <f>VLOOKUP($B1081,R_DG!$A$7:$G$1305,3,0)</f>
        <v>0</v>
      </c>
      <c r="E1081" s="714">
        <f>VLOOKUP($B1081,R_DG!$A$7:$G$1305,4,0)</f>
        <v>0</v>
      </c>
      <c r="F1081" s="724">
        <f t="shared" ca="1" si="213"/>
        <v>0</v>
      </c>
      <c r="G1081" s="608">
        <f>VLOOKUP($B1081,R_DG!$A$7:$G$1305,5,0)</f>
        <v>0</v>
      </c>
      <c r="H1081" s="608">
        <f>VLOOKUP($B1081,R_DG!$A$7:$G$1305,6,0)</f>
        <v>0</v>
      </c>
      <c r="I1081" s="608">
        <f>VLOOKUP($B1081,R_DG!$A$7:$G$1305,7,0)</f>
        <v>0</v>
      </c>
      <c r="J1081" s="608">
        <f t="shared" ca="1" si="215"/>
        <v>0</v>
      </c>
      <c r="K1081" s="608">
        <f t="shared" ca="1" si="215"/>
        <v>0</v>
      </c>
      <c r="L1081" s="725">
        <f t="shared" ca="1" si="215"/>
        <v>0</v>
      </c>
      <c r="M1081" s="1127">
        <f t="shared" ca="1" si="216"/>
        <v>0</v>
      </c>
      <c r="N1081" s="754">
        <f t="shared" ca="1" si="214"/>
        <v>0</v>
      </c>
    </row>
    <row r="1082" spans="1:14" hidden="1">
      <c r="A1082" s="696"/>
      <c r="B1082" s="759" t="s">
        <v>2793</v>
      </c>
      <c r="C1082" s="713">
        <f>VLOOKUP($B1082,R_DG!$A$7:$G$1305,2,0)</f>
        <v>0</v>
      </c>
      <c r="D1082" s="723">
        <f>VLOOKUP($B1082,R_DG!$A$7:$G$1305,3,0)</f>
        <v>0</v>
      </c>
      <c r="E1082" s="714">
        <f>VLOOKUP($B1082,R_DG!$A$7:$G$1305,4,0)</f>
        <v>0</v>
      </c>
      <c r="F1082" s="724">
        <f t="shared" ca="1" si="213"/>
        <v>0</v>
      </c>
      <c r="G1082" s="608">
        <f>VLOOKUP($B1082,R_DG!$A$7:$G$1305,5,0)</f>
        <v>0</v>
      </c>
      <c r="H1082" s="608">
        <f>VLOOKUP($B1082,R_DG!$A$7:$G$1305,6,0)</f>
        <v>0</v>
      </c>
      <c r="I1082" s="608">
        <f>VLOOKUP($B1082,R_DG!$A$7:$G$1305,7,0)</f>
        <v>0</v>
      </c>
      <c r="J1082" s="608">
        <f t="shared" ca="1" si="215"/>
        <v>0</v>
      </c>
      <c r="K1082" s="608">
        <f t="shared" ca="1" si="215"/>
        <v>0</v>
      </c>
      <c r="L1082" s="725">
        <f t="shared" ca="1" si="215"/>
        <v>0</v>
      </c>
      <c r="M1082" s="1127">
        <f t="shared" ca="1" si="216"/>
        <v>0</v>
      </c>
      <c r="N1082" s="754">
        <f t="shared" ca="1" si="214"/>
        <v>0</v>
      </c>
    </row>
    <row r="1083" spans="1:14" hidden="1">
      <c r="A1083" s="696"/>
      <c r="B1083" s="759" t="s">
        <v>2793</v>
      </c>
      <c r="C1083" s="713">
        <f>VLOOKUP($B1083,R_DG!$A$7:$G$1305,2,0)</f>
        <v>0</v>
      </c>
      <c r="D1083" s="723">
        <f>VLOOKUP($B1083,R_DG!$A$7:$G$1305,3,0)</f>
        <v>0</v>
      </c>
      <c r="E1083" s="714">
        <f>VLOOKUP($B1083,R_DG!$A$7:$G$1305,4,0)</f>
        <v>0</v>
      </c>
      <c r="F1083" s="724">
        <f t="shared" ca="1" si="213"/>
        <v>0</v>
      </c>
      <c r="G1083" s="608">
        <f>VLOOKUP($B1083,R_DG!$A$7:$G$1305,5,0)</f>
        <v>0</v>
      </c>
      <c r="H1083" s="608">
        <f>VLOOKUP($B1083,R_DG!$A$7:$G$1305,6,0)</f>
        <v>0</v>
      </c>
      <c r="I1083" s="608">
        <f>VLOOKUP($B1083,R_DG!$A$7:$G$1305,7,0)</f>
        <v>0</v>
      </c>
      <c r="J1083" s="608">
        <f t="shared" ca="1" si="215"/>
        <v>0</v>
      </c>
      <c r="K1083" s="608">
        <f t="shared" ca="1" si="215"/>
        <v>0</v>
      </c>
      <c r="L1083" s="725">
        <f t="shared" ca="1" si="215"/>
        <v>0</v>
      </c>
      <c r="M1083" s="1127">
        <f t="shared" ca="1" si="216"/>
        <v>0</v>
      </c>
      <c r="N1083" s="754">
        <f t="shared" ca="1" si="214"/>
        <v>0</v>
      </c>
    </row>
    <row r="1084" spans="1:14" hidden="1">
      <c r="A1084" s="696"/>
      <c r="B1084" s="759" t="s">
        <v>2793</v>
      </c>
      <c r="C1084" s="713">
        <f>VLOOKUP($B1084,R_DG!$A$7:$G$1305,2,0)</f>
        <v>0</v>
      </c>
      <c r="D1084" s="723">
        <f>VLOOKUP($B1084,R_DG!$A$7:$G$1305,3,0)</f>
        <v>0</v>
      </c>
      <c r="E1084" s="714">
        <f>VLOOKUP($B1084,R_DG!$A$7:$G$1305,4,0)</f>
        <v>0</v>
      </c>
      <c r="F1084" s="724">
        <f t="shared" ca="1" si="213"/>
        <v>0</v>
      </c>
      <c r="G1084" s="608">
        <f>VLOOKUP($B1084,R_DG!$A$7:$G$1305,5,0)</f>
        <v>0</v>
      </c>
      <c r="H1084" s="608">
        <f>VLOOKUP($B1084,R_DG!$A$7:$G$1305,6,0)</f>
        <v>0</v>
      </c>
      <c r="I1084" s="608">
        <f>VLOOKUP($B1084,R_DG!$A$7:$G$1305,7,0)</f>
        <v>0</v>
      </c>
      <c r="J1084" s="608">
        <f t="shared" ca="1" si="215"/>
        <v>0</v>
      </c>
      <c r="K1084" s="608">
        <f t="shared" ca="1" si="215"/>
        <v>0</v>
      </c>
      <c r="L1084" s="725">
        <f t="shared" ca="1" si="215"/>
        <v>0</v>
      </c>
      <c r="M1084" s="1127">
        <f t="shared" ca="1" si="216"/>
        <v>0</v>
      </c>
      <c r="N1084" s="754">
        <f t="shared" ca="1" si="214"/>
        <v>0</v>
      </c>
    </row>
    <row r="1085" spans="1:14" hidden="1">
      <c r="A1085" s="696"/>
      <c r="B1085" s="759" t="s">
        <v>2793</v>
      </c>
      <c r="C1085" s="713">
        <f>VLOOKUP($B1085,R_DG!$A$7:$G$1305,2,0)</f>
        <v>0</v>
      </c>
      <c r="D1085" s="723">
        <f>VLOOKUP($B1085,R_DG!$A$7:$G$1305,3,0)</f>
        <v>0</v>
      </c>
      <c r="E1085" s="714">
        <f>VLOOKUP($B1085,R_DG!$A$7:$G$1305,4,0)</f>
        <v>0</v>
      </c>
      <c r="F1085" s="724">
        <f t="shared" ca="1" si="213"/>
        <v>0</v>
      </c>
      <c r="G1085" s="608">
        <f>VLOOKUP($B1085,R_DG!$A$7:$G$1305,5,0)</f>
        <v>0</v>
      </c>
      <c r="H1085" s="608">
        <f>VLOOKUP($B1085,R_DG!$A$7:$G$1305,6,0)</f>
        <v>0</v>
      </c>
      <c r="I1085" s="608">
        <f>VLOOKUP($B1085,R_DG!$A$7:$G$1305,7,0)</f>
        <v>0</v>
      </c>
      <c r="J1085" s="608">
        <f t="shared" ca="1" si="215"/>
        <v>0</v>
      </c>
      <c r="K1085" s="608">
        <f t="shared" ca="1" si="215"/>
        <v>0</v>
      </c>
      <c r="L1085" s="725">
        <f t="shared" ca="1" si="215"/>
        <v>0</v>
      </c>
      <c r="M1085" s="1127">
        <f t="shared" ca="1" si="216"/>
        <v>0</v>
      </c>
      <c r="N1085" s="754">
        <f t="shared" ca="1" si="214"/>
        <v>0</v>
      </c>
    </row>
    <row r="1086" spans="1:14" hidden="1">
      <c r="A1086" s="696"/>
      <c r="B1086" s="759" t="s">
        <v>2793</v>
      </c>
      <c r="C1086" s="713">
        <f>VLOOKUP($B1086,R_DG!$A$7:$G$1305,2,0)</f>
        <v>0</v>
      </c>
      <c r="D1086" s="723">
        <f>VLOOKUP($B1086,R_DG!$A$7:$G$1305,3,0)</f>
        <v>0</v>
      </c>
      <c r="E1086" s="714">
        <f>VLOOKUP($B1086,R_DG!$A$7:$G$1305,4,0)</f>
        <v>0</v>
      </c>
      <c r="F1086" s="724">
        <f t="shared" ca="1" si="213"/>
        <v>0</v>
      </c>
      <c r="G1086" s="608">
        <f>VLOOKUP($B1086,R_DG!$A$7:$G$1305,5,0)</f>
        <v>0</v>
      </c>
      <c r="H1086" s="608">
        <f>VLOOKUP($B1086,R_DG!$A$7:$G$1305,6,0)</f>
        <v>0</v>
      </c>
      <c r="I1086" s="608">
        <f>VLOOKUP($B1086,R_DG!$A$7:$G$1305,7,0)</f>
        <v>0</v>
      </c>
      <c r="J1086" s="608">
        <f t="shared" ca="1" si="215"/>
        <v>0</v>
      </c>
      <c r="K1086" s="608">
        <f t="shared" ca="1" si="215"/>
        <v>0</v>
      </c>
      <c r="L1086" s="725">
        <f t="shared" ca="1" si="215"/>
        <v>0</v>
      </c>
      <c r="M1086" s="1127">
        <f t="shared" ca="1" si="216"/>
        <v>0</v>
      </c>
      <c r="N1086" s="754">
        <f t="shared" ca="1" si="214"/>
        <v>0</v>
      </c>
    </row>
    <row r="1087" spans="1:14" hidden="1">
      <c r="A1087" s="696"/>
      <c r="B1087" s="759" t="s">
        <v>2793</v>
      </c>
      <c r="C1087" s="713">
        <f>VLOOKUP($B1087,R_DG!$A$7:$G$1305,2,0)</f>
        <v>0</v>
      </c>
      <c r="D1087" s="723">
        <f>VLOOKUP($B1087,R_DG!$A$7:$G$1305,3,0)</f>
        <v>0</v>
      </c>
      <c r="E1087" s="714">
        <f>VLOOKUP($B1087,R_DG!$A$7:$G$1305,4,0)</f>
        <v>0</v>
      </c>
      <c r="F1087" s="724">
        <f t="shared" ca="1" si="213"/>
        <v>0</v>
      </c>
      <c r="G1087" s="608">
        <f>VLOOKUP($B1087,R_DG!$A$7:$G$1305,5,0)</f>
        <v>0</v>
      </c>
      <c r="H1087" s="608">
        <f>VLOOKUP($B1087,R_DG!$A$7:$G$1305,6,0)</f>
        <v>0</v>
      </c>
      <c r="I1087" s="608">
        <f>VLOOKUP($B1087,R_DG!$A$7:$G$1305,7,0)</f>
        <v>0</v>
      </c>
      <c r="J1087" s="608">
        <f t="shared" ca="1" si="215"/>
        <v>0</v>
      </c>
      <c r="K1087" s="608">
        <f t="shared" ca="1" si="215"/>
        <v>0</v>
      </c>
      <c r="L1087" s="725">
        <f t="shared" ca="1" si="215"/>
        <v>0</v>
      </c>
      <c r="M1087" s="1127">
        <f t="shared" ca="1" si="216"/>
        <v>0</v>
      </c>
      <c r="N1087" s="754">
        <f t="shared" ca="1" si="214"/>
        <v>0</v>
      </c>
    </row>
    <row r="1088" spans="1:14" hidden="1">
      <c r="A1088" s="696"/>
      <c r="B1088" s="759" t="s">
        <v>2793</v>
      </c>
      <c r="C1088" s="713">
        <f>VLOOKUP($B1088,R_DG!$A$7:$G$1305,2,0)</f>
        <v>0</v>
      </c>
      <c r="D1088" s="723">
        <f>VLOOKUP($B1088,R_DG!$A$7:$G$1305,3,0)</f>
        <v>0</v>
      </c>
      <c r="E1088" s="714">
        <f>VLOOKUP($B1088,R_DG!$A$7:$G$1305,4,0)</f>
        <v>0</v>
      </c>
      <c r="F1088" s="724">
        <f t="shared" ca="1" si="213"/>
        <v>0</v>
      </c>
      <c r="G1088" s="608">
        <f>VLOOKUP($B1088,R_DG!$A$7:$G$1305,5,0)</f>
        <v>0</v>
      </c>
      <c r="H1088" s="608">
        <f>VLOOKUP($B1088,R_DG!$A$7:$G$1305,6,0)</f>
        <v>0</v>
      </c>
      <c r="I1088" s="608">
        <f>VLOOKUP($B1088,R_DG!$A$7:$G$1305,7,0)</f>
        <v>0</v>
      </c>
      <c r="J1088" s="608">
        <f t="shared" ca="1" si="215"/>
        <v>0</v>
      </c>
      <c r="K1088" s="608">
        <f t="shared" ca="1" si="215"/>
        <v>0</v>
      </c>
      <c r="L1088" s="725">
        <f t="shared" ca="1" si="215"/>
        <v>0</v>
      </c>
      <c r="M1088" s="1127">
        <f t="shared" ca="1" si="216"/>
        <v>0</v>
      </c>
      <c r="N1088" s="754">
        <f t="shared" ca="1" si="214"/>
        <v>0</v>
      </c>
    </row>
    <row r="1089" spans="1:14" hidden="1">
      <c r="A1089" s="696"/>
      <c r="B1089" s="759" t="s">
        <v>2793</v>
      </c>
      <c r="C1089" s="713">
        <f>VLOOKUP($B1089,R_DG!$A$7:$G$1305,2,0)</f>
        <v>0</v>
      </c>
      <c r="D1089" s="723">
        <f>VLOOKUP($B1089,R_DG!$A$7:$G$1305,3,0)</f>
        <v>0</v>
      </c>
      <c r="E1089" s="714">
        <f>VLOOKUP($B1089,R_DG!$A$7:$G$1305,4,0)</f>
        <v>0</v>
      </c>
      <c r="F1089" s="724">
        <f t="shared" ca="1" si="213"/>
        <v>0</v>
      </c>
      <c r="G1089" s="608">
        <f>VLOOKUP($B1089,R_DG!$A$7:$G$1305,5,0)</f>
        <v>0</v>
      </c>
      <c r="H1089" s="608">
        <f>VLOOKUP($B1089,R_DG!$A$7:$G$1305,6,0)</f>
        <v>0</v>
      </c>
      <c r="I1089" s="608">
        <f>VLOOKUP($B1089,R_DG!$A$7:$G$1305,7,0)</f>
        <v>0</v>
      </c>
      <c r="J1089" s="608">
        <f t="shared" ca="1" si="215"/>
        <v>0</v>
      </c>
      <c r="K1089" s="608">
        <f t="shared" ca="1" si="215"/>
        <v>0</v>
      </c>
      <c r="L1089" s="725">
        <f t="shared" ca="1" si="215"/>
        <v>0</v>
      </c>
      <c r="M1089" s="1127">
        <f t="shared" ca="1" si="216"/>
        <v>0</v>
      </c>
      <c r="N1089" s="754">
        <f t="shared" ca="1" si="214"/>
        <v>0</v>
      </c>
    </row>
    <row r="1090" spans="1:14" hidden="1">
      <c r="A1090" s="696"/>
      <c r="B1090" s="759" t="s">
        <v>2793</v>
      </c>
      <c r="C1090" s="713">
        <f>VLOOKUP($B1090,R_DG!$A$7:$G$1305,2,0)</f>
        <v>0</v>
      </c>
      <c r="D1090" s="723">
        <f>VLOOKUP($B1090,R_DG!$A$7:$G$1305,3,0)</f>
        <v>0</v>
      </c>
      <c r="E1090" s="714">
        <f>VLOOKUP($B1090,R_DG!$A$7:$G$1305,4,0)</f>
        <v>0</v>
      </c>
      <c r="F1090" s="724">
        <f t="shared" ca="1" si="213"/>
        <v>0</v>
      </c>
      <c r="G1090" s="608">
        <f>VLOOKUP($B1090,R_DG!$A$7:$G$1305,5,0)</f>
        <v>0</v>
      </c>
      <c r="H1090" s="608">
        <f>VLOOKUP($B1090,R_DG!$A$7:$G$1305,6,0)</f>
        <v>0</v>
      </c>
      <c r="I1090" s="608">
        <f>VLOOKUP($B1090,R_DG!$A$7:$G$1305,7,0)</f>
        <v>0</v>
      </c>
      <c r="J1090" s="608">
        <f t="shared" ca="1" si="215"/>
        <v>0</v>
      </c>
      <c r="K1090" s="608">
        <f t="shared" ca="1" si="215"/>
        <v>0</v>
      </c>
      <c r="L1090" s="725">
        <f t="shared" ca="1" si="215"/>
        <v>0</v>
      </c>
      <c r="M1090" s="1127">
        <f t="shared" ca="1" si="216"/>
        <v>0</v>
      </c>
      <c r="N1090" s="754">
        <f t="shared" ca="1" si="214"/>
        <v>0</v>
      </c>
    </row>
    <row r="1091" spans="1:14" hidden="1">
      <c r="A1091" s="696"/>
      <c r="B1091" s="759" t="s">
        <v>2793</v>
      </c>
      <c r="C1091" s="713">
        <f>VLOOKUP($B1091,R_DG!$A$7:$G$1305,2,0)</f>
        <v>0</v>
      </c>
      <c r="D1091" s="723">
        <f>VLOOKUP($B1091,R_DG!$A$7:$G$1305,3,0)</f>
        <v>0</v>
      </c>
      <c r="E1091" s="714">
        <f>VLOOKUP($B1091,R_DG!$A$7:$G$1305,4,0)</f>
        <v>0</v>
      </c>
      <c r="F1091" s="724">
        <f t="shared" ca="1" si="213"/>
        <v>0</v>
      </c>
      <c r="G1091" s="608">
        <f>VLOOKUP($B1091,R_DG!$A$7:$G$1305,5,0)</f>
        <v>0</v>
      </c>
      <c r="H1091" s="608">
        <f>VLOOKUP($B1091,R_DG!$A$7:$G$1305,6,0)</f>
        <v>0</v>
      </c>
      <c r="I1091" s="608">
        <f>VLOOKUP($B1091,R_DG!$A$7:$G$1305,7,0)</f>
        <v>0</v>
      </c>
      <c r="J1091" s="608">
        <f t="shared" ca="1" si="215"/>
        <v>0</v>
      </c>
      <c r="K1091" s="608">
        <f t="shared" ca="1" si="215"/>
        <v>0</v>
      </c>
      <c r="L1091" s="725">
        <f t="shared" ca="1" si="215"/>
        <v>0</v>
      </c>
      <c r="M1091" s="1127">
        <f t="shared" ca="1" si="216"/>
        <v>0</v>
      </c>
      <c r="N1091" s="754">
        <f t="shared" ca="1" si="214"/>
        <v>0</v>
      </c>
    </row>
    <row r="1092" spans="1:14" hidden="1">
      <c r="A1092" s="696"/>
      <c r="B1092" s="759" t="s">
        <v>2793</v>
      </c>
      <c r="C1092" s="713">
        <f>VLOOKUP($B1092,R_DG!$A$7:$G$1305,2,0)</f>
        <v>0</v>
      </c>
      <c r="D1092" s="723">
        <f>VLOOKUP($B1092,R_DG!$A$7:$G$1305,3,0)</f>
        <v>0</v>
      </c>
      <c r="E1092" s="714">
        <f>VLOOKUP($B1092,R_DG!$A$7:$G$1305,4,0)</f>
        <v>0</v>
      </c>
      <c r="F1092" s="724">
        <f t="shared" ca="1" si="213"/>
        <v>0</v>
      </c>
      <c r="G1092" s="608">
        <f>VLOOKUP($B1092,R_DG!$A$7:$G$1305,5,0)</f>
        <v>0</v>
      </c>
      <c r="H1092" s="608">
        <f>VLOOKUP($B1092,R_DG!$A$7:$G$1305,6,0)</f>
        <v>0</v>
      </c>
      <c r="I1092" s="608">
        <f>VLOOKUP($B1092,R_DG!$A$7:$G$1305,7,0)</f>
        <v>0</v>
      </c>
      <c r="J1092" s="608">
        <f t="shared" ca="1" si="215"/>
        <v>0</v>
      </c>
      <c r="K1092" s="608">
        <f t="shared" ca="1" si="215"/>
        <v>0</v>
      </c>
      <c r="L1092" s="725">
        <f t="shared" ca="1" si="215"/>
        <v>0</v>
      </c>
      <c r="M1092" s="1127">
        <f t="shared" ca="1" si="216"/>
        <v>0</v>
      </c>
      <c r="N1092" s="754">
        <f t="shared" ca="1" si="214"/>
        <v>0</v>
      </c>
    </row>
    <row r="1093" spans="1:14" hidden="1">
      <c r="A1093" s="696"/>
      <c r="B1093" s="759" t="s">
        <v>2793</v>
      </c>
      <c r="C1093" s="713">
        <f>VLOOKUP($B1093,R_DG!$A$7:$G$1305,2,0)</f>
        <v>0</v>
      </c>
      <c r="D1093" s="723">
        <f>VLOOKUP($B1093,R_DG!$A$7:$G$1305,3,0)</f>
        <v>0</v>
      </c>
      <c r="E1093" s="714">
        <f>VLOOKUP($B1093,R_DG!$A$7:$G$1305,4,0)</f>
        <v>0</v>
      </c>
      <c r="F1093" s="724">
        <f t="shared" ca="1" si="213"/>
        <v>0</v>
      </c>
      <c r="G1093" s="608">
        <f>VLOOKUP($B1093,R_DG!$A$7:$G$1305,5,0)</f>
        <v>0</v>
      </c>
      <c r="H1093" s="608">
        <f>VLOOKUP($B1093,R_DG!$A$7:$G$1305,6,0)</f>
        <v>0</v>
      </c>
      <c r="I1093" s="608">
        <f>VLOOKUP($B1093,R_DG!$A$7:$G$1305,7,0)</f>
        <v>0</v>
      </c>
      <c r="J1093" s="608">
        <f t="shared" ref="J1093:L1095" ca="1" si="217">G1093*$F1093</f>
        <v>0</v>
      </c>
      <c r="K1093" s="608">
        <f t="shared" ca="1" si="217"/>
        <v>0</v>
      </c>
      <c r="L1093" s="725">
        <f t="shared" ca="1" si="217"/>
        <v>0</v>
      </c>
      <c r="M1093" s="1127">
        <f t="shared" ca="1" si="216"/>
        <v>0</v>
      </c>
      <c r="N1093" s="754">
        <f t="shared" ca="1" si="214"/>
        <v>0</v>
      </c>
    </row>
    <row r="1094" spans="1:14" hidden="1">
      <c r="A1094" s="696"/>
      <c r="B1094" s="759" t="s">
        <v>2793</v>
      </c>
      <c r="C1094" s="713">
        <f>VLOOKUP($B1094,R_DG!$A$7:$G$1305,2,0)</f>
        <v>0</v>
      </c>
      <c r="D1094" s="723">
        <f>VLOOKUP($B1094,R_DG!$A$7:$G$1305,3,0)</f>
        <v>0</v>
      </c>
      <c r="E1094" s="714">
        <f>VLOOKUP($B1094,R_DG!$A$7:$G$1305,4,0)</f>
        <v>0</v>
      </c>
      <c r="F1094" s="724">
        <f t="shared" ca="1" si="213"/>
        <v>0</v>
      </c>
      <c r="G1094" s="608">
        <f>VLOOKUP($B1094,R_DG!$A$7:$G$1305,5,0)</f>
        <v>0</v>
      </c>
      <c r="H1094" s="608">
        <f>VLOOKUP($B1094,R_DG!$A$7:$G$1305,6,0)</f>
        <v>0</v>
      </c>
      <c r="I1094" s="608">
        <f>VLOOKUP($B1094,R_DG!$A$7:$G$1305,7,0)</f>
        <v>0</v>
      </c>
      <c r="J1094" s="608">
        <f t="shared" ca="1" si="217"/>
        <v>0</v>
      </c>
      <c r="K1094" s="608">
        <f t="shared" ca="1" si="217"/>
        <v>0</v>
      </c>
      <c r="L1094" s="725">
        <f t="shared" ca="1" si="217"/>
        <v>0</v>
      </c>
      <c r="M1094" s="1127">
        <f t="shared" ca="1" si="216"/>
        <v>0</v>
      </c>
      <c r="N1094" s="754">
        <f t="shared" ca="1" si="214"/>
        <v>0</v>
      </c>
    </row>
    <row r="1095" spans="1:14" hidden="1">
      <c r="A1095" s="696"/>
      <c r="B1095" s="759" t="s">
        <v>2793</v>
      </c>
      <c r="C1095" s="713">
        <f>VLOOKUP($B1095,R_DG!$A$7:$G$1305,2,0)</f>
        <v>0</v>
      </c>
      <c r="D1095" s="723">
        <f>VLOOKUP($B1095,R_DG!$A$7:$G$1305,3,0)</f>
        <v>0</v>
      </c>
      <c r="E1095" s="714" t="s">
        <v>9</v>
      </c>
      <c r="F1095" s="724">
        <f t="shared" ca="1" si="213"/>
        <v>0</v>
      </c>
      <c r="G1095" s="608">
        <f>VLOOKUP($B1095,R_DG!$A$7:$G$1305,5,0)</f>
        <v>0</v>
      </c>
      <c r="H1095" s="608">
        <f>VLOOKUP($B1095,R_DG!$A$7:$G$1305,6,0)</f>
        <v>0</v>
      </c>
      <c r="I1095" s="608">
        <f>VLOOKUP($B1095,R_DG!$A$7:$G$1305,7,0)</f>
        <v>0</v>
      </c>
      <c r="J1095" s="608">
        <f t="shared" ca="1" si="217"/>
        <v>0</v>
      </c>
      <c r="K1095" s="608">
        <f t="shared" ca="1" si="217"/>
        <v>0</v>
      </c>
      <c r="L1095" s="725">
        <f t="shared" ca="1" si="217"/>
        <v>0</v>
      </c>
      <c r="M1095" s="1127">
        <f t="shared" ca="1" si="216"/>
        <v>0</v>
      </c>
      <c r="N1095" s="754">
        <f t="shared" ca="1" si="214"/>
        <v>0</v>
      </c>
    </row>
    <row r="1096" spans="1:14">
      <c r="A1096" s="743" t="s">
        <v>2679</v>
      </c>
      <c r="B1096" s="695"/>
      <c r="C1096" s="1220"/>
      <c r="D1096" s="1221" t="s">
        <v>2680</v>
      </c>
      <c r="E1096" s="1221" t="s">
        <v>163</v>
      </c>
      <c r="F1096" s="1222"/>
      <c r="G1096" s="1223"/>
      <c r="H1096" s="1223"/>
      <c r="I1096" s="1223"/>
      <c r="J1096" s="1223">
        <f ca="1">SUM(J1097:J1119)</f>
        <v>0</v>
      </c>
      <c r="K1096" s="1223">
        <f ca="1">SUM(K1097:K1119)</f>
        <v>0</v>
      </c>
      <c r="L1096" s="1224">
        <f ca="1">SUM(L1097:L1119)</f>
        <v>0</v>
      </c>
      <c r="M1096" s="1126">
        <v>1</v>
      </c>
      <c r="N1096" s="712">
        <f ca="1">SUMIF(maBK,$A1096,tongBK1)</f>
        <v>0</v>
      </c>
    </row>
    <row r="1097" spans="1:14" ht="15.75" hidden="1">
      <c r="A1097" s="696"/>
      <c r="B1097" s="226" t="s">
        <v>1547</v>
      </c>
      <c r="C1097" s="708" t="str">
        <f>VLOOKUP($B1097,R_DG!$A$7:$G$1305,2,0)</f>
        <v>T2.3505</v>
      </c>
      <c r="D1097" s="1216" t="str">
        <f>VLOOKUP($B1097,R_DG!$A$7:$G$1305,3,0)</f>
        <v>FCO 24kV - 100A</v>
      </c>
      <c r="E1097" s="709" t="str">
        <f>VLOOKUP($B1097,R_DG!$A$7:$G$1305,4,0)</f>
        <v>cái</v>
      </c>
      <c r="F1097" s="1217">
        <f t="shared" ref="F1097:F1119" ca="1" si="218">SUMIF(maBK,B1097,tongBK1)</f>
        <v>0</v>
      </c>
      <c r="G1097" s="1218">
        <f>VLOOKUP($B1097,R_DG!$A$7:$G$1305,5,0)</f>
        <v>2032000</v>
      </c>
      <c r="H1097" s="1218">
        <f>VLOOKUP($B1097,R_DG!$A$7:$G$1305,6,0)</f>
        <v>189551.99999999997</v>
      </c>
      <c r="I1097" s="1218">
        <f>VLOOKUP($B1097,R_DG!$A$7:$G$1305,7,0)</f>
        <v>0</v>
      </c>
      <c r="J1097" s="1218">
        <f t="shared" ref="J1097:L1100" ca="1" si="219">G1097*$F1097</f>
        <v>0</v>
      </c>
      <c r="K1097" s="1218">
        <f t="shared" ca="1" si="219"/>
        <v>0</v>
      </c>
      <c r="L1097" s="1219">
        <f t="shared" ca="1" si="219"/>
        <v>0</v>
      </c>
      <c r="M1097" s="726">
        <f ca="1">IF(F1097&gt;0,M$1096,0)</f>
        <v>0</v>
      </c>
      <c r="N1097" s="754">
        <f t="shared" ref="N1097:N1120" ca="1" si="220">$F1097</f>
        <v>0</v>
      </c>
    </row>
    <row r="1098" spans="1:14" ht="15.75" hidden="1">
      <c r="A1098" s="696"/>
      <c r="B1098" s="226" t="s">
        <v>1548</v>
      </c>
      <c r="C1098" s="713" t="str">
        <f>VLOOKUP($B1098,R_DG!$A$7:$G$1305,2,0)</f>
        <v>02.3505</v>
      </c>
      <c r="D1098" s="723" t="str">
        <f>VLOOKUP($B1098,R_DG!$A$7:$G$1305,3,0)</f>
        <v xml:space="preserve">FCO 24KV - 200A </v>
      </c>
      <c r="E1098" s="714" t="str">
        <f>VLOOKUP($B1098,R_DG!$A$7:$G$1305,4,0)</f>
        <v>cái</v>
      </c>
      <c r="F1098" s="724">
        <f t="shared" ca="1" si="218"/>
        <v>0</v>
      </c>
      <c r="G1098" s="608">
        <f>VLOOKUP($B1098,R_DG!$A$7:$G$1305,5,0)</f>
        <v>1045000</v>
      </c>
      <c r="H1098" s="608">
        <f>VLOOKUP($B1098,R_DG!$A$7:$G$1305,6,0)</f>
        <v>0</v>
      </c>
      <c r="I1098" s="608">
        <f>VLOOKUP($B1098,R_DG!$A$7:$G$1305,7,0)</f>
        <v>0</v>
      </c>
      <c r="J1098" s="608">
        <f t="shared" ca="1" si="219"/>
        <v>0</v>
      </c>
      <c r="K1098" s="608">
        <f t="shared" ca="1" si="219"/>
        <v>0</v>
      </c>
      <c r="L1098" s="725">
        <f t="shared" ca="1" si="219"/>
        <v>0</v>
      </c>
      <c r="M1098" s="726">
        <f t="shared" ref="M1098:M1120" ca="1" si="221">IF(F1098&gt;0,M$1096,0)</f>
        <v>0</v>
      </c>
      <c r="N1098" s="754">
        <f t="shared" ca="1" si="220"/>
        <v>0</v>
      </c>
    </row>
    <row r="1099" spans="1:14" ht="15.75" hidden="1">
      <c r="A1099" s="696"/>
      <c r="B1099" s="226" t="s">
        <v>1580</v>
      </c>
      <c r="C1099" s="713" t="str">
        <f>VLOOKUP($B1099,R_DG!$A$7:$G$1305,2,0)</f>
        <v>T2.5004</v>
      </c>
      <c r="D1099" s="723" t="str">
        <f>VLOOKUP($B1099,R_DG!$A$7:$G$1305,3,0)</f>
        <v>LA 18kV 10kA</v>
      </c>
      <c r="E1099" s="714" t="str">
        <f>VLOOKUP($B1099,R_DG!$A$7:$G$1305,4,0)</f>
        <v>cái</v>
      </c>
      <c r="F1099" s="724">
        <f t="shared" ca="1" si="218"/>
        <v>0</v>
      </c>
      <c r="G1099" s="608">
        <f>VLOOKUP($B1099,R_DG!$A$7:$G$1305,5,0)</f>
        <v>1106000</v>
      </c>
      <c r="H1099" s="608">
        <f>VLOOKUP($B1099,R_DG!$A$7:$G$1305,6,0)</f>
        <v>355410</v>
      </c>
      <c r="I1099" s="608">
        <f>VLOOKUP($B1099,R_DG!$A$7:$G$1305,7,0)</f>
        <v>0</v>
      </c>
      <c r="J1099" s="608">
        <f t="shared" ca="1" si="219"/>
        <v>0</v>
      </c>
      <c r="K1099" s="608">
        <f t="shared" ca="1" si="219"/>
        <v>0</v>
      </c>
      <c r="L1099" s="725">
        <f t="shared" ca="1" si="219"/>
        <v>0</v>
      </c>
      <c r="M1099" s="726">
        <f t="shared" ca="1" si="221"/>
        <v>0</v>
      </c>
      <c r="N1099" s="754">
        <f t="shared" ca="1" si="220"/>
        <v>0</v>
      </c>
    </row>
    <row r="1100" spans="1:14" ht="15.75" hidden="1">
      <c r="A1100" s="696"/>
      <c r="B1100" s="226" t="s">
        <v>2681</v>
      </c>
      <c r="C1100" s="713" t="str">
        <f>VLOOKUP($B1100,R_DG!$A$7:$G$1305,2,0)</f>
        <v>02.2124</v>
      </c>
      <c r="D1100" s="723" t="str">
        <f>VLOOKUP($B1100,R_DG!$A$7:$G$1305,3,0)</f>
        <v>Recloser 24kV 630-800A</v>
      </c>
      <c r="E1100" s="714" t="str">
        <f>VLOOKUP($B1100,R_DG!$A$7:$G$1305,4,0)</f>
        <v>bộ</v>
      </c>
      <c r="F1100" s="724">
        <f t="shared" ca="1" si="218"/>
        <v>0</v>
      </c>
      <c r="G1100" s="608">
        <f>VLOOKUP($B1100,R_DG!$A$7:$G$1305,5,0)</f>
        <v>139600000</v>
      </c>
      <c r="H1100" s="608">
        <f>VLOOKUP($B1100,R_DG!$A$7:$G$1305,6,0)</f>
        <v>0</v>
      </c>
      <c r="I1100" s="608">
        <f>VLOOKUP($B1100,R_DG!$A$7:$G$1305,7,0)</f>
        <v>0</v>
      </c>
      <c r="J1100" s="608">
        <f t="shared" ca="1" si="219"/>
        <v>0</v>
      </c>
      <c r="K1100" s="608">
        <f t="shared" ca="1" si="219"/>
        <v>0</v>
      </c>
      <c r="L1100" s="725">
        <f t="shared" ca="1" si="219"/>
        <v>0</v>
      </c>
      <c r="M1100" s="726">
        <f t="shared" ca="1" si="221"/>
        <v>0</v>
      </c>
      <c r="N1100" s="754">
        <f t="shared" ca="1" si="220"/>
        <v>0</v>
      </c>
    </row>
    <row r="1101" spans="1:14" ht="15.75" hidden="1">
      <c r="A1101" s="696"/>
      <c r="B1101" s="226" t="s">
        <v>1567</v>
      </c>
      <c r="C1101" s="713" t="str">
        <f>VLOOKUP($B1101,R_DG!$A$7:$G$1305,2,0)</f>
        <v>02.2124</v>
      </c>
      <c r="D1101" s="723" t="str">
        <f>VLOOKUP($B1101,R_DG!$A$7:$G$1305,3,0)</f>
        <v>LBS SF6 3pha 24kV 630A 12kA + bộ truyền động</v>
      </c>
      <c r="E1101" s="714" t="str">
        <f>VLOOKUP($B1101,R_DG!$A$7:$G$1305,4,0)</f>
        <v>bộ</v>
      </c>
      <c r="F1101" s="724">
        <f t="shared" ca="1" si="218"/>
        <v>0</v>
      </c>
      <c r="G1101" s="608">
        <f>VLOOKUP($B1101,R_DG!$A$7:$G$1305,5,0)</f>
        <v>42500000</v>
      </c>
      <c r="H1101" s="608">
        <f>VLOOKUP($B1101,R_DG!$A$7:$G$1305,6,0)</f>
        <v>0</v>
      </c>
      <c r="I1101" s="608">
        <f>VLOOKUP($B1101,R_DG!$A$7:$G$1305,7,0)</f>
        <v>0</v>
      </c>
      <c r="J1101" s="608">
        <f ca="1">G1101*$F1101</f>
        <v>0</v>
      </c>
      <c r="K1101" s="608">
        <f ca="1">H1101*$F1101</f>
        <v>0</v>
      </c>
      <c r="L1101" s="725">
        <f ca="1">I1101*$F1101</f>
        <v>0</v>
      </c>
      <c r="M1101" s="726">
        <f t="shared" ca="1" si="221"/>
        <v>0</v>
      </c>
      <c r="N1101" s="754">
        <f t="shared" ca="1" si="220"/>
        <v>0</v>
      </c>
    </row>
    <row r="1102" spans="1:14" ht="15.75" hidden="1">
      <c r="A1102" s="696"/>
      <c r="B1102" s="226" t="s">
        <v>2682</v>
      </c>
      <c r="C1102" s="713" t="str">
        <f>VLOOKUP($B1102,R_DG!$A$7:$G$1305,2,0)</f>
        <v>02.3302</v>
      </c>
      <c r="D1102" s="723" t="str">
        <f>VLOOKUP($B1102,R_DG!$A$7:$G$1305,3,0)</f>
        <v xml:space="preserve">DS 3P - 24KV - 630A </v>
      </c>
      <c r="E1102" s="714" t="str">
        <f>VLOOKUP($B1102,R_DG!$A$7:$G$1305,4,0)</f>
        <v>bộ</v>
      </c>
      <c r="F1102" s="724">
        <f t="shared" ca="1" si="218"/>
        <v>0</v>
      </c>
      <c r="G1102" s="608">
        <f>VLOOKUP($B1102,R_DG!$A$7:$G$1305,5,0)</f>
        <v>20000000</v>
      </c>
      <c r="H1102" s="608">
        <f>VLOOKUP($B1102,R_DG!$A$7:$G$1305,6,0)</f>
        <v>0</v>
      </c>
      <c r="I1102" s="608">
        <f>VLOOKUP($B1102,R_DG!$A$7:$G$1305,7,0)</f>
        <v>0</v>
      </c>
      <c r="J1102" s="608">
        <f t="shared" ref="J1102:L1119" ca="1" si="222">G1102*$F1102</f>
        <v>0</v>
      </c>
      <c r="K1102" s="608">
        <f t="shared" ca="1" si="222"/>
        <v>0</v>
      </c>
      <c r="L1102" s="725">
        <f t="shared" ca="1" si="222"/>
        <v>0</v>
      </c>
      <c r="M1102" s="726">
        <f t="shared" ca="1" si="221"/>
        <v>0</v>
      </c>
      <c r="N1102" s="754">
        <f t="shared" ca="1" si="220"/>
        <v>0</v>
      </c>
    </row>
    <row r="1103" spans="1:14" ht="15.75" hidden="1">
      <c r="A1103" s="696"/>
      <c r="B1103" s="226" t="s">
        <v>1684</v>
      </c>
      <c r="C1103" s="713" t="str">
        <f>VLOOKUP($B1103,R_DG!$A$7:$G$1305,2,0)</f>
        <v>T2.8402</v>
      </c>
      <c r="D1103" s="723" t="str">
        <f>VLOOKUP($B1103,R_DG!$A$7:$G$1305,3,0)</f>
        <v>MCCB 3 cực 400V-100A - 30KA</v>
      </c>
      <c r="E1103" s="714" t="str">
        <f>VLOOKUP($B1103,R_DG!$A$7:$G$1305,4,0)</f>
        <v>cái</v>
      </c>
      <c r="F1103" s="724">
        <f t="shared" ca="1" si="218"/>
        <v>0</v>
      </c>
      <c r="G1103" s="608">
        <f>VLOOKUP($B1103,R_DG!$A$7:$G$1305,5,0)</f>
        <v>1909000</v>
      </c>
      <c r="H1103" s="608">
        <f>VLOOKUP($B1103,R_DG!$A$7:$G$1305,6,0)</f>
        <v>308022</v>
      </c>
      <c r="I1103" s="608">
        <f>VLOOKUP($B1103,R_DG!$A$7:$G$1305,7,0)</f>
        <v>0</v>
      </c>
      <c r="J1103" s="608">
        <f t="shared" ca="1" si="222"/>
        <v>0</v>
      </c>
      <c r="K1103" s="608">
        <f t="shared" ca="1" si="222"/>
        <v>0</v>
      </c>
      <c r="L1103" s="725">
        <f t="shared" ca="1" si="222"/>
        <v>0</v>
      </c>
      <c r="M1103" s="726">
        <f t="shared" ca="1" si="221"/>
        <v>0</v>
      </c>
      <c r="N1103" s="754">
        <f t="shared" ca="1" si="220"/>
        <v>0</v>
      </c>
    </row>
    <row r="1104" spans="1:14" ht="15.75" hidden="1">
      <c r="A1104" s="696"/>
      <c r="B1104" s="226" t="s">
        <v>1686</v>
      </c>
      <c r="C1104" s="713" t="str">
        <f>VLOOKUP($B1104,R_DG!$A$7:$G$1305,2,0)</f>
        <v>T2.8403</v>
      </c>
      <c r="D1104" s="723" t="str">
        <f>VLOOKUP($B1104,R_DG!$A$7:$G$1305,3,0)</f>
        <v>MCCB 3 cực 400V -125A - 30KA</v>
      </c>
      <c r="E1104" s="714" t="str">
        <f>VLOOKUP($B1104,R_DG!$A$7:$G$1305,4,0)</f>
        <v>cái</v>
      </c>
      <c r="F1104" s="724">
        <f t="shared" ca="1" si="218"/>
        <v>0</v>
      </c>
      <c r="G1104" s="608">
        <f>VLOOKUP($B1104,R_DG!$A$7:$G$1305,5,0)</f>
        <v>4271000</v>
      </c>
      <c r="H1104" s="608">
        <f>VLOOKUP($B1104,R_DG!$A$7:$G$1305,6,0)</f>
        <v>450186</v>
      </c>
      <c r="I1104" s="608">
        <f>VLOOKUP($B1104,R_DG!$A$7:$G$1305,7,0)</f>
        <v>0</v>
      </c>
      <c r="J1104" s="608">
        <f t="shared" ca="1" si="222"/>
        <v>0</v>
      </c>
      <c r="K1104" s="608">
        <f t="shared" ca="1" si="222"/>
        <v>0</v>
      </c>
      <c r="L1104" s="725">
        <f t="shared" ca="1" si="222"/>
        <v>0</v>
      </c>
      <c r="M1104" s="726">
        <f t="shared" ca="1" si="221"/>
        <v>0</v>
      </c>
      <c r="N1104" s="754">
        <f t="shared" ca="1" si="220"/>
        <v>0</v>
      </c>
    </row>
    <row r="1105" spans="1:14" ht="15.75" hidden="1">
      <c r="A1105" s="696"/>
      <c r="B1105" s="226" t="s">
        <v>1688</v>
      </c>
      <c r="C1105" s="713" t="str">
        <f>VLOOKUP($B1105,R_DG!$A$7:$G$1305,2,0)</f>
        <v>T2.8403</v>
      </c>
      <c r="D1105" s="723" t="str">
        <f>VLOOKUP($B1105,R_DG!$A$7:$G$1305,3,0)</f>
        <v>MCCB 3 cực 400V -150A - 35KA</v>
      </c>
      <c r="E1105" s="714" t="str">
        <f>VLOOKUP($B1105,R_DG!$A$7:$G$1305,4,0)</f>
        <v>cái</v>
      </c>
      <c r="F1105" s="724">
        <f t="shared" ca="1" si="218"/>
        <v>0</v>
      </c>
      <c r="G1105" s="608">
        <f>VLOOKUP($B1105,R_DG!$A$7:$G$1305,5,0)</f>
        <v>4271000</v>
      </c>
      <c r="H1105" s="608">
        <f>VLOOKUP($B1105,R_DG!$A$7:$G$1305,6,0)</f>
        <v>450186</v>
      </c>
      <c r="I1105" s="608">
        <f>VLOOKUP($B1105,R_DG!$A$7:$G$1305,7,0)</f>
        <v>0</v>
      </c>
      <c r="J1105" s="608">
        <f t="shared" ca="1" si="222"/>
        <v>0</v>
      </c>
      <c r="K1105" s="608">
        <f t="shared" ca="1" si="222"/>
        <v>0</v>
      </c>
      <c r="L1105" s="725">
        <f t="shared" ca="1" si="222"/>
        <v>0</v>
      </c>
      <c r="M1105" s="726">
        <f t="shared" ca="1" si="221"/>
        <v>0</v>
      </c>
      <c r="N1105" s="754">
        <f t="shared" ca="1" si="220"/>
        <v>0</v>
      </c>
    </row>
    <row r="1106" spans="1:14" ht="15.75" hidden="1">
      <c r="A1106" s="696"/>
      <c r="B1106" s="226" t="s">
        <v>1690</v>
      </c>
      <c r="C1106" s="713" t="str">
        <f>VLOOKUP($B1106,R_DG!$A$7:$G$1305,2,0)</f>
        <v>T2.8403</v>
      </c>
      <c r="D1106" s="723" t="str">
        <f>VLOOKUP($B1106,R_DG!$A$7:$G$1305,3,0)</f>
        <v>MCCB 3 cực 400V -200A - 35KA</v>
      </c>
      <c r="E1106" s="714" t="str">
        <f>VLOOKUP($B1106,R_DG!$A$7:$G$1305,4,0)</f>
        <v>cái</v>
      </c>
      <c r="F1106" s="724">
        <f t="shared" ca="1" si="218"/>
        <v>0</v>
      </c>
      <c r="G1106" s="608">
        <f>VLOOKUP($B1106,R_DG!$A$7:$G$1305,5,0)</f>
        <v>4271000</v>
      </c>
      <c r="H1106" s="608">
        <f>VLOOKUP($B1106,R_DG!$A$7:$G$1305,6,0)</f>
        <v>450186</v>
      </c>
      <c r="I1106" s="608">
        <f>VLOOKUP($B1106,R_DG!$A$7:$G$1305,7,0)</f>
        <v>0</v>
      </c>
      <c r="J1106" s="608">
        <f t="shared" ca="1" si="222"/>
        <v>0</v>
      </c>
      <c r="K1106" s="608">
        <f t="shared" ca="1" si="222"/>
        <v>0</v>
      </c>
      <c r="L1106" s="725">
        <f t="shared" ca="1" si="222"/>
        <v>0</v>
      </c>
      <c r="M1106" s="726">
        <f t="shared" ca="1" si="221"/>
        <v>0</v>
      </c>
      <c r="N1106" s="754">
        <f t="shared" ca="1" si="220"/>
        <v>0</v>
      </c>
    </row>
    <row r="1107" spans="1:14" ht="15.75" hidden="1">
      <c r="A1107" s="696"/>
      <c r="B1107" s="226" t="s">
        <v>1692</v>
      </c>
      <c r="C1107" s="713" t="str">
        <f>VLOOKUP($B1107,R_DG!$A$7:$G$1305,2,0)</f>
        <v>T2.8404</v>
      </c>
      <c r="D1107" s="723" t="str">
        <f>VLOOKUP($B1107,R_DG!$A$7:$G$1305,3,0)</f>
        <v xml:space="preserve">MCCB 3 cực 400V -250A - 35KA </v>
      </c>
      <c r="E1107" s="714" t="str">
        <f>VLOOKUP($B1107,R_DG!$A$7:$G$1305,4,0)</f>
        <v>cái</v>
      </c>
      <c r="F1107" s="724">
        <f t="shared" ca="1" si="218"/>
        <v>0</v>
      </c>
      <c r="G1107" s="608">
        <f>VLOOKUP($B1107,R_DG!$A$7:$G$1305,5,0)</f>
        <v>4271000</v>
      </c>
      <c r="H1107" s="608">
        <f>VLOOKUP($B1107,R_DG!$A$7:$G$1305,6,0)</f>
        <v>592350</v>
      </c>
      <c r="I1107" s="608">
        <f>VLOOKUP($B1107,R_DG!$A$7:$G$1305,7,0)</f>
        <v>0</v>
      </c>
      <c r="J1107" s="608">
        <f t="shared" ca="1" si="222"/>
        <v>0</v>
      </c>
      <c r="K1107" s="608">
        <f t="shared" ca="1" si="222"/>
        <v>0</v>
      </c>
      <c r="L1107" s="725">
        <f t="shared" ca="1" si="222"/>
        <v>0</v>
      </c>
      <c r="M1107" s="726">
        <f t="shared" ca="1" si="221"/>
        <v>0</v>
      </c>
      <c r="N1107" s="754">
        <f t="shared" ca="1" si="220"/>
        <v>0</v>
      </c>
    </row>
    <row r="1108" spans="1:14" ht="15.75" hidden="1">
      <c r="A1108" s="696"/>
      <c r="B1108" s="226" t="s">
        <v>1694</v>
      </c>
      <c r="C1108" s="713" t="str">
        <f>VLOOKUP($B1108,R_DG!$A$7:$G$1305,2,0)</f>
        <v>T2.8405</v>
      </c>
      <c r="D1108" s="723" t="str">
        <f>VLOOKUP($B1108,R_DG!$A$7:$G$1305,3,0)</f>
        <v>MCCB 3 cực 400V -400A - 35KA</v>
      </c>
      <c r="E1108" s="714" t="str">
        <f>VLOOKUP($B1108,R_DG!$A$7:$G$1305,4,0)</f>
        <v>cái</v>
      </c>
      <c r="F1108" s="724">
        <f t="shared" ca="1" si="218"/>
        <v>0</v>
      </c>
      <c r="G1108" s="608">
        <f>VLOOKUP($B1108,R_DG!$A$7:$G$1305,5,0)</f>
        <v>9508000</v>
      </c>
      <c r="H1108" s="608">
        <f>VLOOKUP($B1108,R_DG!$A$7:$G$1305,6,0)</f>
        <v>829290</v>
      </c>
      <c r="I1108" s="608">
        <f>VLOOKUP($B1108,R_DG!$A$7:$G$1305,7,0)</f>
        <v>0</v>
      </c>
      <c r="J1108" s="608">
        <f t="shared" ca="1" si="222"/>
        <v>0</v>
      </c>
      <c r="K1108" s="608">
        <f t="shared" ca="1" si="222"/>
        <v>0</v>
      </c>
      <c r="L1108" s="725">
        <f t="shared" ca="1" si="222"/>
        <v>0</v>
      </c>
      <c r="M1108" s="726">
        <f t="shared" ca="1" si="221"/>
        <v>0</v>
      </c>
      <c r="N1108" s="754">
        <f t="shared" ca="1" si="220"/>
        <v>0</v>
      </c>
    </row>
    <row r="1109" spans="1:14" ht="15.75" hidden="1">
      <c r="B1109" s="226" t="s">
        <v>2683</v>
      </c>
      <c r="C1109" s="713">
        <f>VLOOKUP($B1109,R_DG!$A$7:$G$1305,2,0)</f>
        <v>0</v>
      </c>
      <c r="D1109" s="723" t="str">
        <f>VLOOKUP($B1109,R_DG!$A$7:$G$1305,3,0)</f>
        <v>Dây chảy 3K</v>
      </c>
      <c r="E1109" s="714" t="str">
        <f>VLOOKUP($B1109,R_DG!$A$7:$G$1305,4,0)</f>
        <v>sợi</v>
      </c>
      <c r="F1109" s="724">
        <f t="shared" ca="1" si="218"/>
        <v>0</v>
      </c>
      <c r="G1109" s="608">
        <f>VLOOKUP($B1109,R_DG!$A$7:$G$1305,5,0)</f>
        <v>54500</v>
      </c>
      <c r="H1109" s="608">
        <f>VLOOKUP($B1109,R_DG!$A$7:$G$1305,6,0)</f>
        <v>0</v>
      </c>
      <c r="I1109" s="608">
        <f>VLOOKUP($B1109,R_DG!$A$7:$G$1305,7,0)</f>
        <v>0</v>
      </c>
      <c r="J1109" s="608">
        <f t="shared" ca="1" si="222"/>
        <v>0</v>
      </c>
      <c r="K1109" s="608">
        <f t="shared" ca="1" si="222"/>
        <v>0</v>
      </c>
      <c r="L1109" s="725">
        <f t="shared" ca="1" si="222"/>
        <v>0</v>
      </c>
      <c r="M1109" s="726">
        <f t="shared" ca="1" si="221"/>
        <v>0</v>
      </c>
      <c r="N1109" s="754">
        <f t="shared" ca="1" si="220"/>
        <v>0</v>
      </c>
    </row>
    <row r="1110" spans="1:14" ht="15.75" hidden="1">
      <c r="B1110" s="226" t="s">
        <v>2684</v>
      </c>
      <c r="C1110" s="713">
        <f>VLOOKUP($B1110,R_DG!$A$7:$G$1305,2,0)</f>
        <v>0</v>
      </c>
      <c r="D1110" s="723" t="str">
        <f>VLOOKUP($B1110,R_DG!$A$7:$G$1305,3,0)</f>
        <v>Dây chảy 6K</v>
      </c>
      <c r="E1110" s="714" t="str">
        <f>VLOOKUP($B1110,R_DG!$A$7:$G$1305,4,0)</f>
        <v>Sợi</v>
      </c>
      <c r="F1110" s="724">
        <f t="shared" ca="1" si="218"/>
        <v>0</v>
      </c>
      <c r="G1110" s="608">
        <f>VLOOKUP($B1110,R_DG!$A$7:$G$1305,5,0)</f>
        <v>54500</v>
      </c>
      <c r="H1110" s="608">
        <f>VLOOKUP($B1110,R_DG!$A$7:$G$1305,6,0)</f>
        <v>0</v>
      </c>
      <c r="I1110" s="608">
        <f>VLOOKUP($B1110,R_DG!$A$7:$G$1305,7,0)</f>
        <v>0</v>
      </c>
      <c r="J1110" s="608">
        <f t="shared" ca="1" si="222"/>
        <v>0</v>
      </c>
      <c r="K1110" s="608">
        <f t="shared" ca="1" si="222"/>
        <v>0</v>
      </c>
      <c r="L1110" s="725">
        <f t="shared" ca="1" si="222"/>
        <v>0</v>
      </c>
      <c r="M1110" s="726">
        <f t="shared" ca="1" si="221"/>
        <v>0</v>
      </c>
      <c r="N1110" s="754">
        <f t="shared" ca="1" si="220"/>
        <v>0</v>
      </c>
    </row>
    <row r="1111" spans="1:14" ht="15.75" hidden="1">
      <c r="B1111" s="226" t="s">
        <v>2685</v>
      </c>
      <c r="C1111" s="713">
        <f>VLOOKUP($B1111,R_DG!$A$7:$G$1305,2,0)</f>
        <v>0</v>
      </c>
      <c r="D1111" s="723" t="str">
        <f>VLOOKUP($B1111,R_DG!$A$7:$G$1305,3,0)</f>
        <v>Dây chảy 8K</v>
      </c>
      <c r="E1111" s="714" t="str">
        <f>VLOOKUP($B1111,R_DG!$A$7:$G$1305,4,0)</f>
        <v>Sợi</v>
      </c>
      <c r="F1111" s="724">
        <f t="shared" ca="1" si="218"/>
        <v>0</v>
      </c>
      <c r="G1111" s="608">
        <f>VLOOKUP($B1111,R_DG!$A$7:$G$1305,5,0)</f>
        <v>54500</v>
      </c>
      <c r="H1111" s="608">
        <f>VLOOKUP($B1111,R_DG!$A$7:$G$1305,6,0)</f>
        <v>0</v>
      </c>
      <c r="I1111" s="608">
        <f>VLOOKUP($B1111,R_DG!$A$7:$G$1305,7,0)</f>
        <v>0</v>
      </c>
      <c r="J1111" s="608">
        <f t="shared" ca="1" si="222"/>
        <v>0</v>
      </c>
      <c r="K1111" s="608">
        <f t="shared" ca="1" si="222"/>
        <v>0</v>
      </c>
      <c r="L1111" s="725">
        <f t="shared" ca="1" si="222"/>
        <v>0</v>
      </c>
      <c r="M1111" s="726">
        <f t="shared" ca="1" si="221"/>
        <v>0</v>
      </c>
      <c r="N1111" s="754">
        <f t="shared" ca="1" si="220"/>
        <v>0</v>
      </c>
    </row>
    <row r="1112" spans="1:14" ht="15.75" hidden="1">
      <c r="B1112" s="226" t="s">
        <v>2686</v>
      </c>
      <c r="C1112" s="713">
        <f>VLOOKUP($B1112,R_DG!$A$7:$G$1305,2,0)</f>
        <v>0</v>
      </c>
      <c r="D1112" s="723" t="str">
        <f>VLOOKUP($B1112,R_DG!$A$7:$G$1305,3,0)</f>
        <v>Dây chảy 10K</v>
      </c>
      <c r="E1112" s="714" t="str">
        <f>VLOOKUP($B1112,R_DG!$A$7:$G$1305,4,0)</f>
        <v>Sợi</v>
      </c>
      <c r="F1112" s="724">
        <f t="shared" ca="1" si="218"/>
        <v>0</v>
      </c>
      <c r="G1112" s="608">
        <f>VLOOKUP($B1112,R_DG!$A$7:$G$1305,5,0)</f>
        <v>54500</v>
      </c>
      <c r="H1112" s="608">
        <f>VLOOKUP($B1112,R_DG!$A$7:$G$1305,6,0)</f>
        <v>0</v>
      </c>
      <c r="I1112" s="608">
        <f>VLOOKUP($B1112,R_DG!$A$7:$G$1305,7,0)</f>
        <v>0</v>
      </c>
      <c r="J1112" s="608">
        <f t="shared" ca="1" si="222"/>
        <v>0</v>
      </c>
      <c r="K1112" s="608">
        <f t="shared" ca="1" si="222"/>
        <v>0</v>
      </c>
      <c r="L1112" s="725">
        <f t="shared" ca="1" si="222"/>
        <v>0</v>
      </c>
      <c r="M1112" s="726">
        <f t="shared" ca="1" si="221"/>
        <v>0</v>
      </c>
      <c r="N1112" s="754">
        <f t="shared" ca="1" si="220"/>
        <v>0</v>
      </c>
    </row>
    <row r="1113" spans="1:14" ht="15.75" hidden="1">
      <c r="B1113" s="226" t="s">
        <v>2687</v>
      </c>
      <c r="C1113" s="713">
        <f>VLOOKUP($B1113,R_DG!$A$7:$G$1305,2,0)</f>
        <v>0</v>
      </c>
      <c r="D1113" s="723" t="str">
        <f>VLOOKUP($B1113,R_DG!$A$7:$G$1305,3,0)</f>
        <v>Dây chảy 15K</v>
      </c>
      <c r="E1113" s="714" t="str">
        <f>VLOOKUP($B1113,R_DG!$A$7:$G$1305,4,0)</f>
        <v>Sợi</v>
      </c>
      <c r="F1113" s="724">
        <f t="shared" ca="1" si="218"/>
        <v>0</v>
      </c>
      <c r="G1113" s="608">
        <f>VLOOKUP($B1113,R_DG!$A$7:$G$1305,5,0)</f>
        <v>69500</v>
      </c>
      <c r="H1113" s="608">
        <f>VLOOKUP($B1113,R_DG!$A$7:$G$1305,6,0)</f>
        <v>0</v>
      </c>
      <c r="I1113" s="608">
        <f>VLOOKUP($B1113,R_DG!$A$7:$G$1305,7,0)</f>
        <v>0</v>
      </c>
      <c r="J1113" s="608">
        <f t="shared" ca="1" si="222"/>
        <v>0</v>
      </c>
      <c r="K1113" s="608">
        <f t="shared" ca="1" si="222"/>
        <v>0</v>
      </c>
      <c r="L1113" s="725">
        <f t="shared" ca="1" si="222"/>
        <v>0</v>
      </c>
      <c r="M1113" s="726">
        <f t="shared" ca="1" si="221"/>
        <v>0</v>
      </c>
      <c r="N1113" s="754">
        <f t="shared" ca="1" si="220"/>
        <v>0</v>
      </c>
    </row>
    <row r="1114" spans="1:14" ht="15.75" hidden="1">
      <c r="B1114" s="226" t="s">
        <v>2688</v>
      </c>
      <c r="C1114" s="713">
        <f>VLOOKUP($B1114,R_DG!$A$7:$G$1305,2,0)</f>
        <v>0</v>
      </c>
      <c r="D1114" s="723" t="str">
        <f>VLOOKUP($B1114,R_DG!$A$7:$G$1305,3,0)</f>
        <v>Dây chảy 20K</v>
      </c>
      <c r="E1114" s="714" t="str">
        <f>VLOOKUP($B1114,R_DG!$A$7:$G$1305,4,0)</f>
        <v>Sợi</v>
      </c>
      <c r="F1114" s="724">
        <f t="shared" ca="1" si="218"/>
        <v>0</v>
      </c>
      <c r="G1114" s="608">
        <f>VLOOKUP($B1114,R_DG!$A$7:$G$1305,5,0)</f>
        <v>69500</v>
      </c>
      <c r="H1114" s="608">
        <f>VLOOKUP($B1114,R_DG!$A$7:$G$1305,6,0)</f>
        <v>0</v>
      </c>
      <c r="I1114" s="608">
        <f>VLOOKUP($B1114,R_DG!$A$7:$G$1305,7,0)</f>
        <v>0</v>
      </c>
      <c r="J1114" s="608">
        <f t="shared" ca="1" si="222"/>
        <v>0</v>
      </c>
      <c r="K1114" s="608">
        <f t="shared" ca="1" si="222"/>
        <v>0</v>
      </c>
      <c r="L1114" s="725">
        <f t="shared" ca="1" si="222"/>
        <v>0</v>
      </c>
      <c r="M1114" s="726">
        <f t="shared" ca="1" si="221"/>
        <v>0</v>
      </c>
      <c r="N1114" s="754">
        <f t="shared" ca="1" si="220"/>
        <v>0</v>
      </c>
    </row>
    <row r="1115" spans="1:14" ht="15.75" hidden="1">
      <c r="B1115" s="226" t="s">
        <v>2689</v>
      </c>
      <c r="C1115" s="713">
        <f>VLOOKUP($B1115,R_DG!$A$7:$G$1305,2,0)</f>
        <v>0</v>
      </c>
      <c r="D1115" s="723" t="str">
        <f>VLOOKUP($B1115,R_DG!$A$7:$G$1305,3,0)</f>
        <v>Dây chảy 30K</v>
      </c>
      <c r="E1115" s="714" t="str">
        <f>VLOOKUP($B1115,R_DG!$A$7:$G$1305,4,0)</f>
        <v>Sợi</v>
      </c>
      <c r="F1115" s="724">
        <f t="shared" ca="1" si="218"/>
        <v>0</v>
      </c>
      <c r="G1115" s="608">
        <f>VLOOKUP($B1115,R_DG!$A$7:$G$1305,5,0)</f>
        <v>78000</v>
      </c>
      <c r="H1115" s="608">
        <f>VLOOKUP($B1115,R_DG!$A$7:$G$1305,6,0)</f>
        <v>0</v>
      </c>
      <c r="I1115" s="608">
        <f>VLOOKUP($B1115,R_DG!$A$7:$G$1305,7,0)</f>
        <v>0</v>
      </c>
      <c r="J1115" s="608">
        <f t="shared" ca="1" si="222"/>
        <v>0</v>
      </c>
      <c r="K1115" s="608">
        <f t="shared" ca="1" si="222"/>
        <v>0</v>
      </c>
      <c r="L1115" s="725">
        <f t="shared" ca="1" si="222"/>
        <v>0</v>
      </c>
      <c r="M1115" s="726">
        <f t="shared" ca="1" si="221"/>
        <v>0</v>
      </c>
      <c r="N1115" s="754">
        <f t="shared" ca="1" si="220"/>
        <v>0</v>
      </c>
    </row>
    <row r="1116" spans="1:14" ht="15.75" hidden="1">
      <c r="B1116" s="226" t="s">
        <v>2690</v>
      </c>
      <c r="C1116" s="713">
        <f>VLOOKUP($B1116,R_DG!$A$7:$G$1305,2,0)</f>
        <v>0</v>
      </c>
      <c r="D1116" s="723" t="str">
        <f>VLOOKUP($B1116,R_DG!$A$7:$G$1305,3,0)</f>
        <v>Dây chảy 40K</v>
      </c>
      <c r="E1116" s="714" t="str">
        <f>VLOOKUP($B1116,R_DG!$A$7:$G$1305,4,0)</f>
        <v>Sợi</v>
      </c>
      <c r="F1116" s="724">
        <f t="shared" ca="1" si="218"/>
        <v>0</v>
      </c>
      <c r="G1116" s="608">
        <f>VLOOKUP($B1116,R_DG!$A$7:$G$1305,5,0)</f>
        <v>78000</v>
      </c>
      <c r="H1116" s="608">
        <f>VLOOKUP($B1116,R_DG!$A$7:$G$1305,6,0)</f>
        <v>0</v>
      </c>
      <c r="I1116" s="608">
        <f>VLOOKUP($B1116,R_DG!$A$7:$G$1305,7,0)</f>
        <v>0</v>
      </c>
      <c r="J1116" s="608">
        <f t="shared" ca="1" si="222"/>
        <v>0</v>
      </c>
      <c r="K1116" s="608">
        <f t="shared" ca="1" si="222"/>
        <v>0</v>
      </c>
      <c r="L1116" s="725">
        <f t="shared" ca="1" si="222"/>
        <v>0</v>
      </c>
      <c r="M1116" s="726">
        <f t="shared" ca="1" si="221"/>
        <v>0</v>
      </c>
      <c r="N1116" s="754">
        <f t="shared" ca="1" si="220"/>
        <v>0</v>
      </c>
    </row>
    <row r="1117" spans="1:14" ht="15.75" hidden="1">
      <c r="B1117" s="226" t="s">
        <v>2691</v>
      </c>
      <c r="C1117" s="713">
        <f>VLOOKUP($B1117,R_DG!$A$7:$G$1305,2,0)</f>
        <v>0</v>
      </c>
      <c r="D1117" s="723" t="str">
        <f>VLOOKUP($B1117,R_DG!$A$7:$G$1305,3,0)</f>
        <v>Dây chảy 80K</v>
      </c>
      <c r="E1117" s="714" t="str">
        <f>VLOOKUP($B1117,R_DG!$A$7:$G$1305,4,0)</f>
        <v>Sợi</v>
      </c>
      <c r="F1117" s="724">
        <f t="shared" ca="1" si="218"/>
        <v>0</v>
      </c>
      <c r="G1117" s="608">
        <f>VLOOKUP($B1117,R_DG!$A$7:$G$1305,5,0)</f>
        <v>163500</v>
      </c>
      <c r="H1117" s="608">
        <f>VLOOKUP($B1117,R_DG!$A$7:$G$1305,6,0)</f>
        <v>0</v>
      </c>
      <c r="I1117" s="608">
        <f>VLOOKUP($B1117,R_DG!$A$7:$G$1305,7,0)</f>
        <v>0</v>
      </c>
      <c r="J1117" s="608">
        <f t="shared" ca="1" si="222"/>
        <v>0</v>
      </c>
      <c r="K1117" s="608">
        <f t="shared" ca="1" si="222"/>
        <v>0</v>
      </c>
      <c r="L1117" s="725">
        <f t="shared" ca="1" si="222"/>
        <v>0</v>
      </c>
      <c r="M1117" s="726">
        <f t="shared" ca="1" si="221"/>
        <v>0</v>
      </c>
      <c r="N1117" s="754">
        <f t="shared" ca="1" si="220"/>
        <v>0</v>
      </c>
    </row>
    <row r="1118" spans="1:14" ht="15.75" hidden="1">
      <c r="B1118" s="226" t="s">
        <v>2692</v>
      </c>
      <c r="C1118" s="713">
        <f>VLOOKUP($B1118,R_DG!$A$7:$G$1305,2,0)</f>
        <v>0</v>
      </c>
      <c r="D1118" s="723" t="str">
        <f>VLOOKUP($B1118,R_DG!$A$7:$G$1305,3,0)</f>
        <v>Dây chảy 100K</v>
      </c>
      <c r="E1118" s="714" t="str">
        <f>VLOOKUP($B1118,R_DG!$A$7:$G$1305,4,0)</f>
        <v>Sợi</v>
      </c>
      <c r="F1118" s="724">
        <f t="shared" ca="1" si="218"/>
        <v>0</v>
      </c>
      <c r="G1118" s="608">
        <f>VLOOKUP($B1118,R_DG!$A$7:$G$1305,5,0)</f>
        <v>163500</v>
      </c>
      <c r="H1118" s="608">
        <f>VLOOKUP($B1118,R_DG!$A$7:$G$1305,6,0)</f>
        <v>0</v>
      </c>
      <c r="I1118" s="608">
        <f>VLOOKUP($B1118,R_DG!$A$7:$G$1305,7,0)</f>
        <v>0</v>
      </c>
      <c r="J1118" s="608">
        <f t="shared" ca="1" si="222"/>
        <v>0</v>
      </c>
      <c r="K1118" s="608">
        <f t="shared" ca="1" si="222"/>
        <v>0</v>
      </c>
      <c r="L1118" s="725">
        <f t="shared" ca="1" si="222"/>
        <v>0</v>
      </c>
      <c r="M1118" s="726">
        <f t="shared" ca="1" si="221"/>
        <v>0</v>
      </c>
      <c r="N1118" s="754">
        <f t="shared" ca="1" si="220"/>
        <v>0</v>
      </c>
    </row>
    <row r="1119" spans="1:14" ht="15.75" hidden="1">
      <c r="B1119" s="226" t="s">
        <v>2693</v>
      </c>
      <c r="C1119" s="713">
        <f>VLOOKUP($B1119,R_DG!$A$7:$G$1305,2,0)</f>
        <v>0</v>
      </c>
      <c r="D1119" s="723" t="str">
        <f>VLOOKUP($B1119,R_DG!$A$7:$G$1305,3,0)</f>
        <v>Dây chảy 140K</v>
      </c>
      <c r="E1119" s="714" t="str">
        <f>VLOOKUP($B1119,R_DG!$A$7:$G$1305,4,0)</f>
        <v>Sợi</v>
      </c>
      <c r="F1119" s="724">
        <f t="shared" ca="1" si="218"/>
        <v>0</v>
      </c>
      <c r="G1119" s="608">
        <f>VLOOKUP($B1119,R_DG!$A$7:$G$1305,5,0)</f>
        <v>554500</v>
      </c>
      <c r="H1119" s="608">
        <f>VLOOKUP($B1119,R_DG!$A$7:$G$1305,6,0)</f>
        <v>0</v>
      </c>
      <c r="I1119" s="608">
        <f>VLOOKUP($B1119,R_DG!$A$7:$G$1305,7,0)</f>
        <v>0</v>
      </c>
      <c r="J1119" s="608">
        <f t="shared" ca="1" si="222"/>
        <v>0</v>
      </c>
      <c r="K1119" s="608">
        <f t="shared" ca="1" si="222"/>
        <v>0</v>
      </c>
      <c r="L1119" s="725">
        <f t="shared" ca="1" si="222"/>
        <v>0</v>
      </c>
      <c r="M1119" s="726">
        <f t="shared" ca="1" si="221"/>
        <v>0</v>
      </c>
      <c r="N1119" s="754">
        <f t="shared" ca="1" si="220"/>
        <v>0</v>
      </c>
    </row>
    <row r="1120" spans="1:14" ht="15.75" hidden="1">
      <c r="C1120" s="713"/>
      <c r="D1120" s="723"/>
      <c r="E1120" s="714"/>
      <c r="F1120" s="724"/>
      <c r="G1120" s="608"/>
      <c r="H1120" s="608"/>
      <c r="I1120" s="608"/>
      <c r="J1120" s="608"/>
      <c r="K1120" s="608"/>
      <c r="L1120" s="725"/>
      <c r="M1120" s="726">
        <f t="shared" si="221"/>
        <v>0</v>
      </c>
      <c r="N1120" s="754">
        <f t="shared" si="220"/>
        <v>0</v>
      </c>
    </row>
    <row r="1121" spans="4:13" ht="15.75" hidden="1">
      <c r="M1121" s="693"/>
    </row>
    <row r="1122" spans="4:13" ht="20.100000000000001" hidden="1" customHeight="1">
      <c r="M1122" s="693"/>
    </row>
    <row r="1123" spans="4:13" ht="20.100000000000001" hidden="1" customHeight="1">
      <c r="M1123" s="693"/>
    </row>
    <row r="1124" spans="4:13" ht="20.100000000000001" hidden="1" customHeight="1">
      <c r="M1124" s="693"/>
    </row>
    <row r="1125" spans="4:13" ht="20.100000000000001" hidden="1" customHeight="1">
      <c r="M1125" s="693"/>
    </row>
    <row r="1126" spans="4:13" ht="20.100000000000001" hidden="1" customHeight="1">
      <c r="M1126" s="693"/>
    </row>
    <row r="1127" spans="4:13" ht="20.100000000000001" hidden="1" customHeight="1">
      <c r="M1127" s="693"/>
    </row>
    <row r="1128" spans="4:13" ht="20.100000000000001" hidden="1" customHeight="1">
      <c r="D1128" s="156"/>
      <c r="M1128" s="693"/>
    </row>
    <row r="1129" spans="4:13" ht="20.100000000000001" hidden="1" customHeight="1">
      <c r="M1129" s="693"/>
    </row>
    <row r="1130" spans="4:13" ht="20.100000000000001" hidden="1" customHeight="1">
      <c r="M1130" s="693"/>
    </row>
    <row r="1131" spans="4:13" ht="20.100000000000001" hidden="1" customHeight="1">
      <c r="D1131" s="156">
        <f>$G$325</f>
        <v>0</v>
      </c>
      <c r="M1131" s="693"/>
    </row>
  </sheetData>
  <autoFilter ref="A5:N1131">
    <filterColumn colId="3">
      <colorFilter dxfId="0"/>
    </filterColumn>
  </autoFilter>
  <mergeCells count="2">
    <mergeCell ref="G3:I3"/>
    <mergeCell ref="J3:L3"/>
  </mergeCells>
  <printOptions horizontalCentered="1"/>
  <pageMargins left="0.78740157480314998" right="0.59055118110236204" top="0.84055118100000004" bottom="0.34055118099999998" header="0.31496062992126" footer="0.31496062992126"/>
  <pageSetup paperSize="9" scale="74" fitToHeight="0"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pageSetUpPr fitToPage="1"/>
  </sheetPr>
  <dimension ref="A1:V390"/>
  <sheetViews>
    <sheetView showZeros="0" tabSelected="1" zoomScale="70" zoomScaleNormal="70" zoomScaleSheetLayoutView="70" workbookViewId="0">
      <selection activeCell="H15" sqref="H15"/>
    </sheetView>
  </sheetViews>
  <sheetFormatPr defaultColWidth="8.7109375" defaultRowHeight="15.75"/>
  <cols>
    <col min="1" max="1" width="12.85546875" style="397" customWidth="1"/>
    <col min="2" max="2" width="16.42578125" style="371" customWidth="1"/>
    <col min="3" max="3" width="10.5703125" style="371" customWidth="1"/>
    <col min="4" max="4" width="10.42578125" style="371" bestFit="1" customWidth="1"/>
    <col min="5" max="5" width="57.140625" style="371" bestFit="1" customWidth="1"/>
    <col min="6" max="6" width="9.5703125" style="371" bestFit="1" customWidth="1"/>
    <col min="7" max="7" width="10.42578125" style="371" bestFit="1" customWidth="1"/>
    <col min="8" max="14" width="15.5703125" style="371" customWidth="1"/>
    <col min="15" max="16384" width="8.7109375" style="371"/>
  </cols>
  <sheetData>
    <row r="1" spans="1:22" ht="24.95" customHeight="1">
      <c r="C1" s="71" t="e">
        <f ca="1">R_SETTING!$E$19</f>
        <v>#REF!</v>
      </c>
      <c r="D1" s="378"/>
      <c r="E1" s="378"/>
      <c r="F1" s="378"/>
      <c r="G1" s="378"/>
      <c r="H1" s="378"/>
      <c r="I1" s="378"/>
      <c r="J1" s="378"/>
      <c r="K1" s="378"/>
      <c r="L1" s="378"/>
      <c r="M1" s="378"/>
      <c r="N1" s="378"/>
    </row>
    <row r="2" spans="1:22" ht="24.95" customHeight="1">
      <c r="A2" s="299" t="str">
        <f>A3&amp;"x"&amp;A4</f>
        <v>x</v>
      </c>
      <c r="B2" s="299">
        <f>IF(B4=3,A4*A3/3/12.7,A3*A4/12.7)</f>
        <v>0</v>
      </c>
    </row>
    <row r="3" spans="1:22" ht="24.95" customHeight="1">
      <c r="A3" s="300"/>
      <c r="B3" s="299">
        <f>IF(B4=3,A4*A3/0.23/3,A3*A4/0.23/2)</f>
        <v>0</v>
      </c>
      <c r="C3" s="1378" t="s">
        <v>2347</v>
      </c>
      <c r="D3" s="1379" t="s">
        <v>2446</v>
      </c>
      <c r="E3" s="1378" t="s">
        <v>2447</v>
      </c>
      <c r="F3" s="1378" t="s">
        <v>2352</v>
      </c>
      <c r="G3" s="1106" t="s">
        <v>2140</v>
      </c>
      <c r="H3" s="244" t="s">
        <v>2141</v>
      </c>
      <c r="I3" s="245"/>
      <c r="J3" s="246"/>
      <c r="K3" s="244" t="s">
        <v>2448</v>
      </c>
      <c r="L3" s="245"/>
      <c r="M3" s="246"/>
      <c r="N3" s="1378" t="s">
        <v>2449</v>
      </c>
    </row>
    <row r="4" spans="1:22" ht="24.95" customHeight="1">
      <c r="A4" s="301"/>
      <c r="B4" s="242">
        <f>IF(A4&gt;0,IF(OR(A3=3,A4&gt;100),3,1),0)</f>
        <v>0</v>
      </c>
      <c r="C4" s="1378"/>
      <c r="D4" s="1380"/>
      <c r="E4" s="1378"/>
      <c r="F4" s="1378"/>
      <c r="G4" s="1107" t="s">
        <v>2143</v>
      </c>
      <c r="H4" s="247" t="s">
        <v>2450</v>
      </c>
      <c r="I4" s="247" t="s">
        <v>2451</v>
      </c>
      <c r="J4" s="247" t="s">
        <v>2452</v>
      </c>
      <c r="K4" s="247" t="s">
        <v>2450</v>
      </c>
      <c r="L4" s="247" t="s">
        <v>2451</v>
      </c>
      <c r="M4" s="1105" t="s">
        <v>2452</v>
      </c>
      <c r="N4" s="1378"/>
      <c r="O4" s="371">
        <f>IF(SUM(G4:G4)&gt;0,1,0)</f>
        <v>0</v>
      </c>
      <c r="Q4" s="815"/>
      <c r="R4" s="815"/>
      <c r="S4" s="815"/>
      <c r="T4" s="815"/>
      <c r="U4" s="815"/>
      <c r="V4" s="815"/>
    </row>
    <row r="5" spans="1:22" ht="24.95" customHeight="1">
      <c r="A5" s="301">
        <v>1</v>
      </c>
      <c r="B5" s="242" t="s">
        <v>4584</v>
      </c>
      <c r="C5" s="248" t="s">
        <v>2536</v>
      </c>
      <c r="D5" s="249"/>
      <c r="E5" s="250"/>
      <c r="F5" s="249"/>
      <c r="G5" s="249"/>
      <c r="H5" s="249"/>
      <c r="I5" s="249"/>
      <c r="J5" s="249"/>
      <c r="K5" s="249"/>
      <c r="L5" s="249"/>
      <c r="M5" s="249"/>
      <c r="N5" s="251"/>
      <c r="O5" s="371">
        <v>1</v>
      </c>
      <c r="Q5" s="816"/>
      <c r="R5" s="816"/>
      <c r="S5" s="816"/>
      <c r="T5" s="816"/>
      <c r="U5" s="816"/>
      <c r="V5" s="816"/>
    </row>
    <row r="6" spans="1:22" ht="24.95" customHeight="1">
      <c r="B6" s="229" t="str">
        <f>IF(A4&gt;0,"TR"&amp;A4&amp;"1","NONE")</f>
        <v>NONE</v>
      </c>
      <c r="C6" s="409">
        <v>1</v>
      </c>
      <c r="D6" s="402">
        <f>IF(B6&lt;&gt;"",VLOOKUP(B6,R_DG!$A$7:$G$1305,2,0),"")</f>
        <v>0</v>
      </c>
      <c r="E6" s="403">
        <f>VLOOKUP(B6,R_DG!$A$7:$G$1305,3,0)</f>
        <v>0</v>
      </c>
      <c r="F6" s="402">
        <f>VLOOKUP(B6,R_DG!$A$7:$G$1305,4,0)</f>
        <v>0</v>
      </c>
      <c r="G6" s="404">
        <f>A3</f>
        <v>0</v>
      </c>
      <c r="H6" s="405">
        <f>VLOOKUP(B6,R_DG!$A$7:$G$1305,5,0)</f>
        <v>0</v>
      </c>
      <c r="I6" s="405">
        <f>VLOOKUP(B6,R_DG!$A$7:$G$1305,6,0)</f>
        <v>0</v>
      </c>
      <c r="J6" s="405">
        <f>VLOOKUP(B6,R_DG!$A$7:$G$1305,7,0)</f>
        <v>0</v>
      </c>
      <c r="K6" s="406">
        <f t="shared" ref="K6:K14" si="0">H6*G6</f>
        <v>0</v>
      </c>
      <c r="L6" s="406">
        <f t="shared" ref="L6:L14" si="1">I6*G6</f>
        <v>0</v>
      </c>
      <c r="M6" s="406">
        <f t="shared" ref="M6:M14" si="2">J6*G6</f>
        <v>0</v>
      </c>
      <c r="N6" s="407"/>
      <c r="O6" s="371">
        <f t="shared" ref="O6:O68" si="3">IF(SUM(G6:G6)&gt;0,1,0)</f>
        <v>0</v>
      </c>
      <c r="Q6" s="693"/>
      <c r="R6" s="693"/>
      <c r="S6" s="693"/>
      <c r="T6" s="693"/>
      <c r="U6" s="693"/>
      <c r="V6" s="693"/>
    </row>
    <row r="7" spans="1:22" ht="24.95" customHeight="1">
      <c r="B7" s="229" t="s">
        <v>1547</v>
      </c>
      <c r="C7" s="409">
        <v>2</v>
      </c>
      <c r="D7" s="402" t="str">
        <f>IF(B7&lt;&gt;"",VLOOKUP(B7,R_DG!$A$7:$G$1305,2,0),"")</f>
        <v>T2.3505</v>
      </c>
      <c r="E7" s="403" t="str">
        <f>VLOOKUP(B7,R_DG!$A$7:$G$1305,3,0)</f>
        <v>FCO 24kV - 100A</v>
      </c>
      <c r="F7" s="402" t="str">
        <f>VLOOKUP(B7,R_DG!$A$7:$G$1305,4,0)</f>
        <v>cái</v>
      </c>
      <c r="G7" s="404">
        <f>IF(A4&gt;0,B4,0)</f>
        <v>0</v>
      </c>
      <c r="H7" s="405">
        <f>VLOOKUP(B7,R_DG!$A$7:$G$1305,5,0)</f>
        <v>2032000</v>
      </c>
      <c r="I7" s="405">
        <f>VLOOKUP(B7,R_DG!$A$7:$G$1305,6,0)</f>
        <v>189551.99999999997</v>
      </c>
      <c r="J7" s="405">
        <f>VLOOKUP(B7,R_DG!$A$7:$G$1305,7,0)</f>
        <v>0</v>
      </c>
      <c r="K7" s="406">
        <f t="shared" si="0"/>
        <v>0</v>
      </c>
      <c r="L7" s="406">
        <f t="shared" si="1"/>
        <v>0</v>
      </c>
      <c r="M7" s="406">
        <f t="shared" si="2"/>
        <v>0</v>
      </c>
      <c r="N7" s="407"/>
      <c r="O7" s="371">
        <f t="shared" si="3"/>
        <v>0</v>
      </c>
      <c r="Q7" s="693"/>
      <c r="R7" s="693"/>
      <c r="S7" s="693"/>
      <c r="T7" s="693"/>
      <c r="U7" s="693"/>
      <c r="V7" s="693"/>
    </row>
    <row r="8" spans="1:22" ht="24.95" customHeight="1">
      <c r="B8" s="229" t="str">
        <f>IF(A4&gt;0,"chi"&amp;VLOOKUP(A2,TBA,6,0)&amp;"k","NONE")</f>
        <v>NONE</v>
      </c>
      <c r="C8" s="409">
        <v>3</v>
      </c>
      <c r="D8" s="402">
        <f>IF(B8&lt;&gt;"",VLOOKUP(B8,R_DG!$A$7:$G$1305,2,0),"")</f>
        <v>0</v>
      </c>
      <c r="E8" s="403">
        <f>VLOOKUP(B8,R_DG!$A$7:$G$1305,3,0)</f>
        <v>0</v>
      </c>
      <c r="F8" s="402" t="s">
        <v>2531</v>
      </c>
      <c r="G8" s="404">
        <f>G7</f>
        <v>0</v>
      </c>
      <c r="H8" s="405">
        <f>VLOOKUP(B8,R_DG!$A$7:$G$1305,5,0)</f>
        <v>0</v>
      </c>
      <c r="I8" s="405">
        <f>VLOOKUP(B8,R_DG!$A$7:$G$1305,6,0)</f>
        <v>0</v>
      </c>
      <c r="J8" s="405">
        <f>VLOOKUP(B8,R_DG!$A$7:$G$1305,7,0)</f>
        <v>0</v>
      </c>
      <c r="K8" s="406">
        <f t="shared" si="0"/>
        <v>0</v>
      </c>
      <c r="L8" s="406">
        <f t="shared" si="1"/>
        <v>0</v>
      </c>
      <c r="M8" s="406">
        <f t="shared" si="2"/>
        <v>0</v>
      </c>
      <c r="N8" s="407"/>
      <c r="O8" s="371">
        <f t="shared" si="3"/>
        <v>0</v>
      </c>
      <c r="Q8" s="693"/>
      <c r="R8" s="693"/>
      <c r="S8" s="693"/>
      <c r="T8" s="693"/>
      <c r="U8" s="693"/>
      <c r="V8" s="693"/>
    </row>
    <row r="9" spans="1:22" ht="24.95" customHeight="1">
      <c r="B9" s="401" t="s">
        <v>1580</v>
      </c>
      <c r="C9" s="409">
        <v>4</v>
      </c>
      <c r="D9" s="402" t="str">
        <f>IF(B9&lt;&gt;"",VLOOKUP(B9,R_DG!$A$7:$G$1305,2,0),"")</f>
        <v>T2.5004</v>
      </c>
      <c r="E9" s="403" t="str">
        <f>VLOOKUP(B9,R_DG!$A$7:$G$1305,3,0)</f>
        <v>LA 18kV 10kA</v>
      </c>
      <c r="F9" s="402" t="str">
        <f>VLOOKUP(B9,R_DG!$A$7:$G$1305,4,0)</f>
        <v>cái</v>
      </c>
      <c r="G9" s="404">
        <f>G7</f>
        <v>0</v>
      </c>
      <c r="H9" s="405">
        <f>VLOOKUP(B9,R_DG!$A$7:$G$1305,5,0)</f>
        <v>1106000</v>
      </c>
      <c r="I9" s="405">
        <f>VLOOKUP(B9,R_DG!$A$7:$G$1305,6,0)</f>
        <v>355410</v>
      </c>
      <c r="J9" s="405">
        <f>VLOOKUP(B9,R_DG!$A$7:$G$1305,7,0)</f>
        <v>0</v>
      </c>
      <c r="K9" s="406">
        <f t="shared" si="0"/>
        <v>0</v>
      </c>
      <c r="L9" s="406">
        <f t="shared" si="1"/>
        <v>0</v>
      </c>
      <c r="M9" s="406">
        <f t="shared" si="2"/>
        <v>0</v>
      </c>
      <c r="N9" s="407"/>
      <c r="O9" s="371">
        <f t="shared" si="3"/>
        <v>0</v>
      </c>
      <c r="Q9" s="693"/>
      <c r="R9" s="693"/>
      <c r="S9" s="693"/>
      <c r="T9" s="693"/>
      <c r="U9" s="693"/>
      <c r="V9" s="693"/>
    </row>
    <row r="10" spans="1:22" ht="24.95" customHeight="1">
      <c r="B10" s="230" t="str">
        <f>IF(A4&gt;0,"ATM"&amp;VLOOKUP(A2,TBA,IF(A5*1=1,4,5),0),"NONE")</f>
        <v>NONE</v>
      </c>
      <c r="C10" s="409">
        <v>5</v>
      </c>
      <c r="D10" s="402">
        <f>IF(B10&lt;&gt;"",VLOOKUP(B10,R_DG!$A$7:$G$1305,2,0),"")</f>
        <v>0</v>
      </c>
      <c r="E10" s="403">
        <f>VLOOKUP(B10,R_DG!$A$7:$G$1305,3,0)</f>
        <v>0</v>
      </c>
      <c r="F10" s="402">
        <f>VLOOKUP(B10,R_DG!$A$7:$G$1305,4,0)</f>
        <v>0</v>
      </c>
      <c r="G10" s="404">
        <f>IF(A4&gt;0,1,0)</f>
        <v>0</v>
      </c>
      <c r="H10" s="405">
        <f>VLOOKUP(B10,R_DG!$A$7:$G$1305,5,0)</f>
        <v>0</v>
      </c>
      <c r="I10" s="405">
        <f>VLOOKUP(B10,R_DG!$A$7:$G$1305,6,0)</f>
        <v>0</v>
      </c>
      <c r="J10" s="405">
        <f>VLOOKUP(B10,R_DG!$A$7:$G$1305,7,0)</f>
        <v>0</v>
      </c>
      <c r="K10" s="406">
        <f t="shared" si="0"/>
        <v>0</v>
      </c>
      <c r="L10" s="406">
        <f t="shared" si="1"/>
        <v>0</v>
      </c>
      <c r="M10" s="406">
        <f t="shared" si="2"/>
        <v>0</v>
      </c>
      <c r="N10" s="407"/>
      <c r="O10" s="371">
        <f t="shared" si="3"/>
        <v>0</v>
      </c>
      <c r="Q10" s="693"/>
      <c r="R10" s="693"/>
      <c r="S10" s="693"/>
      <c r="T10" s="693"/>
      <c r="U10" s="693"/>
      <c r="V10" s="693"/>
    </row>
    <row r="11" spans="1:22" ht="24.95" customHeight="1">
      <c r="B11" s="231" t="str">
        <f>IF(A4&gt;0,"TI"&amp;VLOOKUP(A2,TBA,IF(A5*1=1,8,9),0),"NONE")</f>
        <v>NONE</v>
      </c>
      <c r="C11" s="409">
        <v>6</v>
      </c>
      <c r="D11" s="402">
        <f>IF(B11&lt;&gt;"",VLOOKUP(B11,R_DG!$A$7:$G$1305,2,0),"")</f>
        <v>0</v>
      </c>
      <c r="E11" s="403">
        <f>VLOOKUP(B11,R_DG!$A$7:$G$1305,3,0)</f>
        <v>0</v>
      </c>
      <c r="F11" s="402">
        <f>VLOOKUP(B11,R_DG!$A$7:$G$1305,4,0)</f>
        <v>0</v>
      </c>
      <c r="G11" s="404">
        <f>IF(A4&gt;0,IF(B4=3,3,2),0)</f>
        <v>0</v>
      </c>
      <c r="H11" s="405">
        <f>VLOOKUP(B11,R_DG!$A$7:$G$1305,5,0)</f>
        <v>0</v>
      </c>
      <c r="I11" s="405">
        <f>VLOOKUP(B11,R_DG!$A$7:$G$1305,6,0)</f>
        <v>0</v>
      </c>
      <c r="J11" s="405">
        <f>VLOOKUP(B11,R_DG!$A$7:$G$1305,7,0)</f>
        <v>0</v>
      </c>
      <c r="K11" s="406">
        <f t="shared" si="0"/>
        <v>0</v>
      </c>
      <c r="L11" s="406">
        <f t="shared" si="1"/>
        <v>0</v>
      </c>
      <c r="M11" s="406">
        <f t="shared" si="2"/>
        <v>0</v>
      </c>
      <c r="N11" s="407" t="s">
        <v>2453</v>
      </c>
      <c r="O11" s="371">
        <f t="shared" si="3"/>
        <v>0</v>
      </c>
      <c r="Q11" s="693"/>
      <c r="R11" s="693"/>
      <c r="S11" s="693"/>
      <c r="T11" s="693"/>
      <c r="U11" s="693"/>
      <c r="V11" s="693"/>
    </row>
    <row r="12" spans="1:22" ht="24.95" customHeight="1">
      <c r="B12" s="226" t="str">
        <f>IF(B11="NONE","DK3P50A","DK3P")</f>
        <v>DK3P50A</v>
      </c>
      <c r="C12" s="409">
        <v>7</v>
      </c>
      <c r="D12" s="402">
        <f>IF(B12&lt;&gt;"",VLOOKUP(B12,R_DG!$A$7:$G$1305,2,0),"")</f>
        <v>0</v>
      </c>
      <c r="E12" s="403" t="str">
        <f>VLOOKUP(B12,R_DG!$A$7:$G$1305,3,0)</f>
        <v>Điện kế 3 pha 4 dây 220/380V-50A</v>
      </c>
      <c r="F12" s="402" t="str">
        <f>VLOOKUP(B12,R_DG!$A$7:$G$1305,4,0)</f>
        <v>cái</v>
      </c>
      <c r="G12" s="404">
        <f>IF(A4&gt;0,1,0)</f>
        <v>0</v>
      </c>
      <c r="H12" s="405">
        <f>VLOOKUP(B12,R_DG!$A$7:$G$1305,5,0)</f>
        <v>0</v>
      </c>
      <c r="I12" s="405">
        <f>VLOOKUP(B12,R_DG!$A$7:$G$1305,6,0)</f>
        <v>0</v>
      </c>
      <c r="J12" s="405">
        <f>VLOOKUP(B12,R_DG!$A$7:$G$1305,7,0)</f>
        <v>0</v>
      </c>
      <c r="K12" s="406">
        <f t="shared" si="0"/>
        <v>0</v>
      </c>
      <c r="L12" s="406">
        <f t="shared" si="1"/>
        <v>0</v>
      </c>
      <c r="M12" s="406">
        <f t="shared" si="2"/>
        <v>0</v>
      </c>
      <c r="N12" s="407" t="s">
        <v>2453</v>
      </c>
      <c r="O12" s="371">
        <f t="shared" si="3"/>
        <v>0</v>
      </c>
      <c r="Q12" s="693"/>
      <c r="R12" s="693"/>
      <c r="S12" s="693"/>
      <c r="T12" s="693"/>
      <c r="U12" s="693"/>
      <c r="V12" s="693"/>
    </row>
    <row r="13" spans="1:22" ht="24.95" customHeight="1">
      <c r="B13" s="401" t="str">
        <f>IF(AND(A3*A4&gt;75,B4=3),"TUBU"&amp;VLOOKUP(A2,TBA,7,0),"NONE")</f>
        <v>NONE</v>
      </c>
      <c r="C13" s="409">
        <v>8</v>
      </c>
      <c r="D13" s="402">
        <f>IF(B13&lt;&gt;"",VLOOKUP(B13,R_DG!$A$7:$G$1305,2,0),"")</f>
        <v>0</v>
      </c>
      <c r="E13" s="403">
        <f>VLOOKUP(B13,R_DG!$A$7:$G$1305,3,0)</f>
        <v>0</v>
      </c>
      <c r="F13" s="402">
        <f>VLOOKUP(B13,R_DG!$A$7:$G$1305,4,0)</f>
        <v>0</v>
      </c>
      <c r="G13" s="404">
        <f>IF(B13&lt;&gt;"NONE",1,0)</f>
        <v>0</v>
      </c>
      <c r="H13" s="405">
        <f>VLOOKUP(B13,R_DG!$A$7:$G$1305,5,0)</f>
        <v>0</v>
      </c>
      <c r="I13" s="405">
        <f>VLOOKUP(B13,R_DG!$A$7:$G$1305,6,0)</f>
        <v>0</v>
      </c>
      <c r="J13" s="405">
        <f>VLOOKUP(B13,R_DG!$A$7:$G$1305,7,0)</f>
        <v>0</v>
      </c>
      <c r="K13" s="406">
        <f t="shared" si="0"/>
        <v>0</v>
      </c>
      <c r="L13" s="406">
        <f t="shared" si="1"/>
        <v>0</v>
      </c>
      <c r="M13" s="406">
        <f t="shared" si="2"/>
        <v>0</v>
      </c>
      <c r="N13" s="407"/>
      <c r="O13" s="371">
        <f t="shared" si="3"/>
        <v>0</v>
      </c>
      <c r="Q13" s="693"/>
      <c r="R13" s="693"/>
      <c r="S13" s="693"/>
      <c r="T13" s="693"/>
      <c r="U13" s="693"/>
      <c r="V13" s="693"/>
    </row>
    <row r="14" spans="1:22" ht="24.95" customHeight="1">
      <c r="B14" s="401"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71">
        <f t="shared" si="3"/>
        <v>0</v>
      </c>
      <c r="Q14" s="693"/>
      <c r="R14" s="693"/>
      <c r="S14" s="693"/>
      <c r="T14" s="693"/>
      <c r="U14" s="693"/>
      <c r="V14" s="693"/>
    </row>
    <row r="15" spans="1:22" ht="24.95" customHeight="1">
      <c r="A15" s="397" t="s">
        <v>3269</v>
      </c>
      <c r="B15" s="401"/>
      <c r="C15" s="265"/>
      <c r="D15" s="266"/>
      <c r="E15" s="267"/>
      <c r="F15" s="266"/>
      <c r="G15" s="268"/>
      <c r="H15" s="269"/>
      <c r="I15" s="270" t="s">
        <v>2470</v>
      </c>
      <c r="J15" s="270"/>
      <c r="K15" s="271">
        <f>SUM(K6:K14)</f>
        <v>0</v>
      </c>
      <c r="L15" s="271">
        <f>SUM(L6:L14)</f>
        <v>0</v>
      </c>
      <c r="M15" s="271">
        <f>SUM(M6:M14)</f>
        <v>0</v>
      </c>
      <c r="N15" s="272"/>
      <c r="O15" s="371">
        <v>1</v>
      </c>
      <c r="Q15" s="693"/>
      <c r="R15" s="693"/>
      <c r="S15" s="693"/>
      <c r="T15" s="693"/>
      <c r="U15" s="693"/>
      <c r="V15" s="693"/>
    </row>
    <row r="16" spans="1:22" ht="24.95" customHeight="1">
      <c r="B16" s="401"/>
      <c r="C16" s="248" t="s">
        <v>2454</v>
      </c>
      <c r="D16" s="249"/>
      <c r="E16" s="250"/>
      <c r="F16" s="249"/>
      <c r="G16" s="249"/>
      <c r="H16" s="249"/>
      <c r="I16" s="249"/>
      <c r="J16" s="249"/>
      <c r="K16" s="249"/>
      <c r="L16" s="249"/>
      <c r="M16" s="249"/>
      <c r="N16" s="251"/>
      <c r="O16" s="371">
        <v>1</v>
      </c>
      <c r="Q16" s="693"/>
      <c r="R16" s="693"/>
      <c r="S16" s="693"/>
      <c r="T16" s="693"/>
      <c r="U16" s="693"/>
      <c r="V16" s="693"/>
    </row>
    <row r="17" spans="1:22" ht="24.95" customHeight="1">
      <c r="A17" s="397" t="s">
        <v>2221</v>
      </c>
      <c r="B17" s="401"/>
      <c r="C17" s="411">
        <f>IF(G17&gt;0,1,0)</f>
        <v>0</v>
      </c>
      <c r="D17" s="303" t="str">
        <f>IF(B17&lt;&gt;"",VLOOKUP(B17,R_DG!$A$7:$G$1305,2,0),"")</f>
        <v/>
      </c>
      <c r="E17" s="304" t="s">
        <v>2455</v>
      </c>
      <c r="F17" s="411" t="s">
        <v>163</v>
      </c>
      <c r="G17" s="411"/>
      <c r="H17" s="305"/>
      <c r="I17" s="305"/>
      <c r="J17" s="306"/>
      <c r="K17" s="305">
        <f t="shared" ref="K17:K231" si="4">H17*G17</f>
        <v>0</v>
      </c>
      <c r="L17" s="305">
        <f t="shared" ref="L17:L231" si="5">I17*G17</f>
        <v>0</v>
      </c>
      <c r="M17" s="305">
        <f t="shared" ref="M17:M231" si="6">J17*G17</f>
        <v>0</v>
      </c>
      <c r="N17" s="307"/>
      <c r="O17" s="371">
        <f t="shared" si="3"/>
        <v>0</v>
      </c>
      <c r="Q17" s="693"/>
      <c r="R17" s="693"/>
      <c r="S17" s="693"/>
      <c r="T17" s="693"/>
      <c r="U17" s="693"/>
      <c r="V17" s="693"/>
    </row>
    <row r="18" spans="1:22" ht="24.95" customHeight="1">
      <c r="B18" s="401"/>
      <c r="C18" s="408"/>
      <c r="D18" s="402" t="str">
        <f>IF(B18&lt;&gt;"",VLOOKUP(B18,R_DG!$A$7:$G$1305,2,0),"")</f>
        <v/>
      </c>
      <c r="E18" s="76" t="s">
        <v>2432</v>
      </c>
      <c r="F18" s="409"/>
      <c r="G18" s="409"/>
      <c r="H18" s="406"/>
      <c r="I18" s="406"/>
      <c r="J18" s="405"/>
      <c r="K18" s="406">
        <f t="shared" si="4"/>
        <v>0</v>
      </c>
      <c r="L18" s="406">
        <f t="shared" si="5"/>
        <v>0</v>
      </c>
      <c r="M18" s="406">
        <f t="shared" si="6"/>
        <v>0</v>
      </c>
      <c r="N18" s="407"/>
      <c r="O18" s="371">
        <f t="shared" si="3"/>
        <v>0</v>
      </c>
      <c r="Q18" s="693"/>
      <c r="R18" s="693"/>
      <c r="S18" s="693"/>
      <c r="T18" s="693"/>
      <c r="U18" s="693"/>
      <c r="V18" s="693"/>
    </row>
    <row r="19" spans="1:22" ht="24.95" customHeight="1">
      <c r="B19" s="226" t="s">
        <v>742</v>
      </c>
      <c r="C19" s="409"/>
      <c r="D19" s="402">
        <f>IF(B19&lt;&gt;"",VLOOKUP(B19,R_DG!$A$7:$G$1305,2,0),"")</f>
        <v>0</v>
      </c>
      <c r="E19" s="403" t="str">
        <f>VLOOKUP(B19,R_DG!$A$7:$G$1305,3,0)</f>
        <v>Trụ BTLT 12m F540 dự ứng lực</v>
      </c>
      <c r="F19" s="402" t="str">
        <f>VLOOKUP(B19,R_DG!$A$7:$G$1305,4,0)</f>
        <v>trụ</v>
      </c>
      <c r="G19" s="404">
        <f>G17*1</f>
        <v>0</v>
      </c>
      <c r="H19" s="405">
        <f>VLOOKUP(B19,R_DG!$A$7:$G$1305,5,0)</f>
        <v>4550000</v>
      </c>
      <c r="I19" s="405">
        <f>VLOOKUP(B19,R_DG!$A$7:$G$1305,6,0)</f>
        <v>0</v>
      </c>
      <c r="J19" s="405">
        <f>VLOOKUP(B19,R_DG!$A$7:$G$1305,7,0)</f>
        <v>0</v>
      </c>
      <c r="K19" s="406">
        <f t="shared" si="4"/>
        <v>0</v>
      </c>
      <c r="L19" s="406">
        <f t="shared" si="5"/>
        <v>0</v>
      </c>
      <c r="M19" s="406">
        <f t="shared" si="6"/>
        <v>0</v>
      </c>
      <c r="N19" s="407"/>
      <c r="O19" s="371">
        <f t="shared" si="3"/>
        <v>0</v>
      </c>
      <c r="Q19" s="693"/>
      <c r="R19" s="693"/>
      <c r="S19" s="693"/>
      <c r="T19" s="693"/>
      <c r="U19" s="693"/>
      <c r="V19" s="693"/>
    </row>
    <row r="20" spans="1:22" ht="24.95" customHeight="1">
      <c r="B20" s="226" t="s">
        <v>398</v>
      </c>
      <c r="C20" s="409"/>
      <c r="D20" s="402">
        <f>IF(B20&lt;&gt;"",VLOOKUP(B20,R_DG!$A$7:$G$1305,2,0),"")</f>
        <v>0</v>
      </c>
      <c r="E20" s="403" t="str">
        <f>VLOOKUP(B20,R_DG!$A$7:$G$1305,3,0)</f>
        <v>Vật liệu dựng trụ</v>
      </c>
      <c r="F20" s="402" t="str">
        <f>VLOOKUP(B20,R_DG!$A$7:$G$1305,4,0)</f>
        <v>trụ</v>
      </c>
      <c r="G20" s="404">
        <f>G19</f>
        <v>0</v>
      </c>
      <c r="H20" s="405">
        <f>VLOOKUP(B20,R_DG!$A$7:$G$1305,5,0)</f>
        <v>0</v>
      </c>
      <c r="I20" s="405">
        <f>VLOOKUP(B20,R_DG!$A$7:$G$1305,6,0)</f>
        <v>0</v>
      </c>
      <c r="J20" s="405">
        <f>VLOOKUP(B20,R_DG!$A$7:$G$1305,7,0)</f>
        <v>0</v>
      </c>
      <c r="K20" s="406">
        <f t="shared" si="4"/>
        <v>0</v>
      </c>
      <c r="L20" s="406">
        <f t="shared" si="5"/>
        <v>0</v>
      </c>
      <c r="M20" s="406">
        <f t="shared" si="6"/>
        <v>0</v>
      </c>
      <c r="N20" s="407"/>
      <c r="O20" s="371">
        <f t="shared" si="3"/>
        <v>0</v>
      </c>
      <c r="Q20" s="693"/>
      <c r="R20" s="693"/>
      <c r="S20" s="693"/>
      <c r="T20" s="693"/>
      <c r="U20" s="693"/>
      <c r="V20" s="693"/>
    </row>
    <row r="21" spans="1:22" ht="24.95" customHeight="1">
      <c r="B21" s="226" t="s">
        <v>1175</v>
      </c>
      <c r="C21" s="409"/>
      <c r="D21" s="402" t="str">
        <f>IF(B21&lt;&gt;"",VLOOKUP(B21,R_DG!$A$7:$G$1305,2,0),"")</f>
        <v>04.9203</v>
      </c>
      <c r="E21" s="403" t="str">
        <f>VLOOKUP(B21,R_DG!$A$7:$G$1305,3,0)</f>
        <v>Dựng trụ BTLT 12m trong TBA bằng thủ công + cơ giới</v>
      </c>
      <c r="F21" s="402" t="str">
        <f>VLOOKUP(B21,R_DG!$A$7:$G$1305,4,0)</f>
        <v>trụ</v>
      </c>
      <c r="G21" s="404">
        <f>G20</f>
        <v>0</v>
      </c>
      <c r="H21" s="405">
        <f>VLOOKUP(B21,R_DG!$A$7:$G$1305,5,0)</f>
        <v>0</v>
      </c>
      <c r="I21" s="405">
        <f>VLOOKUP(B21,R_DG!$A$7:$G$1305,6,0)</f>
        <v>405641.28</v>
      </c>
      <c r="J21" s="405">
        <f>VLOOKUP(B21,R_DG!$A$7:$G$1305,7,0)</f>
        <v>1457064.6089510489</v>
      </c>
      <c r="K21" s="406">
        <f t="shared" si="4"/>
        <v>0</v>
      </c>
      <c r="L21" s="406">
        <f t="shared" si="5"/>
        <v>0</v>
      </c>
      <c r="M21" s="406">
        <f t="shared" si="6"/>
        <v>0</v>
      </c>
      <c r="N21" s="407"/>
      <c r="O21" s="371">
        <f t="shared" si="3"/>
        <v>0</v>
      </c>
      <c r="Q21" s="693"/>
      <c r="R21" s="693"/>
      <c r="S21" s="693"/>
      <c r="T21" s="693"/>
      <c r="U21" s="693"/>
      <c r="V21" s="693"/>
    </row>
    <row r="22" spans="1:22" ht="24.95" customHeight="1">
      <c r="A22" s="397" t="s">
        <v>2522</v>
      </c>
      <c r="B22" s="401"/>
      <c r="C22" s="411">
        <f>IF(G22&gt;0,COUNTIF($C$17:C21,"&gt;0")+1,0)</f>
        <v>0</v>
      </c>
      <c r="D22" s="411" t="str">
        <f>IF(B22&lt;&gt;"",VLOOKUP(B22,R_DG!$A$7:$G$1305,2,0),"")</f>
        <v/>
      </c>
      <c r="E22" s="411" t="s">
        <v>2523</v>
      </c>
      <c r="F22" s="411" t="s">
        <v>163</v>
      </c>
      <c r="G22" s="411">
        <f>IF(AND($B$4=3,A4&lt;=100),1,0)</f>
        <v>0</v>
      </c>
      <c r="H22" s="411"/>
      <c r="I22" s="411"/>
      <c r="J22" s="411"/>
      <c r="K22" s="411">
        <f t="shared" si="4"/>
        <v>0</v>
      </c>
      <c r="L22" s="411">
        <f t="shared" si="5"/>
        <v>0</v>
      </c>
      <c r="M22" s="411">
        <f t="shared" si="6"/>
        <v>0</v>
      </c>
      <c r="N22" s="410"/>
      <c r="O22" s="371">
        <f t="shared" si="3"/>
        <v>0</v>
      </c>
      <c r="Q22" s="693"/>
      <c r="R22" s="693"/>
      <c r="S22" s="693"/>
      <c r="T22" s="693"/>
      <c r="U22" s="693"/>
      <c r="V22" s="693"/>
    </row>
    <row r="23" spans="1:22" ht="24.95" customHeight="1">
      <c r="B23" s="401"/>
      <c r="C23" s="408"/>
      <c r="D23" s="402" t="str">
        <f>IF(B23&lt;&gt;"",VLOOKUP(B23,R_DG!$A$7:$G$1305,2,0),"")</f>
        <v/>
      </c>
      <c r="E23" s="76" t="s">
        <v>2432</v>
      </c>
      <c r="F23" s="409"/>
      <c r="G23" s="409"/>
      <c r="H23" s="406"/>
      <c r="I23" s="406"/>
      <c r="J23" s="405"/>
      <c r="K23" s="406">
        <f t="shared" si="4"/>
        <v>0</v>
      </c>
      <c r="L23" s="406">
        <f t="shared" si="5"/>
        <v>0</v>
      </c>
      <c r="M23" s="406">
        <f t="shared" si="6"/>
        <v>0</v>
      </c>
      <c r="N23" s="407"/>
      <c r="O23" s="371">
        <f t="shared" si="3"/>
        <v>0</v>
      </c>
      <c r="Q23" s="815"/>
      <c r="R23" s="815"/>
      <c r="S23" s="815"/>
      <c r="T23" s="815"/>
      <c r="U23" s="815"/>
      <c r="V23" s="815"/>
    </row>
    <row r="24" spans="1:22" ht="24.95" customHeight="1">
      <c r="B24" s="226" t="str">
        <f>IF(AND(B4=3,A4&lt;110),"GTMBA"&amp;A4,"GTMBA25")</f>
        <v>GTMBA25</v>
      </c>
      <c r="C24" s="409"/>
      <c r="D24" s="402" t="str">
        <f>IF(B24&lt;&gt;"",VLOOKUP(B24,R_DG!$A$7:$G$1305,2,0),"")</f>
        <v>D2.6041</v>
      </c>
      <c r="E24" s="403" t="str">
        <f>VLOOKUP(B24,R_DG!$A$7:$G$1305,3,0)</f>
        <v>Gía chùm treo máy biến áp 3x25</v>
      </c>
      <c r="F24" s="402" t="str">
        <f>VLOOKUP(B24,R_DG!$A$7:$G$1305,4,0)</f>
        <v>cái</v>
      </c>
      <c r="G24" s="404">
        <f>G22*1</f>
        <v>0</v>
      </c>
      <c r="H24" s="405">
        <f>VLOOKUP(B24,R_DG!$A$7:$G$1305,5,0)</f>
        <v>752000</v>
      </c>
      <c r="I24" s="405">
        <f>VLOOKUP(B24,R_DG!$A$7:$G$1305,6,0)</f>
        <v>109718.77679999999</v>
      </c>
      <c r="J24" s="405">
        <f>VLOOKUP(B24,R_DG!$A$7:$G$1305,7,0)</f>
        <v>0</v>
      </c>
      <c r="K24" s="406">
        <f t="shared" si="4"/>
        <v>0</v>
      </c>
      <c r="L24" s="406">
        <f t="shared" si="5"/>
        <v>0</v>
      </c>
      <c r="M24" s="406">
        <f t="shared" si="6"/>
        <v>0</v>
      </c>
      <c r="N24" s="407"/>
      <c r="O24" s="371">
        <f t="shared" si="3"/>
        <v>0</v>
      </c>
      <c r="Q24" s="815"/>
      <c r="R24" s="815"/>
      <c r="S24" s="815"/>
      <c r="T24" s="815"/>
      <c r="U24" s="815"/>
      <c r="V24" s="815"/>
    </row>
    <row r="25" spans="1:22" ht="24.95" customHeight="1">
      <c r="B25" s="226" t="s">
        <v>84</v>
      </c>
      <c r="C25" s="409"/>
      <c r="D25" s="402">
        <f>IF(B25&lt;&gt;"",VLOOKUP(B25,R_DG!$A$7:$G$1305,2,0),"")</f>
        <v>0</v>
      </c>
      <c r="E25" s="403" t="str">
        <f>VLOOKUP(B25,R_DG!$A$7:$G$1305,3,0)</f>
        <v>Boulon 16x250+ 2 long đền vuông D18-50x50x3/Zn</v>
      </c>
      <c r="F25" s="402" t="str">
        <f>VLOOKUP(B25,R_DG!$A$7:$G$1305,4,0)</f>
        <v>bộ</v>
      </c>
      <c r="G25" s="404">
        <f>G22*2</f>
        <v>0</v>
      </c>
      <c r="H25" s="405" t="e">
        <f>VLOOKUP(B25,R_DG!$A$7:$G$1305,5,0)</f>
        <v>#REF!</v>
      </c>
      <c r="I25" s="405">
        <f>VLOOKUP(B25,R_DG!$A$7:$G$1305,6,0)</f>
        <v>0</v>
      </c>
      <c r="J25" s="405">
        <f>VLOOKUP(B25,R_DG!$A$7:$G$1305,7,0)</f>
        <v>0</v>
      </c>
      <c r="K25" s="406" t="e">
        <f t="shared" si="4"/>
        <v>#REF!</v>
      </c>
      <c r="L25" s="406">
        <f t="shared" si="5"/>
        <v>0</v>
      </c>
      <c r="M25" s="406">
        <f t="shared" si="6"/>
        <v>0</v>
      </c>
      <c r="N25" s="407"/>
      <c r="O25" s="371">
        <f t="shared" si="3"/>
        <v>0</v>
      </c>
    </row>
    <row r="26" spans="1:22" ht="24.95" customHeight="1">
      <c r="B26" s="226" t="s">
        <v>76</v>
      </c>
      <c r="C26" s="409"/>
      <c r="D26" s="402">
        <f>IF(B26&lt;&gt;"",VLOOKUP(B26,R_DG!$A$7:$G$1305,2,0),"")</f>
        <v>0</v>
      </c>
      <c r="E26" s="403" t="str">
        <f>VLOOKUP(B26,R_DG!$A$7:$G$1305,3,0)</f>
        <v>Boulon 16x50+ 2 long đền vuông D18-50x50x3/Zn</v>
      </c>
      <c r="F26" s="402" t="str">
        <f>VLOOKUP(B26,R_DG!$A$7:$G$1305,4,0)</f>
        <v>bộ</v>
      </c>
      <c r="G26" s="404">
        <f>G22*6</f>
        <v>0</v>
      </c>
      <c r="H26" s="405" t="e">
        <f>VLOOKUP(B26,R_DG!$A$7:$G$1305,5,0)</f>
        <v>#REF!</v>
      </c>
      <c r="I26" s="405">
        <f>VLOOKUP(B26,R_DG!$A$7:$G$1305,6,0)</f>
        <v>0</v>
      </c>
      <c r="J26" s="405">
        <f>VLOOKUP(B26,R_DG!$A$7:$G$1305,7,0)</f>
        <v>0</v>
      </c>
      <c r="K26" s="406" t="e">
        <f t="shared" si="4"/>
        <v>#REF!</v>
      </c>
      <c r="L26" s="406">
        <f t="shared" si="5"/>
        <v>0</v>
      </c>
      <c r="M26" s="406">
        <f t="shared" si="6"/>
        <v>0</v>
      </c>
      <c r="N26" s="407"/>
      <c r="O26" s="371">
        <f t="shared" si="3"/>
        <v>0</v>
      </c>
    </row>
    <row r="27" spans="1:22" ht="24.95" customHeight="1">
      <c r="A27" s="397" t="s">
        <v>2524</v>
      </c>
      <c r="B27" s="401"/>
      <c r="C27" s="411">
        <f>IF(G27&gt;0,COUNTIF($C$17:C26,"&gt;0")+1,0)</f>
        <v>0</v>
      </c>
      <c r="D27" s="411" t="str">
        <f>IF(B27&lt;&gt;"",VLOOKUP(B27,R_DG!$A$7:$G$1305,2,0),"")</f>
        <v/>
      </c>
      <c r="E27" s="411" t="s">
        <v>2525</v>
      </c>
      <c r="F27" s="411" t="s">
        <v>163</v>
      </c>
      <c r="G27" s="411">
        <f>IF(B4=1,1,0)</f>
        <v>0</v>
      </c>
      <c r="H27" s="411"/>
      <c r="I27" s="411"/>
      <c r="J27" s="411"/>
      <c r="K27" s="411">
        <f t="shared" si="4"/>
        <v>0</v>
      </c>
      <c r="L27" s="411">
        <f t="shared" si="5"/>
        <v>0</v>
      </c>
      <c r="M27" s="411">
        <f t="shared" si="6"/>
        <v>0</v>
      </c>
      <c r="N27" s="410"/>
      <c r="O27" s="371">
        <f t="shared" si="3"/>
        <v>0</v>
      </c>
    </row>
    <row r="28" spans="1:22" ht="24.95" customHeight="1">
      <c r="B28" s="401"/>
      <c r="C28" s="408"/>
      <c r="D28" s="402" t="str">
        <f>IF(B28&lt;&gt;"",VLOOKUP(B28,R_DG!$A$7:$G$1305,2,0),"")</f>
        <v/>
      </c>
      <c r="E28" s="76" t="s">
        <v>2432</v>
      </c>
      <c r="F28" s="409"/>
      <c r="G28" s="409"/>
      <c r="H28" s="406"/>
      <c r="I28" s="406"/>
      <c r="J28" s="405"/>
      <c r="K28" s="406">
        <f t="shared" si="4"/>
        <v>0</v>
      </c>
      <c r="L28" s="406">
        <f t="shared" si="5"/>
        <v>0</v>
      </c>
      <c r="M28" s="406">
        <f t="shared" si="6"/>
        <v>0</v>
      </c>
      <c r="N28" s="407"/>
      <c r="O28" s="371">
        <f t="shared" si="3"/>
        <v>0</v>
      </c>
    </row>
    <row r="29" spans="1:22" ht="24.95" customHeight="1">
      <c r="B29" s="226" t="s">
        <v>84</v>
      </c>
      <c r="C29" s="409"/>
      <c r="D29" s="402">
        <f>IF(B29&lt;&gt;"",VLOOKUP(B29,R_DG!$A$7:$G$1305,2,0),"")</f>
        <v>0</v>
      </c>
      <c r="E29" s="403" t="str">
        <f>VLOOKUP(B29,R_DG!$A$7:$G$1305,3,0)</f>
        <v>Boulon 16x250+ 2 long đền vuông D18-50x50x3/Zn</v>
      </c>
      <c r="F29" s="402" t="str">
        <f>VLOOKUP(B29,R_DG!$A$7:$G$1305,4,0)</f>
        <v>bộ</v>
      </c>
      <c r="G29" s="404">
        <f>G27*2</f>
        <v>0</v>
      </c>
      <c r="H29" s="405" t="e">
        <f>VLOOKUP(B29,R_DG!$A$7:$G$1305,5,0)</f>
        <v>#REF!</v>
      </c>
      <c r="I29" s="405">
        <f>VLOOKUP(B29,R_DG!$A$7:$G$1305,6,0)</f>
        <v>0</v>
      </c>
      <c r="J29" s="405">
        <f>VLOOKUP(B29,R_DG!$A$7:$G$1305,7,0)</f>
        <v>0</v>
      </c>
      <c r="K29" s="406" t="e">
        <f t="shared" si="4"/>
        <v>#REF!</v>
      </c>
      <c r="L29" s="406">
        <f t="shared" si="5"/>
        <v>0</v>
      </c>
      <c r="M29" s="406">
        <f t="shared" si="6"/>
        <v>0</v>
      </c>
      <c r="N29" s="407"/>
      <c r="O29" s="371">
        <f t="shared" si="3"/>
        <v>0</v>
      </c>
    </row>
    <row r="30" spans="1:22" ht="24.95" customHeight="1">
      <c r="B30" s="226" t="s">
        <v>398</v>
      </c>
      <c r="C30" s="409"/>
      <c r="D30" s="402">
        <f>IF(B30&lt;&gt;"",VLOOKUP(B30,R_DG!$A$7:$G$1305,2,0),"")</f>
        <v>0</v>
      </c>
      <c r="E30" s="403" t="str">
        <f>VLOOKUP(B30,R_DG!$A$7:$G$1305,3,0)</f>
        <v>Vật liệu dựng trụ</v>
      </c>
      <c r="F30" s="402" t="str">
        <f>VLOOKUP(B30,R_DG!$A$7:$G$1305,4,0)</f>
        <v>trụ</v>
      </c>
      <c r="G30" s="404"/>
      <c r="H30" s="405">
        <f>VLOOKUP(B30,R_DG!$A$7:$G$1305,5,0)</f>
        <v>0</v>
      </c>
      <c r="I30" s="405">
        <f>VLOOKUP(B30,R_DG!$A$7:$G$1305,6,0)</f>
        <v>0</v>
      </c>
      <c r="J30" s="405">
        <f>VLOOKUP(B30,R_DG!$A$7:$G$1305,7,0)</f>
        <v>0</v>
      </c>
      <c r="K30" s="406">
        <f t="shared" si="4"/>
        <v>0</v>
      </c>
      <c r="L30" s="406">
        <f t="shared" si="5"/>
        <v>0</v>
      </c>
      <c r="M30" s="406">
        <f t="shared" si="6"/>
        <v>0</v>
      </c>
      <c r="N30" s="407"/>
      <c r="O30" s="371">
        <f t="shared" si="3"/>
        <v>0</v>
      </c>
    </row>
    <row r="31" spans="1:22" ht="24.95" customHeight="1">
      <c r="B31" s="226" t="s">
        <v>1175</v>
      </c>
      <c r="C31" s="409"/>
      <c r="D31" s="402" t="str">
        <f>IF(B31&lt;&gt;"",VLOOKUP(B31,R_DG!$A$7:$G$1305,2,0),"")</f>
        <v>04.9203</v>
      </c>
      <c r="E31" s="403" t="str">
        <f>VLOOKUP(B31,R_DG!$A$7:$G$1305,3,0)</f>
        <v>Dựng trụ BTLT 12m trong TBA bằng thủ công + cơ giới</v>
      </c>
      <c r="F31" s="402" t="str">
        <f>VLOOKUP(B31,R_DG!$A$7:$G$1305,4,0)</f>
        <v>trụ</v>
      </c>
      <c r="G31" s="404"/>
      <c r="H31" s="405">
        <f>VLOOKUP(B31,R_DG!$A$7:$G$1305,5,0)</f>
        <v>0</v>
      </c>
      <c r="I31" s="405">
        <f>VLOOKUP(B31,R_DG!$A$7:$G$1305,6,0)</f>
        <v>405641.28</v>
      </c>
      <c r="J31" s="405">
        <f>VLOOKUP(B31,R_DG!$A$7:$G$1305,7,0)</f>
        <v>1457064.6089510489</v>
      </c>
      <c r="K31" s="406">
        <f t="shared" si="4"/>
        <v>0</v>
      </c>
      <c r="L31" s="406">
        <f t="shared" si="5"/>
        <v>0</v>
      </c>
      <c r="M31" s="406">
        <f t="shared" si="6"/>
        <v>0</v>
      </c>
      <c r="N31" s="407"/>
      <c r="O31" s="371">
        <f t="shared" si="3"/>
        <v>0</v>
      </c>
    </row>
    <row r="32" spans="1:22" ht="24.95" customHeight="1">
      <c r="A32" s="397" t="s">
        <v>2168</v>
      </c>
      <c r="B32" s="401"/>
      <c r="C32" s="411">
        <f>IF(G32&gt;0,COUNTIF($C$17:C31,"&gt;0")+1,0)</f>
        <v>0</v>
      </c>
      <c r="D32" s="411" t="str">
        <f>IF(B32&lt;&gt;"",VLOOKUP(B32,R_DG!$A$7:$G$1305,2,0),"")</f>
        <v/>
      </c>
      <c r="E32" s="411" t="s">
        <v>2169</v>
      </c>
      <c r="F32" s="411" t="s">
        <v>163</v>
      </c>
      <c r="G32" s="411">
        <f>G17</f>
        <v>0</v>
      </c>
      <c r="H32" s="411"/>
      <c r="I32" s="411"/>
      <c r="J32" s="411"/>
      <c r="K32" s="411">
        <f t="shared" si="4"/>
        <v>0</v>
      </c>
      <c r="L32" s="411">
        <f t="shared" si="5"/>
        <v>0</v>
      </c>
      <c r="M32" s="411">
        <f t="shared" si="6"/>
        <v>0</v>
      </c>
      <c r="N32" s="410"/>
      <c r="O32" s="371">
        <f t="shared" si="3"/>
        <v>0</v>
      </c>
    </row>
    <row r="33" spans="1:15" ht="24.95" customHeight="1">
      <c r="B33" s="401"/>
      <c r="C33" s="408"/>
      <c r="D33" s="402" t="str">
        <f>IF(B33&lt;&gt;"",VLOOKUP(B33,R_DG!$A$7:$G$1305,2,0),"")</f>
        <v/>
      </c>
      <c r="E33" s="76" t="s">
        <v>2432</v>
      </c>
      <c r="F33" s="409"/>
      <c r="G33" s="409"/>
      <c r="H33" s="406"/>
      <c r="I33" s="406"/>
      <c r="J33" s="405"/>
      <c r="K33" s="406">
        <f t="shared" si="4"/>
        <v>0</v>
      </c>
      <c r="L33" s="406">
        <f t="shared" si="5"/>
        <v>0</v>
      </c>
      <c r="M33" s="406">
        <f t="shared" si="6"/>
        <v>0</v>
      </c>
      <c r="N33" s="407"/>
      <c r="O33" s="371">
        <f t="shared" si="3"/>
        <v>0</v>
      </c>
    </row>
    <row r="34" spans="1:15" ht="24.95" customHeight="1">
      <c r="B34" s="227" t="s">
        <v>2149</v>
      </c>
      <c r="C34" s="409"/>
      <c r="D34" s="402" t="str">
        <f>IF(B34&lt;&gt;"",VLOOKUP(B34,R_DG!$A$7:$G$1305,2,0),"")</f>
        <v>04.3801</v>
      </c>
      <c r="E34" s="403" t="str">
        <f>VLOOKUP(B34,R_DG!$A$7:$G$1305,3,0)</f>
        <v>Đà cản BTCT 1,2m</v>
      </c>
      <c r="F34" s="402" t="str">
        <f>VLOOKUP(B34,R_DG!$A$7:$G$1305,4,0)</f>
        <v>cái</v>
      </c>
      <c r="G34" s="404">
        <f>G32*1</f>
        <v>0</v>
      </c>
      <c r="H34" s="405">
        <f>VLOOKUP(B34,R_DG!$A$7:$G$1305,5,0)</f>
        <v>650000</v>
      </c>
      <c r="I34" s="405">
        <f>VLOOKUP(B34,R_DG!$A$7:$G$1305,6,0)</f>
        <v>161119.20000000001</v>
      </c>
      <c r="J34" s="405">
        <f>VLOOKUP(B34,R_DG!$A$7:$G$1305,7,0)</f>
        <v>0</v>
      </c>
      <c r="K34" s="406">
        <f t="shared" si="4"/>
        <v>0</v>
      </c>
      <c r="L34" s="406">
        <f t="shared" si="5"/>
        <v>0</v>
      </c>
      <c r="M34" s="406">
        <f t="shared" si="6"/>
        <v>0</v>
      </c>
      <c r="N34" s="407"/>
      <c r="O34" s="371">
        <f t="shared" si="3"/>
        <v>0</v>
      </c>
    </row>
    <row r="35" spans="1:15" ht="24.95" customHeight="1">
      <c r="B35" s="227" t="s">
        <v>2165</v>
      </c>
      <c r="C35" s="409"/>
      <c r="D35" s="402">
        <f>IF(B35&lt;&gt;"",VLOOKUP(B35,R_DG!$A$7:$G$1305,2,0),"")</f>
        <v>0</v>
      </c>
      <c r="E35" s="403" t="str">
        <f>VLOOKUP(B35,R_DG!$A$7:$G$1305,3,0)</f>
        <v>Boulon 22x650+ 2 long đền vuông D24-50x50x3/Zn</v>
      </c>
      <c r="F35" s="402" t="str">
        <f>VLOOKUP(B35,R_DG!$A$7:$G$1305,4,0)</f>
        <v>bộ</v>
      </c>
      <c r="G35" s="404">
        <f>G34</f>
        <v>0</v>
      </c>
      <c r="H35" s="405" t="e">
        <f>VLOOKUP(B35,R_DG!$A$7:$G$1305,5,0)</f>
        <v>#REF!</v>
      </c>
      <c r="I35" s="405">
        <f>VLOOKUP(B35,R_DG!$A$7:$G$1305,6,0)</f>
        <v>0</v>
      </c>
      <c r="J35" s="405">
        <f>VLOOKUP(B35,R_DG!$A$7:$G$1305,7,0)</f>
        <v>0</v>
      </c>
      <c r="K35" s="406" t="e">
        <f t="shared" si="4"/>
        <v>#REF!</v>
      </c>
      <c r="L35" s="406">
        <f t="shared" si="5"/>
        <v>0</v>
      </c>
      <c r="M35" s="406">
        <f t="shared" si="6"/>
        <v>0</v>
      </c>
      <c r="N35" s="407"/>
      <c r="O35" s="371">
        <f t="shared" si="3"/>
        <v>0</v>
      </c>
    </row>
    <row r="36" spans="1:15" ht="24.95" customHeight="1">
      <c r="B36" s="227" t="s">
        <v>818</v>
      </c>
      <c r="C36" s="409"/>
      <c r="D36" s="402" t="str">
        <f>IF(B36&lt;&gt;"",VLOOKUP(B36,R_DG!$A$7:$G$1305,2,0),"")</f>
        <v>AB.11400</v>
      </c>
      <c r="E36" s="403" t="str">
        <f>VLOOKUP(B36,R_DG!$A$7:$G$1305,3,0)</f>
        <v>Đào hố móng đất cấp 3 sâu &gt;1m, rộng &lt;1m</v>
      </c>
      <c r="F36" s="402" t="str">
        <f>VLOOKUP(B36,R_DG!$A$7:$G$1305,4,0)</f>
        <v>m3</v>
      </c>
      <c r="G36" s="277">
        <f>0.395*G32</f>
        <v>0</v>
      </c>
      <c r="H36" s="405">
        <f>VLOOKUP(B36,R_DG!$A$7:$G$1305,5,0)</f>
        <v>0</v>
      </c>
      <c r="I36" s="405">
        <f>VLOOKUP(B36,R_DG!$A$7:$G$1305,6,0)</f>
        <v>418738.31999999995</v>
      </c>
      <c r="J36" s="405">
        <f>VLOOKUP(B36,R_DG!$A$7:$G$1305,7,0)</f>
        <v>0</v>
      </c>
      <c r="K36" s="406">
        <f t="shared" si="4"/>
        <v>0</v>
      </c>
      <c r="L36" s="406">
        <f t="shared" si="5"/>
        <v>0</v>
      </c>
      <c r="M36" s="406">
        <f t="shared" si="6"/>
        <v>0</v>
      </c>
      <c r="N36" s="407"/>
      <c r="O36" s="371">
        <f t="shared" si="3"/>
        <v>0</v>
      </c>
    </row>
    <row r="37" spans="1:15" ht="24.95" customHeight="1">
      <c r="B37" s="227" t="s">
        <v>831</v>
      </c>
      <c r="C37" s="409"/>
      <c r="D37" s="402" t="str">
        <f>IF(B37&lt;&gt;"",VLOOKUP(B37,R_DG!$A$7:$G$1305,2,0),"")</f>
        <v>AB.13000</v>
      </c>
      <c r="E37" s="403" t="str">
        <f>VLOOKUP(B37,R_DG!$A$7:$G$1305,3,0)</f>
        <v>Đắp đất hố móng, đất cấp 3, k = 0,85</v>
      </c>
      <c r="F37" s="402" t="str">
        <f>VLOOKUP(B37,R_DG!$A$7:$G$1305,4,0)</f>
        <v>m3</v>
      </c>
      <c r="G37" s="277">
        <f>0.126*G32</f>
        <v>0</v>
      </c>
      <c r="H37" s="405">
        <f>VLOOKUP(B37,R_DG!$A$7:$G$1305,5,0)</f>
        <v>0</v>
      </c>
      <c r="I37" s="405">
        <f>VLOOKUP(B37,R_DG!$A$7:$G$1305,6,0)</f>
        <v>100210.88</v>
      </c>
      <c r="J37" s="405">
        <f>VLOOKUP(B37,R_DG!$A$7:$G$1305,7,0)</f>
        <v>0</v>
      </c>
      <c r="K37" s="406">
        <f t="shared" si="4"/>
        <v>0</v>
      </c>
      <c r="L37" s="406">
        <f t="shared" si="5"/>
        <v>0</v>
      </c>
      <c r="M37" s="406">
        <f t="shared" si="6"/>
        <v>0</v>
      </c>
      <c r="N37" s="407"/>
      <c r="O37" s="371">
        <f t="shared" si="3"/>
        <v>0</v>
      </c>
    </row>
    <row r="38" spans="1:15" ht="24.95" customHeight="1">
      <c r="A38" s="397" t="s">
        <v>2479</v>
      </c>
      <c r="B38" s="401"/>
      <c r="C38" s="411">
        <f>IF(G38&gt;0,COUNTIF($C$17:C37,"&gt;0")+1,0)</f>
        <v>0</v>
      </c>
      <c r="D38" s="411" t="str">
        <f>IF(B38&lt;&gt;"",VLOOKUP(B38,R_DG!$A$7:$G$1305,2,0),"")</f>
        <v/>
      </c>
      <c r="E38" s="411" t="s">
        <v>2494</v>
      </c>
      <c r="F38" s="411" t="s">
        <v>163</v>
      </c>
      <c r="G38" s="411"/>
      <c r="H38" s="411"/>
      <c r="I38" s="411"/>
      <c r="J38" s="411"/>
      <c r="K38" s="411">
        <f t="shared" si="4"/>
        <v>0</v>
      </c>
      <c r="L38" s="411">
        <f t="shared" si="5"/>
        <v>0</v>
      </c>
      <c r="M38" s="411">
        <f t="shared" si="6"/>
        <v>0</v>
      </c>
      <c r="N38" s="410"/>
      <c r="O38" s="371">
        <f t="shared" si="3"/>
        <v>0</v>
      </c>
    </row>
    <row r="39" spans="1:15" ht="24.95" customHeight="1">
      <c r="B39" s="401"/>
      <c r="C39" s="408"/>
      <c r="D39" s="402" t="str">
        <f>IF(B39&lt;&gt;"",VLOOKUP(B39,R_DG!$A$7:$G$1305,2,0),"")</f>
        <v/>
      </c>
      <c r="E39" s="379" t="s">
        <v>2432</v>
      </c>
      <c r="F39" s="409"/>
      <c r="G39" s="409"/>
      <c r="H39" s="406"/>
      <c r="I39" s="406"/>
      <c r="J39" s="405"/>
      <c r="K39" s="406">
        <f t="shared" si="4"/>
        <v>0</v>
      </c>
      <c r="L39" s="406">
        <f t="shared" si="5"/>
        <v>0</v>
      </c>
      <c r="M39" s="406">
        <f t="shared" si="6"/>
        <v>0</v>
      </c>
      <c r="N39" s="407"/>
      <c r="O39" s="371">
        <f t="shared" si="3"/>
        <v>0</v>
      </c>
    </row>
    <row r="40" spans="1:15" ht="24.95" customHeight="1">
      <c r="B40" s="401" t="s">
        <v>2456</v>
      </c>
      <c r="C40" s="409"/>
      <c r="D40" s="402">
        <f>IF(B40&lt;&gt;"",VLOOKUP(B40,R_DG!$A$7:$G$1305,2,0),"")</f>
        <v>0</v>
      </c>
      <c r="E40" s="403" t="str">
        <f>VLOOKUP(B40,R_DG!$A$7:$G$1305,3,0)</f>
        <v>Giá chữ "T" lắp FCO, LA (V50x50x5)</v>
      </c>
      <c r="F40" s="402" t="str">
        <f>VLOOKUP(B40,R_DG!$A$7:$G$1305,4,0)</f>
        <v>cái</v>
      </c>
      <c r="G40" s="404">
        <f>G$38*1</f>
        <v>0</v>
      </c>
      <c r="H40" s="405">
        <f>VLOOKUP(B40,R_DG!$A$7:$G$1305,5,0)</f>
        <v>28941</v>
      </c>
      <c r="I40" s="405">
        <f>VLOOKUP(B40,R_DG!$A$7:$G$1305,6,0)</f>
        <v>0</v>
      </c>
      <c r="J40" s="405">
        <f>VLOOKUP(B40,R_DG!$A$7:$G$1305,7,0)</f>
        <v>0</v>
      </c>
      <c r="K40" s="406">
        <f t="shared" si="4"/>
        <v>0</v>
      </c>
      <c r="L40" s="406">
        <f t="shared" si="5"/>
        <v>0</v>
      </c>
      <c r="M40" s="406">
        <f t="shared" si="6"/>
        <v>0</v>
      </c>
      <c r="N40" s="407"/>
      <c r="O40" s="371">
        <f t="shared" si="3"/>
        <v>0</v>
      </c>
    </row>
    <row r="41" spans="1:15" ht="24.95" customHeight="1">
      <c r="B41" s="401" t="s">
        <v>2475</v>
      </c>
      <c r="C41" s="409"/>
      <c r="D41" s="402">
        <f>IF(B41&lt;&gt;"",VLOOKUP(B41,R_DG!$A$7:$G$1305,2,0),"")</f>
        <v>0</v>
      </c>
      <c r="E41" s="403" t="str">
        <f>VLOOKUP(B41,R_DG!$A$7:$G$1305,3,0)</f>
        <v>Bass LL bắt FCO và LA</v>
      </c>
      <c r="F41" s="402" t="str">
        <f>VLOOKUP(B41,R_DG!$A$7:$G$1305,4,0)</f>
        <v>bộ</v>
      </c>
      <c r="G41" s="404">
        <f>G$38*1</f>
        <v>0</v>
      </c>
      <c r="H41" s="405">
        <f>VLOOKUP(B41,R_DG!$A$7:$G$1305,5,0)</f>
        <v>59000</v>
      </c>
      <c r="I41" s="405">
        <f>VLOOKUP(B41,R_DG!$A$7:$G$1305,6,0)</f>
        <v>0</v>
      </c>
      <c r="J41" s="405">
        <f>VLOOKUP(B41,R_DG!$A$7:$G$1305,7,0)</f>
        <v>0</v>
      </c>
      <c r="K41" s="406">
        <f t="shared" si="4"/>
        <v>0</v>
      </c>
      <c r="L41" s="406">
        <f t="shared" si="5"/>
        <v>0</v>
      </c>
      <c r="M41" s="406">
        <f t="shared" si="6"/>
        <v>0</v>
      </c>
      <c r="N41" s="407"/>
      <c r="O41" s="371">
        <f t="shared" si="3"/>
        <v>0</v>
      </c>
    </row>
    <row r="42" spans="1:15" ht="24.95" customHeight="1">
      <c r="B42" s="401" t="s">
        <v>86</v>
      </c>
      <c r="C42" s="409"/>
      <c r="D42" s="402">
        <f>IF(B42&lt;&gt;"",VLOOKUP(B42,R_DG!$A$7:$G$1305,2,0),"")</f>
        <v>0</v>
      </c>
      <c r="E42" s="403" t="str">
        <f>VLOOKUP(B42,R_DG!$A$7:$G$1305,3,0)</f>
        <v>Boulon 16x300+ 2 long đền vuông D18-50x50x3/Zn</v>
      </c>
      <c r="F42" s="402" t="str">
        <f>VLOOKUP(B42,R_DG!$A$7:$G$1305,4,0)</f>
        <v>bộ</v>
      </c>
      <c r="G42" s="404">
        <f>G$38*2</f>
        <v>0</v>
      </c>
      <c r="H42" s="405" t="e">
        <f>VLOOKUP(B42,R_DG!$A$7:$G$1305,5,0)</f>
        <v>#REF!</v>
      </c>
      <c r="I42" s="405">
        <f>VLOOKUP(B42,R_DG!$A$7:$G$1305,6,0)</f>
        <v>0</v>
      </c>
      <c r="J42" s="405">
        <f>VLOOKUP(B42,R_DG!$A$7:$G$1305,7,0)</f>
        <v>0</v>
      </c>
      <c r="K42" s="406" t="e">
        <f t="shared" si="4"/>
        <v>#REF!</v>
      </c>
      <c r="L42" s="406">
        <f t="shared" si="5"/>
        <v>0</v>
      </c>
      <c r="M42" s="406">
        <f t="shared" si="6"/>
        <v>0</v>
      </c>
      <c r="N42" s="407"/>
      <c r="O42" s="371">
        <f t="shared" si="3"/>
        <v>0</v>
      </c>
    </row>
    <row r="43" spans="1:15" ht="24.95" customHeight="1">
      <c r="B43" s="401" t="s">
        <v>52</v>
      </c>
      <c r="C43" s="409"/>
      <c r="D43" s="402">
        <f>IF(B43&lt;&gt;"",VLOOKUP(B43,R_DG!$A$7:$G$1305,2,0),"")</f>
        <v>0</v>
      </c>
      <c r="E43" s="403" t="str">
        <f>VLOOKUP(B43,R_DG!$A$7:$G$1305,3,0)</f>
        <v>Boulon 12x50+ 2 long đền vuông D14-50x50x3/Zn</v>
      </c>
      <c r="F43" s="402" t="str">
        <f>VLOOKUP(B43,R_DG!$A$7:$G$1305,4,0)</f>
        <v>bộ</v>
      </c>
      <c r="G43" s="404">
        <f>G$38*2</f>
        <v>0</v>
      </c>
      <c r="H43" s="405">
        <f>VLOOKUP(B43,R_DG!$A$7:$G$1305,5,0)</f>
        <v>1700</v>
      </c>
      <c r="I43" s="405">
        <f>VLOOKUP(B43,R_DG!$A$7:$G$1305,6,0)</f>
        <v>0</v>
      </c>
      <c r="J43" s="405">
        <f>VLOOKUP(B43,R_DG!$A$7:$G$1305,7,0)</f>
        <v>0</v>
      </c>
      <c r="K43" s="406">
        <f t="shared" si="4"/>
        <v>0</v>
      </c>
      <c r="L43" s="406">
        <f t="shared" si="5"/>
        <v>0</v>
      </c>
      <c r="M43" s="406">
        <f t="shared" si="6"/>
        <v>0</v>
      </c>
      <c r="N43" s="407"/>
      <c r="O43" s="371">
        <f t="shared" si="3"/>
        <v>0</v>
      </c>
    </row>
    <row r="44" spans="1:15" ht="24.95" customHeight="1">
      <c r="A44" s="397" t="s">
        <v>2480</v>
      </c>
      <c r="B44" s="401"/>
      <c r="C44" s="411">
        <f>IF(G44&gt;0,COUNTIF($C$17:C43,"&gt;0")+1,0)</f>
        <v>0</v>
      </c>
      <c r="D44" s="411" t="str">
        <f>IF(B44&lt;&gt;"",VLOOKUP(B44,R_DG!$A$7:$G$1305,2,0),"")</f>
        <v/>
      </c>
      <c r="E44" s="411" t="s">
        <v>2492</v>
      </c>
      <c r="F44" s="411" t="s">
        <v>163</v>
      </c>
      <c r="G44" s="411">
        <f>IF(B4=1,1,0)</f>
        <v>0</v>
      </c>
      <c r="H44" s="411"/>
      <c r="I44" s="411"/>
      <c r="J44" s="411"/>
      <c r="K44" s="411">
        <f t="shared" si="4"/>
        <v>0</v>
      </c>
      <c r="L44" s="411">
        <f t="shared" si="5"/>
        <v>0</v>
      </c>
      <c r="M44" s="411">
        <f t="shared" si="6"/>
        <v>0</v>
      </c>
      <c r="N44" s="410"/>
      <c r="O44" s="371">
        <f t="shared" si="3"/>
        <v>0</v>
      </c>
    </row>
    <row r="45" spans="1:15" ht="24.95" customHeight="1">
      <c r="B45" s="401"/>
      <c r="C45" s="408"/>
      <c r="D45" s="402" t="str">
        <f>IF(B45&lt;&gt;"",VLOOKUP(B45,R_DG!$A$7:$G$1305,2,0),"")</f>
        <v/>
      </c>
      <c r="E45" s="379" t="s">
        <v>2432</v>
      </c>
      <c r="F45" s="409"/>
      <c r="G45" s="409"/>
      <c r="H45" s="406"/>
      <c r="I45" s="406"/>
      <c r="J45" s="405"/>
      <c r="K45" s="406">
        <f t="shared" si="4"/>
        <v>0</v>
      </c>
      <c r="L45" s="406">
        <f t="shared" si="5"/>
        <v>0</v>
      </c>
      <c r="M45" s="406">
        <f t="shared" si="6"/>
        <v>0</v>
      </c>
      <c r="N45" s="407"/>
      <c r="O45" s="371">
        <f t="shared" si="3"/>
        <v>0</v>
      </c>
    </row>
    <row r="46" spans="1:15" ht="24.95" customHeight="1">
      <c r="B46" s="401" t="s">
        <v>2471</v>
      </c>
      <c r="C46" s="409"/>
      <c r="D46" s="402" t="str">
        <f>IF(B46&lt;&gt;"",VLOOKUP(B46,R_DG!$A$7:$G$1305,2,0),"")</f>
        <v>D2.6011</v>
      </c>
      <c r="E46" s="403" t="str">
        <f>VLOOKUP(B46,R_DG!$A$7:$G$1305,3,0)</f>
        <v>Đà hộp composit L110x80x800</v>
      </c>
      <c r="F46" s="402" t="str">
        <f>VLOOKUP(B46,R_DG!$A$7:$G$1305,4,0)</f>
        <v>cái</v>
      </c>
      <c r="G46" s="404">
        <f>G$44*1</f>
        <v>0</v>
      </c>
      <c r="H46" s="405">
        <f>VLOOKUP(B46,R_DG!$A$7:$G$1305,5,0)</f>
        <v>320000</v>
      </c>
      <c r="I46" s="405">
        <f>VLOOKUP(B46,R_DG!$A$7:$G$1305,6,0)</f>
        <v>187723.35</v>
      </c>
      <c r="J46" s="405">
        <f>VLOOKUP(B46,R_DG!$A$7:$G$1305,7,0)</f>
        <v>0</v>
      </c>
      <c r="K46" s="406">
        <f t="shared" si="4"/>
        <v>0</v>
      </c>
      <c r="L46" s="406">
        <f t="shared" si="5"/>
        <v>0</v>
      </c>
      <c r="M46" s="406">
        <f t="shared" si="6"/>
        <v>0</v>
      </c>
      <c r="N46" s="407"/>
      <c r="O46" s="371">
        <f t="shared" si="3"/>
        <v>0</v>
      </c>
    </row>
    <row r="47" spans="1:15" ht="24.95" customHeight="1">
      <c r="B47" s="401" t="s">
        <v>2472</v>
      </c>
      <c r="C47" s="409"/>
      <c r="D47" s="402">
        <f>IF(B47&lt;&gt;"",VLOOKUP(B47,R_DG!$A$7:$G$1305,2,0),"")</f>
        <v>0</v>
      </c>
      <c r="E47" s="403" t="str">
        <f>VLOOKUP(B47,R_DG!$A$7:$G$1305,3,0)</f>
        <v>Thanh chống L10x60x710</v>
      </c>
      <c r="F47" s="402" t="str">
        <f>VLOOKUP(B47,R_DG!$A$7:$G$1305,4,0)</f>
        <v>cái</v>
      </c>
      <c r="G47" s="404">
        <f>G$44*1</f>
        <v>0</v>
      </c>
      <c r="H47" s="405">
        <f>VLOOKUP(B47,R_DG!$A$7:$G$1305,5,0)</f>
        <v>110000</v>
      </c>
      <c r="I47" s="405">
        <f>VLOOKUP(B47,R_DG!$A$7:$G$1305,6,0)</f>
        <v>0</v>
      </c>
      <c r="J47" s="405">
        <f>VLOOKUP(B47,R_DG!$A$7:$G$1305,7,0)</f>
        <v>0</v>
      </c>
      <c r="K47" s="406">
        <f t="shared" si="4"/>
        <v>0</v>
      </c>
      <c r="L47" s="406">
        <f t="shared" si="5"/>
        <v>0</v>
      </c>
      <c r="M47" s="406">
        <f t="shared" si="6"/>
        <v>0</v>
      </c>
      <c r="N47" s="407"/>
      <c r="O47" s="371">
        <f t="shared" si="3"/>
        <v>0</v>
      </c>
    </row>
    <row r="48" spans="1:15" ht="24.95" customHeight="1">
      <c r="B48" s="401" t="s">
        <v>2475</v>
      </c>
      <c r="C48" s="409"/>
      <c r="D48" s="402">
        <f>IF(B48&lt;&gt;"",VLOOKUP(B48,R_DG!$A$7:$G$1305,2,0),"")</f>
        <v>0</v>
      </c>
      <c r="E48" s="403" t="str">
        <f>VLOOKUP(B48,R_DG!$A$7:$G$1305,3,0)</f>
        <v>Bass LL bắt FCO và LA</v>
      </c>
      <c r="F48" s="402" t="str">
        <f>VLOOKUP(B48,R_DG!$A$7:$G$1305,4,0)</f>
        <v>bộ</v>
      </c>
      <c r="G48" s="404">
        <f>G$44*1</f>
        <v>0</v>
      </c>
      <c r="H48" s="405">
        <f>VLOOKUP(B48,R_DG!$A$7:$G$1305,5,0)</f>
        <v>59000</v>
      </c>
      <c r="I48" s="405">
        <f>VLOOKUP(B48,R_DG!$A$7:$G$1305,6,0)</f>
        <v>0</v>
      </c>
      <c r="J48" s="405">
        <f>VLOOKUP(B48,R_DG!$A$7:$G$1305,7,0)</f>
        <v>0</v>
      </c>
      <c r="K48" s="406">
        <f t="shared" si="4"/>
        <v>0</v>
      </c>
      <c r="L48" s="406">
        <f t="shared" si="5"/>
        <v>0</v>
      </c>
      <c r="M48" s="406">
        <f t="shared" si="6"/>
        <v>0</v>
      </c>
      <c r="N48" s="407"/>
      <c r="O48" s="371">
        <f t="shared" si="3"/>
        <v>0</v>
      </c>
    </row>
    <row r="49" spans="1:15" ht="24.95" customHeight="1">
      <c r="B49" s="401" t="s">
        <v>86</v>
      </c>
      <c r="C49" s="409"/>
      <c r="D49" s="402">
        <f>IF(B49&lt;&gt;"",VLOOKUP(B49,R_DG!$A$7:$G$1305,2,0),"")</f>
        <v>0</v>
      </c>
      <c r="E49" s="403" t="str">
        <f>VLOOKUP(B49,R_DG!$A$7:$G$1305,3,0)</f>
        <v>Boulon 16x300+ 2 long đền vuông D18-50x50x3/Zn</v>
      </c>
      <c r="F49" s="402" t="str">
        <f>VLOOKUP(B49,R_DG!$A$7:$G$1305,4,0)</f>
        <v>bộ</v>
      </c>
      <c r="G49" s="404">
        <f>G$44*1</f>
        <v>0</v>
      </c>
      <c r="H49" s="405" t="e">
        <f>VLOOKUP(B49,R_DG!$A$7:$G$1305,5,0)</f>
        <v>#REF!</v>
      </c>
      <c r="I49" s="405">
        <f>VLOOKUP(B49,R_DG!$A$7:$G$1305,6,0)</f>
        <v>0</v>
      </c>
      <c r="J49" s="405">
        <f>VLOOKUP(B49,R_DG!$A$7:$G$1305,7,0)</f>
        <v>0</v>
      </c>
      <c r="K49" s="406" t="e">
        <f t="shared" si="4"/>
        <v>#REF!</v>
      </c>
      <c r="L49" s="406">
        <f t="shared" si="5"/>
        <v>0</v>
      </c>
      <c r="M49" s="406">
        <f t="shared" si="6"/>
        <v>0</v>
      </c>
      <c r="N49" s="407"/>
      <c r="O49" s="371">
        <f t="shared" si="3"/>
        <v>0</v>
      </c>
    </row>
    <row r="50" spans="1:15" ht="24.95" customHeight="1">
      <c r="B50" s="401" t="s">
        <v>2473</v>
      </c>
      <c r="C50" s="409"/>
      <c r="D50" s="402">
        <f>IF(B50&lt;&gt;"",VLOOKUP(B50,R_DG!$A$7:$G$1305,2,0),"")</f>
        <v>0</v>
      </c>
      <c r="E50" s="403" t="str">
        <f>VLOOKUP(B50,R_DG!$A$7:$G$1305,3,0)</f>
        <v>Boulon 14x150+ 2 long đền vuông D16-50x50x3/Zn</v>
      </c>
      <c r="F50" s="402" t="str">
        <f>VLOOKUP(B50,R_DG!$A$7:$G$1305,4,0)</f>
        <v>bộ</v>
      </c>
      <c r="G50" s="404">
        <f>G$44*1</f>
        <v>0</v>
      </c>
      <c r="H50" s="405">
        <f>VLOOKUP(B50,R_DG!$A$7:$G$1305,5,0)</f>
        <v>12500</v>
      </c>
      <c r="I50" s="405">
        <f>VLOOKUP(B50,R_DG!$A$7:$G$1305,6,0)</f>
        <v>0</v>
      </c>
      <c r="J50" s="405">
        <f>VLOOKUP(B50,R_DG!$A$7:$G$1305,7,0)</f>
        <v>0</v>
      </c>
      <c r="K50" s="406">
        <f t="shared" si="4"/>
        <v>0</v>
      </c>
      <c r="L50" s="406">
        <f t="shared" si="5"/>
        <v>0</v>
      </c>
      <c r="M50" s="406">
        <f t="shared" si="6"/>
        <v>0</v>
      </c>
      <c r="N50" s="407"/>
      <c r="O50" s="371">
        <f t="shared" si="3"/>
        <v>0</v>
      </c>
    </row>
    <row r="51" spans="1:15" ht="24.95" customHeight="1">
      <c r="A51" s="397" t="s">
        <v>2488</v>
      </c>
      <c r="B51" s="401"/>
      <c r="C51" s="411">
        <f>IF(G51&gt;0,COUNTIF($C$17:C50,"&gt;0")+1,0)</f>
        <v>0</v>
      </c>
      <c r="D51" s="411" t="str">
        <f>IF(B51&lt;&gt;"",VLOOKUP(B51,R_DG!$A$7:$G$1305,2,0),"")</f>
        <v/>
      </c>
      <c r="E51" s="411" t="s">
        <v>2493</v>
      </c>
      <c r="F51" s="411" t="s">
        <v>163</v>
      </c>
      <c r="G51" s="411">
        <f>IF(B4=3,1,0)</f>
        <v>0</v>
      </c>
      <c r="H51" s="411"/>
      <c r="I51" s="411"/>
      <c r="J51" s="411"/>
      <c r="K51" s="411">
        <f t="shared" si="4"/>
        <v>0</v>
      </c>
      <c r="L51" s="411">
        <f t="shared" si="5"/>
        <v>0</v>
      </c>
      <c r="M51" s="411">
        <f t="shared" si="6"/>
        <v>0</v>
      </c>
      <c r="N51" s="410"/>
      <c r="O51" s="371">
        <f t="shared" si="3"/>
        <v>0</v>
      </c>
    </row>
    <row r="52" spans="1:15" ht="24.95" customHeight="1">
      <c r="B52" s="401"/>
      <c r="C52" s="408"/>
      <c r="D52" s="402" t="str">
        <f>IF(B52&lt;&gt;"",VLOOKUP(B52,R_DG!$A$7:$G$1305,2,0),"")</f>
        <v/>
      </c>
      <c r="E52" s="379" t="s">
        <v>2432</v>
      </c>
      <c r="F52" s="409"/>
      <c r="G52" s="409"/>
      <c r="H52" s="406"/>
      <c r="I52" s="406"/>
      <c r="J52" s="405"/>
      <c r="K52" s="406">
        <f t="shared" si="4"/>
        <v>0</v>
      </c>
      <c r="L52" s="406">
        <f t="shared" si="5"/>
        <v>0</v>
      </c>
      <c r="M52" s="406">
        <f t="shared" si="6"/>
        <v>0</v>
      </c>
      <c r="N52" s="407"/>
      <c r="O52" s="371">
        <f t="shared" si="3"/>
        <v>0</v>
      </c>
    </row>
    <row r="53" spans="1:15" ht="24.95" customHeight="1">
      <c r="B53" s="401" t="s">
        <v>4525</v>
      </c>
      <c r="C53" s="409"/>
      <c r="D53" s="402" t="str">
        <f>IF(B53&lt;&gt;"",VLOOKUP(B53,R_DG!$A$7:$G$1305,2,0),"")</f>
        <v>D2.6011</v>
      </c>
      <c r="E53" s="403" t="str">
        <f>VLOOKUP(B53,R_DG!$A$7:$G$1305,3,0)</f>
        <v>Đà hộp composit L110x80x2600</v>
      </c>
      <c r="F53" s="402" t="str">
        <f>VLOOKUP(B53,R_DG!$A$7:$G$1305,4,0)</f>
        <v>cái</v>
      </c>
      <c r="G53" s="404">
        <f>G$51*1</f>
        <v>0</v>
      </c>
      <c r="H53" s="405">
        <f>VLOOKUP(B53,R_DG!$A$7:$G$1305,5,0)</f>
        <v>1056000</v>
      </c>
      <c r="I53" s="405">
        <f>VLOOKUP(B53,R_DG!$A$7:$G$1305,6,0)</f>
        <v>187723.35</v>
      </c>
      <c r="J53" s="405">
        <f>VLOOKUP(B53,R_DG!$A$7:$G$1305,7,0)</f>
        <v>0</v>
      </c>
      <c r="K53" s="406">
        <f t="shared" si="4"/>
        <v>0</v>
      </c>
      <c r="L53" s="406">
        <f t="shared" si="5"/>
        <v>0</v>
      </c>
      <c r="M53" s="406">
        <f t="shared" si="6"/>
        <v>0</v>
      </c>
      <c r="N53" s="407"/>
      <c r="O53" s="371">
        <f t="shared" si="3"/>
        <v>0</v>
      </c>
    </row>
    <row r="54" spans="1:15" ht="24.95" customHeight="1">
      <c r="B54" s="401" t="s">
        <v>4585</v>
      </c>
      <c r="C54" s="409"/>
      <c r="D54" s="402">
        <f>IF(B54&lt;&gt;"",VLOOKUP(B54,R_DG!$A$7:$G$1305,2,0),"")</f>
        <v>0</v>
      </c>
      <c r="E54" s="403">
        <f>VLOOKUP(B54,R_DG!$A$7:$G$1305,3,0)</f>
        <v>0</v>
      </c>
      <c r="F54" s="402">
        <f>VLOOKUP(B54,R_DG!$A$7:$G$1305,4,0)</f>
        <v>0</v>
      </c>
      <c r="G54" s="404"/>
      <c r="H54" s="405">
        <f>VLOOKUP(B54,R_DG!$A$7:$G$1305,5,0)</f>
        <v>0</v>
      </c>
      <c r="I54" s="405">
        <f>VLOOKUP(B54,R_DG!$A$7:$G$1305,6,0)</f>
        <v>0</v>
      </c>
      <c r="J54" s="405">
        <f>VLOOKUP(B54,R_DG!$A$7:$G$1305,7,0)</f>
        <v>0</v>
      </c>
      <c r="K54" s="406">
        <f t="shared" si="4"/>
        <v>0</v>
      </c>
      <c r="L54" s="406">
        <f t="shared" si="5"/>
        <v>0</v>
      </c>
      <c r="M54" s="406">
        <f t="shared" si="6"/>
        <v>0</v>
      </c>
      <c r="N54" s="407"/>
      <c r="O54" s="371">
        <f t="shared" si="3"/>
        <v>0</v>
      </c>
    </row>
    <row r="55" spans="1:15" ht="24.95" customHeight="1">
      <c r="B55" s="401" t="s">
        <v>2475</v>
      </c>
      <c r="C55" s="409"/>
      <c r="D55" s="402">
        <f>IF(B55&lt;&gt;"",VLOOKUP(B55,R_DG!$A$7:$G$1305,2,0),"")</f>
        <v>0</v>
      </c>
      <c r="E55" s="403" t="str">
        <f>VLOOKUP(B55,R_DG!$A$7:$G$1305,3,0)</f>
        <v>Bass LL bắt FCO và LA</v>
      </c>
      <c r="F55" s="402" t="str">
        <f>VLOOKUP(B55,R_DG!$A$7:$G$1305,4,0)</f>
        <v>bộ</v>
      </c>
      <c r="G55" s="404">
        <f>G$51*3</f>
        <v>0</v>
      </c>
      <c r="H55" s="405">
        <f>VLOOKUP(B55,R_DG!$A$7:$G$1305,5,0)</f>
        <v>59000</v>
      </c>
      <c r="I55" s="405">
        <f>VLOOKUP(B55,R_DG!$A$7:$G$1305,6,0)</f>
        <v>0</v>
      </c>
      <c r="J55" s="405">
        <f>VLOOKUP(B55,R_DG!$A$7:$G$1305,7,0)</f>
        <v>0</v>
      </c>
      <c r="K55" s="406">
        <f t="shared" si="4"/>
        <v>0</v>
      </c>
      <c r="L55" s="406">
        <f t="shared" si="5"/>
        <v>0</v>
      </c>
      <c r="M55" s="406">
        <f t="shared" si="6"/>
        <v>0</v>
      </c>
      <c r="N55" s="407"/>
      <c r="O55" s="371">
        <f t="shared" si="3"/>
        <v>0</v>
      </c>
    </row>
    <row r="56" spans="1:15" ht="24.95" customHeight="1">
      <c r="B56" s="401" t="s">
        <v>92</v>
      </c>
      <c r="C56" s="409"/>
      <c r="D56" s="402">
        <f>IF(B56&lt;&gt;"",VLOOKUP(B56,R_DG!$A$7:$G$1305,2,0),"")</f>
        <v>0</v>
      </c>
      <c r="E56" s="403" t="str">
        <f>VLOOKUP(B56,R_DG!$A$7:$G$1305,3,0)</f>
        <v>Boulon 16x450+ 2 long đền vuông D18-50x50x3/Zn</v>
      </c>
      <c r="F56" s="402" t="str">
        <f>VLOOKUP(B56,R_DG!$A$7:$G$1305,4,0)</f>
        <v>bộ</v>
      </c>
      <c r="G56" s="404">
        <f>G$51*1</f>
        <v>0</v>
      </c>
      <c r="H56" s="405" t="e">
        <f>VLOOKUP(B56,R_DG!$A$7:$G$1305,5,0)</f>
        <v>#REF!</v>
      </c>
      <c r="I56" s="405">
        <f>VLOOKUP(B56,R_DG!$A$7:$G$1305,6,0)</f>
        <v>0</v>
      </c>
      <c r="J56" s="405">
        <f>VLOOKUP(B56,R_DG!$A$7:$G$1305,7,0)</f>
        <v>0</v>
      </c>
      <c r="K56" s="406" t="e">
        <f t="shared" si="4"/>
        <v>#REF!</v>
      </c>
      <c r="L56" s="406">
        <f t="shared" si="5"/>
        <v>0</v>
      </c>
      <c r="M56" s="406">
        <f t="shared" si="6"/>
        <v>0</v>
      </c>
      <c r="N56" s="407"/>
      <c r="O56" s="371">
        <f t="shared" si="3"/>
        <v>0</v>
      </c>
    </row>
    <row r="57" spans="1:15" ht="24.95" customHeight="1">
      <c r="B57" s="401" t="s">
        <v>84</v>
      </c>
      <c r="C57" s="409"/>
      <c r="D57" s="402">
        <f>IF(B57&lt;&gt;"",VLOOKUP(B57,R_DG!$A$7:$G$1305,2,0),"")</f>
        <v>0</v>
      </c>
      <c r="E57" s="403" t="str">
        <f>VLOOKUP(B57,R_DG!$A$7:$G$1305,3,0)</f>
        <v>Boulon 16x250+ 2 long đền vuông D18-50x50x3/Zn</v>
      </c>
      <c r="F57" s="402" t="str">
        <f>VLOOKUP(B57,R_DG!$A$7:$G$1305,4,0)</f>
        <v>bộ</v>
      </c>
      <c r="G57" s="404">
        <f>G$51*1</f>
        <v>0</v>
      </c>
      <c r="H57" s="405" t="e">
        <f>VLOOKUP(B57,R_DG!$A$7:$G$1305,5,0)</f>
        <v>#REF!</v>
      </c>
      <c r="I57" s="405">
        <f>VLOOKUP(B57,R_DG!$A$7:$G$1305,6,0)</f>
        <v>0</v>
      </c>
      <c r="J57" s="405">
        <f>VLOOKUP(B57,R_DG!$A$7:$G$1305,7,0)</f>
        <v>0</v>
      </c>
      <c r="K57" s="406" t="e">
        <f t="shared" si="4"/>
        <v>#REF!</v>
      </c>
      <c r="L57" s="406">
        <f t="shared" si="5"/>
        <v>0</v>
      </c>
      <c r="M57" s="406">
        <f t="shared" si="6"/>
        <v>0</v>
      </c>
      <c r="N57" s="407"/>
      <c r="O57" s="371">
        <f t="shared" si="3"/>
        <v>0</v>
      </c>
    </row>
    <row r="58" spans="1:15" ht="24.95" customHeight="1">
      <c r="B58" s="401" t="s">
        <v>4585</v>
      </c>
      <c r="C58" s="409"/>
      <c r="D58" s="402">
        <f>IF(B58&lt;&gt;"",VLOOKUP(B58,R_DG!$A$7:$G$1305,2,0),"")</f>
        <v>0</v>
      </c>
      <c r="E58" s="403">
        <f>VLOOKUP(B58,R_DG!$A$7:$G$1305,3,0)</f>
        <v>0</v>
      </c>
      <c r="F58" s="402">
        <f>VLOOKUP(B58,R_DG!$A$7:$G$1305,4,0)</f>
        <v>0</v>
      </c>
      <c r="G58" s="404"/>
      <c r="H58" s="405">
        <f>VLOOKUP(B58,R_DG!$A$7:$G$1305,5,0)</f>
        <v>0</v>
      </c>
      <c r="I58" s="405">
        <f>VLOOKUP(B58,R_DG!$A$7:$G$1305,6,0)</f>
        <v>0</v>
      </c>
      <c r="J58" s="405">
        <f>VLOOKUP(B58,R_DG!$A$7:$G$1305,7,0)</f>
        <v>0</v>
      </c>
      <c r="K58" s="406">
        <f t="shared" si="4"/>
        <v>0</v>
      </c>
      <c r="L58" s="406">
        <f t="shared" si="5"/>
        <v>0</v>
      </c>
      <c r="M58" s="406">
        <f t="shared" si="6"/>
        <v>0</v>
      </c>
      <c r="N58" s="407"/>
      <c r="O58" s="371">
        <f t="shared" si="3"/>
        <v>0</v>
      </c>
    </row>
    <row r="59" spans="1:15" ht="24.95" customHeight="1">
      <c r="B59" s="401" t="s">
        <v>4413</v>
      </c>
      <c r="C59" s="409"/>
      <c r="D59" s="402">
        <f>IF(B59&lt;&gt;"",VLOOKUP(B59,R_DG!$A$7:$G$1305,2,0),"")</f>
        <v>0</v>
      </c>
      <c r="E59" s="403" t="str">
        <f>VLOOKUP(B59,R_DG!$A$7:$G$1305,3,0)</f>
        <v>Chụp đầu LA</v>
      </c>
      <c r="F59" s="402" t="str">
        <f>VLOOKUP(B59,R_DG!$A$7:$G$1305,4,0)</f>
        <v>cái</v>
      </c>
      <c r="G59" s="404">
        <f>G6*3</f>
        <v>0</v>
      </c>
      <c r="H59" s="405">
        <f>VLOOKUP(B59,R_DG!$A$7:$G$1305,5,0)</f>
        <v>75000</v>
      </c>
      <c r="I59" s="405">
        <f>VLOOKUP(B59,R_DG!$A$7:$G$1305,6,0)</f>
        <v>0</v>
      </c>
      <c r="J59" s="405">
        <f>VLOOKUP(B59,R_DG!$A$7:$G$1305,7,0)</f>
        <v>0</v>
      </c>
      <c r="K59" s="406">
        <f t="shared" si="4"/>
        <v>0</v>
      </c>
      <c r="L59" s="406">
        <f t="shared" si="5"/>
        <v>0</v>
      </c>
      <c r="M59" s="406">
        <f t="shared" si="6"/>
        <v>0</v>
      </c>
      <c r="N59" s="407"/>
      <c r="O59" s="371">
        <f t="shared" si="3"/>
        <v>0</v>
      </c>
    </row>
    <row r="60" spans="1:15" ht="24.95" customHeight="1">
      <c r="B60" s="401" t="s">
        <v>4414</v>
      </c>
      <c r="C60" s="409"/>
      <c r="D60" s="402">
        <f>IF(B60&lt;&gt;"",VLOOKUP(B60,R_DG!$A$7:$G$1305,2,0),"")</f>
        <v>0</v>
      </c>
      <c r="E60" s="403" t="str">
        <f>VLOOKUP(B60,R_DG!$A$7:$G$1305,3,0)</f>
        <v>Chụp đầu cực MBA</v>
      </c>
      <c r="F60" s="402" t="str">
        <f>VLOOKUP(B60,R_DG!$A$7:$G$1305,4,0)</f>
        <v>cái</v>
      </c>
      <c r="G60" s="404">
        <f>G9</f>
        <v>0</v>
      </c>
      <c r="H60" s="405">
        <f>VLOOKUP(B60,R_DG!$A$7:$G$1305,5,0)</f>
        <v>75000</v>
      </c>
      <c r="I60" s="405">
        <f>VLOOKUP(B60,R_DG!$A$7:$G$1305,6,0)</f>
        <v>0</v>
      </c>
      <c r="J60" s="405">
        <f>VLOOKUP(B60,R_DG!$A$7:$G$1305,7,0)</f>
        <v>0</v>
      </c>
      <c r="K60" s="406">
        <f t="shared" si="4"/>
        <v>0</v>
      </c>
      <c r="L60" s="406">
        <f t="shared" si="5"/>
        <v>0</v>
      </c>
      <c r="M60" s="406">
        <f t="shared" si="6"/>
        <v>0</v>
      </c>
      <c r="N60" s="407"/>
      <c r="O60" s="371">
        <f t="shared" si="3"/>
        <v>0</v>
      </c>
    </row>
    <row r="61" spans="1:15" ht="24.95" customHeight="1">
      <c r="B61" s="401" t="s">
        <v>4415</v>
      </c>
      <c r="C61" s="409"/>
      <c r="D61" s="402">
        <f>IF(B61&lt;&gt;"",VLOOKUP(B61,R_DG!$A$7:$G$1305,2,0),"")</f>
        <v>0</v>
      </c>
      <c r="E61" s="403" t="str">
        <f>VLOOKUP(B61,R_DG!$A$7:$G$1305,3,0)</f>
        <v>Chụp đầu FCO</v>
      </c>
      <c r="F61" s="402" t="str">
        <f>VLOOKUP(B61,R_DG!$A$7:$G$1305,4,0)</f>
        <v>bộ</v>
      </c>
      <c r="G61" s="404">
        <f>G7</f>
        <v>0</v>
      </c>
      <c r="H61" s="405">
        <f>VLOOKUP(B61,R_DG!$A$7:$G$1305,5,0)</f>
        <v>230000</v>
      </c>
      <c r="I61" s="405">
        <f>VLOOKUP(B61,R_DG!$A$7:$G$1305,6,0)</f>
        <v>0</v>
      </c>
      <c r="J61" s="405">
        <f>VLOOKUP(B61,R_DG!$A$7:$G$1305,7,0)</f>
        <v>0</v>
      </c>
      <c r="K61" s="406">
        <f t="shared" si="4"/>
        <v>0</v>
      </c>
      <c r="L61" s="406">
        <f t="shared" si="5"/>
        <v>0</v>
      </c>
      <c r="M61" s="406">
        <f t="shared" si="6"/>
        <v>0</v>
      </c>
      <c r="N61" s="407"/>
      <c r="O61" s="371">
        <f t="shared" si="3"/>
        <v>0</v>
      </c>
    </row>
    <row r="62" spans="1:15" ht="24.95" customHeight="1">
      <c r="A62" s="397" t="s">
        <v>2495</v>
      </c>
      <c r="B62" s="401"/>
      <c r="C62" s="411">
        <f>IF(G62&gt;0,COUNTIF($C$17:C58,"&gt;0")+1,0)</f>
        <v>0</v>
      </c>
      <c r="D62" s="411" t="str">
        <f>IF(B62&lt;&gt;"",VLOOKUP(B62,R_DG!$A$7:$G$1305,2,0),"")</f>
        <v/>
      </c>
      <c r="E62" s="411" t="s">
        <v>2526</v>
      </c>
      <c r="F62" s="411" t="s">
        <v>163</v>
      </c>
      <c r="G62" s="411">
        <f>IF(A4&gt;100,1,0)</f>
        <v>0</v>
      </c>
      <c r="H62" s="411"/>
      <c r="I62" s="411"/>
      <c r="J62" s="411"/>
      <c r="K62" s="411">
        <f t="shared" si="4"/>
        <v>0</v>
      </c>
      <c r="L62" s="411">
        <f t="shared" si="5"/>
        <v>0</v>
      </c>
      <c r="M62" s="411">
        <f t="shared" si="6"/>
        <v>0</v>
      </c>
      <c r="N62" s="410"/>
      <c r="O62" s="371">
        <f t="shared" si="3"/>
        <v>0</v>
      </c>
    </row>
    <row r="63" spans="1:15" ht="24.95" customHeight="1">
      <c r="B63" s="401"/>
      <c r="C63" s="408"/>
      <c r="D63" s="402" t="str">
        <f>IF(B63&lt;&gt;"",VLOOKUP(B63,R_DG!$A$7:$G$1305,2,0),"")</f>
        <v/>
      </c>
      <c r="E63" s="379" t="s">
        <v>2432</v>
      </c>
      <c r="F63" s="409"/>
      <c r="G63" s="409"/>
      <c r="H63" s="406"/>
      <c r="I63" s="406"/>
      <c r="J63" s="405"/>
      <c r="K63" s="406">
        <f t="shared" si="4"/>
        <v>0</v>
      </c>
      <c r="L63" s="406">
        <f t="shared" si="5"/>
        <v>0</v>
      </c>
      <c r="M63" s="406">
        <f t="shared" si="6"/>
        <v>0</v>
      </c>
      <c r="N63" s="407"/>
      <c r="O63" s="371">
        <f t="shared" si="3"/>
        <v>0</v>
      </c>
    </row>
    <row r="64" spans="1:15" ht="24.95" customHeight="1">
      <c r="B64" s="401" t="str">
        <f>IF(A4&gt;200,"U20-280","U16-280")</f>
        <v>U16-280</v>
      </c>
      <c r="C64" s="409"/>
      <c r="D64" s="402">
        <f>IF(B64&lt;&gt;"",VLOOKUP(B64,R_DG!$A$7:$G$1305,2,0),"")</f>
        <v>0</v>
      </c>
      <c r="E64" s="403" t="str">
        <f>VLOOKUP(B64,R_DG!$A$7:$G$1305,3,0)&amp;": 15,3kg/m"</f>
        <v>Đà U160x68x5x2800 đỡ MBA (15,3kg/m): 15,3kg/m</v>
      </c>
      <c r="F64" s="402" t="str">
        <f>VLOOKUP(B64,R_DG!$A$7:$G$1305,4,0)</f>
        <v>cái</v>
      </c>
      <c r="G64" s="404">
        <f>G62*2</f>
        <v>0</v>
      </c>
      <c r="H64" s="405">
        <f>VLOOKUP(B64,R_DG!$A$7:$G$1305,5,0)</f>
        <v>1240689.24</v>
      </c>
      <c r="I64" s="405">
        <f>VLOOKUP(B64,R_DG!$A$7:$G$1305,6,0)</f>
        <v>0</v>
      </c>
      <c r="J64" s="405">
        <f>VLOOKUP(B64,R_DG!$A$7:$G$1305,7,0)</f>
        <v>0</v>
      </c>
      <c r="K64" s="406">
        <f t="shared" si="4"/>
        <v>0</v>
      </c>
      <c r="L64" s="406">
        <f t="shared" si="5"/>
        <v>0</v>
      </c>
      <c r="M64" s="406">
        <f t="shared" si="6"/>
        <v>0</v>
      </c>
      <c r="N64" s="407"/>
      <c r="O64" s="371">
        <f t="shared" si="3"/>
        <v>0</v>
      </c>
    </row>
    <row r="65" spans="1:15" ht="24.95" customHeight="1">
      <c r="B65" s="401" t="s">
        <v>2039</v>
      </c>
      <c r="C65" s="409"/>
      <c r="D65" s="402">
        <f>IF(B65&lt;&gt;"",VLOOKUP(B65,R_DG!$A$7:$G$1305,2,0),"")</f>
        <v>0</v>
      </c>
      <c r="E65" s="403" t="str">
        <f>VLOOKUP(B65,R_DG!$A$7:$G$1305,3,0)&amp;": 8,59kg/m"</f>
        <v>Đà U100x46x4.5x400 (8,59kg/m): 8,59kg/m</v>
      </c>
      <c r="F65" s="402" t="str">
        <f>VLOOKUP(B65,R_DG!$A$7:$G$1305,4,0)</f>
        <v>cái</v>
      </c>
      <c r="G65" s="404">
        <f>G62*4</f>
        <v>0</v>
      </c>
      <c r="H65" s="405">
        <f>VLOOKUP(B65,R_DG!$A$7:$G$1305,5,0)</f>
        <v>99509.996000000014</v>
      </c>
      <c r="I65" s="405">
        <f>VLOOKUP(B65,R_DG!$A$7:$G$1305,6,0)</f>
        <v>0</v>
      </c>
      <c r="J65" s="405">
        <f>VLOOKUP(B65,R_DG!$A$7:$G$1305,7,0)</f>
        <v>0</v>
      </c>
      <c r="K65" s="406">
        <f t="shared" si="4"/>
        <v>0</v>
      </c>
      <c r="L65" s="406">
        <f t="shared" si="5"/>
        <v>0</v>
      </c>
      <c r="M65" s="406">
        <f t="shared" si="6"/>
        <v>0</v>
      </c>
      <c r="N65" s="407"/>
      <c r="O65" s="371">
        <f t="shared" si="3"/>
        <v>0</v>
      </c>
    </row>
    <row r="66" spans="1:15" ht="24.95" customHeight="1">
      <c r="B66" s="401" t="s">
        <v>2036</v>
      </c>
      <c r="C66" s="409"/>
      <c r="D66" s="402">
        <f>IF(B66&lt;&gt;"",VLOOKUP(B66,R_DG!$A$7:$G$1305,2,0),"")</f>
        <v>0</v>
      </c>
      <c r="E66" s="403" t="str">
        <f>VLOOKUP(B66,R_DG!$A$7:$G$1305,3,0)&amp;": 8,59kg/m"</f>
        <v>Đà U100x46x4.5x800 (8,59kg/m): 8,59kg/m</v>
      </c>
      <c r="F66" s="402" t="str">
        <f>VLOOKUP(B66,R_DG!$A$7:$G$1305,4,0)</f>
        <v>cái</v>
      </c>
      <c r="G66" s="404">
        <f>G62*2</f>
        <v>0</v>
      </c>
      <c r="H66" s="405">
        <f>VLOOKUP(B66,R_DG!$A$7:$G$1305,5,0)</f>
        <v>199019.992</v>
      </c>
      <c r="I66" s="405">
        <f>VLOOKUP(B66,R_DG!$A$7:$G$1305,6,0)</f>
        <v>0</v>
      </c>
      <c r="J66" s="405">
        <f>VLOOKUP(B66,R_DG!$A$7:$G$1305,7,0)</f>
        <v>0</v>
      </c>
      <c r="K66" s="406">
        <f t="shared" si="4"/>
        <v>0</v>
      </c>
      <c r="L66" s="406">
        <f t="shared" si="5"/>
        <v>0</v>
      </c>
      <c r="M66" s="406">
        <f t="shared" si="6"/>
        <v>0</v>
      </c>
      <c r="N66" s="407"/>
      <c r="O66" s="371">
        <f t="shared" si="3"/>
        <v>0</v>
      </c>
    </row>
    <row r="67" spans="1:15" ht="24.95" customHeight="1">
      <c r="B67" s="401" t="s">
        <v>110</v>
      </c>
      <c r="C67" s="409"/>
      <c r="D67" s="402">
        <f>IF(B67&lt;&gt;"",VLOOKUP(B67,R_DG!$A$7:$G$1305,2,0),"")</f>
        <v>0</v>
      </c>
      <c r="E67" s="403" t="str">
        <f>VLOOKUP(B67,R_DG!$A$7:$G$1305,3,0)</f>
        <v>Boulon 16x400VRS+ 4 long đền vuông D18-50x50x3/Zn</v>
      </c>
      <c r="F67" s="402" t="str">
        <f>VLOOKUP(B67,R_DG!$A$7:$G$1305,4,0)</f>
        <v>bộ</v>
      </c>
      <c r="G67" s="404">
        <f>G62*4</f>
        <v>0</v>
      </c>
      <c r="H67" s="405" t="e">
        <f>VLOOKUP(B67,R_DG!$A$7:$G$1305,5,0)</f>
        <v>#REF!</v>
      </c>
      <c r="I67" s="405">
        <f>VLOOKUP(B67,R_DG!$A$7:$G$1305,6,0)</f>
        <v>0</v>
      </c>
      <c r="J67" s="405">
        <f>VLOOKUP(B67,R_DG!$A$7:$G$1305,7,0)</f>
        <v>0</v>
      </c>
      <c r="K67" s="406" t="e">
        <f t="shared" si="4"/>
        <v>#REF!</v>
      </c>
      <c r="L67" s="406">
        <f t="shared" si="5"/>
        <v>0</v>
      </c>
      <c r="M67" s="406">
        <f t="shared" si="6"/>
        <v>0</v>
      </c>
      <c r="N67" s="407"/>
      <c r="O67" s="371">
        <f t="shared" si="3"/>
        <v>0</v>
      </c>
    </row>
    <row r="68" spans="1:15" ht="24.95" customHeight="1">
      <c r="B68" s="401" t="s">
        <v>90</v>
      </c>
      <c r="C68" s="409"/>
      <c r="D68" s="402">
        <f>IF(B68&lt;&gt;"",VLOOKUP(B68,R_DG!$A$7:$G$1305,2,0),"")</f>
        <v>0</v>
      </c>
      <c r="E68" s="403" t="str">
        <f>VLOOKUP(B68,R_DG!$A$7:$G$1305,3,0)</f>
        <v>Boulon 16x400+ 2 long đền vuông D18-50x50x3/Zn</v>
      </c>
      <c r="F68" s="402" t="str">
        <f>VLOOKUP(B68,R_DG!$A$7:$G$1305,4,0)</f>
        <v>bộ</v>
      </c>
      <c r="G68" s="404">
        <f>G62*4</f>
        <v>0</v>
      </c>
      <c r="H68" s="405" t="e">
        <f>VLOOKUP(B68,R_DG!$A$7:$G$1305,5,0)</f>
        <v>#REF!</v>
      </c>
      <c r="I68" s="405">
        <f>VLOOKUP(B68,R_DG!$A$7:$G$1305,6,0)</f>
        <v>0</v>
      </c>
      <c r="J68" s="405">
        <f>VLOOKUP(B68,R_DG!$A$7:$G$1305,7,0)</f>
        <v>0</v>
      </c>
      <c r="K68" s="406" t="e">
        <f t="shared" si="4"/>
        <v>#REF!</v>
      </c>
      <c r="L68" s="406">
        <f t="shared" si="5"/>
        <v>0</v>
      </c>
      <c r="M68" s="406">
        <f t="shared" si="6"/>
        <v>0</v>
      </c>
      <c r="N68" s="407"/>
      <c r="O68" s="371">
        <f t="shared" si="3"/>
        <v>0</v>
      </c>
    </row>
    <row r="69" spans="1:15" ht="24.95" customHeight="1">
      <c r="B69" s="401" t="s">
        <v>88</v>
      </c>
      <c r="C69" s="409"/>
      <c r="D69" s="402">
        <f>IF(B69&lt;&gt;"",VLOOKUP(B69,R_DG!$A$7:$G$1305,2,0),"")</f>
        <v>0</v>
      </c>
      <c r="E69" s="403" t="str">
        <f>VLOOKUP(B69,R_DG!$A$7:$G$1305,3,0)</f>
        <v>Boulon 16x350+ 2 long đền vuông D18-50x50x3/Zn</v>
      </c>
      <c r="F69" s="402" t="str">
        <f>VLOOKUP(B69,R_DG!$A$7:$G$1305,4,0)</f>
        <v>bộ</v>
      </c>
      <c r="G69" s="404">
        <f>G62*2</f>
        <v>0</v>
      </c>
      <c r="H69" s="405" t="e">
        <f>VLOOKUP(B69,R_DG!$A$7:$G$1305,5,0)</f>
        <v>#REF!</v>
      </c>
      <c r="I69" s="405">
        <f>VLOOKUP(B69,R_DG!$A$7:$G$1305,6,0)</f>
        <v>0</v>
      </c>
      <c r="J69" s="405">
        <f>VLOOKUP(B69,R_DG!$A$7:$G$1305,7,0)</f>
        <v>0</v>
      </c>
      <c r="K69" s="406" t="e">
        <f t="shared" si="4"/>
        <v>#REF!</v>
      </c>
      <c r="L69" s="406">
        <f t="shared" si="5"/>
        <v>0</v>
      </c>
      <c r="M69" s="406">
        <f t="shared" si="6"/>
        <v>0</v>
      </c>
      <c r="N69" s="407"/>
      <c r="O69" s="371">
        <f t="shared" ref="O69:O132" si="7">IF(SUM(G69:G69)&gt;0,1,0)</f>
        <v>0</v>
      </c>
    </row>
    <row r="70" spans="1:15" ht="24.95" customHeight="1">
      <c r="B70" s="401" t="s">
        <v>1179</v>
      </c>
      <c r="C70" s="409"/>
      <c r="D70" s="402" t="str">
        <f>IF(B70&lt;&gt;"",VLOOKUP(B70,R_DG!$A$7:$G$1305,2,0),"")</f>
        <v>D2.6021</v>
      </c>
      <c r="E70" s="403" t="str">
        <f>VLOOKUP(B70,R_DG!$A$7:$G$1305,3,0)</f>
        <v>Lắp xà đỡ ≤ 25kg</v>
      </c>
      <c r="F70" s="402" t="str">
        <f>VLOOKUP(B70,R_DG!$A$7:$G$1305,4,0)</f>
        <v>bộ</v>
      </c>
      <c r="G70" s="404">
        <f>SUM(G64:G66)</f>
        <v>0</v>
      </c>
      <c r="H70" s="405">
        <f>VLOOKUP(B70,R_DG!$A$7:$G$1305,5,0)</f>
        <v>0</v>
      </c>
      <c r="I70" s="405">
        <f>VLOOKUP(B70,R_DG!$A$7:$G$1305,6,0)</f>
        <v>208581.5</v>
      </c>
      <c r="J70" s="405">
        <f>VLOOKUP(B70,R_DG!$A$7:$G$1305,7,0)</f>
        <v>0</v>
      </c>
      <c r="K70" s="406">
        <f t="shared" si="4"/>
        <v>0</v>
      </c>
      <c r="L70" s="406">
        <f t="shared" si="5"/>
        <v>0</v>
      </c>
      <c r="M70" s="406">
        <f t="shared" si="6"/>
        <v>0</v>
      </c>
      <c r="N70" s="407"/>
      <c r="O70" s="371">
        <f t="shared" si="7"/>
        <v>0</v>
      </c>
    </row>
    <row r="71" spans="1:15" ht="24.95" customHeight="1">
      <c r="A71" s="397" t="s">
        <v>3436</v>
      </c>
      <c r="B71" s="401"/>
      <c r="C71" s="411">
        <f>IF(G71&gt;0,COUNTIF($C$17:C70,"&gt;0")+1,0)</f>
        <v>0</v>
      </c>
      <c r="D71" s="411" t="str">
        <f>IF(B71&lt;&gt;"",VLOOKUP(B71,R_DG!$A$7:$G$1305,2,0),"")</f>
        <v/>
      </c>
      <c r="E71" s="411" t="s">
        <v>3435</v>
      </c>
      <c r="F71" s="411" t="s">
        <v>163</v>
      </c>
      <c r="G71" s="411"/>
      <c r="H71" s="411"/>
      <c r="I71" s="411"/>
      <c r="J71" s="411"/>
      <c r="K71" s="411">
        <f t="shared" si="4"/>
        <v>0</v>
      </c>
      <c r="L71" s="411">
        <f t="shared" si="5"/>
        <v>0</v>
      </c>
      <c r="M71" s="411">
        <f t="shared" si="6"/>
        <v>0</v>
      </c>
      <c r="N71" s="410"/>
      <c r="O71" s="371">
        <f t="shared" si="7"/>
        <v>0</v>
      </c>
    </row>
    <row r="72" spans="1:15" ht="24.95" customHeight="1">
      <c r="B72" s="401"/>
      <c r="C72" s="408"/>
      <c r="D72" s="402" t="str">
        <f>IF(B72&lt;&gt;"",VLOOKUP(B72,R_DG!$A$7:$G$1305,2,0),"")</f>
        <v/>
      </c>
      <c r="E72" s="379" t="s">
        <v>2432</v>
      </c>
      <c r="F72" s="409"/>
      <c r="G72" s="409"/>
      <c r="H72" s="406"/>
      <c r="I72" s="406"/>
      <c r="J72" s="405"/>
      <c r="K72" s="406">
        <f t="shared" si="4"/>
        <v>0</v>
      </c>
      <c r="L72" s="406">
        <f t="shared" si="5"/>
        <v>0</v>
      </c>
      <c r="M72" s="406">
        <f t="shared" si="6"/>
        <v>0</v>
      </c>
      <c r="N72" s="407"/>
      <c r="O72" s="371">
        <f t="shared" si="7"/>
        <v>0</v>
      </c>
    </row>
    <row r="73" spans="1:15" ht="24.95" customHeight="1">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4"/>
        <v>0</v>
      </c>
      <c r="L73" s="406">
        <f t="shared" si="5"/>
        <v>0</v>
      </c>
      <c r="M73" s="406">
        <f t="shared" si="6"/>
        <v>0</v>
      </c>
      <c r="N73" s="407"/>
      <c r="O73" s="371">
        <f t="shared" si="7"/>
        <v>0</v>
      </c>
    </row>
    <row r="74" spans="1:15" ht="24.95" customHeight="1">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4"/>
        <v>0</v>
      </c>
      <c r="L74" s="406">
        <f t="shared" si="5"/>
        <v>0</v>
      </c>
      <c r="M74" s="406">
        <f t="shared" si="6"/>
        <v>0</v>
      </c>
      <c r="N74" s="407"/>
      <c r="O74" s="371">
        <f t="shared" si="7"/>
        <v>0</v>
      </c>
    </row>
    <row r="75" spans="1:15" ht="24.95" customHeight="1">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4"/>
        <v>0</v>
      </c>
      <c r="L75" s="406">
        <f t="shared" si="5"/>
        <v>0</v>
      </c>
      <c r="M75" s="406">
        <f t="shared" si="6"/>
        <v>0</v>
      </c>
      <c r="N75" s="407"/>
      <c r="O75" s="371">
        <f t="shared" si="7"/>
        <v>0</v>
      </c>
    </row>
    <row r="76" spans="1:15" ht="24.95" customHeight="1">
      <c r="B76" s="401" t="s">
        <v>3430</v>
      </c>
      <c r="C76" s="409"/>
      <c r="D76" s="402">
        <f>IF(B76&lt;&gt;"",VLOOKUP(B76,R_DG!$A$7:$G$1305,2,0),"")</f>
        <v>0</v>
      </c>
      <c r="E76" s="403" t="str">
        <f>VLOOKUP(B76,R_DG!$A$7:$G$1305,3,0)</f>
        <v>Đà U160x740x64x5 (14,2kg/m)</v>
      </c>
      <c r="F76" s="402" t="str">
        <f>VLOOKUP(B76,R_DG!$A$7:$G$1305,4,0)</f>
        <v>cái</v>
      </c>
      <c r="G76" s="404">
        <f t="shared" ref="G76:G93" si="8">G$71*1</f>
        <v>0</v>
      </c>
      <c r="H76" s="405">
        <f>VLOOKUP(B76,R_DG!$A$7:$G$1305,5,0)</f>
        <v>304322.18799999997</v>
      </c>
      <c r="I76" s="405">
        <f>VLOOKUP(B76,R_DG!$A$7:$G$1305,6,0)</f>
        <v>0</v>
      </c>
      <c r="J76" s="405">
        <f>VLOOKUP(B76,R_DG!$A$7:$G$1305,7,0)</f>
        <v>0</v>
      </c>
      <c r="K76" s="406">
        <f t="shared" si="4"/>
        <v>0</v>
      </c>
      <c r="L76" s="406">
        <f t="shared" si="5"/>
        <v>0</v>
      </c>
      <c r="M76" s="406">
        <f t="shared" si="6"/>
        <v>0</v>
      </c>
      <c r="N76" s="407"/>
      <c r="O76" s="371">
        <f t="shared" si="7"/>
        <v>0</v>
      </c>
    </row>
    <row r="77" spans="1:15" ht="24.95" customHeight="1">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4"/>
        <v>0</v>
      </c>
      <c r="L77" s="406">
        <f t="shared" si="5"/>
        <v>0</v>
      </c>
      <c r="M77" s="406">
        <f t="shared" si="6"/>
        <v>0</v>
      </c>
      <c r="N77" s="407"/>
      <c r="O77" s="371">
        <f t="shared" si="7"/>
        <v>0</v>
      </c>
    </row>
    <row r="78" spans="1:15" ht="24.95" customHeight="1">
      <c r="B78" s="401" t="s">
        <v>3432</v>
      </c>
      <c r="C78" s="409"/>
      <c r="D78" s="402">
        <f>IF(B78&lt;&gt;"",VLOOKUP(B78,R_DG!$A$7:$G$1305,2,0),"")</f>
        <v>0</v>
      </c>
      <c r="E78" s="403" t="str">
        <f>VLOOKUP(B78,R_DG!$A$7:$G$1305,3,0)</f>
        <v>Đà U160x64x5x1810 (14,2kg/m)</v>
      </c>
      <c r="F78" s="402" t="str">
        <f>VLOOKUP(B78,R_DG!$A$7:$G$1305,4,0)</f>
        <v>cái</v>
      </c>
      <c r="G78" s="404">
        <f t="shared" si="8"/>
        <v>0</v>
      </c>
      <c r="H78" s="405">
        <f>VLOOKUP(B78,R_DG!$A$7:$G$1305,5,0)</f>
        <v>744355.62199999997</v>
      </c>
      <c r="I78" s="405">
        <f>VLOOKUP(B78,R_DG!$A$7:$G$1305,6,0)</f>
        <v>0</v>
      </c>
      <c r="J78" s="405">
        <f>VLOOKUP(B78,R_DG!$A$7:$G$1305,7,0)</f>
        <v>0</v>
      </c>
      <c r="K78" s="406">
        <f t="shared" si="4"/>
        <v>0</v>
      </c>
      <c r="L78" s="406">
        <f t="shared" si="5"/>
        <v>0</v>
      </c>
      <c r="M78" s="406">
        <f t="shared" si="6"/>
        <v>0</v>
      </c>
      <c r="N78" s="407"/>
      <c r="O78" s="371">
        <f t="shared" si="7"/>
        <v>0</v>
      </c>
    </row>
    <row r="79" spans="1:15" ht="24.95" customHeight="1">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4"/>
        <v>0</v>
      </c>
      <c r="L79" s="406">
        <f t="shared" si="5"/>
        <v>0</v>
      </c>
      <c r="M79" s="406">
        <f t="shared" si="6"/>
        <v>0</v>
      </c>
      <c r="N79" s="407"/>
      <c r="O79" s="371">
        <f t="shared" si="7"/>
        <v>0</v>
      </c>
    </row>
    <row r="80" spans="1:15" ht="24.95" customHeight="1">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si="4"/>
        <v>0</v>
      </c>
      <c r="L80" s="406">
        <f t="shared" si="5"/>
        <v>0</v>
      </c>
      <c r="M80" s="406">
        <f t="shared" si="6"/>
        <v>0</v>
      </c>
      <c r="N80" s="407"/>
      <c r="O80" s="371">
        <f t="shared" si="7"/>
        <v>0</v>
      </c>
    </row>
    <row r="81" spans="1:15" ht="24.95" customHeight="1">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4"/>
        <v>0</v>
      </c>
      <c r="L81" s="406">
        <f t="shared" si="5"/>
        <v>0</v>
      </c>
      <c r="M81" s="406">
        <f t="shared" si="6"/>
        <v>0</v>
      </c>
      <c r="N81" s="407"/>
      <c r="O81" s="371">
        <f t="shared" si="7"/>
        <v>0</v>
      </c>
    </row>
    <row r="82" spans="1:15" ht="24.95" customHeight="1">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4"/>
        <v>0</v>
      </c>
      <c r="L82" s="406">
        <f t="shared" si="5"/>
        <v>0</v>
      </c>
      <c r="M82" s="406">
        <f t="shared" si="6"/>
        <v>0</v>
      </c>
      <c r="N82" s="407"/>
      <c r="O82" s="371">
        <f t="shared" si="7"/>
        <v>0</v>
      </c>
    </row>
    <row r="83" spans="1:15" ht="24.95" customHeight="1">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4"/>
        <v>#REF!</v>
      </c>
      <c r="L83" s="406">
        <f t="shared" si="5"/>
        <v>0</v>
      </c>
      <c r="M83" s="406">
        <f t="shared" si="6"/>
        <v>0</v>
      </c>
      <c r="N83" s="407"/>
      <c r="O83" s="371">
        <f t="shared" si="7"/>
        <v>0</v>
      </c>
    </row>
    <row r="84" spans="1:15" ht="24.95" customHeight="1">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4"/>
        <v>#REF!</v>
      </c>
      <c r="L84" s="406">
        <f t="shared" si="5"/>
        <v>0</v>
      </c>
      <c r="M84" s="406">
        <f t="shared" si="6"/>
        <v>0</v>
      </c>
      <c r="N84" s="407"/>
      <c r="O84" s="371">
        <f t="shared" si="7"/>
        <v>0</v>
      </c>
    </row>
    <row r="85" spans="1:15" ht="24.95" customHeight="1">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4"/>
        <v>#REF!</v>
      </c>
      <c r="L85" s="406">
        <f t="shared" si="5"/>
        <v>0</v>
      </c>
      <c r="M85" s="406">
        <f t="shared" si="6"/>
        <v>0</v>
      </c>
      <c r="N85" s="407"/>
      <c r="O85" s="371">
        <f t="shared" si="7"/>
        <v>0</v>
      </c>
    </row>
    <row r="86" spans="1:15" ht="24.95" customHeight="1">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si="4"/>
        <v>#REF!</v>
      </c>
      <c r="L86" s="406">
        <f t="shared" si="5"/>
        <v>0</v>
      </c>
      <c r="M86" s="406">
        <f t="shared" si="6"/>
        <v>0</v>
      </c>
      <c r="N86" s="407"/>
      <c r="O86" s="371">
        <f t="shared" si="7"/>
        <v>0</v>
      </c>
    </row>
    <row r="87" spans="1:15" ht="24.95" customHeight="1">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4"/>
        <v>#REF!</v>
      </c>
      <c r="L87" s="406">
        <f t="shared" si="5"/>
        <v>0</v>
      </c>
      <c r="M87" s="406">
        <f t="shared" si="6"/>
        <v>0</v>
      </c>
      <c r="N87" s="407"/>
      <c r="O87" s="371">
        <f t="shared" si="7"/>
        <v>0</v>
      </c>
    </row>
    <row r="88" spans="1:15" ht="24.95" customHeight="1">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4"/>
        <v>#REF!</v>
      </c>
      <c r="L88" s="406">
        <f t="shared" si="5"/>
        <v>0</v>
      </c>
      <c r="M88" s="406">
        <f t="shared" si="6"/>
        <v>0</v>
      </c>
      <c r="N88" s="407"/>
      <c r="O88" s="371">
        <f t="shared" si="7"/>
        <v>0</v>
      </c>
    </row>
    <row r="89" spans="1:15" ht="24.95" customHeight="1">
      <c r="B89" s="401" t="s">
        <v>3445</v>
      </c>
      <c r="C89" s="409"/>
      <c r="D89" s="402">
        <f>IF(B89&lt;&gt;"",VLOOKUP(B89,R_DG!$A$7:$G$1305,2,0),"")</f>
        <v>0</v>
      </c>
      <c r="E89" s="403" t="str">
        <f>VLOOKUP(B89,R_DG!$A$7:$G$1305,3,0)</f>
        <v>Boulon 16x750+ 2 long đền vuông D18-50x50x3/Zn</v>
      </c>
      <c r="F89" s="402" t="str">
        <f>VLOOKUP(B89,R_DG!$A$7:$G$1305,4,0)</f>
        <v>bộ</v>
      </c>
      <c r="G89" s="404">
        <f t="shared" si="8"/>
        <v>0</v>
      </c>
      <c r="H89" s="405" t="e">
        <f>VLOOKUP(B89,R_DG!$A$7:$G$1305,5,0)</f>
        <v>#REF!</v>
      </c>
      <c r="I89" s="405">
        <f>VLOOKUP(B89,R_DG!$A$7:$G$1305,6,0)</f>
        <v>0</v>
      </c>
      <c r="J89" s="405">
        <f>VLOOKUP(B89,R_DG!$A$7:$G$1305,7,0)</f>
        <v>0</v>
      </c>
      <c r="K89" s="406" t="e">
        <f t="shared" si="4"/>
        <v>#REF!</v>
      </c>
      <c r="L89" s="406">
        <f t="shared" si="5"/>
        <v>0</v>
      </c>
      <c r="M89" s="406">
        <f t="shared" si="6"/>
        <v>0</v>
      </c>
      <c r="N89" s="407"/>
      <c r="O89" s="371">
        <f t="shared" si="7"/>
        <v>0</v>
      </c>
    </row>
    <row r="90" spans="1:15" ht="24.95" customHeight="1">
      <c r="B90" s="401" t="s">
        <v>3446</v>
      </c>
      <c r="C90" s="409"/>
      <c r="D90" s="402">
        <f>IF(B90&lt;&gt;"",VLOOKUP(B90,R_DG!$A$7:$G$1305,2,0),"")</f>
        <v>0</v>
      </c>
      <c r="E90" s="403" t="str">
        <f>VLOOKUP(B90,R_DG!$A$7:$G$1305,3,0)</f>
        <v>Boulon 16x500VRS+ 4 long đền vuông D18-50x50x3/Zn</v>
      </c>
      <c r="F90" s="402" t="str">
        <f>VLOOKUP(B90,R_DG!$A$7:$G$1305,4,0)</f>
        <v>bộ</v>
      </c>
      <c r="G90" s="404">
        <f t="shared" si="8"/>
        <v>0</v>
      </c>
      <c r="H90" s="405" t="e">
        <f>VLOOKUP(B90,R_DG!$A$7:$G$1305,5,0)</f>
        <v>#REF!</v>
      </c>
      <c r="I90" s="405">
        <f>VLOOKUP(B90,R_DG!$A$7:$G$1305,6,0)</f>
        <v>0</v>
      </c>
      <c r="J90" s="405">
        <f>VLOOKUP(B90,R_DG!$A$7:$G$1305,7,0)</f>
        <v>0</v>
      </c>
      <c r="K90" s="406" t="e">
        <f t="shared" si="4"/>
        <v>#REF!</v>
      </c>
      <c r="L90" s="406">
        <f t="shared" si="5"/>
        <v>0</v>
      </c>
      <c r="M90" s="406">
        <f t="shared" si="6"/>
        <v>0</v>
      </c>
      <c r="N90" s="407"/>
      <c r="O90" s="371">
        <f t="shared" si="7"/>
        <v>0</v>
      </c>
    </row>
    <row r="91" spans="1:15" ht="24.95" customHeight="1">
      <c r="B91" s="401" t="s">
        <v>3447</v>
      </c>
      <c r="C91" s="409"/>
      <c r="D91" s="402">
        <f>IF(B91&lt;&gt;"",VLOOKUP(B91,R_DG!$A$7:$G$1305,2,0),"")</f>
        <v>0</v>
      </c>
      <c r="E91" s="403" t="str">
        <f>VLOOKUP(B91,R_DG!$A$7:$G$1305,3,0)</f>
        <v>Boulon 16x450VRS+ 4 long đền vuông D18-50x50x3/Zn</v>
      </c>
      <c r="F91" s="402" t="str">
        <f>VLOOKUP(B91,R_DG!$A$7:$G$1305,4,0)</f>
        <v>bộ</v>
      </c>
      <c r="G91" s="404">
        <f t="shared" si="8"/>
        <v>0</v>
      </c>
      <c r="H91" s="405" t="e">
        <f>VLOOKUP(B91,R_DG!$A$7:$G$1305,5,0)</f>
        <v>#REF!</v>
      </c>
      <c r="I91" s="405">
        <f>VLOOKUP(B91,R_DG!$A$7:$G$1305,6,0)</f>
        <v>0</v>
      </c>
      <c r="J91" s="405">
        <f>VLOOKUP(B91,R_DG!$A$7:$G$1305,7,0)</f>
        <v>0</v>
      </c>
      <c r="K91" s="406" t="e">
        <f t="shared" si="4"/>
        <v>#REF!</v>
      </c>
      <c r="L91" s="406">
        <f t="shared" si="5"/>
        <v>0</v>
      </c>
      <c r="M91" s="406">
        <f t="shared" si="6"/>
        <v>0</v>
      </c>
      <c r="N91" s="407"/>
      <c r="O91" s="371">
        <f t="shared" si="7"/>
        <v>0</v>
      </c>
    </row>
    <row r="92" spans="1:15" ht="24.95" customHeight="1">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si="4"/>
        <v>#REF!</v>
      </c>
      <c r="L92" s="406">
        <f t="shared" si="5"/>
        <v>0</v>
      </c>
      <c r="M92" s="406">
        <f t="shared" si="6"/>
        <v>0</v>
      </c>
      <c r="N92" s="407"/>
      <c r="O92" s="371">
        <f t="shared" si="7"/>
        <v>0</v>
      </c>
    </row>
    <row r="93" spans="1:15" ht="24.95" customHeight="1">
      <c r="B93" s="401" t="s">
        <v>3449</v>
      </c>
      <c r="C93" s="409"/>
      <c r="D93" s="402">
        <f>IF(B93&lt;&gt;"",VLOOKUP(B93,R_DG!$A$7:$G$1305,2,0),"")</f>
        <v>0</v>
      </c>
      <c r="E93" s="403" t="str">
        <f>VLOOKUP(B93,R_DG!$A$7:$G$1305,3,0)</f>
        <v>Boulon 16x650VRS+ 4 long đền vuông D18-50x50x3/Zn</v>
      </c>
      <c r="F93" s="402" t="str">
        <f>VLOOKUP(B93,R_DG!$A$7:$G$1305,4,0)</f>
        <v>bộ</v>
      </c>
      <c r="G93" s="404">
        <f t="shared" si="8"/>
        <v>0</v>
      </c>
      <c r="H93" s="405" t="e">
        <f>VLOOKUP(B93,R_DG!$A$7:$G$1305,5,0)</f>
        <v>#REF!</v>
      </c>
      <c r="I93" s="405">
        <f>VLOOKUP(B93,R_DG!$A$7:$G$1305,6,0)</f>
        <v>0</v>
      </c>
      <c r="J93" s="405">
        <f>VLOOKUP(B93,R_DG!$A$7:$G$1305,7,0)</f>
        <v>0</v>
      </c>
      <c r="K93" s="406" t="e">
        <f t="shared" si="4"/>
        <v>#REF!</v>
      </c>
      <c r="L93" s="406">
        <f t="shared" si="5"/>
        <v>0</v>
      </c>
      <c r="M93" s="406">
        <f t="shared" si="6"/>
        <v>0</v>
      </c>
      <c r="N93" s="407"/>
      <c r="O93" s="371">
        <f t="shared" si="7"/>
        <v>0</v>
      </c>
    </row>
    <row r="94" spans="1:15" ht="24.95" customHeight="1">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4"/>
        <v>#REF!</v>
      </c>
      <c r="L94" s="406">
        <f t="shared" si="5"/>
        <v>0</v>
      </c>
      <c r="M94" s="406">
        <f t="shared" si="6"/>
        <v>0</v>
      </c>
      <c r="N94" s="407"/>
      <c r="O94" s="371">
        <f t="shared" si="7"/>
        <v>0</v>
      </c>
    </row>
    <row r="95" spans="1:15" ht="24.95" customHeight="1">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si="4"/>
        <v>0</v>
      </c>
      <c r="L95" s="406">
        <f t="shared" si="5"/>
        <v>0</v>
      </c>
      <c r="M95" s="406">
        <f t="shared" si="6"/>
        <v>0</v>
      </c>
      <c r="N95" s="407"/>
      <c r="O95" s="371">
        <f t="shared" si="7"/>
        <v>0</v>
      </c>
    </row>
    <row r="96" spans="1:15" ht="24.95" customHeight="1">
      <c r="A96" s="397" t="s">
        <v>4586</v>
      </c>
      <c r="B96" s="401"/>
      <c r="C96" s="411">
        <f>IF(G96&gt;0,COUNTIF($C$17:C95,"&gt;0")+1,0)</f>
        <v>0</v>
      </c>
      <c r="D96" s="411" t="str">
        <f>IF(B96&lt;&gt;"",VLOOKUP(B96,R_DG!$A$7:$G$1305,2,0),"")</f>
        <v/>
      </c>
      <c r="E96" s="411" t="s">
        <v>4587</v>
      </c>
      <c r="F96" s="411" t="s">
        <v>163</v>
      </c>
      <c r="G96" s="411"/>
      <c r="H96" s="411"/>
      <c r="I96" s="411"/>
      <c r="J96" s="411"/>
      <c r="K96" s="411">
        <f t="shared" si="4"/>
        <v>0</v>
      </c>
      <c r="L96" s="411">
        <f t="shared" si="5"/>
        <v>0</v>
      </c>
      <c r="M96" s="411">
        <f t="shared" si="6"/>
        <v>0</v>
      </c>
      <c r="N96" s="410"/>
      <c r="O96" s="371">
        <f t="shared" si="7"/>
        <v>0</v>
      </c>
    </row>
    <row r="97" spans="2:15" ht="24.95" customHeight="1">
      <c r="B97" s="401"/>
      <c r="C97" s="408"/>
      <c r="D97" s="402" t="str">
        <f>IF(B97&lt;&gt;"",VLOOKUP(B97,R_DG!$A$7:$G$1305,2,0),"")</f>
        <v/>
      </c>
      <c r="E97" s="379" t="s">
        <v>4646</v>
      </c>
      <c r="F97" s="819" t="s">
        <v>37</v>
      </c>
      <c r="G97" s="819">
        <f>G96*8</f>
        <v>0</v>
      </c>
      <c r="H97" s="406"/>
      <c r="I97" s="406"/>
      <c r="J97" s="405"/>
      <c r="K97" s="406">
        <f t="shared" si="4"/>
        <v>0</v>
      </c>
      <c r="L97" s="406">
        <f t="shared" si="5"/>
        <v>0</v>
      </c>
      <c r="M97" s="406">
        <f t="shared" si="6"/>
        <v>0</v>
      </c>
      <c r="N97" s="407"/>
      <c r="O97" s="371">
        <f t="shared" si="7"/>
        <v>0</v>
      </c>
    </row>
    <row r="98" spans="2:15" ht="24.95" customHeight="1">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si="4"/>
        <v>0</v>
      </c>
      <c r="L98" s="406">
        <f t="shared" si="5"/>
        <v>0</v>
      </c>
      <c r="M98" s="406">
        <f t="shared" si="6"/>
        <v>0</v>
      </c>
      <c r="N98" s="407"/>
      <c r="O98" s="371">
        <f t="shared" si="7"/>
        <v>0</v>
      </c>
    </row>
    <row r="99" spans="2:15" ht="24.95" customHeight="1">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
        <v>0</v>
      </c>
      <c r="L99" s="406">
        <f t="shared" si="5"/>
        <v>0</v>
      </c>
      <c r="M99" s="406">
        <f t="shared" si="6"/>
        <v>0</v>
      </c>
      <c r="N99" s="407"/>
      <c r="O99" s="371">
        <f t="shared" si="7"/>
        <v>0</v>
      </c>
    </row>
    <row r="100" spans="2:15" ht="24.95" customHeight="1">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
        <v>0</v>
      </c>
      <c r="L100" s="406">
        <f t="shared" si="5"/>
        <v>0</v>
      </c>
      <c r="M100" s="406">
        <f t="shared" si="6"/>
        <v>0</v>
      </c>
      <c r="N100" s="407"/>
      <c r="O100" s="371">
        <f t="shared" si="7"/>
        <v>0</v>
      </c>
    </row>
    <row r="101" spans="2:15" ht="24.95" customHeight="1">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4"/>
        <v>0</v>
      </c>
      <c r="L101" s="406">
        <f t="shared" si="5"/>
        <v>0</v>
      </c>
      <c r="M101" s="406">
        <f t="shared" si="6"/>
        <v>0</v>
      </c>
      <c r="N101" s="407"/>
      <c r="O101" s="371">
        <f t="shared" si="7"/>
        <v>0</v>
      </c>
    </row>
    <row r="102" spans="2:15" ht="24.95" customHeight="1">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4"/>
        <v>0</v>
      </c>
      <c r="L102" s="406">
        <f t="shared" si="5"/>
        <v>0</v>
      </c>
      <c r="M102" s="406">
        <f t="shared" si="6"/>
        <v>0</v>
      </c>
      <c r="N102" s="407"/>
      <c r="O102" s="371">
        <f t="shared" si="7"/>
        <v>0</v>
      </c>
    </row>
    <row r="103" spans="2:15" ht="24.95" customHeight="1">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si="4"/>
        <v>0</v>
      </c>
      <c r="L103" s="406">
        <f t="shared" si="5"/>
        <v>0</v>
      </c>
      <c r="M103" s="406">
        <f t="shared" si="6"/>
        <v>0</v>
      </c>
      <c r="N103" s="407"/>
      <c r="O103" s="371">
        <f t="shared" si="7"/>
        <v>0</v>
      </c>
    </row>
    <row r="104" spans="2:15" ht="24.95" customHeight="1">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si="4"/>
        <v>0</v>
      </c>
      <c r="L104" s="406">
        <f t="shared" si="5"/>
        <v>0</v>
      </c>
      <c r="M104" s="406">
        <f t="shared" si="6"/>
        <v>0</v>
      </c>
      <c r="N104" s="407"/>
      <c r="O104" s="371">
        <f t="shared" si="7"/>
        <v>0</v>
      </c>
    </row>
    <row r="105" spans="2:15" ht="24.95" customHeight="1">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 t="shared" si="7"/>
        <v>0</v>
      </c>
    </row>
    <row r="106" spans="2:15" ht="24.95" customHeight="1">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 t="shared" si="7"/>
        <v>0</v>
      </c>
    </row>
    <row r="107" spans="2:15" ht="24.95" customHeight="1">
      <c r="B107" s="401"/>
      <c r="C107" s="408"/>
      <c r="D107" s="402" t="str">
        <f>IF(B107&lt;&gt;"",VLOOKUP(B107,R_DG!$A$7:$G$1305,2,0),"")</f>
        <v/>
      </c>
      <c r="E107" s="379" t="s">
        <v>4645</v>
      </c>
      <c r="F107" s="819" t="s">
        <v>37</v>
      </c>
      <c r="G107" s="819">
        <f>G96*1</f>
        <v>0</v>
      </c>
      <c r="H107" s="406"/>
      <c r="I107" s="406"/>
      <c r="J107" s="405"/>
      <c r="K107" s="406">
        <f t="shared" ref="K107:K114" si="9">H107*G107</f>
        <v>0</v>
      </c>
      <c r="L107" s="406">
        <f t="shared" ref="L107:L114" si="10">I107*G107</f>
        <v>0</v>
      </c>
      <c r="M107" s="406">
        <f t="shared" ref="M107:M114" si="11">J107*G107</f>
        <v>0</v>
      </c>
      <c r="N107" s="407"/>
      <c r="O107" s="371">
        <f t="shared" si="7"/>
        <v>0</v>
      </c>
    </row>
    <row r="108" spans="2:15" ht="24.95" customHeight="1">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9"/>
        <v>0</v>
      </c>
      <c r="L108" s="406">
        <f t="shared" si="10"/>
        <v>0</v>
      </c>
      <c r="M108" s="406">
        <f t="shared" si="11"/>
        <v>0</v>
      </c>
      <c r="N108" s="407"/>
      <c r="O108" s="371">
        <f t="shared" si="7"/>
        <v>0</v>
      </c>
    </row>
    <row r="109" spans="2:15" ht="24.95" customHeight="1">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9"/>
        <v>0</v>
      </c>
      <c r="L109" s="406">
        <f t="shared" si="10"/>
        <v>0</v>
      </c>
      <c r="M109" s="406">
        <f t="shared" si="11"/>
        <v>0</v>
      </c>
      <c r="N109" s="407"/>
      <c r="O109" s="371">
        <f t="shared" si="7"/>
        <v>0</v>
      </c>
    </row>
    <row r="110" spans="2:15" ht="24.95" customHeight="1">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9"/>
        <v>0</v>
      </c>
      <c r="L110" s="406">
        <f t="shared" si="10"/>
        <v>0</v>
      </c>
      <c r="M110" s="406">
        <f t="shared" si="11"/>
        <v>0</v>
      </c>
      <c r="N110" s="407"/>
      <c r="O110" s="371">
        <f t="shared" si="7"/>
        <v>0</v>
      </c>
    </row>
    <row r="111" spans="2:15" ht="24.95" customHeight="1">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9"/>
        <v>0</v>
      </c>
      <c r="L111" s="406">
        <f t="shared" si="10"/>
        <v>0</v>
      </c>
      <c r="M111" s="406">
        <f t="shared" si="11"/>
        <v>0</v>
      </c>
      <c r="N111" s="407"/>
      <c r="O111" s="371">
        <f t="shared" si="7"/>
        <v>0</v>
      </c>
    </row>
    <row r="112" spans="2:15" ht="24.95" customHeight="1">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9"/>
        <v>0</v>
      </c>
      <c r="L112" s="406">
        <f t="shared" si="10"/>
        <v>0</v>
      </c>
      <c r="M112" s="406">
        <f t="shared" si="11"/>
        <v>0</v>
      </c>
      <c r="N112" s="407"/>
      <c r="O112" s="371">
        <f t="shared" si="7"/>
        <v>0</v>
      </c>
    </row>
    <row r="113" spans="2:15" ht="24.95" customHeight="1">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9"/>
        <v>0</v>
      </c>
      <c r="L113" s="406">
        <f t="shared" si="10"/>
        <v>0</v>
      </c>
      <c r="M113" s="406">
        <f t="shared" si="11"/>
        <v>0</v>
      </c>
      <c r="N113" s="407"/>
      <c r="O113" s="371">
        <f t="shared" si="7"/>
        <v>0</v>
      </c>
    </row>
    <row r="114" spans="2:15" ht="24.95" customHeight="1">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9"/>
        <v>0</v>
      </c>
      <c r="L114" s="406">
        <f t="shared" si="10"/>
        <v>0</v>
      </c>
      <c r="M114" s="406">
        <f t="shared" si="11"/>
        <v>0</v>
      </c>
      <c r="N114" s="407"/>
      <c r="O114" s="371">
        <f t="shared" si="7"/>
        <v>0</v>
      </c>
    </row>
    <row r="115" spans="2:15" ht="24.95" customHeight="1">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 t="shared" si="7"/>
        <v>0</v>
      </c>
    </row>
    <row r="116" spans="2:15" ht="24.95" customHeight="1">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 t="shared" si="7"/>
        <v>0</v>
      </c>
    </row>
    <row r="117" spans="2:15" ht="24.95" customHeight="1">
      <c r="B117" s="401"/>
      <c r="C117" s="408"/>
      <c r="D117" s="402" t="str">
        <f>IF(B117&lt;&gt;"",VLOOKUP(B117,R_DG!$A$7:$G$1305,2,0),"")</f>
        <v/>
      </c>
      <c r="E117" s="379" t="s">
        <v>4630</v>
      </c>
      <c r="F117" s="819" t="s">
        <v>37</v>
      </c>
      <c r="G117" s="819">
        <f>G96*10</f>
        <v>0</v>
      </c>
      <c r="H117" s="406"/>
      <c r="I117" s="406"/>
      <c r="J117" s="405"/>
      <c r="K117" s="406">
        <f t="shared" ref="K117:K160" si="12">H117*G117</f>
        <v>0</v>
      </c>
      <c r="L117" s="406">
        <f t="shared" ref="L117:L160" si="13">I117*G117</f>
        <v>0</v>
      </c>
      <c r="M117" s="406">
        <f t="shared" ref="M117:M160" si="14">J117*G117</f>
        <v>0</v>
      </c>
      <c r="N117" s="407"/>
      <c r="O117" s="371">
        <f t="shared" si="7"/>
        <v>0</v>
      </c>
    </row>
    <row r="118" spans="2:15" ht="24.95" customHeight="1">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12"/>
        <v>0</v>
      </c>
      <c r="L118" s="406">
        <f t="shared" si="13"/>
        <v>0</v>
      </c>
      <c r="M118" s="406">
        <f t="shared" si="14"/>
        <v>0</v>
      </c>
      <c r="N118" s="407"/>
      <c r="O118" s="371">
        <f t="shared" si="7"/>
        <v>0</v>
      </c>
    </row>
    <row r="119" spans="2:15" ht="24.95" customHeight="1">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12"/>
        <v>0</v>
      </c>
      <c r="L119" s="406">
        <f t="shared" si="13"/>
        <v>0</v>
      </c>
      <c r="M119" s="406">
        <f t="shared" si="14"/>
        <v>0</v>
      </c>
      <c r="N119" s="407"/>
      <c r="O119" s="371">
        <f t="shared" si="7"/>
        <v>0</v>
      </c>
    </row>
    <row r="120" spans="2:15" ht="24.95" customHeight="1">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12"/>
        <v>0</v>
      </c>
      <c r="L120" s="406">
        <f t="shared" si="13"/>
        <v>0</v>
      </c>
      <c r="M120" s="406">
        <f t="shared" si="14"/>
        <v>0</v>
      </c>
      <c r="N120" s="407"/>
      <c r="O120" s="371">
        <f t="shared" si="7"/>
        <v>0</v>
      </c>
    </row>
    <row r="121" spans="2:15" ht="24.95" customHeight="1">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12"/>
        <v>0</v>
      </c>
      <c r="L121" s="406">
        <f t="shared" si="13"/>
        <v>0</v>
      </c>
      <c r="M121" s="406">
        <f t="shared" si="14"/>
        <v>0</v>
      </c>
      <c r="N121" s="407"/>
      <c r="O121" s="371">
        <f t="shared" si="7"/>
        <v>0</v>
      </c>
    </row>
    <row r="122" spans="2:15" ht="24.95" customHeight="1">
      <c r="B122" s="401"/>
      <c r="C122" s="408"/>
      <c r="D122" s="402" t="str">
        <f>IF(B122&lt;&gt;"",VLOOKUP(B122,R_DG!$A$7:$G$1305,2,0),"")</f>
        <v/>
      </c>
      <c r="E122" s="379" t="s">
        <v>4631</v>
      </c>
      <c r="F122" s="819" t="s">
        <v>37</v>
      </c>
      <c r="G122" s="819">
        <f>G96*3</f>
        <v>0</v>
      </c>
      <c r="H122" s="406"/>
      <c r="I122" s="406"/>
      <c r="J122" s="405"/>
      <c r="K122" s="406">
        <f t="shared" si="12"/>
        <v>0</v>
      </c>
      <c r="L122" s="406">
        <f t="shared" si="13"/>
        <v>0</v>
      </c>
      <c r="M122" s="406">
        <f t="shared" si="14"/>
        <v>0</v>
      </c>
      <c r="N122" s="407"/>
      <c r="O122" s="371">
        <f t="shared" si="7"/>
        <v>0</v>
      </c>
    </row>
    <row r="123" spans="2:15" ht="24.95" customHeight="1">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12"/>
        <v>0</v>
      </c>
      <c r="L123" s="406">
        <f t="shared" si="13"/>
        <v>0</v>
      </c>
      <c r="M123" s="406">
        <f t="shared" si="14"/>
        <v>0</v>
      </c>
      <c r="N123" s="407"/>
      <c r="O123" s="371">
        <f t="shared" si="7"/>
        <v>0</v>
      </c>
    </row>
    <row r="124" spans="2:15" ht="24.95" customHeight="1">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si="12"/>
        <v>0</v>
      </c>
      <c r="L124" s="406">
        <f t="shared" si="13"/>
        <v>0</v>
      </c>
      <c r="M124" s="406">
        <f t="shared" si="14"/>
        <v>0</v>
      </c>
      <c r="N124" s="407"/>
      <c r="O124" s="371">
        <f t="shared" si="7"/>
        <v>0</v>
      </c>
    </row>
    <row r="125" spans="2:15" ht="24.95" customHeight="1">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12"/>
        <v>0</v>
      </c>
      <c r="L125" s="406">
        <f t="shared" si="13"/>
        <v>0</v>
      </c>
      <c r="M125" s="406">
        <f t="shared" si="14"/>
        <v>0</v>
      </c>
      <c r="N125" s="407"/>
      <c r="O125" s="371">
        <f t="shared" si="7"/>
        <v>0</v>
      </c>
    </row>
    <row r="126" spans="2:15" ht="24.95" customHeight="1">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12"/>
        <v>0</v>
      </c>
      <c r="L126" s="406">
        <f t="shared" si="13"/>
        <v>0</v>
      </c>
      <c r="M126" s="406">
        <f t="shared" si="14"/>
        <v>0</v>
      </c>
      <c r="N126" s="407"/>
      <c r="O126" s="371">
        <f t="shared" si="7"/>
        <v>0</v>
      </c>
    </row>
    <row r="127" spans="2:15" ht="24.95" customHeight="1">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12"/>
        <v>0</v>
      </c>
      <c r="L127" s="406">
        <f t="shared" si="13"/>
        <v>0</v>
      </c>
      <c r="M127" s="406">
        <f t="shared" si="14"/>
        <v>0</v>
      </c>
      <c r="N127" s="407"/>
      <c r="O127" s="371">
        <f t="shared" si="7"/>
        <v>0</v>
      </c>
    </row>
    <row r="128" spans="2:15" ht="24.95" customHeight="1">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12"/>
        <v>0</v>
      </c>
      <c r="L128" s="406">
        <f t="shared" si="13"/>
        <v>0</v>
      </c>
      <c r="M128" s="406">
        <f t="shared" si="14"/>
        <v>0</v>
      </c>
      <c r="N128" s="407"/>
      <c r="O128" s="371">
        <f t="shared" si="7"/>
        <v>0</v>
      </c>
    </row>
    <row r="129" spans="2:15" ht="24.95" customHeight="1">
      <c r="B129" s="401"/>
      <c r="C129" s="408"/>
      <c r="D129" s="402" t="str">
        <f>IF(B129&lt;&gt;"",VLOOKUP(B129,R_DG!$A$7:$G$1305,2,0),"")</f>
        <v/>
      </c>
      <c r="E129" s="379" t="s">
        <v>4637</v>
      </c>
      <c r="F129" s="819" t="s">
        <v>37</v>
      </c>
      <c r="G129" s="819">
        <f>G96*1</f>
        <v>0</v>
      </c>
      <c r="H129" s="406"/>
      <c r="I129" s="406"/>
      <c r="J129" s="405"/>
      <c r="K129" s="406">
        <f t="shared" si="12"/>
        <v>0</v>
      </c>
      <c r="L129" s="406">
        <f t="shared" si="13"/>
        <v>0</v>
      </c>
      <c r="M129" s="406">
        <f t="shared" si="14"/>
        <v>0</v>
      </c>
      <c r="N129" s="407"/>
      <c r="O129" s="371">
        <f t="shared" si="7"/>
        <v>0</v>
      </c>
    </row>
    <row r="130" spans="2:15" ht="24.95" customHeight="1">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12"/>
        <v>0</v>
      </c>
      <c r="L130" s="406">
        <f t="shared" si="13"/>
        <v>0</v>
      </c>
      <c r="M130" s="406">
        <f t="shared" si="14"/>
        <v>0</v>
      </c>
      <c r="N130" s="407"/>
      <c r="O130" s="371">
        <f t="shared" si="7"/>
        <v>0</v>
      </c>
    </row>
    <row r="131" spans="2:15" ht="24.95" customHeight="1">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12"/>
        <v>0</v>
      </c>
      <c r="L131" s="406">
        <f t="shared" si="13"/>
        <v>0</v>
      </c>
      <c r="M131" s="406">
        <f t="shared" si="14"/>
        <v>0</v>
      </c>
      <c r="N131" s="407"/>
      <c r="O131" s="371">
        <f t="shared" si="7"/>
        <v>0</v>
      </c>
    </row>
    <row r="132" spans="2:15" ht="24.95" customHeight="1">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12"/>
        <v>0</v>
      </c>
      <c r="L132" s="406">
        <f t="shared" si="13"/>
        <v>0</v>
      </c>
      <c r="M132" s="406">
        <f t="shared" si="14"/>
        <v>0</v>
      </c>
      <c r="N132" s="407"/>
      <c r="O132" s="371">
        <f t="shared" si="7"/>
        <v>0</v>
      </c>
    </row>
    <row r="133" spans="2:15" ht="24.95" customHeight="1">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12"/>
        <v>0</v>
      </c>
      <c r="L133" s="406">
        <f t="shared" si="13"/>
        <v>0</v>
      </c>
      <c r="M133" s="406">
        <f t="shared" si="14"/>
        <v>0</v>
      </c>
      <c r="N133" s="407"/>
      <c r="O133" s="371">
        <f t="shared" ref="O133:O196" si="15">IF(SUM(G133:G133)&gt;0,1,0)</f>
        <v>0</v>
      </c>
    </row>
    <row r="134" spans="2:15" ht="24.95" customHeight="1">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12"/>
        <v>0</v>
      </c>
      <c r="L134" s="406">
        <f t="shared" si="13"/>
        <v>0</v>
      </c>
      <c r="M134" s="406">
        <f t="shared" si="14"/>
        <v>0</v>
      </c>
      <c r="N134" s="407"/>
      <c r="O134" s="371">
        <f t="shared" si="15"/>
        <v>0</v>
      </c>
    </row>
    <row r="135" spans="2:15" ht="24.95" customHeight="1">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si="12"/>
        <v>0</v>
      </c>
      <c r="L135" s="406">
        <f t="shared" si="13"/>
        <v>0</v>
      </c>
      <c r="M135" s="406">
        <f t="shared" si="14"/>
        <v>0</v>
      </c>
      <c r="N135" s="407"/>
      <c r="O135" s="371">
        <f t="shared" si="15"/>
        <v>0</v>
      </c>
    </row>
    <row r="136" spans="2:15" ht="24.95" customHeight="1">
      <c r="B136" s="401"/>
      <c r="C136" s="408"/>
      <c r="D136" s="402" t="str">
        <f>IF(B136&lt;&gt;"",VLOOKUP(B136,R_DG!$A$7:$G$1305,2,0),"")</f>
        <v/>
      </c>
      <c r="E136" s="379" t="s">
        <v>4638</v>
      </c>
      <c r="F136" s="819" t="s">
        <v>37</v>
      </c>
      <c r="G136" s="819">
        <f>G96*1</f>
        <v>0</v>
      </c>
      <c r="H136" s="406"/>
      <c r="I136" s="406"/>
      <c r="J136" s="405"/>
      <c r="K136" s="406">
        <f t="shared" si="12"/>
        <v>0</v>
      </c>
      <c r="L136" s="406">
        <f t="shared" si="13"/>
        <v>0</v>
      </c>
      <c r="M136" s="406">
        <f t="shared" si="14"/>
        <v>0</v>
      </c>
      <c r="N136" s="407"/>
      <c r="O136" s="371">
        <f t="shared" si="15"/>
        <v>0</v>
      </c>
    </row>
    <row r="137" spans="2:15" ht="24.95" customHeight="1">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12"/>
        <v>0</v>
      </c>
      <c r="L137" s="406">
        <f t="shared" si="13"/>
        <v>0</v>
      </c>
      <c r="M137" s="406">
        <f t="shared" si="14"/>
        <v>0</v>
      </c>
      <c r="N137" s="407"/>
      <c r="O137" s="371">
        <f t="shared" si="15"/>
        <v>0</v>
      </c>
    </row>
    <row r="138" spans="2:15" ht="24.95" customHeight="1">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12"/>
        <v>0</v>
      </c>
      <c r="L138" s="406">
        <f t="shared" si="13"/>
        <v>0</v>
      </c>
      <c r="M138" s="406">
        <f t="shared" si="14"/>
        <v>0</v>
      </c>
      <c r="N138" s="407"/>
      <c r="O138" s="371">
        <f t="shared" si="15"/>
        <v>0</v>
      </c>
    </row>
    <row r="139" spans="2:15" ht="24.95" customHeight="1">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12"/>
        <v>0</v>
      </c>
      <c r="L139" s="406">
        <f t="shared" si="13"/>
        <v>0</v>
      </c>
      <c r="M139" s="406">
        <f t="shared" si="14"/>
        <v>0</v>
      </c>
      <c r="N139" s="407"/>
      <c r="O139" s="371">
        <f t="shared" si="15"/>
        <v>0</v>
      </c>
    </row>
    <row r="140" spans="2:15" ht="24.95" customHeight="1">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12"/>
        <v>0</v>
      </c>
      <c r="L140" s="406">
        <f t="shared" si="13"/>
        <v>0</v>
      </c>
      <c r="M140" s="406">
        <f t="shared" si="14"/>
        <v>0</v>
      </c>
      <c r="N140" s="407"/>
      <c r="O140" s="371">
        <f t="shared" si="15"/>
        <v>0</v>
      </c>
    </row>
    <row r="141" spans="2:15" ht="24.95" customHeight="1">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si="12"/>
        <v>0</v>
      </c>
      <c r="L141" s="406">
        <f t="shared" si="13"/>
        <v>0</v>
      </c>
      <c r="M141" s="406">
        <f t="shared" si="14"/>
        <v>0</v>
      </c>
      <c r="N141" s="407"/>
      <c r="O141" s="371">
        <f t="shared" si="15"/>
        <v>0</v>
      </c>
    </row>
    <row r="142" spans="2:15" ht="24.95" customHeight="1">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si="12"/>
        <v>0</v>
      </c>
      <c r="L142" s="406">
        <f t="shared" si="13"/>
        <v>0</v>
      </c>
      <c r="M142" s="406">
        <f t="shared" si="14"/>
        <v>0</v>
      </c>
      <c r="N142" s="407"/>
      <c r="O142" s="371">
        <f t="shared" si="15"/>
        <v>0</v>
      </c>
    </row>
    <row r="143" spans="2:15" ht="24.95" customHeight="1">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si="12"/>
        <v>0</v>
      </c>
      <c r="L143" s="406">
        <f t="shared" si="13"/>
        <v>0</v>
      </c>
      <c r="M143" s="406">
        <f t="shared" si="14"/>
        <v>0</v>
      </c>
      <c r="N143" s="407"/>
      <c r="O143" s="371">
        <f t="shared" si="15"/>
        <v>0</v>
      </c>
    </row>
    <row r="144" spans="2:15" ht="24.95" customHeight="1">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12"/>
        <v>0</v>
      </c>
      <c r="L144" s="406">
        <f t="shared" si="13"/>
        <v>0</v>
      </c>
      <c r="M144" s="406">
        <f t="shared" si="14"/>
        <v>0</v>
      </c>
      <c r="N144" s="407"/>
      <c r="O144" s="371">
        <f t="shared" si="15"/>
        <v>0</v>
      </c>
    </row>
    <row r="145" spans="2:15" ht="24.95" customHeight="1">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si="12"/>
        <v>0</v>
      </c>
      <c r="L145" s="406">
        <f t="shared" si="13"/>
        <v>0</v>
      </c>
      <c r="M145" s="406">
        <f t="shared" si="14"/>
        <v>0</v>
      </c>
      <c r="N145" s="407"/>
      <c r="O145" s="371">
        <f t="shared" si="15"/>
        <v>0</v>
      </c>
    </row>
    <row r="146" spans="2:15" ht="24.95" customHeight="1">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12"/>
        <v>0</v>
      </c>
      <c r="L146" s="406">
        <f t="shared" si="13"/>
        <v>0</v>
      </c>
      <c r="M146" s="406">
        <f t="shared" si="14"/>
        <v>0</v>
      </c>
      <c r="N146" s="407"/>
      <c r="O146" s="371">
        <f t="shared" si="15"/>
        <v>0</v>
      </c>
    </row>
    <row r="147" spans="2:15" ht="24.95" customHeight="1">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si="12"/>
        <v>0</v>
      </c>
      <c r="L147" s="406">
        <f t="shared" si="13"/>
        <v>0</v>
      </c>
      <c r="M147" s="406">
        <f t="shared" si="14"/>
        <v>0</v>
      </c>
      <c r="N147" s="407"/>
      <c r="O147" s="371">
        <f t="shared" si="15"/>
        <v>0</v>
      </c>
    </row>
    <row r="148" spans="2:15" ht="24.95" customHeight="1">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12"/>
        <v>0</v>
      </c>
      <c r="L148" s="406">
        <f t="shared" si="13"/>
        <v>0</v>
      </c>
      <c r="M148" s="406">
        <f t="shared" si="14"/>
        <v>0</v>
      </c>
      <c r="N148" s="407"/>
      <c r="O148" s="371">
        <f t="shared" si="15"/>
        <v>0</v>
      </c>
    </row>
    <row r="149" spans="2:15" ht="24.95" customHeight="1">
      <c r="B149" s="401"/>
      <c r="C149" s="408"/>
      <c r="D149" s="402" t="str">
        <f>IF(B149&lt;&gt;"",VLOOKUP(B149,R_DG!$A$7:$G$1305,2,0),"")</f>
        <v/>
      </c>
      <c r="E149" s="379" t="s">
        <v>4647</v>
      </c>
      <c r="F149" s="819" t="s">
        <v>37</v>
      </c>
      <c r="G149" s="819">
        <f>G96*1</f>
        <v>0</v>
      </c>
      <c r="H149" s="406"/>
      <c r="I149" s="406"/>
      <c r="J149" s="405"/>
      <c r="K149" s="406">
        <f t="shared" si="12"/>
        <v>0</v>
      </c>
      <c r="L149" s="406">
        <f t="shared" si="13"/>
        <v>0</v>
      </c>
      <c r="M149" s="406">
        <f t="shared" si="14"/>
        <v>0</v>
      </c>
      <c r="N149" s="407"/>
      <c r="O149" s="371">
        <f t="shared" si="15"/>
        <v>0</v>
      </c>
    </row>
    <row r="150" spans="2:15" ht="24.95" customHeight="1">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12"/>
        <v>0</v>
      </c>
      <c r="L150" s="406">
        <f t="shared" si="13"/>
        <v>0</v>
      </c>
      <c r="M150" s="406">
        <f t="shared" si="14"/>
        <v>0</v>
      </c>
      <c r="N150" s="407"/>
      <c r="O150" s="371">
        <f t="shared" si="15"/>
        <v>0</v>
      </c>
    </row>
    <row r="151" spans="2:15" ht="24.95" customHeight="1">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12"/>
        <v>0</v>
      </c>
      <c r="L151" s="406">
        <f t="shared" si="13"/>
        <v>0</v>
      </c>
      <c r="M151" s="406">
        <f t="shared" si="14"/>
        <v>0</v>
      </c>
      <c r="N151" s="407"/>
      <c r="O151" s="371">
        <f t="shared" si="15"/>
        <v>0</v>
      </c>
    </row>
    <row r="152" spans="2:15" ht="24.95" customHeight="1">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12"/>
        <v>0</v>
      </c>
      <c r="L152" s="406">
        <f t="shared" si="13"/>
        <v>0</v>
      </c>
      <c r="M152" s="406">
        <f t="shared" si="14"/>
        <v>0</v>
      </c>
      <c r="N152" s="407"/>
      <c r="O152" s="371">
        <f t="shared" si="15"/>
        <v>0</v>
      </c>
    </row>
    <row r="153" spans="2:15" ht="24.95" customHeight="1">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12"/>
        <v>0</v>
      </c>
      <c r="L153" s="406">
        <f t="shared" si="13"/>
        <v>0</v>
      </c>
      <c r="M153" s="406">
        <f t="shared" si="14"/>
        <v>0</v>
      </c>
      <c r="N153" s="407"/>
      <c r="O153" s="371">
        <f t="shared" si="15"/>
        <v>0</v>
      </c>
    </row>
    <row r="154" spans="2:15" ht="24.95" customHeight="1">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12"/>
        <v>0</v>
      </c>
      <c r="L154" s="406">
        <f t="shared" si="13"/>
        <v>0</v>
      </c>
      <c r="M154" s="406">
        <f t="shared" si="14"/>
        <v>0</v>
      </c>
      <c r="N154" s="407"/>
      <c r="O154" s="371">
        <f t="shared" si="15"/>
        <v>0</v>
      </c>
    </row>
    <row r="155" spans="2:15" ht="24.95" customHeight="1">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12"/>
        <v>0</v>
      </c>
      <c r="L155" s="406">
        <f t="shared" si="13"/>
        <v>0</v>
      </c>
      <c r="M155" s="406">
        <f t="shared" si="14"/>
        <v>0</v>
      </c>
      <c r="N155" s="407"/>
      <c r="O155" s="371">
        <f t="shared" si="15"/>
        <v>0</v>
      </c>
    </row>
    <row r="156" spans="2:15" ht="24.95" customHeight="1">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12"/>
        <v>0</v>
      </c>
      <c r="L156" s="406">
        <f t="shared" si="13"/>
        <v>0</v>
      </c>
      <c r="M156" s="406">
        <f t="shared" si="14"/>
        <v>0</v>
      </c>
      <c r="N156" s="407"/>
      <c r="O156" s="371">
        <f t="shared" si="15"/>
        <v>0</v>
      </c>
    </row>
    <row r="157" spans="2:15" ht="24.95" customHeight="1">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12"/>
        <v>0</v>
      </c>
      <c r="L157" s="406">
        <f t="shared" si="13"/>
        <v>0</v>
      </c>
      <c r="M157" s="406">
        <f t="shared" si="14"/>
        <v>0</v>
      </c>
      <c r="N157" s="407"/>
      <c r="O157" s="371">
        <f t="shared" si="15"/>
        <v>0</v>
      </c>
    </row>
    <row r="158" spans="2:15" ht="24.95" customHeight="1">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12"/>
        <v>0</v>
      </c>
      <c r="L158" s="406">
        <f t="shared" si="13"/>
        <v>0</v>
      </c>
      <c r="M158" s="406">
        <f t="shared" si="14"/>
        <v>0</v>
      </c>
      <c r="N158" s="407"/>
      <c r="O158" s="371">
        <f t="shared" si="15"/>
        <v>0</v>
      </c>
    </row>
    <row r="159" spans="2:15" ht="24.95" customHeight="1">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12"/>
        <v>0</v>
      </c>
      <c r="L159" s="406">
        <f t="shared" si="13"/>
        <v>0</v>
      </c>
      <c r="M159" s="406">
        <f t="shared" si="14"/>
        <v>0</v>
      </c>
      <c r="N159" s="407"/>
      <c r="O159" s="371">
        <f t="shared" si="15"/>
        <v>0</v>
      </c>
    </row>
    <row r="160" spans="2:15" ht="24.95" customHeight="1">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12"/>
        <v>0</v>
      </c>
      <c r="L160" s="406">
        <f t="shared" si="13"/>
        <v>0</v>
      </c>
      <c r="M160" s="406">
        <f t="shared" si="14"/>
        <v>0</v>
      </c>
      <c r="N160" s="407"/>
      <c r="O160" s="371">
        <f t="shared" si="15"/>
        <v>0</v>
      </c>
    </row>
    <row r="161" spans="1:15" ht="24.95" customHeight="1">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4"/>
        <v>0</v>
      </c>
      <c r="L161" s="406">
        <f t="shared" si="5"/>
        <v>0</v>
      </c>
      <c r="M161" s="406">
        <f t="shared" si="6"/>
        <v>0</v>
      </c>
      <c r="N161" s="407"/>
      <c r="O161" s="371">
        <f t="shared" si="15"/>
        <v>0</v>
      </c>
    </row>
    <row r="162" spans="1:15" ht="24.95" customHeight="1">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4"/>
        <v>0</v>
      </c>
      <c r="L162" s="406">
        <f t="shared" si="5"/>
        <v>0</v>
      </c>
      <c r="M162" s="406">
        <f t="shared" si="6"/>
        <v>0</v>
      </c>
      <c r="N162" s="407"/>
      <c r="O162" s="371">
        <f t="shared" si="15"/>
        <v>0</v>
      </c>
    </row>
    <row r="163" spans="1:15" ht="24.95" customHeight="1">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si="4"/>
        <v>0</v>
      </c>
      <c r="L163" s="406">
        <f t="shared" si="5"/>
        <v>0</v>
      </c>
      <c r="M163" s="406">
        <f t="shared" si="6"/>
        <v>0</v>
      </c>
      <c r="N163" s="407"/>
      <c r="O163" s="371">
        <f t="shared" si="15"/>
        <v>0</v>
      </c>
    </row>
    <row r="164" spans="1:15" ht="24.95" customHeight="1">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4"/>
        <v>0</v>
      </c>
      <c r="L164" s="406">
        <f t="shared" si="5"/>
        <v>0</v>
      </c>
      <c r="M164" s="406">
        <f t="shared" si="6"/>
        <v>0</v>
      </c>
      <c r="N164" s="407"/>
      <c r="O164" s="371">
        <f t="shared" si="15"/>
        <v>0</v>
      </c>
    </row>
    <row r="165" spans="1:15" ht="24.95" customHeight="1">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si="4"/>
        <v>0</v>
      </c>
      <c r="L165" s="406">
        <f t="shared" si="5"/>
        <v>0</v>
      </c>
      <c r="M165" s="406">
        <f t="shared" si="6"/>
        <v>0</v>
      </c>
      <c r="N165" s="407"/>
      <c r="O165" s="371">
        <f t="shared" si="15"/>
        <v>0</v>
      </c>
    </row>
    <row r="166" spans="1:15" ht="24.95" customHeight="1">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4"/>
        <v>0</v>
      </c>
      <c r="L166" s="406">
        <f t="shared" si="5"/>
        <v>0</v>
      </c>
      <c r="M166" s="406">
        <f t="shared" si="6"/>
        <v>0</v>
      </c>
      <c r="N166" s="407"/>
      <c r="O166" s="371">
        <f t="shared" si="15"/>
        <v>0</v>
      </c>
    </row>
    <row r="167" spans="1:15" ht="24.95" customHeight="1">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4"/>
        <v>0</v>
      </c>
      <c r="L167" s="406">
        <f t="shared" si="5"/>
        <v>0</v>
      </c>
      <c r="M167" s="406">
        <f t="shared" si="6"/>
        <v>0</v>
      </c>
      <c r="N167" s="407"/>
      <c r="O167" s="371">
        <f t="shared" si="15"/>
        <v>0</v>
      </c>
    </row>
    <row r="168" spans="1:15" ht="24.95" customHeight="1">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4"/>
        <v>0</v>
      </c>
      <c r="L168" s="406">
        <f t="shared" si="5"/>
        <v>0</v>
      </c>
      <c r="M168" s="406">
        <f t="shared" si="6"/>
        <v>0</v>
      </c>
      <c r="N168" s="407"/>
      <c r="O168" s="371">
        <f t="shared" si="15"/>
        <v>0</v>
      </c>
    </row>
    <row r="169" spans="1:15" ht="24.95" customHeight="1">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si="4"/>
        <v>0</v>
      </c>
      <c r="L169" s="406">
        <f t="shared" si="5"/>
        <v>0</v>
      </c>
      <c r="M169" s="406">
        <f t="shared" si="6"/>
        <v>0</v>
      </c>
      <c r="N169" s="407"/>
      <c r="O169" s="371">
        <f t="shared" si="15"/>
        <v>0</v>
      </c>
    </row>
    <row r="170" spans="1:15" ht="24.95"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4"/>
        <v>0</v>
      </c>
      <c r="L170" s="411">
        <f t="shared" si="5"/>
        <v>0</v>
      </c>
      <c r="M170" s="411">
        <f t="shared" si="6"/>
        <v>0</v>
      </c>
      <c r="N170" s="410"/>
      <c r="O170" s="371">
        <f t="shared" si="15"/>
        <v>0</v>
      </c>
    </row>
    <row r="171" spans="1:15" ht="24.95" customHeight="1">
      <c r="B171" s="401"/>
      <c r="C171" s="408"/>
      <c r="D171" s="402" t="str">
        <f>IF(B171&lt;&gt;"",VLOOKUP(B171,R_DG!$A$7:$G$1305,2,0),"")</f>
        <v/>
      </c>
      <c r="E171" s="379" t="s">
        <v>2432</v>
      </c>
      <c r="F171" s="409"/>
      <c r="G171" s="409"/>
      <c r="H171" s="406"/>
      <c r="I171" s="406"/>
      <c r="J171" s="405"/>
      <c r="K171" s="406">
        <f t="shared" si="4"/>
        <v>0</v>
      </c>
      <c r="L171" s="406">
        <f t="shared" si="5"/>
        <v>0</v>
      </c>
      <c r="M171" s="406">
        <f t="shared" si="6"/>
        <v>0</v>
      </c>
      <c r="N171" s="407"/>
      <c r="O171" s="371">
        <f t="shared" si="15"/>
        <v>0</v>
      </c>
    </row>
    <row r="172" spans="1:15" ht="24.95" customHeight="1">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4"/>
        <v>0</v>
      </c>
      <c r="L172" s="406">
        <f t="shared" si="5"/>
        <v>0</v>
      </c>
      <c r="M172" s="406">
        <f t="shared" si="6"/>
        <v>0</v>
      </c>
      <c r="N172" s="407"/>
      <c r="O172" s="371">
        <f t="shared" si="15"/>
        <v>0</v>
      </c>
    </row>
    <row r="173" spans="1:15" ht="24.95" customHeight="1">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4"/>
        <v>0</v>
      </c>
      <c r="L173" s="406">
        <f t="shared" si="5"/>
        <v>0</v>
      </c>
      <c r="M173" s="406">
        <f t="shared" si="6"/>
        <v>0</v>
      </c>
      <c r="N173" s="407"/>
      <c r="O173" s="371">
        <f t="shared" si="15"/>
        <v>0</v>
      </c>
    </row>
    <row r="174" spans="1:15" ht="24.95" customHeight="1">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4"/>
        <v>0</v>
      </c>
      <c r="L174" s="406">
        <f t="shared" si="5"/>
        <v>0</v>
      </c>
      <c r="M174" s="406">
        <f t="shared" si="6"/>
        <v>0</v>
      </c>
      <c r="N174" s="407"/>
      <c r="O174" s="371">
        <f t="shared" si="15"/>
        <v>0</v>
      </c>
    </row>
    <row r="175" spans="1:15" ht="24.95" customHeight="1">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4"/>
        <v>0</v>
      </c>
      <c r="L175" s="406">
        <f t="shared" si="5"/>
        <v>0</v>
      </c>
      <c r="M175" s="406">
        <f t="shared" si="6"/>
        <v>0</v>
      </c>
      <c r="N175" s="407"/>
      <c r="O175" s="371">
        <f t="shared" si="15"/>
        <v>0</v>
      </c>
    </row>
    <row r="176" spans="1:15" ht="24.95" customHeight="1">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4"/>
        <v>0</v>
      </c>
      <c r="L176" s="406">
        <f t="shared" si="5"/>
        <v>0</v>
      </c>
      <c r="M176" s="406">
        <f t="shared" si="6"/>
        <v>0</v>
      </c>
      <c r="N176" s="407"/>
      <c r="O176" s="371">
        <f t="shared" si="15"/>
        <v>0</v>
      </c>
    </row>
    <row r="177" spans="2:15" ht="24.95" customHeight="1">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4"/>
        <v>0</v>
      </c>
      <c r="L177" s="406">
        <f t="shared" si="5"/>
        <v>0</v>
      </c>
      <c r="M177" s="406">
        <f t="shared" si="6"/>
        <v>0</v>
      </c>
      <c r="N177" s="407"/>
      <c r="O177" s="371">
        <f t="shared" si="15"/>
        <v>0</v>
      </c>
    </row>
    <row r="178" spans="2:15" ht="24.95" customHeight="1">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4"/>
        <v>0</v>
      </c>
      <c r="L178" s="406">
        <f t="shared" si="5"/>
        <v>0</v>
      </c>
      <c r="M178" s="406">
        <f t="shared" si="6"/>
        <v>0</v>
      </c>
      <c r="N178" s="407"/>
      <c r="O178" s="371">
        <f t="shared" si="15"/>
        <v>0</v>
      </c>
    </row>
    <row r="179" spans="2:15" ht="24.95" customHeight="1">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4"/>
        <v>0</v>
      </c>
      <c r="L179" s="406">
        <f t="shared" si="5"/>
        <v>0</v>
      </c>
      <c r="M179" s="406">
        <f t="shared" si="6"/>
        <v>0</v>
      </c>
      <c r="N179" s="407"/>
      <c r="O179" s="371">
        <f t="shared" si="15"/>
        <v>0</v>
      </c>
    </row>
    <row r="180" spans="2:15" ht="24.95" customHeight="1">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4"/>
        <v>0</v>
      </c>
      <c r="L180" s="406">
        <f t="shared" si="5"/>
        <v>0</v>
      </c>
      <c r="M180" s="406">
        <f t="shared" si="6"/>
        <v>0</v>
      </c>
      <c r="N180" s="407"/>
      <c r="O180" s="371">
        <f t="shared" si="15"/>
        <v>0</v>
      </c>
    </row>
    <row r="181" spans="2:15" ht="24.95" customHeight="1">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4"/>
        <v>0</v>
      </c>
      <c r="L181" s="406">
        <f t="shared" si="5"/>
        <v>0</v>
      </c>
      <c r="M181" s="406">
        <f t="shared" si="6"/>
        <v>0</v>
      </c>
      <c r="N181" s="407"/>
      <c r="O181" s="371">
        <f t="shared" si="15"/>
        <v>0</v>
      </c>
    </row>
    <row r="182" spans="2:15" ht="24.95" customHeight="1">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4"/>
        <v>0</v>
      </c>
      <c r="L182" s="406">
        <f t="shared" si="5"/>
        <v>0</v>
      </c>
      <c r="M182" s="406">
        <f t="shared" si="6"/>
        <v>0</v>
      </c>
      <c r="N182" s="407"/>
      <c r="O182" s="371">
        <f t="shared" si="15"/>
        <v>0</v>
      </c>
    </row>
    <row r="183" spans="2:15" ht="24.95" customHeight="1">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4"/>
        <v>0</v>
      </c>
      <c r="L183" s="406">
        <f t="shared" si="5"/>
        <v>0</v>
      </c>
      <c r="M183" s="406">
        <f t="shared" si="6"/>
        <v>0</v>
      </c>
      <c r="N183" s="407"/>
      <c r="O183" s="371">
        <f t="shared" si="15"/>
        <v>0</v>
      </c>
    </row>
    <row r="184" spans="2:15" ht="24.95" customHeight="1">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4"/>
        <v>0</v>
      </c>
      <c r="L184" s="406">
        <f t="shared" si="5"/>
        <v>0</v>
      </c>
      <c r="M184" s="406">
        <f t="shared" si="6"/>
        <v>0</v>
      </c>
      <c r="N184" s="407"/>
      <c r="O184" s="371">
        <f t="shared" si="15"/>
        <v>0</v>
      </c>
    </row>
    <row r="185" spans="2:15" ht="24.95" customHeight="1">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4"/>
        <v>0</v>
      </c>
      <c r="L185" s="406">
        <f t="shared" si="5"/>
        <v>0</v>
      </c>
      <c r="M185" s="406">
        <f t="shared" si="6"/>
        <v>0</v>
      </c>
      <c r="N185" s="407"/>
      <c r="O185" s="371">
        <f t="shared" si="15"/>
        <v>0</v>
      </c>
    </row>
    <row r="186" spans="2:15" ht="24.95" customHeight="1">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4"/>
        <v>0</v>
      </c>
      <c r="L186" s="406">
        <f t="shared" si="5"/>
        <v>0</v>
      </c>
      <c r="M186" s="406">
        <f t="shared" si="6"/>
        <v>0</v>
      </c>
      <c r="N186" s="407"/>
      <c r="O186" s="371">
        <f t="shared" si="15"/>
        <v>0</v>
      </c>
    </row>
    <row r="187" spans="2:15" ht="24.95" customHeight="1">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4"/>
        <v>0</v>
      </c>
      <c r="L187" s="406">
        <f t="shared" si="5"/>
        <v>0</v>
      </c>
      <c r="M187" s="406">
        <f t="shared" si="6"/>
        <v>0</v>
      </c>
      <c r="N187" s="407"/>
      <c r="O187" s="371">
        <f t="shared" si="15"/>
        <v>0</v>
      </c>
    </row>
    <row r="188" spans="2:15" ht="24.95" customHeight="1">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4"/>
        <v>0</v>
      </c>
      <c r="L188" s="406">
        <f t="shared" si="5"/>
        <v>0</v>
      </c>
      <c r="M188" s="406">
        <f t="shared" si="6"/>
        <v>0</v>
      </c>
      <c r="N188" s="407"/>
      <c r="O188" s="371">
        <f t="shared" si="15"/>
        <v>0</v>
      </c>
    </row>
    <row r="189" spans="2:15" ht="24.95" customHeight="1">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4"/>
        <v>0</v>
      </c>
      <c r="L189" s="406">
        <f t="shared" si="5"/>
        <v>0</v>
      </c>
      <c r="M189" s="406">
        <f t="shared" si="6"/>
        <v>0</v>
      </c>
      <c r="N189" s="407"/>
      <c r="O189" s="371">
        <f t="shared" si="15"/>
        <v>0</v>
      </c>
    </row>
    <row r="190" spans="2:15" ht="24.95" customHeight="1">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4"/>
        <v>0</v>
      </c>
      <c r="L190" s="406">
        <f t="shared" si="5"/>
        <v>0</v>
      </c>
      <c r="M190" s="406">
        <f t="shared" si="6"/>
        <v>0</v>
      </c>
      <c r="N190" s="407"/>
      <c r="O190" s="371">
        <f t="shared" si="15"/>
        <v>0</v>
      </c>
    </row>
    <row r="191" spans="2:15" ht="24.95" customHeight="1">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4"/>
        <v>0</v>
      </c>
      <c r="L191" s="406">
        <f t="shared" si="5"/>
        <v>0</v>
      </c>
      <c r="M191" s="406">
        <f t="shared" si="6"/>
        <v>0</v>
      </c>
      <c r="N191" s="407"/>
      <c r="O191" s="371">
        <f t="shared" si="15"/>
        <v>0</v>
      </c>
    </row>
    <row r="192" spans="2:15" ht="24.95" customHeight="1">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4"/>
        <v>0</v>
      </c>
      <c r="L192" s="406">
        <f t="shared" si="5"/>
        <v>0</v>
      </c>
      <c r="M192" s="406">
        <f t="shared" si="6"/>
        <v>0</v>
      </c>
      <c r="N192" s="407"/>
      <c r="O192" s="371">
        <f t="shared" si="15"/>
        <v>0</v>
      </c>
    </row>
    <row r="193" spans="1:15" ht="24.95" customHeight="1">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4"/>
        <v>0</v>
      </c>
      <c r="L193" s="406">
        <f t="shared" si="5"/>
        <v>0</v>
      </c>
      <c r="M193" s="406">
        <f t="shared" si="6"/>
        <v>0</v>
      </c>
      <c r="N193" s="407"/>
      <c r="O193" s="371">
        <f t="shared" si="15"/>
        <v>0</v>
      </c>
    </row>
    <row r="194" spans="1:15" ht="24.95" customHeight="1">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4"/>
        <v>0</v>
      </c>
      <c r="L194" s="406">
        <f t="shared" si="5"/>
        <v>0</v>
      </c>
      <c r="M194" s="406">
        <f t="shared" si="6"/>
        <v>0</v>
      </c>
      <c r="N194" s="407"/>
      <c r="O194" s="371">
        <f t="shared" si="15"/>
        <v>0</v>
      </c>
    </row>
    <row r="195" spans="1:15" ht="24.95" customHeight="1">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si="4"/>
        <v>0</v>
      </c>
      <c r="L195" s="406">
        <f t="shared" si="5"/>
        <v>0</v>
      </c>
      <c r="M195" s="406">
        <f t="shared" si="6"/>
        <v>0</v>
      </c>
      <c r="N195" s="407"/>
      <c r="O195" s="371">
        <f t="shared" si="15"/>
        <v>0</v>
      </c>
    </row>
    <row r="196" spans="1:15" ht="24.95" customHeight="1">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4"/>
        <v>0</v>
      </c>
      <c r="L196" s="406">
        <f t="shared" si="5"/>
        <v>0</v>
      </c>
      <c r="M196" s="406">
        <f t="shared" si="6"/>
        <v>0</v>
      </c>
      <c r="N196" s="407"/>
      <c r="O196" s="371">
        <f t="shared" si="15"/>
        <v>0</v>
      </c>
    </row>
    <row r="197" spans="1:15" ht="24.95" customHeight="1">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4"/>
        <v>0</v>
      </c>
      <c r="L197" s="406">
        <f t="shared" si="5"/>
        <v>0</v>
      </c>
      <c r="M197" s="406">
        <f t="shared" si="6"/>
        <v>0</v>
      </c>
      <c r="N197" s="407"/>
      <c r="O197" s="371">
        <f t="shared" ref="O197:O260" si="16">IF(SUM(G197:G197)&gt;0,1,0)</f>
        <v>0</v>
      </c>
    </row>
    <row r="198" spans="1:15">
      <c r="A198" s="397" t="s">
        <v>2508</v>
      </c>
      <c r="B198" s="401"/>
      <c r="C198" s="411">
        <f>IF(G198&gt;0,COUNTIF($C197:C$392,"&gt;0")+1,0)</f>
        <v>0</v>
      </c>
      <c r="D198" s="411" t="str">
        <f>IF(B198&lt;&gt;"",VLOOKUP(B198,R_DG!$A$7:$G$1305,2,0),"")</f>
        <v/>
      </c>
      <c r="E198" s="411" t="s">
        <v>4655</v>
      </c>
      <c r="F198" s="411" t="s">
        <v>163</v>
      </c>
      <c r="G198" s="411"/>
      <c r="H198" s="411"/>
      <c r="I198" s="411"/>
      <c r="J198" s="411"/>
      <c r="K198" s="411">
        <f t="shared" si="4"/>
        <v>0</v>
      </c>
      <c r="L198" s="411">
        <f t="shared" si="5"/>
        <v>0</v>
      </c>
      <c r="M198" s="411">
        <f t="shared" si="6"/>
        <v>0</v>
      </c>
      <c r="N198" s="410"/>
      <c r="O198" s="371">
        <f t="shared" si="16"/>
        <v>0</v>
      </c>
    </row>
    <row r="199" spans="1:15">
      <c r="B199" s="401"/>
      <c r="C199" s="408"/>
      <c r="D199" s="402" t="str">
        <f>IF(B199&lt;&gt;"",VLOOKUP(B199,R_DG!$A$7:$G$1305,2,0),"")</f>
        <v/>
      </c>
      <c r="E199" s="379" t="s">
        <v>2432</v>
      </c>
      <c r="F199" s="409"/>
      <c r="G199" s="409"/>
      <c r="H199" s="406"/>
      <c r="I199" s="406"/>
      <c r="J199" s="405"/>
      <c r="K199" s="406">
        <f t="shared" si="4"/>
        <v>0</v>
      </c>
      <c r="L199" s="406">
        <f t="shared" si="5"/>
        <v>0</v>
      </c>
      <c r="M199" s="406">
        <f t="shared" si="6"/>
        <v>0</v>
      </c>
      <c r="N199" s="407"/>
      <c r="O199" s="371">
        <f t="shared" si="16"/>
        <v>0</v>
      </c>
    </row>
    <row r="200" spans="1:15">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4"/>
        <v>#REF!</v>
      </c>
      <c r="L200" s="406">
        <f t="shared" si="5"/>
        <v>0</v>
      </c>
      <c r="M200" s="406">
        <f t="shared" si="6"/>
        <v>0</v>
      </c>
      <c r="N200" s="407"/>
      <c r="O200" s="371">
        <f t="shared" si="16"/>
        <v>0</v>
      </c>
    </row>
    <row r="201" spans="1:15">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4"/>
        <v>0</v>
      </c>
      <c r="L201" s="406">
        <f t="shared" si="5"/>
        <v>0</v>
      </c>
      <c r="M201" s="406">
        <f t="shared" si="6"/>
        <v>0</v>
      </c>
      <c r="N201" s="407"/>
      <c r="O201" s="371">
        <f t="shared" si="16"/>
        <v>0</v>
      </c>
    </row>
    <row r="202" spans="1:15">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4"/>
        <v>0</v>
      </c>
      <c r="L202" s="406">
        <f t="shared" si="5"/>
        <v>0</v>
      </c>
      <c r="M202" s="406">
        <f t="shared" si="6"/>
        <v>0</v>
      </c>
      <c r="N202" s="407"/>
      <c r="O202" s="371">
        <f t="shared" si="16"/>
        <v>0</v>
      </c>
    </row>
    <row r="203" spans="1:15">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4"/>
        <v>0</v>
      </c>
      <c r="L203" s="406">
        <f t="shared" si="5"/>
        <v>0</v>
      </c>
      <c r="M203" s="406">
        <f t="shared" si="6"/>
        <v>0</v>
      </c>
      <c r="N203" s="407"/>
      <c r="O203" s="371">
        <f t="shared" si="16"/>
        <v>0</v>
      </c>
    </row>
    <row r="204" spans="1:15">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4"/>
        <v>#REF!</v>
      </c>
      <c r="L204" s="406">
        <f t="shared" si="5"/>
        <v>0</v>
      </c>
      <c r="M204" s="406">
        <f t="shared" si="6"/>
        <v>0</v>
      </c>
      <c r="N204" s="407"/>
      <c r="O204" s="371">
        <f t="shared" si="16"/>
        <v>0</v>
      </c>
    </row>
    <row r="205" spans="1:15">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4"/>
        <v>#REF!</v>
      </c>
      <c r="L205" s="406">
        <f t="shared" si="5"/>
        <v>0</v>
      </c>
      <c r="M205" s="406">
        <f t="shared" si="6"/>
        <v>0</v>
      </c>
      <c r="N205" s="407"/>
      <c r="O205" s="371">
        <f t="shared" si="16"/>
        <v>0</v>
      </c>
    </row>
    <row r="206" spans="1:15">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4"/>
        <v>#REF!</v>
      </c>
      <c r="L206" s="406">
        <f t="shared" si="5"/>
        <v>0</v>
      </c>
      <c r="M206" s="406">
        <f t="shared" si="6"/>
        <v>0</v>
      </c>
      <c r="N206" s="407"/>
      <c r="O206" s="371">
        <f t="shared" si="16"/>
        <v>0</v>
      </c>
    </row>
    <row r="207" spans="1:15">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4"/>
        <v>0</v>
      </c>
      <c r="L207" s="406">
        <f t="shared" si="5"/>
        <v>0</v>
      </c>
      <c r="M207" s="406">
        <f t="shared" si="6"/>
        <v>0</v>
      </c>
      <c r="N207" s="407"/>
      <c r="O207" s="371">
        <f t="shared" si="16"/>
        <v>0</v>
      </c>
    </row>
    <row r="208" spans="1:15">
      <c r="A208" s="397" t="s">
        <v>2507</v>
      </c>
      <c r="B208" s="401"/>
      <c r="C208" s="411">
        <f>IF(G208&gt;0,COUNTIF($C207:C$392,"&gt;0")+1,0)</f>
        <v>0</v>
      </c>
      <c r="D208" s="411" t="str">
        <f>IF(B208&lt;&gt;"",VLOOKUP(B208,R_DG!$A$7:$G$1305,2,0),"")</f>
        <v/>
      </c>
      <c r="E208" s="411" t="s">
        <v>4656</v>
      </c>
      <c r="F208" s="411" t="s">
        <v>163</v>
      </c>
      <c r="G208" s="411"/>
      <c r="H208" s="411"/>
      <c r="I208" s="411"/>
      <c r="J208" s="411"/>
      <c r="K208" s="411">
        <f t="shared" si="4"/>
        <v>0</v>
      </c>
      <c r="L208" s="411">
        <f t="shared" si="5"/>
        <v>0</v>
      </c>
      <c r="M208" s="411">
        <f t="shared" si="6"/>
        <v>0</v>
      </c>
      <c r="N208" s="410"/>
      <c r="O208" s="371">
        <f t="shared" si="16"/>
        <v>0</v>
      </c>
    </row>
    <row r="209" spans="1:15">
      <c r="B209" s="401"/>
      <c r="C209" s="408"/>
      <c r="D209" s="402" t="str">
        <f>IF(B209&lt;&gt;"",VLOOKUP(B209,R_DG!$A$7:$G$1305,2,0),"")</f>
        <v/>
      </c>
      <c r="E209" s="379" t="s">
        <v>2432</v>
      </c>
      <c r="F209" s="409"/>
      <c r="G209" s="409"/>
      <c r="H209" s="406"/>
      <c r="I209" s="406"/>
      <c r="J209" s="405"/>
      <c r="K209" s="406">
        <f t="shared" si="4"/>
        <v>0</v>
      </c>
      <c r="L209" s="406">
        <f t="shared" si="5"/>
        <v>0</v>
      </c>
      <c r="M209" s="406">
        <f t="shared" si="6"/>
        <v>0</v>
      </c>
      <c r="N209" s="407"/>
      <c r="O209" s="371">
        <f t="shared" si="16"/>
        <v>0</v>
      </c>
    </row>
    <row r="210" spans="1:15">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4"/>
        <v>#REF!</v>
      </c>
      <c r="L210" s="406">
        <f t="shared" si="5"/>
        <v>0</v>
      </c>
      <c r="M210" s="406">
        <f t="shared" si="6"/>
        <v>0</v>
      </c>
      <c r="N210" s="407"/>
      <c r="O210" s="371">
        <f t="shared" si="16"/>
        <v>0</v>
      </c>
    </row>
    <row r="211" spans="1:15">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4"/>
        <v>0</v>
      </c>
      <c r="L211" s="406">
        <f t="shared" si="5"/>
        <v>0</v>
      </c>
      <c r="M211" s="406">
        <f t="shared" si="6"/>
        <v>0</v>
      </c>
      <c r="N211" s="407"/>
      <c r="O211" s="371">
        <f t="shared" si="16"/>
        <v>0</v>
      </c>
    </row>
    <row r="212" spans="1:15">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4"/>
        <v>0</v>
      </c>
      <c r="L212" s="406">
        <f t="shared" si="5"/>
        <v>0</v>
      </c>
      <c r="M212" s="406">
        <f t="shared" si="6"/>
        <v>0</v>
      </c>
      <c r="N212" s="407"/>
      <c r="O212" s="371">
        <f t="shared" si="16"/>
        <v>0</v>
      </c>
    </row>
    <row r="213" spans="1:15">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4"/>
        <v>0</v>
      </c>
      <c r="L213" s="406">
        <f t="shared" si="5"/>
        <v>0</v>
      </c>
      <c r="M213" s="406">
        <f t="shared" si="6"/>
        <v>0</v>
      </c>
      <c r="N213" s="407"/>
      <c r="O213" s="371">
        <f t="shared" si="16"/>
        <v>0</v>
      </c>
    </row>
    <row r="214" spans="1:15">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4"/>
        <v>#REF!</v>
      </c>
      <c r="L214" s="406">
        <f t="shared" si="5"/>
        <v>0</v>
      </c>
      <c r="M214" s="406">
        <f t="shared" si="6"/>
        <v>0</v>
      </c>
      <c r="N214" s="407"/>
      <c r="O214" s="371">
        <f t="shared" si="16"/>
        <v>0</v>
      </c>
    </row>
    <row r="215" spans="1:15">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4"/>
        <v>#REF!</v>
      </c>
      <c r="L215" s="406">
        <f t="shared" si="5"/>
        <v>0</v>
      </c>
      <c r="M215" s="406">
        <f t="shared" si="6"/>
        <v>0</v>
      </c>
      <c r="N215" s="407"/>
      <c r="O215" s="371">
        <f t="shared" si="16"/>
        <v>0</v>
      </c>
    </row>
    <row r="216" spans="1:15">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4"/>
        <v>#REF!</v>
      </c>
      <c r="L216" s="406">
        <f t="shared" si="5"/>
        <v>0</v>
      </c>
      <c r="M216" s="406">
        <f t="shared" si="6"/>
        <v>0</v>
      </c>
      <c r="N216" s="407"/>
      <c r="O216" s="371">
        <f t="shared" si="16"/>
        <v>0</v>
      </c>
    </row>
    <row r="217" spans="1:15">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4"/>
        <v>0</v>
      </c>
      <c r="L217" s="406">
        <f t="shared" si="5"/>
        <v>0</v>
      </c>
      <c r="M217" s="406">
        <f t="shared" si="6"/>
        <v>0</v>
      </c>
      <c r="N217" s="407"/>
      <c r="O217" s="371">
        <f t="shared" si="16"/>
        <v>0</v>
      </c>
    </row>
    <row r="218" spans="1:15" ht="24.95" customHeight="1">
      <c r="A218" s="397" t="s">
        <v>2510</v>
      </c>
      <c r="B218" s="401"/>
      <c r="C218" s="411">
        <f>IF(G218&gt;0,COUNTIF($C$17:C70,"&gt;0")+1,0)</f>
        <v>0</v>
      </c>
      <c r="D218" s="411" t="str">
        <f>IF(B218&lt;&gt;"",VLOOKUP(B218,R_DG!$A$7:$G$1305,2,0),"")</f>
        <v/>
      </c>
      <c r="E218" s="411" t="s">
        <v>2504</v>
      </c>
      <c r="F218" s="411" t="s">
        <v>163</v>
      </c>
      <c r="G218" s="411">
        <f>IF(A4&gt;100,1,0)</f>
        <v>0</v>
      </c>
      <c r="H218" s="411"/>
      <c r="I218" s="411"/>
      <c r="J218" s="411"/>
      <c r="K218" s="411">
        <f t="shared" si="4"/>
        <v>0</v>
      </c>
      <c r="L218" s="411">
        <f t="shared" si="5"/>
        <v>0</v>
      </c>
      <c r="M218" s="411">
        <f t="shared" si="6"/>
        <v>0</v>
      </c>
      <c r="N218" s="410"/>
      <c r="O218" s="371">
        <f t="shared" si="16"/>
        <v>0</v>
      </c>
    </row>
    <row r="219" spans="1:15" ht="24.95" customHeight="1">
      <c r="B219" s="401"/>
      <c r="C219" s="408"/>
      <c r="D219" s="402" t="str">
        <f>IF(B219&lt;&gt;"",VLOOKUP(B219,R_DG!$A$7:$G$1305,2,0),"")</f>
        <v/>
      </c>
      <c r="E219" s="379" t="s">
        <v>2432</v>
      </c>
      <c r="F219" s="409"/>
      <c r="G219" s="409"/>
      <c r="H219" s="406"/>
      <c r="I219" s="406"/>
      <c r="J219" s="405"/>
      <c r="K219" s="406">
        <f t="shared" si="4"/>
        <v>0</v>
      </c>
      <c r="L219" s="406">
        <f t="shared" si="5"/>
        <v>0</v>
      </c>
      <c r="M219" s="406">
        <f t="shared" si="6"/>
        <v>0</v>
      </c>
      <c r="N219" s="407"/>
      <c r="O219" s="371">
        <f t="shared" si="16"/>
        <v>0</v>
      </c>
    </row>
    <row r="220" spans="1:15" ht="24.95" customHeight="1">
      <c r="B220" s="401" t="s">
        <v>3319</v>
      </c>
      <c r="C220" s="409"/>
      <c r="D220" s="402">
        <f>IF(B220&lt;&gt;"",VLOOKUP(B220,R_DG!$A$7:$G$1305,2,0),"")</f>
        <v>0</v>
      </c>
      <c r="E220" s="403" t="str">
        <f>VLOOKUP(B220,R_DG!$A$7:$G$1305,3,0)</f>
        <v>Đà sắt L75x75x8x2600 3 ốp (25,35kg/cái)</v>
      </c>
      <c r="F220" s="402" t="str">
        <f>VLOOKUP(B220,R_DG!$A$7:$G$1305,4,0)</f>
        <v>cái</v>
      </c>
      <c r="G220" s="404">
        <f>G218</f>
        <v>0</v>
      </c>
      <c r="H220" s="405" t="e">
        <f>VLOOKUP(B220,R_DG!$A$7:$G$1305,5,0)</f>
        <v>#REF!</v>
      </c>
      <c r="I220" s="405">
        <f>VLOOKUP(B220,R_DG!$A$7:$G$1305,6,0)</f>
        <v>0</v>
      </c>
      <c r="J220" s="405">
        <f>VLOOKUP(B220,R_DG!$A$7:$G$1305,7,0)</f>
        <v>0</v>
      </c>
      <c r="K220" s="406" t="e">
        <f t="shared" si="4"/>
        <v>#REF!</v>
      </c>
      <c r="L220" s="406">
        <f t="shared" si="5"/>
        <v>0</v>
      </c>
      <c r="M220" s="406">
        <f t="shared" si="6"/>
        <v>0</v>
      </c>
      <c r="N220" s="407"/>
      <c r="O220" s="371">
        <f t="shared" si="16"/>
        <v>0</v>
      </c>
    </row>
    <row r="221" spans="1:15" ht="24.95" customHeight="1">
      <c r="B221" s="401" t="s">
        <v>86</v>
      </c>
      <c r="C221" s="409"/>
      <c r="D221" s="402">
        <f>IF(B221&lt;&gt;"",VLOOKUP(B221,R_DG!$A$7:$G$1305,2,0),"")</f>
        <v>0</v>
      </c>
      <c r="E221" s="403" t="str">
        <f>VLOOKUP(B221,R_DG!$A$7:$G$1305,3,0)</f>
        <v>Boulon 16x300+ 2 long đền vuông D18-50x50x3/Zn</v>
      </c>
      <c r="F221" s="402" t="str">
        <f>VLOOKUP(B221,R_DG!$A$7:$G$1305,4,0)</f>
        <v>bộ</v>
      </c>
      <c r="G221" s="404">
        <f>G218*2</f>
        <v>0</v>
      </c>
      <c r="H221" s="405" t="e">
        <f>VLOOKUP(B221,R_DG!$A$7:$G$1305,5,0)</f>
        <v>#REF!</v>
      </c>
      <c r="I221" s="405">
        <f>VLOOKUP(B221,R_DG!$A$7:$G$1305,6,0)</f>
        <v>0</v>
      </c>
      <c r="J221" s="405">
        <f>VLOOKUP(B221,R_DG!$A$7:$G$1305,7,0)</f>
        <v>0</v>
      </c>
      <c r="K221" s="406" t="e">
        <f t="shared" si="4"/>
        <v>#REF!</v>
      </c>
      <c r="L221" s="406">
        <f t="shared" si="5"/>
        <v>0</v>
      </c>
      <c r="M221" s="406">
        <f t="shared" si="6"/>
        <v>0</v>
      </c>
      <c r="N221" s="407"/>
      <c r="O221" s="371">
        <f t="shared" si="16"/>
        <v>0</v>
      </c>
    </row>
    <row r="222" spans="1:15" ht="24.95" customHeight="1">
      <c r="B222" s="401" t="s">
        <v>384</v>
      </c>
      <c r="C222" s="409"/>
      <c r="D222" s="402">
        <f>IF(B222&lt;&gt;"",VLOOKUP(B222,R_DG!$A$7:$G$1305,2,0),"")</f>
        <v>0</v>
      </c>
      <c r="E222" s="403" t="str">
        <f>VLOOKUP(B222,R_DG!$A$7:$G$1305,3,0)</f>
        <v>Chân sứ đứng D20</v>
      </c>
      <c r="F222" s="402" t="str">
        <f>VLOOKUP(B222,R_DG!$A$7:$G$1305,4,0)</f>
        <v>cái</v>
      </c>
      <c r="G222" s="404">
        <f>G223</f>
        <v>0</v>
      </c>
      <c r="H222" s="405">
        <f>VLOOKUP(B222,R_DG!$A$7:$G$1305,5,0)</f>
        <v>56000</v>
      </c>
      <c r="I222" s="405">
        <f>VLOOKUP(B222,R_DG!$A$7:$G$1305,6,0)</f>
        <v>0</v>
      </c>
      <c r="J222" s="405">
        <f>VLOOKUP(B222,R_DG!$A$7:$G$1305,7,0)</f>
        <v>0</v>
      </c>
      <c r="K222" s="406">
        <f t="shared" si="4"/>
        <v>0</v>
      </c>
      <c r="L222" s="406">
        <f t="shared" si="5"/>
        <v>0</v>
      </c>
      <c r="M222" s="406">
        <f t="shared" si="6"/>
        <v>0</v>
      </c>
      <c r="N222" s="407"/>
      <c r="O222" s="371">
        <f t="shared" si="16"/>
        <v>0</v>
      </c>
    </row>
    <row r="223" spans="1:15" ht="24.95" customHeight="1">
      <c r="B223" s="401" t="s">
        <v>626</v>
      </c>
      <c r="C223" s="409"/>
      <c r="D223" s="402" t="str">
        <f>IF(B223&lt;&gt;"",VLOOKUP(B223,R_DG!$A$7:$G$1305,2,0),"")</f>
        <v>D3.1122</v>
      </c>
      <c r="E223" s="403" t="str">
        <f>VLOOKUP(B223,R_DG!$A$7:$G$1305,3,0)</f>
        <v xml:space="preserve">Sứ đứng 24KV </v>
      </c>
      <c r="F223" s="402" t="str">
        <f>VLOOKUP(B223,R_DG!$A$7:$G$1305,4,0)</f>
        <v>cái</v>
      </c>
      <c r="G223" s="404">
        <f>G218*3</f>
        <v>0</v>
      </c>
      <c r="H223" s="405">
        <f>VLOOKUP(B223,R_DG!$A$7:$G$1305,5,0)</f>
        <v>185000</v>
      </c>
      <c r="I223" s="405">
        <f>VLOOKUP(B223,R_DG!$A$7:$G$1305,6,0)</f>
        <v>55458.14</v>
      </c>
      <c r="J223" s="405">
        <f>VLOOKUP(B223,R_DG!$A$7:$G$1305,7,0)</f>
        <v>0</v>
      </c>
      <c r="K223" s="406">
        <f t="shared" si="4"/>
        <v>0</v>
      </c>
      <c r="L223" s="406">
        <f t="shared" si="5"/>
        <v>0</v>
      </c>
      <c r="M223" s="406">
        <f t="shared" si="6"/>
        <v>0</v>
      </c>
      <c r="N223" s="407"/>
      <c r="O223" s="371">
        <f t="shared" si="16"/>
        <v>0</v>
      </c>
    </row>
    <row r="224" spans="1:15" ht="24.95" customHeight="1">
      <c r="B224" s="401" t="s">
        <v>1179</v>
      </c>
      <c r="C224" s="409"/>
      <c r="D224" s="402" t="str">
        <f>IF(B224&lt;&gt;"",VLOOKUP(B224,R_DG!$A$7:$G$1305,2,0),"")</f>
        <v>D2.6021</v>
      </c>
      <c r="E224" s="403" t="str">
        <f>VLOOKUP(B224,R_DG!$A$7:$G$1305,3,0)</f>
        <v>Lắp xà đỡ ≤ 25kg</v>
      </c>
      <c r="F224" s="402" t="str">
        <f>VLOOKUP(B224,R_DG!$A$7:$G$1305,4,0)</f>
        <v>bộ</v>
      </c>
      <c r="G224" s="404">
        <f>G220</f>
        <v>0</v>
      </c>
      <c r="H224" s="405">
        <f>VLOOKUP(B224,R_DG!$A$7:$G$1305,5,0)</f>
        <v>0</v>
      </c>
      <c r="I224" s="405">
        <f>VLOOKUP(B224,R_DG!$A$7:$G$1305,6,0)</f>
        <v>208581.5</v>
      </c>
      <c r="J224" s="405">
        <f>VLOOKUP(B224,R_DG!$A$7:$G$1305,7,0)</f>
        <v>0</v>
      </c>
      <c r="K224" s="406">
        <f t="shared" si="4"/>
        <v>0</v>
      </c>
      <c r="L224" s="406">
        <f t="shared" si="5"/>
        <v>0</v>
      </c>
      <c r="M224" s="406">
        <f t="shared" si="6"/>
        <v>0</v>
      </c>
      <c r="N224" s="407"/>
      <c r="O224" s="371">
        <f t="shared" si="16"/>
        <v>0</v>
      </c>
    </row>
    <row r="225" spans="1:15" ht="24.95" customHeight="1">
      <c r="A225" s="397" t="s">
        <v>2509</v>
      </c>
      <c r="B225" s="401"/>
      <c r="C225" s="411">
        <f>IF(G225&gt;0,COUNTIF($C$17:C224,"&gt;0")+1,0)</f>
        <v>0</v>
      </c>
      <c r="D225" s="411" t="str">
        <f>IF(B225&lt;&gt;"",VLOOKUP(B225,R_DG!$A$7:$G$1305,2,0),"")</f>
        <v/>
      </c>
      <c r="E225" s="411" t="s">
        <v>2505</v>
      </c>
      <c r="F225" s="411" t="s">
        <v>163</v>
      </c>
      <c r="G225" s="411">
        <f>IF(A4&gt;100,1,0)</f>
        <v>0</v>
      </c>
      <c r="H225" s="411"/>
      <c r="I225" s="411"/>
      <c r="J225" s="411"/>
      <c r="K225" s="411">
        <f t="shared" si="4"/>
        <v>0</v>
      </c>
      <c r="L225" s="411">
        <f t="shared" si="5"/>
        <v>0</v>
      </c>
      <c r="M225" s="411">
        <f t="shared" si="6"/>
        <v>0</v>
      </c>
      <c r="N225" s="410"/>
      <c r="O225" s="371">
        <v>1</v>
      </c>
    </row>
    <row r="226" spans="1:15" ht="24.95" customHeight="1">
      <c r="B226" s="401"/>
      <c r="C226" s="408"/>
      <c r="D226" s="402" t="str">
        <f>IF(B226&lt;&gt;"",VLOOKUP(B226,R_DG!$A$7:$G$1305,2,0),"")</f>
        <v/>
      </c>
      <c r="E226" s="379" t="s">
        <v>2432</v>
      </c>
      <c r="F226" s="409"/>
      <c r="G226" s="409"/>
      <c r="H226" s="406"/>
      <c r="I226" s="406"/>
      <c r="J226" s="405"/>
      <c r="K226" s="406">
        <f t="shared" si="4"/>
        <v>0</v>
      </c>
      <c r="L226" s="406">
        <f t="shared" si="5"/>
        <v>0</v>
      </c>
      <c r="M226" s="406">
        <f t="shared" si="6"/>
        <v>0</v>
      </c>
      <c r="N226" s="407"/>
      <c r="O226" s="371">
        <f t="shared" si="16"/>
        <v>0</v>
      </c>
    </row>
    <row r="227" spans="1:15" ht="24.95" customHeight="1">
      <c r="B227" s="401" t="s">
        <v>3314</v>
      </c>
      <c r="C227" s="409"/>
      <c r="D227" s="402">
        <f>IF(B227&lt;&gt;"",VLOOKUP(B227,R_DG!$A$7:$G$1305,2,0),"")</f>
        <v>0</v>
      </c>
      <c r="E227" s="403" t="str">
        <f>VLOOKUP(B227,R_DG!$A$7:$G$1305,3,0)</f>
        <v>Đà sắt L75x75x8x2600 0 ốp (23,45kg/cái)</v>
      </c>
      <c r="F227" s="402" t="str">
        <f>VLOOKUP(B227,R_DG!$A$7:$G$1305,4,0)</f>
        <v>cái</v>
      </c>
      <c r="G227" s="404">
        <f>G$225*2</f>
        <v>0</v>
      </c>
      <c r="H227" s="405" t="e">
        <f>VLOOKUP(B227,R_DG!$A$7:$G$1305,5,0)</f>
        <v>#REF!</v>
      </c>
      <c r="I227" s="405">
        <f>VLOOKUP(B227,R_DG!$A$7:$G$1305,6,0)</f>
        <v>0</v>
      </c>
      <c r="J227" s="405">
        <f>VLOOKUP(B227,R_DG!$A$7:$G$1305,7,0)</f>
        <v>0</v>
      </c>
      <c r="K227" s="406" t="e">
        <f t="shared" si="4"/>
        <v>#REF!</v>
      </c>
      <c r="L227" s="406">
        <f t="shared" si="5"/>
        <v>0</v>
      </c>
      <c r="M227" s="406">
        <f t="shared" si="6"/>
        <v>0</v>
      </c>
      <c r="N227" s="407"/>
      <c r="O227" s="371">
        <f t="shared" si="16"/>
        <v>0</v>
      </c>
    </row>
    <row r="228" spans="1:15" ht="24.95" customHeight="1">
      <c r="B228" s="401" t="s">
        <v>106</v>
      </c>
      <c r="C228" s="409"/>
      <c r="D228" s="402">
        <f>IF(B228&lt;&gt;"",VLOOKUP(B228,R_DG!$A$7:$G$1305,2,0),"")</f>
        <v>0</v>
      </c>
      <c r="E228" s="403" t="str">
        <f>VLOOKUP(B228,R_DG!$A$7:$G$1305,3,0)</f>
        <v>Boulon 16x300VRS+ 4 long đền vuông D18-50x50x3/Zn</v>
      </c>
      <c r="F228" s="402" t="str">
        <f>VLOOKUP(B228,R_DG!$A$7:$G$1305,4,0)</f>
        <v>bộ</v>
      </c>
      <c r="G228" s="404"/>
      <c r="H228" s="405" t="e">
        <f>VLOOKUP(B228,R_DG!$A$7:$G$1305,5,0)</f>
        <v>#REF!</v>
      </c>
      <c r="I228" s="405">
        <f>VLOOKUP(B228,R_DG!$A$7:$G$1305,6,0)</f>
        <v>0</v>
      </c>
      <c r="J228" s="405">
        <f>VLOOKUP(B228,R_DG!$A$7:$G$1305,7,0)</f>
        <v>0</v>
      </c>
      <c r="K228" s="406" t="e">
        <f t="shared" si="4"/>
        <v>#REF!</v>
      </c>
      <c r="L228" s="406">
        <f t="shared" si="5"/>
        <v>0</v>
      </c>
      <c r="M228" s="406">
        <f t="shared" si="6"/>
        <v>0</v>
      </c>
      <c r="N228" s="407"/>
      <c r="O228" s="371">
        <f t="shared" si="16"/>
        <v>0</v>
      </c>
    </row>
    <row r="229" spans="1:15" ht="24.95" customHeight="1">
      <c r="B229" s="401" t="s">
        <v>88</v>
      </c>
      <c r="C229" s="409"/>
      <c r="D229" s="402">
        <f>IF(B229&lt;&gt;"",VLOOKUP(B229,R_DG!$A$7:$G$1305,2,0),"")</f>
        <v>0</v>
      </c>
      <c r="E229" s="403" t="str">
        <f>VLOOKUP(B229,R_DG!$A$7:$G$1305,3,0)</f>
        <v>Boulon 16x350+ 2 long đền vuông D18-50x50x3/Zn</v>
      </c>
      <c r="F229" s="402" t="str">
        <f>VLOOKUP(B229,R_DG!$A$7:$G$1305,4,0)</f>
        <v>bộ</v>
      </c>
      <c r="G229" s="404">
        <f>G225*2</f>
        <v>0</v>
      </c>
      <c r="H229" s="405" t="e">
        <f>VLOOKUP(B229,R_DG!$A$7:$G$1305,5,0)</f>
        <v>#REF!</v>
      </c>
      <c r="I229" s="405">
        <f>VLOOKUP(B229,R_DG!$A$7:$G$1305,6,0)</f>
        <v>0</v>
      </c>
      <c r="J229" s="405">
        <f>VLOOKUP(B229,R_DG!$A$7:$G$1305,7,0)</f>
        <v>0</v>
      </c>
      <c r="K229" s="406" t="e">
        <f t="shared" si="4"/>
        <v>#REF!</v>
      </c>
      <c r="L229" s="406">
        <f t="shared" si="5"/>
        <v>0</v>
      </c>
      <c r="M229" s="406">
        <f t="shared" si="6"/>
        <v>0</v>
      </c>
      <c r="N229" s="407"/>
      <c r="O229" s="371">
        <f t="shared" si="16"/>
        <v>0</v>
      </c>
    </row>
    <row r="230" spans="1:15" ht="24.95" customHeight="1">
      <c r="B230" s="401" t="s">
        <v>76</v>
      </c>
      <c r="C230" s="409"/>
      <c r="D230" s="402">
        <f>IF(B230&lt;&gt;"",VLOOKUP(B230,R_DG!$A$7:$G$1305,2,0),"")</f>
        <v>0</v>
      </c>
      <c r="E230" s="403" t="str">
        <f>VLOOKUP(B230,R_DG!$A$7:$G$1305,3,0)</f>
        <v>Boulon 16x50+ 2 long đền vuông D18-50x50x3/Zn</v>
      </c>
      <c r="F230" s="402" t="str">
        <f>VLOOKUP(B230,R_DG!$A$7:$G$1305,4,0)</f>
        <v>bộ</v>
      </c>
      <c r="G230" s="404">
        <f>G225*4</f>
        <v>0</v>
      </c>
      <c r="H230" s="405" t="e">
        <f>VLOOKUP(B230,R_DG!$A$7:$G$1305,5,0)</f>
        <v>#REF!</v>
      </c>
      <c r="I230" s="405">
        <f>VLOOKUP(B230,R_DG!$A$7:$G$1305,6,0)</f>
        <v>0</v>
      </c>
      <c r="J230" s="405">
        <f>VLOOKUP(B230,R_DG!$A$7:$G$1305,7,0)</f>
        <v>0</v>
      </c>
      <c r="K230" s="406" t="e">
        <f t="shared" si="4"/>
        <v>#REF!</v>
      </c>
      <c r="L230" s="406">
        <f t="shared" si="5"/>
        <v>0</v>
      </c>
      <c r="M230" s="406">
        <f t="shared" si="6"/>
        <v>0</v>
      </c>
      <c r="N230" s="407"/>
      <c r="O230" s="371">
        <f t="shared" si="16"/>
        <v>0</v>
      </c>
    </row>
    <row r="231" spans="1:15" ht="24.95" customHeight="1">
      <c r="B231" s="401" t="s">
        <v>1179</v>
      </c>
      <c r="C231" s="409"/>
      <c r="D231" s="402" t="str">
        <f>IF(B231&lt;&gt;"",VLOOKUP(B231,R_DG!$A$7:$G$1305,2,0),"")</f>
        <v>D2.6021</v>
      </c>
      <c r="E231" s="403" t="str">
        <f>VLOOKUP(B231,R_DG!$A$7:$G$1305,3,0)</f>
        <v>Lắp xà đỡ ≤ 25kg</v>
      </c>
      <c r="F231" s="402" t="str">
        <f>VLOOKUP(B231,R_DG!$A$7:$G$1305,4,0)</f>
        <v>bộ</v>
      </c>
      <c r="G231" s="404">
        <f>G$227*1</f>
        <v>0</v>
      </c>
      <c r="H231" s="405">
        <f>VLOOKUP(B231,R_DG!$A$7:$G$1305,5,0)</f>
        <v>0</v>
      </c>
      <c r="I231" s="405">
        <f>VLOOKUP(B231,R_DG!$A$7:$G$1305,6,0)</f>
        <v>208581.5</v>
      </c>
      <c r="J231" s="405">
        <f>VLOOKUP(B231,R_DG!$A$7:$G$1305,7,0)</f>
        <v>0</v>
      </c>
      <c r="K231" s="406">
        <f t="shared" si="4"/>
        <v>0</v>
      </c>
      <c r="L231" s="406">
        <f t="shared" si="5"/>
        <v>0</v>
      </c>
      <c r="M231" s="406">
        <f t="shared" si="6"/>
        <v>0</v>
      </c>
      <c r="N231" s="407"/>
      <c r="O231" s="371">
        <f t="shared" si="16"/>
        <v>0</v>
      </c>
    </row>
    <row r="232" spans="1:15" ht="24.95" customHeight="1">
      <c r="A232" s="397" t="s">
        <v>2508</v>
      </c>
      <c r="B232" s="401"/>
      <c r="C232" s="411">
        <f>IF(G232&gt;0,COUNTIF($C$17:C231,"&gt;0")+1,0)</f>
        <v>0</v>
      </c>
      <c r="D232" s="411" t="str">
        <f>IF(B232&lt;&gt;"",VLOOKUP(B232,R_DG!$A$7:$G$1305,2,0),"")</f>
        <v/>
      </c>
      <c r="E232" s="411" t="s">
        <v>2503</v>
      </c>
      <c r="F232" s="411" t="s">
        <v>163</v>
      </c>
      <c r="G232" s="411">
        <f>IF(A4&gt;100,1,0)</f>
        <v>0</v>
      </c>
      <c r="H232" s="411"/>
      <c r="I232" s="411"/>
      <c r="J232" s="411"/>
      <c r="K232" s="411">
        <f t="shared" ref="K232:K307" si="17">H232*G232</f>
        <v>0</v>
      </c>
      <c r="L232" s="411">
        <f t="shared" ref="L232:L296" si="18">I232*G232</f>
        <v>0</v>
      </c>
      <c r="M232" s="411">
        <f t="shared" ref="M232:M307" si="19">J232*G232</f>
        <v>0</v>
      </c>
      <c r="N232" s="410"/>
      <c r="O232" s="371">
        <f t="shared" si="16"/>
        <v>0</v>
      </c>
    </row>
    <row r="233" spans="1:15" ht="24.95" customHeight="1">
      <c r="B233" s="401"/>
      <c r="C233" s="408"/>
      <c r="D233" s="402" t="str">
        <f>IF(B233&lt;&gt;"",VLOOKUP(B233,R_DG!$A$7:$G$1305,2,0),"")</f>
        <v/>
      </c>
      <c r="E233" s="379" t="s">
        <v>2432</v>
      </c>
      <c r="F233" s="409"/>
      <c r="G233" s="409"/>
      <c r="H233" s="406"/>
      <c r="I233" s="406"/>
      <c r="J233" s="405"/>
      <c r="K233" s="406">
        <f t="shared" si="17"/>
        <v>0</v>
      </c>
      <c r="L233" s="406">
        <f t="shared" si="18"/>
        <v>0</v>
      </c>
      <c r="M233" s="406">
        <f t="shared" si="19"/>
        <v>0</v>
      </c>
      <c r="N233" s="407"/>
      <c r="O233" s="371">
        <f t="shared" si="16"/>
        <v>0</v>
      </c>
    </row>
    <row r="234" spans="1:15" ht="24.95" customHeight="1">
      <c r="B234" s="401" t="s">
        <v>3308</v>
      </c>
      <c r="C234" s="409"/>
      <c r="D234" s="402">
        <f>IF(B234&lt;&gt;"",VLOOKUP(B234,R_DG!$A$7:$G$1305,2,0),"")</f>
        <v>0</v>
      </c>
      <c r="E234" s="403" t="str">
        <f>VLOOKUP(B234,R_DG!$A$7:$G$1305,3,0)</f>
        <v>Đà sắt L75x75x8x2200 4 ốp (22,37kg/cái)</v>
      </c>
      <c r="F234" s="402" t="str">
        <f>VLOOKUP(B234,R_DG!$A$7:$G$1305,4,0)</f>
        <v>cái</v>
      </c>
      <c r="G234" s="404">
        <f>G232*1</f>
        <v>0</v>
      </c>
      <c r="H234" s="405" t="e">
        <f>VLOOKUP(B234,R_DG!$A$7:$G$1305,5,0)</f>
        <v>#REF!</v>
      </c>
      <c r="I234" s="405">
        <f>VLOOKUP(B234,R_DG!$A$7:$G$1305,6,0)</f>
        <v>0</v>
      </c>
      <c r="J234" s="405">
        <f>VLOOKUP(B234,R_DG!$A$7:$G$1305,7,0)</f>
        <v>0</v>
      </c>
      <c r="K234" s="406" t="e">
        <f t="shared" si="17"/>
        <v>#REF!</v>
      </c>
      <c r="L234" s="406">
        <f t="shared" si="18"/>
        <v>0</v>
      </c>
      <c r="M234" s="406">
        <f t="shared" si="19"/>
        <v>0</v>
      </c>
      <c r="N234" s="407"/>
      <c r="O234" s="371">
        <f t="shared" si="16"/>
        <v>0</v>
      </c>
    </row>
    <row r="235" spans="1:15" ht="24.95" customHeight="1">
      <c r="B235" s="401" t="s">
        <v>106</v>
      </c>
      <c r="C235" s="409"/>
      <c r="D235" s="402">
        <f>IF(B235&lt;&gt;"",VLOOKUP(B235,R_DG!$A$7:$G$1305,2,0),"")</f>
        <v>0</v>
      </c>
      <c r="E235" s="403" t="str">
        <f>VLOOKUP(B235,R_DG!$A$7:$G$1305,3,0)</f>
        <v>Boulon 16x300VRS+ 4 long đền vuông D18-50x50x3/Zn</v>
      </c>
      <c r="F235" s="402" t="str">
        <f>VLOOKUP(B235,R_DG!$A$7:$G$1305,4,0)</f>
        <v>bộ</v>
      </c>
      <c r="G235" s="404">
        <f>G$232*1</f>
        <v>0</v>
      </c>
      <c r="H235" s="405" t="e">
        <f>VLOOKUP(B235,R_DG!$A$7:$G$1305,5,0)</f>
        <v>#REF!</v>
      </c>
      <c r="I235" s="405">
        <f>VLOOKUP(B235,R_DG!$A$7:$G$1305,6,0)</f>
        <v>0</v>
      </c>
      <c r="J235" s="405">
        <f>VLOOKUP(B235,R_DG!$A$7:$G$1305,7,0)</f>
        <v>0</v>
      </c>
      <c r="K235" s="406" t="e">
        <f t="shared" si="17"/>
        <v>#REF!</v>
      </c>
      <c r="L235" s="406">
        <f t="shared" si="18"/>
        <v>0</v>
      </c>
      <c r="M235" s="406">
        <f t="shared" si="19"/>
        <v>0</v>
      </c>
      <c r="N235" s="407"/>
      <c r="O235" s="371">
        <f t="shared" si="16"/>
        <v>0</v>
      </c>
    </row>
    <row r="236" spans="1:15" ht="24.95" customHeight="1">
      <c r="B236" s="401" t="s">
        <v>86</v>
      </c>
      <c r="C236" s="409"/>
      <c r="D236" s="402">
        <f>IF(B236&lt;&gt;"",VLOOKUP(B236,R_DG!$A$7:$G$1305,2,0),"")</f>
        <v>0</v>
      </c>
      <c r="E236" s="403" t="str">
        <f>VLOOKUP(B236,R_DG!$A$7:$G$1305,3,0)</f>
        <v>Boulon 16x300+ 2 long đền vuông D18-50x50x3/Zn</v>
      </c>
      <c r="F236" s="402" t="str">
        <f>VLOOKUP(B236,R_DG!$A$7:$G$1305,4,0)</f>
        <v>bộ</v>
      </c>
      <c r="G236" s="404">
        <f>G$232*1</f>
        <v>0</v>
      </c>
      <c r="H236" s="405" t="e">
        <f>VLOOKUP(B236,R_DG!$A$7:$G$1305,5,0)</f>
        <v>#REF!</v>
      </c>
      <c r="I236" s="405">
        <f>VLOOKUP(B236,R_DG!$A$7:$G$1305,6,0)</f>
        <v>0</v>
      </c>
      <c r="J236" s="405">
        <f>VLOOKUP(B236,R_DG!$A$7:$G$1305,7,0)</f>
        <v>0</v>
      </c>
      <c r="K236" s="406" t="e">
        <f t="shared" si="17"/>
        <v>#REF!</v>
      </c>
      <c r="L236" s="406">
        <f t="shared" si="18"/>
        <v>0</v>
      </c>
      <c r="M236" s="406">
        <f t="shared" si="19"/>
        <v>0</v>
      </c>
      <c r="N236" s="407"/>
      <c r="O236" s="371">
        <f t="shared" si="16"/>
        <v>0</v>
      </c>
    </row>
    <row r="237" spans="1:15" ht="24.95" customHeight="1">
      <c r="B237" s="401" t="s">
        <v>84</v>
      </c>
      <c r="C237" s="409"/>
      <c r="D237" s="402">
        <f>IF(B237&lt;&gt;"",VLOOKUP(B237,R_DG!$A$7:$G$1305,2,0),"")</f>
        <v>0</v>
      </c>
      <c r="E237" s="403" t="str">
        <f>VLOOKUP(B237,R_DG!$A$7:$G$1305,3,0)</f>
        <v>Boulon 16x250+ 2 long đền vuông D18-50x50x3/Zn</v>
      </c>
      <c r="F237" s="402" t="str">
        <f>VLOOKUP(B237,R_DG!$A$7:$G$1305,4,0)</f>
        <v>bộ</v>
      </c>
      <c r="G237" s="404">
        <f>G$232*1</f>
        <v>0</v>
      </c>
      <c r="H237" s="405" t="e">
        <f>VLOOKUP(B237,R_DG!$A$7:$G$1305,5,0)</f>
        <v>#REF!</v>
      </c>
      <c r="I237" s="405">
        <f>VLOOKUP(B237,R_DG!$A$7:$G$1305,6,0)</f>
        <v>0</v>
      </c>
      <c r="J237" s="405">
        <f>VLOOKUP(B237,R_DG!$A$7:$G$1305,7,0)</f>
        <v>0</v>
      </c>
      <c r="K237" s="406" t="e">
        <f t="shared" si="17"/>
        <v>#REF!</v>
      </c>
      <c r="L237" s="406">
        <f t="shared" si="18"/>
        <v>0</v>
      </c>
      <c r="M237" s="406">
        <f t="shared" si="19"/>
        <v>0</v>
      </c>
      <c r="N237" s="407"/>
      <c r="O237" s="371">
        <f t="shared" si="16"/>
        <v>0</v>
      </c>
    </row>
    <row r="238" spans="1:15" ht="24.95" customHeight="1">
      <c r="B238" s="401" t="s">
        <v>1179</v>
      </c>
      <c r="C238" s="409"/>
      <c r="D238" s="402" t="str">
        <f>IF(B238&lt;&gt;"",VLOOKUP(B238,R_DG!$A$7:$G$1305,2,0),"")</f>
        <v>D2.6021</v>
      </c>
      <c r="E238" s="403" t="str">
        <f>VLOOKUP(B238,R_DG!$A$7:$G$1305,3,0)</f>
        <v>Lắp xà đỡ ≤ 25kg</v>
      </c>
      <c r="F238" s="402" t="str">
        <f>VLOOKUP(B238,R_DG!$A$7:$G$1305,4,0)</f>
        <v>bộ</v>
      </c>
      <c r="G238" s="404">
        <f>G$232*1</f>
        <v>0</v>
      </c>
      <c r="H238" s="405">
        <f>VLOOKUP(B238,R_DG!$A$7:$G$1305,5,0)</f>
        <v>0</v>
      </c>
      <c r="I238" s="405">
        <f>VLOOKUP(B238,R_DG!$A$7:$G$1305,6,0)</f>
        <v>208581.5</v>
      </c>
      <c r="J238" s="405">
        <f>VLOOKUP(B238,R_DG!$A$7:$G$1305,7,0)</f>
        <v>0</v>
      </c>
      <c r="K238" s="406">
        <f t="shared" si="17"/>
        <v>0</v>
      </c>
      <c r="L238" s="406">
        <f t="shared" si="18"/>
        <v>0</v>
      </c>
      <c r="M238" s="406">
        <f t="shared" si="19"/>
        <v>0</v>
      </c>
      <c r="N238" s="407"/>
      <c r="O238" s="371">
        <f t="shared" si="16"/>
        <v>0</v>
      </c>
    </row>
    <row r="239" spans="1:15" ht="24.95" customHeight="1">
      <c r="A239" s="397" t="s">
        <v>2507</v>
      </c>
      <c r="B239" s="401"/>
      <c r="C239" s="411">
        <f>IF(G239&gt;0,COUNTIF($C$17:C238,"&gt;0")+1,0)</f>
        <v>0</v>
      </c>
      <c r="D239" s="411" t="str">
        <f>IF(B239&lt;&gt;"",VLOOKUP(B239,R_DG!$A$7:$G$1305,2,0),"")</f>
        <v/>
      </c>
      <c r="E239" s="411" t="s">
        <v>2506</v>
      </c>
      <c r="F239" s="411" t="s">
        <v>163</v>
      </c>
      <c r="G239" s="411">
        <f>IF(A4&gt;100,1,0)</f>
        <v>0</v>
      </c>
      <c r="H239" s="411"/>
      <c r="I239" s="411"/>
      <c r="J239" s="411"/>
      <c r="K239" s="411">
        <f t="shared" si="17"/>
        <v>0</v>
      </c>
      <c r="L239" s="411">
        <f t="shared" si="18"/>
        <v>0</v>
      </c>
      <c r="M239" s="411">
        <f t="shared" si="19"/>
        <v>0</v>
      </c>
      <c r="N239" s="410"/>
      <c r="O239" s="371">
        <f t="shared" si="16"/>
        <v>0</v>
      </c>
    </row>
    <row r="240" spans="1:15" ht="24.95" customHeight="1">
      <c r="B240" s="401"/>
      <c r="C240" s="408"/>
      <c r="D240" s="402" t="str">
        <f>IF(B240&lt;&gt;"",VLOOKUP(B240,R_DG!$A$7:$G$1305,2,0),"")</f>
        <v/>
      </c>
      <c r="E240" s="379" t="s">
        <v>2432</v>
      </c>
      <c r="F240" s="409"/>
      <c r="G240" s="409"/>
      <c r="H240" s="406"/>
      <c r="I240" s="406"/>
      <c r="J240" s="405"/>
      <c r="K240" s="406">
        <f t="shared" si="17"/>
        <v>0</v>
      </c>
      <c r="L240" s="406">
        <f t="shared" si="18"/>
        <v>0</v>
      </c>
      <c r="M240" s="406">
        <f t="shared" si="19"/>
        <v>0</v>
      </c>
      <c r="N240" s="407"/>
      <c r="O240" s="371">
        <f t="shared" si="16"/>
        <v>0</v>
      </c>
    </row>
    <row r="241" spans="1:15" ht="24.95" customHeight="1">
      <c r="B241" s="401" t="s">
        <v>3308</v>
      </c>
      <c r="C241" s="409"/>
      <c r="D241" s="402">
        <f>IF(B241&lt;&gt;"",VLOOKUP(B241,R_DG!$A$7:$G$1305,2,0),"")</f>
        <v>0</v>
      </c>
      <c r="E241" s="403" t="str">
        <f>VLOOKUP(B241,R_DG!$A$7:$G$1305,3,0)</f>
        <v>Đà sắt L75x75x8x2200 4 ốp (22,37kg/cái)</v>
      </c>
      <c r="F241" s="402" t="str">
        <f>VLOOKUP(B241,R_DG!$A$7:$G$1305,4,0)</f>
        <v>cái</v>
      </c>
      <c r="G241" s="404">
        <f>G$239*1</f>
        <v>0</v>
      </c>
      <c r="H241" s="405" t="e">
        <f>VLOOKUP(B241,R_DG!$A$7:$G$1305,5,0)</f>
        <v>#REF!</v>
      </c>
      <c r="I241" s="405">
        <f>VLOOKUP(B241,R_DG!$A$7:$G$1305,6,0)</f>
        <v>0</v>
      </c>
      <c r="J241" s="405">
        <f>VLOOKUP(B241,R_DG!$A$7:$G$1305,7,0)</f>
        <v>0</v>
      </c>
      <c r="K241" s="406" t="e">
        <f t="shared" si="17"/>
        <v>#REF!</v>
      </c>
      <c r="L241" s="406">
        <f t="shared" si="18"/>
        <v>0</v>
      </c>
      <c r="M241" s="406">
        <f t="shared" si="19"/>
        <v>0</v>
      </c>
      <c r="N241" s="407"/>
      <c r="O241" s="371">
        <f t="shared" si="16"/>
        <v>0</v>
      </c>
    </row>
    <row r="242" spans="1:15" ht="24.95" customHeight="1">
      <c r="B242" s="401" t="s">
        <v>106</v>
      </c>
      <c r="C242" s="409"/>
      <c r="D242" s="402">
        <f>IF(B242&lt;&gt;"",VLOOKUP(B242,R_DG!$A$7:$G$1305,2,0),"")</f>
        <v>0</v>
      </c>
      <c r="E242" s="403" t="str">
        <f>VLOOKUP(B242,R_DG!$A$7:$G$1305,3,0)</f>
        <v>Boulon 16x300VRS+ 4 long đền vuông D18-50x50x3/Zn</v>
      </c>
      <c r="F242" s="402" t="str">
        <f>VLOOKUP(B242,R_DG!$A$7:$G$1305,4,0)</f>
        <v>bộ</v>
      </c>
      <c r="G242" s="404">
        <f>G$239*1</f>
        <v>0</v>
      </c>
      <c r="H242" s="405" t="e">
        <f>VLOOKUP(B242,R_DG!$A$7:$G$1305,5,0)</f>
        <v>#REF!</v>
      </c>
      <c r="I242" s="405">
        <f>VLOOKUP(B242,R_DG!$A$7:$G$1305,6,0)</f>
        <v>0</v>
      </c>
      <c r="J242" s="405">
        <f>VLOOKUP(B242,R_DG!$A$7:$G$1305,7,0)</f>
        <v>0</v>
      </c>
      <c r="K242" s="406" t="e">
        <f t="shared" si="17"/>
        <v>#REF!</v>
      </c>
      <c r="L242" s="406">
        <f t="shared" si="18"/>
        <v>0</v>
      </c>
      <c r="M242" s="406">
        <f t="shared" si="19"/>
        <v>0</v>
      </c>
      <c r="N242" s="407"/>
      <c r="O242" s="371">
        <f t="shared" si="16"/>
        <v>0</v>
      </c>
    </row>
    <row r="243" spans="1:15" ht="24.95" customHeight="1">
      <c r="B243" s="401" t="s">
        <v>86</v>
      </c>
      <c r="C243" s="409"/>
      <c r="D243" s="402">
        <f>IF(B243&lt;&gt;"",VLOOKUP(B243,R_DG!$A$7:$G$1305,2,0),"")</f>
        <v>0</v>
      </c>
      <c r="E243" s="403" t="str">
        <f>VLOOKUP(B243,R_DG!$A$7:$G$1305,3,0)</f>
        <v>Boulon 16x300+ 2 long đền vuông D18-50x50x3/Zn</v>
      </c>
      <c r="F243" s="402" t="str">
        <f>VLOOKUP(B243,R_DG!$A$7:$G$1305,4,0)</f>
        <v>bộ</v>
      </c>
      <c r="G243" s="404">
        <f>G$239*1</f>
        <v>0</v>
      </c>
      <c r="H243" s="405" t="e">
        <f>VLOOKUP(B243,R_DG!$A$7:$G$1305,5,0)</f>
        <v>#REF!</v>
      </c>
      <c r="I243" s="405">
        <f>VLOOKUP(B243,R_DG!$A$7:$G$1305,6,0)</f>
        <v>0</v>
      </c>
      <c r="J243" s="405">
        <f>VLOOKUP(B243,R_DG!$A$7:$G$1305,7,0)</f>
        <v>0</v>
      </c>
      <c r="K243" s="406" t="e">
        <f t="shared" si="17"/>
        <v>#REF!</v>
      </c>
      <c r="L243" s="406">
        <f t="shared" si="18"/>
        <v>0</v>
      </c>
      <c r="M243" s="406">
        <f t="shared" si="19"/>
        <v>0</v>
      </c>
      <c r="N243" s="407"/>
      <c r="O243" s="371">
        <f t="shared" si="16"/>
        <v>0</v>
      </c>
    </row>
    <row r="244" spans="1:15" ht="24.95" customHeight="1">
      <c r="B244" s="401" t="s">
        <v>84</v>
      </c>
      <c r="C244" s="409"/>
      <c r="D244" s="402">
        <f>IF(B244&lt;&gt;"",VLOOKUP(B244,R_DG!$A$7:$G$1305,2,0),"")</f>
        <v>0</v>
      </c>
      <c r="E244" s="403" t="str">
        <f>VLOOKUP(B244,R_DG!$A$7:$G$1305,3,0)</f>
        <v>Boulon 16x250+ 2 long đền vuông D18-50x50x3/Zn</v>
      </c>
      <c r="F244" s="402" t="str">
        <f>VLOOKUP(B244,R_DG!$A$7:$G$1305,4,0)</f>
        <v>bộ</v>
      </c>
      <c r="G244" s="404">
        <f>G$239*1</f>
        <v>0</v>
      </c>
      <c r="H244" s="405" t="e">
        <f>VLOOKUP(B244,R_DG!$A$7:$G$1305,5,0)</f>
        <v>#REF!</v>
      </c>
      <c r="I244" s="405">
        <f>VLOOKUP(B244,R_DG!$A$7:$G$1305,6,0)</f>
        <v>0</v>
      </c>
      <c r="J244" s="405">
        <f>VLOOKUP(B244,R_DG!$A$7:$G$1305,7,0)</f>
        <v>0</v>
      </c>
      <c r="K244" s="406" t="e">
        <f t="shared" si="17"/>
        <v>#REF!</v>
      </c>
      <c r="L244" s="406">
        <f t="shared" si="18"/>
        <v>0</v>
      </c>
      <c r="M244" s="406">
        <f t="shared" si="19"/>
        <v>0</v>
      </c>
      <c r="N244" s="407"/>
      <c r="O244" s="371">
        <f t="shared" si="16"/>
        <v>0</v>
      </c>
    </row>
    <row r="245" spans="1:15" ht="24.95" customHeight="1">
      <c r="B245" s="401" t="s">
        <v>1179</v>
      </c>
      <c r="C245" s="409"/>
      <c r="D245" s="402" t="str">
        <f>IF(B245&lt;&gt;"",VLOOKUP(B245,R_DG!$A$7:$G$1305,2,0),"")</f>
        <v>D2.6021</v>
      </c>
      <c r="E245" s="403" t="str">
        <f>VLOOKUP(B245,R_DG!$A$7:$G$1305,3,0)</f>
        <v>Lắp xà đỡ ≤ 25kg</v>
      </c>
      <c r="F245" s="402" t="str">
        <f>VLOOKUP(B245,R_DG!$A$7:$G$1305,4,0)</f>
        <v>bộ</v>
      </c>
      <c r="G245" s="404">
        <f>G$239*1</f>
        <v>0</v>
      </c>
      <c r="H245" s="405">
        <f>VLOOKUP(B245,R_DG!$A$7:$G$1305,5,0)</f>
        <v>0</v>
      </c>
      <c r="I245" s="405">
        <f>VLOOKUP(B245,R_DG!$A$7:$G$1305,6,0)</f>
        <v>208581.5</v>
      </c>
      <c r="J245" s="405">
        <f>VLOOKUP(B245,R_DG!$A$7:$G$1305,7,0)</f>
        <v>0</v>
      </c>
      <c r="K245" s="406">
        <f t="shared" si="17"/>
        <v>0</v>
      </c>
      <c r="L245" s="406">
        <f t="shared" si="18"/>
        <v>0</v>
      </c>
      <c r="M245" s="406">
        <f t="shared" si="19"/>
        <v>0</v>
      </c>
      <c r="N245" s="407"/>
      <c r="O245" s="371">
        <f t="shared" si="16"/>
        <v>0</v>
      </c>
    </row>
    <row r="246" spans="1:15" ht="24.95" customHeight="1">
      <c r="A246" s="397" t="s">
        <v>2481</v>
      </c>
      <c r="B246" s="401"/>
      <c r="C246" s="411">
        <f>IF(G246&gt;0,COUNTIF($C$17:C245,"&gt;0")+1,0)</f>
        <v>0</v>
      </c>
      <c r="D246" s="411" t="str">
        <f>IF(B246&lt;&gt;"",VLOOKUP(B246,R_DG!$A$7:$G$1305,2,0),"")</f>
        <v/>
      </c>
      <c r="E246" s="411" t="s">
        <v>2487</v>
      </c>
      <c r="F246" s="411" t="s">
        <v>163</v>
      </c>
      <c r="G246" s="411">
        <f>IF(A3&gt;0,1,0)</f>
        <v>0</v>
      </c>
      <c r="H246" s="411"/>
      <c r="I246" s="411"/>
      <c r="J246" s="411"/>
      <c r="K246" s="411">
        <f t="shared" si="17"/>
        <v>0</v>
      </c>
      <c r="L246" s="411">
        <f t="shared" si="18"/>
        <v>0</v>
      </c>
      <c r="M246" s="411">
        <f t="shared" si="19"/>
        <v>0</v>
      </c>
      <c r="N246" s="410"/>
      <c r="O246" s="371">
        <f t="shared" si="16"/>
        <v>0</v>
      </c>
    </row>
    <row r="247" spans="1:15" ht="24.95" customHeight="1">
      <c r="B247" s="401"/>
      <c r="C247" s="409"/>
      <c r="D247" s="402" t="str">
        <f>IF(B247&lt;&gt;"",VLOOKUP(B247,R_DG!$A$7:$G$1305,2,0),"")</f>
        <v/>
      </c>
      <c r="E247" s="379" t="s">
        <v>2432</v>
      </c>
      <c r="F247" s="409"/>
      <c r="G247" s="409"/>
      <c r="H247" s="406"/>
      <c r="I247" s="406"/>
      <c r="J247" s="405"/>
      <c r="K247" s="406">
        <f t="shared" si="17"/>
        <v>0</v>
      </c>
      <c r="L247" s="406">
        <f t="shared" si="18"/>
        <v>0</v>
      </c>
      <c r="M247" s="406">
        <f t="shared" si="19"/>
        <v>0</v>
      </c>
      <c r="N247" s="407"/>
      <c r="O247" s="371">
        <f t="shared" si="16"/>
        <v>0</v>
      </c>
    </row>
    <row r="248" spans="1:15" ht="24.95" customHeight="1">
      <c r="B248" s="401" t="s">
        <v>185</v>
      </c>
      <c r="C248" s="409"/>
      <c r="D248" s="402">
        <f>IF(B248&lt;&gt;"",VLOOKUP(B248,R_DG!$A$7:$G$1305,2,0),"")</f>
        <v>0</v>
      </c>
      <c r="E248" s="403" t="str">
        <f>VLOOKUP(B248,R_DG!$A$7:$G$1305,3,0)</f>
        <v>Cáp đồng trần M25mm2</v>
      </c>
      <c r="F248" s="402" t="str">
        <f>VLOOKUP(B248,R_DG!$A$7:$G$1305,4,0)</f>
        <v>kg</v>
      </c>
      <c r="G248" s="278">
        <f>(8*3+10+2+0.5+10+0.5+2)*0.224*G246</f>
        <v>0</v>
      </c>
      <c r="H248" s="405">
        <f>VLOOKUP(B248,R_DG!$A$7:$G$1305,5,0)</f>
        <v>255500</v>
      </c>
      <c r="I248" s="405">
        <f>VLOOKUP(B248,R_DG!$A$7:$G$1305,6,0)</f>
        <v>0</v>
      </c>
      <c r="J248" s="405">
        <f>VLOOKUP(B248,R_DG!$A$7:$G$1305,7,0)</f>
        <v>0</v>
      </c>
      <c r="K248" s="406">
        <f t="shared" si="17"/>
        <v>0</v>
      </c>
      <c r="L248" s="406">
        <f t="shared" si="18"/>
        <v>0</v>
      </c>
      <c r="M248" s="406">
        <f t="shared" si="19"/>
        <v>0</v>
      </c>
      <c r="N248" s="407"/>
      <c r="O248" s="371">
        <f t="shared" si="16"/>
        <v>0</v>
      </c>
    </row>
    <row r="249" spans="1:15" ht="24.95" customHeight="1">
      <c r="B249" s="226" t="s">
        <v>405</v>
      </c>
      <c r="C249" s="409"/>
      <c r="D249" s="402">
        <f>IF(B249&lt;&gt;"",VLOOKUP(B249,R_DG!$A$7:$G$1305,2,0),"")</f>
        <v>0</v>
      </c>
      <c r="E249" s="403" t="str">
        <f>VLOOKUP(B249,R_DG!$A$7:$G$1305,3,0)</f>
        <v>Cọc tiếp đất φ 16- 2,4m + kẹp cọc</v>
      </c>
      <c r="F249" s="402" t="str">
        <f>VLOOKUP(B249,R_DG!$A$7:$G$1305,4,0)</f>
        <v>bộ</v>
      </c>
      <c r="G249" s="404">
        <f>G246*9</f>
        <v>0</v>
      </c>
      <c r="H249" s="405">
        <f>VLOOKUP(B249,R_DG!$A$7:$G$1305,5,0)</f>
        <v>135000</v>
      </c>
      <c r="I249" s="405">
        <f>VLOOKUP(B249,R_DG!$A$7:$G$1305,6,0)</f>
        <v>0</v>
      </c>
      <c r="J249" s="405">
        <f>VLOOKUP(B249,R_DG!$A$7:$G$1305,7,0)</f>
        <v>0</v>
      </c>
      <c r="K249" s="406">
        <f t="shared" si="17"/>
        <v>0</v>
      </c>
      <c r="L249" s="406">
        <f t="shared" si="18"/>
        <v>0</v>
      </c>
      <c r="M249" s="406">
        <f t="shared" si="19"/>
        <v>0</v>
      </c>
      <c r="N249" s="407"/>
      <c r="O249" s="371">
        <f t="shared" si="16"/>
        <v>0</v>
      </c>
    </row>
    <row r="250" spans="1:15" ht="24.95" customHeight="1">
      <c r="B250" s="226" t="s">
        <v>2197</v>
      </c>
      <c r="C250" s="409"/>
      <c r="D250" s="402">
        <f>IF(B250&lt;&gt;"",VLOOKUP(B250,R_DG!$A$7:$G$1305,2,0),"")</f>
        <v>0</v>
      </c>
      <c r="E250" s="403" t="str">
        <f>VLOOKUP(B250,R_DG!$A$7:$G$1305,3,0)</f>
        <v xml:space="preserve">Ống PVC D21x1,6mm </v>
      </c>
      <c r="F250" s="402" t="str">
        <f>VLOOKUP(B250,R_DG!$A$7:$G$1305,4,0)</f>
        <v>m</v>
      </c>
      <c r="G250" s="404"/>
      <c r="H250" s="405">
        <f>VLOOKUP(B250,R_DG!$A$7:$G$1305,5,0)</f>
        <v>3700</v>
      </c>
      <c r="I250" s="405">
        <f>VLOOKUP(B250,R_DG!$A$7:$G$1305,6,0)</f>
        <v>0</v>
      </c>
      <c r="J250" s="405">
        <f>VLOOKUP(B250,R_DG!$A$7:$G$1305,7,0)</f>
        <v>0</v>
      </c>
      <c r="K250" s="406">
        <f t="shared" si="17"/>
        <v>0</v>
      </c>
      <c r="L250" s="406">
        <f t="shared" si="18"/>
        <v>0</v>
      </c>
      <c r="M250" s="406">
        <f t="shared" si="19"/>
        <v>0</v>
      </c>
      <c r="N250" s="407"/>
      <c r="O250" s="371">
        <f t="shared" si="16"/>
        <v>0</v>
      </c>
    </row>
    <row r="251" spans="1:15" ht="24.95" customHeight="1">
      <c r="B251" s="232" t="s">
        <v>2208</v>
      </c>
      <c r="C251" s="409"/>
      <c r="D251" s="402" t="str">
        <f>IF(B251&lt;&gt;"",VLOOKUP(B251,R_DG!$A$7:$G$1305,2,0),"")</f>
        <v>D3.4011</v>
      </c>
      <c r="E251" s="403" t="str">
        <f>VLOOKUP(B251,R_DG!$A$7:$G$1305,3,0)</f>
        <v>Kẹp ép WR cỡ dây 50mm2</v>
      </c>
      <c r="F251" s="402" t="str">
        <f>VLOOKUP(B251,R_DG!$A$7:$G$1305,4,0)</f>
        <v>cái</v>
      </c>
      <c r="G251" s="404">
        <f>G$246*2</f>
        <v>0</v>
      </c>
      <c r="H251" s="405">
        <f>VLOOKUP(B251,R_DG!$A$7:$G$1305,5,0)</f>
        <v>13000</v>
      </c>
      <c r="I251" s="405">
        <f>VLOOKUP(B251,R_DG!$A$7:$G$1305,6,0)</f>
        <v>259648.56000000003</v>
      </c>
      <c r="J251" s="405">
        <f>VLOOKUP(B251,R_DG!$A$7:$G$1305,7,0)</f>
        <v>4712.5600000000004</v>
      </c>
      <c r="K251" s="406">
        <f t="shared" si="17"/>
        <v>0</v>
      </c>
      <c r="L251" s="406">
        <f t="shared" si="18"/>
        <v>0</v>
      </c>
      <c r="M251" s="406">
        <f t="shared" si="19"/>
        <v>0</v>
      </c>
      <c r="N251" s="407"/>
      <c r="O251" s="371">
        <f t="shared" si="16"/>
        <v>0</v>
      </c>
    </row>
    <row r="252" spans="1:15" ht="24.95" customHeight="1">
      <c r="B252" s="232" t="s">
        <v>2004</v>
      </c>
      <c r="C252" s="409"/>
      <c r="D252" s="402">
        <f>IF(B252&lt;&gt;"",VLOOKUP(B252,R_DG!$A$7:$G$1305,2,0),"")</f>
        <v>0</v>
      </c>
      <c r="E252" s="403" t="str">
        <f>VLOOKUP(B252,R_DG!$A$7:$G$1305,3,0)</f>
        <v>Ốc xiết cáp cỡ 25mm2</v>
      </c>
      <c r="F252" s="402" t="str">
        <f>VLOOKUP(B252,R_DG!$A$7:$G$1305,4,0)</f>
        <v>cái</v>
      </c>
      <c r="G252" s="404">
        <f>G246*2</f>
        <v>0</v>
      </c>
      <c r="H252" s="405">
        <f>VLOOKUP(B252,R_DG!$A$7:$G$1305,5,0)</f>
        <v>36000</v>
      </c>
      <c r="I252" s="405">
        <f>VLOOKUP(B252,R_DG!$A$7:$G$1305,6,0)</f>
        <v>0</v>
      </c>
      <c r="J252" s="405">
        <f>VLOOKUP(B252,R_DG!$A$7:$G$1305,7,0)</f>
        <v>0</v>
      </c>
      <c r="K252" s="406">
        <f t="shared" si="17"/>
        <v>0</v>
      </c>
      <c r="L252" s="406">
        <f t="shared" si="18"/>
        <v>0</v>
      </c>
      <c r="M252" s="406">
        <f t="shared" si="19"/>
        <v>0</v>
      </c>
      <c r="N252" s="407"/>
      <c r="O252" s="371">
        <f t="shared" si="16"/>
        <v>0</v>
      </c>
    </row>
    <row r="253" spans="1:15" ht="24.95" customHeight="1">
      <c r="B253" s="232" t="s">
        <v>2190</v>
      </c>
      <c r="C253" s="409"/>
      <c r="D253" s="402">
        <f>IF(B253&lt;&gt;"",VLOOKUP(B253,R_DG!$A$7:$G$1305,2,0),"")</f>
        <v>0</v>
      </c>
      <c r="E253" s="403" t="str">
        <f>VLOOKUP(B253,R_DG!$A$7:$G$1305,3,0)</f>
        <v>Boulon 12x40+ 2 long đền vuông D14-50x50x3/Zn</v>
      </c>
      <c r="F253" s="402" t="str">
        <f>VLOOKUP(B253,R_DG!$A$7:$G$1305,4,0)</f>
        <v>bộ</v>
      </c>
      <c r="G253" s="404"/>
      <c r="H253" s="405">
        <f>VLOOKUP(B253,R_DG!$A$7:$G$1305,5,0)</f>
        <v>3000</v>
      </c>
      <c r="I253" s="405">
        <f>VLOOKUP(B253,R_DG!$A$7:$G$1305,6,0)</f>
        <v>0</v>
      </c>
      <c r="J253" s="405">
        <f>VLOOKUP(B253,R_DG!$A$7:$G$1305,7,0)</f>
        <v>0</v>
      </c>
      <c r="K253" s="406">
        <f t="shared" si="17"/>
        <v>0</v>
      </c>
      <c r="L253" s="406">
        <f t="shared" si="18"/>
        <v>0</v>
      </c>
      <c r="M253" s="406">
        <f t="shared" si="19"/>
        <v>0</v>
      </c>
      <c r="N253" s="407"/>
      <c r="O253" s="371">
        <f t="shared" si="16"/>
        <v>0</v>
      </c>
    </row>
    <row r="254" spans="1:15" ht="24.95" customHeight="1">
      <c r="B254" s="232" t="s">
        <v>2209</v>
      </c>
      <c r="C254" s="409"/>
      <c r="D254" s="402" t="str">
        <f>IF(B254&lt;&gt;"",VLOOKUP(B254,R_DG!$A$7:$G$1305,2,0),"")</f>
        <v>D3.4011</v>
      </c>
      <c r="E254" s="403" t="str">
        <f>VLOOKUP(B254,R_DG!$A$7:$G$1305,3,0)</f>
        <v>Kẹp ép cỡ dây 25mm2</v>
      </c>
      <c r="F254" s="402" t="str">
        <f>VLOOKUP(B254,R_DG!$A$7:$G$1305,4,0)</f>
        <v>cái</v>
      </c>
      <c r="G254" s="404">
        <f t="shared" ref="G254" si="20">G$246*2</f>
        <v>0</v>
      </c>
      <c r="H254" s="405">
        <f>VLOOKUP(B254,R_DG!$A$7:$G$1305,5,0)</f>
        <v>14000</v>
      </c>
      <c r="I254" s="405">
        <f>VLOOKUP(B254,R_DG!$A$7:$G$1305,6,0)</f>
        <v>259648.56000000003</v>
      </c>
      <c r="J254" s="405">
        <f>VLOOKUP(B254,R_DG!$A$7:$G$1305,7,0)</f>
        <v>4712.5600000000004</v>
      </c>
      <c r="K254" s="406">
        <f t="shared" si="17"/>
        <v>0</v>
      </c>
      <c r="L254" s="406">
        <f t="shared" si="18"/>
        <v>0</v>
      </c>
      <c r="M254" s="406">
        <f t="shared" si="19"/>
        <v>0</v>
      </c>
      <c r="N254" s="407"/>
      <c r="O254" s="371">
        <f t="shared" si="16"/>
        <v>0</v>
      </c>
    </row>
    <row r="255" spans="1:15" ht="24.95" customHeight="1">
      <c r="B255" s="226" t="s">
        <v>2210</v>
      </c>
      <c r="C255" s="409"/>
      <c r="D255" s="402">
        <f>IF(B255&lt;&gt;"",VLOOKUP(B255,R_DG!$A$7:$G$1305,2,0),"")</f>
        <v>0</v>
      </c>
      <c r="E255" s="403" t="str">
        <f>VLOOKUP(B255,R_DG!$A$7:$G$1305,3,0)</f>
        <v>Cổ dê kẹp ống PVC φ 21</v>
      </c>
      <c r="F255" s="402" t="str">
        <f>VLOOKUP(B255,R_DG!$A$7:$G$1305,4,0)</f>
        <v>bộ</v>
      </c>
      <c r="G255" s="404"/>
      <c r="H255" s="405">
        <f>VLOOKUP(B255,R_DG!$A$7:$G$1305,5,0)</f>
        <v>43000</v>
      </c>
      <c r="I255" s="405">
        <f>VLOOKUP(B255,R_DG!$A$7:$G$1305,6,0)</f>
        <v>0</v>
      </c>
      <c r="J255" s="405">
        <f>VLOOKUP(B255,R_DG!$A$7:$G$1305,7,0)</f>
        <v>0</v>
      </c>
      <c r="K255" s="406">
        <f t="shared" si="17"/>
        <v>0</v>
      </c>
      <c r="L255" s="406">
        <f t="shared" si="18"/>
        <v>0</v>
      </c>
      <c r="M255" s="406">
        <f t="shared" si="19"/>
        <v>0</v>
      </c>
      <c r="N255" s="407"/>
      <c r="O255" s="371">
        <f t="shared" si="16"/>
        <v>0</v>
      </c>
    </row>
    <row r="256" spans="1:15" ht="24.95" customHeight="1">
      <c r="B256" s="226" t="s">
        <v>707</v>
      </c>
      <c r="C256" s="409"/>
      <c r="D256" s="402" t="str">
        <f>IF(B256&lt;&gt;"",VLOOKUP(B256,R_DG!$A$7:$G$1305,2,0),"")</f>
        <v>D2.3241</v>
      </c>
      <c r="E256" s="403" t="str">
        <f>VLOOKUP(B256,R_DG!$A$7:$G$1305,3,0)</f>
        <v>Lắp cổ dề</v>
      </c>
      <c r="F256" s="402" t="str">
        <f>VLOOKUP(B256,R_DG!$A$7:$G$1305,4,0)</f>
        <v>bộ</v>
      </c>
      <c r="G256" s="404"/>
      <c r="H256" s="405">
        <f>VLOOKUP(B256,R_DG!$A$7:$G$1305,5,0)</f>
        <v>0</v>
      </c>
      <c r="I256" s="405">
        <f>VLOOKUP(B256,R_DG!$A$7:$G$1305,6,0)</f>
        <v>82929</v>
      </c>
      <c r="J256" s="405">
        <f>VLOOKUP(B256,R_DG!$A$7:$G$1305,7,0)</f>
        <v>0</v>
      </c>
      <c r="K256" s="406">
        <f t="shared" si="17"/>
        <v>0</v>
      </c>
      <c r="L256" s="406">
        <f t="shared" si="18"/>
        <v>0</v>
      </c>
      <c r="M256" s="406">
        <f t="shared" si="19"/>
        <v>0</v>
      </c>
      <c r="N256" s="407"/>
      <c r="O256" s="371">
        <f t="shared" si="16"/>
        <v>0</v>
      </c>
    </row>
    <row r="257" spans="1:15" ht="24.95" customHeight="1">
      <c r="B257" s="226" t="s">
        <v>2190</v>
      </c>
      <c r="C257" s="409"/>
      <c r="D257" s="402">
        <f>IF(B257&lt;&gt;"",VLOOKUP(B257,R_DG!$A$7:$G$1305,2,0),"")</f>
        <v>0</v>
      </c>
      <c r="E257" s="403" t="str">
        <f>VLOOKUP(B257,R_DG!$A$7:$G$1305,3,0)</f>
        <v>Boulon 12x40+ 2 long đền vuông D14-50x50x3/Zn</v>
      </c>
      <c r="F257" s="402" t="str">
        <f>VLOOKUP(B257,R_DG!$A$7:$G$1305,4,0)</f>
        <v>bộ</v>
      </c>
      <c r="G257" s="404">
        <f>G$246*0</f>
        <v>0</v>
      </c>
      <c r="H257" s="405">
        <f>VLOOKUP(B257,R_DG!$A$7:$G$1305,5,0)</f>
        <v>3000</v>
      </c>
      <c r="I257" s="405">
        <f>VLOOKUP(B257,R_DG!$A$7:$G$1305,6,0)</f>
        <v>0</v>
      </c>
      <c r="J257" s="405">
        <f>VLOOKUP(B257,R_DG!$A$7:$G$1305,7,0)</f>
        <v>0</v>
      </c>
      <c r="K257" s="406">
        <f t="shared" si="17"/>
        <v>0</v>
      </c>
      <c r="L257" s="406">
        <f t="shared" si="18"/>
        <v>0</v>
      </c>
      <c r="M257" s="406">
        <f t="shared" si="19"/>
        <v>0</v>
      </c>
      <c r="N257" s="407"/>
      <c r="O257" s="371">
        <f t="shared" si="16"/>
        <v>0</v>
      </c>
    </row>
    <row r="258" spans="1:15" ht="24.95" customHeight="1">
      <c r="B258" s="226" t="s">
        <v>2457</v>
      </c>
      <c r="C258" s="409"/>
      <c r="D258" s="402" t="str">
        <f>IF(B258&lt;&gt;"",VLOOKUP(B258,R_DG!$A$7:$G$1305,2,0),"")</f>
        <v>D2.8103</v>
      </c>
      <c r="E258" s="403" t="str">
        <f>VLOOKUP(B258,R_DG!$A$7:$G$1305,3,0)</f>
        <v>Đóng cọc tiếp địa trong TBA</v>
      </c>
      <c r="F258" s="402" t="str">
        <f>VLOOKUP(B258,R_DG!$A$7:$G$1305,4,0)</f>
        <v>cọc</v>
      </c>
      <c r="G258" s="404">
        <f>G249</f>
        <v>0</v>
      </c>
      <c r="H258" s="405">
        <f>VLOOKUP(B258,R_DG!$A$7:$G$1305,5,0)</f>
        <v>0</v>
      </c>
      <c r="I258" s="405">
        <f>VLOOKUP(B258,R_DG!$A$7:$G$1305,6,0)</f>
        <v>107480.82</v>
      </c>
      <c r="J258" s="405">
        <f>VLOOKUP(B258,R_DG!$A$7:$G$1305,7,0)</f>
        <v>0</v>
      </c>
      <c r="K258" s="406">
        <f t="shared" si="17"/>
        <v>0</v>
      </c>
      <c r="L258" s="406">
        <f t="shared" si="18"/>
        <v>0</v>
      </c>
      <c r="M258" s="406">
        <f t="shared" si="19"/>
        <v>0</v>
      </c>
      <c r="N258" s="407"/>
      <c r="O258" s="371">
        <f t="shared" si="16"/>
        <v>0</v>
      </c>
    </row>
    <row r="259" spans="1:15" ht="24.95" customHeight="1">
      <c r="B259" s="226" t="s">
        <v>2458</v>
      </c>
      <c r="C259" s="409"/>
      <c r="D259" s="402" t="str">
        <f>IF(B259&lt;&gt;"",VLOOKUP(B259,R_DG!$A$7:$G$1305,2,0),"")</f>
        <v>T4.7001</v>
      </c>
      <c r="E259" s="403" t="str">
        <f>VLOOKUP(B259,R_DG!$A$7:$G$1305,3,0)</f>
        <v>Kéo dây tiếp địa trong TBA</v>
      </c>
      <c r="F259" s="402" t="str">
        <f>VLOOKUP(B259,R_DG!$A$7:$G$1305,4,0)</f>
        <v>mét</v>
      </c>
      <c r="G259" s="404">
        <f>G248/0.224</f>
        <v>0</v>
      </c>
      <c r="H259" s="405">
        <f>VLOOKUP(B259,R_DG!$A$7:$G$1305,5,0)</f>
        <v>0</v>
      </c>
      <c r="I259" s="405">
        <f>VLOOKUP(B259,R_DG!$A$7:$G$1305,6,0)</f>
        <v>6871.2599999999993</v>
      </c>
      <c r="J259" s="405">
        <f>VLOOKUP(B259,R_DG!$A$7:$G$1305,7,0)</f>
        <v>0</v>
      </c>
      <c r="K259" s="406">
        <f t="shared" si="17"/>
        <v>0</v>
      </c>
      <c r="L259" s="406">
        <f t="shared" si="18"/>
        <v>0</v>
      </c>
      <c r="M259" s="406">
        <f t="shared" si="19"/>
        <v>0</v>
      </c>
      <c r="N259" s="407"/>
      <c r="O259" s="371">
        <f t="shared" si="16"/>
        <v>0</v>
      </c>
    </row>
    <row r="260" spans="1:15" ht="24.95" customHeight="1">
      <c r="B260" s="232" t="s">
        <v>2211</v>
      </c>
      <c r="C260" s="409"/>
      <c r="D260" s="402" t="str">
        <f>IF(B260&lt;&gt;"",VLOOKUP(B260,R_DG!$A$7:$G$1305,2,0),"")</f>
        <v>AB.1151</v>
      </c>
      <c r="E260" s="403" t="str">
        <f>VLOOKUP(B260,R_DG!$A$7:$G$1305,3,0)</f>
        <v>Đào rãnh tiếp địa đất cấp 3</v>
      </c>
      <c r="F260" s="402" t="str">
        <f>VLOOKUP(B260,R_DG!$A$7:$G$1305,4,0)</f>
        <v>m3</v>
      </c>
      <c r="G260" s="278">
        <f>G$246*8*3*0.3*0.3</f>
        <v>0</v>
      </c>
      <c r="H260" s="405">
        <f>VLOOKUP(B260,R_DG!$A$7:$G$1305,5,0)</f>
        <v>0</v>
      </c>
      <c r="I260" s="405">
        <f>VLOOKUP(B260,R_DG!$A$7:$G$1305,6,0)</f>
        <v>241579.80000000002</v>
      </c>
      <c r="J260" s="405">
        <f>VLOOKUP(B260,R_DG!$A$7:$G$1305,7,0)</f>
        <v>0</v>
      </c>
      <c r="K260" s="406">
        <f t="shared" si="17"/>
        <v>0</v>
      </c>
      <c r="L260" s="406">
        <f t="shared" si="18"/>
        <v>0</v>
      </c>
      <c r="M260" s="406">
        <f t="shared" si="19"/>
        <v>0</v>
      </c>
      <c r="N260" s="407"/>
      <c r="O260" s="371">
        <f t="shared" si="16"/>
        <v>0</v>
      </c>
    </row>
    <row r="261" spans="1:15" ht="24.95" customHeight="1">
      <c r="B261" s="226" t="s">
        <v>2212</v>
      </c>
      <c r="C261" s="409"/>
      <c r="D261" s="402" t="str">
        <f>IF(B261&lt;&gt;"",VLOOKUP(B261,R_DG!$A$7:$G$1305,2,0),"")</f>
        <v>AB.1312</v>
      </c>
      <c r="E261" s="403" t="str">
        <f>VLOOKUP(B261,R_DG!$A$7:$G$1305,3,0)</f>
        <v>Đắp đất rãnh tiếp địa cấp 3, k=0,9</v>
      </c>
      <c r="F261" s="402" t="str">
        <f>VLOOKUP(B261,R_DG!$A$7:$G$1305,4,0)</f>
        <v>m3</v>
      </c>
      <c r="G261" s="278">
        <f>G260</f>
        <v>0</v>
      </c>
      <c r="H261" s="405">
        <f>VLOOKUP(B261,R_DG!$A$7:$G$1305,5,0)</f>
        <v>0</v>
      </c>
      <c r="I261" s="405">
        <f>VLOOKUP(B261,R_DG!$A$7:$G$1305,6,0)</f>
        <v>107368.8</v>
      </c>
      <c r="J261" s="405">
        <f>VLOOKUP(B261,R_DG!$A$7:$G$1305,7,0)</f>
        <v>0</v>
      </c>
      <c r="K261" s="406">
        <f t="shared" si="17"/>
        <v>0</v>
      </c>
      <c r="L261" s="406">
        <f t="shared" si="18"/>
        <v>0</v>
      </c>
      <c r="M261" s="406">
        <f t="shared" si="19"/>
        <v>0</v>
      </c>
      <c r="N261" s="407"/>
      <c r="O261" s="371">
        <f t="shared" ref="O261:O324" si="21">IF(SUM(G261:G261)&gt;0,1,0)</f>
        <v>0</v>
      </c>
    </row>
    <row r="262" spans="1:15" ht="24.95" customHeight="1">
      <c r="A262" s="397" t="s">
        <v>2482</v>
      </c>
      <c r="B262" s="232"/>
      <c r="C262" s="411">
        <f>IF(G262&gt;0,COUNTIF($C$17:C261,"&gt;0")+1,0)</f>
        <v>0</v>
      </c>
      <c r="D262" s="411" t="str">
        <f>IF(B262&lt;&gt;"",VLOOKUP(B262,R_DG!$A$7:$G$1305,2,0),"")</f>
        <v/>
      </c>
      <c r="E262" s="411" t="s">
        <v>2519</v>
      </c>
      <c r="F262" s="411" t="s">
        <v>163</v>
      </c>
      <c r="G262" s="411">
        <f>IF(B4=1,1,0)</f>
        <v>0</v>
      </c>
      <c r="H262" s="411"/>
      <c r="I262" s="411"/>
      <c r="J262" s="411"/>
      <c r="K262" s="411">
        <f t="shared" si="17"/>
        <v>0</v>
      </c>
      <c r="L262" s="411">
        <f t="shared" si="18"/>
        <v>0</v>
      </c>
      <c r="M262" s="411">
        <f t="shared" si="19"/>
        <v>0</v>
      </c>
      <c r="N262" s="410"/>
      <c r="O262" s="371">
        <f t="shared" si="21"/>
        <v>0</v>
      </c>
    </row>
    <row r="263" spans="1:15" ht="24.95" customHeight="1">
      <c r="B263" s="232"/>
      <c r="C263" s="408"/>
      <c r="D263" s="402" t="str">
        <f>IF(B263&lt;&gt;"",VLOOKUP(B263,R_DG!$A$7:$G$1305,2,0),"")</f>
        <v/>
      </c>
      <c r="E263" s="379" t="s">
        <v>2432</v>
      </c>
      <c r="F263" s="409"/>
      <c r="G263" s="409"/>
      <c r="H263" s="406"/>
      <c r="I263" s="406"/>
      <c r="J263" s="405"/>
      <c r="K263" s="406">
        <f t="shared" si="17"/>
        <v>0</v>
      </c>
      <c r="L263" s="406">
        <f t="shared" si="18"/>
        <v>0</v>
      </c>
      <c r="M263" s="406">
        <f t="shared" si="19"/>
        <v>0</v>
      </c>
      <c r="N263" s="407"/>
      <c r="O263" s="371">
        <f t="shared" si="21"/>
        <v>0</v>
      </c>
    </row>
    <row r="264" spans="1:15" ht="24.95" customHeight="1">
      <c r="B264" s="227" t="s">
        <v>2459</v>
      </c>
      <c r="C264" s="409"/>
      <c r="D264" s="402" t="str">
        <f>IF(B264&lt;&gt;"",VLOOKUP(B264,R_DG!$A$7:$G$1305,2,0),"")</f>
        <v>T5.1001</v>
      </c>
      <c r="E264" s="403" t="str">
        <f>VLOOKUP(B264,R_DG!$A$7:$G$1305,3,0)</f>
        <v>Tủ CB trạm 1 pha + khóa + boulon</v>
      </c>
      <c r="F264" s="402" t="str">
        <f>VLOOKUP(B264,R_DG!$A$7:$G$1305,4,0)</f>
        <v>cái</v>
      </c>
      <c r="G264" s="404">
        <f>G262</f>
        <v>0</v>
      </c>
      <c r="H264" s="405">
        <f>VLOOKUP(B264,R_DG!$A$7:$G$1305,5,0)</f>
        <v>5000000</v>
      </c>
      <c r="I264" s="405">
        <f>VLOOKUP(B264,R_DG!$A$7:$G$1305,6,0)</f>
        <v>838714.5</v>
      </c>
      <c r="J264" s="405">
        <f>VLOOKUP(B264,R_DG!$A$7:$G$1305,7,0)</f>
        <v>0</v>
      </c>
      <c r="K264" s="406">
        <f t="shared" si="17"/>
        <v>0</v>
      </c>
      <c r="L264" s="406">
        <f t="shared" si="18"/>
        <v>0</v>
      </c>
      <c r="M264" s="406">
        <f t="shared" si="19"/>
        <v>0</v>
      </c>
      <c r="N264" s="407"/>
      <c r="O264" s="371">
        <f t="shared" si="21"/>
        <v>0</v>
      </c>
    </row>
    <row r="265" spans="1:15" ht="24.95" customHeight="1">
      <c r="B265" s="232" t="s">
        <v>2460</v>
      </c>
      <c r="C265" s="409"/>
      <c r="D265" s="402">
        <f>IF(B265&lt;&gt;"",VLOOKUP(B265,R_DG!$A$7:$G$1305,2,0),"")</f>
        <v>0</v>
      </c>
      <c r="E265" s="403" t="str">
        <f>VLOOKUP(B265,R_DG!$A$7:$G$1305,3,0)</f>
        <v>Collier bắt tủ</v>
      </c>
      <c r="F265" s="402" t="str">
        <f>VLOOKUP(B265,R_DG!$A$7:$G$1305,4,0)</f>
        <v>bộ</v>
      </c>
      <c r="G265" s="404">
        <f>G262*2</f>
        <v>0</v>
      </c>
      <c r="H265" s="405">
        <f>VLOOKUP(B265,R_DG!$A$7:$G$1305,5,0)</f>
        <v>185000</v>
      </c>
      <c r="I265" s="405">
        <f>VLOOKUP(B265,R_DG!$A$7:$G$1305,6,0)</f>
        <v>0</v>
      </c>
      <c r="J265" s="405">
        <f>VLOOKUP(B265,R_DG!$A$7:$G$1305,7,0)</f>
        <v>0</v>
      </c>
      <c r="K265" s="406">
        <f t="shared" si="17"/>
        <v>0</v>
      </c>
      <c r="L265" s="406">
        <f t="shared" si="18"/>
        <v>0</v>
      </c>
      <c r="M265" s="406">
        <f t="shared" si="19"/>
        <v>0</v>
      </c>
      <c r="N265" s="407"/>
      <c r="O265" s="371">
        <f t="shared" si="21"/>
        <v>0</v>
      </c>
    </row>
    <row r="266" spans="1:15" ht="24.95" customHeight="1">
      <c r="B266" s="232" t="s">
        <v>1961</v>
      </c>
      <c r="C266" s="409"/>
      <c r="D266" s="402">
        <f>IF(B266&lt;&gt;"",VLOOKUP(B266,R_DG!$A$7:$G$1305,2,0),"")</f>
        <v>0</v>
      </c>
      <c r="E266" s="403" t="str">
        <f>VLOOKUP(B266,R_DG!$A$7:$G$1305,3,0)</f>
        <v xml:space="preserve">Bakelit 500x400 dầy 10mm </v>
      </c>
      <c r="F266" s="402" t="str">
        <f>VLOOKUP(B266,R_DG!$A$7:$G$1305,4,0)</f>
        <v>cái</v>
      </c>
      <c r="G266" s="404">
        <f>G262*3</f>
        <v>0</v>
      </c>
      <c r="H266" s="405">
        <f>VLOOKUP(B266,R_DG!$A$7:$G$1305,5,0)</f>
        <v>151000</v>
      </c>
      <c r="I266" s="405">
        <f>VLOOKUP(B266,R_DG!$A$7:$G$1305,6,0)</f>
        <v>0</v>
      </c>
      <c r="J266" s="405">
        <f>VLOOKUP(B266,R_DG!$A$7:$G$1305,7,0)</f>
        <v>0</v>
      </c>
      <c r="K266" s="406">
        <f t="shared" si="17"/>
        <v>0</v>
      </c>
      <c r="L266" s="406">
        <f t="shared" si="18"/>
        <v>0</v>
      </c>
      <c r="M266" s="406">
        <f t="shared" si="19"/>
        <v>0</v>
      </c>
      <c r="N266" s="407"/>
      <c r="O266" s="371">
        <f t="shared" si="21"/>
        <v>0</v>
      </c>
    </row>
    <row r="267" spans="1:15" ht="24.95" customHeight="1">
      <c r="B267" s="232" t="s">
        <v>50</v>
      </c>
      <c r="C267" s="409"/>
      <c r="D267" s="402">
        <f>IF(B267&lt;&gt;"",VLOOKUP(B267,R_DG!$A$7:$G$1305,2,0),"")</f>
        <v>0</v>
      </c>
      <c r="E267" s="403" t="str">
        <f>VLOOKUP(B267,R_DG!$A$7:$G$1305,3,0)</f>
        <v>Boulon 12x40+ 2 long đền vuông D14-50x50x3/Zn</v>
      </c>
      <c r="F267" s="402" t="str">
        <f>VLOOKUP(B267,R_DG!$A$7:$G$1305,4,0)</f>
        <v>bộ</v>
      </c>
      <c r="G267" s="404">
        <f>G262*4</f>
        <v>0</v>
      </c>
      <c r="H267" s="405">
        <f>VLOOKUP(B267,R_DG!$A$7:$G$1305,5,0)</f>
        <v>3000</v>
      </c>
      <c r="I267" s="405">
        <f>VLOOKUP(B267,R_DG!$A$7:$G$1305,6,0)</f>
        <v>0</v>
      </c>
      <c r="J267" s="405">
        <f>VLOOKUP(B267,R_DG!$A$7:$G$1305,7,0)</f>
        <v>0</v>
      </c>
      <c r="K267" s="406">
        <f t="shared" si="17"/>
        <v>0</v>
      </c>
      <c r="L267" s="406">
        <f t="shared" si="18"/>
        <v>0</v>
      </c>
      <c r="M267" s="406">
        <f t="shared" si="19"/>
        <v>0</v>
      </c>
      <c r="N267" s="407"/>
      <c r="O267" s="371">
        <f t="shared" si="21"/>
        <v>0</v>
      </c>
    </row>
    <row r="268" spans="1:15" ht="24.95" customHeight="1">
      <c r="A268" s="397" t="s">
        <v>3032</v>
      </c>
      <c r="B268" s="232"/>
      <c r="C268" s="411">
        <f>IF(G268&gt;0,COUNTIF($C$17:C267,"&gt;0")+1,0)</f>
        <v>0</v>
      </c>
      <c r="D268" s="411" t="str">
        <f>IF(B268&lt;&gt;"",VLOOKUP(B268,R_DG!$A$7:$G$1305,2,0),"")</f>
        <v/>
      </c>
      <c r="E268" s="411" t="s">
        <v>3033</v>
      </c>
      <c r="F268" s="411" t="s">
        <v>163</v>
      </c>
      <c r="G268" s="411">
        <f>IF(G13=1,1,0)</f>
        <v>0</v>
      </c>
      <c r="H268" s="411"/>
      <c r="I268" s="411"/>
      <c r="J268" s="411"/>
      <c r="K268" s="411">
        <f t="shared" si="17"/>
        <v>0</v>
      </c>
      <c r="L268" s="411">
        <f t="shared" si="18"/>
        <v>0</v>
      </c>
      <c r="M268" s="411">
        <f t="shared" si="19"/>
        <v>0</v>
      </c>
      <c r="N268" s="410"/>
      <c r="O268" s="371">
        <f t="shared" si="21"/>
        <v>0</v>
      </c>
    </row>
    <row r="269" spans="1:15" ht="24.95" customHeight="1">
      <c r="B269" s="232"/>
      <c r="C269" s="408"/>
      <c r="D269" s="402" t="str">
        <f>IF(B269&lt;&gt;"",VLOOKUP(B269,R_DG!$A$7:$G$1305,2,0),"")</f>
        <v/>
      </c>
      <c r="E269" s="379" t="s">
        <v>2432</v>
      </c>
      <c r="F269" s="409"/>
      <c r="G269" s="409"/>
      <c r="H269" s="406"/>
      <c r="I269" s="406"/>
      <c r="J269" s="405"/>
      <c r="K269" s="406">
        <f t="shared" si="17"/>
        <v>0</v>
      </c>
      <c r="L269" s="406">
        <f t="shared" si="18"/>
        <v>0</v>
      </c>
      <c r="M269" s="406">
        <f t="shared" si="19"/>
        <v>0</v>
      </c>
      <c r="N269" s="407"/>
      <c r="O269" s="371">
        <f t="shared" si="21"/>
        <v>0</v>
      </c>
    </row>
    <row r="270" spans="1:15" ht="24.95" customHeight="1">
      <c r="B270" s="227" t="str">
        <f>IF(G268=1,"CV"&amp;VLOOKUP(A$2,TBA,IF(A$5*1=1,14,14),0),"NONE")</f>
        <v>NONE</v>
      </c>
      <c r="C270" s="409"/>
      <c r="D270" s="402">
        <f>IF(B270&lt;&gt;"",VLOOKUP(B270,R_DG!$A$7:$G$1305,2,0),"")</f>
        <v>0</v>
      </c>
      <c r="E270" s="403">
        <f>VLOOKUP(B270,R_DG!$A$7:$G$1305,3,0)</f>
        <v>0</v>
      </c>
      <c r="F270" s="402">
        <f>VLOOKUP(B270,R_DG!$A$7:$G$1305,4,0)</f>
        <v>0</v>
      </c>
      <c r="G270" s="404">
        <f>G268*3*3</f>
        <v>0</v>
      </c>
      <c r="H270" s="405">
        <f>VLOOKUP(B270,R_DG!$A$7:$G$1305,5,0)</f>
        <v>0</v>
      </c>
      <c r="I270" s="405">
        <f>VLOOKUP(B270,R_DG!$A$7:$G$1305,6,0)</f>
        <v>0</v>
      </c>
      <c r="J270" s="405">
        <f>VLOOKUP(B270,R_DG!$A$7:$G$1305,7,0)</f>
        <v>0</v>
      </c>
      <c r="K270" s="406">
        <f t="shared" si="17"/>
        <v>0</v>
      </c>
      <c r="L270" s="406">
        <f t="shared" si="18"/>
        <v>0</v>
      </c>
      <c r="M270" s="406">
        <f t="shared" si="19"/>
        <v>0</v>
      </c>
      <c r="N270" s="407"/>
      <c r="O270" s="371">
        <f t="shared" si="21"/>
        <v>0</v>
      </c>
    </row>
    <row r="271" spans="1:15" ht="24.95" customHeight="1">
      <c r="B271" s="232" t="str">
        <f>IF(B270="NONE","NONE","CV"&amp;Selectdown(RIGHT(B270,LEN(B270)-2),SETTING!$AF$25:$AF$33))</f>
        <v>NONE</v>
      </c>
      <c r="C271" s="409"/>
      <c r="D271" s="402">
        <f>IF(B271&lt;&gt;"",VLOOKUP(B271,R_DG!$A$7:$G$1305,2,0),"")</f>
        <v>0</v>
      </c>
      <c r="E271" s="403">
        <f>VLOOKUP(B271,R_DG!$A$7:$G$1305,3,0)</f>
        <v>0</v>
      </c>
      <c r="F271" s="402">
        <f>VLOOKUP(B271,R_DG!$A$7:$G$1305,4,0)</f>
        <v>0</v>
      </c>
      <c r="G271" s="404">
        <f>G268*3</f>
        <v>0</v>
      </c>
      <c r="H271" s="405">
        <f>VLOOKUP(B271,R_DG!$A$7:$G$1305,5,0)</f>
        <v>0</v>
      </c>
      <c r="I271" s="405">
        <f>VLOOKUP(B271,R_DG!$A$7:$G$1305,6,0)</f>
        <v>0</v>
      </c>
      <c r="J271" s="405">
        <f>VLOOKUP(B271,R_DG!$A$7:$G$1305,7,0)</f>
        <v>0</v>
      </c>
      <c r="K271" s="406">
        <f t="shared" si="17"/>
        <v>0</v>
      </c>
      <c r="L271" s="406">
        <f t="shared" si="18"/>
        <v>0</v>
      </c>
      <c r="M271" s="406">
        <f t="shared" si="19"/>
        <v>0</v>
      </c>
      <c r="N271" s="407"/>
      <c r="O271" s="371">
        <f t="shared" si="21"/>
        <v>0</v>
      </c>
    </row>
    <row r="272" spans="1:15" ht="24.95" customHeight="1">
      <c r="B272" s="232" t="s">
        <v>1902</v>
      </c>
      <c r="C272" s="409"/>
      <c r="D272" s="402">
        <f>IF(B272&lt;&gt;"",VLOOKUP(B272,R_DG!$A$7:$G$1305,2,0),"")</f>
        <v>0</v>
      </c>
      <c r="E272" s="403" t="str">
        <f>VLOOKUP(B272,R_DG!$A$7:$G$1305,3,0)</f>
        <v xml:space="preserve">Ống PVC D114x4,9mm </v>
      </c>
      <c r="F272" s="402" t="str">
        <f>VLOOKUP(B272,R_DG!$A$7:$G$1305,4,0)</f>
        <v>m</v>
      </c>
      <c r="G272" s="404">
        <f>G268*2</f>
        <v>0</v>
      </c>
      <c r="H272" s="405">
        <f>VLOOKUP(B272,R_DG!$A$7:$G$1305,5,0)</f>
        <v>103700</v>
      </c>
      <c r="I272" s="405">
        <f>VLOOKUP(B272,R_DG!$A$7:$G$1305,6,0)</f>
        <v>0</v>
      </c>
      <c r="J272" s="405">
        <f>VLOOKUP(B272,R_DG!$A$7:$G$1305,7,0)</f>
        <v>0</v>
      </c>
      <c r="K272" s="406">
        <f t="shared" si="17"/>
        <v>0</v>
      </c>
      <c r="L272" s="406">
        <f t="shared" si="18"/>
        <v>0</v>
      </c>
      <c r="M272" s="406">
        <f t="shared" si="19"/>
        <v>0</v>
      </c>
      <c r="N272" s="407"/>
      <c r="O272" s="371">
        <f t="shared" si="21"/>
        <v>0</v>
      </c>
    </row>
    <row r="273" spans="1:15" ht="24.95" customHeight="1">
      <c r="B273" s="232" t="s">
        <v>4129</v>
      </c>
      <c r="C273" s="409"/>
      <c r="D273" s="402">
        <f>IF(B273&lt;&gt;"",VLOOKUP(B273,R_DG!$A$7:$G$1305,2,0),"")</f>
        <v>0</v>
      </c>
      <c r="E273" s="403" t="str">
        <f>VLOOKUP(B273,R_DG!$A$7:$G$1305,3,0)</f>
        <v>Co 90 độ PVC 114</v>
      </c>
      <c r="F273" s="402" t="str">
        <f>VLOOKUP(B273,R_DG!$A$7:$G$1305,4,0)</f>
        <v>cái</v>
      </c>
      <c r="G273" s="404">
        <f>G268*2</f>
        <v>0</v>
      </c>
      <c r="H273" s="405">
        <f>VLOOKUP(B273,R_DG!$A$7:$G$1305,5,0)</f>
        <v>43100</v>
      </c>
      <c r="I273" s="405">
        <f>VLOOKUP(B273,R_DG!$A$7:$G$1305,6,0)</f>
        <v>0</v>
      </c>
      <c r="J273" s="405">
        <f>VLOOKUP(B273,R_DG!$A$7:$G$1305,7,0)</f>
        <v>0</v>
      </c>
      <c r="K273" s="406">
        <f t="shared" si="17"/>
        <v>0</v>
      </c>
      <c r="L273" s="406">
        <f t="shared" si="18"/>
        <v>0</v>
      </c>
      <c r="M273" s="406">
        <f t="shared" si="19"/>
        <v>0</v>
      </c>
      <c r="N273" s="407"/>
      <c r="O273" s="371">
        <f t="shared" si="21"/>
        <v>0</v>
      </c>
    </row>
    <row r="274" spans="1:15" ht="24.95" customHeight="1">
      <c r="B274" s="232" t="s">
        <v>3034</v>
      </c>
      <c r="C274" s="409"/>
      <c r="D274" s="402">
        <f>IF(B274&lt;&gt;"",VLOOKUP(B274,R_DG!$A$7:$G$1305,2,0),"")</f>
        <v>0</v>
      </c>
      <c r="E274" s="403" t="str">
        <f>VLOOKUP(B274,R_DG!$A$7:$G$1305,3,0)</f>
        <v>Keo dán ống PVC (500gr)</v>
      </c>
      <c r="F274" s="402" t="str">
        <f>VLOOKUP(B274,R_DG!$A$7:$G$1305,4,0)</f>
        <v>lon</v>
      </c>
      <c r="G274" s="404">
        <f>G268*1</f>
        <v>0</v>
      </c>
      <c r="H274" s="405">
        <f>VLOOKUP(B274,R_DG!$A$7:$G$1305,5,0)</f>
        <v>26400</v>
      </c>
      <c r="I274" s="405">
        <f>VLOOKUP(B274,R_DG!$A$7:$G$1305,6,0)</f>
        <v>0</v>
      </c>
      <c r="J274" s="405">
        <f>VLOOKUP(B274,R_DG!$A$7:$G$1305,7,0)</f>
        <v>0</v>
      </c>
      <c r="K274" s="406">
        <f>H274*G274</f>
        <v>0</v>
      </c>
      <c r="L274" s="406">
        <f>I274*G274</f>
        <v>0</v>
      </c>
      <c r="M274" s="406">
        <f>J274*G274</f>
        <v>0</v>
      </c>
      <c r="N274" s="407"/>
      <c r="O274" s="371">
        <f t="shared" si="21"/>
        <v>0</v>
      </c>
    </row>
    <row r="275" spans="1:15" ht="24.95" customHeight="1">
      <c r="B275" s="232" t="s">
        <v>4130</v>
      </c>
      <c r="C275" s="409"/>
      <c r="D275" s="402" t="str">
        <f>IF(B275&lt;&gt;"",VLOOKUP(B275,R_DG!$A$7:$G$1305,2,0),"")</f>
        <v>T4.4202</v>
      </c>
      <c r="E275" s="403" t="str">
        <f>VLOOKUP(B275,R_DG!$A$7:$G$1305,3,0)</f>
        <v>Lắp cáp đồng xuống thiết bị D ≤ 150mm2</v>
      </c>
      <c r="F275" s="402" t="str">
        <f>VLOOKUP(B275,R_DG!$A$7:$G$1305,4,0)</f>
        <v>m</v>
      </c>
      <c r="G275" s="404">
        <f>G270+G271</f>
        <v>0</v>
      </c>
      <c r="H275" s="405">
        <f>VLOOKUP(B275,R_DG!$A$7:$G$1305,5,0)</f>
        <v>0</v>
      </c>
      <c r="I275" s="405">
        <f>VLOOKUP(B275,R_DG!$A$7:$G$1305,6,0)</f>
        <v>28432.799999999999</v>
      </c>
      <c r="J275" s="405">
        <f>VLOOKUP(B275,R_DG!$A$7:$G$1305,7,0)</f>
        <v>0</v>
      </c>
      <c r="K275" s="406">
        <f>H275*G275</f>
        <v>0</v>
      </c>
      <c r="L275" s="406">
        <f>I275*G275</f>
        <v>0</v>
      </c>
      <c r="M275" s="406">
        <f>J275*G275</f>
        <v>0</v>
      </c>
      <c r="N275" s="407"/>
      <c r="O275" s="371">
        <f t="shared" si="21"/>
        <v>0</v>
      </c>
    </row>
    <row r="276" spans="1:15" ht="24.95" customHeight="1">
      <c r="A276" s="397" t="s">
        <v>2520</v>
      </c>
      <c r="B276" s="232"/>
      <c r="C276" s="411">
        <f>IF(G276&gt;0,COUNTIF($C$17:C275,"&gt;0")+1,0)</f>
        <v>0</v>
      </c>
      <c r="D276" s="411" t="str">
        <f>IF(B276&lt;&gt;"",VLOOKUP(B276,R_DG!$A$7:$G$1305,2,0),"")</f>
        <v/>
      </c>
      <c r="E276" s="411" t="s">
        <v>2521</v>
      </c>
      <c r="F276" s="411" t="s">
        <v>163</v>
      </c>
      <c r="G276" s="411">
        <f>IF(B4=3,1,0)</f>
        <v>0</v>
      </c>
      <c r="H276" s="411"/>
      <c r="I276" s="411"/>
      <c r="J276" s="411"/>
      <c r="K276" s="411">
        <f t="shared" si="17"/>
        <v>0</v>
      </c>
      <c r="L276" s="411">
        <f t="shared" si="18"/>
        <v>0</v>
      </c>
      <c r="M276" s="411">
        <f t="shared" si="19"/>
        <v>0</v>
      </c>
      <c r="N276" s="410"/>
      <c r="O276" s="371">
        <f t="shared" si="21"/>
        <v>0</v>
      </c>
    </row>
    <row r="277" spans="1:15" ht="24.95" customHeight="1">
      <c r="B277" s="232"/>
      <c r="C277" s="408"/>
      <c r="D277" s="402" t="str">
        <f>IF(B277&lt;&gt;"",VLOOKUP(B277,R_DG!$A$7:$G$1305,2,0),"")</f>
        <v/>
      </c>
      <c r="E277" s="379" t="s">
        <v>2432</v>
      </c>
      <c r="F277" s="409"/>
      <c r="G277" s="409"/>
      <c r="H277" s="406"/>
      <c r="I277" s="406"/>
      <c r="J277" s="405"/>
      <c r="K277" s="406">
        <f t="shared" si="17"/>
        <v>0</v>
      </c>
      <c r="L277" s="406">
        <f t="shared" si="18"/>
        <v>0</v>
      </c>
      <c r="M277" s="406">
        <f t="shared" si="19"/>
        <v>0</v>
      </c>
      <c r="N277" s="407"/>
      <c r="O277" s="371">
        <f t="shared" si="21"/>
        <v>0</v>
      </c>
    </row>
    <row r="278" spans="1:15" ht="24.95" customHeight="1">
      <c r="B278" s="227" t="s">
        <v>2532</v>
      </c>
      <c r="C278" s="409"/>
      <c r="D278" s="402" t="str">
        <f>IF(B278&lt;&gt;"",VLOOKUP(B278,R_DG!$A$7:$G$1305,2,0),"")</f>
        <v>T5.1002</v>
      </c>
      <c r="E278" s="403" t="str">
        <f>VLOOKUP(B278,R_DG!$A$7:$G$1305,3,0)</f>
        <v>Tủ trạm biến áp 3 pha</v>
      </c>
      <c r="F278" s="402" t="str">
        <f>VLOOKUP(B278,R_DG!$A$7:$G$1305,4,0)</f>
        <v>cái</v>
      </c>
      <c r="G278" s="404">
        <f>G276</f>
        <v>0</v>
      </c>
      <c r="H278" s="405">
        <f>VLOOKUP(B278,R_DG!$A$7:$G$1305,5,0)</f>
        <v>5000000</v>
      </c>
      <c r="I278" s="405">
        <f>VLOOKUP(B278,R_DG!$A$7:$G$1305,6,0)</f>
        <v>966199.10399999993</v>
      </c>
      <c r="J278" s="405">
        <f>VLOOKUP(B278,R_DG!$A$7:$G$1305,7,0)</f>
        <v>0</v>
      </c>
      <c r="K278" s="406">
        <f t="shared" si="17"/>
        <v>0</v>
      </c>
      <c r="L278" s="406">
        <f t="shared" si="18"/>
        <v>0</v>
      </c>
      <c r="M278" s="406">
        <f t="shared" si="19"/>
        <v>0</v>
      </c>
      <c r="N278" s="407"/>
      <c r="O278" s="371">
        <f t="shared" si="21"/>
        <v>0</v>
      </c>
    </row>
    <row r="279" spans="1:15" ht="24.95" customHeight="1">
      <c r="B279" s="232" t="s">
        <v>2460</v>
      </c>
      <c r="C279" s="409"/>
      <c r="D279" s="402">
        <f>IF(B279&lt;&gt;"",VLOOKUP(B279,R_DG!$A$7:$G$1305,2,0),"")</f>
        <v>0</v>
      </c>
      <c r="E279" s="403" t="str">
        <f>VLOOKUP(B279,R_DG!$A$7:$G$1305,3,0)</f>
        <v>Collier bắt tủ</v>
      </c>
      <c r="F279" s="402" t="str">
        <f>VLOOKUP(B279,R_DG!$A$7:$G$1305,4,0)</f>
        <v>bộ</v>
      </c>
      <c r="G279" s="404">
        <f>G278*2</f>
        <v>0</v>
      </c>
      <c r="H279" s="405">
        <f>VLOOKUP(B279,R_DG!$A$7:$G$1305,5,0)</f>
        <v>185000</v>
      </c>
      <c r="I279" s="405">
        <f>VLOOKUP(B279,R_DG!$A$7:$G$1305,6,0)</f>
        <v>0</v>
      </c>
      <c r="J279" s="405">
        <f>VLOOKUP(B279,R_DG!$A$7:$G$1305,7,0)</f>
        <v>0</v>
      </c>
      <c r="K279" s="406">
        <f t="shared" si="17"/>
        <v>0</v>
      </c>
      <c r="L279" s="406">
        <f t="shared" si="18"/>
        <v>0</v>
      </c>
      <c r="M279" s="406">
        <f t="shared" si="19"/>
        <v>0</v>
      </c>
      <c r="N279" s="407"/>
      <c r="O279" s="371">
        <f t="shared" si="21"/>
        <v>0</v>
      </c>
    </row>
    <row r="280" spans="1:15" ht="24.95" customHeight="1">
      <c r="B280" s="232" t="s">
        <v>4537</v>
      </c>
      <c r="C280" s="409"/>
      <c r="D280" s="402">
        <f>IF(B280&lt;&gt;"",VLOOKUP(B280,R_DG!$A$7:$G$1305,2,0),"")</f>
        <v>0</v>
      </c>
      <c r="E280" s="403" t="str">
        <f>VLOOKUP(B280,R_DG!$A$7:$G$1305,3,0)</f>
        <v xml:space="preserve">Cáp CVV 4x4mm2 </v>
      </c>
      <c r="F280" s="402" t="str">
        <f>VLOOKUP(B280,R_DG!$A$7:$G$1305,4,0)</f>
        <v>mét</v>
      </c>
      <c r="G280" s="404">
        <f>G279*4</f>
        <v>0</v>
      </c>
      <c r="H280" s="405">
        <f>VLOOKUP(B280,R_DG!$A$7:$G$1305,5,0)</f>
        <v>30000</v>
      </c>
      <c r="I280" s="405">
        <f>VLOOKUP(B280,R_DG!$A$7:$G$1305,6,0)</f>
        <v>0</v>
      </c>
      <c r="J280" s="405">
        <f>VLOOKUP(B280,R_DG!$A$7:$G$1305,7,0)</f>
        <v>0</v>
      </c>
      <c r="K280" s="406">
        <f t="shared" si="17"/>
        <v>0</v>
      </c>
      <c r="L280" s="406">
        <f t="shared" si="18"/>
        <v>0</v>
      </c>
      <c r="M280" s="406">
        <f t="shared" si="19"/>
        <v>0</v>
      </c>
      <c r="N280" s="407"/>
      <c r="O280" s="371">
        <f t="shared" si="21"/>
        <v>0</v>
      </c>
    </row>
    <row r="281" spans="1:15" ht="24.95" customHeight="1">
      <c r="B281" s="232" t="s">
        <v>1961</v>
      </c>
      <c r="C281" s="409"/>
      <c r="D281" s="402">
        <f>IF(B281&lt;&gt;"",VLOOKUP(B281,R_DG!$A$7:$G$1305,2,0),"")</f>
        <v>0</v>
      </c>
      <c r="E281" s="403" t="str">
        <f>VLOOKUP(B281,R_DG!$A$7:$G$1305,3,0)</f>
        <v xml:space="preserve">Bakelit 500x400 dầy 10mm </v>
      </c>
      <c r="F281" s="402" t="str">
        <f>VLOOKUP(B281,R_DG!$A$7:$G$1305,4,0)</f>
        <v>cái</v>
      </c>
      <c r="G281" s="404">
        <f>G278*3</f>
        <v>0</v>
      </c>
      <c r="H281" s="405">
        <f>VLOOKUP(B281,R_DG!$A$7:$G$1305,5,0)</f>
        <v>151000</v>
      </c>
      <c r="I281" s="405">
        <f>VLOOKUP(B281,R_DG!$A$7:$G$1305,6,0)</f>
        <v>0</v>
      </c>
      <c r="J281" s="405">
        <f>VLOOKUP(B281,R_DG!$A$7:$G$1305,7,0)</f>
        <v>0</v>
      </c>
      <c r="K281" s="406">
        <f t="shared" si="17"/>
        <v>0</v>
      </c>
      <c r="L281" s="406">
        <f t="shared" si="18"/>
        <v>0</v>
      </c>
      <c r="M281" s="406">
        <f t="shared" si="19"/>
        <v>0</v>
      </c>
      <c r="N281" s="407"/>
      <c r="O281" s="371">
        <f t="shared" si="21"/>
        <v>0</v>
      </c>
    </row>
    <row r="282" spans="1:15" ht="24.95" customHeight="1">
      <c r="B282" s="232" t="s">
        <v>50</v>
      </c>
      <c r="C282" s="409"/>
      <c r="D282" s="402">
        <f>IF(B282&lt;&gt;"",VLOOKUP(B282,R_DG!$A$7:$G$1305,2,0),"")</f>
        <v>0</v>
      </c>
      <c r="E282" s="403" t="str">
        <f>VLOOKUP(B282,R_DG!$A$7:$G$1305,3,0)</f>
        <v>Boulon 12x40+ 2 long đền vuông D14-50x50x3/Zn</v>
      </c>
      <c r="F282" s="402" t="str">
        <f>VLOOKUP(B282,R_DG!$A$7:$G$1305,4,0)</f>
        <v>bộ</v>
      </c>
      <c r="G282" s="404">
        <f>G278*4</f>
        <v>0</v>
      </c>
      <c r="H282" s="405">
        <f>VLOOKUP(B282,R_DG!$A$7:$G$1305,5,0)</f>
        <v>3000</v>
      </c>
      <c r="I282" s="405">
        <f>VLOOKUP(B282,R_DG!$A$7:$G$1305,6,0)</f>
        <v>0</v>
      </c>
      <c r="J282" s="405">
        <f>VLOOKUP(B282,R_DG!$A$7:$G$1305,7,0)</f>
        <v>0</v>
      </c>
      <c r="K282" s="406">
        <f t="shared" si="17"/>
        <v>0</v>
      </c>
      <c r="L282" s="406">
        <f t="shared" si="18"/>
        <v>0</v>
      </c>
      <c r="M282" s="406">
        <f t="shared" si="19"/>
        <v>0</v>
      </c>
      <c r="N282" s="407"/>
      <c r="O282" s="371">
        <f t="shared" si="21"/>
        <v>0</v>
      </c>
    </row>
    <row r="283" spans="1:15" ht="24.95" customHeight="1">
      <c r="A283" s="397" t="s">
        <v>2486</v>
      </c>
      <c r="B283" s="232"/>
      <c r="C283" s="411">
        <f>IF(G283&gt;0,COUNTIF($C$17:C282,"&gt;0")+1,0)</f>
        <v>0</v>
      </c>
      <c r="D283" s="411" t="str">
        <f>IF(B283&lt;&gt;"",VLOOKUP(B283,R_DG!$A$7:$G$1305,2,0),"")</f>
        <v/>
      </c>
      <c r="E283" s="411" t="s">
        <v>2485</v>
      </c>
      <c r="F283" s="411" t="s">
        <v>163</v>
      </c>
      <c r="G283" s="411">
        <f>IF(B4=1,1,0)</f>
        <v>0</v>
      </c>
      <c r="H283" s="411"/>
      <c r="I283" s="411"/>
      <c r="J283" s="411"/>
      <c r="K283" s="411">
        <f t="shared" si="17"/>
        <v>0</v>
      </c>
      <c r="L283" s="411">
        <f t="shared" si="18"/>
        <v>0</v>
      </c>
      <c r="M283" s="411">
        <f t="shared" si="19"/>
        <v>0</v>
      </c>
      <c r="N283" s="410"/>
      <c r="O283" s="371">
        <f t="shared" si="21"/>
        <v>0</v>
      </c>
    </row>
    <row r="284" spans="1:15" ht="24.95" customHeight="1">
      <c r="B284" s="232"/>
      <c r="C284" s="408"/>
      <c r="D284" s="402" t="str">
        <f>IF(B284&lt;&gt;"",VLOOKUP(B284,R_DG!$A$7:$G$1305,2,0),"")</f>
        <v/>
      </c>
      <c r="E284" s="379" t="s">
        <v>2432</v>
      </c>
      <c r="F284" s="409"/>
      <c r="G284" s="409"/>
      <c r="H284" s="406"/>
      <c r="I284" s="406"/>
      <c r="J284" s="405"/>
      <c r="K284" s="406">
        <f t="shared" si="17"/>
        <v>0</v>
      </c>
      <c r="L284" s="406">
        <f t="shared" si="18"/>
        <v>0</v>
      </c>
      <c r="M284" s="406">
        <f t="shared" si="19"/>
        <v>0</v>
      </c>
      <c r="N284" s="407"/>
      <c r="O284" s="371">
        <f t="shared" si="21"/>
        <v>0</v>
      </c>
    </row>
    <row r="285" spans="1:15" ht="24.95" customHeight="1">
      <c r="B285" s="231" t="s">
        <v>197</v>
      </c>
      <c r="C285" s="409"/>
      <c r="D285" s="402">
        <f>IF(B285&lt;&gt;"",VLOOKUP(B285,R_DG!$A$7:$G$1305,2,0),"")</f>
        <v>0</v>
      </c>
      <c r="E285" s="403" t="str">
        <f>VLOOKUP(B285,R_DG!$A$7:$G$1305,3,0)</f>
        <v>Cáp 24KV C/XLPE/PVC 25mm2</v>
      </c>
      <c r="F285" s="402" t="str">
        <f>VLOOKUP(B285,R_DG!$A$7:$G$1305,4,0)</f>
        <v>mét</v>
      </c>
      <c r="G285" s="404">
        <f>G283*3</f>
        <v>0</v>
      </c>
      <c r="H285" s="405">
        <f>VLOOKUP(B285,R_DG!$A$7:$G$1305,5,0)</f>
        <v>57600</v>
      </c>
      <c r="I285" s="405">
        <f>VLOOKUP(B285,R_DG!$A$7:$G$1305,6,0)</f>
        <v>0</v>
      </c>
      <c r="J285" s="405">
        <f>VLOOKUP(B285,R_DG!$A$7:$G$1305,7,0)</f>
        <v>0</v>
      </c>
      <c r="K285" s="406">
        <f t="shared" si="17"/>
        <v>0</v>
      </c>
      <c r="L285" s="406">
        <f t="shared" si="18"/>
        <v>0</v>
      </c>
      <c r="M285" s="406">
        <f t="shared" si="19"/>
        <v>0</v>
      </c>
      <c r="N285" s="407"/>
      <c r="O285" s="371">
        <f t="shared" si="21"/>
        <v>0</v>
      </c>
    </row>
    <row r="286" spans="1:15" ht="24.95" customHeight="1">
      <c r="B286" s="233" t="s">
        <v>518</v>
      </c>
      <c r="C286" s="409"/>
      <c r="D286" s="402" t="str">
        <f>IF(B286&lt;&gt;"",VLOOKUP(B286,R_DG!$A$7:$G$1305,2,0),"")</f>
        <v>D6.6201</v>
      </c>
      <c r="E286" s="403" t="str">
        <f>VLOOKUP(B286,R_DG!$A$7:$G$1305,3,0)</f>
        <v>Kẹp quai 2/0</v>
      </c>
      <c r="F286" s="402" t="str">
        <f>VLOOKUP(B286,R_DG!$A$7:$G$1305,4,0)</f>
        <v>cái</v>
      </c>
      <c r="G286" s="404">
        <f>G283</f>
        <v>0</v>
      </c>
      <c r="H286" s="405">
        <f>VLOOKUP(B286,R_DG!$A$7:$G$1305,5,0)</f>
        <v>35200</v>
      </c>
      <c r="I286" s="405">
        <f>VLOOKUP(B286,R_DG!$A$7:$G$1305,6,0)</f>
        <v>98156</v>
      </c>
      <c r="J286" s="405">
        <f>VLOOKUP(B286,R_DG!$A$7:$G$1305,7,0)</f>
        <v>0</v>
      </c>
      <c r="K286" s="406">
        <f t="shared" si="17"/>
        <v>0</v>
      </c>
      <c r="L286" s="406">
        <f t="shared" si="18"/>
        <v>0</v>
      </c>
      <c r="M286" s="406">
        <f t="shared" si="19"/>
        <v>0</v>
      </c>
      <c r="N286" s="407"/>
      <c r="O286" s="371">
        <f t="shared" si="21"/>
        <v>0</v>
      </c>
    </row>
    <row r="287" spans="1:15" ht="24.95" customHeight="1">
      <c r="B287" s="233" t="s">
        <v>523</v>
      </c>
      <c r="C287" s="409"/>
      <c r="D287" s="402" t="str">
        <f>IF(B287&lt;&gt;"",VLOOKUP(B287,R_DG!$A$7:$G$1305,2,0),"")</f>
        <v>D6.6202</v>
      </c>
      <c r="E287" s="403" t="str">
        <f>VLOOKUP(B287,R_DG!$A$7:$G$1305,3,0)</f>
        <v>Kẹp hotline 2/0</v>
      </c>
      <c r="F287" s="402" t="str">
        <f>VLOOKUP(B287,R_DG!$A$7:$G$1305,4,0)</f>
        <v>cái</v>
      </c>
      <c r="G287" s="404">
        <f>G286</f>
        <v>0</v>
      </c>
      <c r="H287" s="405">
        <f>VLOOKUP(B287,R_DG!$A$7:$G$1305,5,0)</f>
        <v>77000</v>
      </c>
      <c r="I287" s="405">
        <f>VLOOKUP(B287,R_DG!$A$7:$G$1305,6,0)</f>
        <v>122695</v>
      </c>
      <c r="J287" s="405">
        <f>VLOOKUP(B287,R_DG!$A$7:$G$1305,7,0)</f>
        <v>0</v>
      </c>
      <c r="K287" s="406">
        <f t="shared" si="17"/>
        <v>0</v>
      </c>
      <c r="L287" s="406">
        <f t="shared" si="18"/>
        <v>0</v>
      </c>
      <c r="M287" s="406">
        <f t="shared" si="19"/>
        <v>0</v>
      </c>
      <c r="N287" s="407"/>
      <c r="O287" s="371">
        <f t="shared" si="21"/>
        <v>0</v>
      </c>
    </row>
    <row r="288" spans="1:15" ht="24.95" customHeight="1">
      <c r="B288" s="233" t="s">
        <v>3022</v>
      </c>
      <c r="C288" s="409"/>
      <c r="D288" s="402">
        <f>IF(B288&lt;&gt;"",VLOOKUP(B288,R_DG!$A$7:$G$1305,2,0),"")</f>
        <v>0</v>
      </c>
      <c r="E288" s="403" t="str">
        <f>VLOOKUP(B288,R_DG!$A$7:$G$1305,3,0)</f>
        <v>Chụp kẹp quai, hotline</v>
      </c>
      <c r="F288" s="402" t="str">
        <f>VLOOKUP(B288,R_DG!$A$7:$G$1305,4,0)</f>
        <v>cái</v>
      </c>
      <c r="G288" s="404">
        <f>G286</f>
        <v>0</v>
      </c>
      <c r="H288" s="405">
        <f>VLOOKUP(B288,R_DG!$A$7:$G$1305,5,0)</f>
        <v>75000</v>
      </c>
      <c r="I288" s="405">
        <f>VLOOKUP(B288,R_DG!$A$7:$G$1305,6,0)</f>
        <v>0</v>
      </c>
      <c r="J288" s="405">
        <f>VLOOKUP(B288,R_DG!$A$7:$G$1305,7,0)</f>
        <v>0</v>
      </c>
      <c r="K288" s="406">
        <f>H288*G288</f>
        <v>0</v>
      </c>
      <c r="L288" s="406">
        <f>I288*G288</f>
        <v>0</v>
      </c>
      <c r="M288" s="406">
        <f>J288*G288</f>
        <v>0</v>
      </c>
      <c r="N288" s="407"/>
      <c r="O288" s="371">
        <f t="shared" si="21"/>
        <v>0</v>
      </c>
    </row>
    <row r="289" spans="1:15" ht="24.95" customHeight="1">
      <c r="B289" s="233" t="s">
        <v>155</v>
      </c>
      <c r="C289" s="409"/>
      <c r="D289" s="402">
        <f>IF(B289&lt;&gt;"",VLOOKUP(B289,R_DG!$A$7:$G$1305,2,0),"")</f>
        <v>0</v>
      </c>
      <c r="E289" s="403" t="str">
        <f>VLOOKUP(B289,R_DG!$A$7:$G$1305,3,0)</f>
        <v>Chụp đầu FCO</v>
      </c>
      <c r="F289" s="402" t="str">
        <f>VLOOKUP(B289,R_DG!$A$7:$G$1305,4,0)</f>
        <v>bộ</v>
      </c>
      <c r="G289" s="404">
        <f>G287</f>
        <v>0</v>
      </c>
      <c r="H289" s="405">
        <f>VLOOKUP(B289,R_DG!$A$7:$G$1305,5,0)</f>
        <v>230000</v>
      </c>
      <c r="I289" s="405">
        <f>VLOOKUP(B289,R_DG!$A$7:$G$1305,6,0)</f>
        <v>0</v>
      </c>
      <c r="J289" s="405">
        <f>VLOOKUP(B289,R_DG!$A$7:$G$1305,7,0)</f>
        <v>0</v>
      </c>
      <c r="K289" s="406">
        <f>H289*G289</f>
        <v>0</v>
      </c>
      <c r="L289" s="406">
        <f>I289*G289</f>
        <v>0</v>
      </c>
      <c r="M289" s="406">
        <f>J289*G289</f>
        <v>0</v>
      </c>
      <c r="N289" s="407"/>
      <c r="O289" s="371">
        <f t="shared" si="21"/>
        <v>0</v>
      </c>
    </row>
    <row r="290" spans="1:15" ht="24.95" customHeight="1">
      <c r="B290" s="233" t="s">
        <v>157</v>
      </c>
      <c r="C290" s="409"/>
      <c r="D290" s="402">
        <f>IF(B290&lt;&gt;"",VLOOKUP(B290,R_DG!$A$7:$G$1305,2,0),"")</f>
        <v>0</v>
      </c>
      <c r="E290" s="403" t="str">
        <f>VLOOKUP(B290,R_DG!$A$7:$G$1305,3,0)</f>
        <v>Chụp đầu LA</v>
      </c>
      <c r="F290" s="402" t="str">
        <f>VLOOKUP(B290,R_DG!$A$7:$G$1305,4,0)</f>
        <v>cái</v>
      </c>
      <c r="G290" s="404">
        <f>G288</f>
        <v>0</v>
      </c>
      <c r="H290" s="405">
        <f>VLOOKUP(B290,R_DG!$A$7:$G$1305,5,0)</f>
        <v>75000</v>
      </c>
      <c r="I290" s="405">
        <f>VLOOKUP(B290,R_DG!$A$7:$G$1305,6,0)</f>
        <v>0</v>
      </c>
      <c r="J290" s="405">
        <f>VLOOKUP(B290,R_DG!$A$7:$G$1305,7,0)</f>
        <v>0</v>
      </c>
      <c r="K290" s="406">
        <f>H290*G290</f>
        <v>0</v>
      </c>
      <c r="L290" s="406">
        <f>I290*G290</f>
        <v>0</v>
      </c>
      <c r="M290" s="406">
        <f>J290*G290</f>
        <v>0</v>
      </c>
      <c r="N290" s="407"/>
      <c r="O290" s="371">
        <f t="shared" si="21"/>
        <v>0</v>
      </c>
    </row>
    <row r="291" spans="1:15" ht="24.95" customHeight="1">
      <c r="B291" s="233" t="s">
        <v>626</v>
      </c>
      <c r="C291" s="409"/>
      <c r="D291" s="402" t="str">
        <f>IF(B291&lt;&gt;"",VLOOKUP(B291,R_DG!$A$7:$G$1305,2,0),"")</f>
        <v>D3.1122</v>
      </c>
      <c r="E291" s="403" t="str">
        <f>VLOOKUP(B291,R_DG!$A$7:$G$1305,3,0)</f>
        <v xml:space="preserve">Sứ đứng 24KV </v>
      </c>
      <c r="F291" s="402" t="str">
        <f>VLOOKUP(B291,R_DG!$A$7:$G$1305,4,0)</f>
        <v>cái</v>
      </c>
      <c r="G291" s="404">
        <v>0</v>
      </c>
      <c r="H291" s="405">
        <f>VLOOKUP(B291,R_DG!$A$7:$G$1305,5,0)</f>
        <v>185000</v>
      </c>
      <c r="I291" s="405">
        <f>VLOOKUP(B291,R_DG!$A$7:$G$1305,6,0)</f>
        <v>55458.14</v>
      </c>
      <c r="J291" s="405">
        <f>VLOOKUP(B291,R_DG!$A$7:$G$1305,7,0)</f>
        <v>0</v>
      </c>
      <c r="K291" s="406">
        <f t="shared" si="17"/>
        <v>0</v>
      </c>
      <c r="L291" s="406">
        <f t="shared" si="18"/>
        <v>0</v>
      </c>
      <c r="M291" s="406">
        <f t="shared" si="19"/>
        <v>0</v>
      </c>
      <c r="N291" s="407"/>
      <c r="O291" s="371">
        <f t="shared" si="21"/>
        <v>0</v>
      </c>
    </row>
    <row r="292" spans="1:15" ht="24.95" customHeight="1">
      <c r="B292" s="233" t="s">
        <v>384</v>
      </c>
      <c r="C292" s="409"/>
      <c r="D292" s="402">
        <f>IF(B292&lt;&gt;"",VLOOKUP(B292,R_DG!$A$7:$G$1305,2,0),"")</f>
        <v>0</v>
      </c>
      <c r="E292" s="403" t="str">
        <f>VLOOKUP(B292,R_DG!$A$7:$G$1305,3,0)</f>
        <v>Chân sứ đứng D20</v>
      </c>
      <c r="F292" s="402" t="str">
        <f>VLOOKUP(B292,R_DG!$A$7:$G$1305,4,0)</f>
        <v>cái</v>
      </c>
      <c r="G292" s="404">
        <f>G291</f>
        <v>0</v>
      </c>
      <c r="H292" s="405">
        <f>VLOOKUP(B292,R_DG!$A$7:$G$1305,5,0)</f>
        <v>56000</v>
      </c>
      <c r="I292" s="405">
        <f>VLOOKUP(B292,R_DG!$A$7:$G$1305,6,0)</f>
        <v>0</v>
      </c>
      <c r="J292" s="405">
        <f>VLOOKUP(B292,R_DG!$A$7:$G$1305,7,0)</f>
        <v>0</v>
      </c>
      <c r="K292" s="406">
        <f t="shared" si="17"/>
        <v>0</v>
      </c>
      <c r="L292" s="406">
        <f t="shared" si="18"/>
        <v>0</v>
      </c>
      <c r="M292" s="406">
        <f t="shared" si="19"/>
        <v>0</v>
      </c>
      <c r="N292" s="407"/>
      <c r="O292" s="371">
        <f t="shared" si="21"/>
        <v>0</v>
      </c>
    </row>
    <row r="293" spans="1:15" ht="24.95" customHeight="1">
      <c r="B293" s="233" t="s">
        <v>1409</v>
      </c>
      <c r="C293" s="409"/>
      <c r="D293" s="402" t="str">
        <f>IF(B293&lt;&gt;"",VLOOKUP(B293,R_DG!$A$7:$G$1305,2,0),"")</f>
        <v>D3.1115</v>
      </c>
      <c r="E293" s="403" t="str">
        <f>VLOOKUP(B293,R_DG!$A$7:$G$1305,3,0)</f>
        <v>Lắp sứ đứng 24KV</v>
      </c>
      <c r="F293" s="402" t="str">
        <f>VLOOKUP(B293,R_DG!$A$7:$G$1305,4,0)</f>
        <v>bộ</v>
      </c>
      <c r="G293" s="404">
        <f>G291</f>
        <v>0</v>
      </c>
      <c r="H293" s="405">
        <f>VLOOKUP(B293,R_DG!$A$7:$G$1305,5,0)</f>
        <v>0</v>
      </c>
      <c r="I293" s="405">
        <f>VLOOKUP(B293,R_DG!$A$7:$G$1305,6,0)</f>
        <v>55458.139999999992</v>
      </c>
      <c r="J293" s="405">
        <f>VLOOKUP(B293,R_DG!$A$7:$G$1305,7,0)</f>
        <v>0</v>
      </c>
      <c r="K293" s="406">
        <f t="shared" si="17"/>
        <v>0</v>
      </c>
      <c r="L293" s="406">
        <f t="shared" si="18"/>
        <v>0</v>
      </c>
      <c r="M293" s="406">
        <f t="shared" si="19"/>
        <v>0</v>
      </c>
      <c r="N293" s="407"/>
      <c r="O293" s="371">
        <f t="shared" si="21"/>
        <v>0</v>
      </c>
    </row>
    <row r="294" spans="1:15" ht="24.95" customHeight="1">
      <c r="B294" s="233" t="s">
        <v>2461</v>
      </c>
      <c r="C294" s="409"/>
      <c r="D294" s="402" t="str">
        <f>IF(B294&lt;&gt;"",VLOOKUP(B294,R_DG!$A$7:$G$1305,2,0),"")</f>
        <v>T4.4201</v>
      </c>
      <c r="E294" s="403" t="str">
        <f>VLOOKUP(B294,R_DG!$A$7:$G$1305,3,0)</f>
        <v>Lắp cáp đồng xuống thiết bị D ≤ 95mm2</v>
      </c>
      <c r="F294" s="402" t="str">
        <f>VLOOKUP(B294,R_DG!$A$7:$G$1305,4,0)</f>
        <v>m</v>
      </c>
      <c r="G294" s="404">
        <f>G285</f>
        <v>0</v>
      </c>
      <c r="H294" s="405">
        <f>VLOOKUP(B294,R_DG!$A$7:$G$1305,5,0)</f>
        <v>0</v>
      </c>
      <c r="I294" s="405">
        <f>VLOOKUP(B294,R_DG!$A$7:$G$1305,6,0)</f>
        <v>11847</v>
      </c>
      <c r="J294" s="405">
        <f>VLOOKUP(B294,R_DG!$A$7:$G$1305,7,0)</f>
        <v>0</v>
      </c>
      <c r="K294" s="406">
        <f t="shared" si="17"/>
        <v>0</v>
      </c>
      <c r="L294" s="406">
        <f t="shared" si="18"/>
        <v>0</v>
      </c>
      <c r="M294" s="406">
        <f t="shared" si="19"/>
        <v>0</v>
      </c>
      <c r="N294" s="407"/>
      <c r="O294" s="371">
        <f t="shared" si="21"/>
        <v>0</v>
      </c>
    </row>
    <row r="295" spans="1:15" ht="24.95" customHeight="1">
      <c r="A295" s="397" t="s">
        <v>2511</v>
      </c>
      <c r="B295" s="232"/>
      <c r="C295" s="411">
        <f>IF(G295&gt;0,COUNTIF($C$17:C294,"&gt;0")+1,0)</f>
        <v>0</v>
      </c>
      <c r="D295" s="411" t="str">
        <f>IF(B295&lt;&gt;"",VLOOKUP(B295,R_DG!$A$7:$G$1305,2,0),"")</f>
        <v/>
      </c>
      <c r="E295" s="411" t="s">
        <v>2512</v>
      </c>
      <c r="F295" s="411" t="s">
        <v>163</v>
      </c>
      <c r="G295" s="411">
        <f>IF(B4=3,1,0)</f>
        <v>0</v>
      </c>
      <c r="H295" s="411"/>
      <c r="I295" s="411"/>
      <c r="J295" s="411"/>
      <c r="K295" s="411">
        <f t="shared" si="17"/>
        <v>0</v>
      </c>
      <c r="L295" s="411">
        <f t="shared" si="18"/>
        <v>0</v>
      </c>
      <c r="M295" s="411">
        <f t="shared" si="19"/>
        <v>0</v>
      </c>
      <c r="N295" s="410"/>
      <c r="O295" s="371">
        <f t="shared" si="21"/>
        <v>0</v>
      </c>
    </row>
    <row r="296" spans="1:15" ht="24.95" customHeight="1">
      <c r="B296" s="232"/>
      <c r="C296" s="408"/>
      <c r="D296" s="402" t="str">
        <f>IF(B296&lt;&gt;"",VLOOKUP(B296,R_DG!$A$7:$G$1305,2,0),"")</f>
        <v/>
      </c>
      <c r="E296" s="379" t="s">
        <v>2432</v>
      </c>
      <c r="F296" s="409"/>
      <c r="G296" s="409"/>
      <c r="H296" s="406"/>
      <c r="I296" s="406"/>
      <c r="J296" s="405"/>
      <c r="K296" s="406">
        <f t="shared" si="17"/>
        <v>0</v>
      </c>
      <c r="L296" s="406">
        <f t="shared" si="18"/>
        <v>0</v>
      </c>
      <c r="M296" s="406">
        <f t="shared" si="19"/>
        <v>0</v>
      </c>
      <c r="N296" s="407"/>
      <c r="O296" s="371">
        <f t="shared" si="21"/>
        <v>0</v>
      </c>
    </row>
    <row r="297" spans="1:15" ht="24.95" customHeight="1">
      <c r="B297" s="231" t="s">
        <v>197</v>
      </c>
      <c r="C297" s="409"/>
      <c r="D297" s="402">
        <f>IF(B297&lt;&gt;"",VLOOKUP(B297,R_DG!$A$7:$G$1305,2,0),"")</f>
        <v>0</v>
      </c>
      <c r="E297" s="403" t="str">
        <f>VLOOKUP(B297,R_DG!$A$7:$G$1305,3,0)</f>
        <v>Cáp 24KV C/XLPE/PVC 25mm2</v>
      </c>
      <c r="F297" s="402" t="str">
        <f>VLOOKUP(B297,R_DG!$A$7:$G$1305,4,0)</f>
        <v>mét</v>
      </c>
      <c r="G297" s="404">
        <f>G295*6*3</f>
        <v>0</v>
      </c>
      <c r="H297" s="405">
        <f>VLOOKUP(B297,R_DG!$A$7:$G$1305,5,0)</f>
        <v>57600</v>
      </c>
      <c r="I297" s="405">
        <f>VLOOKUP(B297,R_DG!$A$7:$G$1305,6,0)</f>
        <v>0</v>
      </c>
      <c r="J297" s="405">
        <f>VLOOKUP(B297,R_DG!$A$7:$G$1305,7,0)</f>
        <v>0</v>
      </c>
      <c r="K297" s="406">
        <f t="shared" si="17"/>
        <v>0</v>
      </c>
      <c r="L297" s="406">
        <f t="shared" ref="L297:L314" si="22">I297*G297</f>
        <v>0</v>
      </c>
      <c r="M297" s="406">
        <f t="shared" si="19"/>
        <v>0</v>
      </c>
      <c r="N297" s="407"/>
      <c r="O297" s="371">
        <f t="shared" si="21"/>
        <v>0</v>
      </c>
    </row>
    <row r="298" spans="1:15" ht="24.95" customHeight="1">
      <c r="B298" s="233" t="s">
        <v>518</v>
      </c>
      <c r="C298" s="409"/>
      <c r="D298" s="402" t="str">
        <f>IF(B298&lt;&gt;"",VLOOKUP(B298,R_DG!$A$7:$G$1305,2,0),"")</f>
        <v>D6.6201</v>
      </c>
      <c r="E298" s="403" t="str">
        <f>VLOOKUP(B298,R_DG!$A$7:$G$1305,3,0)</f>
        <v>Kẹp quai 2/0</v>
      </c>
      <c r="F298" s="402" t="str">
        <f>VLOOKUP(B298,R_DG!$A$7:$G$1305,4,0)</f>
        <v>cái</v>
      </c>
      <c r="G298" s="404">
        <f>G295*3</f>
        <v>0</v>
      </c>
      <c r="H298" s="405">
        <f>VLOOKUP(B298,R_DG!$A$7:$G$1305,5,0)</f>
        <v>35200</v>
      </c>
      <c r="I298" s="405">
        <f>VLOOKUP(B298,R_DG!$A$7:$G$1305,6,0)</f>
        <v>98156</v>
      </c>
      <c r="J298" s="405">
        <f>VLOOKUP(B298,R_DG!$A$7:$G$1305,7,0)</f>
        <v>0</v>
      </c>
      <c r="K298" s="406">
        <f t="shared" si="17"/>
        <v>0</v>
      </c>
      <c r="L298" s="406">
        <f t="shared" si="22"/>
        <v>0</v>
      </c>
      <c r="M298" s="406">
        <f t="shared" si="19"/>
        <v>0</v>
      </c>
      <c r="N298" s="407"/>
      <c r="O298" s="371">
        <f t="shared" si="21"/>
        <v>0</v>
      </c>
    </row>
    <row r="299" spans="1:15" ht="24.95" customHeight="1">
      <c r="B299" s="233" t="s">
        <v>523</v>
      </c>
      <c r="C299" s="409"/>
      <c r="D299" s="402" t="str">
        <f>IF(B299&lt;&gt;"",VLOOKUP(B299,R_DG!$A$7:$G$1305,2,0),"")</f>
        <v>D6.6202</v>
      </c>
      <c r="E299" s="403" t="str">
        <f>VLOOKUP(B299,R_DG!$A$7:$G$1305,3,0)</f>
        <v>Kẹp hotline 2/0</v>
      </c>
      <c r="F299" s="402" t="str">
        <f>VLOOKUP(B299,R_DG!$A$7:$G$1305,4,0)</f>
        <v>cái</v>
      </c>
      <c r="G299" s="404">
        <f>G298</f>
        <v>0</v>
      </c>
      <c r="H299" s="405">
        <f>VLOOKUP(B299,R_DG!$A$7:$G$1305,5,0)</f>
        <v>77000</v>
      </c>
      <c r="I299" s="405">
        <f>VLOOKUP(B299,R_DG!$A$7:$G$1305,6,0)</f>
        <v>122695</v>
      </c>
      <c r="J299" s="405">
        <f>VLOOKUP(B299,R_DG!$A$7:$G$1305,7,0)</f>
        <v>0</v>
      </c>
      <c r="K299" s="406">
        <f t="shared" si="17"/>
        <v>0</v>
      </c>
      <c r="L299" s="406">
        <f t="shared" si="22"/>
        <v>0</v>
      </c>
      <c r="M299" s="406">
        <f t="shared" si="19"/>
        <v>0</v>
      </c>
      <c r="N299" s="407"/>
      <c r="O299" s="371">
        <f t="shared" si="21"/>
        <v>0</v>
      </c>
    </row>
    <row r="300" spans="1:15" ht="24.95" customHeight="1">
      <c r="B300" s="233" t="s">
        <v>3022</v>
      </c>
      <c r="C300" s="409"/>
      <c r="D300" s="402">
        <f>IF(B300&lt;&gt;"",VLOOKUP(B300,R_DG!$A$7:$G$1305,2,0),"")</f>
        <v>0</v>
      </c>
      <c r="E300" s="403" t="str">
        <f>VLOOKUP(B300,R_DG!$A$7:$G$1305,3,0)</f>
        <v>Chụp kẹp quai, hotline</v>
      </c>
      <c r="F300" s="402" t="str">
        <f>VLOOKUP(B300,R_DG!$A$7:$G$1305,4,0)</f>
        <v>cái</v>
      </c>
      <c r="G300" s="404">
        <f>G298</f>
        <v>0</v>
      </c>
      <c r="H300" s="405">
        <f>VLOOKUP(B300,R_DG!$A$7:$G$1305,5,0)</f>
        <v>75000</v>
      </c>
      <c r="I300" s="405">
        <f>VLOOKUP(B300,R_DG!$A$7:$G$1305,6,0)</f>
        <v>0</v>
      </c>
      <c r="J300" s="405">
        <f>VLOOKUP(B300,R_DG!$A$7:$G$1305,7,0)</f>
        <v>0</v>
      </c>
      <c r="K300" s="406">
        <f t="shared" si="17"/>
        <v>0</v>
      </c>
      <c r="L300" s="406">
        <f t="shared" si="22"/>
        <v>0</v>
      </c>
      <c r="M300" s="406">
        <f t="shared" si="19"/>
        <v>0</v>
      </c>
      <c r="N300" s="407"/>
      <c r="O300" s="371">
        <f t="shared" si="21"/>
        <v>0</v>
      </c>
    </row>
    <row r="301" spans="1:15" ht="24.95" customHeight="1">
      <c r="B301" s="233" t="s">
        <v>626</v>
      </c>
      <c r="C301" s="409"/>
      <c r="D301" s="402" t="str">
        <f>IF(B301&lt;&gt;"",VLOOKUP(B301,R_DG!$A$7:$G$1305,2,0),"")</f>
        <v>D3.1122</v>
      </c>
      <c r="E301" s="403" t="str">
        <f>VLOOKUP(B301,R_DG!$A$7:$G$1305,3,0)</f>
        <v xml:space="preserve">Sứ đứng 24KV </v>
      </c>
      <c r="F301" s="402" t="str">
        <f>VLOOKUP(B301,R_DG!$A$7:$G$1305,4,0)</f>
        <v>cái</v>
      </c>
      <c r="G301" s="404">
        <v>0</v>
      </c>
      <c r="H301" s="405">
        <f>VLOOKUP(B301,R_DG!$A$7:$G$1305,5,0)</f>
        <v>185000</v>
      </c>
      <c r="I301" s="405">
        <f>VLOOKUP(B301,R_DG!$A$7:$G$1305,6,0)</f>
        <v>55458.14</v>
      </c>
      <c r="J301" s="405">
        <f>VLOOKUP(B301,R_DG!$A$7:$G$1305,7,0)</f>
        <v>0</v>
      </c>
      <c r="K301" s="406">
        <f>H301*G301</f>
        <v>0</v>
      </c>
      <c r="L301" s="406">
        <f t="shared" si="22"/>
        <v>0</v>
      </c>
      <c r="M301" s="406">
        <f>J301*G301</f>
        <v>0</v>
      </c>
      <c r="N301" s="407"/>
      <c r="O301" s="371">
        <f t="shared" si="21"/>
        <v>0</v>
      </c>
    </row>
    <row r="302" spans="1:15" ht="24.95" customHeight="1">
      <c r="B302" s="233" t="s">
        <v>384</v>
      </c>
      <c r="C302" s="409"/>
      <c r="D302" s="402">
        <f>IF(B302&lt;&gt;"",VLOOKUP(B302,R_DG!$A$7:$G$1305,2,0),"")</f>
        <v>0</v>
      </c>
      <c r="E302" s="403" t="str">
        <f>VLOOKUP(B302,R_DG!$A$7:$G$1305,3,0)</f>
        <v>Chân sứ đứng D20</v>
      </c>
      <c r="F302" s="402" t="str">
        <f>VLOOKUP(B302,R_DG!$A$7:$G$1305,4,0)</f>
        <v>cái</v>
      </c>
      <c r="G302" s="404">
        <f>G301</f>
        <v>0</v>
      </c>
      <c r="H302" s="405">
        <f>VLOOKUP(B302,R_DG!$A$7:$G$1305,5,0)</f>
        <v>56000</v>
      </c>
      <c r="I302" s="405">
        <f>VLOOKUP(B302,R_DG!$A$7:$G$1305,6,0)</f>
        <v>0</v>
      </c>
      <c r="J302" s="405">
        <f>VLOOKUP(B302,R_DG!$A$7:$G$1305,7,0)</f>
        <v>0</v>
      </c>
      <c r="K302" s="406">
        <f>H302*G302</f>
        <v>0</v>
      </c>
      <c r="L302" s="406">
        <f t="shared" si="22"/>
        <v>0</v>
      </c>
      <c r="M302" s="406">
        <f>J302*G302</f>
        <v>0</v>
      </c>
      <c r="N302" s="407"/>
      <c r="O302" s="371">
        <f t="shared" si="21"/>
        <v>0</v>
      </c>
    </row>
    <row r="303" spans="1:15" ht="24.95" customHeight="1">
      <c r="B303" s="233" t="s">
        <v>1409</v>
      </c>
      <c r="C303" s="409"/>
      <c r="D303" s="402" t="str">
        <f>IF(B303&lt;&gt;"",VLOOKUP(B303,R_DG!$A$7:$G$1305,2,0),"")</f>
        <v>D3.1115</v>
      </c>
      <c r="E303" s="403" t="str">
        <f>VLOOKUP(B303,R_DG!$A$7:$G$1305,3,0)</f>
        <v>Lắp sứ đứng 24KV</v>
      </c>
      <c r="F303" s="402" t="str">
        <f>VLOOKUP(B303,R_DG!$A$7:$G$1305,4,0)</f>
        <v>bộ</v>
      </c>
      <c r="G303" s="404">
        <f>G301</f>
        <v>0</v>
      </c>
      <c r="H303" s="405">
        <f>VLOOKUP(B303,R_DG!$A$7:$G$1305,5,0)</f>
        <v>0</v>
      </c>
      <c r="I303" s="405">
        <f>VLOOKUP(B303,R_DG!$A$7:$G$1305,6,0)</f>
        <v>55458.139999999992</v>
      </c>
      <c r="J303" s="405">
        <f>VLOOKUP(B303,R_DG!$A$7:$G$1305,7,0)</f>
        <v>0</v>
      </c>
      <c r="K303" s="406">
        <f>H303*G303</f>
        <v>0</v>
      </c>
      <c r="L303" s="406">
        <f t="shared" si="22"/>
        <v>0</v>
      </c>
      <c r="M303" s="406">
        <f>J303*G303</f>
        <v>0</v>
      </c>
      <c r="N303" s="407"/>
      <c r="O303" s="371">
        <f t="shared" si="21"/>
        <v>0</v>
      </c>
    </row>
    <row r="304" spans="1:15" ht="24.95" customHeight="1">
      <c r="B304" s="233" t="s">
        <v>2461</v>
      </c>
      <c r="C304" s="409"/>
      <c r="D304" s="402" t="str">
        <f>IF(B304&lt;&gt;"",VLOOKUP(B304,R_DG!$A$7:$G$1305,2,0),"")</f>
        <v>T4.4201</v>
      </c>
      <c r="E304" s="403" t="str">
        <f>VLOOKUP(B304,R_DG!$A$7:$G$1305,3,0)</f>
        <v>Lắp cáp đồng xuống thiết bị D ≤ 95mm2</v>
      </c>
      <c r="F304" s="402" t="str">
        <f>VLOOKUP(B304,R_DG!$A$7:$G$1305,4,0)</f>
        <v>m</v>
      </c>
      <c r="G304" s="404">
        <f>G297</f>
        <v>0</v>
      </c>
      <c r="H304" s="405">
        <f>VLOOKUP(B304,R_DG!$A$7:$G$1305,5,0)</f>
        <v>0</v>
      </c>
      <c r="I304" s="405">
        <f>VLOOKUP(B304,R_DG!$A$7:$G$1305,6,0)</f>
        <v>11847</v>
      </c>
      <c r="J304" s="405">
        <f>VLOOKUP(B304,R_DG!$A$7:$G$1305,7,0)</f>
        <v>0</v>
      </c>
      <c r="K304" s="406">
        <f>H304*G304</f>
        <v>0</v>
      </c>
      <c r="L304" s="406">
        <f t="shared" si="22"/>
        <v>0</v>
      </c>
      <c r="M304" s="406">
        <f>J304*G304</f>
        <v>0</v>
      </c>
      <c r="N304" s="407"/>
      <c r="O304" s="371">
        <f t="shared" si="21"/>
        <v>0</v>
      </c>
    </row>
    <row r="305" spans="1:15" ht="24.95" customHeight="1">
      <c r="A305" s="397" t="s">
        <v>2483</v>
      </c>
      <c r="B305" s="232"/>
      <c r="C305" s="411">
        <f>IF(G305&gt;0,COUNTIF($C$17:C304,"&gt;0")+1,0)</f>
        <v>0</v>
      </c>
      <c r="D305" s="411" t="str">
        <f>IF(B305&lt;&gt;"",VLOOKUP(B305,R_DG!$A$7:$G$1305,2,0),"")</f>
        <v/>
      </c>
      <c r="E305" s="411" t="s">
        <v>2513</v>
      </c>
      <c r="F305" s="411" t="s">
        <v>163</v>
      </c>
      <c r="G305" s="411">
        <f>IF(B4=1,1,0)</f>
        <v>0</v>
      </c>
      <c r="H305" s="411"/>
      <c r="I305" s="411"/>
      <c r="J305" s="411"/>
      <c r="K305" s="411">
        <f t="shared" si="17"/>
        <v>0</v>
      </c>
      <c r="L305" s="411">
        <f t="shared" si="22"/>
        <v>0</v>
      </c>
      <c r="M305" s="411">
        <f t="shared" si="19"/>
        <v>0</v>
      </c>
      <c r="N305" s="410"/>
      <c r="O305" s="371">
        <f t="shared" si="21"/>
        <v>0</v>
      </c>
    </row>
    <row r="306" spans="1:15" ht="24.95" customHeight="1">
      <c r="B306" s="232"/>
      <c r="C306" s="408"/>
      <c r="D306" s="402" t="str">
        <f>IF(B306&lt;&gt;"",VLOOKUP(B306,R_DG!$A$7:$G$1305,2,0),"")</f>
        <v/>
      </c>
      <c r="E306" s="379" t="s">
        <v>2432</v>
      </c>
      <c r="F306" s="408"/>
      <c r="G306" s="408"/>
      <c r="H306" s="406"/>
      <c r="I306" s="406"/>
      <c r="J306" s="405"/>
      <c r="K306" s="406">
        <f t="shared" si="17"/>
        <v>0</v>
      </c>
      <c r="L306" s="406">
        <f t="shared" si="22"/>
        <v>0</v>
      </c>
      <c r="M306" s="406">
        <f t="shared" si="19"/>
        <v>0</v>
      </c>
      <c r="N306" s="407"/>
      <c r="O306" s="371">
        <f t="shared" si="21"/>
        <v>0</v>
      </c>
    </row>
    <row r="307" spans="1:15" ht="24.95" customHeight="1">
      <c r="B307" s="232" t="str">
        <f>IF(A4&gt;0,"CV"&amp;VLOOKUP(A$2,TBA,IF(A5*1=1,10,12),0),"NONE")</f>
        <v>NONE</v>
      </c>
      <c r="C307" s="408"/>
      <c r="D307" s="402">
        <f>IF(B307&lt;&gt;"",VLOOKUP(B307,R_DG!$A$7:$G$1305,2,0),"")</f>
        <v>0</v>
      </c>
      <c r="E307" s="403">
        <f>VLOOKUP(B307,R_DG!$A$7:$G$1305,3,0)</f>
        <v>0</v>
      </c>
      <c r="F307" s="402">
        <f>VLOOKUP(B307,R_DG!$A$7:$G$1305,4,0)</f>
        <v>0</v>
      </c>
      <c r="G307" s="404">
        <f>IF(A4&gt;0,VLOOKUP(A2,TBA,IF(A5*1=1,11,13),0),0)*9*IF(A5*1=1,1,2)</f>
        <v>0</v>
      </c>
      <c r="H307" s="405">
        <f>VLOOKUP(B307,R_DG!$A$7:$G$1305,5,0)</f>
        <v>0</v>
      </c>
      <c r="I307" s="405">
        <f>VLOOKUP(B307,R_DG!$A$7:$G$1305,6,0)</f>
        <v>0</v>
      </c>
      <c r="J307" s="405">
        <f>VLOOKUP(B307,R_DG!$A$7:$G$1305,7,0)</f>
        <v>0</v>
      </c>
      <c r="K307" s="406">
        <f t="shared" si="17"/>
        <v>0</v>
      </c>
      <c r="L307" s="406">
        <f t="shared" si="22"/>
        <v>0</v>
      </c>
      <c r="M307" s="406">
        <f t="shared" si="19"/>
        <v>0</v>
      </c>
      <c r="N307" s="407"/>
      <c r="O307" s="371">
        <f t="shared" si="21"/>
        <v>0</v>
      </c>
    </row>
    <row r="308" spans="1:15">
      <c r="B308" s="232" t="str">
        <f>IF(B307="NONE","NONE","CV"&amp;Selectdown(RIGHT(B307,LEN(B307)-2),SETTING!$AF$25:$AF$33))</f>
        <v>NONE</v>
      </c>
      <c r="C308" s="408"/>
      <c r="D308" s="402">
        <f>IF(B308&lt;&gt;"",VLOOKUP(B308,R_DG!$A$7:$G$1305,2,0),"")</f>
        <v>0</v>
      </c>
      <c r="E308" s="403">
        <f>VLOOKUP(B308,R_DG!$A$7:$G$1305,3,0)</f>
        <v>0</v>
      </c>
      <c r="F308" s="402">
        <f>VLOOKUP(B308,R_DG!$A$7:$G$1305,4,0)</f>
        <v>0</v>
      </c>
      <c r="G308" s="404">
        <f>IF(A4&gt;0,VLOOKUP(A2,TBA,IF(A5*1=1,11,13),0),0)*10*IF(A5*1=1,1,2)</f>
        <v>0</v>
      </c>
      <c r="H308" s="405">
        <f>VLOOKUP(B308,R_DG!$A$7:$G$1305,5,0)</f>
        <v>0</v>
      </c>
      <c r="I308" s="405">
        <f>VLOOKUP(B308,R_DG!$A$7:$G$1305,6,0)</f>
        <v>0</v>
      </c>
      <c r="J308" s="405">
        <f>VLOOKUP(B308,R_DG!$A$7:$G$1305,7,0)</f>
        <v>0</v>
      </c>
      <c r="K308" s="406">
        <f>H308*G308</f>
        <v>0</v>
      </c>
      <c r="L308" s="406">
        <f>I308*G308</f>
        <v>0</v>
      </c>
      <c r="M308" s="406">
        <f>J308*G308</f>
        <v>0</v>
      </c>
      <c r="N308" s="407"/>
      <c r="O308" s="371">
        <f t="shared" si="21"/>
        <v>0</v>
      </c>
    </row>
    <row r="309" spans="1:15">
      <c r="B309" s="232" t="s">
        <v>4537</v>
      </c>
      <c r="C309" s="408"/>
      <c r="D309" s="402">
        <f>IF(B309&lt;&gt;"",VLOOKUP(B309,R_DG!$A$7:$G$1305,2,0),"")</f>
        <v>0</v>
      </c>
      <c r="E309" s="403" t="str">
        <f>VLOOKUP(B309,R_DG!$A$7:$G$1305,3,0)</f>
        <v xml:space="preserve">Cáp CVV 4x4mm2 </v>
      </c>
      <c r="F309" s="402" t="str">
        <f>VLOOKUP(B309,R_DG!$A$7:$G$1305,4,0)</f>
        <v>mét</v>
      </c>
      <c r="G309" s="404"/>
      <c r="H309" s="405">
        <f>VLOOKUP(B309,R_DG!$A$7:$G$1305,5,0)</f>
        <v>30000</v>
      </c>
      <c r="I309" s="405">
        <f>VLOOKUP(B309,R_DG!$A$7:$G$1305,6,0)</f>
        <v>0</v>
      </c>
      <c r="J309" s="405">
        <f>VLOOKUP(B309,R_DG!$A$7:$G$1305,7,0)</f>
        <v>0</v>
      </c>
      <c r="K309" s="406">
        <f t="shared" ref="K309:K360" si="23">H309*G309</f>
        <v>0</v>
      </c>
      <c r="L309" s="406">
        <f t="shared" si="22"/>
        <v>0</v>
      </c>
      <c r="M309" s="406">
        <f t="shared" ref="M309:M360" si="24">J309*G309</f>
        <v>0</v>
      </c>
      <c r="N309" s="407"/>
      <c r="O309" s="371">
        <f t="shared" si="21"/>
        <v>0</v>
      </c>
    </row>
    <row r="310" spans="1:15">
      <c r="B310" s="232" t="str">
        <f>IF(A4&gt;0,"Cos"&amp;RIGHT(B307,LEN(B307)-2),"NONE")</f>
        <v>NONE</v>
      </c>
      <c r="C310" s="409"/>
      <c r="D310" s="402">
        <f>IF(B310&lt;&gt;"",VLOOKUP(B310,R_DG!$A$7:$G$1305,2,0),"")</f>
        <v>0</v>
      </c>
      <c r="E310" s="403">
        <f>VLOOKUP(B310,R_DG!$A$7:$G$1305,3,0)</f>
        <v>0</v>
      </c>
      <c r="F310" s="402">
        <f>VLOOKUP(B310,R_DG!$A$7:$G$1305,4,0)</f>
        <v>0</v>
      </c>
      <c r="G310" s="404">
        <f>G305*IF(A$4&gt;0,VLOOKUP(A$2,TBA,IF(A$5*1=1,11,13),0),0)*IF(A$5*1=1,1,2)</f>
        <v>0</v>
      </c>
      <c r="H310" s="405">
        <f>VLOOKUP(B310,R_DG!$A$7:$G$1305,5,0)</f>
        <v>0</v>
      </c>
      <c r="I310" s="405">
        <f>VLOOKUP(B310,R_DG!$A$7:$G$1305,6,0)</f>
        <v>0</v>
      </c>
      <c r="J310" s="405">
        <f>VLOOKUP(B310,R_DG!$A$7:$G$1305,7,0)</f>
        <v>0</v>
      </c>
      <c r="K310" s="406">
        <f t="shared" si="23"/>
        <v>0</v>
      </c>
      <c r="L310" s="406">
        <f t="shared" si="22"/>
        <v>0</v>
      </c>
      <c r="M310" s="406">
        <f t="shared" si="24"/>
        <v>0</v>
      </c>
      <c r="N310" s="407"/>
      <c r="O310" s="371">
        <f t="shared" si="21"/>
        <v>0</v>
      </c>
    </row>
    <row r="311" spans="1:15">
      <c r="B311" s="232" t="str">
        <f>IF(A4&gt;0,"Cos"&amp;RIGHT(B308,LEN(B308)-2),"NONE")</f>
        <v>NONE</v>
      </c>
      <c r="C311" s="409"/>
      <c r="D311" s="402">
        <f>IF(B311&lt;&gt;"",VLOOKUP(B311,R_DG!$A$7:$G$1305,2,0),"")</f>
        <v>0</v>
      </c>
      <c r="E311" s="403">
        <f>VLOOKUP(B311,R_DG!$A$7:$G$1305,3,0)</f>
        <v>0</v>
      </c>
      <c r="F311" s="402">
        <f>VLOOKUP(B311,R_DG!$A$7:$G$1305,4,0)</f>
        <v>0</v>
      </c>
      <c r="G311" s="404">
        <f>G305*IF(A$4&gt;0,VLOOKUP(A$2,TBA,IF(A$5*1=1,11,13),0),0)</f>
        <v>0</v>
      </c>
      <c r="H311" s="405">
        <f>VLOOKUP(B311,R_DG!$A$7:$G$1305,5,0)</f>
        <v>0</v>
      </c>
      <c r="I311" s="405">
        <f>VLOOKUP(B311,R_DG!$A$7:$G$1305,6,0)</f>
        <v>0</v>
      </c>
      <c r="J311" s="405">
        <f>VLOOKUP(B311,R_DG!$A$7:$G$1305,7,0)</f>
        <v>0</v>
      </c>
      <c r="K311" s="406">
        <f>H311*G311</f>
        <v>0</v>
      </c>
      <c r="L311" s="406">
        <f>I311*G311</f>
        <v>0</v>
      </c>
      <c r="M311" s="406">
        <f>J311*G311</f>
        <v>0</v>
      </c>
      <c r="N311" s="407"/>
      <c r="O311" s="371">
        <f t="shared" si="21"/>
        <v>0</v>
      </c>
    </row>
    <row r="312" spans="1:15">
      <c r="B312" s="232" t="str">
        <f>IF(A4&gt;0,"chCos"&amp;RIGHT(B307,LEN(B307)-2),"NONE")</f>
        <v>NONE</v>
      </c>
      <c r="C312" s="409"/>
      <c r="D312" s="402">
        <f>IF(B312&lt;&gt;"",VLOOKUP(B312,R_DG!$A$7:$G$1305,2,0),"")</f>
        <v>0</v>
      </c>
      <c r="E312" s="403">
        <f>VLOOKUP(B312,R_DG!$A$7:$G$1305,3,0)</f>
        <v>0</v>
      </c>
      <c r="F312" s="402">
        <f>VLOOKUP(B312,R_DG!$A$7:$G$1305,4,0)</f>
        <v>0</v>
      </c>
      <c r="G312" s="404">
        <f>G310</f>
        <v>0</v>
      </c>
      <c r="H312" s="405">
        <f>VLOOKUP(B312,R_DG!$A$7:$G$1305,5,0)</f>
        <v>0</v>
      </c>
      <c r="I312" s="405">
        <f>VLOOKUP(B312,R_DG!$A$7:$G$1305,6,0)</f>
        <v>0</v>
      </c>
      <c r="J312" s="405">
        <f>VLOOKUP(B312,R_DG!$A$7:$G$1305,7,0)</f>
        <v>0</v>
      </c>
      <c r="K312" s="406">
        <f t="shared" si="23"/>
        <v>0</v>
      </c>
      <c r="L312" s="406">
        <f t="shared" si="22"/>
        <v>0</v>
      </c>
      <c r="M312" s="406">
        <f t="shared" si="24"/>
        <v>0</v>
      </c>
      <c r="N312" s="407"/>
      <c r="O312" s="371">
        <f t="shared" si="21"/>
        <v>0</v>
      </c>
    </row>
    <row r="313" spans="1:15">
      <c r="B313" s="232" t="str">
        <f>IF(A4&gt;0,"chCos"&amp;RIGHT(B308,LEN(B308)-2),"NONE")</f>
        <v>NONE</v>
      </c>
      <c r="C313" s="409"/>
      <c r="D313" s="402">
        <f>IF(B313&lt;&gt;"",VLOOKUP(B313,R_DG!$A$7:$G$1305,2,0),"")</f>
        <v>0</v>
      </c>
      <c r="E313" s="403">
        <f>VLOOKUP(B313,R_DG!$A$7:$G$1305,3,0)</f>
        <v>0</v>
      </c>
      <c r="F313" s="402">
        <f>VLOOKUP(B313,R_DG!$A$7:$G$1305,4,0)</f>
        <v>0</v>
      </c>
      <c r="G313" s="404">
        <f>G311</f>
        <v>0</v>
      </c>
      <c r="H313" s="405">
        <f>VLOOKUP(B313,R_DG!$A$7:$G$1305,5,0)</f>
        <v>0</v>
      </c>
      <c r="I313" s="405">
        <f>VLOOKUP(B313,R_DG!$A$7:$G$1305,6,0)</f>
        <v>0</v>
      </c>
      <c r="J313" s="405">
        <f>VLOOKUP(B313,R_DG!$A$7:$G$1305,7,0)</f>
        <v>0</v>
      </c>
      <c r="K313" s="406">
        <f>H313*G313</f>
        <v>0</v>
      </c>
      <c r="L313" s="406">
        <f>I313*G313</f>
        <v>0</v>
      </c>
      <c r="M313" s="406">
        <f>J313*G313</f>
        <v>0</v>
      </c>
      <c r="N313" s="407"/>
      <c r="O313" s="371">
        <f t="shared" si="21"/>
        <v>0</v>
      </c>
    </row>
    <row r="314" spans="1:15">
      <c r="B314" s="232" t="str">
        <f>"PVC"&amp;IF(RIGHT(B307,LEN(B307)-2)&gt;120,"114","90")</f>
        <v>PVC114</v>
      </c>
      <c r="C314" s="409"/>
      <c r="D314" s="402">
        <f>IF(B314&lt;&gt;"",VLOOKUP(B314,R_DG!$A$7:$G$1305,2,0),"")</f>
        <v>0</v>
      </c>
      <c r="E314" s="403" t="str">
        <f>VLOOKUP(B314,R_DG!$A$7:$G$1305,3,0)</f>
        <v xml:space="preserve">Ống PVC D114x4,9mm </v>
      </c>
      <c r="F314" s="402" t="str">
        <f>VLOOKUP(B314,R_DG!$A$7:$G$1305,4,0)</f>
        <v>m</v>
      </c>
      <c r="G314" s="404">
        <f>G305*8</f>
        <v>0</v>
      </c>
      <c r="H314" s="405">
        <f>VLOOKUP(B314,R_DG!$A$7:$G$1305,5,0)</f>
        <v>103700</v>
      </c>
      <c r="I314" s="405">
        <f>VLOOKUP(B314,R_DG!$A$7:$G$1305,6,0)</f>
        <v>0</v>
      </c>
      <c r="J314" s="405">
        <f>VLOOKUP(B314,R_DG!$A$7:$G$1305,7,0)</f>
        <v>0</v>
      </c>
      <c r="K314" s="406">
        <f t="shared" si="23"/>
        <v>0</v>
      </c>
      <c r="L314" s="406">
        <f t="shared" si="22"/>
        <v>0</v>
      </c>
      <c r="M314" s="406">
        <f t="shared" si="24"/>
        <v>0</v>
      </c>
      <c r="N314" s="407"/>
      <c r="O314" s="371">
        <f t="shared" si="21"/>
        <v>0</v>
      </c>
    </row>
    <row r="315" spans="1:15">
      <c r="B315" s="226" t="str">
        <f>"CD"&amp;RIGHT(B314,LEN(B314)-3)</f>
        <v>CD114</v>
      </c>
      <c r="C315" s="409"/>
      <c r="D315" s="402">
        <f>IF(B315&lt;&gt;"",VLOOKUP(B315,R_DG!$A$7:$G$1305,2,0),"")</f>
        <v>0</v>
      </c>
      <c r="E315" s="403" t="str">
        <f>VLOOKUP(B315,R_DG!$A$7:$G$1305,3,0)</f>
        <v>Collier kẹp ống PVC φ 114</v>
      </c>
      <c r="F315" s="402" t="str">
        <f>VLOOKUP(B315,R_DG!$A$7:$G$1305,4,0)</f>
        <v>bộ</v>
      </c>
      <c r="G315" s="404">
        <f>G305*3</f>
        <v>0</v>
      </c>
      <c r="H315" s="405">
        <f>VLOOKUP(B315,R_DG!$A$7:$G$1305,5,0)</f>
        <v>59000</v>
      </c>
      <c r="I315" s="405">
        <f>VLOOKUP(B315,R_DG!$A$7:$G$1305,6,0)</f>
        <v>0</v>
      </c>
      <c r="J315" s="405">
        <f>VLOOKUP(B315,R_DG!$A$7:$G$1305,7,0)</f>
        <v>0</v>
      </c>
      <c r="K315" s="406">
        <f t="shared" si="23"/>
        <v>0</v>
      </c>
      <c r="L315" s="405"/>
      <c r="M315" s="406">
        <f t="shared" si="24"/>
        <v>0</v>
      </c>
      <c r="N315" s="407"/>
      <c r="O315" s="371">
        <f t="shared" si="21"/>
        <v>0</v>
      </c>
    </row>
    <row r="316" spans="1:15">
      <c r="B316" s="226" t="s">
        <v>2465</v>
      </c>
      <c r="C316" s="409"/>
      <c r="D316" s="402" t="str">
        <f>IF(B316&lt;&gt;"",VLOOKUP(B316,R_DG!$A$7:$G$1305,2,0),"")</f>
        <v>D2.3241</v>
      </c>
      <c r="E316" s="403" t="str">
        <f>VLOOKUP(B316,R_DG!$A$7:$G$1305,3,0)</f>
        <v>Lắp cổ dề</v>
      </c>
      <c r="F316" s="402" t="str">
        <f>VLOOKUP(B316,R_DG!$A$7:$G$1305,4,0)</f>
        <v>bộ</v>
      </c>
      <c r="G316" s="404"/>
      <c r="H316" s="405">
        <f>VLOOKUP(B316,R_DG!$A$7:$G$1305,5,0)</f>
        <v>0</v>
      </c>
      <c r="I316" s="405">
        <f>VLOOKUP(B316,R_DG!$A$7:$G$1305,6,0)</f>
        <v>82929</v>
      </c>
      <c r="J316" s="405">
        <f>VLOOKUP(B316,R_DG!$A$7:$G$1305,7,0)</f>
        <v>0</v>
      </c>
      <c r="K316" s="406">
        <f t="shared" si="23"/>
        <v>0</v>
      </c>
      <c r="L316" s="405"/>
      <c r="M316" s="406">
        <f t="shared" si="24"/>
        <v>0</v>
      </c>
      <c r="N316" s="407"/>
      <c r="O316" s="371">
        <f t="shared" si="21"/>
        <v>0</v>
      </c>
    </row>
    <row r="317" spans="1:15">
      <c r="B317" s="226" t="s">
        <v>2190</v>
      </c>
      <c r="C317" s="409"/>
      <c r="D317" s="402">
        <f>IF(B317&lt;&gt;"",VLOOKUP(B317,R_DG!$A$7:$G$1305,2,0),"")</f>
        <v>0</v>
      </c>
      <c r="E317" s="403" t="str">
        <f>VLOOKUP(B317,R_DG!$A$7:$G$1305,3,0)</f>
        <v>Boulon 12x40+ 2 long đền vuông D14-50x50x3/Zn</v>
      </c>
      <c r="F317" s="402" t="str">
        <f>VLOOKUP(B317,R_DG!$A$7:$G$1305,4,0)</f>
        <v>bộ</v>
      </c>
      <c r="G317" s="404"/>
      <c r="H317" s="405">
        <f>VLOOKUP(B317,R_DG!$A$7:$G$1305,5,0)</f>
        <v>3000</v>
      </c>
      <c r="I317" s="405">
        <f>VLOOKUP(B317,R_DG!$A$7:$G$1305,6,0)</f>
        <v>0</v>
      </c>
      <c r="J317" s="405">
        <f>VLOOKUP(B317,R_DG!$A$7:$G$1305,7,0)</f>
        <v>0</v>
      </c>
      <c r="K317" s="406">
        <f t="shared" si="23"/>
        <v>0</v>
      </c>
      <c r="L317" s="405">
        <v>0</v>
      </c>
      <c r="M317" s="406">
        <f t="shared" si="24"/>
        <v>0</v>
      </c>
      <c r="N317" s="407"/>
      <c r="O317" s="371">
        <f t="shared" si="21"/>
        <v>0</v>
      </c>
    </row>
    <row r="318" spans="1:15">
      <c r="B318" s="232" t="str">
        <f>"CUT"&amp;RIGHT(B314,LEN(B314)-3)&amp;"t"</f>
        <v>CUT114t</v>
      </c>
      <c r="C318" s="409"/>
      <c r="D318" s="402">
        <f>IF(B318&lt;&gt;"",VLOOKUP(B318,R_DG!$A$7:$G$1305,2,0),"")</f>
        <v>0</v>
      </c>
      <c r="E318" s="403" t="str">
        <f>VLOOKUP(B318,R_DG!$A$7:$G$1305,3,0)</f>
        <v>Co 90 độ PVC 114</v>
      </c>
      <c r="F318" s="402" t="str">
        <f>VLOOKUP(B318,R_DG!$A$7:$G$1305,4,0)</f>
        <v>cái</v>
      </c>
      <c r="G318" s="404">
        <f>G305</f>
        <v>0</v>
      </c>
      <c r="H318" s="405">
        <f>VLOOKUP(B318,R_DG!$A$7:$G$1305,5,0)</f>
        <v>43100</v>
      </c>
      <c r="I318" s="405">
        <f>VLOOKUP(B318,R_DG!$A$7:$G$1305,6,0)</f>
        <v>0</v>
      </c>
      <c r="J318" s="405">
        <f>VLOOKUP(B318,R_DG!$A$7:$G$1305,7,0)</f>
        <v>0</v>
      </c>
      <c r="K318" s="406">
        <f t="shared" si="23"/>
        <v>0</v>
      </c>
      <c r="L318" s="406">
        <f t="shared" ref="L318:L356" si="25">I318*G318</f>
        <v>0</v>
      </c>
      <c r="M318" s="406">
        <f t="shared" si="24"/>
        <v>0</v>
      </c>
      <c r="N318" s="407"/>
      <c r="O318" s="371">
        <f t="shared" si="21"/>
        <v>0</v>
      </c>
    </row>
    <row r="319" spans="1:15">
      <c r="B319" s="232" t="str">
        <f>"CUT"&amp;RIGHT(B315,LEN(B315)-2)&amp;"135"</f>
        <v>CUT114135</v>
      </c>
      <c r="C319" s="409"/>
      <c r="D319" s="402">
        <f>IF(B319&lt;&gt;"",VLOOKUP(B319,R_DG!$A$7:$G$1305,2,0),"")</f>
        <v>0</v>
      </c>
      <c r="E319" s="403" t="str">
        <f>VLOOKUP(B319,R_DG!$A$7:$G$1305,3,0)</f>
        <v>Co 135 độ PVC 114</v>
      </c>
      <c r="F319" s="402" t="str">
        <f>VLOOKUP(B319,R_DG!$A$7:$G$1305,4,0)</f>
        <v>cái</v>
      </c>
      <c r="G319" s="404">
        <f>G305</f>
        <v>0</v>
      </c>
      <c r="H319" s="405">
        <f>VLOOKUP(B319,R_DG!$A$7:$G$1305,5,0)</f>
        <v>43100</v>
      </c>
      <c r="I319" s="405">
        <f>VLOOKUP(B319,R_DG!$A$7:$G$1305,6,0)</f>
        <v>0</v>
      </c>
      <c r="J319" s="405">
        <f>VLOOKUP(B319,R_DG!$A$7:$G$1305,7,0)</f>
        <v>0</v>
      </c>
      <c r="K319" s="406">
        <f t="shared" si="23"/>
        <v>0</v>
      </c>
      <c r="L319" s="406">
        <f t="shared" si="25"/>
        <v>0</v>
      </c>
      <c r="M319" s="406">
        <f t="shared" si="24"/>
        <v>0</v>
      </c>
      <c r="N319" s="407"/>
      <c r="O319" s="371">
        <f t="shared" si="21"/>
        <v>0</v>
      </c>
    </row>
    <row r="320" spans="1:15">
      <c r="B320" s="232" t="str">
        <f>"NPVC"&amp;RIGHT(B314,LEN(B314)-3)</f>
        <v>NPVC114</v>
      </c>
      <c r="C320" s="409"/>
      <c r="D320" s="402">
        <f>IF(B320&lt;&gt;"",VLOOKUP(B320,R_DG!$A$7:$G$1305,2,0),"")</f>
        <v>0</v>
      </c>
      <c r="E320" s="403" t="str">
        <f>VLOOKUP(B320,R_DG!$A$7:$G$1305,3,0)</f>
        <v>Nối ống PVC 114</v>
      </c>
      <c r="F320" s="402" t="str">
        <f>VLOOKUP(B320,R_DG!$A$7:$G$1305,4,0)</f>
        <v>cái</v>
      </c>
      <c r="G320" s="404">
        <f>G305</f>
        <v>0</v>
      </c>
      <c r="H320" s="405">
        <f>VLOOKUP(B320,R_DG!$A$7:$G$1305,5,0)</f>
        <v>27500</v>
      </c>
      <c r="I320" s="405">
        <f>VLOOKUP(B320,R_DG!$A$7:$G$1305,6,0)</f>
        <v>0</v>
      </c>
      <c r="J320" s="405">
        <f>VLOOKUP(B320,R_DG!$A$7:$G$1305,7,0)</f>
        <v>0</v>
      </c>
      <c r="K320" s="406">
        <f t="shared" si="23"/>
        <v>0</v>
      </c>
      <c r="L320" s="406">
        <f t="shared" si="25"/>
        <v>0</v>
      </c>
      <c r="M320" s="406">
        <f t="shared" si="24"/>
        <v>0</v>
      </c>
      <c r="N320" s="407"/>
      <c r="O320" s="371">
        <f t="shared" si="21"/>
        <v>0</v>
      </c>
    </row>
    <row r="321" spans="1:15">
      <c r="B321" s="232" t="s">
        <v>2467</v>
      </c>
      <c r="C321" s="409"/>
      <c r="D321" s="402">
        <f>IF(B321&lt;&gt;"",VLOOKUP(B321,R_DG!$A$7:$G$1305,2,0),"")</f>
        <v>0</v>
      </c>
      <c r="E321" s="403" t="str">
        <f>VLOOKUP(B321,R_DG!$A$7:$G$1305,3,0)</f>
        <v>Keo dán ống PVC (100gr)</v>
      </c>
      <c r="F321" s="402" t="str">
        <f>VLOOKUP(B321,R_DG!$A$7:$G$1305,4,0)</f>
        <v>tuýp</v>
      </c>
      <c r="G321" s="404">
        <f>G305*2</f>
        <v>0</v>
      </c>
      <c r="H321" s="405">
        <f>VLOOKUP(B321,R_DG!$A$7:$G$1305,5,0)</f>
        <v>11500</v>
      </c>
      <c r="I321" s="405">
        <f>VLOOKUP(B321,R_DG!$A$7:$G$1305,6,0)</f>
        <v>0</v>
      </c>
      <c r="J321" s="405">
        <f>VLOOKUP(B321,R_DG!$A$7:$G$1305,7,0)</f>
        <v>0</v>
      </c>
      <c r="K321" s="406">
        <f t="shared" si="23"/>
        <v>0</v>
      </c>
      <c r="L321" s="406">
        <f t="shared" si="25"/>
        <v>0</v>
      </c>
      <c r="M321" s="406">
        <f t="shared" si="24"/>
        <v>0</v>
      </c>
      <c r="N321" s="407"/>
      <c r="O321" s="371">
        <f t="shared" si="21"/>
        <v>0</v>
      </c>
    </row>
    <row r="322" spans="1:15">
      <c r="B322" s="232" t="s">
        <v>2468</v>
      </c>
      <c r="C322" s="409"/>
      <c r="D322" s="402">
        <f>IF(B322&lt;&gt;"",VLOOKUP(B322,R_DG!$A$7:$G$1305,2,0),"")</f>
        <v>0</v>
      </c>
      <c r="E322" s="403" t="str">
        <f>VLOOKUP(B322,R_DG!$A$7:$G$1305,3,0)</f>
        <v>Keo silicon bít miệng ống</v>
      </c>
      <c r="F322" s="402" t="str">
        <f>VLOOKUP(B322,R_DG!$A$7:$G$1305,4,0)</f>
        <v>ống</v>
      </c>
      <c r="G322" s="404">
        <f>G305</f>
        <v>0</v>
      </c>
      <c r="H322" s="405">
        <f>VLOOKUP(B322,R_DG!$A$7:$G$1305,5,0)</f>
        <v>30000</v>
      </c>
      <c r="I322" s="405">
        <f>VLOOKUP(B322,R_DG!$A$7:$G$1305,6,0)</f>
        <v>0</v>
      </c>
      <c r="J322" s="405">
        <f>VLOOKUP(B322,R_DG!$A$7:$G$1305,7,0)</f>
        <v>0</v>
      </c>
      <c r="K322" s="406">
        <f t="shared" si="23"/>
        <v>0</v>
      </c>
      <c r="L322" s="406">
        <f t="shared" si="25"/>
        <v>0</v>
      </c>
      <c r="M322" s="406">
        <f t="shared" si="24"/>
        <v>0</v>
      </c>
      <c r="N322" s="407"/>
      <c r="O322" s="371">
        <f t="shared" si="21"/>
        <v>0</v>
      </c>
    </row>
    <row r="323" spans="1:15">
      <c r="B323" s="226" t="s">
        <v>1969</v>
      </c>
      <c r="C323" s="409"/>
      <c r="D323" s="402">
        <f>IF(B323&lt;&gt;"",VLOOKUP(B323,R_DG!$A$7:$G$1305,2,0),"")</f>
        <v>0</v>
      </c>
      <c r="E323" s="403" t="str">
        <f>VLOOKUP(B323,R_DG!$A$7:$G$1305,3,0)</f>
        <v>Băng keo cách điện (5m/cuộn)</v>
      </c>
      <c r="F323" s="402" t="str">
        <f>VLOOKUP(B323,R_DG!$A$7:$G$1305,4,0)</f>
        <v>cuộn</v>
      </c>
      <c r="G323" s="404">
        <f>G305*5</f>
        <v>0</v>
      </c>
      <c r="H323" s="405">
        <f>VLOOKUP(B323,R_DG!$A$7:$G$1305,5,0)</f>
        <v>8000</v>
      </c>
      <c r="I323" s="405">
        <f>VLOOKUP(B323,R_DG!$A$7:$G$1305,6,0)</f>
        <v>0</v>
      </c>
      <c r="J323" s="405">
        <f>VLOOKUP(B323,R_DG!$A$7:$G$1305,7,0)</f>
        <v>0</v>
      </c>
      <c r="K323" s="406">
        <f t="shared" si="23"/>
        <v>0</v>
      </c>
      <c r="L323" s="406">
        <f t="shared" si="25"/>
        <v>0</v>
      </c>
      <c r="M323" s="406">
        <f t="shared" si="24"/>
        <v>0</v>
      </c>
      <c r="N323" s="407"/>
      <c r="O323" s="371">
        <f t="shared" si="21"/>
        <v>0</v>
      </c>
    </row>
    <row r="324" spans="1:15">
      <c r="B324" s="232" t="str">
        <f>"lpvc"&amp;RIGHT(B314,LEN(B314)-3)&amp;"cl"</f>
        <v>lpvc114cl</v>
      </c>
      <c r="C324" s="409"/>
      <c r="D324" s="402" t="str">
        <f>IF(B324&lt;&gt;"",VLOOKUP(B324,R_DG!$A$7:$G$1305,2,0),"")</f>
        <v>T4.5202</v>
      </c>
      <c r="E324" s="403" t="str">
        <f>VLOOKUP(B324,R_DG!$A$7:$G$1305,3,0)</f>
        <v>Lắp ống nhựa PVC D114</v>
      </c>
      <c r="F324" s="402" t="str">
        <f>VLOOKUP(B324,R_DG!$A$7:$G$1305,4,0)</f>
        <v>mét</v>
      </c>
      <c r="G324" s="404">
        <f>G314</f>
        <v>0</v>
      </c>
      <c r="H324" s="405">
        <f>VLOOKUP(B324,R_DG!$A$7:$G$1305,5,0)</f>
        <v>0</v>
      </c>
      <c r="I324" s="405">
        <f>VLOOKUP(B324,R_DG!$A$7:$G$1305,6,0)</f>
        <v>63973.8</v>
      </c>
      <c r="J324" s="405">
        <f>VLOOKUP(B324,R_DG!$A$7:$G$1305,7,0)</f>
        <v>0</v>
      </c>
      <c r="K324" s="406">
        <f t="shared" si="23"/>
        <v>0</v>
      </c>
      <c r="L324" s="406">
        <f t="shared" si="25"/>
        <v>0</v>
      </c>
      <c r="M324" s="406">
        <f t="shared" si="24"/>
        <v>0</v>
      </c>
      <c r="N324" s="407"/>
      <c r="O324" s="371">
        <f t="shared" si="21"/>
        <v>0</v>
      </c>
    </row>
    <row r="325" spans="1:15">
      <c r="B325" s="226" t="str">
        <f>IF(A4&gt;0,"lcapdongTB"&amp;IF(RIGHT(B307,LEN(B307)-2)*1&gt;150,"240",IF(RIGHT(B307,LEN(B307)-2)*1&gt;95,"150","95")),"NONE")</f>
        <v>NONE</v>
      </c>
      <c r="C325" s="409"/>
      <c r="D325" s="402">
        <f>IF(B325&lt;&gt;"",VLOOKUP(B325,R_DG!$A$7:$G$1305,2,0),"")</f>
        <v>0</v>
      </c>
      <c r="E325" s="403">
        <f>VLOOKUP(B325,R_DG!$A$7:$G$1305,3,0)</f>
        <v>0</v>
      </c>
      <c r="F325" s="402">
        <f>VLOOKUP(B325,R_DG!$A$7:$G$1305,4,0)</f>
        <v>0</v>
      </c>
      <c r="G325" s="404">
        <f>G307+G308</f>
        <v>0</v>
      </c>
      <c r="H325" s="405">
        <f>VLOOKUP(B325,R_DG!$A$7:$G$1305,5,0)</f>
        <v>0</v>
      </c>
      <c r="I325" s="405">
        <f>VLOOKUP(B325,R_DG!$A$7:$G$1305,6,0)</f>
        <v>0</v>
      </c>
      <c r="J325" s="405">
        <f>VLOOKUP(B325,R_DG!$A$7:$G$1305,7,0)</f>
        <v>0</v>
      </c>
      <c r="K325" s="406">
        <f t="shared" si="23"/>
        <v>0</v>
      </c>
      <c r="L325" s="406">
        <f t="shared" si="25"/>
        <v>0</v>
      </c>
      <c r="M325" s="406">
        <f t="shared" si="24"/>
        <v>0</v>
      </c>
      <c r="N325" s="407"/>
      <c r="O325" s="371">
        <f t="shared" ref="O325:O388" si="26">IF(SUM(G325:G325)&gt;0,1,0)</f>
        <v>0</v>
      </c>
    </row>
    <row r="326" spans="1:15" ht="24.95" customHeight="1">
      <c r="A326" s="397" t="s">
        <v>2514</v>
      </c>
      <c r="B326" s="232"/>
      <c r="C326" s="411">
        <f>IF(G326&gt;0,COUNTIF($C$17:C325,"&gt;0")+1,0)</f>
        <v>0</v>
      </c>
      <c r="D326" s="411" t="str">
        <f>IF(B326&lt;&gt;"",VLOOKUP(B326,R_DG!$A$7:$G$1305,2,0),"")</f>
        <v/>
      </c>
      <c r="E326" s="411" t="s">
        <v>2515</v>
      </c>
      <c r="F326" s="411" t="s">
        <v>163</v>
      </c>
      <c r="G326" s="411">
        <f>IF(B4=3,1,0)</f>
        <v>0</v>
      </c>
      <c r="H326" s="411"/>
      <c r="I326" s="411"/>
      <c r="J326" s="411"/>
      <c r="K326" s="411">
        <f t="shared" si="23"/>
        <v>0</v>
      </c>
      <c r="L326" s="411">
        <f t="shared" si="25"/>
        <v>0</v>
      </c>
      <c r="M326" s="411">
        <f t="shared" si="24"/>
        <v>0</v>
      </c>
      <c r="N326" s="410"/>
      <c r="O326" s="371">
        <f t="shared" si="26"/>
        <v>0</v>
      </c>
    </row>
    <row r="327" spans="1:15" ht="24.95" customHeight="1">
      <c r="B327" s="232"/>
      <c r="C327" s="408"/>
      <c r="D327" s="402" t="str">
        <f>IF(B327&lt;&gt;"",VLOOKUP(B327,R_DG!$A$7:$G$1305,2,0),"")</f>
        <v/>
      </c>
      <c r="E327" s="379" t="s">
        <v>2432</v>
      </c>
      <c r="F327" s="408"/>
      <c r="G327" s="408"/>
      <c r="H327" s="406"/>
      <c r="I327" s="406"/>
      <c r="J327" s="405"/>
      <c r="K327" s="406">
        <f t="shared" si="23"/>
        <v>0</v>
      </c>
      <c r="L327" s="406">
        <f t="shared" si="25"/>
        <v>0</v>
      </c>
      <c r="M327" s="406">
        <f t="shared" si="24"/>
        <v>0</v>
      </c>
      <c r="N327" s="407"/>
      <c r="O327" s="371">
        <f t="shared" si="26"/>
        <v>0</v>
      </c>
    </row>
    <row r="328" spans="1:15" ht="24.95" customHeight="1">
      <c r="B328" s="232" t="str">
        <f>IF(A4&gt;0,"CV"&amp;VLOOKUP(A$2,TBA,IF(A5*1=1,10,12),0),"NONE")</f>
        <v>NONE</v>
      </c>
      <c r="C328" s="408"/>
      <c r="D328" s="402">
        <f>IF(B328&lt;&gt;"",VLOOKUP(B328,R_DG!$A$7:$G$1305,2,0),"")</f>
        <v>0</v>
      </c>
      <c r="E328" s="403">
        <f>VLOOKUP(B328,R_DG!$A$7:$G$1305,3,0)</f>
        <v>0</v>
      </c>
      <c r="F328" s="402">
        <f>VLOOKUP(B328,R_DG!$A$7:$G$1305,4,0)</f>
        <v>0</v>
      </c>
      <c r="G328" s="404">
        <f>G326*IF(A4*1&gt;0,VLOOKUP(A2,TBA,IF(A5*1=1,11,13),0),0)*9*3</f>
        <v>0</v>
      </c>
      <c r="H328" s="405">
        <f>VLOOKUP(B328,R_DG!$A$7:$G$1305,5,0)</f>
        <v>0</v>
      </c>
      <c r="I328" s="405">
        <f>VLOOKUP(B328,R_DG!$A$7:$G$1305,6,0)</f>
        <v>0</v>
      </c>
      <c r="J328" s="405">
        <f>VLOOKUP(B328,R_DG!$A$7:$G$1305,7,0)</f>
        <v>0</v>
      </c>
      <c r="K328" s="406">
        <f t="shared" si="23"/>
        <v>0</v>
      </c>
      <c r="L328" s="406">
        <f t="shared" si="25"/>
        <v>0</v>
      </c>
      <c r="M328" s="406">
        <f t="shared" si="24"/>
        <v>0</v>
      </c>
      <c r="N328" s="407"/>
      <c r="O328" s="371">
        <f t="shared" si="26"/>
        <v>0</v>
      </c>
    </row>
    <row r="329" spans="1:15" ht="24.95" customHeight="1">
      <c r="B329" s="232" t="str">
        <f>IF(B328="NONE","NONE","CV"&amp;Selectdown(RIGHT(B328,LEN(B328)-2),SETTING!$AF$25:$AF$33))</f>
        <v>NONE</v>
      </c>
      <c r="C329" s="408"/>
      <c r="D329" s="402">
        <f>IF(B329&lt;&gt;"",VLOOKUP(B329,R_DG!$A$7:$G$1305,2,0),"")</f>
        <v>0</v>
      </c>
      <c r="E329" s="403">
        <f>VLOOKUP(B329,R_DG!$A$7:$G$1305,3,0)</f>
        <v>0</v>
      </c>
      <c r="F329" s="402">
        <f>VLOOKUP(B329,R_DG!$A$7:$G$1305,4,0)</f>
        <v>0</v>
      </c>
      <c r="G329" s="404">
        <f>IF(A4&gt;0,VLOOKUP(A2,TBA,IF(A5*1=1,11,13),0),0)*10*G326</f>
        <v>0</v>
      </c>
      <c r="H329" s="405">
        <f>VLOOKUP(B329,R_DG!$A$7:$G$1305,5,0)</f>
        <v>0</v>
      </c>
      <c r="I329" s="405">
        <f>VLOOKUP(B329,R_DG!$A$7:$G$1305,6,0)</f>
        <v>0</v>
      </c>
      <c r="J329" s="405">
        <f>VLOOKUP(B329,R_DG!$A$7:$G$1305,7,0)</f>
        <v>0</v>
      </c>
      <c r="K329" s="406">
        <f>H329*G329</f>
        <v>0</v>
      </c>
      <c r="L329" s="406">
        <f>I329*G329</f>
        <v>0</v>
      </c>
      <c r="M329" s="406">
        <f>J329*G329</f>
        <v>0</v>
      </c>
      <c r="N329" s="407"/>
      <c r="O329" s="371">
        <f t="shared" si="26"/>
        <v>0</v>
      </c>
    </row>
    <row r="330" spans="1:15" ht="24.95" customHeight="1">
      <c r="B330" s="232" t="s">
        <v>2463</v>
      </c>
      <c r="C330" s="408"/>
      <c r="D330" s="402">
        <f>IF(B330&lt;&gt;"",VLOOKUP(B330,R_DG!$A$7:$G$1305,2,0),"")</f>
        <v>0</v>
      </c>
      <c r="E330" s="403" t="str">
        <f>VLOOKUP(B330,R_DG!$A$7:$G$1305,3,0)</f>
        <v xml:space="preserve">Cáp CVV 4x2,5mm2 </v>
      </c>
      <c r="F330" s="402" t="str">
        <f>VLOOKUP(B330,R_DG!$A$7:$G$1305,4,0)</f>
        <v>mét</v>
      </c>
      <c r="G330" s="404"/>
      <c r="H330" s="405">
        <f>VLOOKUP(B330,R_DG!$A$7:$G$1305,5,0)</f>
        <v>30000</v>
      </c>
      <c r="I330" s="405">
        <f>VLOOKUP(B330,R_DG!$A$7:$G$1305,6,0)</f>
        <v>0</v>
      </c>
      <c r="J330" s="405">
        <f>VLOOKUP(B330,R_DG!$A$7:$G$1305,7,0)</f>
        <v>0</v>
      </c>
      <c r="K330" s="406">
        <f t="shared" si="23"/>
        <v>0</v>
      </c>
      <c r="L330" s="406">
        <f t="shared" si="25"/>
        <v>0</v>
      </c>
      <c r="M330" s="406">
        <f t="shared" si="24"/>
        <v>0</v>
      </c>
      <c r="N330" s="407"/>
      <c r="O330" s="371">
        <f t="shared" si="26"/>
        <v>0</v>
      </c>
    </row>
    <row r="331" spans="1:15" ht="24.95" customHeight="1">
      <c r="B331" s="232" t="str">
        <f>IF(A4&gt;0,"Cos"&amp;RIGHT(B328,LEN(B328)-2),"NONE")</f>
        <v>NONE</v>
      </c>
      <c r="C331" s="409"/>
      <c r="D331" s="402">
        <f>IF(B331&lt;&gt;"",VLOOKUP(B331,R_DG!$A$7:$G$1305,2,0),"")</f>
        <v>0</v>
      </c>
      <c r="E331" s="403">
        <f>VLOOKUP(B331,R_DG!$A$7:$G$1305,3,0)</f>
        <v>0</v>
      </c>
      <c r="F331" s="402">
        <f>VLOOKUP(B331,R_DG!$A$7:$G$1305,4,0)</f>
        <v>0</v>
      </c>
      <c r="G331" s="404">
        <f>G326*3</f>
        <v>0</v>
      </c>
      <c r="H331" s="405">
        <f>VLOOKUP(B331,R_DG!$A$7:$G$1305,5,0)</f>
        <v>0</v>
      </c>
      <c r="I331" s="405">
        <f>VLOOKUP(B331,R_DG!$A$7:$G$1305,6,0)</f>
        <v>0</v>
      </c>
      <c r="J331" s="405">
        <f>VLOOKUP(B331,R_DG!$A$7:$G$1305,7,0)</f>
        <v>0</v>
      </c>
      <c r="K331" s="406">
        <f t="shared" si="23"/>
        <v>0</v>
      </c>
      <c r="L331" s="406">
        <f t="shared" si="25"/>
        <v>0</v>
      </c>
      <c r="M331" s="406">
        <f t="shared" si="24"/>
        <v>0</v>
      </c>
      <c r="N331" s="407"/>
      <c r="O331" s="371">
        <f t="shared" si="26"/>
        <v>0</v>
      </c>
    </row>
    <row r="332" spans="1:15" ht="24.95" customHeight="1">
      <c r="B332" s="232" t="str">
        <f>IF(A4&gt;0,"Cos"&amp;RIGHT(B329,LEN(B329)-2),"NONE")</f>
        <v>NONE</v>
      </c>
      <c r="C332" s="409"/>
      <c r="D332" s="402">
        <f>IF(B332&lt;&gt;"",VLOOKUP(B332,R_DG!$A$7:$G$1305,2,0),"")</f>
        <v>0</v>
      </c>
      <c r="E332" s="403">
        <f>VLOOKUP(B332,R_DG!$A$7:$G$1305,3,0)</f>
        <v>0</v>
      </c>
      <c r="F332" s="402">
        <f>VLOOKUP(B332,R_DG!$A$7:$G$1305,4,0)</f>
        <v>0</v>
      </c>
      <c r="G332" s="404">
        <f>G326</f>
        <v>0</v>
      </c>
      <c r="H332" s="405">
        <f>VLOOKUP(B332,R_DG!$A$7:$G$1305,5,0)</f>
        <v>0</v>
      </c>
      <c r="I332" s="405">
        <f>VLOOKUP(B332,R_DG!$A$7:$G$1305,6,0)</f>
        <v>0</v>
      </c>
      <c r="J332" s="405">
        <f>VLOOKUP(B332,R_DG!$A$7:$G$1305,7,0)</f>
        <v>0</v>
      </c>
      <c r="K332" s="406">
        <f>H332*G332</f>
        <v>0</v>
      </c>
      <c r="L332" s="406">
        <f>I332*G332</f>
        <v>0</v>
      </c>
      <c r="M332" s="406">
        <f>J332*G332</f>
        <v>0</v>
      </c>
      <c r="N332" s="407"/>
      <c r="O332" s="371">
        <f t="shared" si="26"/>
        <v>0</v>
      </c>
    </row>
    <row r="333" spans="1:15" ht="24.95" customHeight="1">
      <c r="B333" s="232" t="str">
        <f>IF(A4&gt;0,"chCos"&amp;RIGHT(B328,LEN(B328)-2),"NONE")</f>
        <v>NONE</v>
      </c>
      <c r="C333" s="409"/>
      <c r="D333" s="402">
        <f>IF(B333&lt;&gt;"",VLOOKUP(B333,R_DG!$A$7:$G$1305,2,0),"")</f>
        <v>0</v>
      </c>
      <c r="E333" s="403">
        <f>VLOOKUP(B333,R_DG!$A$7:$G$1305,3,0)</f>
        <v>0</v>
      </c>
      <c r="F333" s="402">
        <f>VLOOKUP(B333,R_DG!$A$7:$G$1305,4,0)</f>
        <v>0</v>
      </c>
      <c r="G333" s="404">
        <f>G331</f>
        <v>0</v>
      </c>
      <c r="H333" s="405">
        <f>VLOOKUP(B333,R_DG!$A$7:$G$1305,5,0)</f>
        <v>0</v>
      </c>
      <c r="I333" s="405">
        <f>VLOOKUP(B333,R_DG!$A$7:$G$1305,6,0)</f>
        <v>0</v>
      </c>
      <c r="J333" s="405">
        <f>VLOOKUP(B333,R_DG!$A$7:$G$1305,7,0)</f>
        <v>0</v>
      </c>
      <c r="K333" s="406">
        <f t="shared" si="23"/>
        <v>0</v>
      </c>
      <c r="L333" s="406">
        <f t="shared" si="25"/>
        <v>0</v>
      </c>
      <c r="M333" s="406">
        <f t="shared" si="24"/>
        <v>0</v>
      </c>
      <c r="N333" s="407"/>
      <c r="O333" s="371">
        <f t="shared" si="26"/>
        <v>0</v>
      </c>
    </row>
    <row r="334" spans="1:15" ht="24.95" customHeight="1">
      <c r="B334" s="232" t="str">
        <f>IF(A4&gt;0,"chCos"&amp;RIGHT(B329,LEN(B329)-2),"NONE")</f>
        <v>NONE</v>
      </c>
      <c r="C334" s="409"/>
      <c r="D334" s="402">
        <f>IF(B334&lt;&gt;"",VLOOKUP(B334,R_DG!$A$7:$G$1305,2,0),"")</f>
        <v>0</v>
      </c>
      <c r="E334" s="403">
        <f>VLOOKUP(B334,R_DG!$A$7:$G$1305,3,0)</f>
        <v>0</v>
      </c>
      <c r="F334" s="402">
        <f>VLOOKUP(B334,R_DG!$A$7:$G$1305,4,0)</f>
        <v>0</v>
      </c>
      <c r="G334" s="404">
        <f>G332</f>
        <v>0</v>
      </c>
      <c r="H334" s="405">
        <f>VLOOKUP(B334,R_DG!$A$7:$G$1305,5,0)</f>
        <v>0</v>
      </c>
      <c r="I334" s="405">
        <f>VLOOKUP(B334,R_DG!$A$7:$G$1305,6,0)</f>
        <v>0</v>
      </c>
      <c r="J334" s="405">
        <f>VLOOKUP(B334,R_DG!$A$7:$G$1305,7,0)</f>
        <v>0</v>
      </c>
      <c r="K334" s="406">
        <f>H334*G334</f>
        <v>0</v>
      </c>
      <c r="L334" s="406">
        <f>I334*G334</f>
        <v>0</v>
      </c>
      <c r="M334" s="406">
        <f>J334*G334</f>
        <v>0</v>
      </c>
      <c r="N334" s="407"/>
      <c r="O334" s="371">
        <f t="shared" si="26"/>
        <v>0</v>
      </c>
    </row>
    <row r="335" spans="1:15" ht="24.95" customHeight="1">
      <c r="B335" s="232" t="str">
        <f>"PVC"&amp;IF(RIGHT(B328,LEN(B328)-2)&gt;120,"114","90")</f>
        <v>PVC114</v>
      </c>
      <c r="C335" s="409"/>
      <c r="D335" s="402">
        <f>IF(B335&lt;&gt;"",VLOOKUP(B335,R_DG!$A$7:$G$1305,2,0),"")</f>
        <v>0</v>
      </c>
      <c r="E335" s="403" t="str">
        <f>VLOOKUP(B335,R_DG!$A$7:$G$1305,3,0)</f>
        <v xml:space="preserve">Ống PVC D114x4,9mm </v>
      </c>
      <c r="F335" s="402" t="str">
        <f>VLOOKUP(B335,R_DG!$A$7:$G$1305,4,0)</f>
        <v>m</v>
      </c>
      <c r="G335" s="404">
        <f>G326*8</f>
        <v>0</v>
      </c>
      <c r="H335" s="405">
        <f>VLOOKUP(B335,R_DG!$A$7:$G$1305,5,0)</f>
        <v>103700</v>
      </c>
      <c r="I335" s="405">
        <f>VLOOKUP(B335,R_DG!$A$7:$G$1305,6,0)</f>
        <v>0</v>
      </c>
      <c r="J335" s="405">
        <f>VLOOKUP(B335,R_DG!$A$7:$G$1305,7,0)</f>
        <v>0</v>
      </c>
      <c r="K335" s="406">
        <f t="shared" si="23"/>
        <v>0</v>
      </c>
      <c r="L335" s="406">
        <f t="shared" si="25"/>
        <v>0</v>
      </c>
      <c r="M335" s="406">
        <f t="shared" si="24"/>
        <v>0</v>
      </c>
      <c r="N335" s="407"/>
      <c r="O335" s="371">
        <f t="shared" si="26"/>
        <v>0</v>
      </c>
    </row>
    <row r="336" spans="1:15" ht="24.95" customHeight="1">
      <c r="B336" s="226" t="str">
        <f>"CD"&amp;RIGHT(B335,LEN(B335)-3)</f>
        <v>CD114</v>
      </c>
      <c r="C336" s="409"/>
      <c r="D336" s="402">
        <f>IF(B336&lt;&gt;"",VLOOKUP(B336,R_DG!$A$7:$G$1305,2,0),"")</f>
        <v>0</v>
      </c>
      <c r="E336" s="403" t="str">
        <f>VLOOKUP(B336,R_DG!$A$7:$G$1305,3,0)</f>
        <v>Collier kẹp ống PVC φ 114</v>
      </c>
      <c r="F336" s="402" t="str">
        <f>VLOOKUP(B336,R_DG!$A$7:$G$1305,4,0)</f>
        <v>bộ</v>
      </c>
      <c r="G336" s="404">
        <f>G326*3</f>
        <v>0</v>
      </c>
      <c r="H336" s="405">
        <f>VLOOKUP(B336,R_DG!$A$7:$G$1305,5,0)</f>
        <v>59000</v>
      </c>
      <c r="I336" s="405">
        <f>VLOOKUP(B336,R_DG!$A$7:$G$1305,6,0)</f>
        <v>0</v>
      </c>
      <c r="J336" s="405">
        <f>VLOOKUP(B336,R_DG!$A$7:$G$1305,7,0)</f>
        <v>0</v>
      </c>
      <c r="K336" s="406">
        <f t="shared" si="23"/>
        <v>0</v>
      </c>
      <c r="L336" s="405"/>
      <c r="M336" s="406">
        <f t="shared" si="24"/>
        <v>0</v>
      </c>
      <c r="N336" s="407"/>
      <c r="O336" s="371">
        <f t="shared" si="26"/>
        <v>0</v>
      </c>
    </row>
    <row r="337" spans="1:15" ht="24.95" customHeight="1">
      <c r="B337" s="226" t="s">
        <v>2465</v>
      </c>
      <c r="C337" s="409"/>
      <c r="D337" s="402" t="str">
        <f>IF(B337&lt;&gt;"",VLOOKUP(B337,R_DG!$A$7:$G$1305,2,0),"")</f>
        <v>D2.3241</v>
      </c>
      <c r="E337" s="403" t="str">
        <f>VLOOKUP(B337,R_DG!$A$7:$G$1305,3,0)</f>
        <v>Lắp cổ dề</v>
      </c>
      <c r="F337" s="402" t="str">
        <f>VLOOKUP(B337,R_DG!$A$7:$G$1305,4,0)</f>
        <v>bộ</v>
      </c>
      <c r="G337" s="404"/>
      <c r="H337" s="405">
        <f>VLOOKUP(B337,R_DG!$A$7:$G$1305,5,0)</f>
        <v>0</v>
      </c>
      <c r="I337" s="405">
        <f>VLOOKUP(B337,R_DG!$A$7:$G$1305,6,0)</f>
        <v>82929</v>
      </c>
      <c r="J337" s="405">
        <f>VLOOKUP(B337,R_DG!$A$7:$G$1305,7,0)</f>
        <v>0</v>
      </c>
      <c r="K337" s="406">
        <f t="shared" si="23"/>
        <v>0</v>
      </c>
      <c r="L337" s="405"/>
      <c r="M337" s="406">
        <f t="shared" si="24"/>
        <v>0</v>
      </c>
      <c r="N337" s="407"/>
      <c r="O337" s="371">
        <f t="shared" si="26"/>
        <v>0</v>
      </c>
    </row>
    <row r="338" spans="1:15" ht="24.95" customHeight="1">
      <c r="B338" s="226" t="s">
        <v>2190</v>
      </c>
      <c r="C338" s="409"/>
      <c r="D338" s="402">
        <f>IF(B338&lt;&gt;"",VLOOKUP(B338,R_DG!$A$7:$G$1305,2,0),"")</f>
        <v>0</v>
      </c>
      <c r="E338" s="403" t="str">
        <f>VLOOKUP(B338,R_DG!$A$7:$G$1305,3,0)</f>
        <v>Boulon 12x40+ 2 long đền vuông D14-50x50x3/Zn</v>
      </c>
      <c r="F338" s="402" t="str">
        <f>VLOOKUP(B338,R_DG!$A$7:$G$1305,4,0)</f>
        <v>bộ</v>
      </c>
      <c r="G338" s="404"/>
      <c r="H338" s="405">
        <f>VLOOKUP(B338,R_DG!$A$7:$G$1305,5,0)</f>
        <v>3000</v>
      </c>
      <c r="I338" s="405">
        <f>VLOOKUP(B338,R_DG!$A$7:$G$1305,6,0)</f>
        <v>0</v>
      </c>
      <c r="J338" s="405">
        <f>VLOOKUP(B338,R_DG!$A$7:$G$1305,7,0)</f>
        <v>0</v>
      </c>
      <c r="K338" s="406">
        <f t="shared" si="23"/>
        <v>0</v>
      </c>
      <c r="L338" s="405">
        <v>0</v>
      </c>
      <c r="M338" s="406">
        <f t="shared" si="24"/>
        <v>0</v>
      </c>
      <c r="N338" s="407"/>
      <c r="O338" s="371">
        <f t="shared" si="26"/>
        <v>0</v>
      </c>
    </row>
    <row r="339" spans="1:15" ht="24.95" customHeight="1">
      <c r="B339" s="232" t="str">
        <f>"CUT"&amp;RIGHT(B335,LEN(B335)-3)&amp;"t"</f>
        <v>CUT114t</v>
      </c>
      <c r="C339" s="409"/>
      <c r="D339" s="402">
        <f>IF(B339&lt;&gt;"",VLOOKUP(B339,R_DG!$A$7:$G$1305,2,0),"")</f>
        <v>0</v>
      </c>
      <c r="E339" s="403" t="str">
        <f>VLOOKUP(B339,R_DG!$A$7:$G$1305,3,0)</f>
        <v>Co 90 độ PVC 114</v>
      </c>
      <c r="F339" s="402" t="str">
        <f>VLOOKUP(B339,R_DG!$A$7:$G$1305,4,0)</f>
        <v>cái</v>
      </c>
      <c r="G339" s="404">
        <f>G326</f>
        <v>0</v>
      </c>
      <c r="H339" s="405">
        <f>VLOOKUP(B339,R_DG!$A$7:$G$1305,5,0)</f>
        <v>43100</v>
      </c>
      <c r="I339" s="405">
        <f>VLOOKUP(B339,R_DG!$A$7:$G$1305,6,0)</f>
        <v>0</v>
      </c>
      <c r="J339" s="405">
        <f>VLOOKUP(B339,R_DG!$A$7:$G$1305,7,0)</f>
        <v>0</v>
      </c>
      <c r="K339" s="406">
        <f t="shared" si="23"/>
        <v>0</v>
      </c>
      <c r="L339" s="406">
        <f t="shared" ref="L339:L346" si="27">I339*G339</f>
        <v>0</v>
      </c>
      <c r="M339" s="406">
        <f t="shared" si="24"/>
        <v>0</v>
      </c>
      <c r="N339" s="407"/>
      <c r="O339" s="371">
        <f t="shared" si="26"/>
        <v>0</v>
      </c>
    </row>
    <row r="340" spans="1:15" ht="24.95" customHeight="1">
      <c r="B340" s="232" t="str">
        <f>"CUT"&amp;RIGHT(B336,LEN(B336)-2)&amp;"135"</f>
        <v>CUT114135</v>
      </c>
      <c r="C340" s="409"/>
      <c r="D340" s="402">
        <f>IF(B340&lt;&gt;"",VLOOKUP(B340,R_DG!$A$7:$G$1305,2,0),"")</f>
        <v>0</v>
      </c>
      <c r="E340" s="403" t="str">
        <f>VLOOKUP(B340,R_DG!$A$7:$G$1305,3,0)</f>
        <v>Co 135 độ PVC 114</v>
      </c>
      <c r="F340" s="402" t="str">
        <f>VLOOKUP(B340,R_DG!$A$7:$G$1305,4,0)</f>
        <v>cái</v>
      </c>
      <c r="G340" s="404">
        <f>G326</f>
        <v>0</v>
      </c>
      <c r="H340" s="405">
        <f>VLOOKUP(B340,R_DG!$A$7:$G$1305,5,0)</f>
        <v>43100</v>
      </c>
      <c r="I340" s="405">
        <f>VLOOKUP(B340,R_DG!$A$7:$G$1305,6,0)</f>
        <v>0</v>
      </c>
      <c r="J340" s="405">
        <f>VLOOKUP(B340,R_DG!$A$7:$G$1305,7,0)</f>
        <v>0</v>
      </c>
      <c r="K340" s="406">
        <f>H340*G340</f>
        <v>0</v>
      </c>
      <c r="L340" s="406">
        <f>I340*G340</f>
        <v>0</v>
      </c>
      <c r="M340" s="406">
        <f>J340*G340</f>
        <v>0</v>
      </c>
      <c r="N340" s="407"/>
      <c r="O340" s="371">
        <f t="shared" si="26"/>
        <v>0</v>
      </c>
    </row>
    <row r="341" spans="1:15" ht="24.95" customHeight="1">
      <c r="B341" s="232" t="str">
        <f>"NPVC"&amp;RIGHT(B335,LEN(B335)-3)</f>
        <v>NPVC114</v>
      </c>
      <c r="C341" s="409"/>
      <c r="D341" s="402">
        <f>IF(B341&lt;&gt;"",VLOOKUP(B341,R_DG!$A$7:$G$1305,2,0),"")</f>
        <v>0</v>
      </c>
      <c r="E341" s="403" t="str">
        <f>VLOOKUP(B341,R_DG!$A$7:$G$1305,3,0)</f>
        <v>Nối ống PVC 114</v>
      </c>
      <c r="F341" s="402" t="str">
        <f>VLOOKUP(B341,R_DG!$A$7:$G$1305,4,0)</f>
        <v>cái</v>
      </c>
      <c r="G341" s="404">
        <f>G326</f>
        <v>0</v>
      </c>
      <c r="H341" s="405">
        <f>VLOOKUP(B341,R_DG!$A$7:$G$1305,5,0)</f>
        <v>27500</v>
      </c>
      <c r="I341" s="405">
        <f>VLOOKUP(B341,R_DG!$A$7:$G$1305,6,0)</f>
        <v>0</v>
      </c>
      <c r="J341" s="405">
        <f>VLOOKUP(B341,R_DG!$A$7:$G$1305,7,0)</f>
        <v>0</v>
      </c>
      <c r="K341" s="406">
        <f t="shared" si="23"/>
        <v>0</v>
      </c>
      <c r="L341" s="406">
        <f t="shared" si="27"/>
        <v>0</v>
      </c>
      <c r="M341" s="406">
        <f t="shared" si="24"/>
        <v>0</v>
      </c>
      <c r="N341" s="407"/>
      <c r="O341" s="371">
        <f t="shared" si="26"/>
        <v>0</v>
      </c>
    </row>
    <row r="342" spans="1:15" ht="24.95" customHeight="1">
      <c r="B342" s="232" t="s">
        <v>2467</v>
      </c>
      <c r="C342" s="409"/>
      <c r="D342" s="402">
        <f>IF(B342&lt;&gt;"",VLOOKUP(B342,R_DG!$A$7:$G$1305,2,0),"")</f>
        <v>0</v>
      </c>
      <c r="E342" s="403" t="str">
        <f>VLOOKUP(B342,R_DG!$A$7:$G$1305,3,0)</f>
        <v>Keo dán ống PVC (100gr)</v>
      </c>
      <c r="F342" s="402" t="str">
        <f>VLOOKUP(B342,R_DG!$A$7:$G$1305,4,0)</f>
        <v>tuýp</v>
      </c>
      <c r="G342" s="404">
        <f>G326</f>
        <v>0</v>
      </c>
      <c r="H342" s="405">
        <f>VLOOKUP(B342,R_DG!$A$7:$G$1305,5,0)</f>
        <v>11500</v>
      </c>
      <c r="I342" s="405">
        <f>VLOOKUP(B342,R_DG!$A$7:$G$1305,6,0)</f>
        <v>0</v>
      </c>
      <c r="J342" s="405">
        <f>VLOOKUP(B342,R_DG!$A$7:$G$1305,7,0)</f>
        <v>0</v>
      </c>
      <c r="K342" s="406">
        <f t="shared" si="23"/>
        <v>0</v>
      </c>
      <c r="L342" s="406">
        <f t="shared" si="27"/>
        <v>0</v>
      </c>
      <c r="M342" s="406">
        <f t="shared" si="24"/>
        <v>0</v>
      </c>
      <c r="N342" s="407"/>
      <c r="O342" s="371">
        <f t="shared" si="26"/>
        <v>0</v>
      </c>
    </row>
    <row r="343" spans="1:15" ht="24.95" customHeight="1">
      <c r="B343" s="232" t="s">
        <v>2468</v>
      </c>
      <c r="C343" s="409"/>
      <c r="D343" s="402">
        <f>IF(B343&lt;&gt;"",VLOOKUP(B343,R_DG!$A$7:$G$1305,2,0),"")</f>
        <v>0</v>
      </c>
      <c r="E343" s="403" t="str">
        <f>VLOOKUP(B343,R_DG!$A$7:$G$1305,3,0)</f>
        <v>Keo silicon bít miệng ống</v>
      </c>
      <c r="F343" s="402" t="str">
        <f>VLOOKUP(B343,R_DG!$A$7:$G$1305,4,0)</f>
        <v>ống</v>
      </c>
      <c r="G343" s="404">
        <f>G326</f>
        <v>0</v>
      </c>
      <c r="H343" s="405">
        <f>VLOOKUP(B343,R_DG!$A$7:$G$1305,5,0)</f>
        <v>30000</v>
      </c>
      <c r="I343" s="405">
        <f>VLOOKUP(B343,R_DG!$A$7:$G$1305,6,0)</f>
        <v>0</v>
      </c>
      <c r="J343" s="405">
        <f>VLOOKUP(B343,R_DG!$A$7:$G$1305,7,0)</f>
        <v>0</v>
      </c>
      <c r="K343" s="406">
        <f t="shared" si="23"/>
        <v>0</v>
      </c>
      <c r="L343" s="406">
        <f t="shared" si="27"/>
        <v>0</v>
      </c>
      <c r="M343" s="406">
        <f t="shared" si="24"/>
        <v>0</v>
      </c>
      <c r="N343" s="407"/>
      <c r="O343" s="371">
        <f t="shared" si="26"/>
        <v>0</v>
      </c>
    </row>
    <row r="344" spans="1:15" ht="24.95" customHeight="1">
      <c r="B344" s="226" t="s">
        <v>1969</v>
      </c>
      <c r="C344" s="409"/>
      <c r="D344" s="402">
        <f>IF(B344&lt;&gt;"",VLOOKUP(B344,R_DG!$A$7:$G$1305,2,0),"")</f>
        <v>0</v>
      </c>
      <c r="E344" s="403" t="str">
        <f>VLOOKUP(B344,R_DG!$A$7:$G$1305,3,0)</f>
        <v>Băng keo cách điện (5m/cuộn)</v>
      </c>
      <c r="F344" s="402" t="str">
        <f>VLOOKUP(B344,R_DG!$A$7:$G$1305,4,0)</f>
        <v>cuộn</v>
      </c>
      <c r="G344" s="404">
        <f>G326*5</f>
        <v>0</v>
      </c>
      <c r="H344" s="405">
        <f>VLOOKUP(B344,R_DG!$A$7:$G$1305,5,0)</f>
        <v>8000</v>
      </c>
      <c r="I344" s="405">
        <f>VLOOKUP(B344,R_DG!$A$7:$G$1305,6,0)</f>
        <v>0</v>
      </c>
      <c r="J344" s="405">
        <f>VLOOKUP(B344,R_DG!$A$7:$G$1305,7,0)</f>
        <v>0</v>
      </c>
      <c r="K344" s="406">
        <f t="shared" si="23"/>
        <v>0</v>
      </c>
      <c r="L344" s="406">
        <f t="shared" si="27"/>
        <v>0</v>
      </c>
      <c r="M344" s="406">
        <f t="shared" si="24"/>
        <v>0</v>
      </c>
      <c r="N344" s="407"/>
      <c r="O344" s="371">
        <f t="shared" si="26"/>
        <v>0</v>
      </c>
    </row>
    <row r="345" spans="1:15" ht="24.95" customHeight="1">
      <c r="B345" s="232" t="str">
        <f>"lpvc"&amp;RIGHT(B335,LEN(B335)-3)&amp;"cl"</f>
        <v>lpvc114cl</v>
      </c>
      <c r="C345" s="409"/>
      <c r="D345" s="402" t="str">
        <f>IF(B345&lt;&gt;"",VLOOKUP(B345,R_DG!$A$7:$G$1305,2,0),"")</f>
        <v>T4.5202</v>
      </c>
      <c r="E345" s="403" t="str">
        <f>VLOOKUP(B345,R_DG!$A$7:$G$1305,3,0)</f>
        <v>Lắp ống nhựa PVC D114</v>
      </c>
      <c r="F345" s="402" t="str">
        <f>VLOOKUP(B345,R_DG!$A$7:$G$1305,4,0)</f>
        <v>mét</v>
      </c>
      <c r="G345" s="404">
        <f>G335</f>
        <v>0</v>
      </c>
      <c r="H345" s="405">
        <f>VLOOKUP(B345,R_DG!$A$7:$G$1305,5,0)</f>
        <v>0</v>
      </c>
      <c r="I345" s="405">
        <f>VLOOKUP(B345,R_DG!$A$7:$G$1305,6,0)</f>
        <v>63973.8</v>
      </c>
      <c r="J345" s="405">
        <f>VLOOKUP(B345,R_DG!$A$7:$G$1305,7,0)</f>
        <v>0</v>
      </c>
      <c r="K345" s="406">
        <f t="shared" si="23"/>
        <v>0</v>
      </c>
      <c r="L345" s="406">
        <f t="shared" si="27"/>
        <v>0</v>
      </c>
      <c r="M345" s="406">
        <f t="shared" si="24"/>
        <v>0</v>
      </c>
      <c r="N345" s="407"/>
      <c r="O345" s="371">
        <f t="shared" si="26"/>
        <v>0</v>
      </c>
    </row>
    <row r="346" spans="1:15" ht="24.95" customHeight="1">
      <c r="B346" s="226" t="str">
        <f>IF(A4&gt;0,"lcapdongTB"&amp;IF(RIGHT(B328,LEN(B328)-2)*1&gt;150,"240",IF(RIGHT(B328,LEN(B328)-2)*1&gt;95,"150","95")),"NONE")</f>
        <v>NONE</v>
      </c>
      <c r="C346" s="409"/>
      <c r="D346" s="402">
        <f>IF(B346&lt;&gt;"",VLOOKUP(B346,R_DG!$A$7:$G$1305,2,0),"")</f>
        <v>0</v>
      </c>
      <c r="E346" s="403">
        <f>VLOOKUP(B346,R_DG!$A$7:$G$1305,3,0)</f>
        <v>0</v>
      </c>
      <c r="F346" s="402">
        <f>VLOOKUP(B346,R_DG!$A$7:$G$1305,4,0)</f>
        <v>0</v>
      </c>
      <c r="G346" s="404">
        <f>G328+G329</f>
        <v>0</v>
      </c>
      <c r="H346" s="405">
        <f>VLOOKUP(B346,R_DG!$A$7:$G$1305,5,0)</f>
        <v>0</v>
      </c>
      <c r="I346" s="405">
        <f>VLOOKUP(B346,R_DG!$A$7:$G$1305,6,0)</f>
        <v>0</v>
      </c>
      <c r="J346" s="405">
        <f>VLOOKUP(B346,R_DG!$A$7:$G$1305,7,0)</f>
        <v>0</v>
      </c>
      <c r="K346" s="406">
        <f t="shared" si="23"/>
        <v>0</v>
      </c>
      <c r="L346" s="406">
        <f t="shared" si="27"/>
        <v>0</v>
      </c>
      <c r="M346" s="406">
        <f t="shared" si="24"/>
        <v>0</v>
      </c>
      <c r="N346" s="407"/>
      <c r="O346" s="371">
        <f t="shared" si="26"/>
        <v>0</v>
      </c>
    </row>
    <row r="347" spans="1:15" ht="24.95" customHeight="1">
      <c r="A347" s="397" t="s">
        <v>2484</v>
      </c>
      <c r="B347" s="232"/>
      <c r="C347" s="411">
        <f>IF(G347&gt;0,COUNTIF($C$17:C346,"&gt;0")+1,0)</f>
        <v>0</v>
      </c>
      <c r="D347" s="411" t="str">
        <f>IF(B347&lt;&gt;"",VLOOKUP(B347,R_DG!$A$7:$G$1305,2,0),"")</f>
        <v/>
      </c>
      <c r="E347" s="411" t="s">
        <v>2516</v>
      </c>
      <c r="F347" s="411" t="s">
        <v>163</v>
      </c>
      <c r="G347" s="411">
        <f>IF(B4=1,1,0)</f>
        <v>0</v>
      </c>
      <c r="H347" s="411"/>
      <c r="I347" s="411"/>
      <c r="J347" s="411"/>
      <c r="K347" s="411">
        <f t="shared" si="23"/>
        <v>0</v>
      </c>
      <c r="L347" s="411">
        <f t="shared" si="25"/>
        <v>0</v>
      </c>
      <c r="M347" s="411">
        <f t="shared" si="24"/>
        <v>0</v>
      </c>
      <c r="N347" s="410"/>
      <c r="O347" s="371">
        <f t="shared" si="26"/>
        <v>0</v>
      </c>
    </row>
    <row r="348" spans="1:15" ht="24.95" customHeight="1">
      <c r="B348" s="232"/>
      <c r="C348" s="408"/>
      <c r="D348" s="402" t="str">
        <f>IF(B348&lt;&gt;"",VLOOKUP(B348,R_DG!$A$7:$G$1305,2,0),"")</f>
        <v/>
      </c>
      <c r="E348" s="379" t="s">
        <v>2432</v>
      </c>
      <c r="F348" s="408"/>
      <c r="G348" s="408"/>
      <c r="H348" s="406"/>
      <c r="I348" s="406"/>
      <c r="J348" s="405"/>
      <c r="K348" s="406">
        <f t="shared" si="23"/>
        <v>0</v>
      </c>
      <c r="L348" s="406">
        <f t="shared" si="25"/>
        <v>0</v>
      </c>
      <c r="M348" s="406">
        <f t="shared" si="24"/>
        <v>0</v>
      </c>
      <c r="N348" s="407"/>
      <c r="O348" s="371">
        <f t="shared" si="26"/>
        <v>0</v>
      </c>
    </row>
    <row r="349" spans="1:15" ht="24.95" customHeight="1">
      <c r="B349" s="232" t="str">
        <f>IF(A4&gt;0,"CV"&amp;VLOOKUP(A2,TBA,IF(A5*1=1,10,12),0),"NONE")</f>
        <v>NONE</v>
      </c>
      <c r="C349" s="408"/>
      <c r="D349" s="402">
        <f>IF(B349&lt;&gt;"",VLOOKUP(B349,R_DG!$A$7:$G$1305,2,0),"")</f>
        <v>0</v>
      </c>
      <c r="E349" s="403">
        <f>VLOOKUP(B349,R_DG!$A$7:$G$1305,3,0)</f>
        <v>0</v>
      </c>
      <c r="F349" s="402">
        <f>VLOOKUP(B349,R_DG!$A$7:$G$1305,4,0)</f>
        <v>0</v>
      </c>
      <c r="G349" s="404">
        <f>G347*IF(A4&gt;0,VLOOKUP(A2,TBA,IF(A5*1=1,11,13),0),0)*9*IF(A5*1=1,1,2)</f>
        <v>0</v>
      </c>
      <c r="H349" s="405">
        <f>VLOOKUP(B349,R_DG!$A$7:$G$1305,5,0)</f>
        <v>0</v>
      </c>
      <c r="I349" s="405">
        <f>VLOOKUP(B349,R_DG!$A$7:$G$1305,6,0)</f>
        <v>0</v>
      </c>
      <c r="J349" s="405">
        <f>VLOOKUP(B349,R_DG!$A$7:$G$1305,7,0)</f>
        <v>0</v>
      </c>
      <c r="K349" s="406">
        <f t="shared" si="23"/>
        <v>0</v>
      </c>
      <c r="L349" s="406">
        <f t="shared" si="25"/>
        <v>0</v>
      </c>
      <c r="M349" s="406">
        <f t="shared" si="24"/>
        <v>0</v>
      </c>
      <c r="N349" s="407"/>
      <c r="O349" s="371">
        <f t="shared" si="26"/>
        <v>0</v>
      </c>
    </row>
    <row r="350" spans="1:15" ht="24.95" customHeight="1">
      <c r="B350" s="232" t="str">
        <f>IF(B349="NONE","NONE","CV"&amp;Selectdown(RIGHT(B349,LEN(B349)-2),SETTING!$AF$25:$AF$33))</f>
        <v>NONE</v>
      </c>
      <c r="C350" s="408"/>
      <c r="D350" s="402">
        <f>IF(B350&lt;&gt;"",VLOOKUP(B350,R_DG!$A$7:$G$1305,2,0),"")</f>
        <v>0</v>
      </c>
      <c r="E350" s="403">
        <f>VLOOKUP(B350,R_DG!$A$7:$G$1305,3,0)</f>
        <v>0</v>
      </c>
      <c r="F350" s="402">
        <f>VLOOKUP(B350,R_DG!$A$7:$G$1305,4,0)</f>
        <v>0</v>
      </c>
      <c r="G350" s="404">
        <f>G347*IF(A4&gt;0,VLOOKUP(A2,TBA,IF(A5*1=1,11,13),0),0)*10</f>
        <v>0</v>
      </c>
      <c r="H350" s="405">
        <f>VLOOKUP(B350,R_DG!$A$7:$G$1305,5,0)</f>
        <v>0</v>
      </c>
      <c r="I350" s="405">
        <f>VLOOKUP(B350,R_DG!$A$7:$G$1305,6,0)</f>
        <v>0</v>
      </c>
      <c r="J350" s="405">
        <f>VLOOKUP(B350,R_DG!$A$7:$G$1305,7,0)</f>
        <v>0</v>
      </c>
      <c r="K350" s="406">
        <f>H350*G350</f>
        <v>0</v>
      </c>
      <c r="L350" s="406">
        <f>I350*G350</f>
        <v>0</v>
      </c>
      <c r="M350" s="406">
        <f>J350*G350</f>
        <v>0</v>
      </c>
      <c r="N350" s="407"/>
      <c r="O350" s="371">
        <f t="shared" si="26"/>
        <v>0</v>
      </c>
    </row>
    <row r="351" spans="1:15" ht="24.95" customHeight="1">
      <c r="B351" s="232" t="s">
        <v>2463</v>
      </c>
      <c r="C351" s="408"/>
      <c r="D351" s="402">
        <f>IF(B351&lt;&gt;"",VLOOKUP(B351,R_DG!$A$7:$G$1305,2,0),"")</f>
        <v>0</v>
      </c>
      <c r="E351" s="403" t="str">
        <f>VLOOKUP(B351,R_DG!$A$7:$G$1305,3,0)</f>
        <v xml:space="preserve">Cáp CVV 4x2,5mm2 </v>
      </c>
      <c r="F351" s="402" t="str">
        <f>VLOOKUP(B351,R_DG!$A$7:$G$1305,4,0)</f>
        <v>mét</v>
      </c>
      <c r="G351" s="404"/>
      <c r="H351" s="405">
        <f>VLOOKUP(B351,R_DG!$A$7:$G$1305,5,0)</f>
        <v>30000</v>
      </c>
      <c r="I351" s="405">
        <f>VLOOKUP(B351,R_DG!$A$7:$G$1305,6,0)</f>
        <v>0</v>
      </c>
      <c r="J351" s="405">
        <f>VLOOKUP(B351,R_DG!$A$7:$G$1305,7,0)</f>
        <v>0</v>
      </c>
      <c r="K351" s="406">
        <f t="shared" si="23"/>
        <v>0</v>
      </c>
      <c r="L351" s="406">
        <f t="shared" si="25"/>
        <v>0</v>
      </c>
      <c r="M351" s="406">
        <f t="shared" si="24"/>
        <v>0</v>
      </c>
      <c r="N351" s="407"/>
      <c r="O351" s="371">
        <f t="shared" si="26"/>
        <v>0</v>
      </c>
    </row>
    <row r="352" spans="1:15" ht="24.95" customHeight="1">
      <c r="B352" s="232" t="str">
        <f>IF(A4&gt;0,"Cos"&amp;RIGHT(B349,LEN(B349)-2),"NONE")</f>
        <v>NONE</v>
      </c>
      <c r="C352" s="409"/>
      <c r="D352" s="402">
        <f>IF(B352&lt;&gt;"",VLOOKUP(B352,R_DG!$A$7:$G$1305,2,0),"")</f>
        <v>0</v>
      </c>
      <c r="E352" s="403">
        <f>VLOOKUP(B352,R_DG!$A$7:$G$1305,3,0)</f>
        <v>0</v>
      </c>
      <c r="F352" s="402">
        <f>VLOOKUP(B352,R_DG!$A$7:$G$1305,4,0)</f>
        <v>0</v>
      </c>
      <c r="G352" s="404">
        <f>G347*2</f>
        <v>0</v>
      </c>
      <c r="H352" s="405">
        <f>VLOOKUP(B352,R_DG!$A$7:$G$1305,5,0)</f>
        <v>0</v>
      </c>
      <c r="I352" s="405">
        <f>VLOOKUP(B352,R_DG!$A$7:$G$1305,6,0)</f>
        <v>0</v>
      </c>
      <c r="J352" s="405">
        <f>VLOOKUP(B352,R_DG!$A$7:$G$1305,7,0)</f>
        <v>0</v>
      </c>
      <c r="K352" s="406">
        <f t="shared" si="23"/>
        <v>0</v>
      </c>
      <c r="L352" s="406">
        <f t="shared" si="25"/>
        <v>0</v>
      </c>
      <c r="M352" s="406">
        <f t="shared" si="24"/>
        <v>0</v>
      </c>
      <c r="N352" s="407"/>
      <c r="O352" s="371">
        <f t="shared" si="26"/>
        <v>0</v>
      </c>
    </row>
    <row r="353" spans="1:15" ht="24.95" customHeight="1">
      <c r="B353" s="232" t="str">
        <f>IF(A4&gt;0,"Cos"&amp;RIGHT(B350,LEN(B350)-2),"NONE")</f>
        <v>NONE</v>
      </c>
      <c r="C353" s="409"/>
      <c r="D353" s="402">
        <f>IF(B353&lt;&gt;"",VLOOKUP(B353,R_DG!$A$7:$G$1305,2,0),"")</f>
        <v>0</v>
      </c>
      <c r="E353" s="403">
        <f>VLOOKUP(B353,R_DG!$A$7:$G$1305,3,0)</f>
        <v>0</v>
      </c>
      <c r="F353" s="402">
        <f>VLOOKUP(B353,R_DG!$A$7:$G$1305,4,0)</f>
        <v>0</v>
      </c>
      <c r="G353" s="404">
        <f>G347*1</f>
        <v>0</v>
      </c>
      <c r="H353" s="405">
        <f>VLOOKUP(B353,R_DG!$A$7:$G$1305,5,0)</f>
        <v>0</v>
      </c>
      <c r="I353" s="405">
        <f>VLOOKUP(B353,R_DG!$A$7:$G$1305,6,0)</f>
        <v>0</v>
      </c>
      <c r="J353" s="405">
        <f>VLOOKUP(B353,R_DG!$A$7:$G$1305,7,0)</f>
        <v>0</v>
      </c>
      <c r="K353" s="406">
        <f>H353*G353</f>
        <v>0</v>
      </c>
      <c r="L353" s="406">
        <f>I353*G353</f>
        <v>0</v>
      </c>
      <c r="M353" s="406">
        <f>J353*G353</f>
        <v>0</v>
      </c>
      <c r="N353" s="407"/>
      <c r="O353" s="371">
        <f t="shared" si="26"/>
        <v>0</v>
      </c>
    </row>
    <row r="354" spans="1:15" ht="24.95" customHeight="1">
      <c r="B354" s="232" t="str">
        <f>IF(A4&gt;0,"chCos"&amp;RIGHT(B349,LEN(B349)-2),"NONE")</f>
        <v>NONE</v>
      </c>
      <c r="C354" s="409"/>
      <c r="D354" s="402">
        <f>IF(B354&lt;&gt;"",VLOOKUP(B354,R_DG!$A$7:$G$1305,2,0),"")</f>
        <v>0</v>
      </c>
      <c r="E354" s="403">
        <f>VLOOKUP(B354,R_DG!$A$7:$G$1305,3,0)</f>
        <v>0</v>
      </c>
      <c r="F354" s="402">
        <f>VLOOKUP(B354,R_DG!$A$7:$G$1305,4,0)</f>
        <v>0</v>
      </c>
      <c r="G354" s="404">
        <f>G352</f>
        <v>0</v>
      </c>
      <c r="H354" s="405">
        <f>VLOOKUP(B354,R_DG!$A$7:$G$1305,5,0)</f>
        <v>0</v>
      </c>
      <c r="I354" s="405">
        <f>VLOOKUP(B354,R_DG!$A$7:$G$1305,6,0)</f>
        <v>0</v>
      </c>
      <c r="J354" s="405">
        <f>VLOOKUP(B354,R_DG!$A$7:$G$1305,7,0)</f>
        <v>0</v>
      </c>
      <c r="K354" s="406">
        <f t="shared" si="23"/>
        <v>0</v>
      </c>
      <c r="L354" s="406">
        <f t="shared" si="25"/>
        <v>0</v>
      </c>
      <c r="M354" s="406">
        <f t="shared" si="24"/>
        <v>0</v>
      </c>
      <c r="N354" s="407"/>
      <c r="O354" s="371">
        <f t="shared" si="26"/>
        <v>0</v>
      </c>
    </row>
    <row r="355" spans="1:15" ht="24.95" customHeight="1">
      <c r="B355" s="232" t="str">
        <f>IF(A4&gt;0,"chCos"&amp;RIGHT(B350,LEN(B350)-2),"NONE")</f>
        <v>NONE</v>
      </c>
      <c r="C355" s="409"/>
      <c r="D355" s="402">
        <f>IF(B355&lt;&gt;"",VLOOKUP(B355,R_DG!$A$7:$G$1305,2,0),"")</f>
        <v>0</v>
      </c>
      <c r="E355" s="403">
        <f>VLOOKUP(B355,R_DG!$A$7:$G$1305,3,0)</f>
        <v>0</v>
      </c>
      <c r="F355" s="402">
        <f>VLOOKUP(B355,R_DG!$A$7:$G$1305,4,0)</f>
        <v>0</v>
      </c>
      <c r="G355" s="404">
        <f>G353</f>
        <v>0</v>
      </c>
      <c r="H355" s="405">
        <f>VLOOKUP(B355,R_DG!$A$7:$G$1305,5,0)</f>
        <v>0</v>
      </c>
      <c r="I355" s="405">
        <f>VLOOKUP(B355,R_DG!$A$7:$G$1305,6,0)</f>
        <v>0</v>
      </c>
      <c r="J355" s="405">
        <f>VLOOKUP(B355,R_DG!$A$7:$G$1305,7,0)</f>
        <v>0</v>
      </c>
      <c r="K355" s="406">
        <f>H355*G355</f>
        <v>0</v>
      </c>
      <c r="L355" s="406">
        <f>I355*G355</f>
        <v>0</v>
      </c>
      <c r="M355" s="406">
        <f>J355*G355</f>
        <v>0</v>
      </c>
      <c r="N355" s="407"/>
      <c r="O355" s="371">
        <f t="shared" si="26"/>
        <v>0</v>
      </c>
    </row>
    <row r="356" spans="1:15" ht="24.95" customHeight="1">
      <c r="B356" s="232" t="str">
        <f>"PVC"&amp;IF(RIGHT(B349,LEN(B349)-2)&gt;120,"114","90")</f>
        <v>PVC114</v>
      </c>
      <c r="C356" s="409"/>
      <c r="D356" s="402">
        <f>IF(B356&lt;&gt;"",VLOOKUP(B356,R_DG!$A$7:$G$1305,2,0),"")</f>
        <v>0</v>
      </c>
      <c r="E356" s="403" t="str">
        <f>VLOOKUP(B356,R_DG!$A$7:$G$1305,3,0)</f>
        <v xml:space="preserve">Ống PVC D114x4,9mm </v>
      </c>
      <c r="F356" s="402" t="str">
        <f>VLOOKUP(B356,R_DG!$A$7:$G$1305,4,0)</f>
        <v>m</v>
      </c>
      <c r="G356" s="404">
        <f>G347*8</f>
        <v>0</v>
      </c>
      <c r="H356" s="405">
        <f>VLOOKUP(B356,R_DG!$A$7:$G$1305,5,0)</f>
        <v>103700</v>
      </c>
      <c r="I356" s="405">
        <f>VLOOKUP(B356,R_DG!$A$7:$G$1305,6,0)</f>
        <v>0</v>
      </c>
      <c r="J356" s="405">
        <f>VLOOKUP(B356,R_DG!$A$7:$G$1305,7,0)</f>
        <v>0</v>
      </c>
      <c r="K356" s="406">
        <f t="shared" si="23"/>
        <v>0</v>
      </c>
      <c r="L356" s="406">
        <f t="shared" si="25"/>
        <v>0</v>
      </c>
      <c r="M356" s="406">
        <f t="shared" si="24"/>
        <v>0</v>
      </c>
      <c r="N356" s="407"/>
      <c r="O356" s="371">
        <f t="shared" si="26"/>
        <v>0</v>
      </c>
    </row>
    <row r="357" spans="1:15" ht="24.95" customHeight="1">
      <c r="B357" s="226" t="str">
        <f>"CD"&amp;RIGHT(B356,LEN(B356)-3)</f>
        <v>CD114</v>
      </c>
      <c r="C357" s="409"/>
      <c r="D357" s="402">
        <f>IF(B357&lt;&gt;"",VLOOKUP(B357,R_DG!$A$7:$G$1305,2,0),"")</f>
        <v>0</v>
      </c>
      <c r="E357" s="403" t="str">
        <f>VLOOKUP(B357,R_DG!$A$7:$G$1305,3,0)</f>
        <v>Collier kẹp ống PVC φ 114</v>
      </c>
      <c r="F357" s="402" t="str">
        <f>VLOOKUP(B357,R_DG!$A$7:$G$1305,4,0)</f>
        <v>bộ</v>
      </c>
      <c r="G357" s="404">
        <f>G347*3</f>
        <v>0</v>
      </c>
      <c r="H357" s="405">
        <f>VLOOKUP(B357,R_DG!$A$7:$G$1305,5,0)</f>
        <v>59000</v>
      </c>
      <c r="I357" s="405">
        <f>VLOOKUP(B357,R_DG!$A$7:$G$1305,6,0)</f>
        <v>0</v>
      </c>
      <c r="J357" s="405">
        <f>VLOOKUP(B357,R_DG!$A$7:$G$1305,7,0)</f>
        <v>0</v>
      </c>
      <c r="K357" s="406">
        <f t="shared" si="23"/>
        <v>0</v>
      </c>
      <c r="L357" s="405"/>
      <c r="M357" s="406">
        <f t="shared" si="24"/>
        <v>0</v>
      </c>
      <c r="N357" s="407"/>
      <c r="O357" s="371">
        <f t="shared" si="26"/>
        <v>0</v>
      </c>
    </row>
    <row r="358" spans="1:15" ht="24.95" customHeight="1">
      <c r="B358" s="226" t="s">
        <v>2465</v>
      </c>
      <c r="C358" s="409"/>
      <c r="D358" s="402" t="str">
        <f>IF(B358&lt;&gt;"",VLOOKUP(B358,R_DG!$A$7:$G$1305,2,0),"")</f>
        <v>D2.3241</v>
      </c>
      <c r="E358" s="403" t="str">
        <f>VLOOKUP(B358,R_DG!$A$7:$G$1305,3,0)</f>
        <v>Lắp cổ dề</v>
      </c>
      <c r="F358" s="402" t="str">
        <f>VLOOKUP(B358,R_DG!$A$7:$G$1305,4,0)</f>
        <v>bộ</v>
      </c>
      <c r="G358" s="404"/>
      <c r="H358" s="405">
        <f>VLOOKUP(B358,R_DG!$A$7:$G$1305,5,0)</f>
        <v>0</v>
      </c>
      <c r="I358" s="405">
        <f>VLOOKUP(B358,R_DG!$A$7:$G$1305,6,0)</f>
        <v>82929</v>
      </c>
      <c r="J358" s="405">
        <f>VLOOKUP(B358,R_DG!$A$7:$G$1305,7,0)</f>
        <v>0</v>
      </c>
      <c r="K358" s="406">
        <f t="shared" si="23"/>
        <v>0</v>
      </c>
      <c r="L358" s="405"/>
      <c r="M358" s="406">
        <f t="shared" si="24"/>
        <v>0</v>
      </c>
      <c r="N358" s="407"/>
      <c r="O358" s="371">
        <f t="shared" si="26"/>
        <v>0</v>
      </c>
    </row>
    <row r="359" spans="1:15" ht="24.95" customHeight="1">
      <c r="B359" s="226" t="s">
        <v>2190</v>
      </c>
      <c r="C359" s="409"/>
      <c r="D359" s="402">
        <f>IF(B359&lt;&gt;"",VLOOKUP(B359,R_DG!$A$7:$G$1305,2,0),"")</f>
        <v>0</v>
      </c>
      <c r="E359" s="403" t="str">
        <f>VLOOKUP(B359,R_DG!$A$7:$G$1305,3,0)</f>
        <v>Boulon 12x40+ 2 long đền vuông D14-50x50x3/Zn</v>
      </c>
      <c r="F359" s="402" t="str">
        <f>VLOOKUP(B359,R_DG!$A$7:$G$1305,4,0)</f>
        <v>bộ</v>
      </c>
      <c r="G359" s="404"/>
      <c r="H359" s="405">
        <f>VLOOKUP(B359,R_DG!$A$7:$G$1305,5,0)</f>
        <v>3000</v>
      </c>
      <c r="I359" s="405">
        <f>VLOOKUP(B359,R_DG!$A$7:$G$1305,6,0)</f>
        <v>0</v>
      </c>
      <c r="J359" s="405">
        <f>VLOOKUP(B359,R_DG!$A$7:$G$1305,7,0)</f>
        <v>0</v>
      </c>
      <c r="K359" s="406">
        <f t="shared" si="23"/>
        <v>0</v>
      </c>
      <c r="L359" s="405">
        <v>0</v>
      </c>
      <c r="M359" s="406">
        <f t="shared" si="24"/>
        <v>0</v>
      </c>
      <c r="N359" s="407"/>
      <c r="O359" s="371">
        <f t="shared" si="26"/>
        <v>0</v>
      </c>
    </row>
    <row r="360" spans="1:15" ht="24.95" customHeight="1">
      <c r="B360" s="232" t="str">
        <f>"CUT"&amp;RIGHT(B356,LEN(B356)-3)&amp;"t"</f>
        <v>CUT114t</v>
      </c>
      <c r="C360" s="409"/>
      <c r="D360" s="402">
        <f>IF(B360&lt;&gt;"",VLOOKUP(B360,R_DG!$A$7:$G$1305,2,0),"")</f>
        <v>0</v>
      </c>
      <c r="E360" s="403" t="str">
        <f>VLOOKUP(B360,R_DG!$A$7:$G$1305,3,0)</f>
        <v>Co 90 độ PVC 114</v>
      </c>
      <c r="F360" s="402" t="str">
        <f>VLOOKUP(B360,R_DG!$A$7:$G$1305,4,0)</f>
        <v>cái</v>
      </c>
      <c r="G360" s="404">
        <f>G347*3</f>
        <v>0</v>
      </c>
      <c r="H360" s="405">
        <f>VLOOKUP(B360,R_DG!$A$7:$G$1305,5,0)</f>
        <v>43100</v>
      </c>
      <c r="I360" s="405">
        <f>VLOOKUP(B360,R_DG!$A$7:$G$1305,6,0)</f>
        <v>0</v>
      </c>
      <c r="J360" s="405">
        <f>VLOOKUP(B360,R_DG!$A$7:$G$1305,7,0)</f>
        <v>0</v>
      </c>
      <c r="K360" s="406">
        <f t="shared" si="23"/>
        <v>0</v>
      </c>
      <c r="L360" s="406">
        <f t="shared" ref="L360:L389" si="28">I360*G360</f>
        <v>0</v>
      </c>
      <c r="M360" s="406">
        <f t="shared" si="24"/>
        <v>0</v>
      </c>
      <c r="N360" s="407"/>
      <c r="O360" s="371">
        <f t="shared" si="26"/>
        <v>0</v>
      </c>
    </row>
    <row r="361" spans="1:15" ht="24.95" customHeight="1">
      <c r="B361" s="232" t="str">
        <f>"CUT"&amp;RIGHT(B357,LEN(B357)-2)&amp;"135"</f>
        <v>CUT114135</v>
      </c>
      <c r="C361" s="409"/>
      <c r="D361" s="402">
        <f>IF(B361&lt;&gt;"",VLOOKUP(B361,R_DG!$A$7:$G$1305,2,0),"")</f>
        <v>0</v>
      </c>
      <c r="E361" s="403" t="str">
        <f>VLOOKUP(B361,R_DG!$A$7:$G$1305,3,0)</f>
        <v>Co 135 độ PVC 114</v>
      </c>
      <c r="F361" s="402" t="str">
        <f>VLOOKUP(B361,R_DG!$A$7:$G$1305,4,0)</f>
        <v>cái</v>
      </c>
      <c r="G361" s="404">
        <f>G347</f>
        <v>0</v>
      </c>
      <c r="H361" s="405">
        <f>VLOOKUP(B361,R_DG!$A$7:$G$1305,5,0)</f>
        <v>43100</v>
      </c>
      <c r="I361" s="405">
        <f>VLOOKUP(B361,R_DG!$A$7:$G$1305,6,0)</f>
        <v>0</v>
      </c>
      <c r="J361" s="405">
        <f>VLOOKUP(B361,R_DG!$A$7:$G$1305,7,0)</f>
        <v>0</v>
      </c>
      <c r="K361" s="406">
        <f>H361*G361</f>
        <v>0</v>
      </c>
      <c r="L361" s="406">
        <f>I361*G361</f>
        <v>0</v>
      </c>
      <c r="M361" s="406">
        <f>J361*G361</f>
        <v>0</v>
      </c>
      <c r="N361" s="407"/>
      <c r="O361" s="371">
        <f t="shared" si="26"/>
        <v>0</v>
      </c>
    </row>
    <row r="362" spans="1:15" ht="24.95" customHeight="1">
      <c r="B362" s="232" t="str">
        <f>"NPVC"&amp;RIGHT(B356,LEN(B356)-3)</f>
        <v>NPVC114</v>
      </c>
      <c r="C362" s="409"/>
      <c r="D362" s="402">
        <f>IF(B362&lt;&gt;"",VLOOKUP(B362,R_DG!$A$7:$G$1305,2,0),"")</f>
        <v>0</v>
      </c>
      <c r="E362" s="403" t="str">
        <f>VLOOKUP(B362,R_DG!$A$7:$G$1305,3,0)</f>
        <v>Nối ống PVC 114</v>
      </c>
      <c r="F362" s="402" t="str">
        <f>VLOOKUP(B362,R_DG!$A$7:$G$1305,4,0)</f>
        <v>cái</v>
      </c>
      <c r="G362" s="404">
        <f>G347</f>
        <v>0</v>
      </c>
      <c r="H362" s="405">
        <f>VLOOKUP(B362,R_DG!$A$7:$G$1305,5,0)</f>
        <v>27500</v>
      </c>
      <c r="I362" s="405">
        <f>VLOOKUP(B362,R_DG!$A$7:$G$1305,6,0)</f>
        <v>0</v>
      </c>
      <c r="J362" s="405">
        <f>VLOOKUP(B362,R_DG!$A$7:$G$1305,7,0)</f>
        <v>0</v>
      </c>
      <c r="K362" s="406">
        <f t="shared" ref="K362:K389" si="29">H362*G362</f>
        <v>0</v>
      </c>
      <c r="L362" s="406">
        <f t="shared" si="28"/>
        <v>0</v>
      </c>
      <c r="M362" s="406">
        <f t="shared" ref="M362:M389" si="30">J362*G362</f>
        <v>0</v>
      </c>
      <c r="N362" s="407"/>
      <c r="O362" s="371">
        <f t="shared" si="26"/>
        <v>0</v>
      </c>
    </row>
    <row r="363" spans="1:15" ht="24.95" customHeight="1">
      <c r="B363" s="232" t="s">
        <v>2467</v>
      </c>
      <c r="C363" s="409"/>
      <c r="D363" s="402">
        <f>IF(B363&lt;&gt;"",VLOOKUP(B363,R_DG!$A$7:$G$1305,2,0),"")</f>
        <v>0</v>
      </c>
      <c r="E363" s="403" t="str">
        <f>VLOOKUP(B363,R_DG!$A$7:$G$1305,3,0)</f>
        <v>Keo dán ống PVC (100gr)</v>
      </c>
      <c r="F363" s="402" t="str">
        <f>VLOOKUP(B363,R_DG!$A$7:$G$1305,4,0)</f>
        <v>tuýp</v>
      </c>
      <c r="G363" s="404">
        <f>G347</f>
        <v>0</v>
      </c>
      <c r="H363" s="405">
        <f>VLOOKUP(B363,R_DG!$A$7:$G$1305,5,0)</f>
        <v>11500</v>
      </c>
      <c r="I363" s="405">
        <f>VLOOKUP(B363,R_DG!$A$7:$G$1305,6,0)</f>
        <v>0</v>
      </c>
      <c r="J363" s="405">
        <f>VLOOKUP(B363,R_DG!$A$7:$G$1305,7,0)</f>
        <v>0</v>
      </c>
      <c r="K363" s="406">
        <f t="shared" si="29"/>
        <v>0</v>
      </c>
      <c r="L363" s="406">
        <f t="shared" si="28"/>
        <v>0</v>
      </c>
      <c r="M363" s="406">
        <f t="shared" si="30"/>
        <v>0</v>
      </c>
      <c r="N363" s="407"/>
      <c r="O363" s="371">
        <f t="shared" si="26"/>
        <v>0</v>
      </c>
    </row>
    <row r="364" spans="1:15" ht="24.95" customHeight="1">
      <c r="B364" s="232" t="s">
        <v>2468</v>
      </c>
      <c r="C364" s="409"/>
      <c r="D364" s="402">
        <f>IF(B364&lt;&gt;"",VLOOKUP(B364,R_DG!$A$7:$G$1305,2,0),"")</f>
        <v>0</v>
      </c>
      <c r="E364" s="403" t="str">
        <f>VLOOKUP(B364,R_DG!$A$7:$G$1305,3,0)</f>
        <v>Keo silicon bít miệng ống</v>
      </c>
      <c r="F364" s="402" t="str">
        <f>VLOOKUP(B364,R_DG!$A$7:$G$1305,4,0)</f>
        <v>ống</v>
      </c>
      <c r="G364" s="404">
        <f>G347</f>
        <v>0</v>
      </c>
      <c r="H364" s="405">
        <f>VLOOKUP(B364,R_DG!$A$7:$G$1305,5,0)</f>
        <v>30000</v>
      </c>
      <c r="I364" s="405">
        <f>VLOOKUP(B364,R_DG!$A$7:$G$1305,6,0)</f>
        <v>0</v>
      </c>
      <c r="J364" s="405">
        <f>VLOOKUP(B364,R_DG!$A$7:$G$1305,7,0)</f>
        <v>0</v>
      </c>
      <c r="K364" s="406">
        <f t="shared" si="29"/>
        <v>0</v>
      </c>
      <c r="L364" s="406">
        <f t="shared" si="28"/>
        <v>0</v>
      </c>
      <c r="M364" s="406">
        <f t="shared" si="30"/>
        <v>0</v>
      </c>
      <c r="N364" s="407"/>
      <c r="O364" s="371">
        <f t="shared" si="26"/>
        <v>0</v>
      </c>
    </row>
    <row r="365" spans="1:15" ht="24.95" customHeight="1">
      <c r="B365" s="226" t="s">
        <v>1969</v>
      </c>
      <c r="C365" s="409"/>
      <c r="D365" s="402">
        <f>IF(B365&lt;&gt;"",VLOOKUP(B365,R_DG!$A$7:$G$1305,2,0),"")</f>
        <v>0</v>
      </c>
      <c r="E365" s="403" t="str">
        <f>VLOOKUP(B365,R_DG!$A$7:$G$1305,3,0)</f>
        <v>Băng keo cách điện (5m/cuộn)</v>
      </c>
      <c r="F365" s="402" t="str">
        <f>VLOOKUP(B365,R_DG!$A$7:$G$1305,4,0)</f>
        <v>cuộn</v>
      </c>
      <c r="G365" s="404">
        <f>G347</f>
        <v>0</v>
      </c>
      <c r="H365" s="405">
        <f>VLOOKUP(B365,R_DG!$A$7:$G$1305,5,0)</f>
        <v>8000</v>
      </c>
      <c r="I365" s="405">
        <f>VLOOKUP(B365,R_DG!$A$7:$G$1305,6,0)</f>
        <v>0</v>
      </c>
      <c r="J365" s="405">
        <f>VLOOKUP(B365,R_DG!$A$7:$G$1305,7,0)</f>
        <v>0</v>
      </c>
      <c r="K365" s="406">
        <f t="shared" si="29"/>
        <v>0</v>
      </c>
      <c r="L365" s="406">
        <f t="shared" si="28"/>
        <v>0</v>
      </c>
      <c r="M365" s="406">
        <f t="shared" si="30"/>
        <v>0</v>
      </c>
      <c r="N365" s="407"/>
      <c r="O365" s="371">
        <f t="shared" si="26"/>
        <v>0</v>
      </c>
    </row>
    <row r="366" spans="1:15" ht="24.95" customHeight="1">
      <c r="B366" s="232" t="str">
        <f>"lpvc"&amp;RIGHT(B356,LEN(B356)-3)&amp;"cl"</f>
        <v>lpvc114cl</v>
      </c>
      <c r="C366" s="409"/>
      <c r="D366" s="402" t="str">
        <f>IF(B366&lt;&gt;"",VLOOKUP(B366,R_DG!$A$7:$G$1305,2,0),"")</f>
        <v>T4.5202</v>
      </c>
      <c r="E366" s="403" t="str">
        <f>VLOOKUP(B366,R_DG!$A$7:$G$1305,3,0)</f>
        <v>Lắp ống nhựa PVC D114</v>
      </c>
      <c r="F366" s="402" t="str">
        <f>VLOOKUP(B366,R_DG!$A$7:$G$1305,4,0)</f>
        <v>mét</v>
      </c>
      <c r="G366" s="404">
        <f>G356</f>
        <v>0</v>
      </c>
      <c r="H366" s="405">
        <f>VLOOKUP(B366,R_DG!$A$7:$G$1305,5,0)</f>
        <v>0</v>
      </c>
      <c r="I366" s="405">
        <f>VLOOKUP(B366,R_DG!$A$7:$G$1305,6,0)</f>
        <v>63973.8</v>
      </c>
      <c r="J366" s="405">
        <f>VLOOKUP(B366,R_DG!$A$7:$G$1305,7,0)</f>
        <v>0</v>
      </c>
      <c r="K366" s="406">
        <f t="shared" si="29"/>
        <v>0</v>
      </c>
      <c r="L366" s="406">
        <f t="shared" si="28"/>
        <v>0</v>
      </c>
      <c r="M366" s="406">
        <f t="shared" si="30"/>
        <v>0</v>
      </c>
      <c r="N366" s="407"/>
      <c r="O366" s="371">
        <f t="shared" si="26"/>
        <v>0</v>
      </c>
    </row>
    <row r="367" spans="1:15" ht="24.95" customHeight="1">
      <c r="B367" s="226" t="str">
        <f>IF(A4&gt;0,"lcapdongTB"&amp;IF(RIGHT(B349,LEN(B349)-2)*1&gt;150,"240",IF(RIGHT(B349,LEN(B349)-2)*1&gt;95,"150","95")),"NONE")</f>
        <v>NONE</v>
      </c>
      <c r="C367" s="409"/>
      <c r="D367" s="402">
        <f>IF(B367&lt;&gt;"",VLOOKUP(B367,R_DG!$A$7:$G$1305,2,0),"")</f>
        <v>0</v>
      </c>
      <c r="E367" s="403">
        <f>VLOOKUP(B367,R_DG!$A$7:$G$1305,3,0)</f>
        <v>0</v>
      </c>
      <c r="F367" s="402">
        <f>VLOOKUP(B367,R_DG!$A$7:$G$1305,4,0)</f>
        <v>0</v>
      </c>
      <c r="G367" s="404">
        <f>G349+G350</f>
        <v>0</v>
      </c>
      <c r="H367" s="405">
        <f>VLOOKUP(B367,R_DG!$A$7:$G$1305,5,0)</f>
        <v>0</v>
      </c>
      <c r="I367" s="405">
        <f>VLOOKUP(B367,R_DG!$A$7:$G$1305,6,0)</f>
        <v>0</v>
      </c>
      <c r="J367" s="405">
        <f>VLOOKUP(B367,R_DG!$A$7:$G$1305,7,0)</f>
        <v>0</v>
      </c>
      <c r="K367" s="406">
        <f t="shared" si="29"/>
        <v>0</v>
      </c>
      <c r="L367" s="406">
        <f t="shared" si="28"/>
        <v>0</v>
      </c>
      <c r="M367" s="406">
        <f t="shared" si="30"/>
        <v>0</v>
      </c>
      <c r="N367" s="407"/>
      <c r="O367" s="371">
        <f t="shared" si="26"/>
        <v>0</v>
      </c>
    </row>
    <row r="368" spans="1:15" ht="24.95" customHeight="1">
      <c r="A368" s="397" t="s">
        <v>2517</v>
      </c>
      <c r="B368" s="232"/>
      <c r="C368" s="411">
        <f>IF(G368&gt;0,COUNTIF($C$17:C367,"&gt;0")+1,0)</f>
        <v>0</v>
      </c>
      <c r="D368" s="411" t="str">
        <f>IF(B368&lt;&gt;"",VLOOKUP(B368,R_DG!$A$7:$G$1305,2,0),"")</f>
        <v/>
      </c>
      <c r="E368" s="411" t="s">
        <v>2518</v>
      </c>
      <c r="F368" s="411" t="s">
        <v>163</v>
      </c>
      <c r="G368" s="411">
        <f>IF(B4=3,1,0)</f>
        <v>0</v>
      </c>
      <c r="H368" s="411"/>
      <c r="I368" s="411"/>
      <c r="J368" s="411"/>
      <c r="K368" s="411">
        <f t="shared" si="29"/>
        <v>0</v>
      </c>
      <c r="L368" s="411">
        <f t="shared" si="28"/>
        <v>0</v>
      </c>
      <c r="M368" s="411">
        <f t="shared" si="30"/>
        <v>0</v>
      </c>
      <c r="N368" s="410"/>
      <c r="O368" s="371">
        <f t="shared" si="26"/>
        <v>0</v>
      </c>
    </row>
    <row r="369" spans="2:15" ht="24.95" customHeight="1">
      <c r="B369" s="232"/>
      <c r="C369" s="408"/>
      <c r="D369" s="402" t="str">
        <f>IF(B369&lt;&gt;"",VLOOKUP(B369,R_DG!$A$7:$G$1305,2,0),"")</f>
        <v/>
      </c>
      <c r="E369" s="379" t="s">
        <v>2432</v>
      </c>
      <c r="F369" s="408"/>
      <c r="G369" s="408"/>
      <c r="H369" s="406"/>
      <c r="I369" s="406"/>
      <c r="J369" s="405"/>
      <c r="K369" s="406">
        <f t="shared" si="29"/>
        <v>0</v>
      </c>
      <c r="L369" s="406">
        <f t="shared" si="28"/>
        <v>0</v>
      </c>
      <c r="M369" s="406">
        <f t="shared" si="30"/>
        <v>0</v>
      </c>
      <c r="N369" s="407"/>
      <c r="O369" s="371">
        <f t="shared" si="26"/>
        <v>0</v>
      </c>
    </row>
    <row r="370" spans="2:15" ht="24.95" customHeight="1">
      <c r="B370" s="232" t="str">
        <f>IF(A$4&gt;0,"CV"&amp;VLOOKUP(A$2,TBA,IF(A$5*1=1,10,12),0),"NONE")</f>
        <v>NONE</v>
      </c>
      <c r="C370" s="408"/>
      <c r="D370" s="402">
        <f>IF(B370&lt;&gt;"",VLOOKUP(B370,R_DG!$A$7:$G$1305,2,0),"")</f>
        <v>0</v>
      </c>
      <c r="E370" s="403">
        <f>VLOOKUP(B370,R_DG!$A$7:$G$1305,3,0)</f>
        <v>0</v>
      </c>
      <c r="F370" s="402">
        <f>VLOOKUP(B370,R_DG!$A$7:$G$1305,4,0)</f>
        <v>0</v>
      </c>
      <c r="G370" s="404">
        <f>G368*IF(A4&gt;0,VLOOKUP(A2,TBA,IF(A5*1=1,11,13),0),0)*9*3</f>
        <v>0</v>
      </c>
      <c r="H370" s="405">
        <f>VLOOKUP(B370,R_DG!$A$7:$G$1305,5,0)</f>
        <v>0</v>
      </c>
      <c r="I370" s="405">
        <f>VLOOKUP(B370,R_DG!$A$7:$G$1305,6,0)</f>
        <v>0</v>
      </c>
      <c r="J370" s="405">
        <f>VLOOKUP(B370,R_DG!$A$7:$G$1305,7,0)</f>
        <v>0</v>
      </c>
      <c r="K370" s="406">
        <f t="shared" si="29"/>
        <v>0</v>
      </c>
      <c r="L370" s="406">
        <f t="shared" si="28"/>
        <v>0</v>
      </c>
      <c r="M370" s="406">
        <f t="shared" si="30"/>
        <v>0</v>
      </c>
      <c r="N370" s="407"/>
      <c r="O370" s="371">
        <f t="shared" si="26"/>
        <v>0</v>
      </c>
    </row>
    <row r="371" spans="2:15" ht="24.95" customHeight="1">
      <c r="B371" s="232" t="str">
        <f>IF(B370="NONE","NONE","CV"&amp;Selectdown(RIGHT(B370,LEN(B370)-2),SETTING!$AF$25:$AF$33))</f>
        <v>NONE</v>
      </c>
      <c r="C371" s="408"/>
      <c r="D371" s="402">
        <f>IF(B371&lt;&gt;"",VLOOKUP(B371,R_DG!$A$7:$G$1305,2,0),"")</f>
        <v>0</v>
      </c>
      <c r="E371" s="403">
        <f>VLOOKUP(B371,R_DG!$A$7:$G$1305,3,0)</f>
        <v>0</v>
      </c>
      <c r="F371" s="402">
        <f>VLOOKUP(B371,R_DG!$A$7:$G$1305,4,0)</f>
        <v>0</v>
      </c>
      <c r="G371" s="404">
        <f>IF(A4&gt;0,VLOOKUP(A2,TBA,IF(A5*1=1,11,13),0),0)*10*G368</f>
        <v>0</v>
      </c>
      <c r="H371" s="405">
        <f>VLOOKUP(B371,R_DG!$A$7:$G$1305,5,0)</f>
        <v>0</v>
      </c>
      <c r="I371" s="405">
        <f>VLOOKUP(B371,R_DG!$A$7:$G$1305,6,0)</f>
        <v>0</v>
      </c>
      <c r="J371" s="405">
        <f>VLOOKUP(B371,R_DG!$A$7:$G$1305,7,0)</f>
        <v>0</v>
      </c>
      <c r="K371" s="406">
        <f t="shared" si="29"/>
        <v>0</v>
      </c>
      <c r="L371" s="406">
        <f t="shared" si="28"/>
        <v>0</v>
      </c>
      <c r="M371" s="406">
        <f t="shared" si="30"/>
        <v>0</v>
      </c>
      <c r="N371" s="407"/>
      <c r="O371" s="371">
        <f t="shared" si="26"/>
        <v>0</v>
      </c>
    </row>
    <row r="372" spans="2:15" ht="24.95" customHeight="1">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si="29"/>
        <v>0</v>
      </c>
      <c r="L372" s="406">
        <f t="shared" si="28"/>
        <v>0</v>
      </c>
      <c r="M372" s="406">
        <f t="shared" si="30"/>
        <v>0</v>
      </c>
      <c r="N372" s="407"/>
      <c r="O372" s="371">
        <f t="shared" si="26"/>
        <v>0</v>
      </c>
    </row>
    <row r="373" spans="2:15" ht="24.95" customHeight="1">
      <c r="B373" s="232" t="str">
        <f>IF(A4&gt;0,"Cos"&amp;RIGHT(B370,LEN(B370)-2),"NONE")</f>
        <v>NONE</v>
      </c>
      <c r="C373" s="409"/>
      <c r="D373" s="402">
        <f>IF(B373&lt;&gt;"",VLOOKUP(B373,R_DG!$A$7:$G$1305,2,0),"")</f>
        <v>0</v>
      </c>
      <c r="E373" s="403">
        <f>VLOOKUP(B373,R_DG!$A$7:$G$1305,3,0)</f>
        <v>0</v>
      </c>
      <c r="F373" s="402">
        <f>VLOOKUP(B373,R_DG!$A$7:$G$1305,4,0)</f>
        <v>0</v>
      </c>
      <c r="G373" s="404"/>
      <c r="H373" s="405">
        <f>VLOOKUP(B373,R_DG!$A$7:$G$1305,5,0)</f>
        <v>0</v>
      </c>
      <c r="I373" s="405">
        <f>VLOOKUP(B373,R_DG!$A$7:$G$1305,6,0)</f>
        <v>0</v>
      </c>
      <c r="J373" s="405">
        <f>VLOOKUP(B373,R_DG!$A$7:$G$1305,7,0)</f>
        <v>0</v>
      </c>
      <c r="K373" s="406">
        <f t="shared" si="29"/>
        <v>0</v>
      </c>
      <c r="L373" s="406">
        <f t="shared" si="28"/>
        <v>0</v>
      </c>
      <c r="M373" s="406">
        <f t="shared" si="30"/>
        <v>0</v>
      </c>
      <c r="N373" s="407"/>
      <c r="O373" s="371">
        <f t="shared" si="26"/>
        <v>0</v>
      </c>
    </row>
    <row r="374" spans="2:15" ht="24.95" customHeight="1">
      <c r="B374" s="232" t="str">
        <f>IF(A4&gt;0,"Cos"&amp;RIGHT(B371,LEN(B371)-2),"NONE")</f>
        <v>NONE</v>
      </c>
      <c r="C374" s="409"/>
      <c r="D374" s="402">
        <f>IF(B374&lt;&gt;"",VLOOKUP(B374,R_DG!$A$7:$G$1305,2,0),"")</f>
        <v>0</v>
      </c>
      <c r="E374" s="403">
        <f>VLOOKUP(B374,R_DG!$A$7:$G$1305,3,0)</f>
        <v>0</v>
      </c>
      <c r="F374" s="402">
        <f>VLOOKUP(B374,R_DG!$A$7:$G$1305,4,0)</f>
        <v>0</v>
      </c>
      <c r="G374" s="404">
        <f>G368*3</f>
        <v>0</v>
      </c>
      <c r="H374" s="405">
        <f>VLOOKUP(B374,R_DG!$A$7:$G$1305,5,0)</f>
        <v>0</v>
      </c>
      <c r="I374" s="405">
        <f>VLOOKUP(B374,R_DG!$A$7:$G$1305,6,0)</f>
        <v>0</v>
      </c>
      <c r="J374" s="405">
        <f>VLOOKUP(B374,R_DG!$A$7:$G$1305,7,0)</f>
        <v>0</v>
      </c>
      <c r="K374" s="406">
        <f>H374*G374</f>
        <v>0</v>
      </c>
      <c r="L374" s="406">
        <f>I374*G374</f>
        <v>0</v>
      </c>
      <c r="M374" s="406">
        <f>J374*G374</f>
        <v>0</v>
      </c>
      <c r="N374" s="407"/>
      <c r="O374" s="371">
        <f t="shared" si="26"/>
        <v>0</v>
      </c>
    </row>
    <row r="375" spans="2:15" ht="24.95" customHeight="1">
      <c r="B375" s="232" t="str">
        <f>IF(A4&gt;0,"chCos"&amp;RIGHT(B370,LEN(B370)-2),"NONE")</f>
        <v>NONE</v>
      </c>
      <c r="C375" s="409"/>
      <c r="D375" s="402">
        <f>IF(B375&lt;&gt;"",VLOOKUP(B375,R_DG!$A$7:$G$1305,2,0),"")</f>
        <v>0</v>
      </c>
      <c r="E375" s="403">
        <f>VLOOKUP(B375,R_DG!$A$7:$G$1305,3,0)</f>
        <v>0</v>
      </c>
      <c r="F375" s="402">
        <f>VLOOKUP(B375,R_DG!$A$7:$G$1305,4,0)</f>
        <v>0</v>
      </c>
      <c r="G375" s="404">
        <f>G368*1</f>
        <v>0</v>
      </c>
      <c r="H375" s="405">
        <f>VLOOKUP(B375,R_DG!$A$7:$G$1305,5,0)</f>
        <v>0</v>
      </c>
      <c r="I375" s="405">
        <f>VLOOKUP(B375,R_DG!$A$7:$G$1305,6,0)</f>
        <v>0</v>
      </c>
      <c r="J375" s="405">
        <f>VLOOKUP(B375,R_DG!$A$7:$G$1305,7,0)</f>
        <v>0</v>
      </c>
      <c r="K375" s="406">
        <f t="shared" si="29"/>
        <v>0</v>
      </c>
      <c r="L375" s="406">
        <f t="shared" si="28"/>
        <v>0</v>
      </c>
      <c r="M375" s="406">
        <f t="shared" si="30"/>
        <v>0</v>
      </c>
      <c r="N375" s="407"/>
      <c r="O375" s="371">
        <f t="shared" si="26"/>
        <v>0</v>
      </c>
    </row>
    <row r="376" spans="2:15" ht="24.95" customHeight="1">
      <c r="B376" s="232" t="str">
        <f>IF(A4&gt;0,"chCos"&amp;RIGHT(B371,LEN(B371)-2),"NONE")</f>
        <v>NONE</v>
      </c>
      <c r="C376" s="409"/>
      <c r="D376" s="402">
        <f>IF(B376&lt;&gt;"",VLOOKUP(B376,R_DG!$A$7:$G$1305,2,0),"")</f>
        <v>0</v>
      </c>
      <c r="E376" s="403">
        <f>VLOOKUP(B376,R_DG!$A$7:$G$1305,3,0)</f>
        <v>0</v>
      </c>
      <c r="F376" s="402">
        <f>VLOOKUP(B376,R_DG!$A$7:$G$1305,4,0)</f>
        <v>0</v>
      </c>
      <c r="G376" s="404">
        <f>G374</f>
        <v>0</v>
      </c>
      <c r="H376" s="405">
        <f>VLOOKUP(B376,R_DG!$A$7:$G$1305,5,0)</f>
        <v>0</v>
      </c>
      <c r="I376" s="405">
        <f>VLOOKUP(B376,R_DG!$A$7:$G$1305,6,0)</f>
        <v>0</v>
      </c>
      <c r="J376" s="405">
        <f>VLOOKUP(B376,R_DG!$A$7:$G$1305,7,0)</f>
        <v>0</v>
      </c>
      <c r="K376" s="406">
        <f>H376*G376</f>
        <v>0</v>
      </c>
      <c r="L376" s="406">
        <f>I376*G376</f>
        <v>0</v>
      </c>
      <c r="M376" s="406">
        <f>J376*G376</f>
        <v>0</v>
      </c>
      <c r="N376" s="407"/>
      <c r="O376" s="371">
        <f t="shared" si="26"/>
        <v>0</v>
      </c>
    </row>
    <row r="377" spans="2:15" ht="24.95" customHeight="1">
      <c r="B377" s="232" t="str">
        <f>"PVC"&amp;IF(RIGHT(B370,LEN(B370)-2)&gt;120,"114","90")</f>
        <v>PVC114</v>
      </c>
      <c r="C377" s="409"/>
      <c r="D377" s="402">
        <f>IF(B377&lt;&gt;"",VLOOKUP(B377,R_DG!$A$7:$G$1305,2,0),"")</f>
        <v>0</v>
      </c>
      <c r="E377" s="403" t="str">
        <f>VLOOKUP(B377,R_DG!$A$7:$G$1305,3,0)</f>
        <v xml:space="preserve">Ống PVC D114x4,9mm </v>
      </c>
      <c r="F377" s="402" t="str">
        <f>VLOOKUP(B377,R_DG!$A$7:$G$1305,4,0)</f>
        <v>m</v>
      </c>
      <c r="G377" s="404">
        <f>G368*8</f>
        <v>0</v>
      </c>
      <c r="H377" s="405">
        <f>VLOOKUP(B377,R_DG!$A$7:$G$1305,5,0)</f>
        <v>103700</v>
      </c>
      <c r="I377" s="405">
        <f>VLOOKUP(B377,R_DG!$A$7:$G$1305,6,0)</f>
        <v>0</v>
      </c>
      <c r="J377" s="405">
        <f>VLOOKUP(B377,R_DG!$A$7:$G$1305,7,0)</f>
        <v>0</v>
      </c>
      <c r="K377" s="406">
        <f t="shared" si="29"/>
        <v>0</v>
      </c>
      <c r="L377" s="406">
        <f t="shared" si="28"/>
        <v>0</v>
      </c>
      <c r="M377" s="406">
        <f t="shared" si="30"/>
        <v>0</v>
      </c>
      <c r="N377" s="407"/>
      <c r="O377" s="371">
        <f t="shared" si="26"/>
        <v>0</v>
      </c>
    </row>
    <row r="378" spans="2:15" ht="24.95" customHeight="1">
      <c r="B378" s="226" t="str">
        <f>"CD"&amp;RIGHT(B377,LEN(B377)-3)</f>
        <v>CD114</v>
      </c>
      <c r="C378" s="409"/>
      <c r="D378" s="402">
        <f>IF(B378&lt;&gt;"",VLOOKUP(B378,R_DG!$A$7:$G$1305,2,0),"")</f>
        <v>0</v>
      </c>
      <c r="E378" s="403" t="str">
        <f>VLOOKUP(B378,R_DG!$A$7:$G$1305,3,0)</f>
        <v>Collier kẹp ống PVC φ 114</v>
      </c>
      <c r="F378" s="402" t="str">
        <f>VLOOKUP(B378,R_DG!$A$7:$G$1305,4,0)</f>
        <v>bộ</v>
      </c>
      <c r="G378" s="404">
        <f>G368*3</f>
        <v>0</v>
      </c>
      <c r="H378" s="405">
        <f>VLOOKUP(B378,R_DG!$A$7:$G$1305,5,0)</f>
        <v>59000</v>
      </c>
      <c r="I378" s="405">
        <f>VLOOKUP(B378,R_DG!$A$7:$G$1305,6,0)</f>
        <v>0</v>
      </c>
      <c r="J378" s="405">
        <f>VLOOKUP(B378,R_DG!$A$7:$G$1305,7,0)</f>
        <v>0</v>
      </c>
      <c r="K378" s="406">
        <f t="shared" si="29"/>
        <v>0</v>
      </c>
      <c r="L378" s="405"/>
      <c r="M378" s="406">
        <f t="shared" si="30"/>
        <v>0</v>
      </c>
      <c r="N378" s="407"/>
      <c r="O378" s="371">
        <f t="shared" si="26"/>
        <v>0</v>
      </c>
    </row>
    <row r="379" spans="2:15" ht="24.95" customHeight="1">
      <c r="B379" s="226" t="s">
        <v>2465</v>
      </c>
      <c r="C379" s="409"/>
      <c r="D379" s="402" t="str">
        <f>IF(B379&lt;&gt;"",VLOOKUP(B379,R_DG!$A$7:$G$1305,2,0),"")</f>
        <v>D2.3241</v>
      </c>
      <c r="E379" s="403" t="str">
        <f>VLOOKUP(B379,R_DG!$A$7:$G$1305,3,0)</f>
        <v>Lắp cổ dề</v>
      </c>
      <c r="F379" s="402" t="str">
        <f>VLOOKUP(B379,R_DG!$A$7:$G$1305,4,0)</f>
        <v>bộ</v>
      </c>
      <c r="G379" s="404"/>
      <c r="H379" s="405">
        <f>VLOOKUP(B379,R_DG!$A$7:$G$1305,5,0)</f>
        <v>0</v>
      </c>
      <c r="I379" s="405">
        <f>VLOOKUP(B379,R_DG!$A$7:$G$1305,6,0)</f>
        <v>82929</v>
      </c>
      <c r="J379" s="405">
        <f>VLOOKUP(B379,R_DG!$A$7:$G$1305,7,0)</f>
        <v>0</v>
      </c>
      <c r="K379" s="406">
        <f t="shared" si="29"/>
        <v>0</v>
      </c>
      <c r="L379" s="405"/>
      <c r="M379" s="406">
        <f t="shared" si="30"/>
        <v>0</v>
      </c>
      <c r="N379" s="407"/>
      <c r="O379" s="371">
        <f t="shared" si="26"/>
        <v>0</v>
      </c>
    </row>
    <row r="380" spans="2:15" ht="24.95" customHeight="1">
      <c r="B380" s="226" t="s">
        <v>2190</v>
      </c>
      <c r="C380" s="409"/>
      <c r="D380" s="402">
        <f>IF(B380&lt;&gt;"",VLOOKUP(B380,R_DG!$A$7:$G$1305,2,0),"")</f>
        <v>0</v>
      </c>
      <c r="E380" s="403" t="str">
        <f>VLOOKUP(B380,R_DG!$A$7:$G$1305,3,0)</f>
        <v>Boulon 12x40+ 2 long đền vuông D14-50x50x3/Zn</v>
      </c>
      <c r="F380" s="402" t="str">
        <f>VLOOKUP(B380,R_DG!$A$7:$G$1305,4,0)</f>
        <v>bộ</v>
      </c>
      <c r="G380" s="404"/>
      <c r="H380" s="405">
        <f>VLOOKUP(B380,R_DG!$A$7:$G$1305,5,0)</f>
        <v>3000</v>
      </c>
      <c r="I380" s="405">
        <f>VLOOKUP(B380,R_DG!$A$7:$G$1305,6,0)</f>
        <v>0</v>
      </c>
      <c r="J380" s="405">
        <f>VLOOKUP(B380,R_DG!$A$7:$G$1305,7,0)</f>
        <v>0</v>
      </c>
      <c r="K380" s="406">
        <f t="shared" si="29"/>
        <v>0</v>
      </c>
      <c r="L380" s="405">
        <v>0</v>
      </c>
      <c r="M380" s="406">
        <f t="shared" si="30"/>
        <v>0</v>
      </c>
      <c r="N380" s="407"/>
      <c r="O380" s="371">
        <f t="shared" si="26"/>
        <v>0</v>
      </c>
    </row>
    <row r="381" spans="2:15" ht="24.95" customHeight="1">
      <c r="B381" s="232" t="str">
        <f>"CUT"&amp;RIGHT(B377,LEN(B377)-3)&amp;"t"</f>
        <v>CUT114t</v>
      </c>
      <c r="C381" s="409"/>
      <c r="D381" s="402">
        <f>IF(B381&lt;&gt;"",VLOOKUP(B381,R_DG!$A$7:$G$1305,2,0),"")</f>
        <v>0</v>
      </c>
      <c r="E381" s="403" t="str">
        <f>VLOOKUP(B381,R_DG!$A$7:$G$1305,3,0)</f>
        <v>Co 90 độ PVC 114</v>
      </c>
      <c r="F381" s="402" t="str">
        <f>VLOOKUP(B381,R_DG!$A$7:$G$1305,4,0)</f>
        <v>cái</v>
      </c>
      <c r="G381" s="404">
        <f>G368*3</f>
        <v>0</v>
      </c>
      <c r="H381" s="405">
        <f>VLOOKUP(B381,R_DG!$A$7:$G$1305,5,0)</f>
        <v>43100</v>
      </c>
      <c r="I381" s="405">
        <f>VLOOKUP(B381,R_DG!$A$7:$G$1305,6,0)</f>
        <v>0</v>
      </c>
      <c r="J381" s="405">
        <f>VLOOKUP(B381,R_DG!$A$7:$G$1305,7,0)</f>
        <v>0</v>
      </c>
      <c r="K381" s="406">
        <f t="shared" si="29"/>
        <v>0</v>
      </c>
      <c r="L381" s="406">
        <f t="shared" ref="L381:L388" si="31">I381*G381</f>
        <v>0</v>
      </c>
      <c r="M381" s="406">
        <f t="shared" si="30"/>
        <v>0</v>
      </c>
      <c r="N381" s="407"/>
      <c r="O381" s="371">
        <f t="shared" si="26"/>
        <v>0</v>
      </c>
    </row>
    <row r="382" spans="2:15" ht="24.95" customHeight="1">
      <c r="B382" s="232" t="str">
        <f>"CUT"&amp;RIGHT(B378,LEN(B378)-2)&amp;"135"</f>
        <v>CUT114135</v>
      </c>
      <c r="C382" s="409"/>
      <c r="D382" s="402">
        <f>IF(B382&lt;&gt;"",VLOOKUP(B382,R_DG!$A$7:$G$1305,2,0),"")</f>
        <v>0</v>
      </c>
      <c r="E382" s="403" t="str">
        <f>VLOOKUP(B382,R_DG!$A$7:$G$1305,3,0)</f>
        <v>Co 135 độ PVC 114</v>
      </c>
      <c r="F382" s="402" t="str">
        <f>VLOOKUP(B382,R_DG!$A$7:$G$1305,4,0)</f>
        <v>cái</v>
      </c>
      <c r="G382" s="404">
        <f>G368</f>
        <v>0</v>
      </c>
      <c r="H382" s="405">
        <f>VLOOKUP(B382,R_DG!$A$7:$G$1305,5,0)</f>
        <v>43100</v>
      </c>
      <c r="I382" s="405">
        <f>VLOOKUP(B382,R_DG!$A$7:$G$1305,6,0)</f>
        <v>0</v>
      </c>
      <c r="J382" s="405">
        <f>VLOOKUP(B382,R_DG!$A$7:$G$1305,7,0)</f>
        <v>0</v>
      </c>
      <c r="K382" s="406">
        <f>H382*G382</f>
        <v>0</v>
      </c>
      <c r="L382" s="406">
        <f>I382*G382</f>
        <v>0</v>
      </c>
      <c r="M382" s="406">
        <f>J382*G382</f>
        <v>0</v>
      </c>
      <c r="N382" s="407"/>
      <c r="O382" s="371">
        <f t="shared" si="26"/>
        <v>0</v>
      </c>
    </row>
    <row r="383" spans="2:15" ht="24.95" customHeight="1">
      <c r="B383" s="232" t="str">
        <f>"NPVC"&amp;RIGHT(B377,LEN(B377)-3)</f>
        <v>NPVC114</v>
      </c>
      <c r="C383" s="409"/>
      <c r="D383" s="402">
        <f>IF(B383&lt;&gt;"",VLOOKUP(B383,R_DG!$A$7:$G$1305,2,0),"")</f>
        <v>0</v>
      </c>
      <c r="E383" s="403" t="str">
        <f>VLOOKUP(B383,R_DG!$A$7:$G$1305,3,0)</f>
        <v>Nối ống PVC 114</v>
      </c>
      <c r="F383" s="402" t="str">
        <f>VLOOKUP(B383,R_DG!$A$7:$G$1305,4,0)</f>
        <v>cái</v>
      </c>
      <c r="G383" s="404">
        <f>G368</f>
        <v>0</v>
      </c>
      <c r="H383" s="405">
        <f>VLOOKUP(B383,R_DG!$A$7:$G$1305,5,0)</f>
        <v>27500</v>
      </c>
      <c r="I383" s="405">
        <f>VLOOKUP(B383,R_DG!$A$7:$G$1305,6,0)</f>
        <v>0</v>
      </c>
      <c r="J383" s="405">
        <f>VLOOKUP(B383,R_DG!$A$7:$G$1305,7,0)</f>
        <v>0</v>
      </c>
      <c r="K383" s="406">
        <f t="shared" ref="K383:K388" si="32">H383*G383</f>
        <v>0</v>
      </c>
      <c r="L383" s="406">
        <f t="shared" si="31"/>
        <v>0</v>
      </c>
      <c r="M383" s="406">
        <f t="shared" ref="M383:M388" si="33">J383*G383</f>
        <v>0</v>
      </c>
      <c r="N383" s="407"/>
      <c r="O383" s="371">
        <f t="shared" si="26"/>
        <v>0</v>
      </c>
    </row>
    <row r="384" spans="2:15" ht="24.95" customHeight="1">
      <c r="B384" s="232" t="s">
        <v>2467</v>
      </c>
      <c r="C384" s="409"/>
      <c r="D384" s="402">
        <f>IF(B384&lt;&gt;"",VLOOKUP(B384,R_DG!$A$7:$G$1305,2,0),"")</f>
        <v>0</v>
      </c>
      <c r="E384" s="403" t="str">
        <f>VLOOKUP(B384,R_DG!$A$7:$G$1305,3,0)</f>
        <v>Keo dán ống PVC (100gr)</v>
      </c>
      <c r="F384" s="402" t="str">
        <f>VLOOKUP(B384,R_DG!$A$7:$G$1305,4,0)</f>
        <v>tuýp</v>
      </c>
      <c r="G384" s="404">
        <f>G368</f>
        <v>0</v>
      </c>
      <c r="H384" s="405">
        <f>VLOOKUP(B384,R_DG!$A$7:$G$1305,5,0)</f>
        <v>11500</v>
      </c>
      <c r="I384" s="405">
        <f>VLOOKUP(B384,R_DG!$A$7:$G$1305,6,0)</f>
        <v>0</v>
      </c>
      <c r="J384" s="405">
        <f>VLOOKUP(B384,R_DG!$A$7:$G$1305,7,0)</f>
        <v>0</v>
      </c>
      <c r="K384" s="406">
        <f t="shared" si="32"/>
        <v>0</v>
      </c>
      <c r="L384" s="406">
        <f t="shared" si="31"/>
        <v>0</v>
      </c>
      <c r="M384" s="406">
        <f t="shared" si="33"/>
        <v>0</v>
      </c>
      <c r="N384" s="407"/>
      <c r="O384" s="371">
        <f t="shared" si="26"/>
        <v>0</v>
      </c>
    </row>
    <row r="385" spans="1:15" ht="24.95" customHeight="1">
      <c r="B385" s="232" t="s">
        <v>2468</v>
      </c>
      <c r="C385" s="409"/>
      <c r="D385" s="402">
        <f>IF(B385&lt;&gt;"",VLOOKUP(B385,R_DG!$A$7:$G$1305,2,0),"")</f>
        <v>0</v>
      </c>
      <c r="E385" s="403" t="str">
        <f>VLOOKUP(B385,R_DG!$A$7:$G$1305,3,0)</f>
        <v>Keo silicon bít miệng ống</v>
      </c>
      <c r="F385" s="402" t="str">
        <f>VLOOKUP(B385,R_DG!$A$7:$G$1305,4,0)</f>
        <v>ống</v>
      </c>
      <c r="G385" s="404">
        <f>G368</f>
        <v>0</v>
      </c>
      <c r="H385" s="405">
        <f>VLOOKUP(B385,R_DG!$A$7:$G$1305,5,0)</f>
        <v>30000</v>
      </c>
      <c r="I385" s="405">
        <f>VLOOKUP(B385,R_DG!$A$7:$G$1305,6,0)</f>
        <v>0</v>
      </c>
      <c r="J385" s="405">
        <f>VLOOKUP(B385,R_DG!$A$7:$G$1305,7,0)</f>
        <v>0</v>
      </c>
      <c r="K385" s="406">
        <f t="shared" si="32"/>
        <v>0</v>
      </c>
      <c r="L385" s="406">
        <f t="shared" si="31"/>
        <v>0</v>
      </c>
      <c r="M385" s="406">
        <f t="shared" si="33"/>
        <v>0</v>
      </c>
      <c r="N385" s="407"/>
      <c r="O385" s="371">
        <f t="shared" si="26"/>
        <v>0</v>
      </c>
    </row>
    <row r="386" spans="1:15" ht="24.95" customHeight="1">
      <c r="B386" s="226" t="s">
        <v>1969</v>
      </c>
      <c r="C386" s="409"/>
      <c r="D386" s="402">
        <f>IF(B386&lt;&gt;"",VLOOKUP(B386,R_DG!$A$7:$G$1305,2,0),"")</f>
        <v>0</v>
      </c>
      <c r="E386" s="403" t="str">
        <f>VLOOKUP(B386,R_DG!$A$7:$G$1305,3,0)</f>
        <v>Băng keo cách điện (5m/cuộn)</v>
      </c>
      <c r="F386" s="402" t="str">
        <f>VLOOKUP(B386,R_DG!$A$7:$G$1305,4,0)</f>
        <v>cuộn</v>
      </c>
      <c r="G386" s="404">
        <f>G368*5</f>
        <v>0</v>
      </c>
      <c r="H386" s="405">
        <f>VLOOKUP(B386,R_DG!$A$7:$G$1305,5,0)</f>
        <v>8000</v>
      </c>
      <c r="I386" s="405">
        <f>VLOOKUP(B386,R_DG!$A$7:$G$1305,6,0)</f>
        <v>0</v>
      </c>
      <c r="J386" s="405">
        <f>VLOOKUP(B386,R_DG!$A$7:$G$1305,7,0)</f>
        <v>0</v>
      </c>
      <c r="K386" s="406">
        <f t="shared" si="32"/>
        <v>0</v>
      </c>
      <c r="L386" s="406">
        <f t="shared" si="31"/>
        <v>0</v>
      </c>
      <c r="M386" s="406">
        <f t="shared" si="33"/>
        <v>0</v>
      </c>
      <c r="N386" s="407"/>
      <c r="O386" s="371">
        <f t="shared" si="26"/>
        <v>0</v>
      </c>
    </row>
    <row r="387" spans="1:15" ht="24.95" customHeight="1">
      <c r="B387" s="232" t="str">
        <f>"lpvc"&amp;RIGHT(B377,LEN(B377)-3)&amp;"cl"</f>
        <v>lpvc114cl</v>
      </c>
      <c r="C387" s="409"/>
      <c r="D387" s="402" t="str">
        <f>IF(B387&lt;&gt;"",VLOOKUP(B387,R_DG!$A$7:$G$1305,2,0),"")</f>
        <v>T4.5202</v>
      </c>
      <c r="E387" s="403" t="str">
        <f>VLOOKUP(B387,R_DG!$A$7:$G$1305,3,0)</f>
        <v>Lắp ống nhựa PVC D114</v>
      </c>
      <c r="F387" s="402" t="str">
        <f>VLOOKUP(B387,R_DG!$A$7:$G$1305,4,0)</f>
        <v>mét</v>
      </c>
      <c r="G387" s="404">
        <f>G377</f>
        <v>0</v>
      </c>
      <c r="H387" s="405">
        <f>VLOOKUP(B387,R_DG!$A$7:$G$1305,5,0)</f>
        <v>0</v>
      </c>
      <c r="I387" s="405">
        <f>VLOOKUP(B387,R_DG!$A$7:$G$1305,6,0)</f>
        <v>63973.8</v>
      </c>
      <c r="J387" s="405">
        <f>VLOOKUP(B387,R_DG!$A$7:$G$1305,7,0)</f>
        <v>0</v>
      </c>
      <c r="K387" s="406">
        <f t="shared" si="32"/>
        <v>0</v>
      </c>
      <c r="L387" s="406">
        <f t="shared" si="31"/>
        <v>0</v>
      </c>
      <c r="M387" s="406">
        <f t="shared" si="33"/>
        <v>0</v>
      </c>
      <c r="N387" s="407"/>
      <c r="O387" s="371">
        <f t="shared" si="26"/>
        <v>0</v>
      </c>
    </row>
    <row r="388" spans="1:15" ht="24.95" customHeight="1">
      <c r="B388" s="226" t="str">
        <f>IF(A4&gt;0,"lcapdongTB"&amp;IF(RIGHT(B370,LEN(B370)-2)*1&gt;150,"240",IF(RIGHT(B370,LEN(B370)-2)*1&gt;95,"150","95")),"NONE")</f>
        <v>NONE</v>
      </c>
      <c r="C388" s="409"/>
      <c r="D388" s="402">
        <f>IF(B388&lt;&gt;"",VLOOKUP(B388,R_DG!$A$7:$G$1305,2,0),"")</f>
        <v>0</v>
      </c>
      <c r="E388" s="403">
        <f>VLOOKUP(B388,R_DG!$A$7:$G$1305,3,0)</f>
        <v>0</v>
      </c>
      <c r="F388" s="402">
        <f>VLOOKUP(B388,R_DG!$A$7:$G$1305,4,0)</f>
        <v>0</v>
      </c>
      <c r="G388" s="404">
        <f>G370+G371</f>
        <v>0</v>
      </c>
      <c r="H388" s="405">
        <f>VLOOKUP(B388,R_DG!$A$7:$G$1305,5,0)</f>
        <v>0</v>
      </c>
      <c r="I388" s="405">
        <f>VLOOKUP(B388,R_DG!$A$7:$G$1305,6,0)</f>
        <v>0</v>
      </c>
      <c r="J388" s="405">
        <f>VLOOKUP(B388,R_DG!$A$7:$G$1305,7,0)</f>
        <v>0</v>
      </c>
      <c r="K388" s="406">
        <f t="shared" si="32"/>
        <v>0</v>
      </c>
      <c r="L388" s="406">
        <f t="shared" si="31"/>
        <v>0</v>
      </c>
      <c r="M388" s="406">
        <f t="shared" si="33"/>
        <v>0</v>
      </c>
      <c r="N388" s="407"/>
      <c r="O388" s="371">
        <f t="shared" si="26"/>
        <v>0</v>
      </c>
    </row>
    <row r="389" spans="1:15" ht="24.95" customHeight="1">
      <c r="B389" s="232" t="s">
        <v>1768</v>
      </c>
      <c r="C389" s="279"/>
      <c r="D389" s="280" t="str">
        <f>IF(B389&lt;&gt;"",VLOOKUP(B389,R_DG!$A$7:$G$1305,2,0),"")</f>
        <v>D3.3201</v>
      </c>
      <c r="E389" s="281" t="str">
        <f>VLOOKUP(B389,R_DG!$A$7:$G$1305,3,0)</f>
        <v>Bảng tên trạm, bảng báo nguy hiểm</v>
      </c>
      <c r="F389" s="280" t="str">
        <f>VLOOKUP(B389,R_DG!$A$7:$G$1305,4,0)</f>
        <v>bộ</v>
      </c>
      <c r="G389" s="282">
        <f>G10</f>
        <v>0</v>
      </c>
      <c r="H389" s="283">
        <f>VLOOKUP(B389,R_DG!$A$7:$G$1305,5,0)</f>
        <v>42500</v>
      </c>
      <c r="I389" s="283">
        <f>VLOOKUP(B389,R_DG!$A$7:$G$1305,6,0)</f>
        <v>47388</v>
      </c>
      <c r="J389" s="283">
        <f>VLOOKUP(B389,R_DG!$A$7:$G$1305,7,0)</f>
        <v>0</v>
      </c>
      <c r="K389" s="284">
        <f t="shared" si="29"/>
        <v>0</v>
      </c>
      <c r="L389" s="284">
        <f t="shared" si="28"/>
        <v>0</v>
      </c>
      <c r="M389" s="284">
        <f t="shared" si="30"/>
        <v>0</v>
      </c>
      <c r="N389" s="285"/>
      <c r="O389" s="371">
        <f t="shared" ref="O389" si="34">IF(SUM(G389:G389)&gt;0,1,0)</f>
        <v>0</v>
      </c>
    </row>
    <row r="390" spans="1:15" ht="24.95" customHeight="1">
      <c r="A390" s="397" t="s">
        <v>3268</v>
      </c>
      <c r="B390" s="234"/>
      <c r="C390" s="286"/>
      <c r="D390" s="287"/>
      <c r="E390" s="288"/>
      <c r="F390" s="287"/>
      <c r="G390" s="289"/>
      <c r="H390" s="290"/>
      <c r="I390" s="291" t="s">
        <v>2470</v>
      </c>
      <c r="J390" s="291"/>
      <c r="K390" s="292" t="e">
        <f>SUM(K17:K389)</f>
        <v>#REF!</v>
      </c>
      <c r="L390" s="292">
        <f>SUM(L17:L389)</f>
        <v>0</v>
      </c>
      <c r="M390" s="292">
        <f>SUM(M17:M389)</f>
        <v>0</v>
      </c>
      <c r="N390" s="293"/>
      <c r="O390" s="371">
        <v>1</v>
      </c>
    </row>
  </sheetData>
  <autoFilter ref="A5:V390"/>
  <mergeCells count="5">
    <mergeCell ref="C3:C4"/>
    <mergeCell ref="D3:D4"/>
    <mergeCell ref="E3:E4"/>
    <mergeCell ref="F3:F4"/>
    <mergeCell ref="N3:N4"/>
  </mergeCells>
  <printOptions horizontalCentered="1"/>
  <pageMargins left="0.78740157480314998" right="0.59055118110236204" top="0.59055118110236204" bottom="0.59055118110236204" header="0.31496062992126" footer="0.31496062992126"/>
  <pageSetup paperSize="9" scale="63" fitToHeight="0"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filterMode="1">
    <tabColor theme="9" tint="-0.249977111117893"/>
    <pageSetUpPr fitToPage="1"/>
  </sheetPr>
  <dimension ref="B1:N79"/>
  <sheetViews>
    <sheetView showZeros="0" view="pageBreakPreview" zoomScale="85" zoomScaleNormal="100" zoomScaleSheetLayoutView="85" workbookViewId="0">
      <selection activeCell="G53" sqref="G53"/>
    </sheetView>
  </sheetViews>
  <sheetFormatPr defaultColWidth="8.85546875" defaultRowHeight="24.95" customHeight="1"/>
  <cols>
    <col min="1" max="1" width="3.42578125" style="371" customWidth="1"/>
    <col min="2" max="2" width="18.85546875" style="899" bestFit="1" customWidth="1"/>
    <col min="3" max="3" width="7.42578125" style="183" customWidth="1"/>
    <col min="4" max="4" width="10.85546875" style="371" customWidth="1"/>
    <col min="5" max="5" width="35.5703125" style="886" customWidth="1"/>
    <col min="6" max="6" width="8" style="371" bestFit="1" customWidth="1"/>
    <col min="7" max="7" width="10.140625" style="371" customWidth="1"/>
    <col min="8" max="8" width="10.85546875" style="371" bestFit="1" customWidth="1"/>
    <col min="9" max="10" width="9.42578125" style="371" bestFit="1" customWidth="1"/>
    <col min="11" max="11" width="11.42578125" style="371" bestFit="1" customWidth="1"/>
    <col min="12" max="12" width="12" style="371" customWidth="1"/>
    <col min="13" max="13" width="10.42578125" style="371" bestFit="1" customWidth="1"/>
    <col min="14" max="14" width="6" style="374" customWidth="1"/>
    <col min="15" max="16384" width="8.85546875" style="371"/>
  </cols>
  <sheetData>
    <row r="1" spans="2:14" ht="24.95" customHeight="1">
      <c r="C1" s="1381" t="s">
        <v>4831</v>
      </c>
      <c r="D1" s="1381"/>
      <c r="E1" s="1381"/>
      <c r="F1" s="1381"/>
      <c r="G1" s="1381"/>
      <c r="H1" s="1381"/>
      <c r="I1" s="1381"/>
      <c r="J1" s="1381"/>
      <c r="K1" s="1381"/>
      <c r="L1" s="1381"/>
      <c r="M1" s="1381"/>
    </row>
    <row r="3" spans="2:14" ht="24.95" customHeight="1">
      <c r="C3" s="1378" t="s">
        <v>2347</v>
      </c>
      <c r="D3" s="1378" t="s">
        <v>2446</v>
      </c>
      <c r="E3" s="1382" t="s">
        <v>2447</v>
      </c>
      <c r="F3" s="1378" t="s">
        <v>2352</v>
      </c>
      <c r="G3" s="831" t="s">
        <v>2140</v>
      </c>
      <c r="H3" s="898" t="s">
        <v>2141</v>
      </c>
      <c r="I3" s="898"/>
      <c r="J3" s="898"/>
      <c r="K3" s="898" t="s">
        <v>2448</v>
      </c>
      <c r="L3" s="898"/>
      <c r="M3" s="898"/>
    </row>
    <row r="4" spans="2:14" ht="24.95" customHeight="1">
      <c r="C4" s="1378"/>
      <c r="D4" s="1378"/>
      <c r="E4" s="1382"/>
      <c r="F4" s="1378"/>
      <c r="G4" s="831" t="s">
        <v>2143</v>
      </c>
      <c r="H4" s="831" t="s">
        <v>2450</v>
      </c>
      <c r="I4" s="831" t="s">
        <v>2451</v>
      </c>
      <c r="J4" s="831" t="s">
        <v>2452</v>
      </c>
      <c r="K4" s="831" t="s">
        <v>2450</v>
      </c>
      <c r="L4" s="831" t="s">
        <v>2451</v>
      </c>
      <c r="M4" s="831" t="s">
        <v>2452</v>
      </c>
    </row>
    <row r="5" spans="2:14" ht="24.95" customHeight="1">
      <c r="C5" s="894">
        <v>1</v>
      </c>
      <c r="D5" s="895" t="s">
        <v>4830</v>
      </c>
      <c r="E5" s="896"/>
      <c r="F5" s="897"/>
      <c r="G5" s="897"/>
      <c r="H5" s="897"/>
      <c r="I5" s="897"/>
      <c r="J5" s="897"/>
      <c r="K5" s="897"/>
      <c r="L5" s="897"/>
      <c r="M5" s="897"/>
      <c r="N5" s="374">
        <v>1</v>
      </c>
    </row>
    <row r="6" spans="2:14" ht="24.95" customHeight="1">
      <c r="B6" s="888"/>
      <c r="C6" s="904"/>
      <c r="D6" s="905"/>
      <c r="E6" s="906" t="s">
        <v>2155</v>
      </c>
      <c r="F6" s="917" t="s">
        <v>2146</v>
      </c>
      <c r="G6" s="916">
        <f>BKCS!H30</f>
        <v>0</v>
      </c>
      <c r="H6" s="908"/>
      <c r="I6" s="908"/>
      <c r="J6" s="908"/>
      <c r="K6" s="909"/>
      <c r="L6" s="909"/>
      <c r="M6" s="909"/>
      <c r="N6" s="374">
        <v>1</v>
      </c>
    </row>
    <row r="7" spans="2:14" ht="24.95" customHeight="1">
      <c r="B7" s="899" t="s">
        <v>818</v>
      </c>
      <c r="C7" s="409"/>
      <c r="D7" s="402" t="s">
        <v>4267</v>
      </c>
      <c r="E7" s="885" t="s">
        <v>4270</v>
      </c>
      <c r="F7" s="402" t="s">
        <v>476</v>
      </c>
      <c r="G7" s="818">
        <f>G6*0.106</f>
        <v>0</v>
      </c>
      <c r="H7" s="405">
        <f>VLOOKUP(B7,R_DG!$A$7:$G$1305,5,0)</f>
        <v>0</v>
      </c>
      <c r="I7" s="405">
        <f>VLOOKUP(B7,R_DG!$A$7:$G$1305,6,0)</f>
        <v>418738.31999999995</v>
      </c>
      <c r="J7" s="405">
        <f>VLOOKUP(B7,R_DG!$A$7:$G$1305,7,0)</f>
        <v>0</v>
      </c>
      <c r="K7" s="406">
        <f t="shared" ref="K7:K8" si="0">H7*G7</f>
        <v>0</v>
      </c>
      <c r="L7" s="406">
        <f t="shared" ref="L7:L8" si="1">I7*G7</f>
        <v>0</v>
      </c>
      <c r="M7" s="406">
        <f t="shared" ref="M7:M8" si="2">J7*G7</f>
        <v>0</v>
      </c>
      <c r="N7" s="374">
        <f t="shared" ref="N7:N8" si="3">IF(SUM(K7:M7)&gt;0,1,0)</f>
        <v>0</v>
      </c>
    </row>
    <row r="8" spans="2:14" ht="24.95" customHeight="1">
      <c r="B8" s="899" t="s">
        <v>831</v>
      </c>
      <c r="C8" s="409"/>
      <c r="D8" s="402" t="s">
        <v>4268</v>
      </c>
      <c r="E8" s="885" t="s">
        <v>4269</v>
      </c>
      <c r="F8" s="402" t="s">
        <v>476</v>
      </c>
      <c r="G8" s="818">
        <f>G6*0.106</f>
        <v>0</v>
      </c>
      <c r="H8" s="405">
        <f>VLOOKUP(B8,R_DG!$A$7:$G$1305,5,0)</f>
        <v>0</v>
      </c>
      <c r="I8" s="405">
        <f>VLOOKUP(B8,R_DG!$A$7:$G$1305,6,0)</f>
        <v>100210.88</v>
      </c>
      <c r="J8" s="405">
        <f>VLOOKUP(B8,R_DG!$A$7:$G$1305,7,0)</f>
        <v>0</v>
      </c>
      <c r="K8" s="406">
        <f t="shared" si="0"/>
        <v>0</v>
      </c>
      <c r="L8" s="406">
        <f t="shared" si="1"/>
        <v>0</v>
      </c>
      <c r="M8" s="406">
        <f t="shared" si="2"/>
        <v>0</v>
      </c>
      <c r="N8" s="374">
        <f t="shared" si="3"/>
        <v>0</v>
      </c>
    </row>
    <row r="9" spans="2:14" ht="24.95" customHeight="1">
      <c r="B9" s="888"/>
      <c r="C9" s="904"/>
      <c r="D9" s="905"/>
      <c r="E9" s="906" t="s">
        <v>4833</v>
      </c>
      <c r="F9" s="905" t="s">
        <v>2146</v>
      </c>
      <c r="G9" s="907">
        <v>0</v>
      </c>
      <c r="H9" s="908"/>
      <c r="I9" s="908"/>
      <c r="J9" s="908"/>
      <c r="K9" s="909"/>
      <c r="L9" s="909"/>
      <c r="M9" s="909"/>
      <c r="N9" s="374">
        <v>1</v>
      </c>
    </row>
    <row r="10" spans="2:14" ht="24.95" hidden="1" customHeight="1">
      <c r="B10" s="899" t="s">
        <v>767</v>
      </c>
      <c r="C10" s="409"/>
      <c r="D10" s="402" t="s">
        <v>7</v>
      </c>
      <c r="E10" s="885" t="s">
        <v>768</v>
      </c>
      <c r="F10" s="402" t="s">
        <v>182</v>
      </c>
      <c r="G10" s="818">
        <f>G9*350.55</f>
        <v>0</v>
      </c>
      <c r="H10" s="405">
        <f>VLOOKUP(B10,R_DG!$A$7:$G$1305,5,0)</f>
        <v>1800</v>
      </c>
      <c r="I10" s="405">
        <f>VLOOKUP(B10,R_DG!$A$7:$G$1305,6,0)</f>
        <v>0</v>
      </c>
      <c r="J10" s="405">
        <f>VLOOKUP(B10,R_DG!$A$7:$G$1305,7,0)</f>
        <v>0</v>
      </c>
      <c r="K10" s="406">
        <f t="shared" ref="K10:K13" si="4">H10*G10</f>
        <v>0</v>
      </c>
      <c r="L10" s="406">
        <f t="shared" ref="L10:L13" si="5">I10*G10</f>
        <v>0</v>
      </c>
      <c r="M10" s="406">
        <f t="shared" ref="M10:M13" si="6">J10*G10</f>
        <v>0</v>
      </c>
      <c r="N10" s="374">
        <f>IF(SUM(K10:M10)&gt;0,1,0)</f>
        <v>0</v>
      </c>
    </row>
    <row r="11" spans="2:14" ht="24.95" hidden="1" customHeight="1">
      <c r="B11" s="899" t="s">
        <v>762</v>
      </c>
      <c r="C11" s="409"/>
      <c r="D11" s="402">
        <v>0</v>
      </c>
      <c r="E11" s="885" t="s">
        <v>763</v>
      </c>
      <c r="F11" s="402" t="s">
        <v>476</v>
      </c>
      <c r="G11" s="818">
        <f>G9*0.481</f>
        <v>0</v>
      </c>
      <c r="H11" s="405">
        <f>VLOOKUP(B11,R_DG!$A$7:$G$1305,5,0)</f>
        <v>320000</v>
      </c>
      <c r="I11" s="405">
        <f>VLOOKUP(B11,R_DG!$A$7:$G$1305,6,0)</f>
        <v>0</v>
      </c>
      <c r="J11" s="405">
        <f>VLOOKUP(B11,R_DG!$A$7:$G$1305,7,0)</f>
        <v>0</v>
      </c>
      <c r="K11" s="406">
        <f t="shared" si="4"/>
        <v>0</v>
      </c>
      <c r="L11" s="406">
        <f t="shared" si="5"/>
        <v>0</v>
      </c>
      <c r="M11" s="406">
        <f t="shared" si="6"/>
        <v>0</v>
      </c>
      <c r="N11" s="374">
        <f t="shared" ref="N11:N79" si="7">IF(SUM(K11:M11)&gt;0,1,0)</f>
        <v>0</v>
      </c>
    </row>
    <row r="12" spans="2:14" ht="24.95" hidden="1" customHeight="1">
      <c r="B12" s="899" t="s">
        <v>2159</v>
      </c>
      <c r="C12" s="409"/>
      <c r="D12" s="402">
        <v>0</v>
      </c>
      <c r="E12" s="885" t="s">
        <v>757</v>
      </c>
      <c r="F12" s="402" t="s">
        <v>476</v>
      </c>
      <c r="G12" s="818">
        <f>G9*0.9</f>
        <v>0</v>
      </c>
      <c r="H12" s="405">
        <f>VLOOKUP(B12,R_DG!$A$7:$G$1305,5,0)</f>
        <v>400000</v>
      </c>
      <c r="I12" s="405">
        <f>VLOOKUP(B12,R_DG!$A$7:$G$1305,6,0)</f>
        <v>0</v>
      </c>
      <c r="J12" s="405">
        <f>VLOOKUP(B12,R_DG!$A$7:$G$1305,7,0)</f>
        <v>0</v>
      </c>
      <c r="K12" s="406">
        <f t="shared" si="4"/>
        <v>0</v>
      </c>
      <c r="L12" s="406">
        <f t="shared" si="5"/>
        <v>0</v>
      </c>
      <c r="M12" s="406">
        <f t="shared" si="6"/>
        <v>0</v>
      </c>
      <c r="N12" s="374">
        <f t="shared" si="7"/>
        <v>0</v>
      </c>
    </row>
    <row r="13" spans="2:14" ht="24.95" hidden="1" customHeight="1">
      <c r="B13" s="899" t="s">
        <v>818</v>
      </c>
      <c r="C13" s="409"/>
      <c r="D13" s="402" t="s">
        <v>4267</v>
      </c>
      <c r="E13" s="885" t="s">
        <v>4270</v>
      </c>
      <c r="F13" s="402" t="s">
        <v>476</v>
      </c>
      <c r="G13" s="818">
        <f>G9*0.769</f>
        <v>0</v>
      </c>
      <c r="H13" s="405">
        <f>VLOOKUP(B13,R_DG!$A$7:$G$1305,5,0)</f>
        <v>0</v>
      </c>
      <c r="I13" s="405">
        <f>VLOOKUP(B13,R_DG!$A$7:$G$1305,6,0)</f>
        <v>418738.31999999995</v>
      </c>
      <c r="J13" s="405">
        <f>VLOOKUP(B13,R_DG!$A$7:$G$1305,7,0)</f>
        <v>0</v>
      </c>
      <c r="K13" s="406">
        <f t="shared" si="4"/>
        <v>0</v>
      </c>
      <c r="L13" s="406">
        <f t="shared" si="5"/>
        <v>0</v>
      </c>
      <c r="M13" s="406">
        <f t="shared" si="6"/>
        <v>0</v>
      </c>
      <c r="N13" s="374">
        <f t="shared" si="7"/>
        <v>0</v>
      </c>
    </row>
    <row r="14" spans="2:14" ht="24.95" hidden="1" customHeight="1">
      <c r="B14" s="899" t="s">
        <v>831</v>
      </c>
      <c r="C14" s="409"/>
      <c r="D14" s="402" t="s">
        <v>4268</v>
      </c>
      <c r="E14" s="885" t="s">
        <v>4269</v>
      </c>
      <c r="F14" s="402" t="s">
        <v>476</v>
      </c>
      <c r="G14" s="818">
        <f>G9*0.034</f>
        <v>0</v>
      </c>
      <c r="H14" s="405">
        <f>VLOOKUP(B14,R_DG!$A$7:$G$1305,5,0)</f>
        <v>0</v>
      </c>
      <c r="I14" s="405">
        <f>VLOOKUP(B14,R_DG!$A$7:$G$1305,6,0)</f>
        <v>100210.88</v>
      </c>
      <c r="J14" s="405">
        <f>VLOOKUP(B14,R_DG!$A$7:$G$1305,7,0)</f>
        <v>0</v>
      </c>
      <c r="K14" s="406">
        <f t="shared" ref="K14" si="8">H14*G14</f>
        <v>0</v>
      </c>
      <c r="L14" s="406">
        <f t="shared" ref="L14" si="9">I14*G14</f>
        <v>0</v>
      </c>
      <c r="M14" s="406">
        <f t="shared" ref="M14" si="10">J14*G14</f>
        <v>0</v>
      </c>
      <c r="N14" s="374">
        <f t="shared" si="7"/>
        <v>0</v>
      </c>
    </row>
    <row r="15" spans="2:14" ht="24.95" customHeight="1">
      <c r="B15" s="888"/>
      <c r="C15" s="904"/>
      <c r="D15" s="905"/>
      <c r="E15" s="906" t="s">
        <v>4868</v>
      </c>
      <c r="F15" s="905" t="s">
        <v>2146</v>
      </c>
      <c r="G15" s="907">
        <f>BKCS!J30</f>
        <v>0</v>
      </c>
      <c r="H15" s="908"/>
      <c r="I15" s="908"/>
      <c r="J15" s="908"/>
      <c r="K15" s="909"/>
      <c r="L15" s="909"/>
      <c r="M15" s="909"/>
      <c r="N15" s="374">
        <v>1</v>
      </c>
    </row>
    <row r="16" spans="2:14" ht="24.95" customHeight="1">
      <c r="B16" s="899" t="s">
        <v>767</v>
      </c>
      <c r="C16" s="409"/>
      <c r="D16" s="402" t="s">
        <v>7</v>
      </c>
      <c r="E16" s="885" t="s">
        <v>768</v>
      </c>
      <c r="F16" s="402" t="s">
        <v>182</v>
      </c>
      <c r="G16" s="818">
        <f>G15*350.55</f>
        <v>0</v>
      </c>
      <c r="H16" s="405">
        <f>VLOOKUP(B16,R_DG!$A$7:$G$1305,5,0)</f>
        <v>1800</v>
      </c>
      <c r="I16" s="405">
        <f>VLOOKUP(B16,R_DG!$A$7:$G$1305,6,0)</f>
        <v>0</v>
      </c>
      <c r="J16" s="405">
        <f>VLOOKUP(B16,R_DG!$A$7:$G$1305,7,0)</f>
        <v>0</v>
      </c>
      <c r="K16" s="406">
        <f t="shared" ref="K16:K20" si="11">H16*G16</f>
        <v>0</v>
      </c>
      <c r="L16" s="406">
        <f t="shared" ref="L16:L20" si="12">I16*G16</f>
        <v>0</v>
      </c>
      <c r="M16" s="406">
        <f t="shared" ref="M16:M20" si="13">J16*G16</f>
        <v>0</v>
      </c>
      <c r="N16" s="374">
        <f>IF(SUM(K16:M16)&gt;0,1,0)</f>
        <v>0</v>
      </c>
    </row>
    <row r="17" spans="2:14" ht="24.95" customHeight="1">
      <c r="B17" s="899" t="s">
        <v>762</v>
      </c>
      <c r="C17" s="409"/>
      <c r="D17" s="402">
        <v>0</v>
      </c>
      <c r="E17" s="885" t="s">
        <v>763</v>
      </c>
      <c r="F17" s="402" t="s">
        <v>476</v>
      </c>
      <c r="G17" s="818">
        <f>G15*0.481</f>
        <v>0</v>
      </c>
      <c r="H17" s="405">
        <f>VLOOKUP(B17,R_DG!$A$7:$G$1305,5,0)</f>
        <v>320000</v>
      </c>
      <c r="I17" s="405">
        <f>VLOOKUP(B17,R_DG!$A$7:$G$1305,6,0)</f>
        <v>0</v>
      </c>
      <c r="J17" s="405">
        <f>VLOOKUP(B17,R_DG!$A$7:$G$1305,7,0)</f>
        <v>0</v>
      </c>
      <c r="K17" s="406">
        <f t="shared" si="11"/>
        <v>0</v>
      </c>
      <c r="L17" s="406">
        <f t="shared" si="12"/>
        <v>0</v>
      </c>
      <c r="M17" s="406">
        <f t="shared" si="13"/>
        <v>0</v>
      </c>
      <c r="N17" s="374">
        <f t="shared" ref="N17:N20" si="14">IF(SUM(K17:M17)&gt;0,1,0)</f>
        <v>0</v>
      </c>
    </row>
    <row r="18" spans="2:14" ht="24.95" customHeight="1">
      <c r="B18" s="899" t="s">
        <v>2159</v>
      </c>
      <c r="C18" s="409"/>
      <c r="D18" s="402">
        <v>0</v>
      </c>
      <c r="E18" s="885" t="s">
        <v>757</v>
      </c>
      <c r="F18" s="402" t="s">
        <v>476</v>
      </c>
      <c r="G18" s="818">
        <f>G15*0.9</f>
        <v>0</v>
      </c>
      <c r="H18" s="405">
        <f>VLOOKUP(B18,R_DG!$A$7:$G$1305,5,0)</f>
        <v>400000</v>
      </c>
      <c r="I18" s="405">
        <f>VLOOKUP(B18,R_DG!$A$7:$G$1305,6,0)</f>
        <v>0</v>
      </c>
      <c r="J18" s="405">
        <f>VLOOKUP(B18,R_DG!$A$7:$G$1305,7,0)</f>
        <v>0</v>
      </c>
      <c r="K18" s="406">
        <f t="shared" si="11"/>
        <v>0</v>
      </c>
      <c r="L18" s="406">
        <f t="shared" si="12"/>
        <v>0</v>
      </c>
      <c r="M18" s="406">
        <f t="shared" si="13"/>
        <v>0</v>
      </c>
      <c r="N18" s="374">
        <f t="shared" si="14"/>
        <v>0</v>
      </c>
    </row>
    <row r="19" spans="2:14" ht="24.95" customHeight="1">
      <c r="B19" s="899" t="s">
        <v>818</v>
      </c>
      <c r="C19" s="409"/>
      <c r="D19" s="402" t="s">
        <v>4267</v>
      </c>
      <c r="E19" s="885" t="s">
        <v>4270</v>
      </c>
      <c r="F19" s="402" t="s">
        <v>476</v>
      </c>
      <c r="G19" s="818">
        <f>G15*1.061</f>
        <v>0</v>
      </c>
      <c r="H19" s="405">
        <f>VLOOKUP(B19,R_DG!$A$7:$G$1305,5,0)</f>
        <v>0</v>
      </c>
      <c r="I19" s="405">
        <f>VLOOKUP(B19,R_DG!$A$7:$G$1305,6,0)</f>
        <v>418738.31999999995</v>
      </c>
      <c r="J19" s="405">
        <f>VLOOKUP(B19,R_DG!$A$7:$G$1305,7,0)</f>
        <v>0</v>
      </c>
      <c r="K19" s="406">
        <f t="shared" si="11"/>
        <v>0</v>
      </c>
      <c r="L19" s="406">
        <f t="shared" si="12"/>
        <v>0</v>
      </c>
      <c r="M19" s="406">
        <f t="shared" si="13"/>
        <v>0</v>
      </c>
      <c r="N19" s="374">
        <f t="shared" si="14"/>
        <v>0</v>
      </c>
    </row>
    <row r="20" spans="2:14" ht="24.95" customHeight="1">
      <c r="B20" s="899" t="s">
        <v>831</v>
      </c>
      <c r="C20" s="409"/>
      <c r="D20" s="402" t="s">
        <v>4268</v>
      </c>
      <c r="E20" s="885" t="s">
        <v>4269</v>
      </c>
      <c r="F20" s="402" t="s">
        <v>476</v>
      </c>
      <c r="G20" s="818">
        <f>G15*0.148</f>
        <v>0</v>
      </c>
      <c r="H20" s="405">
        <f>VLOOKUP(B20,R_DG!$A$7:$G$1305,5,0)</f>
        <v>0</v>
      </c>
      <c r="I20" s="405">
        <f>VLOOKUP(B20,R_DG!$A$7:$G$1305,6,0)</f>
        <v>100210.88</v>
      </c>
      <c r="J20" s="405">
        <f>VLOOKUP(B20,R_DG!$A$7:$G$1305,7,0)</f>
        <v>0</v>
      </c>
      <c r="K20" s="406">
        <f t="shared" si="11"/>
        <v>0</v>
      </c>
      <c r="L20" s="406">
        <f t="shared" si="12"/>
        <v>0</v>
      </c>
      <c r="M20" s="406">
        <f t="shared" si="13"/>
        <v>0</v>
      </c>
      <c r="N20" s="374">
        <f t="shared" si="14"/>
        <v>0</v>
      </c>
    </row>
    <row r="21" spans="2:14" ht="24.95" customHeight="1">
      <c r="C21" s="411">
        <v>2</v>
      </c>
      <c r="D21" s="891" t="s">
        <v>4822</v>
      </c>
      <c r="E21" s="892"/>
      <c r="F21" s="893"/>
      <c r="G21" s="893"/>
      <c r="H21" s="893"/>
      <c r="I21" s="893"/>
      <c r="J21" s="893"/>
      <c r="K21" s="893"/>
      <c r="L21" s="893"/>
      <c r="M21" s="893"/>
      <c r="N21" s="374">
        <v>1</v>
      </c>
    </row>
    <row r="22" spans="2:14" ht="47.25" hidden="1">
      <c r="B22" s="888" t="s">
        <v>2094</v>
      </c>
      <c r="C22" s="409"/>
      <c r="D22" s="402">
        <f>IF(B22&lt;&gt;"",VLOOKUP(B22,R_DG!$A$7:$G$1305,2,0),"")</f>
        <v>0</v>
      </c>
      <c r="E22" s="885" t="str">
        <f>VLOOKUP(B22,R_DG!$A$7:$G$1305,3,0)</f>
        <v>Trụ đèn chiếu sáng côn tròn STK cao 6m, dày 3mm, D60/150mm. Đế 375x375x10mm</v>
      </c>
      <c r="F22" s="402" t="str">
        <f>VLOOKUP(B22,R_DG!$A$7:$G$1305,4,0)</f>
        <v>trụ</v>
      </c>
      <c r="G22" s="404"/>
      <c r="H22" s="405">
        <f>VLOOKUP(B22,R_DG!$A$7:$G$1305,5,0)</f>
        <v>1709000</v>
      </c>
      <c r="I22" s="405">
        <f>VLOOKUP(B22,R_DG!$A$7:$G$1305,6,0)</f>
        <v>0</v>
      </c>
      <c r="J22" s="405">
        <f>VLOOKUP(B22,R_DG!$A$7:$G$1305,7,0)</f>
        <v>0</v>
      </c>
      <c r="K22" s="406">
        <f t="shared" ref="K22" si="15">H22*G22</f>
        <v>0</v>
      </c>
      <c r="L22" s="406">
        <f t="shared" ref="L22" si="16">I22*G22</f>
        <v>0</v>
      </c>
      <c r="M22" s="406">
        <f t="shared" ref="M22" si="17">J22*G22</f>
        <v>0</v>
      </c>
      <c r="N22" s="374">
        <f t="shared" si="7"/>
        <v>0</v>
      </c>
    </row>
    <row r="23" spans="2:14" s="5" customFormat="1" ht="47.25" hidden="1">
      <c r="B23" s="887" t="s">
        <v>2095</v>
      </c>
      <c r="C23" s="409"/>
      <c r="D23" s="402">
        <f>IF(B23&lt;&gt;"",VLOOKUP(B23,R_DG!$A$7:$G$1305,2,0),"")</f>
        <v>0</v>
      </c>
      <c r="E23" s="885" t="str">
        <f>VLOOKUP(B23,R_DG!$A$7:$G$1305,3,0)</f>
        <v>Trụ đèn chiếu sáng côn tròn STK cao 7m, dày 3mm, D60/150mm. Đế 375x375x10mm</v>
      </c>
      <c r="F23" s="402" t="str">
        <f>VLOOKUP(B23,R_DG!$A$7:$G$1305,4,0)</f>
        <v>trụ</v>
      </c>
      <c r="G23" s="404"/>
      <c r="H23" s="405">
        <f>VLOOKUP(B23,R_DG!$A$7:$G$1305,5,0)</f>
        <v>2006000</v>
      </c>
      <c r="I23" s="405">
        <f>VLOOKUP(B23,R_DG!$A$7:$G$1305,6,0)</f>
        <v>0</v>
      </c>
      <c r="J23" s="405">
        <f>VLOOKUP(B23,R_DG!$A$7:$G$1305,7,0)</f>
        <v>0</v>
      </c>
      <c r="K23" s="406">
        <f t="shared" ref="K23:K43" si="18">H23*G23</f>
        <v>0</v>
      </c>
      <c r="L23" s="406">
        <f t="shared" ref="L23:L43" si="19">I23*G23</f>
        <v>0</v>
      </c>
      <c r="M23" s="406">
        <f t="shared" ref="M23:M43" si="20">J23*G23</f>
        <v>0</v>
      </c>
      <c r="N23" s="127">
        <f t="shared" si="7"/>
        <v>0</v>
      </c>
    </row>
    <row r="24" spans="2:14" s="5" customFormat="1" ht="47.25" hidden="1">
      <c r="B24" s="887" t="s">
        <v>4746</v>
      </c>
      <c r="C24" s="409"/>
      <c r="D24" s="402">
        <f>IF(B24&lt;&gt;"",VLOOKUP(B24,R_DG!$A$7:$G$1305,2,0),"")</f>
        <v>0</v>
      </c>
      <c r="E24" s="885" t="str">
        <f>VLOOKUP(B24,R_DG!$A$7:$G$1305,3,0)</f>
        <v>Trụ đèn chiếu sáng côn tròn STK cao 8m, dày 3mm, D60/191mm. Đế 375x375x10mm</v>
      </c>
      <c r="F24" s="402" t="str">
        <f>VLOOKUP(B24,R_DG!$A$7:$G$1305,4,0)</f>
        <v>trụ</v>
      </c>
      <c r="G24" s="404"/>
      <c r="H24" s="405">
        <f>VLOOKUP(B24,R_DG!$A$7:$G$1305,5,0)</f>
        <v>1709000</v>
      </c>
      <c r="I24" s="405">
        <f>VLOOKUP(B24,R_DG!$A$7:$G$1305,6,0)</f>
        <v>0</v>
      </c>
      <c r="J24" s="405">
        <f>VLOOKUP(B24,R_DG!$A$7:$G$1305,7,0)</f>
        <v>0</v>
      </c>
      <c r="K24" s="406">
        <f t="shared" si="18"/>
        <v>0</v>
      </c>
      <c r="L24" s="406">
        <f t="shared" si="19"/>
        <v>0</v>
      </c>
      <c r="M24" s="406">
        <f t="shared" si="20"/>
        <v>0</v>
      </c>
      <c r="N24" s="127">
        <f t="shared" si="7"/>
        <v>0</v>
      </c>
    </row>
    <row r="25" spans="2:14" s="5" customFormat="1" ht="47.25" hidden="1">
      <c r="B25" s="887" t="s">
        <v>4747</v>
      </c>
      <c r="C25" s="409"/>
      <c r="D25" s="402">
        <f>IF(B25&lt;&gt;"",VLOOKUP(B25,R_DG!$A$7:$G$1305,2,0),"")</f>
        <v>0</v>
      </c>
      <c r="E25" s="885" t="str">
        <f>VLOOKUP(B25,R_DG!$A$7:$G$1305,3,0)</f>
        <v>Trụ đèn chiếu sáng côn tròn STK cao 9m, dày 4mm, D60/150mm. Đế 375x375x10mm</v>
      </c>
      <c r="F25" s="402" t="str">
        <f>VLOOKUP(B25,R_DG!$A$7:$G$1305,4,0)</f>
        <v>trụ</v>
      </c>
      <c r="G25" s="404"/>
      <c r="H25" s="405">
        <f>VLOOKUP(B25,R_DG!$A$7:$G$1305,5,0)</f>
        <v>2006000</v>
      </c>
      <c r="I25" s="405">
        <f>VLOOKUP(B25,R_DG!$A$7:$G$1305,6,0)</f>
        <v>0</v>
      </c>
      <c r="J25" s="405">
        <f>VLOOKUP(B25,R_DG!$A$7:$G$1305,7,0)</f>
        <v>0</v>
      </c>
      <c r="K25" s="406">
        <f t="shared" si="18"/>
        <v>0</v>
      </c>
      <c r="L25" s="406">
        <f t="shared" si="19"/>
        <v>0</v>
      </c>
      <c r="M25" s="406">
        <f t="shared" si="20"/>
        <v>0</v>
      </c>
      <c r="N25" s="127">
        <f t="shared" si="7"/>
        <v>0</v>
      </c>
    </row>
    <row r="26" spans="2:14" s="5" customFormat="1" ht="47.25" hidden="1">
      <c r="B26" s="887" t="s">
        <v>4748</v>
      </c>
      <c r="C26" s="409"/>
      <c r="D26" s="402">
        <f>IF(B26&lt;&gt;"",VLOOKUP(B26,R_DG!$A$7:$G$1305,2,0),"")</f>
        <v>0</v>
      </c>
      <c r="E26" s="885" t="str">
        <f>VLOOKUP(B26,R_DG!$A$7:$G$1305,3,0)</f>
        <v>Trụ đèn chiếu sáng côn tròn STK cao 10m, dày 4mm, D60/191mm. Đế 375x375x10mm</v>
      </c>
      <c r="F26" s="402" t="str">
        <f>VLOOKUP(B26,R_DG!$A$7:$G$1305,4,0)</f>
        <v>trụ</v>
      </c>
      <c r="G26" s="404"/>
      <c r="H26" s="405">
        <f>VLOOKUP(B26,R_DG!$A$7:$G$1305,5,0)</f>
        <v>1709000</v>
      </c>
      <c r="I26" s="405">
        <f>VLOOKUP(B26,R_DG!$A$7:$G$1305,6,0)</f>
        <v>0</v>
      </c>
      <c r="J26" s="405">
        <f>VLOOKUP(B26,R_DG!$A$7:$G$1305,7,0)</f>
        <v>0</v>
      </c>
      <c r="K26" s="406">
        <f t="shared" si="18"/>
        <v>0</v>
      </c>
      <c r="L26" s="406">
        <f t="shared" si="19"/>
        <v>0</v>
      </c>
      <c r="M26" s="406">
        <f t="shared" si="20"/>
        <v>0</v>
      </c>
      <c r="N26" s="127">
        <f t="shared" si="7"/>
        <v>0</v>
      </c>
    </row>
    <row r="27" spans="2:14" s="5" customFormat="1" ht="47.25" hidden="1">
      <c r="B27" s="887" t="s">
        <v>4749</v>
      </c>
      <c r="C27" s="409"/>
      <c r="D27" s="402">
        <f>IF(B27&lt;&gt;"",VLOOKUP(B27,R_DG!$A$7:$G$1305,2,0),"")</f>
        <v>0</v>
      </c>
      <c r="E27" s="885" t="str">
        <f>VLOOKUP(B27,R_DG!$A$7:$G$1305,3,0)</f>
        <v>Trụ đèn chiếu sáng côn tròn STK cao 11m, dày 4mm, D60/150mm. Đế 375x375x10mm</v>
      </c>
      <c r="F27" s="402" t="str">
        <f>VLOOKUP(B27,R_DG!$A$7:$G$1305,4,0)</f>
        <v>trụ</v>
      </c>
      <c r="G27" s="404"/>
      <c r="H27" s="405">
        <f>VLOOKUP(B27,R_DG!$A$7:$G$1305,5,0)</f>
        <v>2006000</v>
      </c>
      <c r="I27" s="405">
        <f>VLOOKUP(B27,R_DG!$A$7:$G$1305,6,0)</f>
        <v>0</v>
      </c>
      <c r="J27" s="405">
        <f>VLOOKUP(B27,R_DG!$A$7:$G$1305,7,0)</f>
        <v>0</v>
      </c>
      <c r="K27" s="406">
        <f t="shared" si="18"/>
        <v>0</v>
      </c>
      <c r="L27" s="406">
        <f t="shared" si="19"/>
        <v>0</v>
      </c>
      <c r="M27" s="406">
        <f t="shared" si="20"/>
        <v>0</v>
      </c>
      <c r="N27" s="127">
        <f t="shared" si="7"/>
        <v>0</v>
      </c>
    </row>
    <row r="28" spans="2:14" s="5" customFormat="1" ht="24.95" hidden="1" customHeight="1">
      <c r="B28" s="887" t="s">
        <v>734</v>
      </c>
      <c r="C28" s="409"/>
      <c r="D28" s="402">
        <f>IF(B28&lt;&gt;"",VLOOKUP(B28,R_DG!$A$7:$G$1305,2,0),"")</f>
        <v>0</v>
      </c>
      <c r="E28" s="885" t="str">
        <f>VLOOKUP(B28,R_DG!$A$7:$G$1305,3,0)</f>
        <v>Trụ BTLT 8,5m F200 dự ứng lực</v>
      </c>
      <c r="F28" s="402" t="str">
        <f>VLOOKUP(B28,R_DG!$A$7:$G$1305,4,0)</f>
        <v>trụ</v>
      </c>
      <c r="G28" s="404"/>
      <c r="H28" s="405">
        <f>VLOOKUP(B28,R_DG!$A$7:$G$1305,5,0)</f>
        <v>1027273</v>
      </c>
      <c r="I28" s="405">
        <f>VLOOKUP(B28,R_DG!$A$7:$G$1305,6,0)</f>
        <v>0</v>
      </c>
      <c r="J28" s="405">
        <f>VLOOKUP(B28,R_DG!$A$7:$G$1305,7,0)</f>
        <v>0</v>
      </c>
      <c r="K28" s="406">
        <f t="shared" ref="K28" si="21">H28*G28</f>
        <v>0</v>
      </c>
      <c r="L28" s="406">
        <f t="shared" ref="L28" si="22">I28*G28</f>
        <v>0</v>
      </c>
      <c r="M28" s="406">
        <f t="shared" ref="M28" si="23">J28*G28</f>
        <v>0</v>
      </c>
      <c r="N28" s="127">
        <f t="shared" si="7"/>
        <v>0</v>
      </c>
    </row>
    <row r="29" spans="2:14" s="5" customFormat="1" ht="24.95" hidden="1" customHeight="1">
      <c r="B29" s="887" t="s">
        <v>730</v>
      </c>
      <c r="C29" s="409"/>
      <c r="D29" s="402">
        <f>IF(B29&lt;&gt;"",VLOOKUP(B29,R_DG!$A$7:$G$1305,2,0),"")</f>
        <v>0</v>
      </c>
      <c r="E29" s="885" t="str">
        <f>VLOOKUP(B29,R_DG!$A$7:$G$1305,3,0)</f>
        <v>Trụ BTLT 7,5m F200 dự ứng lực</v>
      </c>
      <c r="F29" s="402" t="str">
        <f>VLOOKUP(B29,R_DG!$A$7:$G$1305,4,0)</f>
        <v>trụ</v>
      </c>
      <c r="G29" s="404"/>
      <c r="H29" s="405">
        <f>VLOOKUP(B29,R_DG!$A$7:$G$1305,5,0)</f>
        <v>936364</v>
      </c>
      <c r="I29" s="405">
        <f>VLOOKUP(B29,R_DG!$A$7:$G$1305,6,0)</f>
        <v>0</v>
      </c>
      <c r="J29" s="405">
        <f>VLOOKUP(B29,R_DG!$A$7:$G$1305,7,0)</f>
        <v>0</v>
      </c>
      <c r="K29" s="406">
        <f t="shared" ref="K29" si="24">H29*G29</f>
        <v>0</v>
      </c>
      <c r="L29" s="406">
        <f t="shared" ref="L29" si="25">I29*G29</f>
        <v>0</v>
      </c>
      <c r="M29" s="406">
        <f t="shared" ref="M29" si="26">J29*G29</f>
        <v>0</v>
      </c>
      <c r="N29" s="127">
        <f t="shared" si="7"/>
        <v>0</v>
      </c>
    </row>
    <row r="30" spans="2:14" ht="24.95" hidden="1" customHeight="1">
      <c r="B30" s="899" t="s">
        <v>4783</v>
      </c>
      <c r="C30" s="409"/>
      <c r="D30" s="402" t="str">
        <f>IF(B30&lt;&gt;"",VLOOKUP(B30,R_DG!$A$7:$G$1305,2,0),"")</f>
        <v>CS.1.01.23</v>
      </c>
      <c r="E30" s="885" t="str">
        <f>VLOOKUP(B30,R_DG!$A$7:$G$1305,3,0)</f>
        <v>Lắp trụ thép ≤ 8m bằng cơ giới</v>
      </c>
      <c r="F30" s="402" t="str">
        <f>VLOOKUP(B30,R_DG!$A$7:$G$1305,4,0)</f>
        <v>trụ</v>
      </c>
      <c r="G30" s="404">
        <f>G22+G23+G24+G29</f>
        <v>0</v>
      </c>
      <c r="H30" s="405">
        <f>VLOOKUP(B30,R_DG!$A$7:$G$1305,5,0)</f>
        <v>0</v>
      </c>
      <c r="I30" s="405">
        <f>VLOOKUP(B30,R_DG!$A$7:$G$1305,6,0)</f>
        <v>613475</v>
      </c>
      <c r="J30" s="405">
        <f>VLOOKUP(B30,R_DG!$A$7:$G$1305,7,0)</f>
        <v>150201.23846153845</v>
      </c>
      <c r="K30" s="406">
        <f t="shared" si="18"/>
        <v>0</v>
      </c>
      <c r="L30" s="406">
        <f t="shared" si="19"/>
        <v>0</v>
      </c>
      <c r="M30" s="406">
        <f t="shared" si="20"/>
        <v>0</v>
      </c>
      <c r="N30" s="374">
        <f t="shared" si="7"/>
        <v>0</v>
      </c>
    </row>
    <row r="31" spans="2:14" s="5" customFormat="1" ht="24.95" hidden="1" customHeight="1">
      <c r="B31" s="887" t="s">
        <v>4786</v>
      </c>
      <c r="C31" s="409"/>
      <c r="D31" s="402" t="str">
        <f>IF(B31&lt;&gt;"",VLOOKUP(B31,R_DG!$A$7:$G$1305,2,0),"")</f>
        <v>CS.1.01.24</v>
      </c>
      <c r="E31" s="885" t="str">
        <f>VLOOKUP(B31,R_DG!$A$7:$G$1305,3,0)</f>
        <v>Lắp trụ thép ≤ 10m bằng cơ giới</v>
      </c>
      <c r="F31" s="402" t="str">
        <f>VLOOKUP(B31,R_DG!$A$7:$G$1305,4,0)</f>
        <v>trụ</v>
      </c>
      <c r="G31" s="404">
        <f>G26+G28+G25</f>
        <v>0</v>
      </c>
      <c r="H31" s="405">
        <f>VLOOKUP(B31,R_DG!$A$7:$G$1305,5,0)</f>
        <v>0</v>
      </c>
      <c r="I31" s="405">
        <f>VLOOKUP(B31,R_DG!$A$7:$G$1305,6,0)</f>
        <v>613475</v>
      </c>
      <c r="J31" s="405">
        <f>VLOOKUP(B31,R_DG!$A$7:$G$1305,7,0)</f>
        <v>150201.23846153845</v>
      </c>
      <c r="K31" s="406">
        <f t="shared" si="18"/>
        <v>0</v>
      </c>
      <c r="L31" s="406">
        <f t="shared" si="19"/>
        <v>0</v>
      </c>
      <c r="M31" s="406">
        <f t="shared" si="20"/>
        <v>0</v>
      </c>
      <c r="N31" s="127">
        <f t="shared" si="7"/>
        <v>0</v>
      </c>
    </row>
    <row r="32" spans="2:14" s="5" customFormat="1" ht="24.95" hidden="1" customHeight="1">
      <c r="B32" s="887" t="s">
        <v>4788</v>
      </c>
      <c r="C32" s="409"/>
      <c r="D32" s="402" t="str">
        <f>IF(B32&lt;&gt;"",VLOOKUP(B32,R_DG!$A$7:$G$1305,2,0),"")</f>
        <v>CS.1.01.25</v>
      </c>
      <c r="E32" s="885" t="str">
        <f>VLOOKUP(B32,R_DG!$A$7:$G$1305,3,0)</f>
        <v>Lắp trụ thép ≤ 12m bằng cơ giới</v>
      </c>
      <c r="F32" s="402" t="str">
        <f>VLOOKUP(B32,R_DG!$A$7:$G$1305,4,0)</f>
        <v>trụ</v>
      </c>
      <c r="G32" s="404">
        <f>G27</f>
        <v>0</v>
      </c>
      <c r="H32" s="405">
        <f>VLOOKUP(B32,R_DG!$A$7:$G$1305,5,0)</f>
        <v>0</v>
      </c>
      <c r="I32" s="405">
        <f>VLOOKUP(B32,R_DG!$A$7:$G$1305,6,0)</f>
        <v>736170</v>
      </c>
      <c r="J32" s="405">
        <f>VLOOKUP(B32,R_DG!$A$7:$G$1305,7,0)</f>
        <v>225301.85769230768</v>
      </c>
      <c r="K32" s="406">
        <f t="shared" si="18"/>
        <v>0</v>
      </c>
      <c r="L32" s="406">
        <f t="shared" si="19"/>
        <v>0</v>
      </c>
      <c r="M32" s="406">
        <f t="shared" si="20"/>
        <v>0</v>
      </c>
      <c r="N32" s="127">
        <f t="shared" si="7"/>
        <v>0</v>
      </c>
    </row>
    <row r="33" spans="2:14" s="5" customFormat="1" ht="24.95" hidden="1" customHeight="1">
      <c r="B33" s="887" t="s">
        <v>4792</v>
      </c>
      <c r="C33" s="409"/>
      <c r="D33" s="402" t="str">
        <f>IF(B33&lt;&gt;"",VLOOKUP(B33,R_DG!$A$7:$G$1305,2,0),"")</f>
        <v>CS.1.01.21</v>
      </c>
      <c r="E33" s="885" t="str">
        <f>VLOOKUP(B33,R_DG!$A$7:$G$1305,3,0)</f>
        <v>Lắp trụ BTLT ≤ 10m bằng cơ giới</v>
      </c>
      <c r="F33" s="402" t="str">
        <f>VLOOKUP(B33,R_DG!$A$7:$G$1305,4,0)</f>
        <v>trụ</v>
      </c>
      <c r="G33" s="404"/>
      <c r="H33" s="405">
        <f>VLOOKUP(B33,R_DG!$A$7:$G$1305,5,0)</f>
        <v>0</v>
      </c>
      <c r="I33" s="405">
        <f>VLOOKUP(B33,R_DG!$A$7:$G$1305,6,0)</f>
        <v>613475</v>
      </c>
      <c r="J33" s="405">
        <f>VLOOKUP(B33,R_DG!$A$7:$G$1305,7,0)</f>
        <v>225301.85769230768</v>
      </c>
      <c r="K33" s="406">
        <f t="shared" si="18"/>
        <v>0</v>
      </c>
      <c r="L33" s="406">
        <f t="shared" si="19"/>
        <v>0</v>
      </c>
      <c r="M33" s="406">
        <f t="shared" si="20"/>
        <v>0</v>
      </c>
      <c r="N33" s="127">
        <f t="shared" si="7"/>
        <v>0</v>
      </c>
    </row>
    <row r="34" spans="2:14" s="5" customFormat="1" ht="24.95" hidden="1" customHeight="1">
      <c r="B34" s="887" t="s">
        <v>4793</v>
      </c>
      <c r="C34" s="409"/>
      <c r="D34" s="402" t="str">
        <f>IF(B34&lt;&gt;"",VLOOKUP(B34,R_DG!$A$7:$G$1305,2,0),"")</f>
        <v>CS.1.01.22</v>
      </c>
      <c r="E34" s="885" t="str">
        <f>VLOOKUP(B34,R_DG!$A$7:$G$1305,3,0)</f>
        <v>Lắp trụ BTLT &gt; 10m bằng cơ giới</v>
      </c>
      <c r="F34" s="402" t="str">
        <f>VLOOKUP(B34,R_DG!$A$7:$G$1305,4,0)</f>
        <v>trụ</v>
      </c>
      <c r="G34" s="404"/>
      <c r="H34" s="405">
        <f>VLOOKUP(B34,R_DG!$A$7:$G$1305,5,0)</f>
        <v>0</v>
      </c>
      <c r="I34" s="405">
        <f>VLOOKUP(B34,R_DG!$A$7:$G$1305,6,0)</f>
        <v>858865</v>
      </c>
      <c r="J34" s="405">
        <f>VLOOKUP(B34,R_DG!$A$7:$G$1305,7,0)</f>
        <v>300402.4769230769</v>
      </c>
      <c r="K34" s="406">
        <f t="shared" si="18"/>
        <v>0</v>
      </c>
      <c r="L34" s="406">
        <f t="shared" si="19"/>
        <v>0</v>
      </c>
      <c r="M34" s="406">
        <f t="shared" si="20"/>
        <v>0</v>
      </c>
      <c r="N34" s="127">
        <f t="shared" si="7"/>
        <v>0</v>
      </c>
    </row>
    <row r="35" spans="2:14" ht="24.95" customHeight="1">
      <c r="C35" s="411">
        <v>2</v>
      </c>
      <c r="D35" s="891" t="s">
        <v>4823</v>
      </c>
      <c r="E35" s="892"/>
      <c r="F35" s="893"/>
      <c r="G35" s="893"/>
      <c r="H35" s="893"/>
      <c r="I35" s="893"/>
      <c r="J35" s="893"/>
      <c r="K35" s="893"/>
      <c r="L35" s="893"/>
      <c r="M35" s="893"/>
      <c r="N35" s="374">
        <v>1</v>
      </c>
    </row>
    <row r="36" spans="2:14" ht="47.25" hidden="1">
      <c r="B36" s="899" t="s">
        <v>4816</v>
      </c>
      <c r="C36" s="409"/>
      <c r="D36" s="402">
        <f>IF(B36&lt;&gt;"",VLOOKUP(B36,R_DG!$A$7:$G$1305,2,0),"")</f>
        <v>0</v>
      </c>
      <c r="E36" s="885" t="str">
        <f>VLOOKUP(B36,R_DG!$A$7:$G$1305,3,0)</f>
        <v>Cần đèn đơn STK cao 2m, vươn xa 1.5m, dày 2mm, D60mm + ống nối D49mm</v>
      </c>
      <c r="F36" s="402" t="str">
        <f>VLOOKUP(B36,R_DG!$A$7:$G$1305,4,0)</f>
        <v>cần</v>
      </c>
      <c r="G36" s="404"/>
      <c r="H36" s="405">
        <f>VLOOKUP(B36,R_DG!$A$7:$G$1305,5,0)</f>
        <v>350000</v>
      </c>
      <c r="I36" s="405">
        <f>VLOOKUP(B36,R_DG!$A$7:$G$1305,6,0)</f>
        <v>0</v>
      </c>
      <c r="J36" s="405">
        <f>VLOOKUP(B36,R_DG!$A$7:$G$1305,7,0)</f>
        <v>0</v>
      </c>
      <c r="K36" s="406">
        <f t="shared" si="18"/>
        <v>0</v>
      </c>
      <c r="L36" s="406">
        <f t="shared" si="19"/>
        <v>0</v>
      </c>
      <c r="M36" s="406">
        <f t="shared" si="20"/>
        <v>0</v>
      </c>
      <c r="N36" s="374">
        <f t="shared" si="7"/>
        <v>0</v>
      </c>
    </row>
    <row r="37" spans="2:14" s="5" customFormat="1" ht="47.25" hidden="1">
      <c r="B37" s="887" t="s">
        <v>4817</v>
      </c>
      <c r="C37" s="409"/>
      <c r="D37" s="402">
        <f>IF(B37&lt;&gt;"",VLOOKUP(B37,R_DG!$A$7:$G$1305,2,0),"")</f>
        <v>0</v>
      </c>
      <c r="E37" s="885" t="str">
        <f>VLOOKUP(B37,R_DG!$A$7:$G$1305,3,0)</f>
        <v>Cần đèn đôi STK cao 2m, vươn xa 1.5m, dày 2mm, D60mm + ống nối D49mm</v>
      </c>
      <c r="F37" s="402" t="str">
        <f>VLOOKUP(B37,R_DG!$A$7:$G$1305,4,0)</f>
        <v>cần</v>
      </c>
      <c r="G37" s="404"/>
      <c r="H37" s="405">
        <f>VLOOKUP(B37,R_DG!$A$7:$G$1305,5,0)</f>
        <v>750000</v>
      </c>
      <c r="I37" s="405">
        <f>VLOOKUP(B37,R_DG!$A$7:$G$1305,6,0)</f>
        <v>0</v>
      </c>
      <c r="J37" s="405">
        <f>VLOOKUP(B37,R_DG!$A$7:$G$1305,7,0)</f>
        <v>0</v>
      </c>
      <c r="K37" s="406">
        <f t="shared" si="18"/>
        <v>0</v>
      </c>
      <c r="L37" s="406">
        <f t="shared" si="19"/>
        <v>0</v>
      </c>
      <c r="M37" s="406">
        <f t="shared" si="20"/>
        <v>0</v>
      </c>
      <c r="N37" s="127">
        <f t="shared" si="7"/>
        <v>0</v>
      </c>
    </row>
    <row r="38" spans="2:14" s="5" customFormat="1" ht="47.25" hidden="1">
      <c r="B38" s="887" t="s">
        <v>4818</v>
      </c>
      <c r="C38" s="409"/>
      <c r="D38" s="402">
        <f>IF(B38&lt;&gt;"",VLOOKUP(B38,R_DG!$A$7:$G$1305,2,0),"")</f>
        <v>0</v>
      </c>
      <c r="E38" s="885" t="str">
        <f>VLOOKUP(B38,R_DG!$A$7:$G$1305,3,0)</f>
        <v>Cần đèn ba STK cao 2m, vươn xa 1.5m, dày 2mm, D60mm + ống nối D49mm (1 nhánh để rời bắt bass)</v>
      </c>
      <c r="F38" s="402" t="str">
        <f>VLOOKUP(B38,R_DG!$A$7:$G$1305,4,0)</f>
        <v>cần</v>
      </c>
      <c r="G38" s="404"/>
      <c r="H38" s="405">
        <f>VLOOKUP(B38,R_DG!$A$7:$G$1305,5,0)</f>
        <v>0</v>
      </c>
      <c r="I38" s="405">
        <f>VLOOKUP(B38,R_DG!$A$7:$G$1305,6,0)</f>
        <v>0</v>
      </c>
      <c r="J38" s="405">
        <f>VLOOKUP(B38,R_DG!$A$7:$G$1305,7,0)</f>
        <v>0</v>
      </c>
      <c r="K38" s="406">
        <f t="shared" si="18"/>
        <v>0</v>
      </c>
      <c r="L38" s="406">
        <f t="shared" si="19"/>
        <v>0</v>
      </c>
      <c r="M38" s="406">
        <f t="shared" si="20"/>
        <v>0</v>
      </c>
      <c r="N38" s="127">
        <f t="shared" si="7"/>
        <v>0</v>
      </c>
    </row>
    <row r="39" spans="2:14" s="5" customFormat="1" ht="47.25" hidden="1">
      <c r="B39" s="887" t="s">
        <v>4819</v>
      </c>
      <c r="C39" s="409"/>
      <c r="D39" s="402">
        <f>IF(B39&lt;&gt;"",VLOOKUP(B39,R_DG!$A$7:$G$1305,2,0),"")</f>
        <v>0</v>
      </c>
      <c r="E39" s="885" t="str">
        <f>VLOOKUP(B39,R_DG!$A$7:$G$1305,3,0)</f>
        <v>Cần đèn bốn STK cao 2m, vươn xa 1.5m, dày 2mm, D60mm + ống nối D49mm (2 nhánh để rời bắt bass)</v>
      </c>
      <c r="F39" s="402" t="str">
        <f>VLOOKUP(B39,R_DG!$A$7:$G$1305,4,0)</f>
        <v>cần</v>
      </c>
      <c r="G39" s="404"/>
      <c r="H39" s="405">
        <f>VLOOKUP(B39,R_DG!$A$7:$G$1305,5,0)</f>
        <v>0</v>
      </c>
      <c r="I39" s="405">
        <f>VLOOKUP(B39,R_DG!$A$7:$G$1305,6,0)</f>
        <v>0</v>
      </c>
      <c r="J39" s="405">
        <f>VLOOKUP(B39,R_DG!$A$7:$G$1305,7,0)</f>
        <v>0</v>
      </c>
      <c r="K39" s="406">
        <f t="shared" si="18"/>
        <v>0</v>
      </c>
      <c r="L39" s="406">
        <f t="shared" si="19"/>
        <v>0</v>
      </c>
      <c r="M39" s="406">
        <f t="shared" si="20"/>
        <v>0</v>
      </c>
      <c r="N39" s="127">
        <f t="shared" si="7"/>
        <v>0</v>
      </c>
    </row>
    <row r="40" spans="2:14" s="5" customFormat="1" ht="47.25" hidden="1">
      <c r="B40" s="887" t="s">
        <v>4820</v>
      </c>
      <c r="C40" s="409"/>
      <c r="D40" s="402">
        <f>IF(B40&lt;&gt;"",VLOOKUP(B40,R_DG!$A$7:$G$1305,2,0),"")</f>
        <v>0</v>
      </c>
      <c r="E40" s="885" t="str">
        <f>VLOOKUP(B40,R_DG!$A$7:$G$1305,3,0)</f>
        <v>Cần đèn đơn STK cao 2m, vươn xa 1.8m, dày 2mm, D60mm + ống nối D49mm</v>
      </c>
      <c r="F40" s="402" t="str">
        <f>VLOOKUP(B40,R_DG!$A$7:$G$1305,4,0)</f>
        <v>cần</v>
      </c>
      <c r="G40" s="404"/>
      <c r="H40" s="405">
        <f>VLOOKUP(B40,R_DG!$A$7:$G$1305,5,0)</f>
        <v>0</v>
      </c>
      <c r="I40" s="405">
        <f>VLOOKUP(B40,R_DG!$A$7:$G$1305,6,0)</f>
        <v>0</v>
      </c>
      <c r="J40" s="405">
        <f>VLOOKUP(B40,R_DG!$A$7:$G$1305,7,0)</f>
        <v>0</v>
      </c>
      <c r="K40" s="406">
        <f t="shared" si="18"/>
        <v>0</v>
      </c>
      <c r="L40" s="406">
        <f t="shared" si="19"/>
        <v>0</v>
      </c>
      <c r="M40" s="406">
        <f t="shared" si="20"/>
        <v>0</v>
      </c>
      <c r="N40" s="127">
        <f t="shared" si="7"/>
        <v>0</v>
      </c>
    </row>
    <row r="41" spans="2:14" s="5" customFormat="1" ht="47.25" hidden="1">
      <c r="B41" s="887" t="s">
        <v>4821</v>
      </c>
      <c r="C41" s="409"/>
      <c r="D41" s="402">
        <f>IF(B41&lt;&gt;"",VLOOKUP(B41,R_DG!$A$7:$G$1305,2,0),"")</f>
        <v>0</v>
      </c>
      <c r="E41" s="885" t="str">
        <f>VLOOKUP(B41,R_DG!$A$7:$G$1305,3,0)</f>
        <v>Cần đèn đôi STK cao 2m, vươn xa 1.8m, dày 2mm, D60mm + ống nối D49mm</v>
      </c>
      <c r="F41" s="402" t="str">
        <f>VLOOKUP(B41,R_DG!$A$7:$G$1305,4,0)</f>
        <v>cần</v>
      </c>
      <c r="G41" s="404"/>
      <c r="H41" s="405">
        <f>VLOOKUP(B41,R_DG!$A$7:$G$1305,5,0)</f>
        <v>0</v>
      </c>
      <c r="I41" s="405">
        <f>VLOOKUP(B41,R_DG!$A$7:$G$1305,6,0)</f>
        <v>0</v>
      </c>
      <c r="J41" s="405">
        <f>VLOOKUP(B41,R_DG!$A$7:$G$1305,7,0)</f>
        <v>0</v>
      </c>
      <c r="K41" s="406">
        <f t="shared" si="18"/>
        <v>0</v>
      </c>
      <c r="L41" s="406">
        <f t="shared" si="19"/>
        <v>0</v>
      </c>
      <c r="M41" s="406">
        <f t="shared" si="20"/>
        <v>0</v>
      </c>
      <c r="N41" s="127">
        <f t="shared" si="7"/>
        <v>0</v>
      </c>
    </row>
    <row r="42" spans="2:14" s="5" customFormat="1" ht="31.5" hidden="1">
      <c r="B42" s="887" t="s">
        <v>3242</v>
      </c>
      <c r="C42" s="409"/>
      <c r="D42" s="402">
        <f>IF(B42&lt;&gt;"",VLOOKUP(B42,R_DG!$A$7:$G$1305,2,0),"")</f>
        <v>0</v>
      </c>
      <c r="E42" s="885" t="str">
        <f>VLOOKUP(B42,R_DG!$A$7:$G$1305,3,0)</f>
        <v>Cần đèn D27 cao 1m vươn 1,8m nghiêng 15 độ Fe/Zn</v>
      </c>
      <c r="F42" s="402" t="str">
        <f>VLOOKUP(B42,R_DG!$A$7:$G$1305,4,0)</f>
        <v>cần</v>
      </c>
      <c r="G42" s="404"/>
      <c r="H42" s="405">
        <f>VLOOKUP(B42,R_DG!$A$7:$G$1305,5,0)</f>
        <v>250000</v>
      </c>
      <c r="I42" s="405">
        <f>VLOOKUP(B42,R_DG!$A$7:$G$1305,6,0)</f>
        <v>0</v>
      </c>
      <c r="J42" s="405">
        <f>VLOOKUP(B42,R_DG!$A$7:$G$1305,7,0)</f>
        <v>0</v>
      </c>
      <c r="K42" s="406">
        <f t="shared" si="18"/>
        <v>0</v>
      </c>
      <c r="L42" s="406">
        <f t="shared" si="19"/>
        <v>0</v>
      </c>
      <c r="M42" s="406">
        <f t="shared" si="20"/>
        <v>0</v>
      </c>
      <c r="N42" s="127">
        <f t="shared" si="7"/>
        <v>0</v>
      </c>
    </row>
    <row r="43" spans="2:14" ht="24.95" hidden="1" customHeight="1">
      <c r="B43" s="899" t="s">
        <v>3234</v>
      </c>
      <c r="C43" s="409"/>
      <c r="D43" s="402" t="str">
        <f>IF(B43&lt;&gt;"",VLOOKUP(B43,R_DG!$A$7:$G$1305,2,0),"")</f>
        <v>CS.1.03.11</v>
      </c>
      <c r="E43" s="885" t="str">
        <f>VLOOKUP(B43,R_DG!$A$7:$G$1305,3,0)</f>
        <v>Lắp đặt cần đèn D60, L&lt;=2,8m</v>
      </c>
      <c r="F43" s="402" t="str">
        <f>VLOOKUP(B43,R_DG!$A$7:$G$1305,4,0)</f>
        <v>cần</v>
      </c>
      <c r="G43" s="404">
        <f>G36+G37+G38+G39+G40+G41+G42</f>
        <v>0</v>
      </c>
      <c r="H43" s="405">
        <f>VLOOKUP(B43,R_DG!$A$7:$G$1305,5,0)</f>
        <v>0</v>
      </c>
      <c r="I43" s="405">
        <f>VLOOKUP(B43,R_DG!$A$7:$G$1305,6,0)</f>
        <v>225093</v>
      </c>
      <c r="J43" s="405">
        <f>VLOOKUP(B43,R_DG!$A$7:$G$1305,7,0)</f>
        <v>219863.42307692309</v>
      </c>
      <c r="K43" s="406">
        <f t="shared" si="18"/>
        <v>0</v>
      </c>
      <c r="L43" s="406">
        <f t="shared" si="19"/>
        <v>0</v>
      </c>
      <c r="M43" s="406">
        <f t="shared" si="20"/>
        <v>0</v>
      </c>
      <c r="N43" s="374">
        <f t="shared" si="7"/>
        <v>0</v>
      </c>
    </row>
    <row r="44" spans="2:14" s="5" customFormat="1" ht="24.95" hidden="1" customHeight="1">
      <c r="B44" s="887" t="s">
        <v>3235</v>
      </c>
      <c r="C44" s="409"/>
      <c r="D44" s="402" t="str">
        <f>IF(B44&lt;&gt;"",VLOOKUP(B44,R_DG!$A$7:$G$1305,2,0),"")</f>
        <v>CS.1.03.12</v>
      </c>
      <c r="E44" s="885" t="str">
        <f>VLOOKUP(B44,R_DG!$A$7:$G$1305,3,0)</f>
        <v>Lắp đặt cần đèn D60, L&lt;=3,2m</v>
      </c>
      <c r="F44" s="402" t="str">
        <f>VLOOKUP(B44,R_DG!$A$7:$G$1305,4,0)</f>
        <v>cần</v>
      </c>
      <c r="G44" s="404"/>
      <c r="H44" s="405">
        <f>VLOOKUP(B44,R_DG!$A$7:$G$1305,5,0)</f>
        <v>0</v>
      </c>
      <c r="I44" s="405">
        <f>VLOOKUP(B44,R_DG!$A$7:$G$1305,6,0)</f>
        <v>248787</v>
      </c>
      <c r="J44" s="405">
        <f>VLOOKUP(B44,R_DG!$A$7:$G$1305,7,0)</f>
        <v>219863.42307692309</v>
      </c>
      <c r="K44" s="406">
        <f t="shared" ref="K44:K60" si="27">H44*G44</f>
        <v>0</v>
      </c>
      <c r="L44" s="406">
        <f t="shared" ref="L44:L60" si="28">I44*G44</f>
        <v>0</v>
      </c>
      <c r="M44" s="406">
        <f t="shared" ref="M44:M60" si="29">J44*G44</f>
        <v>0</v>
      </c>
      <c r="N44" s="127">
        <f t="shared" si="7"/>
        <v>0</v>
      </c>
    </row>
    <row r="45" spans="2:14" s="5" customFormat="1" ht="24.95" hidden="1" customHeight="1">
      <c r="B45" s="887" t="s">
        <v>3236</v>
      </c>
      <c r="C45" s="409"/>
      <c r="D45" s="402" t="str">
        <f>IF(B45&lt;&gt;"",VLOOKUP(B45,R_DG!$A$7:$G$1305,2,0),"")</f>
        <v>CS.1.03.13</v>
      </c>
      <c r="E45" s="885" t="str">
        <f>VLOOKUP(B45,R_DG!$A$7:$G$1305,3,0)</f>
        <v>Lắp đặt cần đèn D60, L&lt;=3,6m</v>
      </c>
      <c r="F45" s="402" t="str">
        <f>VLOOKUP(B45,R_DG!$A$7:$G$1305,4,0)</f>
        <v>cần</v>
      </c>
      <c r="G45" s="404"/>
      <c r="H45" s="405">
        <f>VLOOKUP(B45,R_DG!$A$7:$G$1305,5,0)</f>
        <v>0</v>
      </c>
      <c r="I45" s="405">
        <f>VLOOKUP(B45,R_DG!$A$7:$G$1305,6,0)</f>
        <v>270111.59999999998</v>
      </c>
      <c r="J45" s="405">
        <f>VLOOKUP(B45,R_DG!$A$7:$G$1305,7,0)</f>
        <v>219863.42307692309</v>
      </c>
      <c r="K45" s="406">
        <f t="shared" si="27"/>
        <v>0</v>
      </c>
      <c r="L45" s="406">
        <f t="shared" si="28"/>
        <v>0</v>
      </c>
      <c r="M45" s="406">
        <f t="shared" si="29"/>
        <v>0</v>
      </c>
      <c r="N45" s="127">
        <f t="shared" si="7"/>
        <v>0</v>
      </c>
    </row>
    <row r="46" spans="2:14" ht="24.95" customHeight="1">
      <c r="C46" s="411">
        <v>3</v>
      </c>
      <c r="D46" s="891" t="s">
        <v>4824</v>
      </c>
      <c r="E46" s="892"/>
      <c r="F46" s="893"/>
      <c r="G46" s="893"/>
      <c r="H46" s="893"/>
      <c r="I46" s="893"/>
      <c r="J46" s="893"/>
      <c r="K46" s="893"/>
      <c r="L46" s="893"/>
      <c r="M46" s="893"/>
      <c r="N46" s="374">
        <v>1</v>
      </c>
    </row>
    <row r="47" spans="2:14" ht="31.5" hidden="1">
      <c r="B47" s="899" t="s">
        <v>4777</v>
      </c>
      <c r="C47" s="409"/>
      <c r="D47" s="402">
        <f>IF(B47&lt;&gt;"",VLOOKUP(B47,R_DG!$A$7:$G$1305,2,0),"")</f>
        <v>0</v>
      </c>
      <c r="E47" s="885" t="str">
        <f>VLOOKUP(B47,R_DG!$A$7:$G$1305,3,0)</f>
        <v>Bộ đèn LED 150W (150x1), ánh sáng trắng, IP66, D49</v>
      </c>
      <c r="F47" s="402" t="str">
        <f>VLOOKUP(B47,R_DG!$A$7:$G$1305,4,0)</f>
        <v>cái</v>
      </c>
      <c r="G47" s="404"/>
      <c r="H47" s="405">
        <f>VLOOKUP(B47,R_DG!$A$7:$G$1305,5,0)</f>
        <v>3500000</v>
      </c>
      <c r="I47" s="405">
        <f>VLOOKUP(B47,R_DG!$A$7:$G$1305,6,0)</f>
        <v>0</v>
      </c>
      <c r="J47" s="405">
        <f>VLOOKUP(B47,R_DG!$A$7:$G$1305,7,0)</f>
        <v>0</v>
      </c>
      <c r="K47" s="406">
        <f t="shared" si="27"/>
        <v>0</v>
      </c>
      <c r="L47" s="406">
        <f t="shared" si="28"/>
        <v>0</v>
      </c>
      <c r="M47" s="406">
        <f t="shared" si="29"/>
        <v>0</v>
      </c>
      <c r="N47" s="374">
        <f t="shared" si="7"/>
        <v>0</v>
      </c>
    </row>
    <row r="48" spans="2:14" s="5" customFormat="1" ht="31.5" hidden="1">
      <c r="B48" s="887" t="s">
        <v>4779</v>
      </c>
      <c r="C48" s="409"/>
      <c r="D48" s="402">
        <f>IF(B48&lt;&gt;"",VLOOKUP(B48,R_DG!$A$7:$G$1305,2,0),"")</f>
        <v>0</v>
      </c>
      <c r="E48" s="885" t="str">
        <f>VLOOKUP(B48,R_DG!$A$7:$G$1305,3,0)</f>
        <v>Bộ đèn LED 180W (180x1), ánh sáng trắng, IP66, D49</v>
      </c>
      <c r="F48" s="402" t="str">
        <f>VLOOKUP(B48,R_DG!$A$7:$G$1305,4,0)</f>
        <v>cái</v>
      </c>
      <c r="G48" s="404"/>
      <c r="H48" s="405">
        <f>VLOOKUP(B48,R_DG!$A$7:$G$1305,5,0)</f>
        <v>3800000</v>
      </c>
      <c r="I48" s="405">
        <f>VLOOKUP(B48,R_DG!$A$7:$G$1305,6,0)</f>
        <v>0</v>
      </c>
      <c r="J48" s="405">
        <f>VLOOKUP(B48,R_DG!$A$7:$G$1305,7,0)</f>
        <v>0</v>
      </c>
      <c r="K48" s="406">
        <f t="shared" si="27"/>
        <v>0</v>
      </c>
      <c r="L48" s="406">
        <f t="shared" si="28"/>
        <v>0</v>
      </c>
      <c r="M48" s="406">
        <f t="shared" si="29"/>
        <v>0</v>
      </c>
      <c r="N48" s="127">
        <f t="shared" si="7"/>
        <v>0</v>
      </c>
    </row>
    <row r="49" spans="2:14" s="5" customFormat="1" ht="31.5" hidden="1">
      <c r="B49" s="887" t="s">
        <v>4778</v>
      </c>
      <c r="C49" s="409"/>
      <c r="D49" s="402">
        <f>IF(B49&lt;&gt;"",VLOOKUP(B49,R_DG!$A$7:$G$1305,2,0),"")</f>
        <v>0</v>
      </c>
      <c r="E49" s="885" t="str">
        <f>VLOOKUP(B49,R_DG!$A$7:$G$1305,3,0)</f>
        <v>Bộ đèn LED 200W (200x1), ánh sáng trắng, IP66, D49</v>
      </c>
      <c r="F49" s="402" t="str">
        <f>VLOOKUP(B49,R_DG!$A$7:$G$1305,4,0)</f>
        <v>cái</v>
      </c>
      <c r="G49" s="404"/>
      <c r="H49" s="405">
        <f>VLOOKUP(B49,R_DG!$A$7:$G$1305,5,0)</f>
        <v>4200000</v>
      </c>
      <c r="I49" s="405">
        <f>VLOOKUP(B49,R_DG!$A$7:$G$1305,6,0)</f>
        <v>0</v>
      </c>
      <c r="J49" s="405">
        <f>VLOOKUP(B49,R_DG!$A$7:$G$1305,7,0)</f>
        <v>0</v>
      </c>
      <c r="K49" s="406">
        <f t="shared" si="27"/>
        <v>0</v>
      </c>
      <c r="L49" s="406">
        <f t="shared" si="28"/>
        <v>0</v>
      </c>
      <c r="M49" s="406">
        <f t="shared" si="29"/>
        <v>0</v>
      </c>
      <c r="N49" s="127">
        <f t="shared" si="7"/>
        <v>0</v>
      </c>
    </row>
    <row r="50" spans="2:14" ht="24.95" hidden="1" customHeight="1">
      <c r="B50" s="899" t="s">
        <v>4801</v>
      </c>
      <c r="C50" s="409"/>
      <c r="D50" s="402" t="str">
        <f>IF(B50&lt;&gt;"",VLOOKUP(B50,R_DG!$A$7:$G$1305,2,0),"")</f>
        <v>CS.1.04.11</v>
      </c>
      <c r="E50" s="885" t="str">
        <f>VLOOKUP(B50,R_DG!$A$7:$G$1305,3,0)</f>
        <v>Lắp chóa đèn chiếu sáng độ cao &lt;=12m</v>
      </c>
      <c r="F50" s="402" t="str">
        <f>VLOOKUP(B50,R_DG!$A$7:$G$1305,4,0)</f>
        <v>bộ</v>
      </c>
      <c r="G50" s="404"/>
      <c r="H50" s="405">
        <f>VLOOKUP(B50,R_DG!$A$7:$G$1305,5,0)</f>
        <v>0</v>
      </c>
      <c r="I50" s="405">
        <f>VLOOKUP(B50,R_DG!$A$7:$G$1305,6,0)</f>
        <v>118470</v>
      </c>
      <c r="J50" s="405">
        <f>VLOOKUP(B50,R_DG!$A$7:$G$1305,7,0)</f>
        <v>219863.42307692309</v>
      </c>
      <c r="K50" s="406">
        <f t="shared" si="27"/>
        <v>0</v>
      </c>
      <c r="L50" s="406">
        <f t="shared" si="28"/>
        <v>0</v>
      </c>
      <c r="M50" s="406">
        <f t="shared" si="29"/>
        <v>0</v>
      </c>
      <c r="N50" s="374">
        <f t="shared" si="7"/>
        <v>0</v>
      </c>
    </row>
    <row r="51" spans="2:14" s="5" customFormat="1" ht="24.95" hidden="1" customHeight="1">
      <c r="B51" s="887" t="s">
        <v>4802</v>
      </c>
      <c r="C51" s="409"/>
      <c r="D51" s="402" t="str">
        <f>IF(B51&lt;&gt;"",VLOOKUP(B51,R_DG!$A$7:$G$1305,2,0),"")</f>
        <v>CS.1.04.11</v>
      </c>
      <c r="E51" s="885" t="str">
        <f>VLOOKUP(B51,R_DG!$A$7:$G$1305,3,0)</f>
        <v>Lắp chóa đèn chiếu sáng độ cao &gt;12m</v>
      </c>
      <c r="F51" s="402" t="str">
        <f>VLOOKUP(B51,R_DG!$A$7:$G$1305,4,0)</f>
        <v>bộ</v>
      </c>
      <c r="G51" s="404"/>
      <c r="H51" s="405">
        <f>VLOOKUP(B51,R_DG!$A$7:$G$1305,5,0)</f>
        <v>0</v>
      </c>
      <c r="I51" s="405">
        <f>VLOOKUP(B51,R_DG!$A$7:$G$1305,6,0)</f>
        <v>165858</v>
      </c>
      <c r="J51" s="405">
        <f>VLOOKUP(B51,R_DG!$A$7:$G$1305,7,0)</f>
        <v>219863.42307692309</v>
      </c>
      <c r="K51" s="406">
        <f t="shared" si="27"/>
        <v>0</v>
      </c>
      <c r="L51" s="406">
        <f t="shared" si="28"/>
        <v>0</v>
      </c>
      <c r="M51" s="406">
        <f t="shared" si="29"/>
        <v>0</v>
      </c>
      <c r="N51" s="127">
        <f t="shared" si="7"/>
        <v>0</v>
      </c>
    </row>
    <row r="52" spans="2:14" ht="24.95" customHeight="1">
      <c r="C52" s="411">
        <v>4</v>
      </c>
      <c r="D52" s="891" t="s">
        <v>4825</v>
      </c>
      <c r="E52" s="892"/>
      <c r="F52" s="893"/>
      <c r="G52" s="893"/>
      <c r="H52" s="893"/>
      <c r="I52" s="893"/>
      <c r="J52" s="893"/>
      <c r="K52" s="893"/>
      <c r="L52" s="893"/>
      <c r="M52" s="893"/>
      <c r="N52" s="374">
        <v>1</v>
      </c>
    </row>
    <row r="53" spans="2:14" ht="24.95" customHeight="1">
      <c r="B53" s="899" t="s">
        <v>331</v>
      </c>
      <c r="C53" s="409"/>
      <c r="D53" s="402">
        <f>IF(B53&lt;&gt;"",VLOOKUP(B53,R_DG!$A$7:$G$1305,2,0),"")</f>
        <v>0</v>
      </c>
      <c r="E53" s="885" t="str">
        <f>VLOOKUP(B53,R_DG!$A$7:$G$1305,3,0)</f>
        <v>Cát vàng</v>
      </c>
      <c r="F53" s="402" t="str">
        <f>VLOOKUP(B53,R_DG!$A$7:$G$1305,4,0)</f>
        <v>m3</v>
      </c>
      <c r="G53" s="278"/>
      <c r="H53" s="405">
        <f>VLOOKUP(B53,R_DG!$A$7:$G$1305,5,0)</f>
        <v>390000</v>
      </c>
      <c r="I53" s="405">
        <f>VLOOKUP(B53,R_DG!$A$7:$G$1305,6,0)</f>
        <v>0</v>
      </c>
      <c r="J53" s="405">
        <f>VLOOKUP(B53,R_DG!$A$7:$G$1305,7,0)</f>
        <v>0</v>
      </c>
      <c r="K53" s="406">
        <f t="shared" si="27"/>
        <v>0</v>
      </c>
      <c r="L53" s="406">
        <f t="shared" si="28"/>
        <v>0</v>
      </c>
      <c r="M53" s="406">
        <f t="shared" si="29"/>
        <v>0</v>
      </c>
      <c r="N53" s="374">
        <f t="shared" si="7"/>
        <v>0</v>
      </c>
    </row>
    <row r="54" spans="2:14" ht="24.95" hidden="1" customHeight="1">
      <c r="B54" s="899" t="s">
        <v>4812</v>
      </c>
      <c r="C54" s="409"/>
      <c r="D54" s="402" t="str">
        <f>IF(B54&lt;&gt;"",VLOOKUP(B54,R_DG!$A$7:$G$1305,2,0),"")</f>
        <v>CS.2.07.20</v>
      </c>
      <c r="E54" s="885" t="str">
        <f>VLOOKUP(B54,R_DG!$A$7:$G$1305,3,0)</f>
        <v>Luồn dây từ cáp ngầm lên đèn</v>
      </c>
      <c r="F54" s="402" t="str">
        <f>VLOOKUP(B54,R_DG!$A$7:$G$1305,4,0)</f>
        <v>mét</v>
      </c>
      <c r="G54" s="404"/>
      <c r="H54" s="405">
        <f>VLOOKUP(B54,R_DG!$A$7:$G$1305,5,0)</f>
        <v>0</v>
      </c>
      <c r="I54" s="405">
        <f>VLOOKUP(B54,R_DG!$A$7:$G$1305,6,0)</f>
        <v>6134.75</v>
      </c>
      <c r="J54" s="405">
        <f>VLOOKUP(B54,R_DG!$A$7:$G$1305,7,0)</f>
        <v>0</v>
      </c>
      <c r="K54" s="406">
        <f t="shared" si="27"/>
        <v>0</v>
      </c>
      <c r="L54" s="406">
        <f t="shared" si="28"/>
        <v>0</v>
      </c>
      <c r="M54" s="406">
        <f t="shared" si="29"/>
        <v>0</v>
      </c>
      <c r="N54" s="374">
        <f t="shared" si="7"/>
        <v>0</v>
      </c>
    </row>
    <row r="55" spans="2:14" s="5" customFormat="1" ht="24.95" customHeight="1">
      <c r="B55" s="887" t="s">
        <v>4813</v>
      </c>
      <c r="C55" s="409"/>
      <c r="D55" s="402" t="str">
        <f>IF(B55&lt;&gt;"",VLOOKUP(B55,R_DG!$A$7:$G$1305,2,0),"")</f>
        <v>CS.2.07.10</v>
      </c>
      <c r="E55" s="885" t="str">
        <f>VLOOKUP(B55,R_DG!$A$7:$G$1305,3,0)</f>
        <v>Luồn dây từ cáp treo lên đèn</v>
      </c>
      <c r="F55" s="402" t="str">
        <f>VLOOKUP(B55,R_DG!$A$7:$G$1305,4,0)</f>
        <v>mét</v>
      </c>
      <c r="G55" s="278">
        <f>G53</f>
        <v>0</v>
      </c>
      <c r="H55" s="405">
        <f>VLOOKUP(B55,R_DG!$A$7:$G$1305,5,0)</f>
        <v>0</v>
      </c>
      <c r="I55" s="405">
        <f>VLOOKUP(B55,R_DG!$A$7:$G$1305,6,0)</f>
        <v>6134.75</v>
      </c>
      <c r="J55" s="405">
        <f>VLOOKUP(B55,R_DG!$A$7:$G$1305,7,0)</f>
        <v>0</v>
      </c>
      <c r="K55" s="406">
        <f t="shared" si="27"/>
        <v>0</v>
      </c>
      <c r="L55" s="406">
        <f t="shared" si="28"/>
        <v>0</v>
      </c>
      <c r="M55" s="406">
        <f t="shared" si="29"/>
        <v>0</v>
      </c>
      <c r="N55" s="127">
        <f t="shared" si="7"/>
        <v>0</v>
      </c>
    </row>
    <row r="56" spans="2:14" ht="24.95" hidden="1" customHeight="1">
      <c r="B56" s="899" t="s">
        <v>4807</v>
      </c>
      <c r="C56" s="409"/>
      <c r="D56" s="402" t="str">
        <f>IF(B56&lt;&gt;"",VLOOKUP(B56,R_DG!$A$7:$G$1305,2,0),"")</f>
        <v>CS.2.06.1</v>
      </c>
      <c r="E56" s="885" t="str">
        <f>VLOOKUP(B56,R_DG!$A$7:$G$1305,3,0)</f>
        <v>Lắp bảng điện của cột</v>
      </c>
      <c r="F56" s="402" t="str">
        <f>VLOOKUP(B56,R_DG!$A$7:$G$1305,4,0)</f>
        <v>m3</v>
      </c>
      <c r="G56" s="404"/>
      <c r="H56" s="405">
        <f>VLOOKUP(B56,R_DG!$A$7:$G$1305,5,0)</f>
        <v>0</v>
      </c>
      <c r="I56" s="405">
        <f>VLOOKUP(B56,R_DG!$A$7:$G$1305,6,0)</f>
        <v>23694</v>
      </c>
      <c r="J56" s="405">
        <f>VLOOKUP(B56,R_DG!$A$7:$G$1305,7,0)</f>
        <v>0</v>
      </c>
      <c r="K56" s="406">
        <f t="shared" si="27"/>
        <v>0</v>
      </c>
      <c r="L56" s="406">
        <f t="shared" si="28"/>
        <v>0</v>
      </c>
      <c r="M56" s="406">
        <f t="shared" si="29"/>
        <v>0</v>
      </c>
      <c r="N56" s="374">
        <f t="shared" si="7"/>
        <v>0</v>
      </c>
    </row>
    <row r="57" spans="2:14" ht="24.95" hidden="1" customHeight="1">
      <c r="B57" s="899" t="s">
        <v>4806</v>
      </c>
      <c r="C57" s="409"/>
      <c r="D57" s="402" t="str">
        <f>IF(B57&lt;&gt;"",VLOOKUP(B57,R_DG!$A$7:$G$1305,2,0),"")</f>
        <v>CS.2.06.2</v>
      </c>
      <c r="E57" s="885" t="str">
        <f>VLOOKUP(B57,R_DG!$A$7:$G$1305,3,0)</f>
        <v>Lắp cửa cột</v>
      </c>
      <c r="F57" s="402" t="str">
        <f>VLOOKUP(B57,R_DG!$A$7:$G$1305,4,0)</f>
        <v>m3</v>
      </c>
      <c r="G57" s="404"/>
      <c r="H57" s="405">
        <f>VLOOKUP(B57,R_DG!$A$7:$G$1305,5,0)</f>
        <v>0</v>
      </c>
      <c r="I57" s="405">
        <f>VLOOKUP(B57,R_DG!$A$7:$G$1305,6,0)</f>
        <v>71082</v>
      </c>
      <c r="J57" s="405">
        <f>VLOOKUP(B57,R_DG!$A$7:$G$1305,7,0)</f>
        <v>0</v>
      </c>
      <c r="K57" s="406">
        <f t="shared" si="27"/>
        <v>0</v>
      </c>
      <c r="L57" s="406">
        <f t="shared" si="28"/>
        <v>0</v>
      </c>
      <c r="M57" s="406">
        <f t="shared" si="29"/>
        <v>0</v>
      </c>
      <c r="N57" s="374">
        <f t="shared" si="7"/>
        <v>0</v>
      </c>
    </row>
    <row r="58" spans="2:14" ht="24.95" customHeight="1">
      <c r="C58" s="411">
        <v>5</v>
      </c>
      <c r="D58" s="891" t="s">
        <v>4826</v>
      </c>
      <c r="E58" s="892"/>
      <c r="F58" s="893"/>
      <c r="G58" s="893"/>
      <c r="H58" s="893"/>
      <c r="I58" s="893"/>
      <c r="J58" s="893"/>
      <c r="K58" s="893"/>
      <c r="L58" s="893"/>
      <c r="M58" s="893"/>
      <c r="N58" s="374">
        <v>1</v>
      </c>
    </row>
    <row r="59" spans="2:14" s="5" customFormat="1" ht="24.95" hidden="1" customHeight="1">
      <c r="B59" s="887" t="s">
        <v>4585</v>
      </c>
      <c r="C59" s="409"/>
      <c r="D59" s="402">
        <f>IF(B59&lt;&gt;"",VLOOKUP(B59,R_DG!$A$7:$G$1305,2,0),"")</f>
        <v>0</v>
      </c>
      <c r="E59" s="885">
        <f>VLOOKUP(B59,R_DG!$A$7:$G$1305,3,0)</f>
        <v>0</v>
      </c>
      <c r="F59" s="402">
        <f>VLOOKUP(B59,R_DG!$A$7:$G$1305,4,0)</f>
        <v>0</v>
      </c>
      <c r="G59" s="404"/>
      <c r="H59" s="405">
        <f>VLOOKUP(B59,R_DG!$A$7:$G$1305,5,0)</f>
        <v>0</v>
      </c>
      <c r="I59" s="405">
        <f>VLOOKUP(B59,R_DG!$A$7:$G$1305,6,0)</f>
        <v>0</v>
      </c>
      <c r="J59" s="405">
        <f>VLOOKUP(B59,R_DG!$A$7:$G$1305,7,0)</f>
        <v>0</v>
      </c>
      <c r="K59" s="406">
        <f t="shared" si="27"/>
        <v>0</v>
      </c>
      <c r="L59" s="406">
        <f t="shared" si="28"/>
        <v>0</v>
      </c>
      <c r="M59" s="406">
        <f t="shared" si="29"/>
        <v>0</v>
      </c>
      <c r="N59" s="127">
        <f t="shared" si="7"/>
        <v>0</v>
      </c>
    </row>
    <row r="60" spans="2:14" s="5" customFormat="1" ht="24.95" hidden="1" customHeight="1">
      <c r="B60" s="887" t="s">
        <v>4585</v>
      </c>
      <c r="C60" s="409"/>
      <c r="D60" s="402">
        <f>IF(B60&lt;&gt;"",VLOOKUP(B60,R_DG!$A$7:$G$1305,2,0),"")</f>
        <v>0</v>
      </c>
      <c r="E60" s="885">
        <f>VLOOKUP(B60,R_DG!$A$7:$G$1305,3,0)</f>
        <v>0</v>
      </c>
      <c r="F60" s="402">
        <f>VLOOKUP(B60,R_DG!$A$7:$G$1305,4,0)</f>
        <v>0</v>
      </c>
      <c r="G60" s="404"/>
      <c r="H60" s="405">
        <f>VLOOKUP(B60,R_DG!$A$7:$G$1305,5,0)</f>
        <v>0</v>
      </c>
      <c r="I60" s="405">
        <f>VLOOKUP(B60,R_DG!$A$7:$G$1305,6,0)</f>
        <v>0</v>
      </c>
      <c r="J60" s="405">
        <f>VLOOKUP(B60,R_DG!$A$7:$G$1305,7,0)</f>
        <v>0</v>
      </c>
      <c r="K60" s="406">
        <f t="shared" si="27"/>
        <v>0</v>
      </c>
      <c r="L60" s="406">
        <f t="shared" si="28"/>
        <v>0</v>
      </c>
      <c r="M60" s="406">
        <f t="shared" si="29"/>
        <v>0</v>
      </c>
      <c r="N60" s="127">
        <f t="shared" si="7"/>
        <v>0</v>
      </c>
    </row>
    <row r="61" spans="2:14" ht="24.95" customHeight="1">
      <c r="C61" s="411">
        <v>6</v>
      </c>
      <c r="D61" s="891" t="s">
        <v>4827</v>
      </c>
      <c r="E61" s="892"/>
      <c r="F61" s="893"/>
      <c r="G61" s="893"/>
      <c r="H61" s="893"/>
      <c r="I61" s="893"/>
      <c r="J61" s="893"/>
      <c r="K61" s="893"/>
      <c r="L61" s="893"/>
      <c r="M61" s="893"/>
      <c r="N61" s="374">
        <v>1</v>
      </c>
    </row>
    <row r="62" spans="2:14" s="5" customFormat="1" ht="24.95" hidden="1" customHeight="1">
      <c r="B62" s="887" t="s">
        <v>4585</v>
      </c>
      <c r="C62" s="409"/>
      <c r="D62" s="402">
        <f>IF(B62&lt;&gt;"",VLOOKUP(B62,R_DG!$A$7:$G$1305,2,0),"")</f>
        <v>0</v>
      </c>
      <c r="E62" s="885">
        <f>VLOOKUP(B62,R_DG!$A$7:$G$1305,3,0)</f>
        <v>0</v>
      </c>
      <c r="F62" s="402">
        <f>VLOOKUP(B62,R_DG!$A$7:$G$1305,4,0)</f>
        <v>0</v>
      </c>
      <c r="G62" s="404"/>
      <c r="H62" s="405">
        <f>VLOOKUP(B62,R_DG!$A$7:$G$1305,5,0)</f>
        <v>0</v>
      </c>
      <c r="I62" s="405">
        <f>VLOOKUP(B62,R_DG!$A$7:$G$1305,6,0)</f>
        <v>0</v>
      </c>
      <c r="J62" s="405">
        <f>VLOOKUP(B62,R_DG!$A$7:$G$1305,7,0)</f>
        <v>0</v>
      </c>
      <c r="K62" s="406">
        <f t="shared" ref="K62:K66" si="30">H62*G62</f>
        <v>0</v>
      </c>
      <c r="L62" s="406">
        <f t="shared" ref="L62:L66" si="31">I62*G62</f>
        <v>0</v>
      </c>
      <c r="M62" s="406">
        <f t="shared" ref="M62:M66" si="32">J62*G62</f>
        <v>0</v>
      </c>
      <c r="N62" s="127">
        <f t="shared" si="7"/>
        <v>0</v>
      </c>
    </row>
    <row r="63" spans="2:14" s="5" customFormat="1" ht="24.95" hidden="1" customHeight="1">
      <c r="B63" s="887" t="s">
        <v>4585</v>
      </c>
      <c r="C63" s="409"/>
      <c r="D63" s="402">
        <f>IF(B63&lt;&gt;"",VLOOKUP(B63,R_DG!$A$7:$G$1305,2,0),"")</f>
        <v>0</v>
      </c>
      <c r="E63" s="885">
        <f>VLOOKUP(B63,R_DG!$A$7:$G$1305,3,0)</f>
        <v>0</v>
      </c>
      <c r="F63" s="402">
        <f>VLOOKUP(B63,R_DG!$A$7:$G$1305,4,0)</f>
        <v>0</v>
      </c>
      <c r="G63" s="404"/>
      <c r="H63" s="405">
        <f>VLOOKUP(B63,R_DG!$A$7:$G$1305,5,0)</f>
        <v>0</v>
      </c>
      <c r="I63" s="405">
        <f>VLOOKUP(B63,R_DG!$A$7:$G$1305,6,0)</f>
        <v>0</v>
      </c>
      <c r="J63" s="405">
        <f>VLOOKUP(B63,R_DG!$A$7:$G$1305,7,0)</f>
        <v>0</v>
      </c>
      <c r="K63" s="406">
        <f t="shared" si="30"/>
        <v>0</v>
      </c>
      <c r="L63" s="406">
        <f t="shared" si="31"/>
        <v>0</v>
      </c>
      <c r="M63" s="406">
        <f t="shared" si="32"/>
        <v>0</v>
      </c>
      <c r="N63" s="127">
        <f t="shared" si="7"/>
        <v>0</v>
      </c>
    </row>
    <row r="64" spans="2:14" s="5" customFormat="1" ht="24.95" hidden="1" customHeight="1">
      <c r="B64" s="887" t="s">
        <v>4585</v>
      </c>
      <c r="C64" s="409"/>
      <c r="D64" s="402">
        <f>IF(B64&lt;&gt;"",VLOOKUP(B64,R_DG!$A$7:$G$1305,2,0),"")</f>
        <v>0</v>
      </c>
      <c r="E64" s="885">
        <f>VLOOKUP(B64,R_DG!$A$7:$G$1305,3,0)</f>
        <v>0</v>
      </c>
      <c r="F64" s="402">
        <f>VLOOKUP(B64,R_DG!$A$7:$G$1305,4,0)</f>
        <v>0</v>
      </c>
      <c r="G64" s="404"/>
      <c r="H64" s="405">
        <f>VLOOKUP(B64,R_DG!$A$7:$G$1305,5,0)</f>
        <v>0</v>
      </c>
      <c r="I64" s="405">
        <f>VLOOKUP(B64,R_DG!$A$7:$G$1305,6,0)</f>
        <v>0</v>
      </c>
      <c r="J64" s="405">
        <f>VLOOKUP(B64,R_DG!$A$7:$G$1305,7,0)</f>
        <v>0</v>
      </c>
      <c r="K64" s="406">
        <f t="shared" si="30"/>
        <v>0</v>
      </c>
      <c r="L64" s="406">
        <f t="shared" si="31"/>
        <v>0</v>
      </c>
      <c r="M64" s="406">
        <f t="shared" si="32"/>
        <v>0</v>
      </c>
      <c r="N64" s="127">
        <f t="shared" si="7"/>
        <v>0</v>
      </c>
    </row>
    <row r="65" spans="2:14" s="5" customFormat="1" ht="24.95" hidden="1" customHeight="1">
      <c r="B65" s="887" t="s">
        <v>4585</v>
      </c>
      <c r="C65" s="409"/>
      <c r="D65" s="402">
        <f>IF(B65&lt;&gt;"",VLOOKUP(B65,R_DG!$A$7:$G$1305,2,0),"")</f>
        <v>0</v>
      </c>
      <c r="E65" s="885">
        <f>VLOOKUP(B65,R_DG!$A$7:$G$1305,3,0)</f>
        <v>0</v>
      </c>
      <c r="F65" s="402">
        <f>VLOOKUP(B65,R_DG!$A$7:$G$1305,4,0)</f>
        <v>0</v>
      </c>
      <c r="G65" s="404"/>
      <c r="H65" s="405">
        <f>VLOOKUP(B65,R_DG!$A$7:$G$1305,5,0)</f>
        <v>0</v>
      </c>
      <c r="I65" s="405">
        <f>VLOOKUP(B65,R_DG!$A$7:$G$1305,6,0)</f>
        <v>0</v>
      </c>
      <c r="J65" s="405">
        <f>VLOOKUP(B65,R_DG!$A$7:$G$1305,7,0)</f>
        <v>0</v>
      </c>
      <c r="K65" s="406">
        <f t="shared" si="30"/>
        <v>0</v>
      </c>
      <c r="L65" s="406">
        <f t="shared" si="31"/>
        <v>0</v>
      </c>
      <c r="M65" s="406">
        <f t="shared" si="32"/>
        <v>0</v>
      </c>
      <c r="N65" s="127">
        <f t="shared" si="7"/>
        <v>0</v>
      </c>
    </row>
    <row r="66" spans="2:14" s="5" customFormat="1" ht="24.95" hidden="1" customHeight="1">
      <c r="B66" s="887" t="s">
        <v>4585</v>
      </c>
      <c r="C66" s="409"/>
      <c r="D66" s="402">
        <f>IF(B66&lt;&gt;"",VLOOKUP(B66,R_DG!$A$7:$G$1305,2,0),"")</f>
        <v>0</v>
      </c>
      <c r="E66" s="885">
        <f>VLOOKUP(B66,R_DG!$A$7:$G$1305,3,0)</f>
        <v>0</v>
      </c>
      <c r="F66" s="402">
        <f>VLOOKUP(B66,R_DG!$A$7:$G$1305,4,0)</f>
        <v>0</v>
      </c>
      <c r="G66" s="404"/>
      <c r="H66" s="405">
        <f>VLOOKUP(B66,R_DG!$A$7:$G$1305,5,0)</f>
        <v>0</v>
      </c>
      <c r="I66" s="405">
        <f>VLOOKUP(B66,R_DG!$A$7:$G$1305,6,0)</f>
        <v>0</v>
      </c>
      <c r="J66" s="405">
        <f>VLOOKUP(B66,R_DG!$A$7:$G$1305,7,0)</f>
        <v>0</v>
      </c>
      <c r="K66" s="406">
        <f t="shared" si="30"/>
        <v>0</v>
      </c>
      <c r="L66" s="406">
        <f t="shared" si="31"/>
        <v>0</v>
      </c>
      <c r="M66" s="406">
        <f t="shared" si="32"/>
        <v>0</v>
      </c>
      <c r="N66" s="127">
        <f t="shared" si="7"/>
        <v>0</v>
      </c>
    </row>
    <row r="67" spans="2:14" ht="24.95" customHeight="1">
      <c r="C67" s="411">
        <v>7</v>
      </c>
      <c r="D67" s="891" t="s">
        <v>2093</v>
      </c>
      <c r="E67" s="892"/>
      <c r="F67" s="893"/>
      <c r="G67" s="893"/>
      <c r="H67" s="893"/>
      <c r="I67" s="893"/>
      <c r="J67" s="893"/>
      <c r="K67" s="893"/>
      <c r="L67" s="893"/>
      <c r="M67" s="893"/>
      <c r="N67" s="374">
        <v>1</v>
      </c>
    </row>
    <row r="68" spans="2:14" s="5" customFormat="1" ht="24.95" hidden="1" customHeight="1">
      <c r="B68" s="887" t="s">
        <v>4585</v>
      </c>
      <c r="C68" s="409"/>
      <c r="D68" s="402">
        <f>IF(B68&lt;&gt;"",VLOOKUP(B68,R_DG!$A$7:$G$1305,2,0),"")</f>
        <v>0</v>
      </c>
      <c r="E68" s="885">
        <f>VLOOKUP(B68,R_DG!$A$7:$G$1305,3,0)</f>
        <v>0</v>
      </c>
      <c r="F68" s="402">
        <f>VLOOKUP(B68,R_DG!$A$7:$G$1305,4,0)</f>
        <v>0</v>
      </c>
      <c r="G68" s="404"/>
      <c r="H68" s="405">
        <f>VLOOKUP(B68,R_DG!$A$7:$G$1305,5,0)</f>
        <v>0</v>
      </c>
      <c r="I68" s="405">
        <f>VLOOKUP(B68,R_DG!$A$7:$G$1305,6,0)</f>
        <v>0</v>
      </c>
      <c r="J68" s="405">
        <f>VLOOKUP(B68,R_DG!$A$7:$G$1305,7,0)</f>
        <v>0</v>
      </c>
      <c r="K68" s="406">
        <f t="shared" ref="K68:K72" si="33">H68*G68</f>
        <v>0</v>
      </c>
      <c r="L68" s="406">
        <f t="shared" ref="L68:L72" si="34">I68*G68</f>
        <v>0</v>
      </c>
      <c r="M68" s="406">
        <f t="shared" ref="M68:M72" si="35">J68*G68</f>
        <v>0</v>
      </c>
      <c r="N68" s="127">
        <f t="shared" si="7"/>
        <v>0</v>
      </c>
    </row>
    <row r="69" spans="2:14" s="5" customFormat="1" ht="24.95" hidden="1" customHeight="1">
      <c r="B69" s="887" t="s">
        <v>4585</v>
      </c>
      <c r="C69" s="409"/>
      <c r="D69" s="402">
        <f>IF(B69&lt;&gt;"",VLOOKUP(B69,R_DG!$A$7:$G$1305,2,0),"")</f>
        <v>0</v>
      </c>
      <c r="E69" s="885">
        <f>VLOOKUP(B69,R_DG!$A$7:$G$1305,3,0)</f>
        <v>0</v>
      </c>
      <c r="F69" s="402">
        <f>VLOOKUP(B69,R_DG!$A$7:$G$1305,4,0)</f>
        <v>0</v>
      </c>
      <c r="G69" s="404"/>
      <c r="H69" s="405">
        <f>VLOOKUP(B69,R_DG!$A$7:$G$1305,5,0)</f>
        <v>0</v>
      </c>
      <c r="I69" s="405">
        <f>VLOOKUP(B69,R_DG!$A$7:$G$1305,6,0)</f>
        <v>0</v>
      </c>
      <c r="J69" s="405">
        <f>VLOOKUP(B69,R_DG!$A$7:$G$1305,7,0)</f>
        <v>0</v>
      </c>
      <c r="K69" s="406">
        <f t="shared" si="33"/>
        <v>0</v>
      </c>
      <c r="L69" s="406">
        <f t="shared" si="34"/>
        <v>0</v>
      </c>
      <c r="M69" s="406">
        <f t="shared" si="35"/>
        <v>0</v>
      </c>
      <c r="N69" s="127">
        <f t="shared" si="7"/>
        <v>0</v>
      </c>
    </row>
    <row r="70" spans="2:14" s="5" customFormat="1" ht="24.95" hidden="1" customHeight="1">
      <c r="B70" s="887" t="s">
        <v>4585</v>
      </c>
      <c r="C70" s="409"/>
      <c r="D70" s="402">
        <f>IF(B70&lt;&gt;"",VLOOKUP(B70,R_DG!$A$7:$G$1305,2,0),"")</f>
        <v>0</v>
      </c>
      <c r="E70" s="885">
        <f>VLOOKUP(B70,R_DG!$A$7:$G$1305,3,0)</f>
        <v>0</v>
      </c>
      <c r="F70" s="402">
        <f>VLOOKUP(B70,R_DG!$A$7:$G$1305,4,0)</f>
        <v>0</v>
      </c>
      <c r="G70" s="404"/>
      <c r="H70" s="405">
        <f>VLOOKUP(B70,R_DG!$A$7:$G$1305,5,0)</f>
        <v>0</v>
      </c>
      <c r="I70" s="405">
        <f>VLOOKUP(B70,R_DG!$A$7:$G$1305,6,0)</f>
        <v>0</v>
      </c>
      <c r="J70" s="405">
        <f>VLOOKUP(B70,R_DG!$A$7:$G$1305,7,0)</f>
        <v>0</v>
      </c>
      <c r="K70" s="406">
        <f t="shared" si="33"/>
        <v>0</v>
      </c>
      <c r="L70" s="406">
        <f t="shared" si="34"/>
        <v>0</v>
      </c>
      <c r="M70" s="406">
        <f t="shared" si="35"/>
        <v>0</v>
      </c>
      <c r="N70" s="127">
        <f t="shared" si="7"/>
        <v>0</v>
      </c>
    </row>
    <row r="71" spans="2:14" s="5" customFormat="1" ht="24.95" hidden="1" customHeight="1">
      <c r="B71" s="887" t="s">
        <v>4585</v>
      </c>
      <c r="C71" s="409"/>
      <c r="D71" s="402">
        <f>IF(B71&lt;&gt;"",VLOOKUP(B71,R_DG!$A$7:$G$1305,2,0),"")</f>
        <v>0</v>
      </c>
      <c r="E71" s="885">
        <f>VLOOKUP(B71,R_DG!$A$7:$G$1305,3,0)</f>
        <v>0</v>
      </c>
      <c r="F71" s="402">
        <f>VLOOKUP(B71,R_DG!$A$7:$G$1305,4,0)</f>
        <v>0</v>
      </c>
      <c r="G71" s="404"/>
      <c r="H71" s="405">
        <f>VLOOKUP(B71,R_DG!$A$7:$G$1305,5,0)</f>
        <v>0</v>
      </c>
      <c r="I71" s="405">
        <f>VLOOKUP(B71,R_DG!$A$7:$G$1305,6,0)</f>
        <v>0</v>
      </c>
      <c r="J71" s="405">
        <f>VLOOKUP(B71,R_DG!$A$7:$G$1305,7,0)</f>
        <v>0</v>
      </c>
      <c r="K71" s="406">
        <f t="shared" si="33"/>
        <v>0</v>
      </c>
      <c r="L71" s="406">
        <f t="shared" si="34"/>
        <v>0</v>
      </c>
      <c r="M71" s="406">
        <f t="shared" si="35"/>
        <v>0</v>
      </c>
      <c r="N71" s="127">
        <f t="shared" si="7"/>
        <v>0</v>
      </c>
    </row>
    <row r="72" spans="2:14" s="5" customFormat="1" ht="24.95" hidden="1" customHeight="1">
      <c r="B72" s="887" t="s">
        <v>4585</v>
      </c>
      <c r="C72" s="409"/>
      <c r="D72" s="402">
        <f>IF(B72&lt;&gt;"",VLOOKUP(B72,R_DG!$A$7:$G$1305,2,0),"")</f>
        <v>0</v>
      </c>
      <c r="E72" s="885">
        <f>VLOOKUP(B72,R_DG!$A$7:$G$1305,3,0)</f>
        <v>0</v>
      </c>
      <c r="F72" s="402">
        <f>VLOOKUP(B72,R_DG!$A$7:$G$1305,4,0)</f>
        <v>0</v>
      </c>
      <c r="G72" s="404"/>
      <c r="H72" s="405">
        <f>VLOOKUP(B72,R_DG!$A$7:$G$1305,5,0)</f>
        <v>0</v>
      </c>
      <c r="I72" s="405">
        <f>VLOOKUP(B72,R_DG!$A$7:$G$1305,6,0)</f>
        <v>0</v>
      </c>
      <c r="J72" s="405">
        <f>VLOOKUP(B72,R_DG!$A$7:$G$1305,7,0)</f>
        <v>0</v>
      </c>
      <c r="K72" s="406">
        <f t="shared" si="33"/>
        <v>0</v>
      </c>
      <c r="L72" s="406">
        <f t="shared" si="34"/>
        <v>0</v>
      </c>
      <c r="M72" s="406">
        <f t="shared" si="35"/>
        <v>0</v>
      </c>
      <c r="N72" s="127">
        <f t="shared" si="7"/>
        <v>0</v>
      </c>
    </row>
    <row r="73" spans="2:14" ht="24.95" customHeight="1">
      <c r="C73" s="411">
        <v>8</v>
      </c>
      <c r="D73" s="891" t="s">
        <v>3777</v>
      </c>
      <c r="E73" s="892"/>
      <c r="F73" s="893"/>
      <c r="G73" s="893"/>
      <c r="H73" s="893"/>
      <c r="I73" s="893"/>
      <c r="J73" s="893"/>
      <c r="K73" s="893"/>
      <c r="L73" s="893"/>
      <c r="M73" s="893"/>
      <c r="N73" s="374">
        <v>1</v>
      </c>
    </row>
    <row r="74" spans="2:14" s="5" customFormat="1" ht="24.95" customHeight="1">
      <c r="B74" s="887" t="s">
        <v>4828</v>
      </c>
      <c r="C74" s="409"/>
      <c r="D74" s="402">
        <f>IF(B74&lt;&gt;"",VLOOKUP(B74,R_DG!$A$7:$G$1305,2,0),"")</f>
        <v>0</v>
      </c>
      <c r="E74" s="885" t="str">
        <f>VLOOKUP(B74,R_DG!$A$7:$G$1305,3,0)</f>
        <v>Cầu chì đuôi cá 2A</v>
      </c>
      <c r="F74" s="402" t="str">
        <f>VLOOKUP(B74,R_DG!$A$7:$G$1305,4,0)</f>
        <v>cái</v>
      </c>
      <c r="G74" s="404">
        <f>BKCS!Q30</f>
        <v>0</v>
      </c>
      <c r="H74" s="405">
        <f>VLOOKUP(B74,R_DG!$A$7:$G$1305,5,0)</f>
        <v>7500</v>
      </c>
      <c r="I74" s="405">
        <f>VLOOKUP(B74,R_DG!$A$7:$G$1305,6,0)</f>
        <v>0</v>
      </c>
      <c r="J74" s="405">
        <f>VLOOKUP(B74,R_DG!$A$7:$G$1305,7,0)</f>
        <v>0</v>
      </c>
      <c r="K74" s="406">
        <f t="shared" ref="K74:K78" si="36">H74*G74</f>
        <v>0</v>
      </c>
      <c r="L74" s="406">
        <f t="shared" ref="L74:L78" si="37">I74*G74</f>
        <v>0</v>
      </c>
      <c r="M74" s="406">
        <f t="shared" ref="M74:M78" si="38">J74*G74</f>
        <v>0</v>
      </c>
      <c r="N74" s="127">
        <f t="shared" si="7"/>
        <v>0</v>
      </c>
    </row>
    <row r="75" spans="2:14" s="5" customFormat="1" ht="24.95" customHeight="1">
      <c r="B75" s="887" t="s">
        <v>4755</v>
      </c>
      <c r="C75" s="409"/>
      <c r="D75" s="402" t="str">
        <f>IF(B75&lt;&gt;"",VLOOKUP(B75,R_DG!$A$7:$G$1305,2,0),"")</f>
        <v>CS.2.02.21</v>
      </c>
      <c r="E75" s="885" t="str">
        <f>VLOOKUP(B75,R_DG!$A$7:$G$1305,3,0)</f>
        <v>Lắp cầu chì đuôi cá 2A</v>
      </c>
      <c r="F75" s="402" t="str">
        <f>VLOOKUP(B75,R_DG!$A$7:$G$1305,4,0)</f>
        <v>cái</v>
      </c>
      <c r="G75" s="404">
        <f>G74</f>
        <v>0</v>
      </c>
      <c r="H75" s="405">
        <f>VLOOKUP(B75,R_DG!$A$7:$G$1305,5,0)</f>
        <v>0</v>
      </c>
      <c r="I75" s="405">
        <f>VLOOKUP(B75,R_DG!$A$7:$G$1305,6,0)</f>
        <v>61347.5</v>
      </c>
      <c r="J75" s="405">
        <f>VLOOKUP(B75,R_DG!$A$7:$G$1305,7,0)</f>
        <v>0</v>
      </c>
      <c r="K75" s="406">
        <f t="shared" si="36"/>
        <v>0</v>
      </c>
      <c r="L75" s="406">
        <f t="shared" si="37"/>
        <v>0</v>
      </c>
      <c r="M75" s="406">
        <f t="shared" si="38"/>
        <v>0</v>
      </c>
      <c r="N75" s="127">
        <f t="shared" si="7"/>
        <v>0</v>
      </c>
    </row>
    <row r="76" spans="2:14" s="5" customFormat="1" ht="24.95" hidden="1" customHeight="1">
      <c r="B76" s="887" t="s">
        <v>4585</v>
      </c>
      <c r="C76" s="409"/>
      <c r="D76" s="402">
        <f>IF(B76&lt;&gt;"",VLOOKUP(B76,R_DG!$A$7:$G$1305,2,0),"")</f>
        <v>0</v>
      </c>
      <c r="E76" s="885">
        <f>VLOOKUP(B76,R_DG!$A$7:$G$1305,3,0)</f>
        <v>0</v>
      </c>
      <c r="F76" s="402">
        <f>VLOOKUP(B76,R_DG!$A$7:$G$1305,4,0)</f>
        <v>0</v>
      </c>
      <c r="G76" s="404"/>
      <c r="H76" s="405">
        <f>VLOOKUP(B76,R_DG!$A$7:$G$1305,5,0)</f>
        <v>0</v>
      </c>
      <c r="I76" s="405">
        <f>VLOOKUP(B76,R_DG!$A$7:$G$1305,6,0)</f>
        <v>0</v>
      </c>
      <c r="J76" s="405">
        <f>VLOOKUP(B76,R_DG!$A$7:$G$1305,7,0)</f>
        <v>0</v>
      </c>
      <c r="K76" s="406">
        <f t="shared" si="36"/>
        <v>0</v>
      </c>
      <c r="L76" s="406">
        <f t="shared" si="37"/>
        <v>0</v>
      </c>
      <c r="M76" s="406">
        <f t="shared" si="38"/>
        <v>0</v>
      </c>
      <c r="N76" s="127">
        <f t="shared" si="7"/>
        <v>0</v>
      </c>
    </row>
    <row r="77" spans="2:14" s="5" customFormat="1" ht="24.95" hidden="1" customHeight="1">
      <c r="B77" s="887" t="s">
        <v>4585</v>
      </c>
      <c r="C77" s="409"/>
      <c r="D77" s="402">
        <f>IF(B77&lt;&gt;"",VLOOKUP(B77,R_DG!$A$7:$G$1305,2,0),"")</f>
        <v>0</v>
      </c>
      <c r="E77" s="885">
        <f>VLOOKUP(B77,R_DG!$A$7:$G$1305,3,0)</f>
        <v>0</v>
      </c>
      <c r="F77" s="402">
        <f>VLOOKUP(B77,R_DG!$A$7:$G$1305,4,0)</f>
        <v>0</v>
      </c>
      <c r="G77" s="404"/>
      <c r="H77" s="405">
        <f>VLOOKUP(B77,R_DG!$A$7:$G$1305,5,0)</f>
        <v>0</v>
      </c>
      <c r="I77" s="405">
        <f>VLOOKUP(B77,R_DG!$A$7:$G$1305,6,0)</f>
        <v>0</v>
      </c>
      <c r="J77" s="405">
        <f>VLOOKUP(B77,R_DG!$A$7:$G$1305,7,0)</f>
        <v>0</v>
      </c>
      <c r="K77" s="406">
        <f t="shared" si="36"/>
        <v>0</v>
      </c>
      <c r="L77" s="406">
        <f t="shared" si="37"/>
        <v>0</v>
      </c>
      <c r="M77" s="406">
        <f t="shared" si="38"/>
        <v>0</v>
      </c>
      <c r="N77" s="127">
        <f t="shared" si="7"/>
        <v>0</v>
      </c>
    </row>
    <row r="78" spans="2:14" s="5" customFormat="1" ht="24.95" hidden="1" customHeight="1">
      <c r="B78" s="887" t="s">
        <v>4585</v>
      </c>
      <c r="C78" s="889"/>
      <c r="D78" s="280">
        <f>IF(B78&lt;&gt;"",VLOOKUP(B78,R_DG!$A$7:$G$1305,2,0),"")</f>
        <v>0</v>
      </c>
      <c r="E78" s="890">
        <f>VLOOKUP(B78,R_DG!$A$7:$G$1305,3,0)</f>
        <v>0</v>
      </c>
      <c r="F78" s="280">
        <f>VLOOKUP(B78,R_DG!$A$7:$G$1305,4,0)</f>
        <v>0</v>
      </c>
      <c r="G78" s="282"/>
      <c r="H78" s="283">
        <f>VLOOKUP(B78,R_DG!$A$7:$G$1305,5,0)</f>
        <v>0</v>
      </c>
      <c r="I78" s="283">
        <f>VLOOKUP(B78,R_DG!$A$7:$G$1305,6,0)</f>
        <v>0</v>
      </c>
      <c r="J78" s="283">
        <f>VLOOKUP(B78,R_DG!$A$7:$G$1305,7,0)</f>
        <v>0</v>
      </c>
      <c r="K78" s="284">
        <f t="shared" si="36"/>
        <v>0</v>
      </c>
      <c r="L78" s="284">
        <f t="shared" si="37"/>
        <v>0</v>
      </c>
      <c r="M78" s="284">
        <f t="shared" si="38"/>
        <v>0</v>
      </c>
      <c r="N78" s="127">
        <f t="shared" si="7"/>
        <v>0</v>
      </c>
    </row>
    <row r="79" spans="2:14" ht="24.95" customHeight="1">
      <c r="C79" s="900" t="s">
        <v>2719</v>
      </c>
      <c r="D79" s="901"/>
      <c r="E79" s="902"/>
      <c r="F79" s="901"/>
      <c r="G79" s="901"/>
      <c r="H79" s="901"/>
      <c r="I79" s="901"/>
      <c r="J79" s="901"/>
      <c r="K79" s="903">
        <f>SUM(K5:K78)</f>
        <v>0</v>
      </c>
      <c r="L79" s="903">
        <f t="shared" ref="L79:M79" si="39">SUM(L5:L78)</f>
        <v>0</v>
      </c>
      <c r="M79" s="903">
        <f t="shared" si="39"/>
        <v>0</v>
      </c>
      <c r="N79" s="374">
        <f t="shared" si="7"/>
        <v>0</v>
      </c>
    </row>
  </sheetData>
  <autoFilter ref="N4:N79">
    <filterColumn colId="0">
      <customFilters>
        <customFilter operator="notEqual" val=" "/>
      </customFilters>
    </filterColumn>
  </autoFilter>
  <mergeCells count="5">
    <mergeCell ref="C1:M1"/>
    <mergeCell ref="C3:C4"/>
    <mergeCell ref="D3:D4"/>
    <mergeCell ref="E3:E4"/>
    <mergeCell ref="F3:F4"/>
  </mergeCells>
  <pageMargins left="0.70866141732283472" right="0.70866141732283472" top="0.74803149606299213" bottom="0.74803149606299213" header="0.31496062992125984" footer="0.31496062992125984"/>
  <pageSetup paperSize="9" scale="97" fitToHeight="0"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filterMode="1">
    <tabColor rgb="FFFF9797"/>
    <pageSetUpPr fitToPage="1"/>
  </sheetPr>
  <dimension ref="A1:P37"/>
  <sheetViews>
    <sheetView showZeros="0" view="pageBreakPreview" zoomScale="85" zoomScaleNormal="100" zoomScaleSheetLayoutView="85" workbookViewId="0">
      <selection activeCell="T33" sqref="T33"/>
    </sheetView>
  </sheetViews>
  <sheetFormatPr defaultColWidth="9" defaultRowHeight="24.95" customHeight="1"/>
  <cols>
    <col min="1" max="1" width="6.5703125" style="373" customWidth="1"/>
    <col min="2" max="2" width="7" style="374" bestFit="1" customWidth="1"/>
    <col min="3" max="3" width="40.7109375" style="373" customWidth="1"/>
    <col min="4" max="4" width="5.5703125" style="374" customWidth="1"/>
    <col min="5" max="5" width="7.85546875" style="374" customWidth="1"/>
    <col min="6" max="6" width="11.85546875" style="373" bestFit="1" customWidth="1"/>
    <col min="7" max="7" width="12.42578125" style="373" bestFit="1" customWidth="1"/>
    <col min="8" max="8" width="11.7109375" style="373" bestFit="1" customWidth="1"/>
    <col min="9" max="9" width="9.7109375" style="373" bestFit="1" customWidth="1"/>
    <col min="10" max="10" width="8.140625" style="373" bestFit="1" customWidth="1"/>
    <col min="11" max="11" width="10.5703125" style="373" bestFit="1" customWidth="1"/>
    <col min="12" max="13" width="11.85546875" style="373" bestFit="1" customWidth="1"/>
    <col min="14" max="15" width="9.7109375" style="373" bestFit="1" customWidth="1"/>
    <col min="16" max="16" width="9" style="374"/>
    <col min="17" max="16384" width="9" style="373"/>
  </cols>
  <sheetData>
    <row r="1" spans="1:16" ht="24.95" customHeight="1">
      <c r="A1" s="1394" t="s">
        <v>4831</v>
      </c>
      <c r="B1" s="1394"/>
      <c r="C1" s="1394"/>
      <c r="D1" s="1394"/>
      <c r="E1" s="1394"/>
      <c r="F1" s="1394"/>
      <c r="G1" s="1394"/>
      <c r="H1" s="1394"/>
      <c r="I1" s="1394"/>
      <c r="J1" s="1394"/>
      <c r="K1" s="1394"/>
      <c r="L1" s="1394"/>
      <c r="M1" s="1394"/>
    </row>
    <row r="2" spans="1:16" ht="23.45" customHeight="1">
      <c r="A2" s="374"/>
      <c r="C2" s="185"/>
    </row>
    <row r="3" spans="1:16" ht="24.95" customHeight="1">
      <c r="A3" s="1378" t="s">
        <v>2347</v>
      </c>
      <c r="B3" s="1378" t="s">
        <v>2446</v>
      </c>
      <c r="C3" s="1395" t="s">
        <v>2447</v>
      </c>
      <c r="D3" s="1092" t="s">
        <v>2139</v>
      </c>
      <c r="E3" s="1092" t="s">
        <v>2140</v>
      </c>
      <c r="F3" s="898" t="s">
        <v>2141</v>
      </c>
      <c r="G3" s="898"/>
      <c r="H3" s="898"/>
      <c r="I3" s="898" t="s">
        <v>4949</v>
      </c>
      <c r="J3" s="898"/>
      <c r="K3" s="898" t="s">
        <v>2448</v>
      </c>
      <c r="L3" s="898"/>
      <c r="M3" s="898"/>
      <c r="N3" s="898" t="s">
        <v>4947</v>
      </c>
      <c r="O3" s="898"/>
    </row>
    <row r="4" spans="1:16" ht="24.95" customHeight="1">
      <c r="A4" s="1378"/>
      <c r="B4" s="1378"/>
      <c r="C4" s="1382"/>
      <c r="D4" s="1093" t="s">
        <v>2142</v>
      </c>
      <c r="E4" s="1093" t="s">
        <v>2143</v>
      </c>
      <c r="F4" s="1091" t="s">
        <v>2794</v>
      </c>
      <c r="G4" s="1091" t="s">
        <v>2451</v>
      </c>
      <c r="H4" s="1091" t="s">
        <v>2452</v>
      </c>
      <c r="I4" s="1091" t="s">
        <v>4948</v>
      </c>
      <c r="J4" s="1091" t="s">
        <v>4950</v>
      </c>
      <c r="K4" s="1091" t="s">
        <v>2450</v>
      </c>
      <c r="L4" s="1091" t="s">
        <v>2451</v>
      </c>
      <c r="M4" s="1091" t="s">
        <v>2452</v>
      </c>
      <c r="N4" s="1091" t="s">
        <v>4948</v>
      </c>
      <c r="O4" s="1091" t="s">
        <v>4950</v>
      </c>
    </row>
    <row r="5" spans="1:16" s="1065" customFormat="1" ht="24.95" hidden="1" customHeight="1">
      <c r="A5" s="1066">
        <v>1</v>
      </c>
      <c r="B5" s="1066" t="s">
        <v>4905</v>
      </c>
      <c r="C5" s="1081" t="s">
        <v>4924</v>
      </c>
      <c r="D5" s="1066" t="s">
        <v>9</v>
      </c>
      <c r="E5" s="1066"/>
      <c r="F5" s="1072">
        <v>70522</v>
      </c>
      <c r="G5" s="1072">
        <v>830815</v>
      </c>
      <c r="H5" s="1072">
        <v>359375</v>
      </c>
      <c r="I5" s="1078">
        <v>0.3125</v>
      </c>
      <c r="J5" s="1075"/>
      <c r="K5" s="1067">
        <f>F5*$E5</f>
        <v>0</v>
      </c>
      <c r="L5" s="1067">
        <f>G5*$E5</f>
        <v>0</v>
      </c>
      <c r="M5" s="1067">
        <f>H5*$E5</f>
        <v>0</v>
      </c>
      <c r="N5" s="1078">
        <f>E5*I5</f>
        <v>0</v>
      </c>
      <c r="O5" s="1075">
        <f>E5*J5</f>
        <v>0</v>
      </c>
      <c r="P5" s="914">
        <f>IF(SUM(K5:O5)&gt;0,1,0)</f>
        <v>0</v>
      </c>
    </row>
    <row r="6" spans="1:16" s="1065" customFormat="1" ht="24.95" hidden="1" customHeight="1">
      <c r="A6" s="1068">
        <v>2</v>
      </c>
      <c r="B6" s="1068" t="s">
        <v>4906</v>
      </c>
      <c r="C6" s="1082" t="s">
        <v>4925</v>
      </c>
      <c r="D6" s="1068" t="s">
        <v>9</v>
      </c>
      <c r="E6" s="1068"/>
      <c r="F6" s="1073">
        <v>155508</v>
      </c>
      <c r="G6" s="1073">
        <v>1449302</v>
      </c>
      <c r="H6" s="1073">
        <v>608508</v>
      </c>
      <c r="I6" s="1079">
        <v>0.5292</v>
      </c>
      <c r="J6" s="1076"/>
      <c r="K6" s="1069">
        <f t="shared" ref="K6:K23" si="0">F6*$E6</f>
        <v>0</v>
      </c>
      <c r="L6" s="1069">
        <f t="shared" ref="L6:L23" si="1">G6*$E6</f>
        <v>0</v>
      </c>
      <c r="M6" s="1069">
        <f t="shared" ref="M6:M23" si="2">H6*$E6</f>
        <v>0</v>
      </c>
      <c r="N6" s="1079">
        <f t="shared" ref="N6:N23" si="3">E6*I6</f>
        <v>0</v>
      </c>
      <c r="O6" s="1076">
        <f t="shared" ref="O6:O23" si="4">E6*J6</f>
        <v>0</v>
      </c>
      <c r="P6" s="914">
        <f t="shared" ref="P6:P24" si="5">IF(SUM(K6:O6)&gt;0,1,0)</f>
        <v>0</v>
      </c>
    </row>
    <row r="7" spans="1:16" s="1065" customFormat="1" ht="24.95" hidden="1" customHeight="1">
      <c r="A7" s="1068">
        <v>3</v>
      </c>
      <c r="B7" s="1068" t="s">
        <v>4907</v>
      </c>
      <c r="C7" s="1082" t="s">
        <v>4926</v>
      </c>
      <c r="D7" s="1068" t="s">
        <v>37</v>
      </c>
      <c r="E7" s="1068"/>
      <c r="F7" s="1073">
        <v>158292</v>
      </c>
      <c r="G7" s="1073">
        <v>1504690</v>
      </c>
      <c r="H7" s="1073">
        <v>637330</v>
      </c>
      <c r="I7" s="1079">
        <v>0.55420000000000003</v>
      </c>
      <c r="J7" s="1076"/>
      <c r="K7" s="1069">
        <f t="shared" si="0"/>
        <v>0</v>
      </c>
      <c r="L7" s="1069">
        <f t="shared" si="1"/>
        <v>0</v>
      </c>
      <c r="M7" s="1069">
        <f t="shared" si="2"/>
        <v>0</v>
      </c>
      <c r="N7" s="1079">
        <f t="shared" si="3"/>
        <v>0</v>
      </c>
      <c r="O7" s="1076">
        <f t="shared" si="4"/>
        <v>0</v>
      </c>
      <c r="P7" s="914">
        <f t="shared" si="5"/>
        <v>0</v>
      </c>
    </row>
    <row r="8" spans="1:16" s="1065" customFormat="1" ht="24.95" hidden="1" customHeight="1">
      <c r="A8" s="1068">
        <v>4</v>
      </c>
      <c r="B8" s="1068" t="s">
        <v>4908</v>
      </c>
      <c r="C8" s="1082" t="s">
        <v>4927</v>
      </c>
      <c r="D8" s="1068" t="s">
        <v>9</v>
      </c>
      <c r="E8" s="1068"/>
      <c r="F8" s="1073">
        <v>85189</v>
      </c>
      <c r="G8" s="1073">
        <v>1061588</v>
      </c>
      <c r="H8" s="1073">
        <v>455170</v>
      </c>
      <c r="I8" s="1079">
        <v>0.39579999999999999</v>
      </c>
      <c r="J8" s="1076"/>
      <c r="K8" s="1069">
        <f t="shared" si="0"/>
        <v>0</v>
      </c>
      <c r="L8" s="1069">
        <f t="shared" si="1"/>
        <v>0</v>
      </c>
      <c r="M8" s="1069">
        <f t="shared" si="2"/>
        <v>0</v>
      </c>
      <c r="N8" s="1079">
        <f t="shared" si="3"/>
        <v>0</v>
      </c>
      <c r="O8" s="1076">
        <f t="shared" si="4"/>
        <v>0</v>
      </c>
      <c r="P8" s="914">
        <f t="shared" si="5"/>
        <v>0</v>
      </c>
    </row>
    <row r="9" spans="1:16" s="1065" customFormat="1" ht="24.95" hidden="1" customHeight="1">
      <c r="A9" s="1068">
        <v>5</v>
      </c>
      <c r="B9" s="1068" t="s">
        <v>4909</v>
      </c>
      <c r="C9" s="1082" t="s">
        <v>4928</v>
      </c>
      <c r="D9" s="1068" t="s">
        <v>9</v>
      </c>
      <c r="E9" s="1068"/>
      <c r="F9" s="1073">
        <v>162675</v>
      </c>
      <c r="G9" s="1073">
        <v>1246223</v>
      </c>
      <c r="H9" s="1073">
        <v>551080</v>
      </c>
      <c r="I9" s="1079">
        <v>0.47920000000000001</v>
      </c>
      <c r="J9" s="1076"/>
      <c r="K9" s="1069">
        <f t="shared" si="0"/>
        <v>0</v>
      </c>
      <c r="L9" s="1069">
        <f t="shared" si="1"/>
        <v>0</v>
      </c>
      <c r="M9" s="1069">
        <f t="shared" si="2"/>
        <v>0</v>
      </c>
      <c r="N9" s="1079">
        <f t="shared" si="3"/>
        <v>0</v>
      </c>
      <c r="O9" s="1076">
        <f t="shared" si="4"/>
        <v>0</v>
      </c>
      <c r="P9" s="914">
        <f t="shared" si="5"/>
        <v>0</v>
      </c>
    </row>
    <row r="10" spans="1:16" s="1065" customFormat="1" ht="24.95" hidden="1" customHeight="1">
      <c r="A10" s="1068">
        <v>6</v>
      </c>
      <c r="B10" s="1068" t="s">
        <v>4910</v>
      </c>
      <c r="C10" s="1082" t="s">
        <v>4929</v>
      </c>
      <c r="D10" s="1068" t="s">
        <v>9</v>
      </c>
      <c r="E10" s="1068"/>
      <c r="F10" s="1073">
        <v>82413</v>
      </c>
      <c r="G10" s="1073">
        <v>1061588</v>
      </c>
      <c r="H10" s="1073">
        <v>467245</v>
      </c>
      <c r="I10" s="1079">
        <v>0.40629999999999999</v>
      </c>
      <c r="J10" s="1076"/>
      <c r="K10" s="1069">
        <f t="shared" si="0"/>
        <v>0</v>
      </c>
      <c r="L10" s="1069">
        <f t="shared" si="1"/>
        <v>0</v>
      </c>
      <c r="M10" s="1069">
        <f t="shared" si="2"/>
        <v>0</v>
      </c>
      <c r="N10" s="1079">
        <f t="shared" si="3"/>
        <v>0</v>
      </c>
      <c r="O10" s="1076">
        <f t="shared" si="4"/>
        <v>0</v>
      </c>
      <c r="P10" s="914">
        <f t="shared" si="5"/>
        <v>0</v>
      </c>
    </row>
    <row r="11" spans="1:16" ht="24.95" customHeight="1">
      <c r="A11" s="372">
        <v>7</v>
      </c>
      <c r="B11" s="372" t="s">
        <v>4911</v>
      </c>
      <c r="C11" s="957" t="s">
        <v>4930</v>
      </c>
      <c r="D11" s="372" t="s">
        <v>1348</v>
      </c>
      <c r="E11" s="372"/>
      <c r="F11" s="608">
        <v>168557</v>
      </c>
      <c r="G11" s="608">
        <v>1292389</v>
      </c>
      <c r="H11" s="608">
        <v>539120</v>
      </c>
      <c r="I11" s="1097">
        <v>0.46879999999999999</v>
      </c>
      <c r="J11" s="1098"/>
      <c r="K11" s="666">
        <f t="shared" si="0"/>
        <v>0</v>
      </c>
      <c r="L11" s="666">
        <f t="shared" si="1"/>
        <v>0</v>
      </c>
      <c r="M11" s="666">
        <f t="shared" si="2"/>
        <v>0</v>
      </c>
      <c r="N11" s="1097">
        <f t="shared" si="3"/>
        <v>0</v>
      </c>
      <c r="O11" s="1098">
        <f t="shared" si="4"/>
        <v>0</v>
      </c>
      <c r="P11" s="374">
        <f t="shared" si="5"/>
        <v>0</v>
      </c>
    </row>
    <row r="12" spans="1:16" s="1065" customFormat="1" ht="24.95" hidden="1" customHeight="1">
      <c r="A12" s="1068">
        <v>8</v>
      </c>
      <c r="B12" s="1068" t="s">
        <v>4912</v>
      </c>
      <c r="C12" s="1082" t="s">
        <v>4931</v>
      </c>
      <c r="D12" s="1068" t="s">
        <v>9</v>
      </c>
      <c r="E12" s="1068"/>
      <c r="F12" s="1073">
        <v>76864</v>
      </c>
      <c r="G12" s="1073">
        <v>992354</v>
      </c>
      <c r="H12" s="1073">
        <v>419290</v>
      </c>
      <c r="I12" s="1079">
        <v>0.36459999999999998</v>
      </c>
      <c r="J12" s="1076"/>
      <c r="K12" s="1069">
        <f t="shared" si="0"/>
        <v>0</v>
      </c>
      <c r="L12" s="1069">
        <f t="shared" si="1"/>
        <v>0</v>
      </c>
      <c r="M12" s="1069">
        <f t="shared" si="2"/>
        <v>0</v>
      </c>
      <c r="N12" s="1079">
        <f t="shared" si="3"/>
        <v>0</v>
      </c>
      <c r="O12" s="1076">
        <f t="shared" si="4"/>
        <v>0</v>
      </c>
      <c r="P12" s="914">
        <f t="shared" si="5"/>
        <v>0</v>
      </c>
    </row>
    <row r="13" spans="1:16" s="1065" customFormat="1" ht="24.95" hidden="1" customHeight="1">
      <c r="A13" s="1068">
        <v>9</v>
      </c>
      <c r="B13" s="1068" t="s">
        <v>4913</v>
      </c>
      <c r="C13" s="1082" t="s">
        <v>4932</v>
      </c>
      <c r="D13" s="1068" t="s">
        <v>9</v>
      </c>
      <c r="E13" s="1068"/>
      <c r="F13" s="1073">
        <v>154961</v>
      </c>
      <c r="G13" s="1073">
        <v>1223154</v>
      </c>
      <c r="H13" s="1073">
        <v>527045</v>
      </c>
      <c r="I13" s="1079">
        <v>0.45829999999999999</v>
      </c>
      <c r="J13" s="1076"/>
      <c r="K13" s="1069">
        <f t="shared" si="0"/>
        <v>0</v>
      </c>
      <c r="L13" s="1069">
        <f t="shared" si="1"/>
        <v>0</v>
      </c>
      <c r="M13" s="1069">
        <f t="shared" si="2"/>
        <v>0</v>
      </c>
      <c r="N13" s="1079">
        <f t="shared" si="3"/>
        <v>0</v>
      </c>
      <c r="O13" s="1076">
        <f t="shared" si="4"/>
        <v>0</v>
      </c>
      <c r="P13" s="914">
        <f t="shared" si="5"/>
        <v>0</v>
      </c>
    </row>
    <row r="14" spans="1:16" s="1065" customFormat="1" ht="24.95" hidden="1" customHeight="1">
      <c r="A14" s="1068">
        <v>10</v>
      </c>
      <c r="B14" s="1068" t="s">
        <v>4914</v>
      </c>
      <c r="C14" s="1082" t="s">
        <v>4933</v>
      </c>
      <c r="D14" s="1068" t="s">
        <v>9</v>
      </c>
      <c r="E14" s="1068"/>
      <c r="F14" s="1073">
        <v>194787</v>
      </c>
      <c r="G14" s="1073">
        <v>2711698</v>
      </c>
      <c r="H14" s="1073">
        <v>982330</v>
      </c>
      <c r="I14" s="1079">
        <v>0.85419999999999996</v>
      </c>
      <c r="J14" s="1076"/>
      <c r="K14" s="1069">
        <f t="shared" si="0"/>
        <v>0</v>
      </c>
      <c r="L14" s="1069">
        <f t="shared" si="1"/>
        <v>0</v>
      </c>
      <c r="M14" s="1069">
        <f t="shared" si="2"/>
        <v>0</v>
      </c>
      <c r="N14" s="1079">
        <f t="shared" si="3"/>
        <v>0</v>
      </c>
      <c r="O14" s="1076">
        <f t="shared" si="4"/>
        <v>0</v>
      </c>
      <c r="P14" s="914">
        <f t="shared" si="5"/>
        <v>0</v>
      </c>
    </row>
    <row r="15" spans="1:16" s="1065" customFormat="1" ht="24.95" hidden="1" customHeight="1">
      <c r="A15" s="1068">
        <v>11</v>
      </c>
      <c r="B15" s="1068" t="s">
        <v>4915</v>
      </c>
      <c r="C15" s="1082" t="s">
        <v>4934</v>
      </c>
      <c r="D15" s="1068" t="s">
        <v>9</v>
      </c>
      <c r="E15" s="1068"/>
      <c r="F15" s="1073">
        <v>239412</v>
      </c>
      <c r="G15" s="1073">
        <v>2025113</v>
      </c>
      <c r="H15" s="1073">
        <v>790625</v>
      </c>
      <c r="I15" s="1079">
        <v>0.6875</v>
      </c>
      <c r="J15" s="1076"/>
      <c r="K15" s="1069">
        <f t="shared" si="0"/>
        <v>0</v>
      </c>
      <c r="L15" s="1069">
        <f t="shared" si="1"/>
        <v>0</v>
      </c>
      <c r="M15" s="1069">
        <f t="shared" si="2"/>
        <v>0</v>
      </c>
      <c r="N15" s="1079">
        <f t="shared" si="3"/>
        <v>0</v>
      </c>
      <c r="O15" s="1076">
        <f t="shared" si="4"/>
        <v>0</v>
      </c>
      <c r="P15" s="914">
        <f t="shared" si="5"/>
        <v>0</v>
      </c>
    </row>
    <row r="16" spans="1:16" s="1065" customFormat="1" ht="24.95" hidden="1" customHeight="1">
      <c r="A16" s="1068">
        <v>12</v>
      </c>
      <c r="B16" s="1068" t="s">
        <v>4916</v>
      </c>
      <c r="C16" s="1082" t="s">
        <v>4935</v>
      </c>
      <c r="D16" s="1068" t="s">
        <v>9</v>
      </c>
      <c r="E16" s="1068"/>
      <c r="F16" s="1073">
        <v>245165</v>
      </c>
      <c r="G16" s="1073">
        <v>2232816</v>
      </c>
      <c r="H16" s="1073">
        <v>886420</v>
      </c>
      <c r="I16" s="1079">
        <v>0.77080000000000004</v>
      </c>
      <c r="J16" s="1076"/>
      <c r="K16" s="1069">
        <f t="shared" si="0"/>
        <v>0</v>
      </c>
      <c r="L16" s="1069">
        <f t="shared" si="1"/>
        <v>0</v>
      </c>
      <c r="M16" s="1069">
        <f t="shared" si="2"/>
        <v>0</v>
      </c>
      <c r="N16" s="1079">
        <f t="shared" si="3"/>
        <v>0</v>
      </c>
      <c r="O16" s="1076">
        <f t="shared" si="4"/>
        <v>0</v>
      </c>
      <c r="P16" s="914">
        <f t="shared" si="5"/>
        <v>0</v>
      </c>
    </row>
    <row r="17" spans="1:16" s="1065" customFormat="1" ht="24.95" hidden="1" customHeight="1">
      <c r="A17" s="1068">
        <v>13</v>
      </c>
      <c r="B17" s="1068" t="s">
        <v>4917</v>
      </c>
      <c r="C17" s="1082" t="s">
        <v>4936</v>
      </c>
      <c r="D17" s="1068" t="s">
        <v>9</v>
      </c>
      <c r="E17" s="1068"/>
      <c r="F17" s="1073">
        <v>286522</v>
      </c>
      <c r="G17" s="1073">
        <v>2440520</v>
      </c>
      <c r="H17" s="1073">
        <v>982330</v>
      </c>
      <c r="I17" s="1079">
        <v>0.85419999999999996</v>
      </c>
      <c r="J17" s="1076"/>
      <c r="K17" s="1069">
        <f t="shared" si="0"/>
        <v>0</v>
      </c>
      <c r="L17" s="1069">
        <f t="shared" si="1"/>
        <v>0</v>
      </c>
      <c r="M17" s="1069">
        <f t="shared" si="2"/>
        <v>0</v>
      </c>
      <c r="N17" s="1079">
        <f t="shared" si="3"/>
        <v>0</v>
      </c>
      <c r="O17" s="1076">
        <f t="shared" si="4"/>
        <v>0</v>
      </c>
      <c r="P17" s="914">
        <f t="shared" si="5"/>
        <v>0</v>
      </c>
    </row>
    <row r="18" spans="1:16" s="1065" customFormat="1" ht="24.95" hidden="1" customHeight="1">
      <c r="A18" s="1068">
        <v>14</v>
      </c>
      <c r="B18" s="1068" t="s">
        <v>4918</v>
      </c>
      <c r="C18" s="1082" t="s">
        <v>4937</v>
      </c>
      <c r="D18" s="1068" t="s">
        <v>9</v>
      </c>
      <c r="E18" s="1068"/>
      <c r="F18" s="1073">
        <v>161239</v>
      </c>
      <c r="G18" s="1073">
        <v>1557779</v>
      </c>
      <c r="H18" s="1073">
        <v>586960</v>
      </c>
      <c r="I18" s="1079">
        <v>0.51039999999999996</v>
      </c>
      <c r="J18" s="1076"/>
      <c r="K18" s="1069">
        <f t="shared" si="0"/>
        <v>0</v>
      </c>
      <c r="L18" s="1069">
        <f t="shared" si="1"/>
        <v>0</v>
      </c>
      <c r="M18" s="1069">
        <f t="shared" si="2"/>
        <v>0</v>
      </c>
      <c r="N18" s="1079">
        <f t="shared" si="3"/>
        <v>0</v>
      </c>
      <c r="O18" s="1076">
        <f t="shared" si="4"/>
        <v>0</v>
      </c>
      <c r="P18" s="914">
        <f t="shared" si="5"/>
        <v>0</v>
      </c>
    </row>
    <row r="19" spans="1:16" s="1065" customFormat="1" ht="24.95" hidden="1" customHeight="1">
      <c r="A19" s="1068">
        <v>15</v>
      </c>
      <c r="B19" s="1068" t="s">
        <v>4919</v>
      </c>
      <c r="C19" s="1082" t="s">
        <v>4938</v>
      </c>
      <c r="D19" s="1068" t="s">
        <v>400</v>
      </c>
      <c r="E19" s="1068"/>
      <c r="F19" s="1073">
        <v>232011</v>
      </c>
      <c r="G19" s="1073">
        <v>2475138</v>
      </c>
      <c r="H19" s="1073">
        <v>1148125</v>
      </c>
      <c r="I19" s="1079">
        <v>0.6875</v>
      </c>
      <c r="J19" s="1076">
        <v>0.25</v>
      </c>
      <c r="K19" s="1069">
        <f t="shared" si="0"/>
        <v>0</v>
      </c>
      <c r="L19" s="1069">
        <f t="shared" si="1"/>
        <v>0</v>
      </c>
      <c r="M19" s="1069">
        <f t="shared" si="2"/>
        <v>0</v>
      </c>
      <c r="N19" s="1079">
        <f t="shared" si="3"/>
        <v>0</v>
      </c>
      <c r="O19" s="1076">
        <f t="shared" si="4"/>
        <v>0</v>
      </c>
      <c r="P19" s="914">
        <f t="shared" si="5"/>
        <v>0</v>
      </c>
    </row>
    <row r="20" spans="1:16" s="1065" customFormat="1" ht="24.95" hidden="1" customHeight="1">
      <c r="A20" s="1068">
        <v>16</v>
      </c>
      <c r="B20" s="1068" t="s">
        <v>4920</v>
      </c>
      <c r="C20" s="1082" t="s">
        <v>4939</v>
      </c>
      <c r="D20" s="1068" t="s">
        <v>400</v>
      </c>
      <c r="E20" s="1068"/>
      <c r="F20" s="1073">
        <v>327349</v>
      </c>
      <c r="G20" s="1073">
        <v>3141535</v>
      </c>
      <c r="H20" s="1073">
        <v>1411705</v>
      </c>
      <c r="I20" s="1079">
        <v>0.91669999999999996</v>
      </c>
      <c r="J20" s="1076">
        <v>0.25</v>
      </c>
      <c r="K20" s="1069">
        <f t="shared" si="0"/>
        <v>0</v>
      </c>
      <c r="L20" s="1069">
        <f t="shared" si="1"/>
        <v>0</v>
      </c>
      <c r="M20" s="1069">
        <f t="shared" si="2"/>
        <v>0</v>
      </c>
      <c r="N20" s="1079">
        <f t="shared" si="3"/>
        <v>0</v>
      </c>
      <c r="O20" s="1076">
        <f t="shared" si="4"/>
        <v>0</v>
      </c>
      <c r="P20" s="914">
        <f t="shared" si="5"/>
        <v>0</v>
      </c>
    </row>
    <row r="21" spans="1:16" s="1065" customFormat="1" ht="24.95" hidden="1" customHeight="1">
      <c r="A21" s="1068">
        <v>17</v>
      </c>
      <c r="B21" s="1068" t="s">
        <v>4921</v>
      </c>
      <c r="C21" s="1082" t="s">
        <v>4940</v>
      </c>
      <c r="D21" s="1068" t="s">
        <v>400</v>
      </c>
      <c r="E21" s="1068"/>
      <c r="F21" s="1073">
        <v>248404</v>
      </c>
      <c r="G21" s="1073">
        <v>3014586</v>
      </c>
      <c r="H21" s="1073">
        <v>1322046</v>
      </c>
      <c r="I21" s="1079">
        <v>0.86460000000000004</v>
      </c>
      <c r="J21" s="1076">
        <v>0.22919999999999999</v>
      </c>
      <c r="K21" s="1069">
        <f t="shared" si="0"/>
        <v>0</v>
      </c>
      <c r="L21" s="1069">
        <f t="shared" si="1"/>
        <v>0</v>
      </c>
      <c r="M21" s="1069">
        <f t="shared" si="2"/>
        <v>0</v>
      </c>
      <c r="N21" s="1079">
        <f t="shared" si="3"/>
        <v>0</v>
      </c>
      <c r="O21" s="1076">
        <f t="shared" si="4"/>
        <v>0</v>
      </c>
      <c r="P21" s="914">
        <f t="shared" si="5"/>
        <v>0</v>
      </c>
    </row>
    <row r="22" spans="1:16" s="1065" customFormat="1" ht="24.95" hidden="1" customHeight="1">
      <c r="A22" s="1068">
        <v>18</v>
      </c>
      <c r="B22" s="1068" t="s">
        <v>4922</v>
      </c>
      <c r="C22" s="1082" t="s">
        <v>4941</v>
      </c>
      <c r="D22" s="1068" t="s">
        <v>400</v>
      </c>
      <c r="E22" s="1068"/>
      <c r="F22" s="1073">
        <v>395239</v>
      </c>
      <c r="G22" s="1073">
        <v>3712720</v>
      </c>
      <c r="H22" s="1073">
        <v>1585626</v>
      </c>
      <c r="I22" s="1079">
        <v>1.0938000000000001</v>
      </c>
      <c r="J22" s="1076">
        <v>0.22919999999999999</v>
      </c>
      <c r="K22" s="1069">
        <f t="shared" si="0"/>
        <v>0</v>
      </c>
      <c r="L22" s="1069">
        <f t="shared" si="1"/>
        <v>0</v>
      </c>
      <c r="M22" s="1069">
        <f t="shared" si="2"/>
        <v>0</v>
      </c>
      <c r="N22" s="1079">
        <f t="shared" si="3"/>
        <v>0</v>
      </c>
      <c r="O22" s="1076">
        <f t="shared" si="4"/>
        <v>0</v>
      </c>
      <c r="P22" s="914">
        <f t="shared" si="5"/>
        <v>0</v>
      </c>
    </row>
    <row r="23" spans="1:16" s="1065" customFormat="1" ht="24.95" hidden="1" customHeight="1">
      <c r="A23" s="1070">
        <v>19</v>
      </c>
      <c r="B23" s="1070" t="s">
        <v>4923</v>
      </c>
      <c r="C23" s="1083" t="s">
        <v>4942</v>
      </c>
      <c r="D23" s="1070" t="s">
        <v>1348</v>
      </c>
      <c r="E23" s="1070"/>
      <c r="F23" s="1074">
        <v>123873</v>
      </c>
      <c r="G23" s="1074">
        <v>553877</v>
      </c>
      <c r="H23" s="1074">
        <v>215625</v>
      </c>
      <c r="I23" s="1080">
        <v>0.1875</v>
      </c>
      <c r="J23" s="1077"/>
      <c r="K23" s="1071">
        <f t="shared" si="0"/>
        <v>0</v>
      </c>
      <c r="L23" s="1071">
        <f t="shared" si="1"/>
        <v>0</v>
      </c>
      <c r="M23" s="1071">
        <f t="shared" si="2"/>
        <v>0</v>
      </c>
      <c r="N23" s="1080">
        <f t="shared" si="3"/>
        <v>0</v>
      </c>
      <c r="O23" s="1077">
        <f t="shared" si="4"/>
        <v>0</v>
      </c>
      <c r="P23" s="914">
        <f t="shared" si="5"/>
        <v>0</v>
      </c>
    </row>
    <row r="24" spans="1:16" ht="24.95" customHeight="1">
      <c r="A24" s="1099" t="s">
        <v>2719</v>
      </c>
      <c r="B24" s="322"/>
      <c r="C24" s="1100"/>
      <c r="D24" s="322"/>
      <c r="E24" s="322"/>
      <c r="F24" s="1100"/>
      <c r="G24" s="1100"/>
      <c r="H24" s="1100"/>
      <c r="I24" s="1100"/>
      <c r="J24" s="1100"/>
      <c r="K24" s="1101">
        <f>SUM(K5:K23)</f>
        <v>0</v>
      </c>
      <c r="L24" s="1101">
        <f t="shared" ref="L24:O24" si="6">SUM(L5:L23)</f>
        <v>0</v>
      </c>
      <c r="M24" s="1101">
        <f t="shared" si="6"/>
        <v>0</v>
      </c>
      <c r="N24" s="1102">
        <f t="shared" si="6"/>
        <v>0</v>
      </c>
      <c r="O24" s="1102">
        <f t="shared" si="6"/>
        <v>0</v>
      </c>
      <c r="P24" s="374">
        <f t="shared" si="5"/>
        <v>0</v>
      </c>
    </row>
    <row r="25" spans="1:16" ht="39" customHeight="1"/>
    <row r="26" spans="1:16" ht="24.95" customHeight="1">
      <c r="A26" s="71" t="s">
        <v>4954</v>
      </c>
      <c r="B26" s="71"/>
      <c r="C26" s="71"/>
      <c r="D26" s="71"/>
      <c r="E26" s="71"/>
      <c r="F26" s="71"/>
      <c r="G26" s="71"/>
      <c r="H26" s="71"/>
      <c r="I26" s="71"/>
      <c r="J26" s="71"/>
      <c r="K26" s="71"/>
      <c r="L26" s="71"/>
      <c r="M26" s="71"/>
    </row>
    <row r="27" spans="1:16" ht="24.95" customHeight="1">
      <c r="A27" s="1383" t="s">
        <v>2614</v>
      </c>
      <c r="B27" s="1383"/>
      <c r="C27" s="1388" t="s">
        <v>4944</v>
      </c>
      <c r="D27" s="1388"/>
      <c r="E27" s="1388"/>
      <c r="F27" s="1388"/>
      <c r="G27" s="1388"/>
      <c r="H27" s="1388"/>
      <c r="I27" s="1388"/>
      <c r="J27" s="1388"/>
      <c r="K27" s="1388"/>
      <c r="L27" s="1388"/>
      <c r="M27" s="1388"/>
      <c r="N27" s="1383" t="s">
        <v>2853</v>
      </c>
      <c r="O27" s="1383"/>
    </row>
    <row r="28" spans="1:16" ht="24.95" customHeight="1">
      <c r="A28" s="1385">
        <v>1</v>
      </c>
      <c r="B28" s="1385"/>
      <c r="C28" s="1389" t="s">
        <v>4946</v>
      </c>
      <c r="D28" s="1389"/>
      <c r="E28" s="1389"/>
      <c r="F28" s="1389"/>
      <c r="G28" s="1389"/>
      <c r="H28" s="1389"/>
      <c r="I28" s="1389"/>
      <c r="J28" s="1389"/>
      <c r="K28" s="1389"/>
      <c r="L28" s="1389"/>
      <c r="M28" s="1389"/>
      <c r="N28" s="1385"/>
      <c r="O28" s="1385"/>
    </row>
    <row r="29" spans="1:16" ht="24.95" customHeight="1">
      <c r="A29" s="1387"/>
      <c r="B29" s="1387"/>
      <c r="C29" s="1386" t="str">
        <f>"BTNL (xe gàu) = "&amp;$N$24&amp;" ca x 32 lít D.O/ca x ("&amp;SETTING!$F$62&amp;" - 4300)đ/lít (giá D.O hiện tại trừ giá D.O thời điểm 2003)"</f>
        <v>BTNL (xe gàu) = 0 ca x 32 lít D.O/ca x (15808 - 4300)đ/lít (giá D.O hiện tại trừ giá D.O thời điểm 2003)</v>
      </c>
      <c r="D29" s="1386"/>
      <c r="E29" s="1386"/>
      <c r="F29" s="1386"/>
      <c r="G29" s="1386"/>
      <c r="H29" s="1386"/>
      <c r="I29" s="1386"/>
      <c r="J29" s="1386"/>
      <c r="K29" s="1386"/>
      <c r="L29" s="1386"/>
      <c r="M29" s="1386"/>
      <c r="N29" s="1384">
        <f>ROUND($N$24*(SETTING!$F$62-4300)*32,0)</f>
        <v>0</v>
      </c>
      <c r="O29" s="1384"/>
    </row>
    <row r="30" spans="1:16" ht="24.95" customHeight="1">
      <c r="A30" s="1103">
        <v>2</v>
      </c>
      <c r="B30" s="1103"/>
      <c r="C30" s="1389" t="s">
        <v>4951</v>
      </c>
      <c r="D30" s="1389"/>
      <c r="E30" s="1389"/>
      <c r="F30" s="1389"/>
      <c r="G30" s="1389"/>
      <c r="H30" s="1389"/>
      <c r="I30" s="1389"/>
      <c r="J30" s="1389"/>
      <c r="K30" s="1389"/>
      <c r="L30" s="1389"/>
      <c r="M30" s="1389"/>
      <c r="N30" s="1385"/>
      <c r="O30" s="1385"/>
    </row>
    <row r="31" spans="1:16" ht="24.95" customHeight="1">
      <c r="A31" s="1387"/>
      <c r="B31" s="1387"/>
      <c r="C31" s="1386" t="str">
        <f>"BTNL (xe cẩu) = "&amp;$O$24&amp;" ca x 64 lít D.O/ca x ("&amp;SETTING!$F$62&amp;" - 4300)đ/lít (giá D.O hiện tại trừ giá D.O thời điểm 2003)"</f>
        <v>BTNL (xe cẩu) = 0 ca x 64 lít D.O/ca x (15808 - 4300)đ/lít (giá D.O hiện tại trừ giá D.O thời điểm 2003)</v>
      </c>
      <c r="D31" s="1386"/>
      <c r="E31" s="1386"/>
      <c r="F31" s="1386"/>
      <c r="G31" s="1386"/>
      <c r="H31" s="1386"/>
      <c r="I31" s="1386"/>
      <c r="J31" s="1386"/>
      <c r="K31" s="1386"/>
      <c r="L31" s="1386"/>
      <c r="M31" s="1386"/>
      <c r="N31" s="1384">
        <f>ROUND($O$24*(SETTING!$F$62-4300)*32,0)</f>
        <v>0</v>
      </c>
      <c r="O31" s="1384"/>
    </row>
    <row r="32" spans="1:16" ht="24.95" customHeight="1">
      <c r="A32" s="1391" t="s">
        <v>2623</v>
      </c>
      <c r="B32" s="1391"/>
      <c r="C32" s="1390" t="s">
        <v>4945</v>
      </c>
      <c r="D32" s="1390"/>
      <c r="E32" s="1390"/>
      <c r="F32" s="1390"/>
      <c r="G32" s="1390"/>
      <c r="H32" s="1390"/>
      <c r="I32" s="1390"/>
      <c r="J32" s="1390"/>
      <c r="K32" s="1390"/>
      <c r="L32" s="1390"/>
      <c r="M32" s="1390"/>
      <c r="N32" s="1391" t="s">
        <v>2853</v>
      </c>
      <c r="O32" s="1391"/>
    </row>
    <row r="33" spans="1:15" ht="24.95" customHeight="1">
      <c r="A33" s="1385">
        <v>1</v>
      </c>
      <c r="B33" s="1385"/>
      <c r="C33" s="1389" t="s">
        <v>4952</v>
      </c>
      <c r="D33" s="1389"/>
      <c r="E33" s="1389"/>
      <c r="F33" s="1389"/>
      <c r="G33" s="1389"/>
      <c r="H33" s="1389"/>
      <c r="I33" s="1389"/>
      <c r="J33" s="1389"/>
      <c r="K33" s="1389"/>
      <c r="L33" s="1389"/>
      <c r="M33" s="1389"/>
      <c r="N33" s="1385"/>
      <c r="O33" s="1385"/>
    </row>
    <row r="34" spans="1:15" ht="24.95" customHeight="1">
      <c r="A34" s="1387"/>
      <c r="B34" s="1387"/>
      <c r="C34" s="1386" t="str">
        <f>"CPHĐ (xe gàu) = 7 tấn x 1 xe x 498đ x 2 lượt (đi, về) x 15km (cự ly công tác)"</f>
        <v>CPHĐ (xe gàu) = 7 tấn x 1 xe x 498đ x 2 lượt (đi, về) x 15km (cự ly công tác)</v>
      </c>
      <c r="D34" s="1386"/>
      <c r="E34" s="1386"/>
      <c r="F34" s="1386"/>
      <c r="G34" s="1386"/>
      <c r="H34" s="1386"/>
      <c r="I34" s="1386"/>
      <c r="J34" s="1386"/>
      <c r="K34" s="1386"/>
      <c r="L34" s="1386"/>
      <c r="M34" s="1386"/>
      <c r="N34" s="1384">
        <f>7*498*2*15*0</f>
        <v>0</v>
      </c>
      <c r="O34" s="1384"/>
    </row>
    <row r="35" spans="1:15" ht="24.95" customHeight="1">
      <c r="A35" s="1385">
        <v>2</v>
      </c>
      <c r="B35" s="1385"/>
      <c r="C35" s="1389" t="s">
        <v>4953</v>
      </c>
      <c r="D35" s="1389"/>
      <c r="E35" s="1389"/>
      <c r="F35" s="1389"/>
      <c r="G35" s="1389"/>
      <c r="H35" s="1389"/>
      <c r="I35" s="1389"/>
      <c r="J35" s="1389"/>
      <c r="K35" s="1389"/>
      <c r="L35" s="1389"/>
      <c r="M35" s="1389"/>
      <c r="N35" s="1385"/>
      <c r="O35" s="1385"/>
    </row>
    <row r="36" spans="1:15" ht="24.95" customHeight="1">
      <c r="A36" s="1392"/>
      <c r="B36" s="1392"/>
      <c r="C36" s="1397" t="str">
        <f>"CPHĐ (xe cẩu) = 11 tấn x 1 xe x 498đ x 2 lượt (đi, về) x 15km (cự ly công tác)"</f>
        <v>CPHĐ (xe cẩu) = 11 tấn x 1 xe x 498đ x 2 lượt (đi, về) x 15km (cự ly công tác)</v>
      </c>
      <c r="D36" s="1397"/>
      <c r="E36" s="1397"/>
      <c r="F36" s="1397"/>
      <c r="G36" s="1397"/>
      <c r="H36" s="1397"/>
      <c r="I36" s="1397"/>
      <c r="J36" s="1397"/>
      <c r="K36" s="1397"/>
      <c r="L36" s="1397"/>
      <c r="M36" s="1397"/>
      <c r="N36" s="1396">
        <f>11*498*2*15*0</f>
        <v>0</v>
      </c>
      <c r="O36" s="1396"/>
    </row>
    <row r="37" spans="1:15" ht="24.95" customHeight="1">
      <c r="A37" s="1398" t="s">
        <v>2719</v>
      </c>
      <c r="B37" s="1398"/>
      <c r="C37" s="1398"/>
      <c r="D37" s="1398"/>
      <c r="E37" s="1398"/>
      <c r="F37" s="1398"/>
      <c r="G37" s="1398"/>
      <c r="H37" s="1398"/>
      <c r="I37" s="1398"/>
      <c r="J37" s="1398"/>
      <c r="K37" s="1398"/>
      <c r="L37" s="1398"/>
      <c r="M37" s="1398"/>
      <c r="N37" s="1393"/>
      <c r="O37" s="1393"/>
    </row>
  </sheetData>
  <autoFilter ref="P4:P24">
    <filterColumn colId="0">
      <customFilters>
        <customFilter operator="notEqual" val=" "/>
      </customFilters>
    </filterColumn>
  </autoFilter>
  <mergeCells count="35">
    <mergeCell ref="A36:B36"/>
    <mergeCell ref="N37:O37"/>
    <mergeCell ref="A1:M1"/>
    <mergeCell ref="A3:A4"/>
    <mergeCell ref="B3:B4"/>
    <mergeCell ref="C3:C4"/>
    <mergeCell ref="N31:O31"/>
    <mergeCell ref="N32:O32"/>
    <mergeCell ref="N34:O34"/>
    <mergeCell ref="N36:O36"/>
    <mergeCell ref="N33:O33"/>
    <mergeCell ref="N35:O35"/>
    <mergeCell ref="C36:M36"/>
    <mergeCell ref="A37:M37"/>
    <mergeCell ref="A28:B28"/>
    <mergeCell ref="A29:B29"/>
    <mergeCell ref="C32:M32"/>
    <mergeCell ref="C33:M33"/>
    <mergeCell ref="C34:M34"/>
    <mergeCell ref="C35:M35"/>
    <mergeCell ref="A33:B33"/>
    <mergeCell ref="A34:B34"/>
    <mergeCell ref="A32:B32"/>
    <mergeCell ref="A35:B35"/>
    <mergeCell ref="A27:B27"/>
    <mergeCell ref="N29:O29"/>
    <mergeCell ref="N28:O28"/>
    <mergeCell ref="N27:O27"/>
    <mergeCell ref="C31:M31"/>
    <mergeCell ref="A31:B31"/>
    <mergeCell ref="N30:O30"/>
    <mergeCell ref="C27:M27"/>
    <mergeCell ref="C29:M29"/>
    <mergeCell ref="C30:M30"/>
    <mergeCell ref="C28:M28"/>
  </mergeCells>
  <printOptions horizontalCentered="1"/>
  <pageMargins left="0.78740157480314965" right="0.59055118110236227" top="0.78740157480314965" bottom="0.78740157480314965" header="0.31496062992125984" footer="0.31496062992125984"/>
  <pageSetup paperSize="9" scale="75" fitToHeight="0"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pageSetUpPr fitToPage="1"/>
  </sheetPr>
  <dimension ref="A1:C11"/>
  <sheetViews>
    <sheetView showGridLines="0" view="pageBreakPreview" zoomScale="130" zoomScaleNormal="100" zoomScaleSheetLayoutView="130" workbookViewId="0">
      <selection activeCell="A17" sqref="A17"/>
    </sheetView>
  </sheetViews>
  <sheetFormatPr defaultColWidth="9.140625" defaultRowHeight="20.100000000000001" customHeight="1"/>
  <cols>
    <col min="1" max="1" width="85.5703125" style="371" customWidth="1"/>
    <col min="2" max="2" width="9.140625" style="371"/>
    <col min="3" max="3" width="15.5703125" style="371" customWidth="1"/>
    <col min="4" max="16384" width="9.140625" style="371"/>
  </cols>
  <sheetData>
    <row r="1" spans="1:3" ht="20.100000000000001" customHeight="1">
      <c r="A1" s="71" t="e">
        <f ca="1">SETTING!$O$20</f>
        <v>#REF!</v>
      </c>
      <c r="B1" s="71"/>
      <c r="C1" s="71"/>
    </row>
    <row r="2" spans="1:3" ht="20.100000000000001" customHeight="1">
      <c r="A2" s="374"/>
      <c r="B2" s="374"/>
      <c r="C2" s="374"/>
    </row>
    <row r="3" spans="1:3" ht="20.100000000000001" customHeight="1">
      <c r="A3" s="380" t="s">
        <v>2626</v>
      </c>
      <c r="C3" s="374"/>
    </row>
    <row r="4" spans="1:3" ht="20.100000000000001" customHeight="1">
      <c r="A4" s="112" t="e">
        <f ca="1">"= "&amp;HSTVTK&amp;" % x (Gxd + Gtb) trước thuế x 1,1 x 1,2"</f>
        <v>#REF!</v>
      </c>
      <c r="B4" s="371" t="s">
        <v>2627</v>
      </c>
      <c r="C4" s="374"/>
    </row>
    <row r="5" spans="1:3" ht="20.100000000000001" customHeight="1">
      <c r="A5" s="373" t="e">
        <f ca="1">"= "&amp;HSTVTK&amp;"% x "&amp;TEXT(ROUND((th_gxdtt + th_gtbtt),0),"#,###")&amp;" đ x 1,1 x 1,2"</f>
        <v>#REF!</v>
      </c>
      <c r="B5" s="371" t="s">
        <v>2627</v>
      </c>
      <c r="C5" s="164" t="e">
        <f ca="1">HSTVTK%*ROUND((th_gxdtt+th_gtbtt),0)*1.1*1.2</f>
        <v>#REF!</v>
      </c>
    </row>
    <row r="6" spans="1:3" ht="20.100000000000001" customHeight="1">
      <c r="A6" s="373" t="s">
        <v>2628</v>
      </c>
      <c r="C6" s="374"/>
    </row>
    <row r="7" spans="1:3" ht="20.100000000000001" customHeight="1">
      <c r="A7" s="373" t="e">
        <f ca="1">"  + "&amp;HSTVTK&amp;"% là hệ số nội suy theo QĐ 79/QĐ - BXD"</f>
        <v>#REF!</v>
      </c>
      <c r="C7" s="374"/>
    </row>
    <row r="8" spans="1:3" ht="20.100000000000001" customHeight="1">
      <c r="A8" s="124" t="e">
        <f ca="1">"  + Vốn XD+TB trước thuế tạm tính   =  "&amp;TEXT(ROUND((th_gtbtt+th_gxdtt),0),"#,###")&amp;" VNĐ"</f>
        <v>#REF!</v>
      </c>
      <c r="C8" s="374"/>
    </row>
    <row r="9" spans="1:3" ht="20.100000000000001" customHeight="1">
      <c r="A9" s="373" t="s">
        <v>2827</v>
      </c>
      <c r="C9" s="374"/>
    </row>
    <row r="10" spans="1:3" ht="20.100000000000001" customHeight="1">
      <c r="A10" s="373" t="s">
        <v>2828</v>
      </c>
      <c r="C10" s="374"/>
    </row>
    <row r="11" spans="1:3" ht="20.100000000000001" customHeight="1">
      <c r="A11" s="373" t="s">
        <v>4943</v>
      </c>
      <c r="C11" s="374"/>
    </row>
  </sheetData>
  <printOptions horizontalCentered="1"/>
  <pageMargins left="0.78740157480314998" right="0.59055118110236204" top="0.59055118110236204" bottom="0.59055118110236204" header="0.31496062992126" footer="0.31496062992126"/>
  <pageSetup paperSize="9" scale="80" fitToHeight="0" orientation="portrait"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filterMode="1">
    <tabColor theme="9" tint="-0.249977111117893"/>
    <pageSetUpPr fitToPage="1"/>
  </sheetPr>
  <dimension ref="A1:R190"/>
  <sheetViews>
    <sheetView showGridLines="0" showZeros="0" view="pageBreakPreview" topLeftCell="B1" zoomScale="70" zoomScaleNormal="95" zoomScaleSheetLayoutView="70" workbookViewId="0">
      <selection activeCell="E74" sqref="E74:G106"/>
    </sheetView>
  </sheetViews>
  <sheetFormatPr defaultColWidth="9.140625" defaultRowHeight="24.95" customHeight="1"/>
  <cols>
    <col min="1" max="1" width="12" style="180" bestFit="1" customWidth="1"/>
    <col min="2" max="2" width="19.85546875" style="180" bestFit="1" customWidth="1"/>
    <col min="3" max="3" width="7.42578125" style="180" customWidth="1"/>
    <col min="4" max="4" width="13.85546875" style="180" customWidth="1"/>
    <col min="5" max="5" width="45.28515625" style="180" customWidth="1"/>
    <col min="6" max="6" width="8.140625" style="180" customWidth="1"/>
    <col min="7" max="7" width="10.7109375" style="180" customWidth="1"/>
    <col min="8" max="8" width="8.42578125" style="180" customWidth="1"/>
    <col min="9" max="9" width="9.42578125" style="180" customWidth="1"/>
    <col min="10" max="11" width="8.42578125" style="180" customWidth="1"/>
    <col min="12" max="12" width="9.7109375" style="180" customWidth="1"/>
    <col min="13" max="13" width="9.42578125" style="180" customWidth="1"/>
    <col min="14" max="14" width="8.42578125" style="180" customWidth="1"/>
    <col min="15" max="15" width="14.42578125" style="180" customWidth="1"/>
    <col min="16" max="16" width="14.5703125" style="180" customWidth="1"/>
    <col min="17" max="17" width="14.85546875" style="180" customWidth="1"/>
    <col min="18" max="18" width="5" style="1249" customWidth="1"/>
    <col min="19" max="16384" width="9.140625" style="180"/>
  </cols>
  <sheetData>
    <row r="1" spans="1:18" ht="26.25">
      <c r="B1" s="361"/>
      <c r="C1" s="1137" t="str">
        <f ca="1">R_SETTING!$E$20</f>
        <v>BẢNG 4: CHI PHÍ NHÂN CÔNG, MÁY THI CÔNG THÁO LẮP</v>
      </c>
      <c r="D1" s="454"/>
      <c r="E1" s="454"/>
      <c r="F1" s="454"/>
      <c r="G1" s="454"/>
      <c r="H1" s="454"/>
      <c r="I1" s="455"/>
      <c r="J1" s="456"/>
      <c r="K1" s="454"/>
      <c r="L1" s="454"/>
      <c r="M1" s="455"/>
      <c r="N1" s="456"/>
      <c r="O1" s="454"/>
      <c r="P1" s="454"/>
      <c r="Q1" s="454"/>
      <c r="R1" s="1116"/>
    </row>
    <row r="2" spans="1:18" ht="15.75" customHeight="1">
      <c r="B2" s="361"/>
      <c r="C2" s="209"/>
      <c r="D2" s="209"/>
      <c r="E2" s="209"/>
      <c r="F2" s="209"/>
      <c r="G2" s="209"/>
      <c r="H2" s="209"/>
      <c r="I2" s="209"/>
      <c r="J2" s="209"/>
      <c r="K2" s="209"/>
      <c r="L2" s="209"/>
      <c r="M2" s="209"/>
      <c r="N2" s="209"/>
      <c r="O2" s="209"/>
      <c r="P2" s="209"/>
      <c r="Q2" s="209"/>
      <c r="R2" s="1117"/>
    </row>
    <row r="3" spans="1:18" s="371" customFormat="1" ht="26.25" hidden="1">
      <c r="B3" s="361"/>
      <c r="C3" s="361"/>
      <c r="D3" s="381"/>
      <c r="E3" s="381"/>
      <c r="F3" s="381"/>
      <c r="G3" s="381"/>
      <c r="H3" s="381"/>
      <c r="I3" s="381"/>
      <c r="J3" s="381"/>
      <c r="K3" s="381"/>
      <c r="L3" s="381"/>
      <c r="M3" s="381"/>
      <c r="N3" s="381"/>
      <c r="O3" s="381"/>
      <c r="P3" s="381"/>
      <c r="Q3" s="381"/>
      <c r="R3" s="1118"/>
    </row>
    <row r="4" spans="1:18" ht="63">
      <c r="B4" s="361" t="s">
        <v>2808</v>
      </c>
      <c r="C4" s="791" t="s">
        <v>2347</v>
      </c>
      <c r="D4" s="791" t="s">
        <v>2446</v>
      </c>
      <c r="E4" s="791" t="s">
        <v>2728</v>
      </c>
      <c r="F4" s="444" t="s">
        <v>2352</v>
      </c>
      <c r="G4" s="444" t="s">
        <v>2694</v>
      </c>
      <c r="H4" s="444" t="s">
        <v>2729</v>
      </c>
      <c r="I4" s="444" t="s">
        <v>2730</v>
      </c>
      <c r="J4" s="444" t="s">
        <v>2731</v>
      </c>
      <c r="K4" s="444" t="s">
        <v>2732</v>
      </c>
      <c r="L4" s="444" t="s">
        <v>2733</v>
      </c>
      <c r="M4" s="444" t="s">
        <v>2734</v>
      </c>
      <c r="N4" s="444" t="s">
        <v>2735</v>
      </c>
      <c r="O4" s="444" t="s">
        <v>2736</v>
      </c>
      <c r="P4" s="444" t="s">
        <v>2737</v>
      </c>
      <c r="Q4" s="444" t="s">
        <v>2348</v>
      </c>
      <c r="R4" s="1119">
        <v>1</v>
      </c>
    </row>
    <row r="5" spans="1:18" ht="26.25">
      <c r="A5" s="209" t="s">
        <v>2922</v>
      </c>
      <c r="C5" s="1231" t="s">
        <v>2361</v>
      </c>
      <c r="D5" s="1232" t="s">
        <v>2788</v>
      </c>
      <c r="E5" s="1233"/>
      <c r="F5" s="1234"/>
      <c r="G5" s="1235"/>
      <c r="H5" s="1236"/>
      <c r="I5" s="1237"/>
      <c r="J5" s="1238"/>
      <c r="K5" s="1239"/>
      <c r="L5" s="1236"/>
      <c r="M5" s="1237"/>
      <c r="N5" s="1238"/>
      <c r="O5" s="1240"/>
      <c r="P5" s="1240"/>
      <c r="Q5" s="1240"/>
      <c r="R5" s="1120">
        <v>1</v>
      </c>
    </row>
    <row r="6" spans="1:18" ht="26.25">
      <c r="B6" s="361" t="s">
        <v>3913</v>
      </c>
      <c r="C6" s="472">
        <f>IF(G6=0,"",COUNTIF($G$6:$G6,"&gt;0"))</f>
        <v>1</v>
      </c>
      <c r="D6" s="1241" t="s">
        <v>3457</v>
      </c>
      <c r="E6" s="517" t="s">
        <v>2964</v>
      </c>
      <c r="F6" s="475" t="s">
        <v>9</v>
      </c>
      <c r="G6" s="476">
        <v>45</v>
      </c>
      <c r="H6" s="477" t="s">
        <v>3403</v>
      </c>
      <c r="I6" s="478">
        <v>0.40679999999999999</v>
      </c>
      <c r="J6" s="479">
        <v>0.55000000000000004</v>
      </c>
      <c r="K6" s="492">
        <f t="shared" ref="K6:K69" si="0">G6</f>
        <v>45</v>
      </c>
      <c r="L6" s="477" t="s">
        <v>3403</v>
      </c>
      <c r="M6" s="478">
        <f>I6</f>
        <v>0.40679999999999999</v>
      </c>
      <c r="N6" s="479">
        <v>0.55000000000000004</v>
      </c>
      <c r="O6" s="481">
        <f t="shared" ref="O6:O69" si="1">VLOOKUP(H6,TIENLUONG,4)*I6*J6</f>
        <v>57739.686840000002</v>
      </c>
      <c r="P6" s="481">
        <f t="shared" ref="P6:P69" si="2">VLOOKUP(L6,TIENLUONG,4)*M6*N6</f>
        <v>57739.686840000002</v>
      </c>
      <c r="Q6" s="481">
        <f>G6*O6+K6*P6</f>
        <v>5196571.8156000003</v>
      </c>
      <c r="R6" s="1121">
        <f t="shared" ref="R6:R69" si="3">IF(G6&lt;&gt;0,1,0)</f>
        <v>1</v>
      </c>
    </row>
    <row r="7" spans="1:18" ht="26.25">
      <c r="B7" s="361" t="s">
        <v>3914</v>
      </c>
      <c r="C7" s="472">
        <f>IF(G7=0,"",COUNTIF($G$6:$G7,"&gt;0"))</f>
        <v>2</v>
      </c>
      <c r="D7" s="1241" t="s">
        <v>3458</v>
      </c>
      <c r="E7" s="517" t="s">
        <v>3489</v>
      </c>
      <c r="F7" s="475" t="s">
        <v>9</v>
      </c>
      <c r="G7" s="476">
        <f>23*3</f>
        <v>69</v>
      </c>
      <c r="H7" s="477" t="s">
        <v>3403</v>
      </c>
      <c r="I7" s="478">
        <v>0.108</v>
      </c>
      <c r="J7" s="479">
        <v>0.55000000000000004</v>
      </c>
      <c r="K7" s="492">
        <f t="shared" si="0"/>
        <v>69</v>
      </c>
      <c r="L7" s="477" t="s">
        <v>3403</v>
      </c>
      <c r="M7" s="478">
        <f t="shared" ref="M7:M70" si="4">I7</f>
        <v>0.108</v>
      </c>
      <c r="N7" s="479">
        <v>0.55000000000000004</v>
      </c>
      <c r="O7" s="481">
        <f t="shared" si="1"/>
        <v>15329.120400000002</v>
      </c>
      <c r="P7" s="481">
        <f t="shared" si="2"/>
        <v>15329.120400000002</v>
      </c>
      <c r="Q7" s="481">
        <f t="shared" ref="Q7:Q96" si="5">G7*O7+K7*P7</f>
        <v>2115418.6152000003</v>
      </c>
      <c r="R7" s="1120">
        <f t="shared" si="3"/>
        <v>1</v>
      </c>
    </row>
    <row r="8" spans="1:18" s="371" customFormat="1" ht="15.75" hidden="1">
      <c r="B8" s="361" t="s">
        <v>3915</v>
      </c>
      <c r="C8" s="472" t="str">
        <f ca="1">IF(G8=0,"",COUNTIF($G$6:$G8,"&gt;0"))</f>
        <v/>
      </c>
      <c r="D8" s="483" t="s">
        <v>3490</v>
      </c>
      <c r="E8" s="474" t="s">
        <v>3491</v>
      </c>
      <c r="F8" s="475" t="s">
        <v>37</v>
      </c>
      <c r="G8" s="476">
        <f t="shared" ref="G8:G95" ca="1" si="6">SUMIF(maBK,B8,tongBK1)</f>
        <v>0</v>
      </c>
      <c r="H8" s="477" t="s">
        <v>3404</v>
      </c>
      <c r="I8" s="478">
        <v>0.32400000000000001</v>
      </c>
      <c r="J8" s="479">
        <v>0.45</v>
      </c>
      <c r="K8" s="492">
        <f t="shared" ca="1" si="0"/>
        <v>0</v>
      </c>
      <c r="L8" s="477" t="s">
        <v>3404</v>
      </c>
      <c r="M8" s="478">
        <f t="shared" si="4"/>
        <v>0.32400000000000001</v>
      </c>
      <c r="N8" s="479">
        <v>0.55000000000000004</v>
      </c>
      <c r="O8" s="481">
        <f t="shared" si="1"/>
        <v>37626.022800000006</v>
      </c>
      <c r="P8" s="481">
        <f t="shared" si="2"/>
        <v>45987.361200000007</v>
      </c>
      <c r="Q8" s="481">
        <f t="shared" ca="1" si="5"/>
        <v>0</v>
      </c>
      <c r="R8" s="471">
        <f t="shared" ca="1" si="3"/>
        <v>0</v>
      </c>
    </row>
    <row r="9" spans="1:18" s="371" customFormat="1" ht="26.25" hidden="1">
      <c r="B9" s="361" t="s">
        <v>3916</v>
      </c>
      <c r="C9" s="472" t="str">
        <f ca="1">IF(G9=0,"",COUNTIF($G$6:$G9,"&gt;0"))</f>
        <v/>
      </c>
      <c r="D9" s="483" t="s">
        <v>3459</v>
      </c>
      <c r="E9" s="474" t="s">
        <v>2962</v>
      </c>
      <c r="F9" s="475" t="s">
        <v>163</v>
      </c>
      <c r="G9" s="476">
        <f t="shared" ca="1" si="6"/>
        <v>0</v>
      </c>
      <c r="H9" s="477" t="s">
        <v>3404</v>
      </c>
      <c r="I9" s="478">
        <v>0.45400000000000001</v>
      </c>
      <c r="J9" s="479">
        <v>0.45</v>
      </c>
      <c r="K9" s="492">
        <f t="shared" ca="1" si="0"/>
        <v>0</v>
      </c>
      <c r="L9" s="477" t="s">
        <v>3404</v>
      </c>
      <c r="M9" s="478">
        <f t="shared" si="4"/>
        <v>0.45400000000000001</v>
      </c>
      <c r="N9" s="479">
        <v>0.55000000000000004</v>
      </c>
      <c r="O9" s="481">
        <f t="shared" si="1"/>
        <v>52722.883800000003</v>
      </c>
      <c r="P9" s="481">
        <f t="shared" si="2"/>
        <v>64439.080200000011</v>
      </c>
      <c r="Q9" s="481">
        <f t="shared" ca="1" si="5"/>
        <v>0</v>
      </c>
      <c r="R9" s="1120">
        <f t="shared" ca="1" si="3"/>
        <v>0</v>
      </c>
    </row>
    <row r="10" spans="1:18" s="371" customFormat="1" ht="26.25" hidden="1">
      <c r="B10" s="361" t="s">
        <v>3917</v>
      </c>
      <c r="C10" s="472" t="str">
        <f ca="1">IF(G10=0,"",COUNTIF($G$6:$G10,"&gt;0"))</f>
        <v/>
      </c>
      <c r="D10" s="483" t="s">
        <v>3500</v>
      </c>
      <c r="E10" s="474" t="s">
        <v>2963</v>
      </c>
      <c r="F10" s="475" t="s">
        <v>37</v>
      </c>
      <c r="G10" s="476">
        <f t="shared" ca="1" si="6"/>
        <v>0</v>
      </c>
      <c r="H10" s="477" t="s">
        <v>3403</v>
      </c>
      <c r="I10" s="478">
        <v>0.91800000000000004</v>
      </c>
      <c r="J10" s="479">
        <v>0.45</v>
      </c>
      <c r="K10" s="492">
        <f t="shared" ca="1" si="0"/>
        <v>0</v>
      </c>
      <c r="L10" s="477" t="s">
        <v>3404</v>
      </c>
      <c r="M10" s="478">
        <f t="shared" si="4"/>
        <v>0.91800000000000004</v>
      </c>
      <c r="N10" s="479">
        <v>0.55000000000000004</v>
      </c>
      <c r="O10" s="481">
        <f t="shared" si="1"/>
        <v>106607.06460000001</v>
      </c>
      <c r="P10" s="481">
        <f t="shared" si="2"/>
        <v>130297.52340000002</v>
      </c>
      <c r="Q10" s="481">
        <f t="shared" ca="1" si="5"/>
        <v>0</v>
      </c>
      <c r="R10" s="1120">
        <f t="shared" ca="1" si="3"/>
        <v>0</v>
      </c>
    </row>
    <row r="11" spans="1:18" s="371" customFormat="1" ht="26.25" hidden="1">
      <c r="B11" s="361" t="s">
        <v>3918</v>
      </c>
      <c r="C11" s="472" t="str">
        <f ca="1">IF(G11=0,"",COUNTIF($G$6:$G11,"&gt;0"))</f>
        <v/>
      </c>
      <c r="D11" s="483" t="s">
        <v>3467</v>
      </c>
      <c r="E11" s="474" t="s">
        <v>3514</v>
      </c>
      <c r="F11" s="413" t="s">
        <v>1265</v>
      </c>
      <c r="G11" s="1115">
        <f t="shared" ref="G11:G32" ca="1" si="7">SUMIF(maBK,B11,tongBK1)/1000</f>
        <v>0</v>
      </c>
      <c r="H11" s="477" t="s">
        <v>3405</v>
      </c>
      <c r="I11" s="478">
        <v>28.925999999999998</v>
      </c>
      <c r="J11" s="479">
        <v>0.45</v>
      </c>
      <c r="K11" s="540">
        <f t="shared" ca="1" si="0"/>
        <v>0</v>
      </c>
      <c r="L11" s="477" t="s">
        <v>3405</v>
      </c>
      <c r="M11" s="478">
        <f t="shared" si="4"/>
        <v>28.925999999999998</v>
      </c>
      <c r="N11" s="479">
        <v>0.55000000000000004</v>
      </c>
      <c r="O11" s="481">
        <f t="shared" si="1"/>
        <v>3359167.7021999997</v>
      </c>
      <c r="P11" s="481">
        <f t="shared" si="2"/>
        <v>4105649.4138000002</v>
      </c>
      <c r="Q11" s="481">
        <f t="shared" ca="1" si="5"/>
        <v>0</v>
      </c>
      <c r="R11" s="1120">
        <f t="shared" ca="1" si="3"/>
        <v>0</v>
      </c>
    </row>
    <row r="12" spans="1:18" s="371" customFormat="1" ht="15.75" hidden="1">
      <c r="B12" s="361" t="s">
        <v>3919</v>
      </c>
      <c r="C12" s="472" t="str">
        <f ca="1">IF(G12=0,"",COUNTIF($G$6:$G12,"&gt;0"))</f>
        <v/>
      </c>
      <c r="D12" s="483" t="s">
        <v>3468</v>
      </c>
      <c r="E12" s="474" t="s">
        <v>3461</v>
      </c>
      <c r="F12" s="413" t="s">
        <v>1265</v>
      </c>
      <c r="G12" s="476">
        <f t="shared" ca="1" si="7"/>
        <v>0</v>
      </c>
      <c r="H12" s="477" t="s">
        <v>3405</v>
      </c>
      <c r="I12" s="478">
        <v>38.646000000000001</v>
      </c>
      <c r="J12" s="479">
        <v>0.45</v>
      </c>
      <c r="K12" s="492">
        <f t="shared" ca="1" si="0"/>
        <v>0</v>
      </c>
      <c r="L12" s="477" t="s">
        <v>3405</v>
      </c>
      <c r="M12" s="478">
        <f t="shared" si="4"/>
        <v>38.646000000000001</v>
      </c>
      <c r="N12" s="479">
        <v>0.55000000000000004</v>
      </c>
      <c r="O12" s="481">
        <f t="shared" si="1"/>
        <v>4487948.3862000005</v>
      </c>
      <c r="P12" s="481">
        <f t="shared" si="2"/>
        <v>5485270.2498000003</v>
      </c>
      <c r="Q12" s="481">
        <f t="shared" ca="1" si="5"/>
        <v>0</v>
      </c>
      <c r="R12" s="471">
        <f t="shared" ca="1" si="3"/>
        <v>0</v>
      </c>
    </row>
    <row r="13" spans="1:18" s="371" customFormat="1" ht="15.75" hidden="1">
      <c r="B13" s="361" t="s">
        <v>3920</v>
      </c>
      <c r="C13" s="472" t="str">
        <f ca="1">IF(G13=0,"",COUNTIF($G$6:$G13,"&gt;0"))</f>
        <v/>
      </c>
      <c r="D13" s="483" t="s">
        <v>3469</v>
      </c>
      <c r="E13" s="474" t="s">
        <v>3462</v>
      </c>
      <c r="F13" s="413" t="s">
        <v>1265</v>
      </c>
      <c r="G13" s="476">
        <f t="shared" ca="1" si="7"/>
        <v>0</v>
      </c>
      <c r="H13" s="477" t="s">
        <v>3405</v>
      </c>
      <c r="I13" s="478">
        <v>52.631999999999998</v>
      </c>
      <c r="J13" s="479">
        <v>0.45</v>
      </c>
      <c r="K13" s="492">
        <f t="shared" ca="1" si="0"/>
        <v>0</v>
      </c>
      <c r="L13" s="477" t="s">
        <v>3405</v>
      </c>
      <c r="M13" s="478">
        <f t="shared" si="4"/>
        <v>52.631999999999998</v>
      </c>
      <c r="N13" s="479">
        <v>0.55000000000000004</v>
      </c>
      <c r="O13" s="481">
        <f t="shared" si="1"/>
        <v>6112138.3703999994</v>
      </c>
      <c r="P13" s="481">
        <f t="shared" si="2"/>
        <v>7470391.3415999999</v>
      </c>
      <c r="Q13" s="481">
        <f t="shared" ca="1" si="5"/>
        <v>0</v>
      </c>
      <c r="R13" s="471">
        <f t="shared" ca="1" si="3"/>
        <v>0</v>
      </c>
    </row>
    <row r="14" spans="1:18" s="371" customFormat="1" ht="15.75" hidden="1">
      <c r="B14" s="361" t="s">
        <v>3921</v>
      </c>
      <c r="C14" s="472" t="str">
        <f ca="1">IF(G14=0,"",COUNTIF($G$6:$G14,"&gt;0"))</f>
        <v/>
      </c>
      <c r="D14" s="483" t="s">
        <v>3470</v>
      </c>
      <c r="E14" s="474" t="s">
        <v>3463</v>
      </c>
      <c r="F14" s="413" t="s">
        <v>1265</v>
      </c>
      <c r="G14" s="476">
        <f t="shared" ca="1" si="7"/>
        <v>0</v>
      </c>
      <c r="H14" s="477" t="s">
        <v>3405</v>
      </c>
      <c r="I14" s="478">
        <v>59.13</v>
      </c>
      <c r="J14" s="479">
        <v>0.45</v>
      </c>
      <c r="K14" s="492">
        <f t="shared" ca="1" si="0"/>
        <v>0</v>
      </c>
      <c r="L14" s="477" t="s">
        <v>3405</v>
      </c>
      <c r="M14" s="478">
        <f t="shared" si="4"/>
        <v>59.13</v>
      </c>
      <c r="N14" s="479">
        <v>0.55000000000000004</v>
      </c>
      <c r="O14" s="481">
        <f t="shared" si="1"/>
        <v>6866749.1610000003</v>
      </c>
      <c r="P14" s="481">
        <f t="shared" si="2"/>
        <v>8392693.4190000016</v>
      </c>
      <c r="Q14" s="481">
        <f t="shared" ca="1" si="5"/>
        <v>0</v>
      </c>
      <c r="R14" s="471">
        <f t="shared" ca="1" si="3"/>
        <v>0</v>
      </c>
    </row>
    <row r="15" spans="1:18" s="371" customFormat="1" ht="15.75" hidden="1">
      <c r="B15" s="361" t="s">
        <v>3922</v>
      </c>
      <c r="C15" s="472" t="str">
        <f ca="1">IF(G15=0,"",COUNTIF($G$6:$G15,"&gt;0"))</f>
        <v/>
      </c>
      <c r="D15" s="483" t="s">
        <v>3471</v>
      </c>
      <c r="E15" s="474" t="s">
        <v>3464</v>
      </c>
      <c r="F15" s="413" t="s">
        <v>1265</v>
      </c>
      <c r="G15" s="476">
        <f t="shared" ca="1" si="7"/>
        <v>0</v>
      </c>
      <c r="H15" s="477" t="s">
        <v>3405</v>
      </c>
      <c r="I15" s="478">
        <v>71.55</v>
      </c>
      <c r="J15" s="479">
        <v>0.45</v>
      </c>
      <c r="K15" s="492">
        <f t="shared" ca="1" si="0"/>
        <v>0</v>
      </c>
      <c r="L15" s="477" t="s">
        <v>3405</v>
      </c>
      <c r="M15" s="478">
        <f t="shared" si="4"/>
        <v>71.55</v>
      </c>
      <c r="N15" s="479">
        <v>0.55000000000000004</v>
      </c>
      <c r="O15" s="481">
        <f t="shared" si="1"/>
        <v>8309080.0350000001</v>
      </c>
      <c r="P15" s="481">
        <f t="shared" si="2"/>
        <v>10155542.265000001</v>
      </c>
      <c r="Q15" s="481">
        <f t="shared" ca="1" si="5"/>
        <v>0</v>
      </c>
      <c r="R15" s="471">
        <f t="shared" ca="1" si="3"/>
        <v>0</v>
      </c>
    </row>
    <row r="16" spans="1:18" s="371" customFormat="1" ht="15.75" hidden="1">
      <c r="B16" s="361" t="s">
        <v>3923</v>
      </c>
      <c r="C16" s="472" t="str">
        <f ca="1">IF(G16=0,"",COUNTIF($G$6:$G16,"&gt;0"))</f>
        <v/>
      </c>
      <c r="D16" s="483" t="s">
        <v>3472</v>
      </c>
      <c r="E16" s="474" t="s">
        <v>3465</v>
      </c>
      <c r="F16" s="413" t="s">
        <v>1265</v>
      </c>
      <c r="G16" s="476">
        <f t="shared" ca="1" si="7"/>
        <v>0</v>
      </c>
      <c r="H16" s="477" t="s">
        <v>3405</v>
      </c>
      <c r="I16" s="478">
        <v>84.438000000000002</v>
      </c>
      <c r="J16" s="479">
        <v>0.45</v>
      </c>
      <c r="K16" s="492">
        <f t="shared" ca="1" si="0"/>
        <v>0</v>
      </c>
      <c r="L16" s="477" t="s">
        <v>3405</v>
      </c>
      <c r="M16" s="478">
        <f t="shared" si="4"/>
        <v>84.438000000000002</v>
      </c>
      <c r="N16" s="479">
        <v>0.55000000000000004</v>
      </c>
      <c r="O16" s="481">
        <f t="shared" si="1"/>
        <v>9805759.6085999999</v>
      </c>
      <c r="P16" s="481">
        <f t="shared" si="2"/>
        <v>11984817.299400002</v>
      </c>
      <c r="Q16" s="481">
        <f t="shared" ca="1" si="5"/>
        <v>0</v>
      </c>
      <c r="R16" s="471">
        <f t="shared" ca="1" si="3"/>
        <v>0</v>
      </c>
    </row>
    <row r="17" spans="2:18" s="371" customFormat="1" ht="15.75" hidden="1">
      <c r="B17" s="361" t="s">
        <v>3924</v>
      </c>
      <c r="C17" s="472" t="str">
        <f ca="1">IF(G17=0,"",COUNTIF($G$6:$G17,"&gt;0"))</f>
        <v/>
      </c>
      <c r="D17" s="483" t="s">
        <v>3473</v>
      </c>
      <c r="E17" s="474" t="s">
        <v>3466</v>
      </c>
      <c r="F17" s="413" t="s">
        <v>1265</v>
      </c>
      <c r="G17" s="476">
        <f t="shared" ca="1" si="7"/>
        <v>0</v>
      </c>
      <c r="H17" s="477" t="s">
        <v>3405</v>
      </c>
      <c r="I17" s="478">
        <v>92.861999999999995</v>
      </c>
      <c r="J17" s="479">
        <v>0.45</v>
      </c>
      <c r="K17" s="492">
        <f t="shared" ca="1" si="0"/>
        <v>0</v>
      </c>
      <c r="L17" s="477" t="s">
        <v>3405</v>
      </c>
      <c r="M17" s="478">
        <f t="shared" si="4"/>
        <v>92.861999999999995</v>
      </c>
      <c r="N17" s="479">
        <v>0.55000000000000004</v>
      </c>
      <c r="O17" s="481">
        <f t="shared" si="1"/>
        <v>10784036.201399999</v>
      </c>
      <c r="P17" s="481">
        <f t="shared" si="2"/>
        <v>13180488.6906</v>
      </c>
      <c r="Q17" s="481">
        <f t="shared" ca="1" si="5"/>
        <v>0</v>
      </c>
      <c r="R17" s="471">
        <f t="shared" ca="1" si="3"/>
        <v>0</v>
      </c>
    </row>
    <row r="18" spans="2:18" s="371" customFormat="1" ht="15.75" hidden="1">
      <c r="B18" s="361" t="s">
        <v>4145</v>
      </c>
      <c r="C18" s="472" t="str">
        <f ca="1">IF(G18=0,"",COUNTIF($G$6:$G18,"&gt;0"))</f>
        <v/>
      </c>
      <c r="D18" s="483" t="s">
        <v>3478</v>
      </c>
      <c r="E18" s="474" t="s">
        <v>4144</v>
      </c>
      <c r="F18" s="413" t="s">
        <v>1265</v>
      </c>
      <c r="G18" s="476">
        <f t="shared" ca="1" si="7"/>
        <v>0</v>
      </c>
      <c r="H18" s="477" t="s">
        <v>3405</v>
      </c>
      <c r="I18" s="478">
        <v>23.04</v>
      </c>
      <c r="J18" s="484">
        <f>0.45*0.7</f>
        <v>0.315</v>
      </c>
      <c r="K18" s="492">
        <f t="shared" ca="1" si="0"/>
        <v>0</v>
      </c>
      <c r="L18" s="477" t="s">
        <v>3405</v>
      </c>
      <c r="M18" s="478">
        <f t="shared" si="4"/>
        <v>23.04</v>
      </c>
      <c r="N18" s="484">
        <f>0.55*0.7</f>
        <v>0.38500000000000001</v>
      </c>
      <c r="O18" s="481">
        <f t="shared" si="1"/>
        <v>1872939.8015999999</v>
      </c>
      <c r="P18" s="481">
        <f t="shared" si="2"/>
        <v>2289148.6464</v>
      </c>
      <c r="Q18" s="481">
        <f t="shared" ca="1" si="5"/>
        <v>0</v>
      </c>
      <c r="R18" s="471">
        <f t="shared" ca="1" si="3"/>
        <v>0</v>
      </c>
    </row>
    <row r="19" spans="2:18" s="371" customFormat="1" ht="15.75" hidden="1">
      <c r="B19" s="361" t="s">
        <v>3925</v>
      </c>
      <c r="C19" s="472" t="str">
        <f ca="1">IF(G19=0,"",COUNTIF($G$6:$G19,"&gt;0"))</f>
        <v/>
      </c>
      <c r="D19" s="483" t="s">
        <v>3478</v>
      </c>
      <c r="E19" s="474" t="s">
        <v>4146</v>
      </c>
      <c r="F19" s="413" t="s">
        <v>1265</v>
      </c>
      <c r="G19" s="476">
        <f t="shared" ca="1" si="7"/>
        <v>0</v>
      </c>
      <c r="H19" s="477" t="s">
        <v>3405</v>
      </c>
      <c r="I19" s="478">
        <v>23.04</v>
      </c>
      <c r="J19" s="484">
        <f>0.45*0.7</f>
        <v>0.315</v>
      </c>
      <c r="K19" s="492">
        <f t="shared" ca="1" si="0"/>
        <v>0</v>
      </c>
      <c r="L19" s="477" t="s">
        <v>3405</v>
      </c>
      <c r="M19" s="478">
        <f t="shared" si="4"/>
        <v>23.04</v>
      </c>
      <c r="N19" s="484">
        <f>0.55*0.7</f>
        <v>0.38500000000000001</v>
      </c>
      <c r="O19" s="481">
        <f t="shared" si="1"/>
        <v>1872939.8015999999</v>
      </c>
      <c r="P19" s="481">
        <f t="shared" si="2"/>
        <v>2289148.6464</v>
      </c>
      <c r="Q19" s="481">
        <f t="shared" ca="1" si="5"/>
        <v>0</v>
      </c>
      <c r="R19" s="471">
        <f t="shared" ca="1" si="3"/>
        <v>0</v>
      </c>
    </row>
    <row r="20" spans="2:18" s="371" customFormat="1" ht="15.75" hidden="1">
      <c r="B20" s="361" t="s">
        <v>4151</v>
      </c>
      <c r="C20" s="472" t="str">
        <f ca="1">IF(G20=0,"",COUNTIF($G$6:$G20,"&gt;0"))</f>
        <v/>
      </c>
      <c r="D20" s="483" t="s">
        <v>3478</v>
      </c>
      <c r="E20" s="474" t="s">
        <v>4152</v>
      </c>
      <c r="F20" s="413" t="s">
        <v>1265</v>
      </c>
      <c r="G20" s="476">
        <f t="shared" ca="1" si="7"/>
        <v>0</v>
      </c>
      <c r="H20" s="477" t="s">
        <v>3405</v>
      </c>
      <c r="I20" s="478">
        <v>23.04</v>
      </c>
      <c r="J20" s="484">
        <f>0.45*0.7</f>
        <v>0.315</v>
      </c>
      <c r="K20" s="492">
        <f t="shared" ca="1" si="0"/>
        <v>0</v>
      </c>
      <c r="L20" s="477" t="s">
        <v>3405</v>
      </c>
      <c r="M20" s="478">
        <f t="shared" si="4"/>
        <v>23.04</v>
      </c>
      <c r="N20" s="484">
        <f>0.55*0.7</f>
        <v>0.38500000000000001</v>
      </c>
      <c r="O20" s="481">
        <f t="shared" si="1"/>
        <v>1872939.8015999999</v>
      </c>
      <c r="P20" s="481">
        <f t="shared" si="2"/>
        <v>2289148.6464</v>
      </c>
      <c r="Q20" s="481">
        <f t="shared" ca="1" si="5"/>
        <v>0</v>
      </c>
      <c r="R20" s="471">
        <f t="shared" ca="1" si="3"/>
        <v>0</v>
      </c>
    </row>
    <row r="21" spans="2:18" s="371" customFormat="1" ht="15.75" hidden="1">
      <c r="B21" s="361" t="s">
        <v>4149</v>
      </c>
      <c r="C21" s="472" t="str">
        <f ca="1">IF(G21=0,"",COUNTIF($G$6:$G21,"&gt;0"))</f>
        <v/>
      </c>
      <c r="D21" s="483" t="s">
        <v>3478</v>
      </c>
      <c r="E21" s="474" t="s">
        <v>4150</v>
      </c>
      <c r="F21" s="413" t="s">
        <v>1265</v>
      </c>
      <c r="G21" s="476">
        <f t="shared" ca="1" si="7"/>
        <v>0</v>
      </c>
      <c r="H21" s="477" t="s">
        <v>3405</v>
      </c>
      <c r="I21" s="478">
        <v>23.04</v>
      </c>
      <c r="J21" s="484">
        <f>0.45*0.7</f>
        <v>0.315</v>
      </c>
      <c r="K21" s="492">
        <f t="shared" ca="1" si="0"/>
        <v>0</v>
      </c>
      <c r="L21" s="477" t="s">
        <v>3405</v>
      </c>
      <c r="M21" s="478">
        <f t="shared" si="4"/>
        <v>23.04</v>
      </c>
      <c r="N21" s="484">
        <f>0.55*0.7</f>
        <v>0.38500000000000001</v>
      </c>
      <c r="O21" s="481">
        <f t="shared" si="1"/>
        <v>1872939.8015999999</v>
      </c>
      <c r="P21" s="481">
        <f t="shared" si="2"/>
        <v>2289148.6464</v>
      </c>
      <c r="Q21" s="481">
        <f t="shared" ca="1" si="5"/>
        <v>0</v>
      </c>
      <c r="R21" s="471">
        <f t="shared" ca="1" si="3"/>
        <v>0</v>
      </c>
    </row>
    <row r="22" spans="2:18" s="371" customFormat="1" ht="15.75" hidden="1">
      <c r="B22" s="361" t="s">
        <v>4154</v>
      </c>
      <c r="C22" s="472" t="str">
        <f ca="1">IF(G22=0,"",COUNTIF($G$6:$G22,"&gt;0"))</f>
        <v/>
      </c>
      <c r="D22" s="483" t="s">
        <v>3479</v>
      </c>
      <c r="E22" s="474" t="s">
        <v>4153</v>
      </c>
      <c r="F22" s="413" t="s">
        <v>1265</v>
      </c>
      <c r="G22" s="476">
        <f t="shared" ca="1" si="7"/>
        <v>0</v>
      </c>
      <c r="H22" s="477" t="s">
        <v>3405</v>
      </c>
      <c r="I22" s="478">
        <v>30.96</v>
      </c>
      <c r="J22" s="484">
        <f t="shared" ref="J22:J28" si="8">0.45*0.7</f>
        <v>0.315</v>
      </c>
      <c r="K22" s="492">
        <f t="shared" ca="1" si="0"/>
        <v>0</v>
      </c>
      <c r="L22" s="477" t="s">
        <v>3405</v>
      </c>
      <c r="M22" s="478">
        <f t="shared" si="4"/>
        <v>30.96</v>
      </c>
      <c r="N22" s="484">
        <f t="shared" ref="N22:N28" si="9">0.55*0.7</f>
        <v>0.38500000000000001</v>
      </c>
      <c r="O22" s="481">
        <f t="shared" si="1"/>
        <v>2516762.8584000003</v>
      </c>
      <c r="P22" s="481">
        <f t="shared" si="2"/>
        <v>3076043.4936000002</v>
      </c>
      <c r="Q22" s="481">
        <f t="shared" ca="1" si="5"/>
        <v>0</v>
      </c>
      <c r="R22" s="471">
        <f t="shared" ca="1" si="3"/>
        <v>0</v>
      </c>
    </row>
    <row r="23" spans="2:18" s="371" customFormat="1" ht="15.75" hidden="1">
      <c r="B23" s="361" t="s">
        <v>4155</v>
      </c>
      <c r="C23" s="472" t="str">
        <f ca="1">IF(G23=0,"",COUNTIF($G$6:$G23,"&gt;0"))</f>
        <v/>
      </c>
      <c r="D23" s="483" t="s">
        <v>3479</v>
      </c>
      <c r="E23" s="474" t="s">
        <v>4156</v>
      </c>
      <c r="F23" s="413" t="s">
        <v>1265</v>
      </c>
      <c r="G23" s="476">
        <f t="shared" ca="1" si="7"/>
        <v>0</v>
      </c>
      <c r="H23" s="477" t="s">
        <v>3405</v>
      </c>
      <c r="I23" s="478">
        <v>30.96</v>
      </c>
      <c r="J23" s="484">
        <f t="shared" si="8"/>
        <v>0.315</v>
      </c>
      <c r="K23" s="492">
        <f t="shared" ca="1" si="0"/>
        <v>0</v>
      </c>
      <c r="L23" s="477" t="s">
        <v>3405</v>
      </c>
      <c r="M23" s="478">
        <f t="shared" si="4"/>
        <v>30.96</v>
      </c>
      <c r="N23" s="484">
        <f t="shared" si="9"/>
        <v>0.38500000000000001</v>
      </c>
      <c r="O23" s="481">
        <f t="shared" si="1"/>
        <v>2516762.8584000003</v>
      </c>
      <c r="P23" s="481">
        <f t="shared" si="2"/>
        <v>3076043.4936000002</v>
      </c>
      <c r="Q23" s="481">
        <f t="shared" ca="1" si="5"/>
        <v>0</v>
      </c>
      <c r="R23" s="471">
        <f t="shared" ca="1" si="3"/>
        <v>0</v>
      </c>
    </row>
    <row r="24" spans="2:18" s="371" customFormat="1" ht="15.75" hidden="1">
      <c r="B24" s="361" t="s">
        <v>4147</v>
      </c>
      <c r="C24" s="472" t="str">
        <f ca="1">IF(G24=0,"",COUNTIF($G$6:$G24,"&gt;0"))</f>
        <v/>
      </c>
      <c r="D24" s="483" t="s">
        <v>3480</v>
      </c>
      <c r="E24" s="474" t="s">
        <v>4148</v>
      </c>
      <c r="F24" s="413" t="s">
        <v>1265</v>
      </c>
      <c r="G24" s="476">
        <f t="shared" ca="1" si="7"/>
        <v>0</v>
      </c>
      <c r="H24" s="477" t="s">
        <v>3405</v>
      </c>
      <c r="I24" s="478">
        <v>42.3</v>
      </c>
      <c r="J24" s="484">
        <f t="shared" si="8"/>
        <v>0.315</v>
      </c>
      <c r="K24" s="492">
        <f t="shared" ca="1" si="0"/>
        <v>0</v>
      </c>
      <c r="L24" s="477" t="s">
        <v>3405</v>
      </c>
      <c r="M24" s="478">
        <f t="shared" si="4"/>
        <v>42.3</v>
      </c>
      <c r="N24" s="484">
        <f t="shared" si="9"/>
        <v>0.38500000000000001</v>
      </c>
      <c r="O24" s="481">
        <f t="shared" si="1"/>
        <v>3438600.4169999999</v>
      </c>
      <c r="P24" s="481">
        <f t="shared" si="2"/>
        <v>4202733.8429999994</v>
      </c>
      <c r="Q24" s="481">
        <f t="shared" ca="1" si="5"/>
        <v>0</v>
      </c>
      <c r="R24" s="471">
        <f t="shared" ca="1" si="3"/>
        <v>0</v>
      </c>
    </row>
    <row r="25" spans="2:18" s="371" customFormat="1" ht="26.25" hidden="1">
      <c r="B25" s="361" t="s">
        <v>3926</v>
      </c>
      <c r="C25" s="472" t="str">
        <f ca="1">IF(G25=0,"",COUNTIF($G$6:$G25,"&gt;0"))</f>
        <v/>
      </c>
      <c r="D25" s="483" t="s">
        <v>3481</v>
      </c>
      <c r="E25" s="474" t="s">
        <v>3474</v>
      </c>
      <c r="F25" s="413" t="s">
        <v>1265</v>
      </c>
      <c r="G25" s="1115">
        <f t="shared" ca="1" si="7"/>
        <v>0</v>
      </c>
      <c r="H25" s="477" t="s">
        <v>3405</v>
      </c>
      <c r="I25" s="478">
        <v>48.24</v>
      </c>
      <c r="J25" s="484">
        <f t="shared" si="8"/>
        <v>0.315</v>
      </c>
      <c r="K25" s="540">
        <f t="shared" ca="1" si="0"/>
        <v>0</v>
      </c>
      <c r="L25" s="477" t="s">
        <v>3405</v>
      </c>
      <c r="M25" s="478">
        <f t="shared" si="4"/>
        <v>48.24</v>
      </c>
      <c r="N25" s="484">
        <f t="shared" si="9"/>
        <v>0.38500000000000001</v>
      </c>
      <c r="O25" s="481">
        <f t="shared" si="1"/>
        <v>3921467.7096000002</v>
      </c>
      <c r="P25" s="481">
        <f t="shared" si="2"/>
        <v>4792904.9784000004</v>
      </c>
      <c r="Q25" s="481">
        <f t="shared" ca="1" si="5"/>
        <v>0</v>
      </c>
      <c r="R25" s="1120">
        <f t="shared" ca="1" si="3"/>
        <v>0</v>
      </c>
    </row>
    <row r="26" spans="2:18" s="371" customFormat="1" ht="15.75" hidden="1">
      <c r="B26" s="361" t="s">
        <v>3927</v>
      </c>
      <c r="C26" s="472" t="str">
        <f ca="1">IF(G26=0,"",COUNTIF($G$6:$G26,"&gt;0"))</f>
        <v/>
      </c>
      <c r="D26" s="483" t="s">
        <v>3482</v>
      </c>
      <c r="E26" s="474" t="s">
        <v>3475</v>
      </c>
      <c r="F26" s="413" t="s">
        <v>1265</v>
      </c>
      <c r="G26" s="476">
        <f t="shared" ca="1" si="7"/>
        <v>0</v>
      </c>
      <c r="H26" s="477" t="s">
        <v>3405</v>
      </c>
      <c r="I26" s="478">
        <v>57.24</v>
      </c>
      <c r="J26" s="484">
        <f t="shared" si="8"/>
        <v>0.315</v>
      </c>
      <c r="K26" s="492">
        <f t="shared" ca="1" si="0"/>
        <v>0</v>
      </c>
      <c r="L26" s="477" t="s">
        <v>3405</v>
      </c>
      <c r="M26" s="478">
        <f t="shared" si="4"/>
        <v>57.24</v>
      </c>
      <c r="N26" s="484">
        <f t="shared" si="9"/>
        <v>0.38500000000000001</v>
      </c>
      <c r="O26" s="481">
        <f t="shared" si="1"/>
        <v>4653084.8196</v>
      </c>
      <c r="P26" s="481">
        <f t="shared" si="2"/>
        <v>5687103.6683999998</v>
      </c>
      <c r="Q26" s="481">
        <f t="shared" ca="1" si="5"/>
        <v>0</v>
      </c>
      <c r="R26" s="471">
        <f t="shared" ca="1" si="3"/>
        <v>0</v>
      </c>
    </row>
    <row r="27" spans="2:18" s="371" customFormat="1" ht="15.75" hidden="1">
      <c r="B27" s="361" t="s">
        <v>3928</v>
      </c>
      <c r="C27" s="472" t="str">
        <f ca="1">IF(G27=0,"",COUNTIF($G$6:$G27,"&gt;0"))</f>
        <v/>
      </c>
      <c r="D27" s="483" t="s">
        <v>3483</v>
      </c>
      <c r="E27" s="474" t="s">
        <v>3476</v>
      </c>
      <c r="F27" s="413" t="s">
        <v>1265</v>
      </c>
      <c r="G27" s="476">
        <f t="shared" ca="1" si="7"/>
        <v>0</v>
      </c>
      <c r="H27" s="477" t="s">
        <v>3405</v>
      </c>
      <c r="I27" s="478">
        <v>67.554000000000002</v>
      </c>
      <c r="J27" s="484">
        <f t="shared" si="8"/>
        <v>0.315</v>
      </c>
      <c r="K27" s="492">
        <f t="shared" ca="1" si="0"/>
        <v>0</v>
      </c>
      <c r="L27" s="477" t="s">
        <v>3405</v>
      </c>
      <c r="M27" s="478">
        <f t="shared" si="4"/>
        <v>67.554000000000002</v>
      </c>
      <c r="N27" s="484">
        <f t="shared" si="9"/>
        <v>0.38500000000000001</v>
      </c>
      <c r="O27" s="481">
        <f t="shared" si="1"/>
        <v>5491518.0276600001</v>
      </c>
      <c r="P27" s="481">
        <f t="shared" si="2"/>
        <v>6711855.3671399998</v>
      </c>
      <c r="Q27" s="481">
        <f t="shared" ca="1" si="5"/>
        <v>0</v>
      </c>
      <c r="R27" s="471">
        <f t="shared" ca="1" si="3"/>
        <v>0</v>
      </c>
    </row>
    <row r="28" spans="2:18" s="371" customFormat="1" ht="15.75" hidden="1">
      <c r="B28" s="361" t="s">
        <v>3929</v>
      </c>
      <c r="C28" s="472" t="str">
        <f ca="1">IF(G28=0,"",COUNTIF($G$6:$G28,"&gt;0"))</f>
        <v/>
      </c>
      <c r="D28" s="483" t="s">
        <v>3484</v>
      </c>
      <c r="E28" s="474" t="s">
        <v>3477</v>
      </c>
      <c r="F28" s="413" t="s">
        <v>1265</v>
      </c>
      <c r="G28" s="476">
        <f t="shared" ca="1" si="7"/>
        <v>0</v>
      </c>
      <c r="H28" s="477" t="s">
        <v>3405</v>
      </c>
      <c r="I28" s="478">
        <v>74.286000000000001</v>
      </c>
      <c r="J28" s="484">
        <f t="shared" si="8"/>
        <v>0.315</v>
      </c>
      <c r="K28" s="492">
        <f t="shared" ca="1" si="0"/>
        <v>0</v>
      </c>
      <c r="L28" s="477" t="s">
        <v>3405</v>
      </c>
      <c r="M28" s="478">
        <f t="shared" si="4"/>
        <v>74.286000000000001</v>
      </c>
      <c r="N28" s="484">
        <f t="shared" si="9"/>
        <v>0.38500000000000001</v>
      </c>
      <c r="O28" s="481">
        <f t="shared" si="1"/>
        <v>6038767.6259400006</v>
      </c>
      <c r="P28" s="481">
        <f t="shared" si="2"/>
        <v>7380715.9872600008</v>
      </c>
      <c r="Q28" s="481">
        <f t="shared" ca="1" si="5"/>
        <v>0</v>
      </c>
      <c r="R28" s="471">
        <f t="shared" ca="1" si="3"/>
        <v>0</v>
      </c>
    </row>
    <row r="29" spans="2:18" ht="26.25">
      <c r="B29" s="361" t="s">
        <v>3930</v>
      </c>
      <c r="C29" s="472">
        <f ca="1">IF(G29=0,"",COUNTIF($G$6:$G29,"&gt;0"))</f>
        <v>3</v>
      </c>
      <c r="D29" s="475" t="s">
        <v>3485</v>
      </c>
      <c r="E29" s="514" t="s">
        <v>3487</v>
      </c>
      <c r="F29" s="413" t="s">
        <v>1265</v>
      </c>
      <c r="G29" s="476">
        <f t="shared" ca="1" si="7"/>
        <v>0.216</v>
      </c>
      <c r="H29" s="477" t="s">
        <v>3405</v>
      </c>
      <c r="I29" s="478">
        <v>28.547999999999998</v>
      </c>
      <c r="J29" s="479">
        <v>1</v>
      </c>
      <c r="K29" s="540">
        <f t="shared" ca="1" si="0"/>
        <v>0.216</v>
      </c>
      <c r="L29" s="477" t="s">
        <v>3405</v>
      </c>
      <c r="M29" s="478">
        <f t="shared" si="4"/>
        <v>28.547999999999998</v>
      </c>
      <c r="N29" s="479">
        <v>1</v>
      </c>
      <c r="O29" s="481">
        <f t="shared" si="1"/>
        <v>7367268.1679999996</v>
      </c>
      <c r="P29" s="481">
        <f t="shared" si="2"/>
        <v>7367268.1679999996</v>
      </c>
      <c r="Q29" s="481">
        <f t="shared" ca="1" si="5"/>
        <v>3182659.848576</v>
      </c>
      <c r="R29" s="1120">
        <f t="shared" ca="1" si="3"/>
        <v>1</v>
      </c>
    </row>
    <row r="30" spans="2:18" s="371" customFormat="1" ht="15.75" hidden="1">
      <c r="B30" s="361" t="s">
        <v>3931</v>
      </c>
      <c r="C30" s="472" t="str">
        <f ca="1">IF(G30=0,"",COUNTIF($G$6:$G30,"&gt;0"))</f>
        <v/>
      </c>
      <c r="D30" s="483" t="s">
        <v>3486</v>
      </c>
      <c r="E30" s="485" t="s">
        <v>3488</v>
      </c>
      <c r="F30" s="413" t="s">
        <v>1265</v>
      </c>
      <c r="G30" s="476">
        <f t="shared" ca="1" si="7"/>
        <v>0</v>
      </c>
      <c r="H30" s="477" t="s">
        <v>3405</v>
      </c>
      <c r="I30" s="478">
        <v>17.64</v>
      </c>
      <c r="J30" s="479">
        <v>0.45</v>
      </c>
      <c r="K30" s="492">
        <f t="shared" ca="1" si="0"/>
        <v>0</v>
      </c>
      <c r="L30" s="477" t="s">
        <v>3405</v>
      </c>
      <c r="M30" s="478">
        <f t="shared" si="4"/>
        <v>17.64</v>
      </c>
      <c r="N30" s="479">
        <v>0.55000000000000004</v>
      </c>
      <c r="O30" s="481">
        <f t="shared" si="1"/>
        <v>2048527.9080000001</v>
      </c>
      <c r="P30" s="481">
        <f t="shared" si="2"/>
        <v>2503756.3320000004</v>
      </c>
      <c r="Q30" s="481">
        <f t="shared" ca="1" si="5"/>
        <v>0</v>
      </c>
      <c r="R30" s="471">
        <f t="shared" ca="1" si="3"/>
        <v>0</v>
      </c>
    </row>
    <row r="31" spans="2:18" s="371" customFormat="1" ht="15.75" hidden="1">
      <c r="B31" s="361" t="s">
        <v>3932</v>
      </c>
      <c r="C31" s="472" t="str">
        <f ca="1">IF(G31=0,"",COUNTIF($G$6:$G31,"&gt;0"))</f>
        <v/>
      </c>
      <c r="D31" s="483" t="s">
        <v>3533</v>
      </c>
      <c r="E31" s="485" t="s">
        <v>3532</v>
      </c>
      <c r="F31" s="413" t="s">
        <v>1265</v>
      </c>
      <c r="G31" s="476">
        <f t="shared" ca="1" si="7"/>
        <v>0</v>
      </c>
      <c r="H31" s="477" t="s">
        <v>3404</v>
      </c>
      <c r="I31" s="478">
        <v>8.82</v>
      </c>
      <c r="J31" s="479">
        <v>0.45</v>
      </c>
      <c r="K31" s="492">
        <f t="shared" ca="1" si="0"/>
        <v>0</v>
      </c>
      <c r="L31" s="477" t="s">
        <v>3405</v>
      </c>
      <c r="M31" s="478">
        <f t="shared" si="4"/>
        <v>8.82</v>
      </c>
      <c r="N31" s="479">
        <v>0.55000000000000004</v>
      </c>
      <c r="O31" s="481">
        <f t="shared" si="1"/>
        <v>1024263.954</v>
      </c>
      <c r="P31" s="481">
        <f t="shared" si="2"/>
        <v>1251878.1660000002</v>
      </c>
      <c r="Q31" s="481">
        <f t="shared" ca="1" si="5"/>
        <v>0</v>
      </c>
      <c r="R31" s="471">
        <f t="shared" ca="1" si="3"/>
        <v>0</v>
      </c>
    </row>
    <row r="32" spans="2:18" s="371" customFormat="1" ht="15.75" hidden="1">
      <c r="B32" s="361" t="s">
        <v>3933</v>
      </c>
      <c r="C32" s="472" t="str">
        <f ca="1">IF(G32=0,"",COUNTIF($G$6:$G32,"&gt;0"))</f>
        <v/>
      </c>
      <c r="D32" s="483" t="s">
        <v>3533</v>
      </c>
      <c r="E32" s="485" t="s">
        <v>3532</v>
      </c>
      <c r="F32" s="413" t="s">
        <v>1265</v>
      </c>
      <c r="G32" s="476">
        <f t="shared" ca="1" si="7"/>
        <v>0</v>
      </c>
      <c r="H32" s="477" t="s">
        <v>3404</v>
      </c>
      <c r="I32" s="478">
        <v>14.273999999999999</v>
      </c>
      <c r="J32" s="479">
        <v>0.45</v>
      </c>
      <c r="K32" s="492">
        <f t="shared" ca="1" si="0"/>
        <v>0</v>
      </c>
      <c r="L32" s="477" t="s">
        <v>3405</v>
      </c>
      <c r="M32" s="478">
        <f t="shared" si="4"/>
        <v>14.273999999999999</v>
      </c>
      <c r="N32" s="479">
        <v>0.55000000000000004</v>
      </c>
      <c r="O32" s="481">
        <f t="shared" si="1"/>
        <v>1657635.3377999999</v>
      </c>
      <c r="P32" s="481">
        <f t="shared" si="2"/>
        <v>2025998.7462000002</v>
      </c>
      <c r="Q32" s="481">
        <f t="shared" ca="1" si="5"/>
        <v>0</v>
      </c>
      <c r="R32" s="471">
        <f t="shared" ca="1" si="3"/>
        <v>0</v>
      </c>
    </row>
    <row r="33" spans="2:18" s="371" customFormat="1" ht="15.75" hidden="1">
      <c r="B33" s="361" t="s">
        <v>3934</v>
      </c>
      <c r="C33" s="472" t="str">
        <f ca="1">IF(G33=0,"",COUNTIF($G$6:$G33,"&gt;0"))</f>
        <v/>
      </c>
      <c r="D33" s="483" t="s">
        <v>3500</v>
      </c>
      <c r="E33" s="485" t="s">
        <v>3515</v>
      </c>
      <c r="F33" s="413" t="s">
        <v>37</v>
      </c>
      <c r="G33" s="476">
        <f t="shared" ca="1" si="6"/>
        <v>0</v>
      </c>
      <c r="H33" s="477" t="s">
        <v>3403</v>
      </c>
      <c r="I33" s="478">
        <v>0.91800000000000004</v>
      </c>
      <c r="J33" s="479">
        <v>0.45</v>
      </c>
      <c r="K33" s="492">
        <f t="shared" ca="1" si="0"/>
        <v>0</v>
      </c>
      <c r="L33" s="477" t="s">
        <v>3404</v>
      </c>
      <c r="M33" s="478">
        <f t="shared" si="4"/>
        <v>0.91800000000000004</v>
      </c>
      <c r="N33" s="479">
        <v>0.55000000000000004</v>
      </c>
      <c r="O33" s="481">
        <f t="shared" si="1"/>
        <v>106607.06460000001</v>
      </c>
      <c r="P33" s="481">
        <f t="shared" si="2"/>
        <v>130297.52340000002</v>
      </c>
      <c r="Q33" s="481">
        <f t="shared" ca="1" si="5"/>
        <v>0</v>
      </c>
      <c r="R33" s="471">
        <f t="shared" ca="1" si="3"/>
        <v>0</v>
      </c>
    </row>
    <row r="34" spans="2:18" ht="26.25">
      <c r="B34" s="361" t="s">
        <v>3935</v>
      </c>
      <c r="C34" s="472">
        <f ca="1">IF(G34=0,"",COUNTIF($G$6:$G34,"&gt;0"))</f>
        <v>4</v>
      </c>
      <c r="D34" s="475" t="s">
        <v>3501</v>
      </c>
      <c r="E34" s="514" t="s">
        <v>2975</v>
      </c>
      <c r="F34" s="413" t="s">
        <v>37</v>
      </c>
      <c r="G34" s="476">
        <f t="shared" ca="1" si="6"/>
        <v>23</v>
      </c>
      <c r="H34" s="477" t="s">
        <v>3403</v>
      </c>
      <c r="I34" s="478">
        <v>1.53</v>
      </c>
      <c r="J34" s="479">
        <v>0.45</v>
      </c>
      <c r="K34" s="492">
        <f t="shared" ca="1" si="0"/>
        <v>23</v>
      </c>
      <c r="L34" s="477" t="s">
        <v>3404</v>
      </c>
      <c r="M34" s="478">
        <f t="shared" si="4"/>
        <v>1.53</v>
      </c>
      <c r="N34" s="479">
        <v>0.55000000000000004</v>
      </c>
      <c r="O34" s="481">
        <f t="shared" si="1"/>
        <v>177678.44099999999</v>
      </c>
      <c r="P34" s="481">
        <f t="shared" si="2"/>
        <v>217162.53900000002</v>
      </c>
      <c r="Q34" s="481">
        <f t="shared" ca="1" si="5"/>
        <v>9081342.540000001</v>
      </c>
      <c r="R34" s="1120">
        <f t="shared" ca="1" si="3"/>
        <v>1</v>
      </c>
    </row>
    <row r="35" spans="2:18" s="371" customFormat="1" ht="15.75" hidden="1">
      <c r="B35" s="361" t="s">
        <v>3936</v>
      </c>
      <c r="C35" s="472" t="str">
        <f ca="1">IF(G35=0,"",COUNTIF($G$6:$G35,"&gt;0"))</f>
        <v/>
      </c>
      <c r="D35" s="483" t="s">
        <v>3502</v>
      </c>
      <c r="E35" s="485" t="s">
        <v>2976</v>
      </c>
      <c r="F35" s="413" t="s">
        <v>37</v>
      </c>
      <c r="G35" s="476">
        <f t="shared" ca="1" si="6"/>
        <v>0</v>
      </c>
      <c r="H35" s="477" t="s">
        <v>3403</v>
      </c>
      <c r="I35" s="478">
        <v>2.0699999999999998</v>
      </c>
      <c r="J35" s="479">
        <v>0.45</v>
      </c>
      <c r="K35" s="492">
        <f t="shared" ca="1" si="0"/>
        <v>0</v>
      </c>
      <c r="L35" s="477" t="s">
        <v>3404</v>
      </c>
      <c r="M35" s="478">
        <f t="shared" si="4"/>
        <v>2.0699999999999998</v>
      </c>
      <c r="N35" s="479">
        <v>0.55000000000000004</v>
      </c>
      <c r="O35" s="481">
        <f t="shared" si="1"/>
        <v>240388.47899999999</v>
      </c>
      <c r="P35" s="481">
        <f t="shared" si="2"/>
        <v>293808.141</v>
      </c>
      <c r="Q35" s="481">
        <f t="shared" ca="1" si="5"/>
        <v>0</v>
      </c>
      <c r="R35" s="471">
        <f t="shared" ca="1" si="3"/>
        <v>0</v>
      </c>
    </row>
    <row r="36" spans="2:18" ht="26.25">
      <c r="B36" s="361" t="s">
        <v>3937</v>
      </c>
      <c r="C36" s="472">
        <f ca="1">IF(G36=0,"",COUNTIF($G$6:$G36,"&gt;0"))</f>
        <v>5</v>
      </c>
      <c r="D36" s="475" t="s">
        <v>3503</v>
      </c>
      <c r="E36" s="514" t="s">
        <v>2977</v>
      </c>
      <c r="F36" s="413" t="s">
        <v>37</v>
      </c>
      <c r="G36" s="476">
        <v>15</v>
      </c>
      <c r="H36" s="477" t="s">
        <v>3403</v>
      </c>
      <c r="I36" s="478">
        <v>2.79</v>
      </c>
      <c r="J36" s="479">
        <v>0.45</v>
      </c>
      <c r="K36" s="492">
        <f t="shared" si="0"/>
        <v>15</v>
      </c>
      <c r="L36" s="477" t="s">
        <v>3404</v>
      </c>
      <c r="M36" s="478">
        <f t="shared" si="4"/>
        <v>2.79</v>
      </c>
      <c r="N36" s="479">
        <v>0.55000000000000004</v>
      </c>
      <c r="O36" s="481">
        <f t="shared" si="1"/>
        <v>324001.86300000001</v>
      </c>
      <c r="P36" s="481">
        <f t="shared" si="2"/>
        <v>396002.27700000006</v>
      </c>
      <c r="Q36" s="481">
        <f t="shared" si="5"/>
        <v>10800062.100000001</v>
      </c>
      <c r="R36" s="1120">
        <f t="shared" si="3"/>
        <v>1</v>
      </c>
    </row>
    <row r="37" spans="2:18" s="371" customFormat="1" ht="15.75" hidden="1">
      <c r="B37" s="361" t="s">
        <v>3938</v>
      </c>
      <c r="C37" s="472" t="str">
        <f ca="1">IF(G37=0,"",COUNTIF($G$6:$G37,"&gt;0"))</f>
        <v/>
      </c>
      <c r="D37" s="483" t="s">
        <v>3504</v>
      </c>
      <c r="E37" s="485" t="s">
        <v>2978</v>
      </c>
      <c r="F37" s="413" t="s">
        <v>37</v>
      </c>
      <c r="G37" s="476">
        <f t="shared" ca="1" si="6"/>
        <v>0</v>
      </c>
      <c r="H37" s="477" t="s">
        <v>3403</v>
      </c>
      <c r="I37" s="478">
        <v>3.3479999999999999</v>
      </c>
      <c r="J37" s="479">
        <v>0.45</v>
      </c>
      <c r="K37" s="492">
        <f t="shared" ca="1" si="0"/>
        <v>0</v>
      </c>
      <c r="L37" s="477" t="s">
        <v>3404</v>
      </c>
      <c r="M37" s="478">
        <f t="shared" si="4"/>
        <v>3.3479999999999999</v>
      </c>
      <c r="N37" s="479">
        <v>0.55000000000000004</v>
      </c>
      <c r="O37" s="481">
        <f t="shared" si="1"/>
        <v>388802.23560000001</v>
      </c>
      <c r="P37" s="481">
        <f t="shared" si="2"/>
        <v>475202.73240000004</v>
      </c>
      <c r="Q37" s="481">
        <f t="shared" ca="1" si="5"/>
        <v>0</v>
      </c>
      <c r="R37" s="471">
        <f t="shared" ca="1" si="3"/>
        <v>0</v>
      </c>
    </row>
    <row r="38" spans="2:18" s="371" customFormat="1" ht="15.75" hidden="1">
      <c r="B38" s="361" t="s">
        <v>3939</v>
      </c>
      <c r="C38" s="472" t="str">
        <f ca="1">IF(G38=0,"",COUNTIF($G$6:$G38,"&gt;0"))</f>
        <v/>
      </c>
      <c r="D38" s="483" t="s">
        <v>3505</v>
      </c>
      <c r="E38" s="485" t="s">
        <v>2979</v>
      </c>
      <c r="F38" s="413" t="s">
        <v>37</v>
      </c>
      <c r="G38" s="476">
        <f t="shared" ca="1" si="6"/>
        <v>0</v>
      </c>
      <c r="H38" s="477" t="s">
        <v>3403</v>
      </c>
      <c r="I38" s="478">
        <v>4.6260000000000003</v>
      </c>
      <c r="J38" s="479">
        <v>0.45</v>
      </c>
      <c r="K38" s="492">
        <f t="shared" ca="1" si="0"/>
        <v>0</v>
      </c>
      <c r="L38" s="477" t="s">
        <v>3404</v>
      </c>
      <c r="M38" s="478">
        <f t="shared" si="4"/>
        <v>4.6260000000000003</v>
      </c>
      <c r="N38" s="479">
        <v>0.55000000000000004</v>
      </c>
      <c r="O38" s="481">
        <f t="shared" si="1"/>
        <v>537215.9922000001</v>
      </c>
      <c r="P38" s="481">
        <f t="shared" si="2"/>
        <v>656597.32380000013</v>
      </c>
      <c r="Q38" s="481">
        <f t="shared" ca="1" si="5"/>
        <v>0</v>
      </c>
      <c r="R38" s="471">
        <f t="shared" ca="1" si="3"/>
        <v>0</v>
      </c>
    </row>
    <row r="39" spans="2:18" s="371" customFormat="1" ht="15.75" hidden="1">
      <c r="B39" s="361" t="s">
        <v>3940</v>
      </c>
      <c r="C39" s="472" t="str">
        <f ca="1">IF(G39=0,"",COUNTIF($G$6:$G39,"&gt;0"))</f>
        <v/>
      </c>
      <c r="D39" s="483" t="s">
        <v>3506</v>
      </c>
      <c r="E39" s="485" t="s">
        <v>2980</v>
      </c>
      <c r="F39" s="413" t="s">
        <v>37</v>
      </c>
      <c r="G39" s="476">
        <f t="shared" ca="1" si="6"/>
        <v>0</v>
      </c>
      <c r="H39" s="477" t="s">
        <v>3403</v>
      </c>
      <c r="I39" s="478">
        <v>5.9039999999999999</v>
      </c>
      <c r="J39" s="479">
        <v>0.45</v>
      </c>
      <c r="K39" s="492">
        <f t="shared" ca="1" si="0"/>
        <v>0</v>
      </c>
      <c r="L39" s="477" t="s">
        <v>3404</v>
      </c>
      <c r="M39" s="478">
        <f t="shared" si="4"/>
        <v>5.9039999999999999</v>
      </c>
      <c r="N39" s="479">
        <v>0.55000000000000004</v>
      </c>
      <c r="O39" s="481">
        <f t="shared" si="1"/>
        <v>685629.74879999994</v>
      </c>
      <c r="P39" s="481">
        <f t="shared" si="2"/>
        <v>837991.91520000005</v>
      </c>
      <c r="Q39" s="481">
        <f t="shared" ca="1" si="5"/>
        <v>0</v>
      </c>
      <c r="R39" s="471">
        <f t="shared" ca="1" si="3"/>
        <v>0</v>
      </c>
    </row>
    <row r="40" spans="2:18" s="371" customFormat="1" ht="15.75" hidden="1">
      <c r="B40" s="361" t="s">
        <v>3941</v>
      </c>
      <c r="C40" s="472" t="str">
        <f ca="1">IF(G40=0,"",COUNTIF($G$6:$G40,"&gt;0"))</f>
        <v/>
      </c>
      <c r="D40" s="483" t="s">
        <v>3507</v>
      </c>
      <c r="E40" s="485" t="s">
        <v>2981</v>
      </c>
      <c r="F40" s="413" t="s">
        <v>37</v>
      </c>
      <c r="G40" s="476">
        <f t="shared" ca="1" si="6"/>
        <v>0</v>
      </c>
      <c r="H40" s="477" t="s">
        <v>3403</v>
      </c>
      <c r="I40" s="478">
        <v>6.9660000000000002</v>
      </c>
      <c r="J40" s="479">
        <v>0.45</v>
      </c>
      <c r="K40" s="492">
        <f t="shared" ca="1" si="0"/>
        <v>0</v>
      </c>
      <c r="L40" s="477" t="s">
        <v>3404</v>
      </c>
      <c r="M40" s="478">
        <f t="shared" si="4"/>
        <v>6.9660000000000002</v>
      </c>
      <c r="N40" s="479">
        <v>0.55000000000000004</v>
      </c>
      <c r="O40" s="481">
        <f t="shared" si="1"/>
        <v>808959.4902</v>
      </c>
      <c r="P40" s="481">
        <f t="shared" si="2"/>
        <v>988728.26580000005</v>
      </c>
      <c r="Q40" s="481">
        <f t="shared" ca="1" si="5"/>
        <v>0</v>
      </c>
      <c r="R40" s="471">
        <f t="shared" ca="1" si="3"/>
        <v>0</v>
      </c>
    </row>
    <row r="41" spans="2:18" s="371" customFormat="1" ht="15.75" hidden="1">
      <c r="B41" s="361" t="s">
        <v>3942</v>
      </c>
      <c r="C41" s="472" t="str">
        <f ca="1">IF(G41=0,"",COUNTIF($G$6:$G41,"&gt;0"))</f>
        <v/>
      </c>
      <c r="D41" s="483" t="s">
        <v>3508</v>
      </c>
      <c r="E41" s="485" t="s">
        <v>2982</v>
      </c>
      <c r="F41" s="413" t="s">
        <v>37</v>
      </c>
      <c r="G41" s="476">
        <f t="shared" ca="1" si="6"/>
        <v>0</v>
      </c>
      <c r="H41" s="477" t="s">
        <v>3403</v>
      </c>
      <c r="I41" s="478">
        <v>8.2260000000000009</v>
      </c>
      <c r="J41" s="479">
        <v>0.45</v>
      </c>
      <c r="K41" s="492">
        <f t="shared" ca="1" si="0"/>
        <v>0</v>
      </c>
      <c r="L41" s="477" t="s">
        <v>3404</v>
      </c>
      <c r="M41" s="478">
        <f t="shared" si="4"/>
        <v>8.2260000000000009</v>
      </c>
      <c r="N41" s="479">
        <v>0.55000000000000004</v>
      </c>
      <c r="O41" s="481">
        <f t="shared" si="1"/>
        <v>955282.91220000014</v>
      </c>
      <c r="P41" s="481">
        <f t="shared" si="2"/>
        <v>1167568.0038000003</v>
      </c>
      <c r="Q41" s="481">
        <f t="shared" ca="1" si="5"/>
        <v>0</v>
      </c>
      <c r="R41" s="471">
        <f t="shared" ca="1" si="3"/>
        <v>0</v>
      </c>
    </row>
    <row r="42" spans="2:18" s="371" customFormat="1" ht="15.75" hidden="1">
      <c r="B42" s="361" t="s">
        <v>3943</v>
      </c>
      <c r="C42" s="472" t="str">
        <f ca="1">IF(G42=0,"",COUNTIF($G$6:$G42,"&gt;0"))</f>
        <v/>
      </c>
      <c r="D42" s="483" t="s">
        <v>3509</v>
      </c>
      <c r="E42" s="485" t="s">
        <v>2983</v>
      </c>
      <c r="F42" s="413" t="s">
        <v>37</v>
      </c>
      <c r="G42" s="476">
        <f t="shared" ca="1" si="6"/>
        <v>0</v>
      </c>
      <c r="H42" s="477" t="s">
        <v>3403</v>
      </c>
      <c r="I42" s="478">
        <v>10.422000000000001</v>
      </c>
      <c r="J42" s="479">
        <v>0.45</v>
      </c>
      <c r="K42" s="492">
        <f t="shared" ca="1" si="0"/>
        <v>0</v>
      </c>
      <c r="L42" s="477" t="s">
        <v>3404</v>
      </c>
      <c r="M42" s="478">
        <f t="shared" si="4"/>
        <v>10.422000000000001</v>
      </c>
      <c r="N42" s="479">
        <v>0.55000000000000004</v>
      </c>
      <c r="O42" s="481">
        <f t="shared" si="1"/>
        <v>1210303.7334</v>
      </c>
      <c r="P42" s="481">
        <f t="shared" si="2"/>
        <v>1479260.1186000002</v>
      </c>
      <c r="Q42" s="481">
        <f t="shared" ca="1" si="5"/>
        <v>0</v>
      </c>
      <c r="R42" s="471">
        <f t="shared" ca="1" si="3"/>
        <v>0</v>
      </c>
    </row>
    <row r="43" spans="2:18" s="371" customFormat="1" ht="15.75" hidden="1">
      <c r="B43" s="361" t="s">
        <v>3944</v>
      </c>
      <c r="C43" s="472" t="str">
        <f ca="1">IF(G43=0,"",COUNTIF($G$6:$G43,"&gt;0"))</f>
        <v/>
      </c>
      <c r="D43" s="483" t="s">
        <v>3510</v>
      </c>
      <c r="E43" s="485" t="s">
        <v>2984</v>
      </c>
      <c r="F43" s="413" t="s">
        <v>37</v>
      </c>
      <c r="G43" s="476">
        <f t="shared" ca="1" si="6"/>
        <v>0</v>
      </c>
      <c r="H43" s="477" t="s">
        <v>3403</v>
      </c>
      <c r="I43" s="478">
        <v>12.294</v>
      </c>
      <c r="J43" s="479">
        <v>0.45</v>
      </c>
      <c r="K43" s="492">
        <f t="shared" ca="1" si="0"/>
        <v>0</v>
      </c>
      <c r="L43" s="477" t="s">
        <v>3404</v>
      </c>
      <c r="M43" s="478">
        <f t="shared" si="4"/>
        <v>12.294</v>
      </c>
      <c r="N43" s="479">
        <v>0.55000000000000004</v>
      </c>
      <c r="O43" s="481">
        <f t="shared" si="1"/>
        <v>1427698.5318</v>
      </c>
      <c r="P43" s="481">
        <f t="shared" si="2"/>
        <v>1744964.8722000001</v>
      </c>
      <c r="Q43" s="481">
        <f t="shared" ca="1" si="5"/>
        <v>0</v>
      </c>
      <c r="R43" s="471">
        <f t="shared" ca="1" si="3"/>
        <v>0</v>
      </c>
    </row>
    <row r="44" spans="2:18" s="371" customFormat="1" ht="15.75" hidden="1">
      <c r="B44" s="361" t="s">
        <v>4024</v>
      </c>
      <c r="C44" s="472" t="str">
        <f ca="1">IF(G44=0,"",COUNTIF($G$6:$G44,"&gt;0"))</f>
        <v/>
      </c>
      <c r="D44" s="489" t="s">
        <v>3525</v>
      </c>
      <c r="E44" s="488" t="s">
        <v>2973</v>
      </c>
      <c r="F44" s="413" t="s">
        <v>9</v>
      </c>
      <c r="G44" s="476">
        <f t="shared" ca="1" si="6"/>
        <v>0</v>
      </c>
      <c r="H44" s="477" t="s">
        <v>3404</v>
      </c>
      <c r="I44" s="478">
        <f>4.32/3</f>
        <v>1.4400000000000002</v>
      </c>
      <c r="J44" s="479">
        <v>0.45</v>
      </c>
      <c r="K44" s="492">
        <f t="shared" ca="1" si="0"/>
        <v>0</v>
      </c>
      <c r="L44" s="477" t="s">
        <v>3404</v>
      </c>
      <c r="M44" s="478">
        <f t="shared" si="4"/>
        <v>1.4400000000000002</v>
      </c>
      <c r="N44" s="479">
        <v>0.55000000000000004</v>
      </c>
      <c r="O44" s="481">
        <f t="shared" si="1"/>
        <v>167226.76800000001</v>
      </c>
      <c r="P44" s="481">
        <f t="shared" si="2"/>
        <v>204388.27200000003</v>
      </c>
      <c r="Q44" s="481">
        <f t="shared" ca="1" si="5"/>
        <v>0</v>
      </c>
      <c r="R44" s="471">
        <f t="shared" ca="1" si="3"/>
        <v>0</v>
      </c>
    </row>
    <row r="45" spans="2:18" s="371" customFormat="1" ht="15.75" hidden="1">
      <c r="B45" s="361" t="s">
        <v>4025</v>
      </c>
      <c r="C45" s="472" t="str">
        <f ca="1">IF(G45=0,"",COUNTIF($G$6:$G45,"&gt;0"))</f>
        <v/>
      </c>
      <c r="D45" s="475" t="s">
        <v>2748</v>
      </c>
      <c r="E45" s="488" t="s">
        <v>2749</v>
      </c>
      <c r="F45" s="413" t="s">
        <v>9</v>
      </c>
      <c r="G45" s="476">
        <f t="shared" ca="1" si="6"/>
        <v>0</v>
      </c>
      <c r="H45" s="477" t="s">
        <v>3404</v>
      </c>
      <c r="I45" s="478">
        <v>2</v>
      </c>
      <c r="J45" s="479">
        <v>0.45</v>
      </c>
      <c r="K45" s="492">
        <f t="shared" ca="1" si="0"/>
        <v>0</v>
      </c>
      <c r="L45" s="477" t="s">
        <v>3404</v>
      </c>
      <c r="M45" s="478">
        <f t="shared" si="4"/>
        <v>2</v>
      </c>
      <c r="N45" s="479">
        <v>0.55000000000000004</v>
      </c>
      <c r="O45" s="481">
        <f t="shared" si="1"/>
        <v>232259.4</v>
      </c>
      <c r="P45" s="481">
        <f t="shared" si="2"/>
        <v>283872.60000000003</v>
      </c>
      <c r="Q45" s="481">
        <f t="shared" ca="1" si="5"/>
        <v>0</v>
      </c>
      <c r="R45" s="471">
        <f t="shared" ca="1" si="3"/>
        <v>0</v>
      </c>
    </row>
    <row r="46" spans="2:18" ht="26.25">
      <c r="B46" s="361" t="s">
        <v>4026</v>
      </c>
      <c r="C46" s="472">
        <f ca="1">IF(G46=0,"",COUNTIF($G$6:$G46,"&gt;0"))</f>
        <v>6</v>
      </c>
      <c r="D46" s="475" t="s">
        <v>3555</v>
      </c>
      <c r="E46" s="514" t="s">
        <v>2974</v>
      </c>
      <c r="F46" s="413" t="s">
        <v>9</v>
      </c>
      <c r="G46" s="476">
        <v>3</v>
      </c>
      <c r="H46" s="477" t="s">
        <v>3404</v>
      </c>
      <c r="I46" s="478">
        <f>2.7/3</f>
        <v>0.9</v>
      </c>
      <c r="J46" s="479">
        <v>1</v>
      </c>
      <c r="K46" s="492">
        <f t="shared" si="0"/>
        <v>3</v>
      </c>
      <c r="L46" s="477" t="s">
        <v>3403</v>
      </c>
      <c r="M46" s="478">
        <f t="shared" si="4"/>
        <v>0.9</v>
      </c>
      <c r="N46" s="479">
        <v>1</v>
      </c>
      <c r="O46" s="481">
        <f t="shared" si="1"/>
        <v>232259.4</v>
      </c>
      <c r="P46" s="481">
        <f t="shared" si="2"/>
        <v>232259.4</v>
      </c>
      <c r="Q46" s="481">
        <f t="shared" si="5"/>
        <v>1393556.4</v>
      </c>
      <c r="R46" s="1120">
        <f t="shared" si="3"/>
        <v>1</v>
      </c>
    </row>
    <row r="47" spans="2:18" s="371" customFormat="1" ht="15.75" hidden="1">
      <c r="B47" s="361" t="s">
        <v>4027</v>
      </c>
      <c r="C47" s="472" t="str">
        <f ca="1">IF(G47=0,"",COUNTIF($G$6:$G47,"&gt;0"))</f>
        <v/>
      </c>
      <c r="D47" s="475" t="s">
        <v>2751</v>
      </c>
      <c r="E47" s="488" t="s">
        <v>2752</v>
      </c>
      <c r="F47" s="413" t="s">
        <v>9</v>
      </c>
      <c r="G47" s="476">
        <f t="shared" ca="1" si="6"/>
        <v>0</v>
      </c>
      <c r="H47" s="477" t="s">
        <v>3404</v>
      </c>
      <c r="I47" s="478">
        <v>3.7120000000000002</v>
      </c>
      <c r="J47" s="479">
        <v>0.45</v>
      </c>
      <c r="K47" s="492">
        <f t="shared" ca="1" si="0"/>
        <v>0</v>
      </c>
      <c r="L47" s="477" t="s">
        <v>3404</v>
      </c>
      <c r="M47" s="478">
        <f t="shared" si="4"/>
        <v>3.7120000000000002</v>
      </c>
      <c r="N47" s="479">
        <v>0.55000000000000004</v>
      </c>
      <c r="O47" s="481">
        <f t="shared" si="1"/>
        <v>431073.44640000007</v>
      </c>
      <c r="P47" s="481">
        <f t="shared" si="2"/>
        <v>526867.54560000007</v>
      </c>
      <c r="Q47" s="481">
        <f t="shared" ca="1" si="5"/>
        <v>0</v>
      </c>
      <c r="R47" s="471">
        <f t="shared" ca="1" si="3"/>
        <v>0</v>
      </c>
    </row>
    <row r="48" spans="2:18" s="371" customFormat="1" ht="15.75" hidden="1">
      <c r="B48" s="361" t="s">
        <v>4028</v>
      </c>
      <c r="C48" s="472" t="str">
        <f ca="1">IF(G48=0,"",COUNTIF($G$6:$G48,"&gt;0"))</f>
        <v/>
      </c>
      <c r="D48" s="487">
        <v>51104</v>
      </c>
      <c r="E48" s="488" t="s">
        <v>2753</v>
      </c>
      <c r="F48" s="413" t="s">
        <v>37</v>
      </c>
      <c r="G48" s="476">
        <f t="shared" ca="1" si="6"/>
        <v>0</v>
      </c>
      <c r="H48" s="477" t="s">
        <v>3404</v>
      </c>
      <c r="I48" s="478">
        <v>5</v>
      </c>
      <c r="J48" s="479">
        <v>0.45</v>
      </c>
      <c r="K48" s="492">
        <f t="shared" ca="1" si="0"/>
        <v>0</v>
      </c>
      <c r="L48" s="477" t="s">
        <v>3404</v>
      </c>
      <c r="M48" s="478">
        <f t="shared" si="4"/>
        <v>5</v>
      </c>
      <c r="N48" s="479">
        <v>0.55000000000000004</v>
      </c>
      <c r="O48" s="481">
        <f t="shared" si="1"/>
        <v>580648.5</v>
      </c>
      <c r="P48" s="481">
        <f t="shared" si="2"/>
        <v>709681.5</v>
      </c>
      <c r="Q48" s="481">
        <f t="shared" ca="1" si="5"/>
        <v>0</v>
      </c>
      <c r="R48" s="471">
        <f t="shared" ca="1" si="3"/>
        <v>0</v>
      </c>
    </row>
    <row r="49" spans="2:18" s="371" customFormat="1" ht="15.75" hidden="1">
      <c r="B49" s="361" t="s">
        <v>4029</v>
      </c>
      <c r="C49" s="472" t="str">
        <f ca="1">IF(G49=0,"",COUNTIF($G$6:$G49,"&gt;0"))</f>
        <v/>
      </c>
      <c r="D49" s="487" t="s">
        <v>2754</v>
      </c>
      <c r="E49" s="488" t="s">
        <v>2755</v>
      </c>
      <c r="F49" s="413" t="s">
        <v>37</v>
      </c>
      <c r="G49" s="476">
        <f t="shared" ca="1" si="6"/>
        <v>0</v>
      </c>
      <c r="H49" s="477" t="s">
        <v>3404</v>
      </c>
      <c r="I49" s="478">
        <v>14</v>
      </c>
      <c r="J49" s="479">
        <v>0.45</v>
      </c>
      <c r="K49" s="492">
        <f t="shared" ca="1" si="0"/>
        <v>0</v>
      </c>
      <c r="L49" s="477" t="s">
        <v>3404</v>
      </c>
      <c r="M49" s="478">
        <f t="shared" si="4"/>
        <v>14</v>
      </c>
      <c r="N49" s="479">
        <v>0.55000000000000004</v>
      </c>
      <c r="O49" s="481">
        <f t="shared" si="1"/>
        <v>1625815.8</v>
      </c>
      <c r="P49" s="481">
        <f t="shared" si="2"/>
        <v>1987108.2000000002</v>
      </c>
      <c r="Q49" s="481">
        <f t="shared" ca="1" si="5"/>
        <v>0</v>
      </c>
      <c r="R49" s="471">
        <f t="shared" ca="1" si="3"/>
        <v>0</v>
      </c>
    </row>
    <row r="50" spans="2:18" s="371" customFormat="1" ht="15.75" hidden="1">
      <c r="B50" s="361" t="s">
        <v>4030</v>
      </c>
      <c r="C50" s="472" t="str">
        <f ca="1">IF(G50=0,"",COUNTIF($G$6:$G50,"&gt;0"))</f>
        <v/>
      </c>
      <c r="D50" s="475" t="s">
        <v>2742</v>
      </c>
      <c r="E50" s="488" t="s">
        <v>2756</v>
      </c>
      <c r="F50" s="413" t="s">
        <v>163</v>
      </c>
      <c r="G50" s="476">
        <f t="shared" ca="1" si="6"/>
        <v>0</v>
      </c>
      <c r="H50" s="477" t="s">
        <v>3404</v>
      </c>
      <c r="I50" s="478">
        <v>1.1200000000000001</v>
      </c>
      <c r="J50" s="479">
        <v>0.45</v>
      </c>
      <c r="K50" s="492">
        <f t="shared" ca="1" si="0"/>
        <v>0</v>
      </c>
      <c r="L50" s="477" t="s">
        <v>3404</v>
      </c>
      <c r="M50" s="478">
        <f t="shared" si="4"/>
        <v>1.1200000000000001</v>
      </c>
      <c r="N50" s="479">
        <v>0.55000000000000004</v>
      </c>
      <c r="O50" s="481">
        <f t="shared" si="1"/>
        <v>130065.26400000002</v>
      </c>
      <c r="P50" s="481">
        <f t="shared" si="2"/>
        <v>158968.65600000005</v>
      </c>
      <c r="Q50" s="481">
        <f t="shared" ca="1" si="5"/>
        <v>0</v>
      </c>
      <c r="R50" s="471">
        <f t="shared" ca="1" si="3"/>
        <v>0</v>
      </c>
    </row>
    <row r="51" spans="2:18" ht="26.25">
      <c r="B51" s="361" t="s">
        <v>4031</v>
      </c>
      <c r="C51" s="472">
        <f ca="1">IF(G51=0,"",COUNTIF($G$6:$G51,"&gt;0"))</f>
        <v>7</v>
      </c>
      <c r="D51" s="475" t="s">
        <v>4706</v>
      </c>
      <c r="E51" s="514" t="s">
        <v>4707</v>
      </c>
      <c r="F51" s="413" t="s">
        <v>3553</v>
      </c>
      <c r="G51" s="476">
        <f t="shared" ca="1" si="6"/>
        <v>106</v>
      </c>
      <c r="H51" s="477" t="s">
        <v>3404</v>
      </c>
      <c r="I51" s="478">
        <f>0.368*1.5</f>
        <v>0.55200000000000005</v>
      </c>
      <c r="J51" s="479">
        <v>0.4</v>
      </c>
      <c r="K51" s="492">
        <f t="shared" ca="1" si="0"/>
        <v>106</v>
      </c>
      <c r="L51" s="477" t="s">
        <v>3404</v>
      </c>
      <c r="M51" s="478">
        <f t="shared" si="4"/>
        <v>0.55200000000000005</v>
      </c>
      <c r="N51" s="479">
        <v>0.6</v>
      </c>
      <c r="O51" s="481">
        <f t="shared" si="1"/>
        <v>56980.972800000003</v>
      </c>
      <c r="P51" s="481">
        <f t="shared" si="2"/>
        <v>85471.459199999998</v>
      </c>
      <c r="Q51" s="481">
        <f t="shared" ca="1" si="5"/>
        <v>15099957.791999999</v>
      </c>
      <c r="R51" s="1120">
        <f t="shared" ca="1" si="3"/>
        <v>1</v>
      </c>
    </row>
    <row r="52" spans="2:18" s="371" customFormat="1" ht="15.75" hidden="1">
      <c r="B52" s="361" t="s">
        <v>4713</v>
      </c>
      <c r="C52" s="472" t="str">
        <f ca="1">IF(G52=0,"",COUNTIF($G$6:$G52,"&gt;0"))</f>
        <v/>
      </c>
      <c r="D52" s="483" t="s">
        <v>3552</v>
      </c>
      <c r="E52" s="488" t="s">
        <v>4708</v>
      </c>
      <c r="F52" s="413" t="s">
        <v>3553</v>
      </c>
      <c r="G52" s="476">
        <f t="shared" ca="1" si="6"/>
        <v>0</v>
      </c>
      <c r="H52" s="477" t="s">
        <v>3404</v>
      </c>
      <c r="I52" s="478">
        <v>1.1200000000000001</v>
      </c>
      <c r="J52" s="479">
        <v>0.4</v>
      </c>
      <c r="K52" s="492">
        <f t="shared" ca="1" si="0"/>
        <v>0</v>
      </c>
      <c r="L52" s="477" t="s">
        <v>3404</v>
      </c>
      <c r="M52" s="478">
        <f t="shared" si="4"/>
        <v>1.1200000000000001</v>
      </c>
      <c r="N52" s="479">
        <v>0.6</v>
      </c>
      <c r="O52" s="481">
        <f t="shared" si="1"/>
        <v>115613.56800000003</v>
      </c>
      <c r="P52" s="481">
        <f t="shared" si="2"/>
        <v>173420.35200000001</v>
      </c>
      <c r="Q52" s="481">
        <f t="shared" ca="1" si="5"/>
        <v>0</v>
      </c>
      <c r="R52" s="471">
        <f t="shared" ca="1" si="3"/>
        <v>0</v>
      </c>
    </row>
    <row r="53" spans="2:18" s="371" customFormat="1" ht="15.75" hidden="1">
      <c r="B53" s="361" t="s">
        <v>4714</v>
      </c>
      <c r="C53" s="472" t="str">
        <f ca="1">IF(G53=0,"",COUNTIF($G$6:$G53,"&gt;0"))</f>
        <v/>
      </c>
      <c r="D53" s="483" t="s">
        <v>4711</v>
      </c>
      <c r="E53" s="488" t="s">
        <v>4709</v>
      </c>
      <c r="F53" s="413" t="s">
        <v>3553</v>
      </c>
      <c r="G53" s="476">
        <f t="shared" ca="1" si="6"/>
        <v>0</v>
      </c>
      <c r="H53" s="477" t="s">
        <v>3404</v>
      </c>
      <c r="I53" s="478">
        <v>1.44</v>
      </c>
      <c r="J53" s="479">
        <v>0.4</v>
      </c>
      <c r="K53" s="492">
        <f t="shared" ca="1" si="0"/>
        <v>0</v>
      </c>
      <c r="L53" s="477" t="s">
        <v>3404</v>
      </c>
      <c r="M53" s="478">
        <f t="shared" si="4"/>
        <v>1.44</v>
      </c>
      <c r="N53" s="479">
        <v>0.6</v>
      </c>
      <c r="O53" s="481">
        <f t="shared" si="1"/>
        <v>148646.016</v>
      </c>
      <c r="P53" s="481">
        <f t="shared" si="2"/>
        <v>222969.02399999998</v>
      </c>
      <c r="Q53" s="481">
        <f t="shared" ca="1" si="5"/>
        <v>0</v>
      </c>
      <c r="R53" s="471">
        <f t="shared" ca="1" si="3"/>
        <v>0</v>
      </c>
    </row>
    <row r="54" spans="2:18" s="371" customFormat="1" ht="15.75" hidden="1">
      <c r="B54" s="361" t="s">
        <v>4715</v>
      </c>
      <c r="C54" s="472" t="str">
        <f ca="1">IF(G54=0,"",COUNTIF($G$6:$G54,"&gt;0"))</f>
        <v/>
      </c>
      <c r="D54" s="483" t="s">
        <v>4712</v>
      </c>
      <c r="E54" s="488" t="s">
        <v>4710</v>
      </c>
      <c r="F54" s="413" t="s">
        <v>3553</v>
      </c>
      <c r="G54" s="476">
        <f t="shared" ca="1" si="6"/>
        <v>0</v>
      </c>
      <c r="H54" s="477" t="s">
        <v>3404</v>
      </c>
      <c r="I54" s="478">
        <v>1.6</v>
      </c>
      <c r="J54" s="479">
        <v>0.4</v>
      </c>
      <c r="K54" s="492">
        <f t="shared" ca="1" si="0"/>
        <v>0</v>
      </c>
      <c r="L54" s="477" t="s">
        <v>3404</v>
      </c>
      <c r="M54" s="478">
        <f t="shared" si="4"/>
        <v>1.6</v>
      </c>
      <c r="N54" s="479">
        <v>0.6</v>
      </c>
      <c r="O54" s="481">
        <f t="shared" si="1"/>
        <v>165162.24000000002</v>
      </c>
      <c r="P54" s="481">
        <f t="shared" si="2"/>
        <v>247743.36000000002</v>
      </c>
      <c r="Q54" s="481">
        <f t="shared" ca="1" si="5"/>
        <v>0</v>
      </c>
      <c r="R54" s="471">
        <f t="shared" ca="1" si="3"/>
        <v>0</v>
      </c>
    </row>
    <row r="55" spans="2:18" s="371" customFormat="1" ht="15.75" hidden="1">
      <c r="B55" s="361" t="s">
        <v>4032</v>
      </c>
      <c r="C55" s="472" t="str">
        <f ca="1">IF(G55=0,"",COUNTIF($G$6:$G55,"&gt;0"))</f>
        <v/>
      </c>
      <c r="D55" s="489" t="s">
        <v>3550</v>
      </c>
      <c r="E55" s="491" t="s">
        <v>2758</v>
      </c>
      <c r="F55" s="492" t="s">
        <v>3549</v>
      </c>
      <c r="G55" s="476">
        <f t="shared" ca="1" si="6"/>
        <v>0</v>
      </c>
      <c r="H55" s="477" t="s">
        <v>3404</v>
      </c>
      <c r="I55" s="478">
        <v>3.4380000000000002</v>
      </c>
      <c r="J55" s="479">
        <v>0.45</v>
      </c>
      <c r="K55" s="492">
        <f t="shared" ca="1" si="0"/>
        <v>0</v>
      </c>
      <c r="L55" s="477" t="s">
        <v>3404</v>
      </c>
      <c r="M55" s="478">
        <f t="shared" si="4"/>
        <v>3.4380000000000002</v>
      </c>
      <c r="N55" s="479">
        <v>0.55000000000000004</v>
      </c>
      <c r="O55" s="481">
        <f t="shared" si="1"/>
        <v>399253.90860000002</v>
      </c>
      <c r="P55" s="481">
        <f t="shared" si="2"/>
        <v>487976.99940000009</v>
      </c>
      <c r="Q55" s="481">
        <f t="shared" ca="1" si="5"/>
        <v>0</v>
      </c>
      <c r="R55" s="471">
        <f t="shared" ca="1" si="3"/>
        <v>0</v>
      </c>
    </row>
    <row r="56" spans="2:18" ht="26.25">
      <c r="B56" s="361" t="s">
        <v>4033</v>
      </c>
      <c r="C56" s="472">
        <f ca="1">IF(G56=0,"",COUNTIF($G$6:$G56,"&gt;0"))</f>
        <v>8</v>
      </c>
      <c r="D56" s="475" t="s">
        <v>3521</v>
      </c>
      <c r="E56" s="513" t="s">
        <v>3554</v>
      </c>
      <c r="F56" s="492" t="s">
        <v>9</v>
      </c>
      <c r="G56" s="476">
        <f ca="1">G51</f>
        <v>106</v>
      </c>
      <c r="H56" s="477" t="s">
        <v>3403</v>
      </c>
      <c r="I56" s="478">
        <f>0.944*1.5</f>
        <v>1.4159999999999999</v>
      </c>
      <c r="J56" s="479">
        <v>0.4</v>
      </c>
      <c r="K56" s="492">
        <f t="shared" ca="1" si="0"/>
        <v>106</v>
      </c>
      <c r="L56" s="477" t="s">
        <v>3404</v>
      </c>
      <c r="M56" s="478">
        <f t="shared" si="4"/>
        <v>1.4159999999999999</v>
      </c>
      <c r="N56" s="479">
        <v>0.6</v>
      </c>
      <c r="O56" s="481">
        <f t="shared" si="1"/>
        <v>146168.58240000001</v>
      </c>
      <c r="P56" s="481">
        <f t="shared" si="2"/>
        <v>219252.87359999999</v>
      </c>
      <c r="Q56" s="481">
        <f t="shared" ca="1" si="5"/>
        <v>38734674.336000003</v>
      </c>
      <c r="R56" s="1120">
        <f t="shared" ca="1" si="3"/>
        <v>1</v>
      </c>
    </row>
    <row r="57" spans="2:18" s="371" customFormat="1" ht="15.75" hidden="1">
      <c r="B57" s="361" t="s">
        <v>4034</v>
      </c>
      <c r="C57" s="472" t="str">
        <f ca="1">IF(G57=0,"",COUNTIF($G$6:$G57,"&gt;0"))</f>
        <v/>
      </c>
      <c r="D57" s="483" t="s">
        <v>3530</v>
      </c>
      <c r="E57" s="493" t="s">
        <v>3531</v>
      </c>
      <c r="F57" s="492" t="s">
        <v>9</v>
      </c>
      <c r="G57" s="476">
        <f t="shared" ca="1" si="6"/>
        <v>0</v>
      </c>
      <c r="H57" s="477" t="s">
        <v>3404</v>
      </c>
      <c r="I57" s="478">
        <v>0.63</v>
      </c>
      <c r="J57" s="479">
        <v>0.45</v>
      </c>
      <c r="K57" s="492">
        <f t="shared" ca="1" si="0"/>
        <v>0</v>
      </c>
      <c r="L57" s="477" t="s">
        <v>3404</v>
      </c>
      <c r="M57" s="478">
        <f t="shared" si="4"/>
        <v>0.63</v>
      </c>
      <c r="N57" s="479">
        <v>0.6</v>
      </c>
      <c r="O57" s="481">
        <f t="shared" si="1"/>
        <v>73161.710999999996</v>
      </c>
      <c r="P57" s="481">
        <f t="shared" si="2"/>
        <v>97548.947999999989</v>
      </c>
      <c r="Q57" s="481">
        <f t="shared" ca="1" si="5"/>
        <v>0</v>
      </c>
      <c r="R57" s="471">
        <f t="shared" ca="1" si="3"/>
        <v>0</v>
      </c>
    </row>
    <row r="58" spans="2:18" s="371" customFormat="1" ht="26.25" hidden="1">
      <c r="B58" s="361" t="s">
        <v>4035</v>
      </c>
      <c r="C58" s="472" t="str">
        <f ca="1">IF(G58=0,"",COUNTIF($G$6:$G58,"&gt;0"))</f>
        <v/>
      </c>
      <c r="D58" s="483" t="s">
        <v>4705</v>
      </c>
      <c r="E58" s="494" t="s">
        <v>2762</v>
      </c>
      <c r="F58" s="492" t="s">
        <v>163</v>
      </c>
      <c r="G58" s="476">
        <f t="shared" ca="1" si="6"/>
        <v>0</v>
      </c>
      <c r="H58" s="477" t="s">
        <v>3404</v>
      </c>
      <c r="I58" s="478">
        <f>1.26</f>
        <v>1.26</v>
      </c>
      <c r="J58" s="479">
        <v>0.45</v>
      </c>
      <c r="K58" s="492">
        <f t="shared" ca="1" si="0"/>
        <v>0</v>
      </c>
      <c r="L58" s="477" t="s">
        <v>3404</v>
      </c>
      <c r="M58" s="478">
        <f t="shared" si="4"/>
        <v>1.26</v>
      </c>
      <c r="N58" s="479">
        <v>0.55000000000000004</v>
      </c>
      <c r="O58" s="481">
        <f t="shared" si="1"/>
        <v>146323.42199999999</v>
      </c>
      <c r="P58" s="481">
        <f t="shared" si="2"/>
        <v>178839.73800000001</v>
      </c>
      <c r="Q58" s="481">
        <f t="shared" ca="1" si="5"/>
        <v>0</v>
      </c>
      <c r="R58" s="1120">
        <f t="shared" ca="1" si="3"/>
        <v>0</v>
      </c>
    </row>
    <row r="59" spans="2:18" s="371" customFormat="1" ht="15.75" hidden="1">
      <c r="B59" s="361" t="s">
        <v>4036</v>
      </c>
      <c r="C59" s="472" t="str">
        <f ca="1">IF(G59=0,"",COUNTIF($G$6:$G59,"&gt;0"))</f>
        <v/>
      </c>
      <c r="D59" s="483" t="s">
        <v>4705</v>
      </c>
      <c r="E59" s="494" t="s">
        <v>2763</v>
      </c>
      <c r="F59" s="492" t="s">
        <v>163</v>
      </c>
      <c r="G59" s="476">
        <f t="shared" ca="1" si="6"/>
        <v>0</v>
      </c>
      <c r="H59" s="477" t="s">
        <v>3404</v>
      </c>
      <c r="I59" s="478">
        <f t="shared" ref="I59:I60" si="10">1.26</f>
        <v>1.26</v>
      </c>
      <c r="J59" s="479">
        <v>0.5</v>
      </c>
      <c r="K59" s="492">
        <f t="shared" ca="1" si="0"/>
        <v>0</v>
      </c>
      <c r="L59" s="477" t="s">
        <v>3404</v>
      </c>
      <c r="M59" s="478">
        <f t="shared" si="4"/>
        <v>1.26</v>
      </c>
      <c r="N59" s="479">
        <v>0.55000000000000004</v>
      </c>
      <c r="O59" s="481">
        <f t="shared" si="1"/>
        <v>162581.57999999999</v>
      </c>
      <c r="P59" s="481">
        <f t="shared" si="2"/>
        <v>178839.73800000001</v>
      </c>
      <c r="Q59" s="481">
        <f t="shared" ca="1" si="5"/>
        <v>0</v>
      </c>
      <c r="R59" s="471">
        <f t="shared" ca="1" si="3"/>
        <v>0</v>
      </c>
    </row>
    <row r="60" spans="2:18" s="371" customFormat="1" ht="15.75" hidden="1">
      <c r="B60" s="361" t="s">
        <v>4037</v>
      </c>
      <c r="C60" s="472" t="str">
        <f ca="1">IF(G60=0,"",COUNTIF($G$6:$G60,"&gt;0"))</f>
        <v/>
      </c>
      <c r="D60" s="483" t="s">
        <v>4705</v>
      </c>
      <c r="E60" s="493" t="s">
        <v>2764</v>
      </c>
      <c r="F60" s="492" t="s">
        <v>37</v>
      </c>
      <c r="G60" s="476">
        <f t="shared" ca="1" si="6"/>
        <v>0</v>
      </c>
      <c r="H60" s="477" t="s">
        <v>3404</v>
      </c>
      <c r="I60" s="478">
        <f t="shared" si="10"/>
        <v>1.26</v>
      </c>
      <c r="J60" s="479">
        <v>0.5</v>
      </c>
      <c r="K60" s="492">
        <f t="shared" ca="1" si="0"/>
        <v>0</v>
      </c>
      <c r="L60" s="477" t="s">
        <v>3404</v>
      </c>
      <c r="M60" s="478">
        <f t="shared" si="4"/>
        <v>1.26</v>
      </c>
      <c r="N60" s="479">
        <v>0.55000000000000004</v>
      </c>
      <c r="O60" s="481">
        <f t="shared" si="1"/>
        <v>162581.57999999999</v>
      </c>
      <c r="P60" s="481">
        <f t="shared" si="2"/>
        <v>178839.73800000001</v>
      </c>
      <c r="Q60" s="481">
        <f t="shared" ca="1" si="5"/>
        <v>0</v>
      </c>
      <c r="R60" s="471">
        <f t="shared" ca="1" si="3"/>
        <v>0</v>
      </c>
    </row>
    <row r="61" spans="2:18" s="371" customFormat="1" ht="15.75" hidden="1">
      <c r="B61" s="361" t="s">
        <v>4038</v>
      </c>
      <c r="C61" s="472" t="str">
        <f ca="1">IF(G61=0,"",COUNTIF($G$6:$G61,"&gt;0"))</f>
        <v/>
      </c>
      <c r="D61" s="475" t="s">
        <v>2739</v>
      </c>
      <c r="E61" s="491" t="s">
        <v>2766</v>
      </c>
      <c r="F61" s="413" t="s">
        <v>1265</v>
      </c>
      <c r="G61" s="476">
        <f ca="1">SUMIF(maBK,B61,tongBK1)/1000</f>
        <v>0</v>
      </c>
      <c r="H61" s="477" t="s">
        <v>3404</v>
      </c>
      <c r="I61" s="478">
        <v>10.42</v>
      </c>
      <c r="J61" s="479">
        <v>0.45</v>
      </c>
      <c r="K61" s="492">
        <f t="shared" ca="1" si="0"/>
        <v>0</v>
      </c>
      <c r="L61" s="477" t="s">
        <v>3404</v>
      </c>
      <c r="M61" s="478">
        <f t="shared" si="4"/>
        <v>10.42</v>
      </c>
      <c r="N61" s="479">
        <v>0.55000000000000004</v>
      </c>
      <c r="O61" s="481">
        <f t="shared" si="1"/>
        <v>1210071.4740000002</v>
      </c>
      <c r="P61" s="481">
        <f t="shared" si="2"/>
        <v>1478976.2460000003</v>
      </c>
      <c r="Q61" s="481">
        <f t="shared" ca="1" si="5"/>
        <v>0</v>
      </c>
      <c r="R61" s="471">
        <f t="shared" ca="1" si="3"/>
        <v>0</v>
      </c>
    </row>
    <row r="62" spans="2:18" s="371" customFormat="1" ht="26.25" hidden="1">
      <c r="B62" s="361" t="s">
        <v>4039</v>
      </c>
      <c r="C62" s="472" t="str">
        <f ca="1">IF(G62=0,"",COUNTIF($G$6:$G62,"&gt;0"))</f>
        <v/>
      </c>
      <c r="D62" s="483" t="s">
        <v>3460</v>
      </c>
      <c r="E62" s="495" t="s">
        <v>2772</v>
      </c>
      <c r="F62" s="475" t="s">
        <v>37</v>
      </c>
      <c r="G62" s="476">
        <f t="shared" ca="1" si="6"/>
        <v>0</v>
      </c>
      <c r="H62" s="477" t="s">
        <v>3404</v>
      </c>
      <c r="I62" s="478">
        <v>0.81</v>
      </c>
      <c r="J62" s="479">
        <v>0.45</v>
      </c>
      <c r="K62" s="492">
        <f ca="1">G62</f>
        <v>0</v>
      </c>
      <c r="L62" s="477" t="s">
        <v>3404</v>
      </c>
      <c r="M62" s="478">
        <f t="shared" si="4"/>
        <v>0.81</v>
      </c>
      <c r="N62" s="479">
        <v>0.55000000000000004</v>
      </c>
      <c r="O62" s="481">
        <f t="shared" si="1"/>
        <v>94065.057000000015</v>
      </c>
      <c r="P62" s="481">
        <f t="shared" si="2"/>
        <v>114968.40300000002</v>
      </c>
      <c r="Q62" s="481">
        <f t="shared" ca="1" si="5"/>
        <v>0</v>
      </c>
      <c r="R62" s="1120">
        <f t="shared" ca="1" si="3"/>
        <v>0</v>
      </c>
    </row>
    <row r="63" spans="2:18" s="371" customFormat="1" ht="15.75" hidden="1">
      <c r="B63" s="361" t="s">
        <v>3945</v>
      </c>
      <c r="C63" s="472" t="str">
        <f ca="1">IF(G63=0,"",COUNTIF($G$6:$G63,"&gt;0"))</f>
        <v/>
      </c>
      <c r="D63" s="483" t="s">
        <v>3492</v>
      </c>
      <c r="E63" s="486" t="s">
        <v>2931</v>
      </c>
      <c r="F63" s="413" t="s">
        <v>2785</v>
      </c>
      <c r="G63" s="476">
        <f t="shared" ca="1" si="6"/>
        <v>0</v>
      </c>
      <c r="H63" s="477" t="s">
        <v>3403</v>
      </c>
      <c r="I63" s="478">
        <v>3.33</v>
      </c>
      <c r="J63" s="479">
        <v>0.45</v>
      </c>
      <c r="K63" s="492">
        <f t="shared" ca="1" si="0"/>
        <v>0</v>
      </c>
      <c r="L63" s="477" t="s">
        <v>3404</v>
      </c>
      <c r="M63" s="478">
        <f t="shared" si="4"/>
        <v>3.33</v>
      </c>
      <c r="N63" s="479">
        <v>0.55000000000000004</v>
      </c>
      <c r="O63" s="481">
        <f t="shared" si="1"/>
        <v>386711.90100000001</v>
      </c>
      <c r="P63" s="481">
        <f t="shared" si="2"/>
        <v>472647.87900000007</v>
      </c>
      <c r="Q63" s="481">
        <f t="shared" ca="1" si="5"/>
        <v>0</v>
      </c>
      <c r="R63" s="471">
        <f t="shared" ca="1" si="3"/>
        <v>0</v>
      </c>
    </row>
    <row r="64" spans="2:18" ht="26.25">
      <c r="B64" s="361" t="s">
        <v>3946</v>
      </c>
      <c r="C64" s="472">
        <f ca="1">IF(G64=0,"",COUNTIF($G$6:$G64,"&gt;0"))</f>
        <v>9</v>
      </c>
      <c r="D64" s="475" t="s">
        <v>3493</v>
      </c>
      <c r="E64" s="511" t="s">
        <v>2930</v>
      </c>
      <c r="F64" s="413" t="s">
        <v>2785</v>
      </c>
      <c r="G64" s="476">
        <v>23</v>
      </c>
      <c r="H64" s="477" t="s">
        <v>3403</v>
      </c>
      <c r="I64" s="478">
        <v>3.5640000000000001</v>
      </c>
      <c r="J64" s="479">
        <v>1</v>
      </c>
      <c r="K64" s="492">
        <f t="shared" si="0"/>
        <v>23</v>
      </c>
      <c r="L64" s="477" t="s">
        <v>3404</v>
      </c>
      <c r="M64" s="478">
        <f t="shared" si="4"/>
        <v>3.5640000000000001</v>
      </c>
      <c r="N64" s="479">
        <f>J64</f>
        <v>1</v>
      </c>
      <c r="O64" s="481">
        <f t="shared" si="1"/>
        <v>919747.22400000005</v>
      </c>
      <c r="P64" s="481">
        <f t="shared" si="2"/>
        <v>919747.22400000005</v>
      </c>
      <c r="Q64" s="481">
        <f t="shared" si="5"/>
        <v>42308372.304000005</v>
      </c>
      <c r="R64" s="1120">
        <f t="shared" si="3"/>
        <v>1</v>
      </c>
    </row>
    <row r="65" spans="1:18" ht="26.25">
      <c r="B65" s="361" t="s">
        <v>3947</v>
      </c>
      <c r="C65" s="472">
        <f ca="1">IF(G65=0,"",COUNTIF($G$6:$G65,"&gt;0"))</f>
        <v>10</v>
      </c>
      <c r="D65" s="475" t="s">
        <v>3494</v>
      </c>
      <c r="E65" s="511" t="s">
        <v>2932</v>
      </c>
      <c r="F65" s="413" t="s">
        <v>2785</v>
      </c>
      <c r="G65" s="476">
        <v>10</v>
      </c>
      <c r="H65" s="477" t="s">
        <v>3403</v>
      </c>
      <c r="I65" s="478">
        <v>3.8159999999999998</v>
      </c>
      <c r="J65" s="479">
        <v>1</v>
      </c>
      <c r="K65" s="492">
        <f t="shared" si="0"/>
        <v>10</v>
      </c>
      <c r="L65" s="477" t="s">
        <v>3404</v>
      </c>
      <c r="M65" s="478">
        <f t="shared" si="4"/>
        <v>3.8159999999999998</v>
      </c>
      <c r="N65" s="479">
        <f>J65</f>
        <v>1</v>
      </c>
      <c r="O65" s="481">
        <f t="shared" si="1"/>
        <v>984779.85599999991</v>
      </c>
      <c r="P65" s="481">
        <f t="shared" si="2"/>
        <v>984779.85599999991</v>
      </c>
      <c r="Q65" s="481">
        <f t="shared" si="5"/>
        <v>19695597.119999997</v>
      </c>
      <c r="R65" s="1120">
        <f t="shared" si="3"/>
        <v>1</v>
      </c>
    </row>
    <row r="66" spans="1:18" s="371" customFormat="1" ht="15.75" hidden="1">
      <c r="B66" s="361" t="s">
        <v>3948</v>
      </c>
      <c r="C66" s="472" t="str">
        <f ca="1">IF(G66=0,"",COUNTIF($G$6:$G66,"&gt;0"))</f>
        <v/>
      </c>
      <c r="D66" s="483" t="s">
        <v>3495</v>
      </c>
      <c r="E66" s="486" t="s">
        <v>2933</v>
      </c>
      <c r="F66" s="413" t="s">
        <v>2785</v>
      </c>
      <c r="G66" s="476">
        <f t="shared" ca="1" si="6"/>
        <v>0</v>
      </c>
      <c r="H66" s="477" t="s">
        <v>3403</v>
      </c>
      <c r="I66" s="478">
        <v>4.7519999999999998</v>
      </c>
      <c r="J66" s="479">
        <v>0.45</v>
      </c>
      <c r="K66" s="492">
        <f t="shared" ca="1" si="0"/>
        <v>0</v>
      </c>
      <c r="L66" s="477" t="s">
        <v>3404</v>
      </c>
      <c r="M66" s="478">
        <f t="shared" si="4"/>
        <v>4.7519999999999998</v>
      </c>
      <c r="N66" s="479">
        <v>0.55000000000000004</v>
      </c>
      <c r="O66" s="481">
        <f t="shared" si="1"/>
        <v>551848.33440000005</v>
      </c>
      <c r="P66" s="481">
        <f t="shared" si="2"/>
        <v>674481.29760000005</v>
      </c>
      <c r="Q66" s="481">
        <f t="shared" ca="1" si="5"/>
        <v>0</v>
      </c>
      <c r="R66" s="471">
        <f t="shared" ca="1" si="3"/>
        <v>0</v>
      </c>
    </row>
    <row r="67" spans="1:18" s="371" customFormat="1" ht="15.75" hidden="1">
      <c r="B67" s="361" t="s">
        <v>3949</v>
      </c>
      <c r="C67" s="472" t="str">
        <f ca="1">IF(G67=0,"",COUNTIF($G$6:$G67,"&gt;0"))</f>
        <v/>
      </c>
      <c r="D67" s="483" t="s">
        <v>3496</v>
      </c>
      <c r="E67" s="486" t="s">
        <v>2934</v>
      </c>
      <c r="F67" s="413" t="s">
        <v>2785</v>
      </c>
      <c r="G67" s="476">
        <f t="shared" ca="1" si="6"/>
        <v>0</v>
      </c>
      <c r="H67" s="477" t="s">
        <v>3403</v>
      </c>
      <c r="I67" s="478">
        <v>5.1840000000000002</v>
      </c>
      <c r="J67" s="479">
        <v>0.45</v>
      </c>
      <c r="K67" s="492">
        <f t="shared" ca="1" si="0"/>
        <v>0</v>
      </c>
      <c r="L67" s="477" t="s">
        <v>3404</v>
      </c>
      <c r="M67" s="478">
        <f t="shared" si="4"/>
        <v>5.1840000000000002</v>
      </c>
      <c r="N67" s="479">
        <v>0.55000000000000004</v>
      </c>
      <c r="O67" s="481">
        <f t="shared" si="1"/>
        <v>602016.3648000001</v>
      </c>
      <c r="P67" s="481">
        <f t="shared" si="2"/>
        <v>735797.77920000011</v>
      </c>
      <c r="Q67" s="481">
        <f t="shared" ca="1" si="5"/>
        <v>0</v>
      </c>
      <c r="R67" s="471">
        <f t="shared" ca="1" si="3"/>
        <v>0</v>
      </c>
    </row>
    <row r="68" spans="1:18" s="371" customFormat="1" ht="15.75" hidden="1">
      <c r="B68" s="361" t="s">
        <v>3950</v>
      </c>
      <c r="C68" s="472" t="str">
        <f ca="1">IF(G68=0,"",COUNTIF($G$6:$G68,"&gt;0"))</f>
        <v/>
      </c>
      <c r="D68" s="483" t="s">
        <v>3497</v>
      </c>
      <c r="E68" s="486" t="s">
        <v>2935</v>
      </c>
      <c r="F68" s="413" t="s">
        <v>2785</v>
      </c>
      <c r="G68" s="476">
        <f t="shared" ca="1" si="6"/>
        <v>0</v>
      </c>
      <c r="H68" s="477" t="s">
        <v>3403</v>
      </c>
      <c r="I68" s="478">
        <v>6.75</v>
      </c>
      <c r="J68" s="479">
        <v>0.45</v>
      </c>
      <c r="K68" s="492">
        <f t="shared" ca="1" si="0"/>
        <v>0</v>
      </c>
      <c r="L68" s="477" t="s">
        <v>3404</v>
      </c>
      <c r="M68" s="478">
        <f t="shared" si="4"/>
        <v>6.75</v>
      </c>
      <c r="N68" s="479">
        <v>0.55000000000000004</v>
      </c>
      <c r="O68" s="481">
        <f t="shared" si="1"/>
        <v>783875.47499999998</v>
      </c>
      <c r="P68" s="481">
        <f t="shared" si="2"/>
        <v>958070.02500000002</v>
      </c>
      <c r="Q68" s="481">
        <f t="shared" ca="1" si="5"/>
        <v>0</v>
      </c>
      <c r="R68" s="471">
        <f t="shared" ca="1" si="3"/>
        <v>0</v>
      </c>
    </row>
    <row r="69" spans="1:18" s="371" customFormat="1" ht="15.75" hidden="1">
      <c r="B69" s="361" t="s">
        <v>3951</v>
      </c>
      <c r="C69" s="472" t="str">
        <f ca="1">IF(G69=0,"",COUNTIF($G$6:$G69,"&gt;0"))</f>
        <v/>
      </c>
      <c r="D69" s="483" t="s">
        <v>3498</v>
      </c>
      <c r="E69" s="486" t="s">
        <v>2936</v>
      </c>
      <c r="F69" s="413" t="s">
        <v>2785</v>
      </c>
      <c r="G69" s="476">
        <f t="shared" ca="1" si="6"/>
        <v>0</v>
      </c>
      <c r="H69" s="477" t="s">
        <v>3403</v>
      </c>
      <c r="I69" s="478">
        <v>7.8659999999999997</v>
      </c>
      <c r="J69" s="479">
        <v>0.45</v>
      </c>
      <c r="K69" s="492">
        <f t="shared" ca="1" si="0"/>
        <v>0</v>
      </c>
      <c r="L69" s="477" t="s">
        <v>3404</v>
      </c>
      <c r="M69" s="478">
        <f t="shared" si="4"/>
        <v>7.8659999999999997</v>
      </c>
      <c r="N69" s="479">
        <v>0.55000000000000004</v>
      </c>
      <c r="O69" s="481">
        <f t="shared" si="1"/>
        <v>913476.22019999998</v>
      </c>
      <c r="P69" s="481">
        <f t="shared" si="2"/>
        <v>1116470.9358000001</v>
      </c>
      <c r="Q69" s="481">
        <f t="shared" ca="1" si="5"/>
        <v>0</v>
      </c>
      <c r="R69" s="471">
        <f t="shared" ca="1" si="3"/>
        <v>0</v>
      </c>
    </row>
    <row r="70" spans="1:18" s="371" customFormat="1" ht="15.75" hidden="1">
      <c r="B70" s="361" t="s">
        <v>3952</v>
      </c>
      <c r="C70" s="472" t="str">
        <f ca="1">IF(G70=0,"",COUNTIF($G$6:$G70,"&gt;0"))</f>
        <v/>
      </c>
      <c r="D70" s="483" t="s">
        <v>3499</v>
      </c>
      <c r="E70" s="486" t="s">
        <v>2985</v>
      </c>
      <c r="F70" s="413" t="s">
        <v>2785</v>
      </c>
      <c r="G70" s="476">
        <f t="shared" ca="1" si="6"/>
        <v>0</v>
      </c>
      <c r="H70" s="477" t="s">
        <v>3403</v>
      </c>
      <c r="I70" s="478">
        <v>8.5860000000000003</v>
      </c>
      <c r="J70" s="479">
        <v>0.45</v>
      </c>
      <c r="K70" s="492">
        <f t="shared" ref="K70:K113" ca="1" si="11">G70</f>
        <v>0</v>
      </c>
      <c r="L70" s="477" t="s">
        <v>3404</v>
      </c>
      <c r="M70" s="478">
        <f t="shared" si="4"/>
        <v>8.5860000000000003</v>
      </c>
      <c r="N70" s="479">
        <v>0.55000000000000004</v>
      </c>
      <c r="O70" s="481">
        <f t="shared" ref="O70:O114" si="12">VLOOKUP(H70,TIENLUONG,4)*I70*J70</f>
        <v>997089.60420000006</v>
      </c>
      <c r="P70" s="481">
        <f t="shared" ref="P70:P114" si="13">VLOOKUP(L70,TIENLUONG,4)*M70*N70</f>
        <v>1218665.0718</v>
      </c>
      <c r="Q70" s="481">
        <f t="shared" ca="1" si="5"/>
        <v>0</v>
      </c>
      <c r="R70" s="471">
        <f t="shared" ref="R70:R114" ca="1" si="14">IF(G70&lt;&gt;0,1,0)</f>
        <v>0</v>
      </c>
    </row>
    <row r="71" spans="1:18" s="371" customFormat="1" ht="15.75" hidden="1">
      <c r="B71" s="361" t="s">
        <v>2803</v>
      </c>
      <c r="C71" s="472" t="str">
        <f ca="1">IF(G71=0,"",COUNTIF($G$6:$G71,"&gt;0"))</f>
        <v/>
      </c>
      <c r="D71" s="487" t="s">
        <v>2745</v>
      </c>
      <c r="E71" s="488" t="s">
        <v>2746</v>
      </c>
      <c r="F71" s="413" t="s">
        <v>2785</v>
      </c>
      <c r="G71" s="476">
        <f t="shared" ca="1" si="6"/>
        <v>0</v>
      </c>
      <c r="H71" s="477" t="s">
        <v>3404</v>
      </c>
      <c r="I71" s="478">
        <v>1.5</v>
      </c>
      <c r="J71" s="479">
        <v>0.45</v>
      </c>
      <c r="K71" s="492">
        <f t="shared" ca="1" si="11"/>
        <v>0</v>
      </c>
      <c r="L71" s="477" t="s">
        <v>3404</v>
      </c>
      <c r="M71" s="478">
        <f t="shared" ref="M71:M114" si="15">I71</f>
        <v>1.5</v>
      </c>
      <c r="N71" s="479">
        <v>0.55000000000000004</v>
      </c>
      <c r="O71" s="481">
        <f t="shared" si="12"/>
        <v>174194.55000000002</v>
      </c>
      <c r="P71" s="481">
        <f t="shared" si="13"/>
        <v>212904.45</v>
      </c>
      <c r="Q71" s="481">
        <f t="shared" ca="1" si="5"/>
        <v>0</v>
      </c>
      <c r="R71" s="471">
        <f t="shared" ca="1" si="14"/>
        <v>0</v>
      </c>
    </row>
    <row r="72" spans="1:18" ht="26.25">
      <c r="B72" s="361"/>
      <c r="C72" s="364" t="s">
        <v>2677</v>
      </c>
      <c r="D72" s="364" t="s">
        <v>3911</v>
      </c>
      <c r="E72" s="1242"/>
      <c r="F72" s="364"/>
      <c r="G72" s="367"/>
      <c r="H72" s="1149"/>
      <c r="I72" s="1243" t="s">
        <v>2602</v>
      </c>
      <c r="J72" s="1244"/>
      <c r="K72" s="1149"/>
      <c r="L72" s="1149"/>
      <c r="M72" s="1245"/>
      <c r="N72" s="1244"/>
      <c r="O72" s="1246"/>
      <c r="P72" s="1246"/>
      <c r="Q72" s="1246">
        <f ca="1">SUM(Q6:Q71)</f>
        <v>147608212.87137601</v>
      </c>
      <c r="R72" s="1120">
        <f ca="1">IF(Q72&gt;0,1,0)</f>
        <v>1</v>
      </c>
    </row>
    <row r="73" spans="1:18" ht="26.25">
      <c r="A73" s="209" t="s">
        <v>4023</v>
      </c>
      <c r="C73" s="1231" t="s">
        <v>2379</v>
      </c>
      <c r="D73" s="1232" t="s">
        <v>3910</v>
      </c>
      <c r="E73" s="1233"/>
      <c r="F73" s="1234"/>
      <c r="G73" s="1235"/>
      <c r="H73" s="1236"/>
      <c r="I73" s="1237"/>
      <c r="J73" s="1238"/>
      <c r="K73" s="1239"/>
      <c r="L73" s="1236"/>
      <c r="M73" s="1237"/>
      <c r="N73" s="1238"/>
      <c r="O73" s="1240"/>
      <c r="P73" s="1240"/>
      <c r="Q73" s="1240"/>
      <c r="R73" s="1120">
        <v>1</v>
      </c>
    </row>
    <row r="74" spans="1:18" ht="26.25">
      <c r="B74" s="361" t="s">
        <v>3953</v>
      </c>
      <c r="C74" s="472">
        <f ca="1">IF(G74=0,"",COUNTIF($G$6:$G74,"&gt;0"))</f>
        <v>11</v>
      </c>
      <c r="D74" s="487" t="s">
        <v>3534</v>
      </c>
      <c r="E74" s="514" t="s">
        <v>2953</v>
      </c>
      <c r="F74" s="413" t="s">
        <v>1480</v>
      </c>
      <c r="G74" s="476">
        <v>3</v>
      </c>
      <c r="H74" s="477" t="s">
        <v>3404</v>
      </c>
      <c r="I74" s="478">
        <f>0.85*2.9</f>
        <v>2.4649999999999999</v>
      </c>
      <c r="J74" s="479">
        <v>1</v>
      </c>
      <c r="K74" s="492">
        <f t="shared" si="11"/>
        <v>3</v>
      </c>
      <c r="L74" s="477" t="s">
        <v>3404</v>
      </c>
      <c r="M74" s="478">
        <v>3</v>
      </c>
      <c r="N74" s="479">
        <v>1</v>
      </c>
      <c r="O74" s="481">
        <f t="shared" si="12"/>
        <v>636132.68999999994</v>
      </c>
      <c r="P74" s="481">
        <f t="shared" si="13"/>
        <v>774198</v>
      </c>
      <c r="Q74" s="481">
        <f t="shared" si="5"/>
        <v>4230992.07</v>
      </c>
      <c r="R74" s="1120">
        <f t="shared" si="14"/>
        <v>1</v>
      </c>
    </row>
    <row r="75" spans="1:18" s="371" customFormat="1" ht="15.75" hidden="1">
      <c r="B75" s="361" t="s">
        <v>4157</v>
      </c>
      <c r="C75" s="472" t="str">
        <f ca="1">IF(G75=0,"",COUNTIF($G$6:$G75,"&gt;0"))</f>
        <v/>
      </c>
      <c r="D75" s="489" t="s">
        <v>3535</v>
      </c>
      <c r="E75" s="485" t="s">
        <v>4158</v>
      </c>
      <c r="F75" s="413" t="s">
        <v>1480</v>
      </c>
      <c r="G75" s="476">
        <f t="shared" ca="1" si="6"/>
        <v>0</v>
      </c>
      <c r="H75" s="477" t="s">
        <v>3404</v>
      </c>
      <c r="I75" s="478">
        <f>0.85*2.9</f>
        <v>2.4649999999999999</v>
      </c>
      <c r="J75" s="479">
        <v>1</v>
      </c>
      <c r="K75" s="492">
        <f t="shared" ca="1" si="11"/>
        <v>0</v>
      </c>
      <c r="L75" s="477" t="s">
        <v>3404</v>
      </c>
      <c r="M75" s="478">
        <v>3.5</v>
      </c>
      <c r="N75" s="479">
        <v>0.55000000000000004</v>
      </c>
      <c r="O75" s="481">
        <f t="shared" si="12"/>
        <v>636132.68999999994</v>
      </c>
      <c r="P75" s="481">
        <f t="shared" si="13"/>
        <v>496777.05000000005</v>
      </c>
      <c r="Q75" s="481">
        <f t="shared" ca="1" si="5"/>
        <v>0</v>
      </c>
      <c r="R75" s="471">
        <f t="shared" ca="1" si="14"/>
        <v>0</v>
      </c>
    </row>
    <row r="76" spans="1:18" s="371" customFormat="1" ht="15.75" hidden="1">
      <c r="B76" s="361" t="s">
        <v>3954</v>
      </c>
      <c r="C76" s="472" t="str">
        <f ca="1">IF(G76=0,"",COUNTIF($G$6:$G76,"&gt;0"))</f>
        <v/>
      </c>
      <c r="D76" s="489" t="s">
        <v>3535</v>
      </c>
      <c r="E76" s="485" t="s">
        <v>2954</v>
      </c>
      <c r="F76" s="413" t="s">
        <v>1480</v>
      </c>
      <c r="G76" s="476">
        <f t="shared" ca="1" si="6"/>
        <v>0</v>
      </c>
      <c r="H76" s="477" t="s">
        <v>3404</v>
      </c>
      <c r="I76" s="478">
        <f>0.85*2.9</f>
        <v>2.4649999999999999</v>
      </c>
      <c r="J76" s="479">
        <v>1</v>
      </c>
      <c r="K76" s="492">
        <f t="shared" ca="1" si="11"/>
        <v>0</v>
      </c>
      <c r="L76" s="477" t="s">
        <v>3404</v>
      </c>
      <c r="M76" s="478">
        <v>3.5</v>
      </c>
      <c r="N76" s="479">
        <v>0.55000000000000004</v>
      </c>
      <c r="O76" s="481">
        <f t="shared" si="12"/>
        <v>636132.68999999994</v>
      </c>
      <c r="P76" s="481">
        <f t="shared" si="13"/>
        <v>496777.05000000005</v>
      </c>
      <c r="Q76" s="481">
        <f t="shared" ca="1" si="5"/>
        <v>0</v>
      </c>
      <c r="R76" s="471">
        <f t="shared" ca="1" si="14"/>
        <v>0</v>
      </c>
    </row>
    <row r="77" spans="1:18" s="371" customFormat="1" ht="15.75" hidden="1">
      <c r="B77" s="361" t="s">
        <v>3955</v>
      </c>
      <c r="C77" s="472" t="str">
        <f ca="1">IF(G77=0,"",COUNTIF($G$6:$G77,"&gt;0"))</f>
        <v/>
      </c>
      <c r="D77" s="489" t="s">
        <v>3536</v>
      </c>
      <c r="E77" s="485" t="s">
        <v>2955</v>
      </c>
      <c r="F77" s="413" t="s">
        <v>1480</v>
      </c>
      <c r="G77" s="476">
        <f t="shared" ca="1" si="6"/>
        <v>0</v>
      </c>
      <c r="H77" s="477" t="s">
        <v>3404</v>
      </c>
      <c r="I77" s="478">
        <f>2.8+0.5</f>
        <v>3.3</v>
      </c>
      <c r="J77" s="479">
        <v>1</v>
      </c>
      <c r="K77" s="492">
        <f t="shared" ca="1" si="11"/>
        <v>0</v>
      </c>
      <c r="L77" s="477" t="s">
        <v>3404</v>
      </c>
      <c r="M77" s="478">
        <v>4</v>
      </c>
      <c r="N77" s="479">
        <v>0.55000000000000004</v>
      </c>
      <c r="O77" s="481">
        <f t="shared" si="12"/>
        <v>851617.79999999993</v>
      </c>
      <c r="P77" s="481">
        <f t="shared" si="13"/>
        <v>567745.20000000007</v>
      </c>
      <c r="Q77" s="481">
        <f t="shared" ca="1" si="5"/>
        <v>0</v>
      </c>
      <c r="R77" s="471">
        <f t="shared" ca="1" si="14"/>
        <v>0</v>
      </c>
    </row>
    <row r="78" spans="1:18" s="371" customFormat="1" ht="15.75" hidden="1">
      <c r="B78" s="361" t="s">
        <v>3956</v>
      </c>
      <c r="C78" s="472" t="str">
        <f ca="1">IF(G78=0,"",COUNTIF($G$6:$G78,"&gt;0"))</f>
        <v/>
      </c>
      <c r="D78" s="489" t="s">
        <v>3537</v>
      </c>
      <c r="E78" s="485" t="s">
        <v>2956</v>
      </c>
      <c r="F78" s="413" t="s">
        <v>1480</v>
      </c>
      <c r="G78" s="476">
        <f t="shared" ca="1" si="6"/>
        <v>0</v>
      </c>
      <c r="H78" s="477" t="s">
        <v>3404</v>
      </c>
      <c r="I78" s="478">
        <f>3.2+0.5</f>
        <v>3.7</v>
      </c>
      <c r="J78" s="479">
        <v>1</v>
      </c>
      <c r="K78" s="492">
        <f t="shared" ca="1" si="11"/>
        <v>0</v>
      </c>
      <c r="L78" s="477" t="s">
        <v>3404</v>
      </c>
      <c r="M78" s="478">
        <v>4</v>
      </c>
      <c r="N78" s="479">
        <v>0.55000000000000004</v>
      </c>
      <c r="O78" s="481">
        <f t="shared" si="12"/>
        <v>954844.20000000007</v>
      </c>
      <c r="P78" s="481">
        <f t="shared" si="13"/>
        <v>567745.20000000007</v>
      </c>
      <c r="Q78" s="481">
        <f t="shared" ca="1" si="5"/>
        <v>0</v>
      </c>
      <c r="R78" s="471">
        <f t="shared" ca="1" si="14"/>
        <v>0</v>
      </c>
    </row>
    <row r="79" spans="1:18" s="371" customFormat="1" ht="15.75" hidden="1">
      <c r="B79" s="361" t="s">
        <v>3957</v>
      </c>
      <c r="C79" s="472" t="str">
        <f ca="1">IF(G79=0,"",COUNTIF($G$6:$G79,"&gt;0"))</f>
        <v/>
      </c>
      <c r="D79" s="489" t="s">
        <v>3538</v>
      </c>
      <c r="E79" s="485" t="s">
        <v>2957</v>
      </c>
      <c r="F79" s="413" t="s">
        <v>1480</v>
      </c>
      <c r="G79" s="476">
        <f t="shared" ca="1" si="6"/>
        <v>0</v>
      </c>
      <c r="H79" s="477" t="s">
        <v>3404</v>
      </c>
      <c r="I79" s="478">
        <f>3.6+0.5</f>
        <v>4.0999999999999996</v>
      </c>
      <c r="J79" s="479">
        <v>1</v>
      </c>
      <c r="K79" s="492">
        <f t="shared" ca="1" si="11"/>
        <v>0</v>
      </c>
      <c r="L79" s="477" t="s">
        <v>3404</v>
      </c>
      <c r="M79" s="478">
        <v>4.5</v>
      </c>
      <c r="N79" s="479">
        <v>0.55000000000000004</v>
      </c>
      <c r="O79" s="481">
        <f t="shared" si="12"/>
        <v>1058070.5999999999</v>
      </c>
      <c r="P79" s="481">
        <f t="shared" si="13"/>
        <v>638713.35000000009</v>
      </c>
      <c r="Q79" s="481">
        <f t="shared" ca="1" si="5"/>
        <v>0</v>
      </c>
      <c r="R79" s="471">
        <f t="shared" ca="1" si="14"/>
        <v>0</v>
      </c>
    </row>
    <row r="80" spans="1:18" s="371" customFormat="1" ht="15.75" hidden="1">
      <c r="B80" s="361" t="s">
        <v>3958</v>
      </c>
      <c r="C80" s="472" t="str">
        <f ca="1">IF(G80=0,"",COUNTIF($G$6:$G80,"&gt;0"))</f>
        <v/>
      </c>
      <c r="D80" s="489" t="s">
        <v>3539</v>
      </c>
      <c r="E80" s="485" t="s">
        <v>2958</v>
      </c>
      <c r="F80" s="413" t="s">
        <v>1480</v>
      </c>
      <c r="G80" s="476">
        <f t="shared" ca="1" si="6"/>
        <v>0</v>
      </c>
      <c r="H80" s="477" t="s">
        <v>3404</v>
      </c>
      <c r="I80" s="478">
        <f>3.6+0.5</f>
        <v>4.0999999999999996</v>
      </c>
      <c r="J80" s="479">
        <v>1</v>
      </c>
      <c r="K80" s="492">
        <f t="shared" ca="1" si="11"/>
        <v>0</v>
      </c>
      <c r="L80" s="477" t="s">
        <v>3404</v>
      </c>
      <c r="M80" s="478">
        <v>4.5</v>
      </c>
      <c r="N80" s="479">
        <v>0.55000000000000004</v>
      </c>
      <c r="O80" s="481">
        <f t="shared" si="12"/>
        <v>1058070.5999999999</v>
      </c>
      <c r="P80" s="481">
        <f t="shared" si="13"/>
        <v>638713.35000000009</v>
      </c>
      <c r="Q80" s="481">
        <f t="shared" ca="1" si="5"/>
        <v>0</v>
      </c>
      <c r="R80" s="471">
        <f t="shared" ca="1" si="14"/>
        <v>0</v>
      </c>
    </row>
    <row r="81" spans="2:18" s="371" customFormat="1" ht="15.75" hidden="1">
      <c r="B81" s="361" t="s">
        <v>3959</v>
      </c>
      <c r="C81" s="472" t="str">
        <f ca="1">IF(G81=0,"",COUNTIF($G$6:$G81,"&gt;0"))</f>
        <v/>
      </c>
      <c r="D81" s="489" t="s">
        <v>3540</v>
      </c>
      <c r="E81" s="485" t="s">
        <v>2959</v>
      </c>
      <c r="F81" s="413" t="s">
        <v>1480</v>
      </c>
      <c r="G81" s="476">
        <f t="shared" ca="1" si="6"/>
        <v>0</v>
      </c>
      <c r="H81" s="477" t="s">
        <v>3404</v>
      </c>
      <c r="I81" s="478">
        <f>3.6+1</f>
        <v>4.5999999999999996</v>
      </c>
      <c r="J81" s="479">
        <v>1</v>
      </c>
      <c r="K81" s="492">
        <f t="shared" ca="1" si="11"/>
        <v>0</v>
      </c>
      <c r="L81" s="477" t="s">
        <v>3404</v>
      </c>
      <c r="M81" s="478">
        <v>4.5</v>
      </c>
      <c r="N81" s="479">
        <v>0.55000000000000004</v>
      </c>
      <c r="O81" s="481">
        <f t="shared" si="12"/>
        <v>1187103.5999999999</v>
      </c>
      <c r="P81" s="481">
        <f t="shared" si="13"/>
        <v>638713.35000000009</v>
      </c>
      <c r="Q81" s="481">
        <f t="shared" ca="1" si="5"/>
        <v>0</v>
      </c>
      <c r="R81" s="471">
        <f t="shared" ca="1" si="14"/>
        <v>0</v>
      </c>
    </row>
    <row r="82" spans="2:18" s="371" customFormat="1" ht="15.75" hidden="1">
      <c r="B82" s="361" t="s">
        <v>3960</v>
      </c>
      <c r="C82" s="472" t="str">
        <f ca="1">IF(G82=0,"",COUNTIF($G$6:$G82,"&gt;0"))</f>
        <v/>
      </c>
      <c r="D82" s="489" t="s">
        <v>3541</v>
      </c>
      <c r="E82" s="485" t="s">
        <v>2960</v>
      </c>
      <c r="F82" s="413" t="s">
        <v>1480</v>
      </c>
      <c r="G82" s="476">
        <f t="shared" ca="1" si="6"/>
        <v>0</v>
      </c>
      <c r="H82" s="477" t="s">
        <v>3404</v>
      </c>
      <c r="I82" s="478">
        <f>4.4+1</f>
        <v>5.4</v>
      </c>
      <c r="J82" s="479">
        <v>1</v>
      </c>
      <c r="K82" s="492">
        <f t="shared" ca="1" si="11"/>
        <v>0</v>
      </c>
      <c r="L82" s="477" t="s">
        <v>3404</v>
      </c>
      <c r="M82" s="478">
        <v>5.5</v>
      </c>
      <c r="N82" s="479">
        <v>0.55000000000000004</v>
      </c>
      <c r="O82" s="481">
        <f t="shared" si="12"/>
        <v>1393556.4000000001</v>
      </c>
      <c r="P82" s="481">
        <f t="shared" si="13"/>
        <v>780649.65</v>
      </c>
      <c r="Q82" s="481">
        <f t="shared" ca="1" si="5"/>
        <v>0</v>
      </c>
      <c r="R82" s="471">
        <f t="shared" ca="1" si="14"/>
        <v>0</v>
      </c>
    </row>
    <row r="83" spans="2:18" s="371" customFormat="1" ht="15.75" hidden="1">
      <c r="B83" s="361" t="s">
        <v>3961</v>
      </c>
      <c r="C83" s="472" t="str">
        <f ca="1">IF(G83=0,"",COUNTIF($G$6:$G83,"&gt;0"))</f>
        <v/>
      </c>
      <c r="D83" s="489" t="s">
        <v>3542</v>
      </c>
      <c r="E83" s="485" t="s">
        <v>2961</v>
      </c>
      <c r="F83" s="413" t="s">
        <v>1480</v>
      </c>
      <c r="G83" s="476">
        <f t="shared" ca="1" si="6"/>
        <v>0</v>
      </c>
      <c r="H83" s="477" t="s">
        <v>3404</v>
      </c>
      <c r="I83" s="478">
        <f>5.2+1</f>
        <v>6.2</v>
      </c>
      <c r="J83" s="479">
        <v>1</v>
      </c>
      <c r="K83" s="492">
        <f t="shared" ca="1" si="11"/>
        <v>0</v>
      </c>
      <c r="L83" s="477" t="s">
        <v>3404</v>
      </c>
      <c r="M83" s="478">
        <v>6.5</v>
      </c>
      <c r="N83" s="479">
        <v>0.55000000000000004</v>
      </c>
      <c r="O83" s="481">
        <f t="shared" si="12"/>
        <v>1600009.2</v>
      </c>
      <c r="P83" s="481">
        <f t="shared" si="13"/>
        <v>922585.95000000007</v>
      </c>
      <c r="Q83" s="481">
        <f t="shared" ca="1" si="5"/>
        <v>0</v>
      </c>
      <c r="R83" s="471">
        <f t="shared" ca="1" si="14"/>
        <v>0</v>
      </c>
    </row>
    <row r="84" spans="2:18" s="371" customFormat="1" ht="15.75" hidden="1">
      <c r="B84" s="361" t="s">
        <v>3962</v>
      </c>
      <c r="C84" s="472" t="str">
        <f ca="1">IF(G84=0,"",COUNTIF($G$6:$G84,"&gt;0"))</f>
        <v/>
      </c>
      <c r="D84" s="487" t="s">
        <v>2972</v>
      </c>
      <c r="E84" s="490" t="s">
        <v>2965</v>
      </c>
      <c r="F84" s="413" t="s">
        <v>774</v>
      </c>
      <c r="G84" s="476">
        <f t="shared" ca="1" si="6"/>
        <v>0</v>
      </c>
      <c r="H84" s="477" t="s">
        <v>3403</v>
      </c>
      <c r="I84" s="478">
        <v>4.7E-2</v>
      </c>
      <c r="J84" s="479">
        <v>0.45</v>
      </c>
      <c r="K84" s="492">
        <f t="shared" ca="1" si="11"/>
        <v>0</v>
      </c>
      <c r="L84" s="477" t="s">
        <v>3403</v>
      </c>
      <c r="M84" s="478">
        <f t="shared" si="15"/>
        <v>4.7E-2</v>
      </c>
      <c r="N84" s="479">
        <v>0.55000000000000004</v>
      </c>
      <c r="O84" s="481">
        <f t="shared" si="12"/>
        <v>5458.0959000000003</v>
      </c>
      <c r="P84" s="481">
        <f t="shared" si="13"/>
        <v>6671.0061000000005</v>
      </c>
      <c r="Q84" s="481">
        <f t="shared" ca="1" si="5"/>
        <v>0</v>
      </c>
      <c r="R84" s="471">
        <f t="shared" ca="1" si="14"/>
        <v>0</v>
      </c>
    </row>
    <row r="85" spans="2:18" s="371" customFormat="1" ht="15.75" hidden="1">
      <c r="B85" s="361" t="s">
        <v>3963</v>
      </c>
      <c r="C85" s="472" t="str">
        <f ca="1">IF(G85=0,"",COUNTIF($G$6:$G85,"&gt;0"))</f>
        <v/>
      </c>
      <c r="D85" s="487" t="s">
        <v>2972</v>
      </c>
      <c r="E85" s="490" t="s">
        <v>2966</v>
      </c>
      <c r="F85" s="413" t="s">
        <v>774</v>
      </c>
      <c r="G85" s="476">
        <f t="shared" ca="1" si="6"/>
        <v>0</v>
      </c>
      <c r="H85" s="477" t="s">
        <v>3403</v>
      </c>
      <c r="I85" s="478">
        <v>4.7E-2</v>
      </c>
      <c r="J85" s="479">
        <v>0.45</v>
      </c>
      <c r="K85" s="492">
        <f t="shared" ca="1" si="11"/>
        <v>0</v>
      </c>
      <c r="L85" s="477" t="s">
        <v>3403</v>
      </c>
      <c r="M85" s="478">
        <f t="shared" si="15"/>
        <v>4.7E-2</v>
      </c>
      <c r="N85" s="479">
        <v>0.55000000000000004</v>
      </c>
      <c r="O85" s="481">
        <f t="shared" si="12"/>
        <v>5458.0959000000003</v>
      </c>
      <c r="P85" s="481">
        <f t="shared" si="13"/>
        <v>6671.0061000000005</v>
      </c>
      <c r="Q85" s="481">
        <f t="shared" ca="1" si="5"/>
        <v>0</v>
      </c>
      <c r="R85" s="471">
        <f t="shared" ca="1" si="14"/>
        <v>0</v>
      </c>
    </row>
    <row r="86" spans="2:18" ht="31.5">
      <c r="B86" s="361" t="s">
        <v>3964</v>
      </c>
      <c r="C86" s="472">
        <f ca="1">IF(G86=0,"",COUNTIF($G$6:$G86,"&gt;0"))</f>
        <v>12</v>
      </c>
      <c r="D86" s="487" t="s">
        <v>2972</v>
      </c>
      <c r="E86" s="1247" t="s">
        <v>2967</v>
      </c>
      <c r="F86" s="413" t="s">
        <v>774</v>
      </c>
      <c r="G86" s="476">
        <f t="shared" ca="1" si="6"/>
        <v>48</v>
      </c>
      <c r="H86" s="477" t="s">
        <v>3403</v>
      </c>
      <c r="I86" s="478">
        <v>0.153</v>
      </c>
      <c r="J86" s="479">
        <v>0.45</v>
      </c>
      <c r="K86" s="492">
        <f t="shared" ca="1" si="11"/>
        <v>48</v>
      </c>
      <c r="L86" s="477" t="s">
        <v>3403</v>
      </c>
      <c r="M86" s="478">
        <f t="shared" si="15"/>
        <v>0.153</v>
      </c>
      <c r="N86" s="479">
        <v>0.55000000000000004</v>
      </c>
      <c r="O86" s="481">
        <f t="shared" si="12"/>
        <v>17767.844099999998</v>
      </c>
      <c r="P86" s="481">
        <f t="shared" si="13"/>
        <v>21716.2539</v>
      </c>
      <c r="Q86" s="481">
        <f t="shared" ca="1" si="5"/>
        <v>1895236.7039999999</v>
      </c>
      <c r="R86" s="1120">
        <f t="shared" ca="1" si="14"/>
        <v>1</v>
      </c>
    </row>
    <row r="87" spans="2:18" ht="31.5">
      <c r="B87" s="361" t="s">
        <v>3965</v>
      </c>
      <c r="C87" s="472">
        <f ca="1">IF(G87=0,"",COUNTIF($G$6:$G87,"&gt;0"))</f>
        <v>13</v>
      </c>
      <c r="D87" s="487" t="s">
        <v>2972</v>
      </c>
      <c r="E87" s="1247" t="s">
        <v>2968</v>
      </c>
      <c r="F87" s="413" t="s">
        <v>774</v>
      </c>
      <c r="G87" s="476">
        <f t="shared" ca="1" si="6"/>
        <v>30</v>
      </c>
      <c r="H87" s="477" t="s">
        <v>3403</v>
      </c>
      <c r="I87" s="478">
        <v>0.153</v>
      </c>
      <c r="J87" s="479">
        <v>0.45</v>
      </c>
      <c r="K87" s="492">
        <f t="shared" ca="1" si="11"/>
        <v>30</v>
      </c>
      <c r="L87" s="477" t="s">
        <v>3403</v>
      </c>
      <c r="M87" s="478">
        <f t="shared" si="15"/>
        <v>0.153</v>
      </c>
      <c r="N87" s="479">
        <v>0.55000000000000004</v>
      </c>
      <c r="O87" s="481">
        <f t="shared" si="12"/>
        <v>17767.844099999998</v>
      </c>
      <c r="P87" s="481">
        <f t="shared" si="13"/>
        <v>21716.2539</v>
      </c>
      <c r="Q87" s="481">
        <f t="shared" ca="1" si="5"/>
        <v>1184522.94</v>
      </c>
      <c r="R87" s="1120">
        <f t="shared" ca="1" si="14"/>
        <v>1</v>
      </c>
    </row>
    <row r="88" spans="2:18" s="371" customFormat="1" ht="31.5" hidden="1">
      <c r="B88" s="361" t="s">
        <v>3966</v>
      </c>
      <c r="C88" s="472" t="str">
        <f ca="1">IF(G88=0,"",COUNTIF($G$6:$G88,"&gt;0"))</f>
        <v/>
      </c>
      <c r="D88" s="487" t="s">
        <v>2972</v>
      </c>
      <c r="E88" s="1130" t="s">
        <v>2969</v>
      </c>
      <c r="F88" s="413" t="s">
        <v>774</v>
      </c>
      <c r="G88" s="476">
        <f t="shared" ca="1" si="6"/>
        <v>0</v>
      </c>
      <c r="H88" s="477" t="s">
        <v>3403</v>
      </c>
      <c r="I88" s="478">
        <v>9.4E-2</v>
      </c>
      <c r="J88" s="479">
        <v>0.45</v>
      </c>
      <c r="K88" s="492">
        <f t="shared" ca="1" si="11"/>
        <v>0</v>
      </c>
      <c r="L88" s="477" t="s">
        <v>3403</v>
      </c>
      <c r="M88" s="478">
        <f t="shared" si="15"/>
        <v>9.4E-2</v>
      </c>
      <c r="N88" s="479">
        <v>0.55000000000000004</v>
      </c>
      <c r="O88" s="481">
        <f t="shared" si="12"/>
        <v>10916.191800000001</v>
      </c>
      <c r="P88" s="481">
        <f t="shared" si="13"/>
        <v>13342.012200000001</v>
      </c>
      <c r="Q88" s="481">
        <f t="shared" ca="1" si="5"/>
        <v>0</v>
      </c>
      <c r="R88" s="1120">
        <f t="shared" ca="1" si="14"/>
        <v>0</v>
      </c>
    </row>
    <row r="89" spans="2:18" s="371" customFormat="1" ht="15.75" hidden="1">
      <c r="B89" s="361" t="s">
        <v>3967</v>
      </c>
      <c r="C89" s="472" t="str">
        <f ca="1">IF(G89=0,"",COUNTIF($G$6:$G89,"&gt;0"))</f>
        <v/>
      </c>
      <c r="D89" s="487" t="s">
        <v>2972</v>
      </c>
      <c r="E89" s="490" t="s">
        <v>2970</v>
      </c>
      <c r="F89" s="413" t="s">
        <v>774</v>
      </c>
      <c r="G89" s="476">
        <f t="shared" ca="1" si="6"/>
        <v>0</v>
      </c>
      <c r="H89" s="477" t="s">
        <v>3403</v>
      </c>
      <c r="I89" s="478">
        <f>I86*2</f>
        <v>0.30599999999999999</v>
      </c>
      <c r="J89" s="479">
        <v>0.45</v>
      </c>
      <c r="K89" s="492">
        <f t="shared" ca="1" si="11"/>
        <v>0</v>
      </c>
      <c r="L89" s="477" t="s">
        <v>3403</v>
      </c>
      <c r="M89" s="478">
        <f t="shared" si="15"/>
        <v>0.30599999999999999</v>
      </c>
      <c r="N89" s="479">
        <v>0.55000000000000004</v>
      </c>
      <c r="O89" s="481">
        <f t="shared" si="12"/>
        <v>35535.688199999997</v>
      </c>
      <c r="P89" s="481">
        <f t="shared" si="13"/>
        <v>43432.507799999999</v>
      </c>
      <c r="Q89" s="481">
        <f t="shared" ca="1" si="5"/>
        <v>0</v>
      </c>
      <c r="R89" s="471">
        <f t="shared" ca="1" si="14"/>
        <v>0</v>
      </c>
    </row>
    <row r="90" spans="2:18" s="371" customFormat="1" ht="15.75" hidden="1">
      <c r="B90" s="361" t="s">
        <v>3968</v>
      </c>
      <c r="C90" s="472" t="str">
        <f ca="1">IF(G90=0,"",COUNTIF($G$6:$G90,"&gt;0"))</f>
        <v/>
      </c>
      <c r="D90" s="487" t="s">
        <v>2972</v>
      </c>
      <c r="E90" s="490" t="s">
        <v>2971</v>
      </c>
      <c r="F90" s="413" t="s">
        <v>774</v>
      </c>
      <c r="G90" s="476">
        <f t="shared" ca="1" si="6"/>
        <v>0</v>
      </c>
      <c r="H90" s="477" t="s">
        <v>3403</v>
      </c>
      <c r="I90" s="478">
        <f>I88*2</f>
        <v>0.188</v>
      </c>
      <c r="J90" s="479">
        <v>0.45</v>
      </c>
      <c r="K90" s="492">
        <f t="shared" ca="1" si="11"/>
        <v>0</v>
      </c>
      <c r="L90" s="477" t="s">
        <v>3403</v>
      </c>
      <c r="M90" s="478">
        <f t="shared" si="15"/>
        <v>0.188</v>
      </c>
      <c r="N90" s="479">
        <v>0.55000000000000004</v>
      </c>
      <c r="O90" s="481">
        <f t="shared" si="12"/>
        <v>21832.383600000001</v>
      </c>
      <c r="P90" s="481">
        <f t="shared" si="13"/>
        <v>26684.024400000002</v>
      </c>
      <c r="Q90" s="481">
        <f t="shared" ca="1" si="5"/>
        <v>0</v>
      </c>
      <c r="R90" s="471">
        <f t="shared" ca="1" si="14"/>
        <v>0</v>
      </c>
    </row>
    <row r="91" spans="2:18" s="371" customFormat="1" ht="15.75" hidden="1">
      <c r="B91" s="361" t="s">
        <v>3969</v>
      </c>
      <c r="C91" s="472" t="str">
        <f ca="1">IF(G91=0,"",COUNTIF($G$6:$G91,"&gt;0"))</f>
        <v/>
      </c>
      <c r="D91" s="489" t="s">
        <v>3556</v>
      </c>
      <c r="E91" s="488" t="s">
        <v>3522</v>
      </c>
      <c r="F91" s="413" t="s">
        <v>9</v>
      </c>
      <c r="G91" s="476">
        <f t="shared" ca="1" si="6"/>
        <v>0</v>
      </c>
      <c r="H91" s="477" t="s">
        <v>3404</v>
      </c>
      <c r="I91" s="478">
        <v>1.98</v>
      </c>
      <c r="J91" s="479">
        <v>0.45</v>
      </c>
      <c r="K91" s="492">
        <f t="shared" ca="1" si="11"/>
        <v>0</v>
      </c>
      <c r="L91" s="477" t="s">
        <v>3404</v>
      </c>
      <c r="M91" s="478">
        <f t="shared" si="15"/>
        <v>1.98</v>
      </c>
      <c r="N91" s="479">
        <v>0.55000000000000004</v>
      </c>
      <c r="O91" s="481">
        <f t="shared" si="12"/>
        <v>229936.80600000001</v>
      </c>
      <c r="P91" s="481">
        <f t="shared" si="13"/>
        <v>281033.87400000001</v>
      </c>
      <c r="Q91" s="481">
        <f t="shared" ca="1" si="5"/>
        <v>0</v>
      </c>
      <c r="R91" s="471">
        <f t="shared" ca="1" si="14"/>
        <v>0</v>
      </c>
    </row>
    <row r="92" spans="2:18" s="371" customFormat="1" ht="15.75" hidden="1">
      <c r="B92" s="361" t="s">
        <v>3970</v>
      </c>
      <c r="C92" s="472" t="str">
        <f ca="1">IF(G92=0,"",COUNTIF($G$6:$G92,"&gt;0"))</f>
        <v/>
      </c>
      <c r="D92" s="489" t="s">
        <v>3557</v>
      </c>
      <c r="E92" s="488" t="s">
        <v>3523</v>
      </c>
      <c r="F92" s="413" t="s">
        <v>9</v>
      </c>
      <c r="G92" s="476">
        <f t="shared" ca="1" si="6"/>
        <v>0</v>
      </c>
      <c r="H92" s="477" t="s">
        <v>3404</v>
      </c>
      <c r="I92" s="478">
        <v>2.52</v>
      </c>
      <c r="J92" s="479">
        <v>0.45</v>
      </c>
      <c r="K92" s="492">
        <f t="shared" ca="1" si="11"/>
        <v>0</v>
      </c>
      <c r="L92" s="477" t="s">
        <v>3404</v>
      </c>
      <c r="M92" s="478">
        <f t="shared" si="15"/>
        <v>2.52</v>
      </c>
      <c r="N92" s="479">
        <v>0.55000000000000004</v>
      </c>
      <c r="O92" s="481">
        <f t="shared" si="12"/>
        <v>292646.84399999998</v>
      </c>
      <c r="P92" s="481">
        <f t="shared" si="13"/>
        <v>357679.47600000002</v>
      </c>
      <c r="Q92" s="481">
        <f t="shared" ca="1" si="5"/>
        <v>0</v>
      </c>
      <c r="R92" s="471">
        <f t="shared" ca="1" si="14"/>
        <v>0</v>
      </c>
    </row>
    <row r="93" spans="2:18" s="371" customFormat="1" ht="15.75" hidden="1">
      <c r="B93" s="361" t="s">
        <v>3971</v>
      </c>
      <c r="C93" s="472" t="str">
        <f ca="1">IF(G93=0,"",COUNTIF($G$6:$G93,"&gt;0"))</f>
        <v/>
      </c>
      <c r="D93" s="489" t="s">
        <v>3558</v>
      </c>
      <c r="E93" s="488" t="s">
        <v>3524</v>
      </c>
      <c r="F93" s="413" t="s">
        <v>9</v>
      </c>
      <c r="G93" s="476">
        <f t="shared" ca="1" si="6"/>
        <v>0</v>
      </c>
      <c r="H93" s="477" t="s">
        <v>3404</v>
      </c>
      <c r="I93" s="478">
        <v>3.42</v>
      </c>
      <c r="J93" s="479">
        <v>0.45</v>
      </c>
      <c r="K93" s="492">
        <f t="shared" ca="1" si="11"/>
        <v>0</v>
      </c>
      <c r="L93" s="477" t="s">
        <v>3404</v>
      </c>
      <c r="M93" s="478">
        <f t="shared" si="15"/>
        <v>3.42</v>
      </c>
      <c r="N93" s="479">
        <v>0.55000000000000004</v>
      </c>
      <c r="O93" s="481">
        <f t="shared" si="12"/>
        <v>397163.57400000002</v>
      </c>
      <c r="P93" s="481">
        <f t="shared" si="13"/>
        <v>485422.14600000001</v>
      </c>
      <c r="Q93" s="481">
        <f t="shared" ca="1" si="5"/>
        <v>0</v>
      </c>
      <c r="R93" s="471">
        <f t="shared" ca="1" si="14"/>
        <v>0</v>
      </c>
    </row>
    <row r="94" spans="2:18" ht="26.25">
      <c r="B94" s="361" t="s">
        <v>3972</v>
      </c>
      <c r="C94" s="472">
        <f ca="1">IF(G94=0,"",COUNTIF($G$6:$G94,"&gt;0"))</f>
        <v>14</v>
      </c>
      <c r="D94" s="487" t="s">
        <v>3559</v>
      </c>
      <c r="E94" s="514" t="s">
        <v>3526</v>
      </c>
      <c r="F94" s="413" t="s">
        <v>9</v>
      </c>
      <c r="G94" s="476">
        <f t="shared" ca="1" si="6"/>
        <v>1</v>
      </c>
      <c r="H94" s="477" t="s">
        <v>3404</v>
      </c>
      <c r="I94" s="478">
        <v>4.5</v>
      </c>
      <c r="J94" s="479">
        <v>1</v>
      </c>
      <c r="K94" s="492">
        <f t="shared" ca="1" si="11"/>
        <v>1</v>
      </c>
      <c r="L94" s="477" t="s">
        <v>3404</v>
      </c>
      <c r="M94" s="478">
        <f t="shared" si="15"/>
        <v>4.5</v>
      </c>
      <c r="N94" s="479">
        <v>1</v>
      </c>
      <c r="O94" s="481">
        <f t="shared" si="12"/>
        <v>1161297</v>
      </c>
      <c r="P94" s="481">
        <f t="shared" si="13"/>
        <v>1161297</v>
      </c>
      <c r="Q94" s="481">
        <f t="shared" ca="1" si="5"/>
        <v>2322594</v>
      </c>
      <c r="R94" s="1120">
        <f t="shared" ca="1" si="14"/>
        <v>1</v>
      </c>
    </row>
    <row r="95" spans="2:18" s="371" customFormat="1" ht="15.75" hidden="1">
      <c r="B95" s="361" t="s">
        <v>3973</v>
      </c>
      <c r="C95" s="472" t="str">
        <f ca="1">IF(G95=0,"",COUNTIF($G$6:$G95,"&gt;0"))</f>
        <v/>
      </c>
      <c r="D95" s="489" t="s">
        <v>3560</v>
      </c>
      <c r="E95" s="488" t="s">
        <v>3527</v>
      </c>
      <c r="F95" s="413" t="s">
        <v>9</v>
      </c>
      <c r="G95" s="476">
        <f t="shared" ca="1" si="6"/>
        <v>0</v>
      </c>
      <c r="H95" s="477" t="s">
        <v>3404</v>
      </c>
      <c r="I95" s="478">
        <v>6.3</v>
      </c>
      <c r="J95" s="479">
        <v>0.45</v>
      </c>
      <c r="K95" s="492">
        <f t="shared" ca="1" si="11"/>
        <v>0</v>
      </c>
      <c r="L95" s="477" t="s">
        <v>3404</v>
      </c>
      <c r="M95" s="478">
        <f t="shared" si="15"/>
        <v>6.3</v>
      </c>
      <c r="N95" s="479">
        <v>0.55000000000000004</v>
      </c>
      <c r="O95" s="481">
        <f t="shared" si="12"/>
        <v>731617.11</v>
      </c>
      <c r="P95" s="481">
        <f t="shared" si="13"/>
        <v>894198.69000000006</v>
      </c>
      <c r="Q95" s="481">
        <f t="shared" ca="1" si="5"/>
        <v>0</v>
      </c>
      <c r="R95" s="471">
        <f t="shared" ca="1" si="14"/>
        <v>0</v>
      </c>
    </row>
    <row r="96" spans="2:18" s="371" customFormat="1" ht="15.75" hidden="1">
      <c r="B96" s="361" t="s">
        <v>3974</v>
      </c>
      <c r="C96" s="472" t="str">
        <f ca="1">IF(G96=0,"",COUNTIF($G$6:$G96,"&gt;0"))</f>
        <v/>
      </c>
      <c r="D96" s="489" t="s">
        <v>3561</v>
      </c>
      <c r="E96" s="488" t="s">
        <v>3528</v>
      </c>
      <c r="F96" s="413" t="s">
        <v>9</v>
      </c>
      <c r="G96" s="476">
        <f t="shared" ref="G96:G114" ca="1" si="16">SUMIF(maBK,B96,tongBK1)</f>
        <v>0</v>
      </c>
      <c r="H96" s="477" t="s">
        <v>3404</v>
      </c>
      <c r="I96" s="478">
        <v>7.2</v>
      </c>
      <c r="J96" s="479">
        <v>0.45</v>
      </c>
      <c r="K96" s="492">
        <f t="shared" ca="1" si="11"/>
        <v>0</v>
      </c>
      <c r="L96" s="477" t="s">
        <v>3404</v>
      </c>
      <c r="M96" s="478">
        <f t="shared" si="15"/>
        <v>7.2</v>
      </c>
      <c r="N96" s="479">
        <v>0.55000000000000004</v>
      </c>
      <c r="O96" s="481">
        <f t="shared" si="12"/>
        <v>836133.84</v>
      </c>
      <c r="P96" s="481">
        <f t="shared" si="13"/>
        <v>1021941.3600000001</v>
      </c>
      <c r="Q96" s="481">
        <f t="shared" ca="1" si="5"/>
        <v>0</v>
      </c>
      <c r="R96" s="471">
        <f t="shared" ca="1" si="14"/>
        <v>0</v>
      </c>
    </row>
    <row r="97" spans="2:18" s="371" customFormat="1" ht="15.75" hidden="1">
      <c r="B97" s="361" t="s">
        <v>3975</v>
      </c>
      <c r="C97" s="472" t="str">
        <f ca="1">IF(G97=0,"",COUNTIF($G$6:$G97,"&gt;0"))</f>
        <v/>
      </c>
      <c r="D97" s="489" t="s">
        <v>3562</v>
      </c>
      <c r="E97" s="488" t="s">
        <v>3529</v>
      </c>
      <c r="F97" s="413" t="s">
        <v>9</v>
      </c>
      <c r="G97" s="476">
        <f t="shared" ca="1" si="16"/>
        <v>0</v>
      </c>
      <c r="H97" s="477" t="s">
        <v>3404</v>
      </c>
      <c r="I97" s="478">
        <v>9</v>
      </c>
      <c r="J97" s="479">
        <v>0.45</v>
      </c>
      <c r="K97" s="492">
        <f t="shared" ca="1" si="11"/>
        <v>0</v>
      </c>
      <c r="L97" s="477" t="s">
        <v>3404</v>
      </c>
      <c r="M97" s="478">
        <f t="shared" si="15"/>
        <v>9</v>
      </c>
      <c r="N97" s="479">
        <v>0.55000000000000004</v>
      </c>
      <c r="O97" s="481">
        <f t="shared" si="12"/>
        <v>1045167.3</v>
      </c>
      <c r="P97" s="481">
        <f t="shared" si="13"/>
        <v>1277426.7000000002</v>
      </c>
      <c r="Q97" s="481">
        <f t="shared" ref="Q97:Q114" ca="1" si="17">G97*O97+K97*P97</f>
        <v>0</v>
      </c>
      <c r="R97" s="471">
        <f t="shared" ca="1" si="14"/>
        <v>0</v>
      </c>
    </row>
    <row r="98" spans="2:18" ht="26.25">
      <c r="B98" s="361" t="s">
        <v>3976</v>
      </c>
      <c r="C98" s="472">
        <f ca="1">IF(G98=0,"",COUNTIF($G$6:$G98,"&gt;0"))</f>
        <v>15</v>
      </c>
      <c r="D98" s="487" t="s">
        <v>3525</v>
      </c>
      <c r="E98" s="514" t="s">
        <v>2973</v>
      </c>
      <c r="F98" s="413" t="s">
        <v>9</v>
      </c>
      <c r="G98" s="476">
        <f t="shared" ca="1" si="16"/>
        <v>3</v>
      </c>
      <c r="H98" s="477" t="s">
        <v>3404</v>
      </c>
      <c r="I98" s="478">
        <f>4.32/3</f>
        <v>1.4400000000000002</v>
      </c>
      <c r="J98" s="479">
        <v>1</v>
      </c>
      <c r="K98" s="492">
        <f t="shared" ca="1" si="11"/>
        <v>3</v>
      </c>
      <c r="L98" s="477" t="s">
        <v>3404</v>
      </c>
      <c r="M98" s="478">
        <f t="shared" si="15"/>
        <v>1.4400000000000002</v>
      </c>
      <c r="N98" s="479">
        <v>1</v>
      </c>
      <c r="O98" s="481">
        <f t="shared" si="12"/>
        <v>371615.04000000004</v>
      </c>
      <c r="P98" s="481">
        <f t="shared" si="13"/>
        <v>371615.04000000004</v>
      </c>
      <c r="Q98" s="481">
        <f t="shared" ca="1" si="17"/>
        <v>2229690.2400000002</v>
      </c>
      <c r="R98" s="1120">
        <f t="shared" ca="1" si="14"/>
        <v>1</v>
      </c>
    </row>
    <row r="99" spans="2:18" s="371" customFormat="1" ht="15.75" hidden="1">
      <c r="B99" s="361" t="s">
        <v>3977</v>
      </c>
      <c r="C99" s="472" t="str">
        <f ca="1">IF(G99=0,"",COUNTIF($G$6:$G99,"&gt;0"))</f>
        <v/>
      </c>
      <c r="D99" s="475" t="s">
        <v>2748</v>
      </c>
      <c r="E99" s="488" t="s">
        <v>2749</v>
      </c>
      <c r="F99" s="413" t="s">
        <v>9</v>
      </c>
      <c r="G99" s="476">
        <f t="shared" ca="1" si="16"/>
        <v>0</v>
      </c>
      <c r="H99" s="477" t="s">
        <v>3404</v>
      </c>
      <c r="I99" s="478">
        <v>2</v>
      </c>
      <c r="J99" s="479">
        <v>0.45</v>
      </c>
      <c r="K99" s="492">
        <f t="shared" ca="1" si="11"/>
        <v>0</v>
      </c>
      <c r="L99" s="477" t="s">
        <v>3404</v>
      </c>
      <c r="M99" s="478">
        <f t="shared" si="15"/>
        <v>2</v>
      </c>
      <c r="N99" s="479">
        <v>0.55000000000000004</v>
      </c>
      <c r="O99" s="481">
        <f t="shared" si="12"/>
        <v>232259.4</v>
      </c>
      <c r="P99" s="481">
        <f t="shared" si="13"/>
        <v>283872.60000000003</v>
      </c>
      <c r="Q99" s="481">
        <f t="shared" ca="1" si="17"/>
        <v>0</v>
      </c>
      <c r="R99" s="471">
        <f t="shared" ca="1" si="14"/>
        <v>0</v>
      </c>
    </row>
    <row r="100" spans="2:18" s="371" customFormat="1" ht="26.25" hidden="1">
      <c r="B100" s="361" t="s">
        <v>3978</v>
      </c>
      <c r="C100" s="472" t="str">
        <f ca="1">IF(G100=0,"",COUNTIF($G$6:$G100,"&gt;0"))</f>
        <v/>
      </c>
      <c r="D100" s="483" t="s">
        <v>3555</v>
      </c>
      <c r="E100" s="488" t="s">
        <v>2974</v>
      </c>
      <c r="F100" s="413" t="s">
        <v>9</v>
      </c>
      <c r="G100" s="476">
        <f t="shared" ca="1" si="16"/>
        <v>0</v>
      </c>
      <c r="H100" s="477" t="s">
        <v>3404</v>
      </c>
      <c r="I100" s="478">
        <f>2.7/3</f>
        <v>0.9</v>
      </c>
      <c r="J100" s="479">
        <v>0.45</v>
      </c>
      <c r="K100" s="492">
        <f t="shared" ca="1" si="11"/>
        <v>0</v>
      </c>
      <c r="L100" s="477" t="s">
        <v>3403</v>
      </c>
      <c r="M100" s="478">
        <f t="shared" si="15"/>
        <v>0.9</v>
      </c>
      <c r="N100" s="479">
        <v>0.55000000000000004</v>
      </c>
      <c r="O100" s="481">
        <f t="shared" si="12"/>
        <v>104516.73</v>
      </c>
      <c r="P100" s="481">
        <f t="shared" si="13"/>
        <v>127742.67000000001</v>
      </c>
      <c r="Q100" s="481">
        <f t="shared" ca="1" si="17"/>
        <v>0</v>
      </c>
      <c r="R100" s="1120">
        <f t="shared" ca="1" si="14"/>
        <v>0</v>
      </c>
    </row>
    <row r="101" spans="2:18" s="371" customFormat="1" ht="15.75" hidden="1">
      <c r="B101" s="361" t="s">
        <v>3979</v>
      </c>
      <c r="C101" s="472" t="str">
        <f ca="1">IF(G101=0,"",COUNTIF($G$6:$G101,"&gt;0"))</f>
        <v/>
      </c>
      <c r="D101" s="475" t="s">
        <v>2751</v>
      </c>
      <c r="E101" s="488" t="s">
        <v>2752</v>
      </c>
      <c r="F101" s="413" t="s">
        <v>9</v>
      </c>
      <c r="G101" s="476">
        <f t="shared" ca="1" si="16"/>
        <v>0</v>
      </c>
      <c r="H101" s="477" t="s">
        <v>3404</v>
      </c>
      <c r="I101" s="478">
        <v>3.7120000000000002</v>
      </c>
      <c r="J101" s="479">
        <v>0.45</v>
      </c>
      <c r="K101" s="492">
        <f t="shared" ca="1" si="11"/>
        <v>0</v>
      </c>
      <c r="L101" s="477" t="s">
        <v>3404</v>
      </c>
      <c r="M101" s="478">
        <f t="shared" si="15"/>
        <v>3.7120000000000002</v>
      </c>
      <c r="N101" s="479">
        <v>0.55000000000000004</v>
      </c>
      <c r="O101" s="481">
        <f t="shared" si="12"/>
        <v>431073.44640000007</v>
      </c>
      <c r="P101" s="481">
        <f t="shared" si="13"/>
        <v>526867.54560000007</v>
      </c>
      <c r="Q101" s="481">
        <f t="shared" ca="1" si="17"/>
        <v>0</v>
      </c>
      <c r="R101" s="471">
        <f t="shared" ca="1" si="14"/>
        <v>0</v>
      </c>
    </row>
    <row r="102" spans="2:18" s="371" customFormat="1" ht="15.75" hidden="1">
      <c r="B102" s="361" t="s">
        <v>3980</v>
      </c>
      <c r="C102" s="472" t="str">
        <f ca="1">IF(G102=0,"",COUNTIF($G$6:$G102,"&gt;0"))</f>
        <v/>
      </c>
      <c r="D102" s="487">
        <v>51104</v>
      </c>
      <c r="E102" s="488" t="s">
        <v>2753</v>
      </c>
      <c r="F102" s="413" t="s">
        <v>37</v>
      </c>
      <c r="G102" s="476">
        <f t="shared" ca="1" si="16"/>
        <v>0</v>
      </c>
      <c r="H102" s="477" t="s">
        <v>3404</v>
      </c>
      <c r="I102" s="478">
        <v>5</v>
      </c>
      <c r="J102" s="479">
        <v>0.45</v>
      </c>
      <c r="K102" s="492">
        <f t="shared" ca="1" si="11"/>
        <v>0</v>
      </c>
      <c r="L102" s="477" t="s">
        <v>3404</v>
      </c>
      <c r="M102" s="478">
        <f t="shared" si="15"/>
        <v>5</v>
      </c>
      <c r="N102" s="479">
        <v>0.55000000000000004</v>
      </c>
      <c r="O102" s="481">
        <f t="shared" si="12"/>
        <v>580648.5</v>
      </c>
      <c r="P102" s="481">
        <f t="shared" si="13"/>
        <v>709681.5</v>
      </c>
      <c r="Q102" s="481">
        <f t="shared" ca="1" si="17"/>
        <v>0</v>
      </c>
      <c r="R102" s="471">
        <f t="shared" ca="1" si="14"/>
        <v>0</v>
      </c>
    </row>
    <row r="103" spans="2:18" s="371" customFormat="1" ht="15.75" hidden="1">
      <c r="B103" s="361" t="s">
        <v>3981</v>
      </c>
      <c r="C103" s="472" t="str">
        <f ca="1">IF(G103=0,"",COUNTIF($G$6:$G103,"&gt;0"))</f>
        <v/>
      </c>
      <c r="D103" s="487" t="s">
        <v>2754</v>
      </c>
      <c r="E103" s="488" t="s">
        <v>2755</v>
      </c>
      <c r="F103" s="413" t="s">
        <v>37</v>
      </c>
      <c r="G103" s="476">
        <f t="shared" ca="1" si="16"/>
        <v>0</v>
      </c>
      <c r="H103" s="477" t="s">
        <v>3404</v>
      </c>
      <c r="I103" s="478">
        <v>14</v>
      </c>
      <c r="J103" s="479">
        <v>0.45</v>
      </c>
      <c r="K103" s="492">
        <f t="shared" ca="1" si="11"/>
        <v>0</v>
      </c>
      <c r="L103" s="477" t="s">
        <v>3404</v>
      </c>
      <c r="M103" s="478">
        <f t="shared" si="15"/>
        <v>14</v>
      </c>
      <c r="N103" s="479">
        <v>0.55000000000000004</v>
      </c>
      <c r="O103" s="481">
        <f t="shared" si="12"/>
        <v>1625815.8</v>
      </c>
      <c r="P103" s="481">
        <f t="shared" si="13"/>
        <v>1987108.2000000002</v>
      </c>
      <c r="Q103" s="481">
        <f t="shared" ca="1" si="17"/>
        <v>0</v>
      </c>
      <c r="R103" s="471">
        <f t="shared" ca="1" si="14"/>
        <v>0</v>
      </c>
    </row>
    <row r="104" spans="2:18" s="371" customFormat="1" ht="15.75" hidden="1">
      <c r="B104" s="361" t="s">
        <v>3982</v>
      </c>
      <c r="C104" s="472" t="str">
        <f ca="1">IF(G104=0,"",COUNTIF($G$6:$G104,"&gt;0"))</f>
        <v/>
      </c>
      <c r="D104" s="475" t="s">
        <v>2742</v>
      </c>
      <c r="E104" s="488" t="s">
        <v>2756</v>
      </c>
      <c r="F104" s="413" t="s">
        <v>163</v>
      </c>
      <c r="G104" s="476">
        <f t="shared" ca="1" si="16"/>
        <v>0</v>
      </c>
      <c r="H104" s="477" t="s">
        <v>3404</v>
      </c>
      <c r="I104" s="478">
        <v>1.1200000000000001</v>
      </c>
      <c r="J104" s="479">
        <v>0.45</v>
      </c>
      <c r="K104" s="492">
        <f t="shared" ca="1" si="11"/>
        <v>0</v>
      </c>
      <c r="L104" s="477" t="s">
        <v>3404</v>
      </c>
      <c r="M104" s="478">
        <f t="shared" si="15"/>
        <v>1.1200000000000001</v>
      </c>
      <c r="N104" s="479">
        <v>0.55000000000000004</v>
      </c>
      <c r="O104" s="481">
        <f t="shared" si="12"/>
        <v>130065.26400000002</v>
      </c>
      <c r="P104" s="481">
        <f t="shared" si="13"/>
        <v>158968.65600000005</v>
      </c>
      <c r="Q104" s="481">
        <f t="shared" ca="1" si="17"/>
        <v>0</v>
      </c>
      <c r="R104" s="471">
        <f t="shared" ca="1" si="14"/>
        <v>0</v>
      </c>
    </row>
    <row r="105" spans="2:18" s="371" customFormat="1" ht="15.75" hidden="1">
      <c r="B105" s="361" t="s">
        <v>3983</v>
      </c>
      <c r="C105" s="472" t="str">
        <f ca="1">IF(G105=0,"",COUNTIF($G$6:$G105,"&gt;0"))</f>
        <v/>
      </c>
      <c r="D105" s="483" t="s">
        <v>3552</v>
      </c>
      <c r="E105" s="488" t="s">
        <v>3551</v>
      </c>
      <c r="F105" s="413" t="s">
        <v>3553</v>
      </c>
      <c r="G105" s="476">
        <f t="shared" ca="1" si="16"/>
        <v>0</v>
      </c>
      <c r="H105" s="477" t="s">
        <v>3404</v>
      </c>
      <c r="I105" s="478">
        <v>1.1200000000000001</v>
      </c>
      <c r="J105" s="479">
        <v>0.4</v>
      </c>
      <c r="K105" s="492">
        <f t="shared" ca="1" si="11"/>
        <v>0</v>
      </c>
      <c r="L105" s="477" t="s">
        <v>3404</v>
      </c>
      <c r="M105" s="478">
        <f t="shared" si="15"/>
        <v>1.1200000000000001</v>
      </c>
      <c r="N105" s="479">
        <v>0.6</v>
      </c>
      <c r="O105" s="481">
        <f t="shared" si="12"/>
        <v>115613.56800000003</v>
      </c>
      <c r="P105" s="481">
        <f t="shared" si="13"/>
        <v>173420.35200000001</v>
      </c>
      <c r="Q105" s="481">
        <f t="shared" ca="1" si="17"/>
        <v>0</v>
      </c>
      <c r="R105" s="471">
        <f t="shared" ca="1" si="14"/>
        <v>0</v>
      </c>
    </row>
    <row r="106" spans="2:18" ht="26.25">
      <c r="B106" s="361" t="s">
        <v>4735</v>
      </c>
      <c r="C106" s="472">
        <f ca="1">IF(G106=0,"",COUNTIF($G$6:$G106,"&gt;0"))</f>
        <v>16</v>
      </c>
      <c r="D106" s="475" t="s">
        <v>4737</v>
      </c>
      <c r="E106" s="513" t="s">
        <v>4736</v>
      </c>
      <c r="F106" s="492" t="s">
        <v>9</v>
      </c>
      <c r="G106" s="476">
        <f t="shared" ca="1" si="16"/>
        <v>1</v>
      </c>
      <c r="H106" s="477" t="s">
        <v>3405</v>
      </c>
      <c r="I106" s="478">
        <f>4.608*1.3</f>
        <v>5.9904000000000002</v>
      </c>
      <c r="J106" s="479">
        <v>1</v>
      </c>
      <c r="K106" s="492">
        <f ca="1">G106</f>
        <v>1</v>
      </c>
      <c r="L106" s="477" t="str">
        <f>H106</f>
        <v>NC2.45</v>
      </c>
      <c r="M106" s="478">
        <f>I106</f>
        <v>5.9904000000000002</v>
      </c>
      <c r="N106" s="479">
        <v>1</v>
      </c>
      <c r="O106" s="481">
        <f t="shared" si="12"/>
        <v>1545918.5664000001</v>
      </c>
      <c r="P106" s="481">
        <f t="shared" si="13"/>
        <v>1545918.5664000001</v>
      </c>
      <c r="Q106" s="481">
        <f t="shared" ca="1" si="17"/>
        <v>3091837.1328000003</v>
      </c>
      <c r="R106" s="1120">
        <f t="shared" ca="1" si="14"/>
        <v>1</v>
      </c>
    </row>
    <row r="107" spans="2:18" s="371" customFormat="1" ht="15.75" hidden="1">
      <c r="B107" s="361" t="s">
        <v>3984</v>
      </c>
      <c r="C107" s="472" t="str">
        <f ca="1">IF(G107=0,"",COUNTIF($G$6:$G107,"&gt;0"))</f>
        <v/>
      </c>
      <c r="D107" s="489" t="s">
        <v>3550</v>
      </c>
      <c r="E107" s="491" t="s">
        <v>2758</v>
      </c>
      <c r="F107" s="492" t="s">
        <v>3549</v>
      </c>
      <c r="G107" s="476">
        <f t="shared" ca="1" si="16"/>
        <v>0</v>
      </c>
      <c r="H107" s="477" t="s">
        <v>3404</v>
      </c>
      <c r="I107" s="478">
        <v>3.4380000000000002</v>
      </c>
      <c r="J107" s="479">
        <v>0.45</v>
      </c>
      <c r="K107" s="492">
        <f t="shared" ca="1" si="11"/>
        <v>0</v>
      </c>
      <c r="L107" s="477" t="s">
        <v>3404</v>
      </c>
      <c r="M107" s="478">
        <f t="shared" si="15"/>
        <v>3.4380000000000002</v>
      </c>
      <c r="N107" s="479">
        <v>0.55000000000000004</v>
      </c>
      <c r="O107" s="481">
        <f t="shared" si="12"/>
        <v>399253.90860000002</v>
      </c>
      <c r="P107" s="481">
        <f t="shared" si="13"/>
        <v>487976.99940000009</v>
      </c>
      <c r="Q107" s="481">
        <f t="shared" ca="1" si="17"/>
        <v>0</v>
      </c>
      <c r="R107" s="471">
        <f t="shared" ca="1" si="14"/>
        <v>0</v>
      </c>
    </row>
    <row r="108" spans="2:18" s="371" customFormat="1" ht="15.75" hidden="1">
      <c r="B108" s="361" t="s">
        <v>3985</v>
      </c>
      <c r="C108" s="472" t="str">
        <f ca="1">IF(G108=0,"",COUNTIF($G$6:$G108,"&gt;0"))</f>
        <v/>
      </c>
      <c r="D108" s="483" t="s">
        <v>3521</v>
      </c>
      <c r="E108" s="493" t="s">
        <v>3554</v>
      </c>
      <c r="F108" s="492" t="s">
        <v>9</v>
      </c>
      <c r="G108" s="476">
        <f t="shared" ca="1" si="16"/>
        <v>0</v>
      </c>
      <c r="H108" s="477" t="s">
        <v>3403</v>
      </c>
      <c r="I108" s="478">
        <f>0.944*1.5</f>
        <v>1.4159999999999999</v>
      </c>
      <c r="J108" s="479">
        <v>0.4</v>
      </c>
      <c r="K108" s="492">
        <f t="shared" ca="1" si="11"/>
        <v>0</v>
      </c>
      <c r="L108" s="477" t="s">
        <v>3404</v>
      </c>
      <c r="M108" s="478">
        <f t="shared" si="15"/>
        <v>1.4159999999999999</v>
      </c>
      <c r="N108" s="479">
        <v>0.6</v>
      </c>
      <c r="O108" s="481">
        <f t="shared" si="12"/>
        <v>146168.58240000001</v>
      </c>
      <c r="P108" s="481">
        <f t="shared" si="13"/>
        <v>219252.87359999999</v>
      </c>
      <c r="Q108" s="481">
        <f t="shared" ca="1" si="17"/>
        <v>0</v>
      </c>
      <c r="R108" s="471">
        <f t="shared" ca="1" si="14"/>
        <v>0</v>
      </c>
    </row>
    <row r="109" spans="2:18" s="371" customFormat="1" ht="15.75" hidden="1">
      <c r="B109" s="361" t="s">
        <v>3986</v>
      </c>
      <c r="C109" s="472" t="str">
        <f ca="1">IF(G109=0,"",COUNTIF($G$6:$G109,"&gt;0"))</f>
        <v/>
      </c>
      <c r="D109" s="483" t="s">
        <v>3530</v>
      </c>
      <c r="E109" s="493" t="s">
        <v>3531</v>
      </c>
      <c r="F109" s="492" t="s">
        <v>9</v>
      </c>
      <c r="G109" s="476">
        <f t="shared" ca="1" si="16"/>
        <v>0</v>
      </c>
      <c r="H109" s="477" t="s">
        <v>3404</v>
      </c>
      <c r="I109" s="478">
        <v>0.63</v>
      </c>
      <c r="J109" s="479">
        <v>0.45</v>
      </c>
      <c r="K109" s="492">
        <f t="shared" ca="1" si="11"/>
        <v>0</v>
      </c>
      <c r="L109" s="477" t="s">
        <v>3404</v>
      </c>
      <c r="M109" s="478">
        <f t="shared" si="15"/>
        <v>0.63</v>
      </c>
      <c r="N109" s="479">
        <v>0.6</v>
      </c>
      <c r="O109" s="481">
        <f t="shared" si="12"/>
        <v>73161.710999999996</v>
      </c>
      <c r="P109" s="481">
        <f t="shared" si="13"/>
        <v>97548.947999999989</v>
      </c>
      <c r="Q109" s="481">
        <f t="shared" ca="1" si="17"/>
        <v>0</v>
      </c>
      <c r="R109" s="471">
        <f t="shared" ca="1" si="14"/>
        <v>0</v>
      </c>
    </row>
    <row r="110" spans="2:18" s="371" customFormat="1" ht="15.75" hidden="1">
      <c r="B110" s="361" t="s">
        <v>3987</v>
      </c>
      <c r="C110" s="472" t="str">
        <f ca="1">IF(G110=0,"",COUNTIF($G$6:$G110,"&gt;0"))</f>
        <v/>
      </c>
      <c r="D110" s="483" t="s">
        <v>4705</v>
      </c>
      <c r="E110" s="494" t="s">
        <v>2762</v>
      </c>
      <c r="F110" s="492" t="s">
        <v>163</v>
      </c>
      <c r="G110" s="476">
        <f t="shared" ca="1" si="16"/>
        <v>0</v>
      </c>
      <c r="H110" s="477" t="s">
        <v>3404</v>
      </c>
      <c r="I110" s="478">
        <f>1.26</f>
        <v>1.26</v>
      </c>
      <c r="J110" s="479">
        <v>0.5</v>
      </c>
      <c r="K110" s="492">
        <f t="shared" ca="1" si="11"/>
        <v>0</v>
      </c>
      <c r="L110" s="477" t="s">
        <v>3403</v>
      </c>
      <c r="M110" s="478">
        <v>0.126</v>
      </c>
      <c r="N110" s="479">
        <f>J110</f>
        <v>0.5</v>
      </c>
      <c r="O110" s="481">
        <f t="shared" si="12"/>
        <v>162581.57999999999</v>
      </c>
      <c r="P110" s="481">
        <f t="shared" si="13"/>
        <v>16258.157999999999</v>
      </c>
      <c r="Q110" s="481">
        <f t="shared" ca="1" si="17"/>
        <v>0</v>
      </c>
      <c r="R110" s="471">
        <f t="shared" ca="1" si="14"/>
        <v>0</v>
      </c>
    </row>
    <row r="111" spans="2:18" s="371" customFormat="1" ht="15.75" hidden="1">
      <c r="B111" s="361" t="s">
        <v>3988</v>
      </c>
      <c r="C111" s="472" t="str">
        <f ca="1">IF(G111=0,"",COUNTIF($G$6:$G111,"&gt;0"))</f>
        <v/>
      </c>
      <c r="D111" s="483" t="s">
        <v>4705</v>
      </c>
      <c r="E111" s="494" t="s">
        <v>2763</v>
      </c>
      <c r="F111" s="492" t="s">
        <v>163</v>
      </c>
      <c r="G111" s="476">
        <f t="shared" ca="1" si="16"/>
        <v>0</v>
      </c>
      <c r="H111" s="477" t="s">
        <v>3404</v>
      </c>
      <c r="I111" s="478">
        <f t="shared" ref="I111:I112" si="18">1.26</f>
        <v>1.26</v>
      </c>
      <c r="J111" s="479">
        <v>0.5</v>
      </c>
      <c r="K111" s="492">
        <f t="shared" ca="1" si="11"/>
        <v>0</v>
      </c>
      <c r="L111" s="477" t="s">
        <v>3403</v>
      </c>
      <c r="M111" s="478">
        <v>0.70199999999999996</v>
      </c>
      <c r="N111" s="479">
        <f t="shared" ref="N111:N112" si="19">J111</f>
        <v>0.5</v>
      </c>
      <c r="O111" s="481">
        <f t="shared" si="12"/>
        <v>162581.57999999999</v>
      </c>
      <c r="P111" s="481">
        <f t="shared" si="13"/>
        <v>90581.165999999997</v>
      </c>
      <c r="Q111" s="481">
        <f t="shared" ca="1" si="17"/>
        <v>0</v>
      </c>
      <c r="R111" s="471">
        <f t="shared" ca="1" si="14"/>
        <v>0</v>
      </c>
    </row>
    <row r="112" spans="2:18" s="371" customFormat="1" ht="15.75" hidden="1">
      <c r="B112" s="361" t="s">
        <v>3989</v>
      </c>
      <c r="C112" s="472" t="str">
        <f ca="1">IF(G112=0,"",COUNTIF($G$6:$G112,"&gt;0"))</f>
        <v/>
      </c>
      <c r="D112" s="483" t="s">
        <v>4705</v>
      </c>
      <c r="E112" s="493" t="s">
        <v>2764</v>
      </c>
      <c r="F112" s="492" t="s">
        <v>37</v>
      </c>
      <c r="G112" s="476">
        <f t="shared" ca="1" si="16"/>
        <v>0</v>
      </c>
      <c r="H112" s="477" t="s">
        <v>3404</v>
      </c>
      <c r="I112" s="478">
        <f t="shared" si="18"/>
        <v>1.26</v>
      </c>
      <c r="J112" s="479">
        <v>0.5</v>
      </c>
      <c r="K112" s="492">
        <f t="shared" ca="1" si="11"/>
        <v>0</v>
      </c>
      <c r="L112" s="477" t="s">
        <v>3403</v>
      </c>
      <c r="M112" s="478">
        <v>0.99</v>
      </c>
      <c r="N112" s="479">
        <f t="shared" si="19"/>
        <v>0.5</v>
      </c>
      <c r="O112" s="481">
        <f t="shared" si="12"/>
        <v>162581.57999999999</v>
      </c>
      <c r="P112" s="481">
        <f t="shared" si="13"/>
        <v>127742.67</v>
      </c>
      <c r="Q112" s="481">
        <f t="shared" ca="1" si="17"/>
        <v>0</v>
      </c>
      <c r="R112" s="471">
        <f t="shared" ca="1" si="14"/>
        <v>0</v>
      </c>
    </row>
    <row r="113" spans="1:18" s="371" customFormat="1" ht="15.75" hidden="1">
      <c r="B113" s="361" t="s">
        <v>3990</v>
      </c>
      <c r="C113" s="472" t="str">
        <f ca="1">IF(G113=0,"",COUNTIF($G$6:$G113,"&gt;0"))</f>
        <v/>
      </c>
      <c r="D113" s="475" t="s">
        <v>2739</v>
      </c>
      <c r="E113" s="491" t="s">
        <v>2766</v>
      </c>
      <c r="F113" s="413" t="s">
        <v>1265</v>
      </c>
      <c r="G113" s="476">
        <f t="shared" ca="1" si="16"/>
        <v>0</v>
      </c>
      <c r="H113" s="477" t="s">
        <v>3404</v>
      </c>
      <c r="I113" s="478">
        <v>10.42</v>
      </c>
      <c r="J113" s="479">
        <v>0.45</v>
      </c>
      <c r="K113" s="492">
        <f t="shared" ca="1" si="11"/>
        <v>0</v>
      </c>
      <c r="L113" s="477" t="s">
        <v>3404</v>
      </c>
      <c r="M113" s="478">
        <f t="shared" si="15"/>
        <v>10.42</v>
      </c>
      <c r="N113" s="479">
        <v>0.55000000000000004</v>
      </c>
      <c r="O113" s="481">
        <f t="shared" si="12"/>
        <v>1210071.4740000002</v>
      </c>
      <c r="P113" s="481">
        <f t="shared" si="13"/>
        <v>1478976.2460000003</v>
      </c>
      <c r="Q113" s="481">
        <f t="shared" ca="1" si="17"/>
        <v>0</v>
      </c>
      <c r="R113" s="471">
        <f t="shared" ca="1" si="14"/>
        <v>0</v>
      </c>
    </row>
    <row r="114" spans="1:18" s="371" customFormat="1" ht="15.75" hidden="1">
      <c r="B114" s="361" t="s">
        <v>3991</v>
      </c>
      <c r="C114" s="472" t="str">
        <f ca="1">IF(G114=0,"",COUNTIF($G$6:$G114,"&gt;0"))</f>
        <v/>
      </c>
      <c r="D114" s="483" t="s">
        <v>3460</v>
      </c>
      <c r="E114" s="495" t="s">
        <v>2772</v>
      </c>
      <c r="F114" s="475" t="s">
        <v>37</v>
      </c>
      <c r="G114" s="476">
        <f t="shared" ca="1" si="16"/>
        <v>0</v>
      </c>
      <c r="H114" s="477" t="s">
        <v>3404</v>
      </c>
      <c r="I114" s="478">
        <v>0.81</v>
      </c>
      <c r="J114" s="479">
        <v>0.45</v>
      </c>
      <c r="K114" s="492">
        <f ca="1">G114</f>
        <v>0</v>
      </c>
      <c r="L114" s="477" t="s">
        <v>3404</v>
      </c>
      <c r="M114" s="478">
        <f t="shared" si="15"/>
        <v>0.81</v>
      </c>
      <c r="N114" s="479">
        <v>0.55000000000000004</v>
      </c>
      <c r="O114" s="481">
        <f t="shared" si="12"/>
        <v>94065.057000000015</v>
      </c>
      <c r="P114" s="481">
        <f t="shared" si="13"/>
        <v>114968.40300000002</v>
      </c>
      <c r="Q114" s="481">
        <f t="shared" ca="1" si="17"/>
        <v>0</v>
      </c>
      <c r="R114" s="471">
        <f t="shared" ca="1" si="14"/>
        <v>0</v>
      </c>
    </row>
    <row r="115" spans="1:18" s="371" customFormat="1" ht="15.75" hidden="1">
      <c r="B115" s="361"/>
      <c r="C115" s="496"/>
      <c r="D115" s="497"/>
      <c r="E115" s="389"/>
      <c r="F115" s="498"/>
      <c r="G115" s="499"/>
      <c r="H115" s="500"/>
      <c r="I115" s="501"/>
      <c r="J115" s="502"/>
      <c r="K115" s="503"/>
      <c r="L115" s="500"/>
      <c r="M115" s="501"/>
      <c r="N115" s="502"/>
      <c r="O115" s="504"/>
      <c r="P115" s="504"/>
      <c r="Q115" s="504"/>
      <c r="R115" s="471"/>
    </row>
    <row r="116" spans="1:18" ht="26.25">
      <c r="B116" s="361"/>
      <c r="C116" s="364" t="s">
        <v>2677</v>
      </c>
      <c r="D116" s="364" t="s">
        <v>3912</v>
      </c>
      <c r="E116" s="1242"/>
      <c r="F116" s="364"/>
      <c r="G116" s="367"/>
      <c r="H116" s="1149"/>
      <c r="I116" s="1243" t="s">
        <v>2602</v>
      </c>
      <c r="J116" s="1244"/>
      <c r="K116" s="1149"/>
      <c r="L116" s="1149"/>
      <c r="M116" s="1245"/>
      <c r="N116" s="1244"/>
      <c r="O116" s="1246"/>
      <c r="P116" s="1246"/>
      <c r="Q116" s="1246">
        <f ca="1">SUM(Q73:Q115)</f>
        <v>14954873.0868</v>
      </c>
      <c r="R116" s="1120">
        <f ca="1">IF(Q116&gt;0,1,0)</f>
        <v>1</v>
      </c>
    </row>
    <row r="117" spans="1:18" s="371" customFormat="1" ht="15.75" hidden="1">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s="371" customFormat="1" ht="15.75" hidden="1">
      <c r="B118" s="361" t="s">
        <v>3992</v>
      </c>
      <c r="C118" s="472" t="str">
        <f ca="1">IF(G118=0,"",COUNTIF($G$118:$G118,"&gt;0"))</f>
        <v/>
      </c>
      <c r="D118" s="827" t="s">
        <v>4691</v>
      </c>
      <c r="E118" s="828" t="s">
        <v>4688</v>
      </c>
      <c r="F118" s="413" t="s">
        <v>4690</v>
      </c>
      <c r="G118" s="476">
        <f t="shared" ref="G118:G148" ca="1" si="20">SUMIF(maBK,B118,tongBK1)</f>
        <v>0</v>
      </c>
      <c r="H118" s="477" t="s">
        <v>3404</v>
      </c>
      <c r="I118" s="484">
        <f>4/20</f>
        <v>0.2</v>
      </c>
      <c r="J118" s="479">
        <v>1</v>
      </c>
      <c r="K118" s="492">
        <f t="shared" ref="K118:K125" ca="1" si="21">G118</f>
        <v>0</v>
      </c>
      <c r="L118" s="477" t="s">
        <v>3404</v>
      </c>
      <c r="M118" s="484">
        <f>I118</f>
        <v>0.2</v>
      </c>
      <c r="N118" s="479">
        <f t="shared" ref="N118:N148" si="22">J118</f>
        <v>1</v>
      </c>
      <c r="O118" s="481">
        <f t="shared" ref="O118:O148" si="23">VLOOKUP(H118,TIENLUONG,4)*I118*J118</f>
        <v>51613.200000000004</v>
      </c>
      <c r="P118" s="481">
        <f t="shared" ref="P118:P148" si="24">VLOOKUP(L118,TIENLUONG,4)*M118*N118</f>
        <v>51613.200000000004</v>
      </c>
      <c r="Q118" s="481">
        <f t="shared" ref="Q118:Q148" ca="1" si="25">G118*O118+K118*P118</f>
        <v>0</v>
      </c>
      <c r="R118" s="471">
        <f t="shared" ref="R118:R148" ca="1" si="26">IF(G118&lt;&gt;0,1,0)</f>
        <v>0</v>
      </c>
    </row>
    <row r="119" spans="1:18" s="371" customFormat="1" ht="15.75" hidden="1">
      <c r="B119" s="361" t="s">
        <v>3993</v>
      </c>
      <c r="C119" s="472" t="str">
        <f ca="1">IF(G119=0,"",COUNTIF($G$118:$G119,"&gt;0"))</f>
        <v/>
      </c>
      <c r="D119" s="827" t="s">
        <v>4695</v>
      </c>
      <c r="E119" s="828" t="s">
        <v>4689</v>
      </c>
      <c r="F119" s="413" t="s">
        <v>4694</v>
      </c>
      <c r="G119" s="476">
        <f t="shared" ca="1" si="20"/>
        <v>0</v>
      </c>
      <c r="H119" s="477" t="s">
        <v>3404</v>
      </c>
      <c r="I119" s="484">
        <f>11/10</f>
        <v>1.1000000000000001</v>
      </c>
      <c r="J119" s="479">
        <v>1</v>
      </c>
      <c r="K119" s="492">
        <f t="shared" ca="1" si="21"/>
        <v>0</v>
      </c>
      <c r="L119" s="477" t="s">
        <v>3404</v>
      </c>
      <c r="M119" s="484">
        <f t="shared" ref="M119:M137" si="27">I119</f>
        <v>1.1000000000000001</v>
      </c>
      <c r="N119" s="479">
        <f t="shared" si="22"/>
        <v>1</v>
      </c>
      <c r="O119" s="481">
        <f t="shared" si="23"/>
        <v>283872.60000000003</v>
      </c>
      <c r="P119" s="481">
        <f t="shared" si="24"/>
        <v>283872.60000000003</v>
      </c>
      <c r="Q119" s="481">
        <f t="shared" ca="1" si="25"/>
        <v>0</v>
      </c>
      <c r="R119" s="471">
        <f t="shared" ca="1" si="26"/>
        <v>0</v>
      </c>
    </row>
    <row r="120" spans="1:18" s="371" customFormat="1" ht="15.75" hidden="1">
      <c r="B120" s="361" t="s">
        <v>3994</v>
      </c>
      <c r="C120" s="472" t="str">
        <f ca="1">IF(G120=0,"",COUNTIF($G$118:$G120,"&gt;0"))</f>
        <v/>
      </c>
      <c r="D120" s="827" t="s">
        <v>4693</v>
      </c>
      <c r="E120" s="828" t="s">
        <v>4692</v>
      </c>
      <c r="F120" s="413" t="s">
        <v>37</v>
      </c>
      <c r="G120" s="476">
        <f t="shared" ca="1" si="20"/>
        <v>0</v>
      </c>
      <c r="H120" s="477" t="s">
        <v>3404</v>
      </c>
      <c r="I120" s="479">
        <v>3.5</v>
      </c>
      <c r="J120" s="479">
        <v>1</v>
      </c>
      <c r="K120" s="492">
        <f t="shared" ca="1" si="21"/>
        <v>0</v>
      </c>
      <c r="L120" s="477" t="s">
        <v>3404</v>
      </c>
      <c r="M120" s="484">
        <f t="shared" si="27"/>
        <v>3.5</v>
      </c>
      <c r="N120" s="479">
        <f t="shared" si="22"/>
        <v>1</v>
      </c>
      <c r="O120" s="481">
        <f t="shared" si="23"/>
        <v>903231</v>
      </c>
      <c r="P120" s="481">
        <f t="shared" si="24"/>
        <v>903231</v>
      </c>
      <c r="Q120" s="481">
        <f t="shared" ca="1" si="25"/>
        <v>0</v>
      </c>
      <c r="R120" s="471">
        <f t="shared" ca="1" si="26"/>
        <v>0</v>
      </c>
    </row>
    <row r="121" spans="1:18" s="371" customFormat="1" ht="15.75" hidden="1">
      <c r="B121" s="361" t="s">
        <v>3995</v>
      </c>
      <c r="C121" s="472" t="str">
        <f ca="1">IF(G121=0,"",COUNTIF($G$118:$G121,"&gt;0"))</f>
        <v/>
      </c>
      <c r="D121" s="827" t="s">
        <v>4696</v>
      </c>
      <c r="E121" s="828" t="s">
        <v>4697</v>
      </c>
      <c r="F121" s="413" t="s">
        <v>774</v>
      </c>
      <c r="G121" s="476">
        <f t="shared" ca="1" si="20"/>
        <v>0</v>
      </c>
      <c r="H121" s="477" t="s">
        <v>3404</v>
      </c>
      <c r="I121" s="484">
        <f>4/40</f>
        <v>0.1</v>
      </c>
      <c r="J121" s="479">
        <v>1</v>
      </c>
      <c r="K121" s="492">
        <f t="shared" ca="1" si="21"/>
        <v>0</v>
      </c>
      <c r="L121" s="477" t="s">
        <v>3404</v>
      </c>
      <c r="M121" s="484">
        <f t="shared" si="27"/>
        <v>0.1</v>
      </c>
      <c r="N121" s="479">
        <f t="shared" si="22"/>
        <v>1</v>
      </c>
      <c r="O121" s="481">
        <f t="shared" si="23"/>
        <v>25806.600000000002</v>
      </c>
      <c r="P121" s="481">
        <f t="shared" si="24"/>
        <v>25806.600000000002</v>
      </c>
      <c r="Q121" s="481">
        <f t="shared" ca="1" si="25"/>
        <v>0</v>
      </c>
      <c r="R121" s="471">
        <f t="shared" ca="1" si="26"/>
        <v>0</v>
      </c>
    </row>
    <row r="122" spans="1:18" s="371" customFormat="1" ht="15.75" hidden="1">
      <c r="B122" s="361" t="s">
        <v>3996</v>
      </c>
      <c r="C122" s="472" t="str">
        <f ca="1">IF(G122=0,"",COUNTIF($G$118:$G122,"&gt;0"))</f>
        <v/>
      </c>
      <c r="D122" s="827" t="s">
        <v>4699</v>
      </c>
      <c r="E122" s="828" t="s">
        <v>4698</v>
      </c>
      <c r="F122" s="413" t="s">
        <v>774</v>
      </c>
      <c r="G122" s="476">
        <f t="shared" ca="1" si="20"/>
        <v>0</v>
      </c>
      <c r="H122" s="477" t="s">
        <v>3404</v>
      </c>
      <c r="I122" s="484">
        <v>4</v>
      </c>
      <c r="J122" s="479">
        <v>1</v>
      </c>
      <c r="K122" s="492">
        <f t="shared" ca="1" si="21"/>
        <v>0</v>
      </c>
      <c r="L122" s="477" t="s">
        <v>3404</v>
      </c>
      <c r="M122" s="484">
        <f t="shared" si="27"/>
        <v>4</v>
      </c>
      <c r="N122" s="479">
        <f t="shared" si="22"/>
        <v>1</v>
      </c>
      <c r="O122" s="481">
        <f t="shared" si="23"/>
        <v>1032264</v>
      </c>
      <c r="P122" s="481">
        <f t="shared" si="24"/>
        <v>1032264</v>
      </c>
      <c r="Q122" s="481">
        <f t="shared" ca="1" si="25"/>
        <v>0</v>
      </c>
      <c r="R122" s="471">
        <f t="shared" ca="1" si="26"/>
        <v>0</v>
      </c>
    </row>
    <row r="123" spans="1:18" s="371" customFormat="1" ht="15.75" hidden="1">
      <c r="B123" s="361" t="s">
        <v>3997</v>
      </c>
      <c r="C123" s="472" t="str">
        <f ca="1">IF(G123=0,"",COUNTIF($G$118:$G123,"&gt;0"))</f>
        <v/>
      </c>
      <c r="D123" s="827" t="s">
        <v>4700</v>
      </c>
      <c r="E123" s="828" t="s">
        <v>4701</v>
      </c>
      <c r="F123" s="413" t="s">
        <v>2785</v>
      </c>
      <c r="G123" s="476">
        <f t="shared" ca="1" si="20"/>
        <v>0</v>
      </c>
      <c r="H123" s="477" t="s">
        <v>3403</v>
      </c>
      <c r="I123" s="484">
        <v>16.62</v>
      </c>
      <c r="J123" s="479">
        <v>1</v>
      </c>
      <c r="K123" s="492">
        <f t="shared" ca="1" si="21"/>
        <v>0</v>
      </c>
      <c r="L123" s="477" t="s">
        <v>3404</v>
      </c>
      <c r="M123" s="484">
        <f t="shared" si="27"/>
        <v>16.62</v>
      </c>
      <c r="N123" s="479">
        <f t="shared" si="22"/>
        <v>1</v>
      </c>
      <c r="O123" s="481">
        <f t="shared" si="23"/>
        <v>4289056.92</v>
      </c>
      <c r="P123" s="481">
        <f t="shared" si="24"/>
        <v>4289056.92</v>
      </c>
      <c r="Q123" s="481">
        <f t="shared" ca="1" si="25"/>
        <v>0</v>
      </c>
      <c r="R123" s="471">
        <f t="shared" ca="1" si="26"/>
        <v>0</v>
      </c>
    </row>
    <row r="124" spans="1:18" s="371" customFormat="1" ht="15.75" hidden="1">
      <c r="B124" s="361" t="s">
        <v>3998</v>
      </c>
      <c r="C124" s="472" t="str">
        <f ca="1">IF(G124=0,"",COUNTIF($G$118:$G124,"&gt;0"))</f>
        <v/>
      </c>
      <c r="D124" s="827" t="s">
        <v>4702</v>
      </c>
      <c r="E124" s="828" t="s">
        <v>4703</v>
      </c>
      <c r="F124" s="413" t="s">
        <v>2785</v>
      </c>
      <c r="G124" s="476">
        <f t="shared" ca="1" si="20"/>
        <v>0</v>
      </c>
      <c r="H124" s="477" t="s">
        <v>3403</v>
      </c>
      <c r="I124" s="484">
        <v>15</v>
      </c>
      <c r="J124" s="479">
        <v>1</v>
      </c>
      <c r="K124" s="492">
        <f t="shared" ca="1" si="21"/>
        <v>0</v>
      </c>
      <c r="L124" s="477" t="s">
        <v>3404</v>
      </c>
      <c r="M124" s="484">
        <f t="shared" si="27"/>
        <v>15</v>
      </c>
      <c r="N124" s="479">
        <f t="shared" si="22"/>
        <v>1</v>
      </c>
      <c r="O124" s="481">
        <f t="shared" si="23"/>
        <v>3870990</v>
      </c>
      <c r="P124" s="481">
        <f t="shared" si="24"/>
        <v>3870990</v>
      </c>
      <c r="Q124" s="481">
        <f t="shared" ca="1" si="25"/>
        <v>0</v>
      </c>
      <c r="R124" s="471">
        <f t="shared" ca="1" si="26"/>
        <v>0</v>
      </c>
    </row>
    <row r="125" spans="1:18" s="371" customFormat="1" ht="15.75" hidden="1">
      <c r="B125" s="361" t="s">
        <v>3999</v>
      </c>
      <c r="C125" s="472" t="str">
        <f ca="1">IF(G125=0,"",COUNTIF($G$118:$G125,"&gt;0"))</f>
        <v/>
      </c>
      <c r="D125" s="475" t="s">
        <v>2937</v>
      </c>
      <c r="E125" s="511" t="s">
        <v>2985</v>
      </c>
      <c r="F125" s="413" t="s">
        <v>2785</v>
      </c>
      <c r="G125" s="476">
        <f t="shared" ca="1" si="20"/>
        <v>0</v>
      </c>
      <c r="H125" s="477" t="s">
        <v>3404</v>
      </c>
      <c r="I125" s="484">
        <v>5.77</v>
      </c>
      <c r="J125" s="479">
        <v>1</v>
      </c>
      <c r="K125" s="492">
        <f t="shared" ca="1" si="21"/>
        <v>0</v>
      </c>
      <c r="L125" s="477" t="s">
        <v>3404</v>
      </c>
      <c r="M125" s="484">
        <f t="shared" si="27"/>
        <v>5.77</v>
      </c>
      <c r="N125" s="479">
        <f t="shared" si="22"/>
        <v>1</v>
      </c>
      <c r="O125" s="481">
        <f t="shared" si="23"/>
        <v>1489040.8199999998</v>
      </c>
      <c r="P125" s="481">
        <f t="shared" si="24"/>
        <v>1489040.8199999998</v>
      </c>
      <c r="Q125" s="481">
        <f t="shared" ca="1" si="25"/>
        <v>0</v>
      </c>
      <c r="R125" s="471">
        <f t="shared" ca="1" si="26"/>
        <v>0</v>
      </c>
    </row>
    <row r="126" spans="1:18" s="371" customFormat="1" ht="15.75" hidden="1">
      <c r="B126" s="361" t="s">
        <v>4000</v>
      </c>
      <c r="C126" s="472" t="str">
        <f ca="1">IF(G126=0,"",COUNTIF($G$118:$G126,"&gt;0"))</f>
        <v/>
      </c>
      <c r="D126" s="487" t="s">
        <v>2744</v>
      </c>
      <c r="E126" s="512" t="s">
        <v>2926</v>
      </c>
      <c r="F126" s="492" t="s">
        <v>400</v>
      </c>
      <c r="G126" s="476">
        <f t="shared" ca="1" si="20"/>
        <v>0</v>
      </c>
      <c r="H126" s="477" t="s">
        <v>3404</v>
      </c>
      <c r="I126" s="479">
        <v>2.5499999999999998</v>
      </c>
      <c r="J126" s="479">
        <v>1</v>
      </c>
      <c r="K126" s="492">
        <f ca="1">G126</f>
        <v>0</v>
      </c>
      <c r="L126" s="477" t="s">
        <v>3404</v>
      </c>
      <c r="M126" s="484">
        <f t="shared" si="27"/>
        <v>2.5499999999999998</v>
      </c>
      <c r="N126" s="479">
        <f t="shared" si="22"/>
        <v>1</v>
      </c>
      <c r="O126" s="481">
        <f t="shared" si="23"/>
        <v>658068.29999999993</v>
      </c>
      <c r="P126" s="481">
        <f t="shared" si="24"/>
        <v>658068.29999999993</v>
      </c>
      <c r="Q126" s="481">
        <f t="shared" ca="1" si="25"/>
        <v>0</v>
      </c>
      <c r="R126" s="471">
        <f t="shared" ca="1" si="26"/>
        <v>0</v>
      </c>
    </row>
    <row r="127" spans="1:18" s="371" customFormat="1" ht="15.75" hidden="1">
      <c r="B127" s="361" t="s">
        <v>4001</v>
      </c>
      <c r="C127" s="472" t="str">
        <f ca="1">IF(G127=0,"",COUNTIF($G$118:$G127,"&gt;0"))</f>
        <v/>
      </c>
      <c r="D127" s="487" t="s">
        <v>2744</v>
      </c>
      <c r="E127" s="512" t="s">
        <v>2927</v>
      </c>
      <c r="F127" s="492" t="s">
        <v>400</v>
      </c>
      <c r="G127" s="476">
        <f t="shared" ca="1" si="20"/>
        <v>0</v>
      </c>
      <c r="H127" s="477" t="s">
        <v>3404</v>
      </c>
      <c r="I127" s="479">
        <v>2.5499999999999998</v>
      </c>
      <c r="J127" s="479">
        <v>1</v>
      </c>
      <c r="K127" s="492">
        <f ca="1">G127</f>
        <v>0</v>
      </c>
      <c r="L127" s="477" t="s">
        <v>3404</v>
      </c>
      <c r="M127" s="484">
        <f t="shared" si="27"/>
        <v>2.5499999999999998</v>
      </c>
      <c r="N127" s="479">
        <f t="shared" si="22"/>
        <v>1</v>
      </c>
      <c r="O127" s="481">
        <f t="shared" si="23"/>
        <v>658068.29999999993</v>
      </c>
      <c r="P127" s="481">
        <f t="shared" si="24"/>
        <v>658068.29999999993</v>
      </c>
      <c r="Q127" s="481">
        <f t="shared" ca="1" si="25"/>
        <v>0</v>
      </c>
      <c r="R127" s="471">
        <f t="shared" ca="1" si="26"/>
        <v>0</v>
      </c>
    </row>
    <row r="128" spans="1:18" s="371" customFormat="1" ht="15.75" hidden="1">
      <c r="B128" s="361" t="s">
        <v>4002</v>
      </c>
      <c r="C128" s="472" t="str">
        <f ca="1">IF(G128=0,"",COUNTIF($G$118:$G128,"&gt;0"))</f>
        <v/>
      </c>
      <c r="D128" s="487" t="s">
        <v>2747</v>
      </c>
      <c r="E128" s="512" t="s">
        <v>2758</v>
      </c>
      <c r="F128" s="492" t="s">
        <v>37</v>
      </c>
      <c r="G128" s="476">
        <f t="shared" ca="1" si="20"/>
        <v>0</v>
      </c>
      <c r="H128" s="477" t="s">
        <v>3404</v>
      </c>
      <c r="I128" s="479">
        <f>+I79</f>
        <v>4.0999999999999996</v>
      </c>
      <c r="J128" s="479">
        <v>1</v>
      </c>
      <c r="K128" s="492">
        <f t="shared" ref="K128:K141" ca="1" si="28">G128</f>
        <v>0</v>
      </c>
      <c r="L128" s="477" t="s">
        <v>3404</v>
      </c>
      <c r="M128" s="484">
        <f t="shared" si="27"/>
        <v>4.0999999999999996</v>
      </c>
      <c r="N128" s="479">
        <f t="shared" si="22"/>
        <v>1</v>
      </c>
      <c r="O128" s="481">
        <f t="shared" si="23"/>
        <v>1058070.5999999999</v>
      </c>
      <c r="P128" s="481">
        <f t="shared" si="24"/>
        <v>1058070.5999999999</v>
      </c>
      <c r="Q128" s="481">
        <f t="shared" ca="1" si="25"/>
        <v>0</v>
      </c>
      <c r="R128" s="471">
        <f t="shared" ca="1" si="26"/>
        <v>0</v>
      </c>
    </row>
    <row r="129" spans="2:18" s="371" customFormat="1" ht="15.75" hidden="1">
      <c r="B129" s="361" t="s">
        <v>4003</v>
      </c>
      <c r="C129" s="472" t="str">
        <f ca="1">IF(G129=0,"",COUNTIF($G$118:$G129,"&gt;0"))</f>
        <v/>
      </c>
      <c r="D129" s="475" t="s">
        <v>2759</v>
      </c>
      <c r="E129" s="513" t="s">
        <v>2760</v>
      </c>
      <c r="F129" s="492" t="s">
        <v>9</v>
      </c>
      <c r="G129" s="476">
        <f t="shared" ca="1" si="20"/>
        <v>0</v>
      </c>
      <c r="H129" s="477" t="s">
        <v>3404</v>
      </c>
      <c r="I129" s="484">
        <v>0.54</v>
      </c>
      <c r="J129" s="479">
        <v>0.5</v>
      </c>
      <c r="K129" s="492">
        <f t="shared" ca="1" si="28"/>
        <v>0</v>
      </c>
      <c r="L129" s="477" t="s">
        <v>3404</v>
      </c>
      <c r="M129" s="484">
        <f t="shared" si="27"/>
        <v>0.54</v>
      </c>
      <c r="N129" s="479">
        <f t="shared" si="22"/>
        <v>0.5</v>
      </c>
      <c r="O129" s="481">
        <f t="shared" si="23"/>
        <v>69677.820000000007</v>
      </c>
      <c r="P129" s="481">
        <f t="shared" si="24"/>
        <v>69677.820000000007</v>
      </c>
      <c r="Q129" s="481">
        <f t="shared" ca="1" si="25"/>
        <v>0</v>
      </c>
      <c r="R129" s="471">
        <f t="shared" ca="1" si="26"/>
        <v>0</v>
      </c>
    </row>
    <row r="130" spans="2:18" s="371" customFormat="1" ht="15.75" hidden="1">
      <c r="B130" s="361" t="s">
        <v>4004</v>
      </c>
      <c r="C130" s="472" t="str">
        <f ca="1">IF(G130=0,"",COUNTIF($G$118:$G130,"&gt;0"))</f>
        <v/>
      </c>
      <c r="D130" s="487" t="s">
        <v>2761</v>
      </c>
      <c r="E130" s="512" t="s">
        <v>2775</v>
      </c>
      <c r="F130" s="492" t="s">
        <v>163</v>
      </c>
      <c r="G130" s="476">
        <f t="shared" ca="1" si="20"/>
        <v>0</v>
      </c>
      <c r="H130" s="477" t="s">
        <v>3404</v>
      </c>
      <c r="I130" s="479">
        <v>0.61</v>
      </c>
      <c r="J130" s="479">
        <v>1</v>
      </c>
      <c r="K130" s="492">
        <f t="shared" ca="1" si="28"/>
        <v>0</v>
      </c>
      <c r="L130" s="477" t="s">
        <v>3404</v>
      </c>
      <c r="M130" s="484">
        <f t="shared" si="27"/>
        <v>0.61</v>
      </c>
      <c r="N130" s="479">
        <f t="shared" si="22"/>
        <v>1</v>
      </c>
      <c r="O130" s="481">
        <f t="shared" si="23"/>
        <v>157420.26</v>
      </c>
      <c r="P130" s="481">
        <f t="shared" si="24"/>
        <v>157420.26</v>
      </c>
      <c r="Q130" s="481">
        <f t="shared" ca="1" si="25"/>
        <v>0</v>
      </c>
      <c r="R130" s="471">
        <f t="shared" ca="1" si="26"/>
        <v>0</v>
      </c>
    </row>
    <row r="131" spans="2:18" s="371" customFormat="1" ht="15.75" hidden="1">
      <c r="B131" s="361" t="s">
        <v>4005</v>
      </c>
      <c r="C131" s="472" t="str">
        <f ca="1">IF(G131=0,"",COUNTIF($G$118:$G131,"&gt;0"))</f>
        <v/>
      </c>
      <c r="D131" s="487" t="s">
        <v>2761</v>
      </c>
      <c r="E131" s="512" t="s">
        <v>2763</v>
      </c>
      <c r="F131" s="492" t="s">
        <v>163</v>
      </c>
      <c r="G131" s="476">
        <f t="shared" ca="1" si="20"/>
        <v>0</v>
      </c>
      <c r="H131" s="477" t="s">
        <v>3404</v>
      </c>
      <c r="I131" s="479">
        <v>0.61</v>
      </c>
      <c r="J131" s="479">
        <v>1</v>
      </c>
      <c r="K131" s="492">
        <f t="shared" ca="1" si="28"/>
        <v>0</v>
      </c>
      <c r="L131" s="477" t="s">
        <v>3404</v>
      </c>
      <c r="M131" s="484">
        <f t="shared" si="27"/>
        <v>0.61</v>
      </c>
      <c r="N131" s="479">
        <f t="shared" si="22"/>
        <v>1</v>
      </c>
      <c r="O131" s="481">
        <f t="shared" si="23"/>
        <v>157420.26</v>
      </c>
      <c r="P131" s="481">
        <f t="shared" si="24"/>
        <v>157420.26</v>
      </c>
      <c r="Q131" s="481">
        <f t="shared" ca="1" si="25"/>
        <v>0</v>
      </c>
      <c r="R131" s="471">
        <f t="shared" ca="1" si="26"/>
        <v>0</v>
      </c>
    </row>
    <row r="132" spans="2:18" s="371" customFormat="1" ht="15.75" hidden="1">
      <c r="B132" s="361" t="s">
        <v>4006</v>
      </c>
      <c r="C132" s="472" t="str">
        <f ca="1">IF(G132=0,"",COUNTIF($G$118:$G132,"&gt;0"))</f>
        <v/>
      </c>
      <c r="D132" s="487" t="s">
        <v>2761</v>
      </c>
      <c r="E132" s="513" t="s">
        <v>2764</v>
      </c>
      <c r="F132" s="492" t="s">
        <v>37</v>
      </c>
      <c r="G132" s="476">
        <f t="shared" ca="1" si="20"/>
        <v>0</v>
      </c>
      <c r="H132" s="477" t="s">
        <v>3404</v>
      </c>
      <c r="I132" s="479">
        <v>0.61</v>
      </c>
      <c r="J132" s="479">
        <v>1</v>
      </c>
      <c r="K132" s="492">
        <f t="shared" ca="1" si="28"/>
        <v>0</v>
      </c>
      <c r="L132" s="477" t="s">
        <v>3404</v>
      </c>
      <c r="M132" s="484">
        <f t="shared" si="27"/>
        <v>0.61</v>
      </c>
      <c r="N132" s="479">
        <f t="shared" si="22"/>
        <v>1</v>
      </c>
      <c r="O132" s="481">
        <f t="shared" si="23"/>
        <v>157420.26</v>
      </c>
      <c r="P132" s="481">
        <f t="shared" si="24"/>
        <v>157420.26</v>
      </c>
      <c r="Q132" s="481">
        <f t="shared" ca="1" si="25"/>
        <v>0</v>
      </c>
      <c r="R132" s="471">
        <f t="shared" ca="1" si="26"/>
        <v>0</v>
      </c>
    </row>
    <row r="133" spans="2:18" s="371" customFormat="1" ht="15.75" hidden="1">
      <c r="B133" s="361" t="s">
        <v>4007</v>
      </c>
      <c r="C133" s="472" t="str">
        <f ca="1">IF(G133=0,"",COUNTIF($G$118:$G133,"&gt;0"))</f>
        <v/>
      </c>
      <c r="D133" s="487" t="s">
        <v>2761</v>
      </c>
      <c r="E133" s="513" t="s">
        <v>2765</v>
      </c>
      <c r="F133" s="492" t="s">
        <v>9</v>
      </c>
      <c r="G133" s="476">
        <f t="shared" ca="1" si="20"/>
        <v>0</v>
      </c>
      <c r="H133" s="477" t="s">
        <v>3404</v>
      </c>
      <c r="I133" s="479">
        <v>0.61</v>
      </c>
      <c r="J133" s="479">
        <v>1</v>
      </c>
      <c r="K133" s="492">
        <f t="shared" ca="1" si="28"/>
        <v>0</v>
      </c>
      <c r="L133" s="477" t="s">
        <v>3404</v>
      </c>
      <c r="M133" s="484">
        <f t="shared" si="27"/>
        <v>0.61</v>
      </c>
      <c r="N133" s="479">
        <f t="shared" si="22"/>
        <v>1</v>
      </c>
      <c r="O133" s="481">
        <f t="shared" si="23"/>
        <v>157420.26</v>
      </c>
      <c r="P133" s="481">
        <f t="shared" si="24"/>
        <v>157420.26</v>
      </c>
      <c r="Q133" s="481">
        <f t="shared" ca="1" si="25"/>
        <v>0</v>
      </c>
      <c r="R133" s="471">
        <f t="shared" ca="1" si="26"/>
        <v>0</v>
      </c>
    </row>
    <row r="134" spans="2:18" s="371" customFormat="1" ht="15.75" hidden="1">
      <c r="B134" s="361" t="s">
        <v>4008</v>
      </c>
      <c r="C134" s="472" t="str">
        <f ca="1">IF(G134=0,"",COUNTIF($G$118:$G134,"&gt;0"))</f>
        <v/>
      </c>
      <c r="D134" s="475" t="s">
        <v>2739</v>
      </c>
      <c r="E134" s="512" t="s">
        <v>2776</v>
      </c>
      <c r="F134" s="413" t="s">
        <v>1265</v>
      </c>
      <c r="G134" s="476">
        <f t="shared" ref="G134:G140" ca="1" si="29">SUMIF(maBK,B134,tongBK1)/1000</f>
        <v>0</v>
      </c>
      <c r="H134" s="477" t="s">
        <v>3404</v>
      </c>
      <c r="I134" s="484">
        <v>10.42</v>
      </c>
      <c r="J134" s="479">
        <v>1</v>
      </c>
      <c r="K134" s="492">
        <f t="shared" ca="1" si="28"/>
        <v>0</v>
      </c>
      <c r="L134" s="477" t="s">
        <v>3404</v>
      </c>
      <c r="M134" s="484">
        <f t="shared" si="27"/>
        <v>10.42</v>
      </c>
      <c r="N134" s="479">
        <f t="shared" si="22"/>
        <v>1</v>
      </c>
      <c r="O134" s="481">
        <f t="shared" si="23"/>
        <v>2689047.72</v>
      </c>
      <c r="P134" s="481">
        <f t="shared" si="24"/>
        <v>2689047.72</v>
      </c>
      <c r="Q134" s="481">
        <f t="shared" ca="1" si="25"/>
        <v>0</v>
      </c>
      <c r="R134" s="471">
        <f t="shared" ca="1" si="26"/>
        <v>0</v>
      </c>
    </row>
    <row r="135" spans="2:18" s="371" customFormat="1" ht="15.75" hidden="1">
      <c r="B135" s="361" t="s">
        <v>4009</v>
      </c>
      <c r="C135" s="472" t="str">
        <f ca="1">IF(G135=0,"",COUNTIF($G$118:$G135,"&gt;0"))</f>
        <v/>
      </c>
      <c r="D135" s="475" t="s">
        <v>2767</v>
      </c>
      <c r="E135" s="514" t="s">
        <v>2768</v>
      </c>
      <c r="F135" s="413" t="s">
        <v>1265</v>
      </c>
      <c r="G135" s="476">
        <f t="shared" ca="1" si="29"/>
        <v>0</v>
      </c>
      <c r="H135" s="477" t="s">
        <v>3404</v>
      </c>
      <c r="I135" s="484">
        <v>21.88</v>
      </c>
      <c r="J135" s="479">
        <v>1</v>
      </c>
      <c r="K135" s="492">
        <f t="shared" ca="1" si="28"/>
        <v>0</v>
      </c>
      <c r="L135" s="477" t="s">
        <v>3404</v>
      </c>
      <c r="M135" s="484">
        <f t="shared" si="27"/>
        <v>21.88</v>
      </c>
      <c r="N135" s="479">
        <f t="shared" si="22"/>
        <v>1</v>
      </c>
      <c r="O135" s="481">
        <f t="shared" si="23"/>
        <v>5646484.0800000001</v>
      </c>
      <c r="P135" s="481">
        <f t="shared" si="24"/>
        <v>5646484.0800000001</v>
      </c>
      <c r="Q135" s="481">
        <f t="shared" ca="1" si="25"/>
        <v>0</v>
      </c>
      <c r="R135" s="471">
        <f t="shared" ca="1" si="26"/>
        <v>0</v>
      </c>
    </row>
    <row r="136" spans="2:18" s="371" customFormat="1" ht="15.75" hidden="1">
      <c r="B136" s="361" t="s">
        <v>4010</v>
      </c>
      <c r="C136" s="472" t="str">
        <f ca="1">IF(G136=0,"",COUNTIF($G$118:$G136,"&gt;0"))</f>
        <v/>
      </c>
      <c r="D136" s="475" t="s">
        <v>2767</v>
      </c>
      <c r="E136" s="515" t="s">
        <v>2769</v>
      </c>
      <c r="F136" s="413" t="s">
        <v>1265</v>
      </c>
      <c r="G136" s="476">
        <f t="shared" ca="1" si="29"/>
        <v>0</v>
      </c>
      <c r="H136" s="477" t="s">
        <v>3404</v>
      </c>
      <c r="I136" s="479">
        <v>16.100000000000001</v>
      </c>
      <c r="J136" s="479">
        <v>1</v>
      </c>
      <c r="K136" s="492">
        <f t="shared" ca="1" si="28"/>
        <v>0</v>
      </c>
      <c r="L136" s="477" t="s">
        <v>3404</v>
      </c>
      <c r="M136" s="484">
        <f t="shared" si="27"/>
        <v>16.100000000000001</v>
      </c>
      <c r="N136" s="479">
        <f t="shared" si="22"/>
        <v>1</v>
      </c>
      <c r="O136" s="481">
        <f t="shared" si="23"/>
        <v>4154862.6000000006</v>
      </c>
      <c r="P136" s="481">
        <f t="shared" si="24"/>
        <v>4154862.6000000006</v>
      </c>
      <c r="Q136" s="481">
        <f t="shared" ca="1" si="25"/>
        <v>0</v>
      </c>
      <c r="R136" s="471">
        <f ca="1">IF(G136&lt;&gt;0,1,0)</f>
        <v>0</v>
      </c>
    </row>
    <row r="137" spans="2:18" s="371" customFormat="1" ht="15.75" hidden="1">
      <c r="B137" s="361" t="s">
        <v>4011</v>
      </c>
      <c r="C137" s="472" t="str">
        <f ca="1">IF(G137=0,"",COUNTIF($G$118:$G137,"&gt;0"))</f>
        <v/>
      </c>
      <c r="D137" s="475" t="s">
        <v>2767</v>
      </c>
      <c r="E137" s="515" t="s">
        <v>2770</v>
      </c>
      <c r="F137" s="413" t="s">
        <v>1265</v>
      </c>
      <c r="G137" s="476">
        <f t="shared" ca="1" si="29"/>
        <v>0</v>
      </c>
      <c r="H137" s="477" t="s">
        <v>3404</v>
      </c>
      <c r="I137" s="479">
        <v>11.96</v>
      </c>
      <c r="J137" s="479">
        <v>1</v>
      </c>
      <c r="K137" s="492">
        <f t="shared" ca="1" si="28"/>
        <v>0</v>
      </c>
      <c r="L137" s="477" t="s">
        <v>3404</v>
      </c>
      <c r="M137" s="484">
        <f t="shared" si="27"/>
        <v>11.96</v>
      </c>
      <c r="N137" s="479">
        <f t="shared" si="22"/>
        <v>1</v>
      </c>
      <c r="O137" s="481">
        <f t="shared" si="23"/>
        <v>3086469.3600000003</v>
      </c>
      <c r="P137" s="481">
        <f t="shared" si="24"/>
        <v>3086469.3600000003</v>
      </c>
      <c r="Q137" s="481">
        <f t="shared" ca="1" si="25"/>
        <v>0</v>
      </c>
      <c r="R137" s="471">
        <f t="shared" ca="1" si="26"/>
        <v>0</v>
      </c>
    </row>
    <row r="138" spans="2:18" s="371" customFormat="1" ht="15.75" hidden="1">
      <c r="B138" s="361" t="s">
        <v>4012</v>
      </c>
      <c r="C138" s="472" t="str">
        <f ca="1">IF(G138=0,"",COUNTIF($G$118:$G138,"&gt;0"))</f>
        <v/>
      </c>
      <c r="D138" s="475" t="s">
        <v>2739</v>
      </c>
      <c r="E138" s="514" t="s">
        <v>2740</v>
      </c>
      <c r="F138" s="413" t="s">
        <v>1265</v>
      </c>
      <c r="G138" s="476">
        <f t="shared" ca="1" si="29"/>
        <v>0</v>
      </c>
      <c r="H138" s="477" t="s">
        <v>3404</v>
      </c>
      <c r="I138" s="484">
        <v>20.07</v>
      </c>
      <c r="J138" s="479">
        <v>1</v>
      </c>
      <c r="K138" s="492">
        <f t="shared" ca="1" si="28"/>
        <v>0</v>
      </c>
      <c r="L138" s="477" t="s">
        <v>3404</v>
      </c>
      <c r="M138" s="484">
        <f>I138</f>
        <v>20.07</v>
      </c>
      <c r="N138" s="479">
        <f t="shared" si="22"/>
        <v>1</v>
      </c>
      <c r="O138" s="481">
        <f t="shared" si="23"/>
        <v>5179384.62</v>
      </c>
      <c r="P138" s="481">
        <f t="shared" si="24"/>
        <v>5179384.62</v>
      </c>
      <c r="Q138" s="481">
        <f t="shared" ca="1" si="25"/>
        <v>0</v>
      </c>
      <c r="R138" s="471">
        <f t="shared" ca="1" si="26"/>
        <v>0</v>
      </c>
    </row>
    <row r="139" spans="2:18" s="371" customFormat="1" ht="15.75" hidden="1">
      <c r="B139" s="361" t="s">
        <v>4013</v>
      </c>
      <c r="C139" s="472" t="str">
        <f ca="1">IF(G139=0,"",COUNTIF($G$118:$G139,"&gt;0"))</f>
        <v/>
      </c>
      <c r="D139" s="475" t="s">
        <v>2739</v>
      </c>
      <c r="E139" s="514" t="s">
        <v>2741</v>
      </c>
      <c r="F139" s="413" t="s">
        <v>1265</v>
      </c>
      <c r="G139" s="476">
        <f t="shared" ca="1" si="29"/>
        <v>0</v>
      </c>
      <c r="H139" s="477" t="s">
        <v>3404</v>
      </c>
      <c r="I139" s="479">
        <v>15.02</v>
      </c>
      <c r="J139" s="479">
        <v>1</v>
      </c>
      <c r="K139" s="492">
        <f t="shared" ca="1" si="28"/>
        <v>0</v>
      </c>
      <c r="L139" s="477" t="s">
        <v>3404</v>
      </c>
      <c r="M139" s="484">
        <f t="shared" ref="M139:M148" si="30">I139</f>
        <v>15.02</v>
      </c>
      <c r="N139" s="479">
        <f t="shared" si="22"/>
        <v>1</v>
      </c>
      <c r="O139" s="481">
        <f t="shared" si="23"/>
        <v>3876151.32</v>
      </c>
      <c r="P139" s="481">
        <f t="shared" si="24"/>
        <v>3876151.32</v>
      </c>
      <c r="Q139" s="481">
        <f t="shared" ca="1" si="25"/>
        <v>0</v>
      </c>
      <c r="R139" s="471">
        <f t="shared" ca="1" si="26"/>
        <v>0</v>
      </c>
    </row>
    <row r="140" spans="2:18" s="371" customFormat="1" ht="15.75" hidden="1">
      <c r="B140" s="361" t="s">
        <v>4014</v>
      </c>
      <c r="C140" s="472" t="str">
        <f ca="1">IF(G140=0,"",COUNTIF($G$118:$G140,"&gt;0"))</f>
        <v/>
      </c>
      <c r="D140" s="475">
        <v>67007</v>
      </c>
      <c r="E140" s="514" t="s">
        <v>2771</v>
      </c>
      <c r="F140" s="413" t="s">
        <v>1265</v>
      </c>
      <c r="G140" s="476">
        <f t="shared" ca="1" si="29"/>
        <v>0</v>
      </c>
      <c r="H140" s="477" t="s">
        <v>3404</v>
      </c>
      <c r="I140" s="479">
        <v>15.02</v>
      </c>
      <c r="J140" s="479">
        <v>1</v>
      </c>
      <c r="K140" s="492">
        <f ca="1">G140</f>
        <v>0</v>
      </c>
      <c r="L140" s="477" t="s">
        <v>3404</v>
      </c>
      <c r="M140" s="484">
        <f t="shared" si="30"/>
        <v>15.02</v>
      </c>
      <c r="N140" s="479">
        <f t="shared" si="22"/>
        <v>1</v>
      </c>
      <c r="O140" s="481">
        <f t="shared" si="23"/>
        <v>3876151.32</v>
      </c>
      <c r="P140" s="481">
        <f t="shared" si="24"/>
        <v>3876151.32</v>
      </c>
      <c r="Q140" s="481">
        <f t="shared" ca="1" si="25"/>
        <v>0</v>
      </c>
      <c r="R140" s="471">
        <f t="shared" ca="1" si="26"/>
        <v>0</v>
      </c>
    </row>
    <row r="141" spans="2:18" s="371" customFormat="1" ht="15.75" hidden="1">
      <c r="B141" s="361" t="s">
        <v>4015</v>
      </c>
      <c r="C141" s="472" t="str">
        <f ca="1">IF(G141=0,"",COUNTIF($G$118:$G141,"&gt;0"))</f>
        <v/>
      </c>
      <c r="D141" s="475" t="s">
        <v>2743</v>
      </c>
      <c r="E141" s="516" t="s">
        <v>2777</v>
      </c>
      <c r="F141" s="475" t="s">
        <v>37</v>
      </c>
      <c r="G141" s="476">
        <f t="shared" ca="1" si="20"/>
        <v>0</v>
      </c>
      <c r="H141" s="477" t="s">
        <v>3404</v>
      </c>
      <c r="I141" s="479">
        <f>0.49</f>
        <v>0.49</v>
      </c>
      <c r="J141" s="479">
        <v>1</v>
      </c>
      <c r="K141" s="492">
        <f t="shared" ca="1" si="28"/>
        <v>0</v>
      </c>
      <c r="L141" s="477" t="s">
        <v>3404</v>
      </c>
      <c r="M141" s="484">
        <f t="shared" si="30"/>
        <v>0.49</v>
      </c>
      <c r="N141" s="479">
        <f t="shared" si="22"/>
        <v>1</v>
      </c>
      <c r="O141" s="481">
        <f t="shared" si="23"/>
        <v>126452.34</v>
      </c>
      <c r="P141" s="481">
        <f t="shared" si="24"/>
        <v>126452.34</v>
      </c>
      <c r="Q141" s="481">
        <f t="shared" ca="1" si="25"/>
        <v>0</v>
      </c>
      <c r="R141" s="471">
        <f t="shared" ca="1" si="26"/>
        <v>0</v>
      </c>
    </row>
    <row r="142" spans="2:18" s="371" customFormat="1" ht="15.75" hidden="1">
      <c r="B142" s="361" t="s">
        <v>4016</v>
      </c>
      <c r="C142" s="472" t="str">
        <f ca="1">IF(G142=0,"",COUNTIF($G$6:$G142,"&gt;0"))</f>
        <v/>
      </c>
      <c r="D142" s="413" t="s">
        <v>2778</v>
      </c>
      <c r="E142" s="517" t="s">
        <v>2779</v>
      </c>
      <c r="F142" s="413" t="s">
        <v>9</v>
      </c>
      <c r="G142" s="476">
        <f t="shared" ca="1" si="20"/>
        <v>0</v>
      </c>
      <c r="H142" s="477" t="s">
        <v>3404</v>
      </c>
      <c r="I142" s="479">
        <f t="shared" ref="I142:I148" si="31">0.49</f>
        <v>0.49</v>
      </c>
      <c r="J142" s="479">
        <v>1</v>
      </c>
      <c r="K142" s="492">
        <f ca="1">G142</f>
        <v>0</v>
      </c>
      <c r="L142" s="477" t="s">
        <v>3404</v>
      </c>
      <c r="M142" s="484">
        <f t="shared" si="30"/>
        <v>0.49</v>
      </c>
      <c r="N142" s="479">
        <f t="shared" si="22"/>
        <v>1</v>
      </c>
      <c r="O142" s="481">
        <f t="shared" si="23"/>
        <v>126452.34</v>
      </c>
      <c r="P142" s="481">
        <f t="shared" si="24"/>
        <v>126452.34</v>
      </c>
      <c r="Q142" s="481">
        <f t="shared" ca="1" si="25"/>
        <v>0</v>
      </c>
      <c r="R142" s="471">
        <f t="shared" ca="1" si="26"/>
        <v>0</v>
      </c>
    </row>
    <row r="143" spans="2:18" s="371" customFormat="1" ht="15.75" hidden="1">
      <c r="B143" s="361" t="s">
        <v>4017</v>
      </c>
      <c r="C143" s="472" t="str">
        <f ca="1">IF(G143=0,"",COUNTIF($G$6:$G143,"&gt;0"))</f>
        <v/>
      </c>
      <c r="D143" s="475" t="s">
        <v>2750</v>
      </c>
      <c r="E143" s="517" t="s">
        <v>2099</v>
      </c>
      <c r="F143" s="413" t="s">
        <v>9</v>
      </c>
      <c r="G143" s="476">
        <f t="shared" ca="1" si="20"/>
        <v>0</v>
      </c>
      <c r="H143" s="477" t="s">
        <v>3404</v>
      </c>
      <c r="I143" s="479">
        <f t="shared" si="31"/>
        <v>0.49</v>
      </c>
      <c r="J143" s="479">
        <v>1</v>
      </c>
      <c r="K143" s="492">
        <f t="shared" ref="K143:K148" ca="1" si="32">G143</f>
        <v>0</v>
      </c>
      <c r="L143" s="477" t="s">
        <v>3404</v>
      </c>
      <c r="M143" s="484">
        <f t="shared" si="30"/>
        <v>0.49</v>
      </c>
      <c r="N143" s="479">
        <f t="shared" si="22"/>
        <v>1</v>
      </c>
      <c r="O143" s="481">
        <f t="shared" si="23"/>
        <v>126452.34</v>
      </c>
      <c r="P143" s="481">
        <f t="shared" si="24"/>
        <v>126452.34</v>
      </c>
      <c r="Q143" s="481">
        <f t="shared" ca="1" si="25"/>
        <v>0</v>
      </c>
      <c r="R143" s="471">
        <f t="shared" ca="1" si="26"/>
        <v>0</v>
      </c>
    </row>
    <row r="144" spans="2:18" s="371" customFormat="1" ht="15.75" hidden="1">
      <c r="B144" s="361" t="s">
        <v>4018</v>
      </c>
      <c r="C144" s="472">
        <v>1</v>
      </c>
      <c r="D144" s="475" t="s">
        <v>2751</v>
      </c>
      <c r="E144" s="517" t="s">
        <v>2780</v>
      </c>
      <c r="F144" s="413" t="s">
        <v>9</v>
      </c>
      <c r="G144" s="476">
        <f t="shared" ca="1" si="20"/>
        <v>0</v>
      </c>
      <c r="H144" s="477" t="s">
        <v>3404</v>
      </c>
      <c r="I144" s="479">
        <f t="shared" si="31"/>
        <v>0.49</v>
      </c>
      <c r="J144" s="479">
        <v>1</v>
      </c>
      <c r="K144" s="492">
        <f t="shared" ca="1" si="32"/>
        <v>0</v>
      </c>
      <c r="L144" s="477" t="s">
        <v>3404</v>
      </c>
      <c r="M144" s="484">
        <f t="shared" si="30"/>
        <v>0.49</v>
      </c>
      <c r="N144" s="479">
        <f t="shared" si="22"/>
        <v>1</v>
      </c>
      <c r="O144" s="481">
        <f t="shared" si="23"/>
        <v>126452.34</v>
      </c>
      <c r="P144" s="481">
        <f t="shared" si="24"/>
        <v>126452.34</v>
      </c>
      <c r="Q144" s="481">
        <f t="shared" ca="1" si="25"/>
        <v>0</v>
      </c>
      <c r="R144" s="471">
        <f t="shared" ca="1" si="26"/>
        <v>0</v>
      </c>
    </row>
    <row r="145" spans="1:18" s="371" customFormat="1" ht="15.75" hidden="1">
      <c r="B145" s="361" t="s">
        <v>4019</v>
      </c>
      <c r="C145" s="472">
        <v>2</v>
      </c>
      <c r="D145" s="475" t="s">
        <v>2781</v>
      </c>
      <c r="E145" s="517" t="s">
        <v>3516</v>
      </c>
      <c r="F145" s="413" t="s">
        <v>2717</v>
      </c>
      <c r="G145" s="476">
        <f ca="1">SUMIF(maBK,B145,tongBK1)/100</f>
        <v>0</v>
      </c>
      <c r="H145" s="477" t="s">
        <v>3404</v>
      </c>
      <c r="I145" s="479">
        <f t="shared" si="31"/>
        <v>0.49</v>
      </c>
      <c r="J145" s="479">
        <v>1</v>
      </c>
      <c r="K145" s="492">
        <f t="shared" ca="1" si="32"/>
        <v>0</v>
      </c>
      <c r="L145" s="477" t="s">
        <v>3404</v>
      </c>
      <c r="M145" s="484">
        <f t="shared" si="30"/>
        <v>0.49</v>
      </c>
      <c r="N145" s="479">
        <f t="shared" si="22"/>
        <v>1</v>
      </c>
      <c r="O145" s="481">
        <f t="shared" si="23"/>
        <v>126452.34</v>
      </c>
      <c r="P145" s="481">
        <f t="shared" si="24"/>
        <v>126452.34</v>
      </c>
      <c r="Q145" s="481">
        <f t="shared" ca="1" si="25"/>
        <v>0</v>
      </c>
      <c r="R145" s="471">
        <f t="shared" ca="1" si="26"/>
        <v>0</v>
      </c>
    </row>
    <row r="146" spans="1:18" s="371" customFormat="1" ht="15.75" hidden="1">
      <c r="B146" s="361" t="s">
        <v>4020</v>
      </c>
      <c r="C146" s="472">
        <v>3</v>
      </c>
      <c r="D146" s="475" t="s">
        <v>2782</v>
      </c>
      <c r="E146" s="517" t="s">
        <v>2783</v>
      </c>
      <c r="F146" s="453" t="s">
        <v>9</v>
      </c>
      <c r="G146" s="476">
        <f t="shared" ca="1" si="20"/>
        <v>0</v>
      </c>
      <c r="H146" s="477" t="s">
        <v>3404</v>
      </c>
      <c r="I146" s="479">
        <f t="shared" si="31"/>
        <v>0.49</v>
      </c>
      <c r="J146" s="479">
        <v>1</v>
      </c>
      <c r="K146" s="492">
        <f t="shared" ca="1" si="32"/>
        <v>0</v>
      </c>
      <c r="L146" s="477" t="s">
        <v>3404</v>
      </c>
      <c r="M146" s="484">
        <f t="shared" si="30"/>
        <v>0.49</v>
      </c>
      <c r="N146" s="479">
        <f t="shared" si="22"/>
        <v>1</v>
      </c>
      <c r="O146" s="481">
        <f t="shared" si="23"/>
        <v>126452.34</v>
      </c>
      <c r="P146" s="481">
        <f t="shared" si="24"/>
        <v>126452.34</v>
      </c>
      <c r="Q146" s="481">
        <f t="shared" ca="1" si="25"/>
        <v>0</v>
      </c>
      <c r="R146" s="471">
        <f t="shared" ca="1" si="26"/>
        <v>0</v>
      </c>
    </row>
    <row r="147" spans="1:18" s="371" customFormat="1" ht="15.75" hidden="1">
      <c r="B147" s="361" t="s">
        <v>4021</v>
      </c>
      <c r="C147" s="472">
        <v>4</v>
      </c>
      <c r="D147" s="475" t="s">
        <v>2784</v>
      </c>
      <c r="E147" s="517" t="s">
        <v>3517</v>
      </c>
      <c r="F147" s="453" t="s">
        <v>2785</v>
      </c>
      <c r="G147" s="476">
        <f t="shared" ca="1" si="20"/>
        <v>0</v>
      </c>
      <c r="H147" s="477" t="s">
        <v>3404</v>
      </c>
      <c r="I147" s="479">
        <f t="shared" si="31"/>
        <v>0.49</v>
      </c>
      <c r="J147" s="479">
        <v>1</v>
      </c>
      <c r="K147" s="492">
        <f t="shared" ca="1" si="32"/>
        <v>0</v>
      </c>
      <c r="L147" s="477" t="s">
        <v>3404</v>
      </c>
      <c r="M147" s="484">
        <f t="shared" si="30"/>
        <v>0.49</v>
      </c>
      <c r="N147" s="479">
        <f t="shared" si="22"/>
        <v>1</v>
      </c>
      <c r="O147" s="481">
        <f t="shared" si="23"/>
        <v>126452.34</v>
      </c>
      <c r="P147" s="481">
        <f t="shared" si="24"/>
        <v>126452.34</v>
      </c>
      <c r="Q147" s="481">
        <f t="shared" ca="1" si="25"/>
        <v>0</v>
      </c>
      <c r="R147" s="471">
        <f t="shared" ca="1" si="26"/>
        <v>0</v>
      </c>
    </row>
    <row r="148" spans="1:18" s="371" customFormat="1" ht="15.75" hidden="1">
      <c r="B148" s="361" t="s">
        <v>4022</v>
      </c>
      <c r="C148" s="472" t="str">
        <f ca="1">IF(G148=0,"",COUNTIF($G$6:$G148,"&gt;0"))</f>
        <v/>
      </c>
      <c r="D148" s="475" t="s">
        <v>2786</v>
      </c>
      <c r="E148" s="517" t="s">
        <v>3518</v>
      </c>
      <c r="F148" s="453" t="s">
        <v>37</v>
      </c>
      <c r="G148" s="476">
        <f t="shared" ca="1" si="20"/>
        <v>0</v>
      </c>
      <c r="H148" s="477" t="s">
        <v>3404</v>
      </c>
      <c r="I148" s="479">
        <f t="shared" si="31"/>
        <v>0.49</v>
      </c>
      <c r="J148" s="479">
        <v>1</v>
      </c>
      <c r="K148" s="492">
        <f t="shared" ca="1" si="32"/>
        <v>0</v>
      </c>
      <c r="L148" s="477" t="s">
        <v>3404</v>
      </c>
      <c r="M148" s="484">
        <f t="shared" si="30"/>
        <v>0.49</v>
      </c>
      <c r="N148" s="479">
        <f t="shared" si="22"/>
        <v>1</v>
      </c>
      <c r="O148" s="481">
        <f t="shared" si="23"/>
        <v>126452.34</v>
      </c>
      <c r="P148" s="481">
        <f t="shared" si="24"/>
        <v>126452.34</v>
      </c>
      <c r="Q148" s="481">
        <f t="shared" ca="1" si="25"/>
        <v>0</v>
      </c>
      <c r="R148" s="471">
        <f t="shared" ca="1" si="26"/>
        <v>0</v>
      </c>
    </row>
    <row r="149" spans="1:18" s="371" customFormat="1" ht="15.75" hidden="1">
      <c r="B149" s="361"/>
      <c r="C149" s="496"/>
      <c r="D149" s="497"/>
      <c r="E149" s="389"/>
      <c r="F149" s="498"/>
      <c r="G149" s="499"/>
      <c r="H149" s="500"/>
      <c r="I149" s="501"/>
      <c r="J149" s="502"/>
      <c r="K149" s="503"/>
      <c r="L149" s="500"/>
      <c r="M149" s="501"/>
      <c r="N149" s="502"/>
      <c r="O149" s="504"/>
      <c r="P149" s="504"/>
      <c r="Q149" s="504"/>
      <c r="R149" s="471"/>
    </row>
    <row r="150" spans="1:18" s="371" customFormat="1" ht="15.75" hidden="1">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ht="26.25">
      <c r="B151" s="361"/>
      <c r="C151" s="1226"/>
      <c r="D151" s="519"/>
      <c r="E151" s="520"/>
      <c r="F151" s="519"/>
      <c r="G151" s="521"/>
      <c r="H151" s="522"/>
      <c r="I151" s="523"/>
      <c r="J151" s="524"/>
      <c r="K151" s="522"/>
      <c r="L151" s="522"/>
      <c r="M151" s="523"/>
      <c r="N151" s="524"/>
      <c r="O151" s="525"/>
      <c r="P151" s="525"/>
      <c r="Q151" s="1228"/>
      <c r="R151" s="1122">
        <v>1</v>
      </c>
    </row>
    <row r="152" spans="1:18" ht="26.25">
      <c r="B152" s="361"/>
      <c r="C152" s="1227" t="s">
        <v>2787</v>
      </c>
      <c r="D152" s="1225"/>
      <c r="E152" s="528"/>
      <c r="F152" s="528"/>
      <c r="G152" s="529"/>
      <c r="H152" s="530"/>
      <c r="I152" s="531"/>
      <c r="J152" s="532"/>
      <c r="K152" s="530"/>
      <c r="L152" s="530"/>
      <c r="M152" s="531"/>
      <c r="N152" s="532"/>
      <c r="O152" s="533"/>
      <c r="P152" s="533"/>
      <c r="Q152" s="1229"/>
      <c r="R152" s="1123">
        <f ca="1">R189</f>
        <v>1</v>
      </c>
    </row>
    <row r="153" spans="1:18" ht="47.25">
      <c r="B153" s="361"/>
      <c r="C153" s="791" t="s">
        <v>2378</v>
      </c>
      <c r="D153" s="791" t="s">
        <v>2446</v>
      </c>
      <c r="E153" s="791" t="s">
        <v>2728</v>
      </c>
      <c r="F153" s="444" t="s">
        <v>2352</v>
      </c>
      <c r="G153" s="443" t="s">
        <v>2806</v>
      </c>
      <c r="H153" s="538" t="s">
        <v>2807</v>
      </c>
      <c r="I153" s="537" t="s">
        <v>2804</v>
      </c>
      <c r="J153" s="538" t="s">
        <v>2715</v>
      </c>
      <c r="K153" s="538" t="s">
        <v>2732</v>
      </c>
      <c r="L153" s="538" t="s">
        <v>2807</v>
      </c>
      <c r="M153" s="537" t="s">
        <v>2805</v>
      </c>
      <c r="N153" s="538" t="s">
        <v>2715</v>
      </c>
      <c r="O153" s="538" t="s">
        <v>2736</v>
      </c>
      <c r="P153" s="538" t="s">
        <v>2737</v>
      </c>
      <c r="Q153" s="538" t="s">
        <v>2348</v>
      </c>
      <c r="R153" s="1124">
        <f ca="1">R152</f>
        <v>1</v>
      </c>
    </row>
    <row r="154" spans="1:18" ht="26.25">
      <c r="A154" s="1129" t="s">
        <v>2924</v>
      </c>
      <c r="B154" s="361"/>
      <c r="C154" s="1231" t="s">
        <v>2361</v>
      </c>
      <c r="D154" s="1232" t="s">
        <v>3909</v>
      </c>
      <c r="E154" s="1233"/>
      <c r="F154" s="1234"/>
      <c r="G154" s="1235"/>
      <c r="H154" s="1236"/>
      <c r="I154" s="1237"/>
      <c r="J154" s="1238"/>
      <c r="K154" s="1239"/>
      <c r="L154" s="1236"/>
      <c r="M154" s="1237"/>
      <c r="N154" s="1238"/>
      <c r="O154" s="1240"/>
      <c r="P154" s="1240"/>
      <c r="Q154" s="1240"/>
      <c r="R154" s="1120">
        <f ca="1">R153</f>
        <v>1</v>
      </c>
    </row>
    <row r="155" spans="1:18" s="371" customFormat="1" ht="15.75" hidden="1">
      <c r="B155" s="361" t="s">
        <v>2938</v>
      </c>
      <c r="C155" s="472" t="str">
        <f ca="1">IF(G155=0,"",COUNTIF($G$155:$G155,"&gt;0"))</f>
        <v/>
      </c>
      <c r="D155" s="483" t="s">
        <v>3492</v>
      </c>
      <c r="E155" s="511" t="s">
        <v>2946</v>
      </c>
      <c r="F155" s="413" t="s">
        <v>2785</v>
      </c>
      <c r="G155" s="476">
        <f t="shared" ref="G155:G162" ca="1" si="33">G63</f>
        <v>0</v>
      </c>
      <c r="H155" s="477" t="s">
        <v>3396</v>
      </c>
      <c r="I155" s="539">
        <v>0.126</v>
      </c>
      <c r="J155" s="540">
        <v>0.5</v>
      </c>
      <c r="K155" s="477">
        <f t="shared" ref="K155:K174" ca="1" si="34">G155</f>
        <v>0</v>
      </c>
      <c r="L155" s="477" t="s">
        <v>3396</v>
      </c>
      <c r="M155" s="540">
        <f>I155</f>
        <v>0.126</v>
      </c>
      <c r="N155" s="540">
        <v>0.5</v>
      </c>
      <c r="O155" s="481">
        <f t="shared" ref="O155:O174" si="35">VLOOKUP(H155,CAMAY,2,0)*I155*J155</f>
        <v>131135.81480559442</v>
      </c>
      <c r="P155" s="481">
        <f t="shared" ref="P155:P174" si="36">VLOOKUP(L155,CAMAY,2,0)*M155*N155</f>
        <v>131135.81480559442</v>
      </c>
      <c r="Q155" s="481">
        <f t="shared" ref="Q155:Q174" ca="1" si="37">+O155*G155+P155*K155</f>
        <v>0</v>
      </c>
      <c r="R155" s="471">
        <f t="shared" ref="R155:R174" ca="1" si="38">IF(G155&lt;&gt;0,1,0)</f>
        <v>0</v>
      </c>
    </row>
    <row r="156" spans="1:18" ht="26.25">
      <c r="B156" s="361" t="s">
        <v>2939</v>
      </c>
      <c r="C156" s="472">
        <f ca="1">IF(G156=0,"",COUNTIF($G$155:$G156,"&gt;0"))</f>
        <v>1</v>
      </c>
      <c r="D156" s="475" t="s">
        <v>3493</v>
      </c>
      <c r="E156" s="511" t="s">
        <v>2947</v>
      </c>
      <c r="F156" s="413" t="s">
        <v>2785</v>
      </c>
      <c r="G156" s="476">
        <f t="shared" si="33"/>
        <v>23</v>
      </c>
      <c r="H156" s="477" t="s">
        <v>3396</v>
      </c>
      <c r="I156" s="539">
        <v>0.126</v>
      </c>
      <c r="J156" s="540">
        <v>0.5</v>
      </c>
      <c r="K156" s="477">
        <f t="shared" si="34"/>
        <v>23</v>
      </c>
      <c r="L156" s="477" t="s">
        <v>3396</v>
      </c>
      <c r="M156" s="540">
        <f t="shared" ref="M156:M174" si="39">I156</f>
        <v>0.126</v>
      </c>
      <c r="N156" s="540">
        <v>0.5</v>
      </c>
      <c r="O156" s="481">
        <f t="shared" si="35"/>
        <v>131135.81480559442</v>
      </c>
      <c r="P156" s="481">
        <f t="shared" si="36"/>
        <v>131135.81480559442</v>
      </c>
      <c r="Q156" s="481">
        <f t="shared" si="37"/>
        <v>6032247.4810573431</v>
      </c>
      <c r="R156" s="1120">
        <f t="shared" si="38"/>
        <v>1</v>
      </c>
    </row>
    <row r="157" spans="1:18" ht="26.25">
      <c r="B157" s="361" t="s">
        <v>2940</v>
      </c>
      <c r="C157" s="472">
        <f ca="1">IF(G157=0,"",COUNTIF($G$155:$G157,"&gt;0"))</f>
        <v>2</v>
      </c>
      <c r="D157" s="475" t="s">
        <v>3494</v>
      </c>
      <c r="E157" s="511" t="s">
        <v>2948</v>
      </c>
      <c r="F157" s="413" t="s">
        <v>2785</v>
      </c>
      <c r="G157" s="476">
        <f t="shared" si="33"/>
        <v>10</v>
      </c>
      <c r="H157" s="477" t="s">
        <v>3396</v>
      </c>
      <c r="I157" s="539">
        <v>0.18</v>
      </c>
      <c r="J157" s="540">
        <v>0.5</v>
      </c>
      <c r="K157" s="477">
        <f t="shared" si="34"/>
        <v>10</v>
      </c>
      <c r="L157" s="477" t="s">
        <v>3396</v>
      </c>
      <c r="M157" s="540">
        <f t="shared" si="39"/>
        <v>0.18</v>
      </c>
      <c r="N157" s="540">
        <v>0.5</v>
      </c>
      <c r="O157" s="481">
        <f t="shared" si="35"/>
        <v>187336.87829370628</v>
      </c>
      <c r="P157" s="481">
        <f t="shared" si="36"/>
        <v>187336.87829370628</v>
      </c>
      <c r="Q157" s="481">
        <f t="shared" si="37"/>
        <v>3746737.5658741258</v>
      </c>
      <c r="R157" s="1120">
        <f t="shared" si="38"/>
        <v>1</v>
      </c>
    </row>
    <row r="158" spans="1:18" s="371" customFormat="1" ht="15.75" hidden="1">
      <c r="B158" s="361" t="s">
        <v>2941</v>
      </c>
      <c r="C158" s="472" t="str">
        <f ca="1">IF(G158=0,"",COUNTIF($G$155:$G158,"&gt;0"))</f>
        <v/>
      </c>
      <c r="D158" s="483" t="s">
        <v>3495</v>
      </c>
      <c r="E158" s="511" t="s">
        <v>2949</v>
      </c>
      <c r="F158" s="413" t="s">
        <v>2785</v>
      </c>
      <c r="G158" s="476">
        <f t="shared" ca="1" si="33"/>
        <v>0</v>
      </c>
      <c r="H158" s="477" t="s">
        <v>3396</v>
      </c>
      <c r="I158" s="539">
        <v>0.18</v>
      </c>
      <c r="J158" s="540">
        <v>0.5</v>
      </c>
      <c r="K158" s="477">
        <f t="shared" ca="1" si="34"/>
        <v>0</v>
      </c>
      <c r="L158" s="477" t="s">
        <v>3396</v>
      </c>
      <c r="M158" s="540">
        <f t="shared" si="39"/>
        <v>0.18</v>
      </c>
      <c r="N158" s="540">
        <v>0.5</v>
      </c>
      <c r="O158" s="481">
        <f t="shared" si="35"/>
        <v>187336.87829370628</v>
      </c>
      <c r="P158" s="481">
        <f t="shared" si="36"/>
        <v>187336.87829370628</v>
      </c>
      <c r="Q158" s="481">
        <f t="shared" ca="1" si="37"/>
        <v>0</v>
      </c>
      <c r="R158" s="471">
        <f t="shared" ca="1" si="38"/>
        <v>0</v>
      </c>
    </row>
    <row r="159" spans="1:18" s="371" customFormat="1" ht="15.75" hidden="1">
      <c r="B159" s="361" t="s">
        <v>2942</v>
      </c>
      <c r="C159" s="472" t="str">
        <f ca="1">IF(G159=0,"",COUNTIF($G$155:$G159,"&gt;0"))</f>
        <v/>
      </c>
      <c r="D159" s="483" t="s">
        <v>3496</v>
      </c>
      <c r="E159" s="511" t="s">
        <v>2950</v>
      </c>
      <c r="F159" s="413" t="s">
        <v>2785</v>
      </c>
      <c r="G159" s="476">
        <f t="shared" ca="1" si="33"/>
        <v>0</v>
      </c>
      <c r="H159" s="477" t="s">
        <v>3396</v>
      </c>
      <c r="I159" s="539">
        <v>0.252</v>
      </c>
      <c r="J159" s="540">
        <v>0.5</v>
      </c>
      <c r="K159" s="477">
        <f t="shared" ca="1" si="34"/>
        <v>0</v>
      </c>
      <c r="L159" s="477" t="s">
        <v>3396</v>
      </c>
      <c r="M159" s="540">
        <f t="shared" si="39"/>
        <v>0.252</v>
      </c>
      <c r="N159" s="540">
        <v>0.5</v>
      </c>
      <c r="O159" s="481">
        <f t="shared" si="35"/>
        <v>262271.62961118884</v>
      </c>
      <c r="P159" s="481">
        <f t="shared" si="36"/>
        <v>262271.62961118884</v>
      </c>
      <c r="Q159" s="481">
        <f t="shared" ca="1" si="37"/>
        <v>0</v>
      </c>
      <c r="R159" s="471">
        <f t="shared" ca="1" si="38"/>
        <v>0</v>
      </c>
    </row>
    <row r="160" spans="1:18" s="371" customFormat="1" ht="15.75" hidden="1">
      <c r="B160" s="361" t="s">
        <v>2943</v>
      </c>
      <c r="C160" s="472" t="str">
        <f ca="1">IF(G160=0,"",COUNTIF($G$155:$G160,"&gt;0"))</f>
        <v/>
      </c>
      <c r="D160" s="483" t="s">
        <v>3497</v>
      </c>
      <c r="E160" s="511" t="s">
        <v>2951</v>
      </c>
      <c r="F160" s="413" t="s">
        <v>2785</v>
      </c>
      <c r="G160" s="476">
        <f t="shared" ca="1" si="33"/>
        <v>0</v>
      </c>
      <c r="H160" s="477" t="s">
        <v>3396</v>
      </c>
      <c r="I160" s="539">
        <v>0.252</v>
      </c>
      <c r="J160" s="540">
        <v>0.5</v>
      </c>
      <c r="K160" s="477">
        <f t="shared" ca="1" si="34"/>
        <v>0</v>
      </c>
      <c r="L160" s="477" t="s">
        <v>3396</v>
      </c>
      <c r="M160" s="540">
        <f t="shared" si="39"/>
        <v>0.252</v>
      </c>
      <c r="N160" s="540">
        <v>0.5</v>
      </c>
      <c r="O160" s="481">
        <f t="shared" si="35"/>
        <v>262271.62961118884</v>
      </c>
      <c r="P160" s="481">
        <f t="shared" si="36"/>
        <v>262271.62961118884</v>
      </c>
      <c r="Q160" s="481">
        <f t="shared" ca="1" si="37"/>
        <v>0</v>
      </c>
      <c r="R160" s="471">
        <f t="shared" ca="1" si="38"/>
        <v>0</v>
      </c>
    </row>
    <row r="161" spans="1:18" s="371" customFormat="1" ht="15.75" hidden="1">
      <c r="B161" s="361" t="s">
        <v>2944</v>
      </c>
      <c r="C161" s="472" t="str">
        <f ca="1">IF(G161=0,"",COUNTIF($G$155:$G161,"&gt;0"))</f>
        <v/>
      </c>
      <c r="D161" s="483" t="s">
        <v>3498</v>
      </c>
      <c r="E161" s="511" t="s">
        <v>2952</v>
      </c>
      <c r="F161" s="413" t="s">
        <v>2785</v>
      </c>
      <c r="G161" s="476">
        <f t="shared" ca="1" si="33"/>
        <v>0</v>
      </c>
      <c r="H161" s="477" t="s">
        <v>3396</v>
      </c>
      <c r="I161" s="539">
        <v>0.36</v>
      </c>
      <c r="J161" s="540">
        <v>0.5</v>
      </c>
      <c r="K161" s="477">
        <f t="shared" ca="1" si="34"/>
        <v>0</v>
      </c>
      <c r="L161" s="477" t="s">
        <v>3396</v>
      </c>
      <c r="M161" s="540">
        <f t="shared" si="39"/>
        <v>0.36</v>
      </c>
      <c r="N161" s="540">
        <v>0.5</v>
      </c>
      <c r="O161" s="481">
        <f t="shared" si="35"/>
        <v>374673.75658741256</v>
      </c>
      <c r="P161" s="481">
        <f t="shared" si="36"/>
        <v>374673.75658741256</v>
      </c>
      <c r="Q161" s="481">
        <f t="shared" ca="1" si="37"/>
        <v>0</v>
      </c>
      <c r="R161" s="471">
        <f t="shared" ca="1" si="38"/>
        <v>0</v>
      </c>
    </row>
    <row r="162" spans="1:18" s="371" customFormat="1" ht="15.75" hidden="1">
      <c r="B162" s="361" t="s">
        <v>2945</v>
      </c>
      <c r="C162" s="472" t="str">
        <f ca="1">IF(G162=0,"",COUNTIF($G$155:$G162,"&gt;0"))</f>
        <v/>
      </c>
      <c r="D162" s="483" t="s">
        <v>3499</v>
      </c>
      <c r="E162" s="511" t="s">
        <v>3519</v>
      </c>
      <c r="F162" s="413" t="s">
        <v>2785</v>
      </c>
      <c r="G162" s="476">
        <f t="shared" ca="1" si="33"/>
        <v>0</v>
      </c>
      <c r="H162" s="477" t="s">
        <v>3396</v>
      </c>
      <c r="I162" s="539">
        <v>0.36</v>
      </c>
      <c r="J162" s="540">
        <v>0.5</v>
      </c>
      <c r="K162" s="477">
        <f t="shared" ca="1" si="34"/>
        <v>0</v>
      </c>
      <c r="L162" s="477" t="s">
        <v>3396</v>
      </c>
      <c r="M162" s="540">
        <f t="shared" si="39"/>
        <v>0.36</v>
      </c>
      <c r="N162" s="540">
        <v>0.5</v>
      </c>
      <c r="O162" s="481">
        <f t="shared" si="35"/>
        <v>374673.75658741256</v>
      </c>
      <c r="P162" s="481">
        <f t="shared" si="36"/>
        <v>374673.75658741256</v>
      </c>
      <c r="Q162" s="481">
        <f t="shared" ca="1" si="37"/>
        <v>0</v>
      </c>
      <c r="R162" s="471">
        <f t="shared" ca="1" si="38"/>
        <v>0</v>
      </c>
    </row>
    <row r="163" spans="1:18" ht="26.25">
      <c r="B163" s="361"/>
      <c r="C163" s="364" t="s">
        <v>2677</v>
      </c>
      <c r="D163" s="364" t="s">
        <v>4040</v>
      </c>
      <c r="E163" s="1242"/>
      <c r="F163" s="364"/>
      <c r="G163" s="367"/>
      <c r="H163" s="1149"/>
      <c r="I163" s="1243" t="s">
        <v>2602</v>
      </c>
      <c r="J163" s="1244"/>
      <c r="K163" s="1149"/>
      <c r="L163" s="1149"/>
      <c r="M163" s="1245"/>
      <c r="N163" s="1244"/>
      <c r="O163" s="1246"/>
      <c r="P163" s="1246"/>
      <c r="Q163" s="1246">
        <f ca="1">SUM(Q155:Q162)</f>
        <v>9778985.046931468</v>
      </c>
      <c r="R163" s="1120">
        <f ca="1">IF(Q163&gt;0,1,"")</f>
        <v>1</v>
      </c>
    </row>
    <row r="164" spans="1:18" ht="26.25">
      <c r="A164" s="1129" t="s">
        <v>4041</v>
      </c>
      <c r="B164" s="361"/>
      <c r="C164" s="1231" t="s">
        <v>2379</v>
      </c>
      <c r="D164" s="1232" t="s">
        <v>4042</v>
      </c>
      <c r="E164" s="1233"/>
      <c r="F164" s="1234"/>
      <c r="G164" s="1235"/>
      <c r="H164" s="1236"/>
      <c r="I164" s="1237"/>
      <c r="J164" s="1238"/>
      <c r="K164" s="1239"/>
      <c r="L164" s="1236"/>
      <c r="M164" s="1237"/>
      <c r="N164" s="1238"/>
      <c r="O164" s="1240"/>
      <c r="P164" s="1240"/>
      <c r="Q164" s="1240"/>
      <c r="R164" s="1120">
        <v>1</v>
      </c>
    </row>
    <row r="165" spans="1:18" ht="26.25">
      <c r="B165" s="361" t="s">
        <v>3511</v>
      </c>
      <c r="C165" s="472">
        <f ca="1">IF(G165=0,"",COUNTIF($G$155:$G165,"&gt;0"))</f>
        <v>3</v>
      </c>
      <c r="D165" s="487" t="s">
        <v>3534</v>
      </c>
      <c r="E165" s="514" t="s">
        <v>2953</v>
      </c>
      <c r="F165" s="413" t="s">
        <v>1480</v>
      </c>
      <c r="G165" s="476">
        <f t="shared" ref="G165:G174" si="40">G74</f>
        <v>3</v>
      </c>
      <c r="H165" s="477" t="s">
        <v>3395</v>
      </c>
      <c r="I165" s="539">
        <f>0.7</f>
        <v>0.7</v>
      </c>
      <c r="J165" s="540">
        <v>1</v>
      </c>
      <c r="K165" s="477">
        <f t="shared" si="34"/>
        <v>3</v>
      </c>
      <c r="L165" s="477" t="s">
        <v>3395</v>
      </c>
      <c r="M165" s="540">
        <f t="shared" si="39"/>
        <v>0.7</v>
      </c>
      <c r="N165" s="540">
        <v>1</v>
      </c>
      <c r="O165" s="481">
        <f t="shared" si="35"/>
        <v>1051408.6692307692</v>
      </c>
      <c r="P165" s="481">
        <f t="shared" si="36"/>
        <v>1051408.6692307692</v>
      </c>
      <c r="Q165" s="481">
        <f t="shared" si="37"/>
        <v>6308452.0153846145</v>
      </c>
      <c r="R165" s="1120">
        <f t="shared" si="38"/>
        <v>1</v>
      </c>
    </row>
    <row r="166" spans="1:18" s="371" customFormat="1" ht="15.75" hidden="1">
      <c r="B166" s="361" t="s">
        <v>4159</v>
      </c>
      <c r="C166" s="472" t="str">
        <f ca="1">IF(G166=0,"",COUNTIF($G$155:$G166,"&gt;0"))</f>
        <v/>
      </c>
      <c r="D166" s="489" t="s">
        <v>3535</v>
      </c>
      <c r="E166" s="485" t="s">
        <v>4158</v>
      </c>
      <c r="F166" s="413" t="s">
        <v>1480</v>
      </c>
      <c r="G166" s="476">
        <f t="shared" ca="1" si="40"/>
        <v>0</v>
      </c>
      <c r="H166" s="477" t="s">
        <v>3395</v>
      </c>
      <c r="I166" s="539">
        <f t="shared" ref="I166:I174" si="41">0.7</f>
        <v>0.7</v>
      </c>
      <c r="J166" s="540">
        <v>0.5</v>
      </c>
      <c r="K166" s="477">
        <f t="shared" ca="1" si="34"/>
        <v>0</v>
      </c>
      <c r="L166" s="477" t="s">
        <v>3395</v>
      </c>
      <c r="M166" s="540">
        <f t="shared" si="39"/>
        <v>0.7</v>
      </c>
      <c r="N166" s="540">
        <v>0.5</v>
      </c>
      <c r="O166" s="481">
        <f t="shared" si="35"/>
        <v>525704.33461538458</v>
      </c>
      <c r="P166" s="481">
        <f t="shared" si="36"/>
        <v>525704.33461538458</v>
      </c>
      <c r="Q166" s="481">
        <f t="shared" ca="1" si="37"/>
        <v>0</v>
      </c>
      <c r="R166" s="471">
        <f t="shared" ca="1" si="38"/>
        <v>0</v>
      </c>
    </row>
    <row r="167" spans="1:18" s="371" customFormat="1" ht="15.75" hidden="1">
      <c r="B167" s="361" t="s">
        <v>3512</v>
      </c>
      <c r="C167" s="472" t="str">
        <f ca="1">IF(G167=0,"",COUNTIF($G$155:$G167,"&gt;0"))</f>
        <v/>
      </c>
      <c r="D167" s="489" t="s">
        <v>3535</v>
      </c>
      <c r="E167" s="485" t="s">
        <v>2954</v>
      </c>
      <c r="F167" s="413" t="s">
        <v>1480</v>
      </c>
      <c r="G167" s="476">
        <f t="shared" ca="1" si="40"/>
        <v>0</v>
      </c>
      <c r="H167" s="477" t="s">
        <v>3395</v>
      </c>
      <c r="I167" s="539">
        <f t="shared" si="41"/>
        <v>0.7</v>
      </c>
      <c r="J167" s="540">
        <v>0.5</v>
      </c>
      <c r="K167" s="477">
        <f t="shared" ca="1" si="34"/>
        <v>0</v>
      </c>
      <c r="L167" s="477" t="s">
        <v>3395</v>
      </c>
      <c r="M167" s="540">
        <f t="shared" si="39"/>
        <v>0.7</v>
      </c>
      <c r="N167" s="540">
        <v>0.5</v>
      </c>
      <c r="O167" s="481">
        <f t="shared" si="35"/>
        <v>525704.33461538458</v>
      </c>
      <c r="P167" s="481">
        <f t="shared" si="36"/>
        <v>525704.33461538458</v>
      </c>
      <c r="Q167" s="481">
        <f t="shared" ca="1" si="37"/>
        <v>0</v>
      </c>
      <c r="R167" s="471">
        <f t="shared" ca="1" si="38"/>
        <v>0</v>
      </c>
    </row>
    <row r="168" spans="1:18" s="371" customFormat="1" ht="15.75" hidden="1">
      <c r="B168" s="361" t="s">
        <v>3543</v>
      </c>
      <c r="C168" s="472" t="str">
        <f ca="1">IF(G168=0,"",COUNTIF($G$155:$G168,"&gt;0"))</f>
        <v/>
      </c>
      <c r="D168" s="489" t="s">
        <v>3536</v>
      </c>
      <c r="E168" s="485" t="s">
        <v>2955</v>
      </c>
      <c r="F168" s="413" t="s">
        <v>1480</v>
      </c>
      <c r="G168" s="476">
        <f t="shared" ca="1" si="40"/>
        <v>0</v>
      </c>
      <c r="H168" s="477" t="s">
        <v>3395</v>
      </c>
      <c r="I168" s="539">
        <f t="shared" si="41"/>
        <v>0.7</v>
      </c>
      <c r="J168" s="540">
        <v>0.5</v>
      </c>
      <c r="K168" s="477">
        <f t="shared" ca="1" si="34"/>
        <v>0</v>
      </c>
      <c r="L168" s="477" t="s">
        <v>3395</v>
      </c>
      <c r="M168" s="540">
        <f t="shared" si="39"/>
        <v>0.7</v>
      </c>
      <c r="N168" s="540">
        <v>0.5</v>
      </c>
      <c r="O168" s="481">
        <f t="shared" si="35"/>
        <v>525704.33461538458</v>
      </c>
      <c r="P168" s="481">
        <f t="shared" si="36"/>
        <v>525704.33461538458</v>
      </c>
      <c r="Q168" s="481">
        <f t="shared" ca="1" si="37"/>
        <v>0</v>
      </c>
      <c r="R168" s="471">
        <f t="shared" ca="1" si="38"/>
        <v>0</v>
      </c>
    </row>
    <row r="169" spans="1:18" s="371" customFormat="1" ht="15.75" hidden="1">
      <c r="B169" s="361" t="s">
        <v>3544</v>
      </c>
      <c r="C169" s="472" t="str">
        <f ca="1">IF(G169=0,"",COUNTIF($G$155:$G169,"&gt;0"))</f>
        <v/>
      </c>
      <c r="D169" s="489" t="s">
        <v>3537</v>
      </c>
      <c r="E169" s="485" t="s">
        <v>2956</v>
      </c>
      <c r="F169" s="413" t="s">
        <v>1480</v>
      </c>
      <c r="G169" s="476">
        <f t="shared" ca="1" si="40"/>
        <v>0</v>
      </c>
      <c r="H169" s="477" t="s">
        <v>3395</v>
      </c>
      <c r="I169" s="539">
        <f t="shared" si="41"/>
        <v>0.7</v>
      </c>
      <c r="J169" s="540">
        <v>0.5</v>
      </c>
      <c r="K169" s="477">
        <f t="shared" ca="1" si="34"/>
        <v>0</v>
      </c>
      <c r="L169" s="477" t="s">
        <v>3395</v>
      </c>
      <c r="M169" s="540">
        <f t="shared" si="39"/>
        <v>0.7</v>
      </c>
      <c r="N169" s="540">
        <v>0.5</v>
      </c>
      <c r="O169" s="481">
        <f t="shared" si="35"/>
        <v>525704.33461538458</v>
      </c>
      <c r="P169" s="481">
        <f t="shared" si="36"/>
        <v>525704.33461538458</v>
      </c>
      <c r="Q169" s="481">
        <f t="shared" ca="1" si="37"/>
        <v>0</v>
      </c>
      <c r="R169" s="471">
        <f t="shared" ca="1" si="38"/>
        <v>0</v>
      </c>
    </row>
    <row r="170" spans="1:18" s="371" customFormat="1" ht="15.75" hidden="1">
      <c r="B170" s="361" t="s">
        <v>3545</v>
      </c>
      <c r="C170" s="472" t="str">
        <f ca="1">IF(G170=0,"",COUNTIF($G$155:$G170,"&gt;0"))</f>
        <v/>
      </c>
      <c r="D170" s="489" t="s">
        <v>3538</v>
      </c>
      <c r="E170" s="485" t="s">
        <v>2957</v>
      </c>
      <c r="F170" s="413" t="s">
        <v>1480</v>
      </c>
      <c r="G170" s="476">
        <f t="shared" ca="1" si="40"/>
        <v>0</v>
      </c>
      <c r="H170" s="477" t="s">
        <v>3395</v>
      </c>
      <c r="I170" s="539">
        <f t="shared" si="41"/>
        <v>0.7</v>
      </c>
      <c r="J170" s="540">
        <v>0.5</v>
      </c>
      <c r="K170" s="477">
        <f t="shared" ca="1" si="34"/>
        <v>0</v>
      </c>
      <c r="L170" s="477" t="s">
        <v>3395</v>
      </c>
      <c r="M170" s="540">
        <f t="shared" si="39"/>
        <v>0.7</v>
      </c>
      <c r="N170" s="540">
        <v>0.5</v>
      </c>
      <c r="O170" s="481">
        <f t="shared" si="35"/>
        <v>525704.33461538458</v>
      </c>
      <c r="P170" s="481">
        <f t="shared" si="36"/>
        <v>525704.33461538458</v>
      </c>
      <c r="Q170" s="481">
        <f t="shared" ca="1" si="37"/>
        <v>0</v>
      </c>
      <c r="R170" s="471">
        <f t="shared" ca="1" si="38"/>
        <v>0</v>
      </c>
    </row>
    <row r="171" spans="1:18" s="371" customFormat="1" ht="15.75" hidden="1">
      <c r="B171" s="361" t="s">
        <v>3513</v>
      </c>
      <c r="C171" s="472" t="str">
        <f ca="1">IF(G171=0,"",COUNTIF($G$155:$G171,"&gt;0"))</f>
        <v/>
      </c>
      <c r="D171" s="489" t="s">
        <v>3539</v>
      </c>
      <c r="E171" s="485" t="s">
        <v>2958</v>
      </c>
      <c r="F171" s="413" t="s">
        <v>1480</v>
      </c>
      <c r="G171" s="476">
        <f t="shared" ca="1" si="40"/>
        <v>0</v>
      </c>
      <c r="H171" s="477" t="s">
        <v>3395</v>
      </c>
      <c r="I171" s="539">
        <f t="shared" si="41"/>
        <v>0.7</v>
      </c>
      <c r="J171" s="540">
        <v>0.5</v>
      </c>
      <c r="K171" s="477">
        <f t="shared" ca="1" si="34"/>
        <v>0</v>
      </c>
      <c r="L171" s="477" t="s">
        <v>3395</v>
      </c>
      <c r="M171" s="540">
        <f t="shared" si="39"/>
        <v>0.7</v>
      </c>
      <c r="N171" s="540">
        <v>0.5</v>
      </c>
      <c r="O171" s="481">
        <f t="shared" si="35"/>
        <v>525704.33461538458</v>
      </c>
      <c r="P171" s="481">
        <f t="shared" si="36"/>
        <v>525704.33461538458</v>
      </c>
      <c r="Q171" s="481">
        <f t="shared" ca="1" si="37"/>
        <v>0</v>
      </c>
      <c r="R171" s="471">
        <f t="shared" ca="1" si="38"/>
        <v>0</v>
      </c>
    </row>
    <row r="172" spans="1:18" s="371" customFormat="1" ht="15.75" hidden="1">
      <c r="B172" s="361" t="s">
        <v>3546</v>
      </c>
      <c r="C172" s="472" t="str">
        <f ca="1">IF(G172=0,"",COUNTIF($G$155:$G172,"&gt;0"))</f>
        <v/>
      </c>
      <c r="D172" s="489" t="s">
        <v>3540</v>
      </c>
      <c r="E172" s="485" t="s">
        <v>2959</v>
      </c>
      <c r="F172" s="413" t="s">
        <v>1480</v>
      </c>
      <c r="G172" s="476">
        <f t="shared" ca="1" si="40"/>
        <v>0</v>
      </c>
      <c r="H172" s="477" t="s">
        <v>3395</v>
      </c>
      <c r="I172" s="539">
        <f t="shared" si="41"/>
        <v>0.7</v>
      </c>
      <c r="J172" s="540">
        <v>0.5</v>
      </c>
      <c r="K172" s="477">
        <f t="shared" ca="1" si="34"/>
        <v>0</v>
      </c>
      <c r="L172" s="477" t="s">
        <v>3395</v>
      </c>
      <c r="M172" s="540">
        <f t="shared" si="39"/>
        <v>0.7</v>
      </c>
      <c r="N172" s="540">
        <v>0.5</v>
      </c>
      <c r="O172" s="481">
        <f t="shared" si="35"/>
        <v>525704.33461538458</v>
      </c>
      <c r="P172" s="481">
        <f t="shared" si="36"/>
        <v>525704.33461538458</v>
      </c>
      <c r="Q172" s="481">
        <f t="shared" ca="1" si="37"/>
        <v>0</v>
      </c>
      <c r="R172" s="471">
        <f t="shared" ca="1" si="38"/>
        <v>0</v>
      </c>
    </row>
    <row r="173" spans="1:18" s="371" customFormat="1" ht="15.75" hidden="1">
      <c r="B173" s="361" t="s">
        <v>3547</v>
      </c>
      <c r="C173" s="472" t="str">
        <f ca="1">IF(G173=0,"",COUNTIF($G$155:$G173,"&gt;0"))</f>
        <v/>
      </c>
      <c r="D173" s="489" t="s">
        <v>3541</v>
      </c>
      <c r="E173" s="485" t="s">
        <v>2960</v>
      </c>
      <c r="F173" s="413" t="s">
        <v>1480</v>
      </c>
      <c r="G173" s="476">
        <f t="shared" ca="1" si="40"/>
        <v>0</v>
      </c>
      <c r="H173" s="477" t="s">
        <v>3395</v>
      </c>
      <c r="I173" s="539">
        <f t="shared" si="41"/>
        <v>0.7</v>
      </c>
      <c r="J173" s="540">
        <v>0.5</v>
      </c>
      <c r="K173" s="477">
        <f t="shared" ca="1" si="34"/>
        <v>0</v>
      </c>
      <c r="L173" s="477" t="s">
        <v>3395</v>
      </c>
      <c r="M173" s="540">
        <f t="shared" si="39"/>
        <v>0.7</v>
      </c>
      <c r="N173" s="540">
        <v>0.5</v>
      </c>
      <c r="O173" s="481">
        <f t="shared" si="35"/>
        <v>525704.33461538458</v>
      </c>
      <c r="P173" s="481">
        <f t="shared" si="36"/>
        <v>525704.33461538458</v>
      </c>
      <c r="Q173" s="481">
        <f t="shared" ca="1" si="37"/>
        <v>0</v>
      </c>
      <c r="R173" s="471">
        <f t="shared" ca="1" si="38"/>
        <v>0</v>
      </c>
    </row>
    <row r="174" spans="1:18" s="371" customFormat="1" ht="15.75" hidden="1">
      <c r="B174" s="361" t="s">
        <v>3548</v>
      </c>
      <c r="C174" s="472" t="str">
        <f ca="1">IF(G174=0,"",COUNTIF($G$155:$G174,"&gt;0"))</f>
        <v/>
      </c>
      <c r="D174" s="489" t="s">
        <v>3542</v>
      </c>
      <c r="E174" s="485" t="s">
        <v>2961</v>
      </c>
      <c r="F174" s="413" t="s">
        <v>1480</v>
      </c>
      <c r="G174" s="476">
        <f t="shared" ca="1" si="40"/>
        <v>0</v>
      </c>
      <c r="H174" s="477" t="s">
        <v>3395</v>
      </c>
      <c r="I174" s="539">
        <f t="shared" si="41"/>
        <v>0.7</v>
      </c>
      <c r="J174" s="540">
        <v>0.5</v>
      </c>
      <c r="K174" s="477">
        <f t="shared" ca="1" si="34"/>
        <v>0</v>
      </c>
      <c r="L174" s="477" t="s">
        <v>3395</v>
      </c>
      <c r="M174" s="540">
        <f t="shared" si="39"/>
        <v>0.7</v>
      </c>
      <c r="N174" s="540">
        <v>0.5</v>
      </c>
      <c r="O174" s="481">
        <f t="shared" si="35"/>
        <v>525704.33461538458</v>
      </c>
      <c r="P174" s="481">
        <f t="shared" si="36"/>
        <v>525704.33461538458</v>
      </c>
      <c r="Q174" s="481">
        <f t="shared" ca="1" si="37"/>
        <v>0</v>
      </c>
      <c r="R174" s="471">
        <f t="shared" ca="1" si="38"/>
        <v>0</v>
      </c>
    </row>
    <row r="175" spans="1:18" ht="26.25">
      <c r="B175" s="361"/>
      <c r="C175" s="364" t="s">
        <v>2677</v>
      </c>
      <c r="D175" s="1242" t="s">
        <v>2790</v>
      </c>
      <c r="E175" s="1242"/>
      <c r="F175" s="364"/>
      <c r="G175" s="367"/>
      <c r="H175" s="1149"/>
      <c r="I175" s="1243" t="s">
        <v>2602</v>
      </c>
      <c r="J175" s="1244"/>
      <c r="K175" s="1149"/>
      <c r="L175" s="1149"/>
      <c r="M175" s="1245"/>
      <c r="N175" s="1244"/>
      <c r="O175" s="1246"/>
      <c r="P175" s="1246"/>
      <c r="Q175" s="1246">
        <f ca="1">SUM(Q165:Q174)</f>
        <v>6308452.0153846145</v>
      </c>
      <c r="R175" s="1120">
        <f ca="1">IF(Q175&gt;0,1,"")</f>
        <v>1</v>
      </c>
    </row>
    <row r="176" spans="1:18" s="371" customFormat="1" ht="15.75" hidden="1">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s="371" customFormat="1" ht="15.75" hidden="1">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42">G177</f>
        <v>0</v>
      </c>
      <c r="L177" s="477" t="s">
        <v>3396</v>
      </c>
      <c r="M177" s="540">
        <v>7.0000000000000007E-2</v>
      </c>
      <c r="N177" s="540">
        <v>1</v>
      </c>
      <c r="O177" s="481">
        <f t="shared" ref="O177:O184" si="43">VLOOKUP(H177,CAMAY,2,0)*I177*J177</f>
        <v>75100.619230769225</v>
      </c>
      <c r="P177" s="481">
        <f t="shared" ref="P177:P184" si="44">VLOOKUP(L177,CAMAY,2,0)*M177*N177</f>
        <v>145706.46089510492</v>
      </c>
      <c r="Q177" s="481">
        <f t="shared" ref="Q177:Q184" ca="1" si="45">+O177*G177+P177*K177</f>
        <v>0</v>
      </c>
      <c r="R177" s="518" t="str">
        <f t="shared" ref="R177:R184" ca="1" si="46">IF(Q177&gt;0,1,"")</f>
        <v/>
      </c>
    </row>
    <row r="178" spans="1:18" s="371" customFormat="1" ht="15.75" hidden="1">
      <c r="B178" s="361" t="s">
        <v>4669</v>
      </c>
      <c r="C178" s="472" t="str">
        <f ca="1">IF(G178=0,"",COUNTIF($G$150:$G178,"&gt;0"))</f>
        <v/>
      </c>
      <c r="D178" s="827" t="s">
        <v>4695</v>
      </c>
      <c r="E178" s="828" t="s">
        <v>4689</v>
      </c>
      <c r="F178" s="413" t="s">
        <v>4694</v>
      </c>
      <c r="G178" s="476">
        <f t="shared" ref="G178:G183" ca="1" si="47">G119</f>
        <v>0</v>
      </c>
      <c r="H178" s="477" t="s">
        <v>3395</v>
      </c>
      <c r="I178" s="540">
        <f>2/10</f>
        <v>0.2</v>
      </c>
      <c r="J178" s="540">
        <v>1</v>
      </c>
      <c r="K178" s="541">
        <f t="shared" ca="1" si="42"/>
        <v>0</v>
      </c>
      <c r="L178" s="477" t="s">
        <v>3395</v>
      </c>
      <c r="M178" s="540"/>
      <c r="N178" s="540">
        <v>1</v>
      </c>
      <c r="O178" s="481">
        <f t="shared" si="43"/>
        <v>300402.4769230769</v>
      </c>
      <c r="P178" s="481">
        <f t="shared" si="44"/>
        <v>0</v>
      </c>
      <c r="Q178" s="481">
        <f t="shared" ca="1" si="45"/>
        <v>0</v>
      </c>
      <c r="R178" s="518" t="str">
        <f t="shared" ca="1" si="46"/>
        <v/>
      </c>
    </row>
    <row r="179" spans="1:18" s="371" customFormat="1" ht="15.75" hidden="1">
      <c r="B179" s="361" t="s">
        <v>4670</v>
      </c>
      <c r="C179" s="472" t="str">
        <f ca="1">IF(G179=0,"",COUNTIF($G$150:$G179,"&gt;0"))</f>
        <v/>
      </c>
      <c r="D179" s="827" t="s">
        <v>4693</v>
      </c>
      <c r="E179" s="828" t="s">
        <v>4692</v>
      </c>
      <c r="F179" s="413" t="s">
        <v>37</v>
      </c>
      <c r="G179" s="476">
        <f t="shared" ca="1" si="47"/>
        <v>0</v>
      </c>
      <c r="H179" s="477" t="s">
        <v>3395</v>
      </c>
      <c r="I179" s="540">
        <f>0.2</f>
        <v>0.2</v>
      </c>
      <c r="J179" s="540">
        <v>1</v>
      </c>
      <c r="K179" s="541">
        <f t="shared" ca="1" si="42"/>
        <v>0</v>
      </c>
      <c r="L179" s="477" t="s">
        <v>3395</v>
      </c>
      <c r="M179" s="540"/>
      <c r="N179" s="540">
        <v>1</v>
      </c>
      <c r="O179" s="481">
        <f t="shared" si="43"/>
        <v>300402.4769230769</v>
      </c>
      <c r="P179" s="481">
        <f t="shared" si="44"/>
        <v>0</v>
      </c>
      <c r="Q179" s="481">
        <f t="shared" ca="1" si="45"/>
        <v>0</v>
      </c>
      <c r="R179" s="518" t="str">
        <f t="shared" ca="1" si="46"/>
        <v/>
      </c>
    </row>
    <row r="180" spans="1:18" s="371" customFormat="1" ht="15.75" hidden="1">
      <c r="B180" s="361" t="s">
        <v>4671</v>
      </c>
      <c r="C180" s="472" t="str">
        <f ca="1">IF(G180=0,"",COUNTIF($G$150:$G180,"&gt;0"))</f>
        <v/>
      </c>
      <c r="D180" s="827" t="s">
        <v>4696</v>
      </c>
      <c r="E180" s="828" t="s">
        <v>4697</v>
      </c>
      <c r="F180" s="413" t="s">
        <v>774</v>
      </c>
      <c r="G180" s="476">
        <f t="shared" ca="1" si="47"/>
        <v>0</v>
      </c>
      <c r="H180" s="477" t="s">
        <v>3395</v>
      </c>
      <c r="I180" s="540">
        <f>0.5/40</f>
        <v>1.2500000000000001E-2</v>
      </c>
      <c r="J180" s="540">
        <v>1</v>
      </c>
      <c r="K180" s="541">
        <f t="shared" ca="1" si="42"/>
        <v>0</v>
      </c>
      <c r="L180" s="477" t="s">
        <v>3395</v>
      </c>
      <c r="M180" s="540"/>
      <c r="N180" s="540">
        <v>0.8</v>
      </c>
      <c r="O180" s="481">
        <f t="shared" si="43"/>
        <v>18775.154807692306</v>
      </c>
      <c r="P180" s="481">
        <f t="shared" si="44"/>
        <v>0</v>
      </c>
      <c r="Q180" s="481">
        <f t="shared" ca="1" si="45"/>
        <v>0</v>
      </c>
      <c r="R180" s="518" t="str">
        <f t="shared" ca="1" si="46"/>
        <v/>
      </c>
    </row>
    <row r="181" spans="1:18" s="371" customFormat="1" ht="15.75" hidden="1">
      <c r="B181" s="361" t="s">
        <v>4668</v>
      </c>
      <c r="C181" s="472">
        <v>1</v>
      </c>
      <c r="D181" s="827" t="s">
        <v>4699</v>
      </c>
      <c r="E181" s="828" t="s">
        <v>4698</v>
      </c>
      <c r="F181" s="413" t="s">
        <v>774</v>
      </c>
      <c r="G181" s="476">
        <f t="shared" ca="1" si="47"/>
        <v>0</v>
      </c>
      <c r="H181" s="477" t="s">
        <v>3395</v>
      </c>
      <c r="I181" s="540">
        <v>0.2</v>
      </c>
      <c r="J181" s="540">
        <v>1</v>
      </c>
      <c r="K181" s="541">
        <f t="shared" ca="1" si="42"/>
        <v>0</v>
      </c>
      <c r="L181" s="477" t="s">
        <v>3395</v>
      </c>
      <c r="M181" s="540"/>
      <c r="N181" s="540">
        <v>1</v>
      </c>
      <c r="O181" s="481">
        <f t="shared" si="43"/>
        <v>300402.4769230769</v>
      </c>
      <c r="P181" s="481">
        <f t="shared" si="44"/>
        <v>0</v>
      </c>
      <c r="Q181" s="481">
        <f t="shared" ca="1" si="45"/>
        <v>0</v>
      </c>
      <c r="R181" s="518" t="str">
        <f t="shared" ca="1" si="46"/>
        <v/>
      </c>
    </row>
    <row r="182" spans="1:18" s="371" customFormat="1" ht="15.75" hidden="1">
      <c r="B182" s="361" t="s">
        <v>4669</v>
      </c>
      <c r="C182" s="472" t="str">
        <f ca="1">IF(G182=0,"",COUNTIF($G$150:$G182,"&gt;0"))</f>
        <v/>
      </c>
      <c r="D182" s="827" t="s">
        <v>4700</v>
      </c>
      <c r="E182" s="828" t="s">
        <v>4701</v>
      </c>
      <c r="F182" s="413" t="s">
        <v>2785</v>
      </c>
      <c r="G182" s="476">
        <f t="shared" ca="1" si="47"/>
        <v>0</v>
      </c>
      <c r="H182" s="477" t="s">
        <v>3395</v>
      </c>
      <c r="I182" s="540">
        <v>0.5</v>
      </c>
      <c r="J182" s="540">
        <v>1</v>
      </c>
      <c r="K182" s="541">
        <f t="shared" ca="1" si="42"/>
        <v>0</v>
      </c>
      <c r="L182" s="477" t="s">
        <v>3395</v>
      </c>
      <c r="M182" s="540"/>
      <c r="N182" s="540">
        <v>1</v>
      </c>
      <c r="O182" s="481">
        <f t="shared" si="43"/>
        <v>751006.19230769225</v>
      </c>
      <c r="P182" s="481">
        <f t="shared" si="44"/>
        <v>0</v>
      </c>
      <c r="Q182" s="481">
        <f t="shared" ca="1" si="45"/>
        <v>0</v>
      </c>
      <c r="R182" s="518" t="str">
        <f t="shared" ca="1" si="46"/>
        <v/>
      </c>
    </row>
    <row r="183" spans="1:18" s="371" customFormat="1" ht="15.75" hidden="1">
      <c r="B183" s="361" t="s">
        <v>4670</v>
      </c>
      <c r="C183" s="472" t="str">
        <f ca="1">IF(G183=0,"",COUNTIF($G$150:$G183,"&gt;0"))</f>
        <v/>
      </c>
      <c r="D183" s="827" t="s">
        <v>4702</v>
      </c>
      <c r="E183" s="828" t="s">
        <v>4703</v>
      </c>
      <c r="F183" s="413" t="s">
        <v>2785</v>
      </c>
      <c r="G183" s="476">
        <f t="shared" ca="1" si="47"/>
        <v>0</v>
      </c>
      <c r="H183" s="477" t="s">
        <v>3395</v>
      </c>
      <c r="I183" s="540">
        <v>0.5</v>
      </c>
      <c r="J183" s="540">
        <v>1</v>
      </c>
      <c r="K183" s="541">
        <f t="shared" ca="1" si="42"/>
        <v>0</v>
      </c>
      <c r="L183" s="477" t="s">
        <v>3395</v>
      </c>
      <c r="M183" s="540"/>
      <c r="N183" s="540">
        <v>1</v>
      </c>
      <c r="O183" s="481">
        <f t="shared" si="43"/>
        <v>751006.19230769225</v>
      </c>
      <c r="P183" s="481">
        <f t="shared" si="44"/>
        <v>0</v>
      </c>
      <c r="Q183" s="481">
        <f t="shared" ca="1" si="45"/>
        <v>0</v>
      </c>
      <c r="R183" s="518" t="str">
        <f t="shared" ca="1" si="46"/>
        <v/>
      </c>
    </row>
    <row r="184" spans="1:18" s="371" customFormat="1" ht="15.75" hidden="1">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43"/>
        <v>145706.46089510492</v>
      </c>
      <c r="P184" s="481">
        <f t="shared" si="44"/>
        <v>145706.46089510492</v>
      </c>
      <c r="Q184" s="481">
        <f t="shared" si="45"/>
        <v>0</v>
      </c>
      <c r="R184" s="518" t="str">
        <f t="shared" si="46"/>
        <v/>
      </c>
    </row>
    <row r="185" spans="1:18" s="371" customFormat="1" ht="15.75" hidden="1">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ht="26.25">
      <c r="A186" s="1129" t="s">
        <v>4050</v>
      </c>
      <c r="B186" s="361"/>
      <c r="C186" s="1399" t="s">
        <v>2677</v>
      </c>
      <c r="D186" s="1402" t="s">
        <v>2792</v>
      </c>
      <c r="E186" s="1405" t="s">
        <v>2773</v>
      </c>
      <c r="F186" s="1406"/>
      <c r="G186" s="1406"/>
      <c r="H186" s="1406"/>
      <c r="I186" s="1406"/>
      <c r="J186" s="1406"/>
      <c r="K186" s="1406"/>
      <c r="L186" s="1406"/>
      <c r="M186" s="1406"/>
      <c r="N186" s="1407"/>
      <c r="O186" s="1248" t="s">
        <v>4043</v>
      </c>
      <c r="P186" s="1246"/>
      <c r="Q186" s="1246">
        <f ca="1">Q72</f>
        <v>147608212.87137601</v>
      </c>
      <c r="R186" s="1125">
        <f ca="1">IF(Q186&gt;0,1,0)</f>
        <v>1</v>
      </c>
    </row>
    <row r="187" spans="1:18" ht="26.25">
      <c r="A187" s="1129" t="s">
        <v>4049</v>
      </c>
      <c r="B187" s="361"/>
      <c r="C187" s="1400"/>
      <c r="D187" s="1403"/>
      <c r="E187" s="1408"/>
      <c r="F187" s="1409"/>
      <c r="G187" s="1409"/>
      <c r="H187" s="1409"/>
      <c r="I187" s="1409"/>
      <c r="J187" s="1409"/>
      <c r="K187" s="1409"/>
      <c r="L187" s="1409"/>
      <c r="M187" s="1409"/>
      <c r="N187" s="1410"/>
      <c r="O187" s="1248" t="s">
        <v>4044</v>
      </c>
      <c r="P187" s="1246"/>
      <c r="Q187" s="1246">
        <f ca="1">Q163</f>
        <v>9778985.046931468</v>
      </c>
      <c r="R187" s="1125">
        <f t="shared" ref="R187:R189" ca="1" si="48">IF(Q187&gt;0,1,0)</f>
        <v>1</v>
      </c>
    </row>
    <row r="188" spans="1:18" ht="26.25">
      <c r="A188" s="1129" t="s">
        <v>4048</v>
      </c>
      <c r="B188" s="361"/>
      <c r="C188" s="1400"/>
      <c r="D188" s="1403"/>
      <c r="E188" s="1408"/>
      <c r="F188" s="1409"/>
      <c r="G188" s="1409"/>
      <c r="H188" s="1409"/>
      <c r="I188" s="1409"/>
      <c r="J188" s="1409"/>
      <c r="K188" s="1409"/>
      <c r="L188" s="1409"/>
      <c r="M188" s="1409"/>
      <c r="N188" s="1410"/>
      <c r="O188" s="1248" t="s">
        <v>4045</v>
      </c>
      <c r="P188" s="1246"/>
      <c r="Q188" s="1246">
        <f ca="1">Q116</f>
        <v>14954873.0868</v>
      </c>
      <c r="R188" s="1125">
        <f t="shared" ca="1" si="48"/>
        <v>1</v>
      </c>
    </row>
    <row r="189" spans="1:18" ht="26.25">
      <c r="A189" s="1129" t="s">
        <v>4047</v>
      </c>
      <c r="B189" s="361"/>
      <c r="C189" s="1401"/>
      <c r="D189" s="1404"/>
      <c r="E189" s="1411"/>
      <c r="F189" s="1412"/>
      <c r="G189" s="1412"/>
      <c r="H189" s="1412"/>
      <c r="I189" s="1412"/>
      <c r="J189" s="1412"/>
      <c r="K189" s="1412"/>
      <c r="L189" s="1412"/>
      <c r="M189" s="1412"/>
      <c r="N189" s="1413"/>
      <c r="O189" s="1248" t="s">
        <v>4046</v>
      </c>
      <c r="P189" s="1246"/>
      <c r="Q189" s="1246">
        <f ca="1">Q175</f>
        <v>6308452.0153846145</v>
      </c>
      <c r="R189" s="1125">
        <f t="shared" ca="1" si="48"/>
        <v>1</v>
      </c>
    </row>
    <row r="190" spans="1:18" s="371" customFormat="1" ht="15.75" hidden="1">
      <c r="B190" s="361"/>
      <c r="C190" s="549" t="s">
        <v>3520</v>
      </c>
      <c r="D190" s="519"/>
      <c r="E190" s="520"/>
      <c r="F190" s="519"/>
      <c r="G190" s="522"/>
      <c r="H190" s="522"/>
      <c r="I190" s="550"/>
      <c r="J190" s="551"/>
      <c r="K190" s="522"/>
      <c r="L190" s="522"/>
      <c r="M190" s="550"/>
      <c r="N190" s="551"/>
      <c r="O190" s="552"/>
      <c r="P190" s="552"/>
      <c r="Q190" s="552"/>
      <c r="R190" s="553"/>
    </row>
  </sheetData>
  <autoFilter ref="R4:R190">
    <filterColumn colId="0">
      <customFilters>
        <customFilter operator="notEqual" val=" "/>
      </customFilters>
    </filterColumn>
  </autoFilter>
  <mergeCells count="3">
    <mergeCell ref="C186:C189"/>
    <mergeCell ref="D186:D189"/>
    <mergeCell ref="E186:N189"/>
  </mergeCells>
  <printOptions horizontalCentered="1"/>
  <pageMargins left="0.78740157480314998" right="0.39370078740157499" top="1.0905511809999999" bottom="0.59055118110236204" header="0.23622047244094499" footer="0.23622047244094499"/>
  <pageSetup paperSize="9" scale="70" fitToHeight="0" orientation="landscape" blackAndWhite="1" r:id="rId1"/>
  <headerFooter alignWithMargins="0"/>
  <rowBreaks count="1" manualBreakCount="1">
    <brk id="150" min="2"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G18"/>
  <sheetViews>
    <sheetView view="pageBreakPreview" zoomScale="85" zoomScaleNormal="100" zoomScaleSheetLayoutView="85" workbookViewId="0">
      <selection activeCell="D1" sqref="D1:G1048576"/>
    </sheetView>
  </sheetViews>
  <sheetFormatPr defaultColWidth="9.140625" defaultRowHeight="20.100000000000001" customHeight="1"/>
  <cols>
    <col min="1" max="1" width="8.5703125" style="371" customWidth="1"/>
    <col min="2" max="2" width="45.5703125" style="371" customWidth="1"/>
    <col min="3" max="3" width="8.5703125" style="371" customWidth="1"/>
    <col min="4" max="7" width="20.5703125" style="371" customWidth="1"/>
    <col min="8" max="16384" width="9.140625" style="371"/>
  </cols>
  <sheetData>
    <row r="1" spans="1:7" ht="20.100000000000001" customHeight="1">
      <c r="A1" s="141" t="str">
        <f ca="1">SETTING!$O$15</f>
        <v>BẢNG 4: TỔNG HỢP CHI PHÍ LẮP ĐẶT THIẾT BỊ</v>
      </c>
      <c r="B1" s="378"/>
      <c r="C1" s="378"/>
      <c r="D1" s="378"/>
      <c r="E1" s="378"/>
      <c r="F1" s="378"/>
      <c r="G1" s="378"/>
    </row>
    <row r="2" spans="1:7" ht="20.100000000000001" customHeight="1">
      <c r="A2" s="142"/>
      <c r="B2" s="142"/>
      <c r="C2" s="142"/>
      <c r="D2" s="623"/>
      <c r="E2" s="623"/>
      <c r="F2" s="623"/>
      <c r="G2" s="623"/>
    </row>
    <row r="3" spans="1:7" ht="20.100000000000001" customHeight="1">
      <c r="A3" s="1414" t="s">
        <v>2347</v>
      </c>
      <c r="B3" s="1414" t="s">
        <v>2360</v>
      </c>
      <c r="C3" s="1108" t="s">
        <v>2605</v>
      </c>
      <c r="D3" s="1414" t="s">
        <v>2428</v>
      </c>
      <c r="E3" s="1414"/>
      <c r="F3" s="1414" t="s">
        <v>2429</v>
      </c>
      <c r="G3" s="1414"/>
    </row>
    <row r="4" spans="1:7" ht="20.100000000000001" customHeight="1">
      <c r="A4" s="1414"/>
      <c r="B4" s="1414"/>
      <c r="C4" s="1108" t="s">
        <v>2606</v>
      </c>
      <c r="D4" s="1108" t="s">
        <v>3877</v>
      </c>
      <c r="E4" s="1108" t="s">
        <v>2348</v>
      </c>
      <c r="F4" s="1108" t="s">
        <v>3877</v>
      </c>
      <c r="G4" s="1108" t="s">
        <v>2348</v>
      </c>
    </row>
    <row r="5" spans="1:7" ht="20.100000000000001" customHeight="1">
      <c r="A5" s="144" t="s">
        <v>2361</v>
      </c>
      <c r="B5" s="143" t="s">
        <v>2362</v>
      </c>
      <c r="C5" s="144" t="s">
        <v>2363</v>
      </c>
      <c r="D5" s="624" t="s">
        <v>3878</v>
      </c>
      <c r="E5" s="625">
        <f>E6+E8+E10+E12</f>
        <v>0</v>
      </c>
      <c r="F5" s="624" t="s">
        <v>3878</v>
      </c>
      <c r="G5" s="626">
        <f ca="1">G6+G8+G10+G12</f>
        <v>0</v>
      </c>
    </row>
    <row r="6" spans="1:7" ht="20.100000000000001" customHeight="1">
      <c r="A6" s="375">
        <v>1</v>
      </c>
      <c r="B6" s="145" t="s">
        <v>2364</v>
      </c>
      <c r="C6" s="375" t="s">
        <v>2357</v>
      </c>
      <c r="D6" s="50" t="s">
        <v>2366</v>
      </c>
      <c r="E6" s="607">
        <f>E7</f>
        <v>0</v>
      </c>
      <c r="F6" s="50" t="s">
        <v>3879</v>
      </c>
      <c r="G6" s="607"/>
    </row>
    <row r="7" spans="1:7" ht="20.100000000000001" customHeight="1">
      <c r="A7" s="95"/>
      <c r="B7" s="96" t="s">
        <v>2607</v>
      </c>
      <c r="C7" s="95" t="s">
        <v>2366</v>
      </c>
      <c r="D7" s="627" t="s">
        <v>2369</v>
      </c>
      <c r="E7" s="628"/>
      <c r="F7" s="627" t="s">
        <v>2369</v>
      </c>
      <c r="G7" s="628"/>
    </row>
    <row r="8" spans="1:7" ht="20.100000000000001" customHeight="1">
      <c r="A8" s="375">
        <v>2</v>
      </c>
      <c r="B8" s="145" t="s">
        <v>2370</v>
      </c>
      <c r="C8" s="375" t="s">
        <v>2371</v>
      </c>
      <c r="D8" s="50" t="s">
        <v>2372</v>
      </c>
      <c r="E8" s="607">
        <f>E9</f>
        <v>0</v>
      </c>
      <c r="F8" s="50" t="s">
        <v>3880</v>
      </c>
      <c r="G8" s="607">
        <f ca="1">G9</f>
        <v>0</v>
      </c>
    </row>
    <row r="9" spans="1:7" ht="20.100000000000001" customHeight="1">
      <c r="A9" s="95"/>
      <c r="B9" s="96" t="s">
        <v>2608</v>
      </c>
      <c r="C9" s="95" t="s">
        <v>2372</v>
      </c>
      <c r="D9" s="627" t="str">
        <f>"NC x "&amp;HSNCTBA</f>
        <v>NC x 1</v>
      </c>
      <c r="E9" s="628">
        <f>cttba_nctb1_1*HSNCTBA</f>
        <v>0</v>
      </c>
      <c r="F9" s="627" t="str">
        <f>"NC x "&amp;HSNCDD</f>
        <v>NC x 1</v>
      </c>
      <c r="G9" s="628">
        <f ca="1">nctbDD1*HSNCDD</f>
        <v>0</v>
      </c>
    </row>
    <row r="10" spans="1:7" ht="20.100000000000001" customHeight="1">
      <c r="A10" s="375">
        <v>3</v>
      </c>
      <c r="B10" s="145" t="s">
        <v>2374</v>
      </c>
      <c r="C10" s="375" t="s">
        <v>2375</v>
      </c>
      <c r="D10" s="50" t="s">
        <v>2376</v>
      </c>
      <c r="E10" s="607">
        <f>E11</f>
        <v>0</v>
      </c>
      <c r="F10" s="50" t="s">
        <v>2376</v>
      </c>
      <c r="G10" s="607">
        <f ca="1">G11</f>
        <v>0</v>
      </c>
    </row>
    <row r="11" spans="1:7" ht="20.100000000000001" customHeight="1">
      <c r="A11" s="95"/>
      <c r="B11" s="96" t="s">
        <v>2609</v>
      </c>
      <c r="C11" s="95" t="s">
        <v>2376</v>
      </c>
      <c r="D11" s="627" t="str">
        <f>"M x "&amp;HSMTCTBA</f>
        <v>M x 1</v>
      </c>
      <c r="E11" s="628">
        <f>cttba_mtctb1_1*HSMTCTBA</f>
        <v>0</v>
      </c>
      <c r="F11" s="627" t="str">
        <f>"M x "&amp;HSMTCTBA</f>
        <v>M x 1</v>
      </c>
      <c r="G11" s="628">
        <f ca="1">mtctbDD1*HSMTCDD</f>
        <v>0</v>
      </c>
    </row>
    <row r="12" spans="1:7" ht="20.100000000000001" customHeight="1">
      <c r="A12" s="375">
        <v>4</v>
      </c>
      <c r="B12" s="382" t="s">
        <v>2377</v>
      </c>
      <c r="C12" s="375" t="s">
        <v>2378</v>
      </c>
      <c r="D12" s="629" t="s">
        <v>3881</v>
      </c>
      <c r="E12" s="630">
        <f>2%*(E6+E8+E10)</f>
        <v>0</v>
      </c>
      <c r="F12" s="629" t="s">
        <v>3881</v>
      </c>
      <c r="G12" s="607">
        <f ca="1">2%*(G6+G8+G10)</f>
        <v>0</v>
      </c>
    </row>
    <row r="13" spans="1:7" ht="20.100000000000001" customHeight="1">
      <c r="A13" s="384" t="s">
        <v>2379</v>
      </c>
      <c r="B13" s="383" t="s">
        <v>2393</v>
      </c>
      <c r="C13" s="384" t="s">
        <v>2375</v>
      </c>
      <c r="D13" s="631" t="s">
        <v>3882</v>
      </c>
      <c r="E13" s="632">
        <f>65%*E8</f>
        <v>0</v>
      </c>
      <c r="F13" s="631" t="s">
        <v>3882</v>
      </c>
      <c r="G13" s="632">
        <f ca="1">65%*G8</f>
        <v>0</v>
      </c>
    </row>
    <row r="14" spans="1:7" ht="20.100000000000001" customHeight="1">
      <c r="A14" s="384"/>
      <c r="B14" s="383" t="s">
        <v>2394</v>
      </c>
      <c r="C14" s="384" t="s">
        <v>2388</v>
      </c>
      <c r="D14" s="631" t="s">
        <v>3860</v>
      </c>
      <c r="E14" s="632">
        <f>E5+E13</f>
        <v>0</v>
      </c>
      <c r="F14" s="631" t="s">
        <v>3860</v>
      </c>
      <c r="G14" s="632">
        <f ca="1">G5+G13</f>
        <v>0</v>
      </c>
    </row>
    <row r="15" spans="1:7" ht="20.100000000000001" customHeight="1">
      <c r="A15" s="384" t="s">
        <v>2380</v>
      </c>
      <c r="B15" s="383" t="s">
        <v>2395</v>
      </c>
      <c r="C15" s="384" t="s">
        <v>2381</v>
      </c>
      <c r="D15" s="631" t="s">
        <v>3862</v>
      </c>
      <c r="E15" s="632">
        <f>E14*6%</f>
        <v>0</v>
      </c>
      <c r="F15" s="631" t="s">
        <v>3862</v>
      </c>
      <c r="G15" s="632">
        <f ca="1">G14*6%</f>
        <v>0</v>
      </c>
    </row>
    <row r="16" spans="1:7" ht="20.100000000000001" customHeight="1">
      <c r="A16" s="384"/>
      <c r="B16" s="383" t="s">
        <v>2678</v>
      </c>
      <c r="C16" s="384" t="s">
        <v>2383</v>
      </c>
      <c r="D16" s="631" t="s">
        <v>3863</v>
      </c>
      <c r="E16" s="632">
        <f>E15+E14</f>
        <v>0</v>
      </c>
      <c r="F16" s="631" t="s">
        <v>3863</v>
      </c>
      <c r="G16" s="632">
        <f ca="1">G15+G14</f>
        <v>0</v>
      </c>
    </row>
    <row r="17" spans="1:7" ht="20.100000000000001" customHeight="1">
      <c r="A17" s="384" t="s">
        <v>2384</v>
      </c>
      <c r="B17" s="383" t="s">
        <v>2396</v>
      </c>
      <c r="C17" s="384" t="s">
        <v>2385</v>
      </c>
      <c r="D17" s="631" t="s">
        <v>3864</v>
      </c>
      <c r="E17" s="632">
        <f>E16*10%</f>
        <v>0</v>
      </c>
      <c r="F17" s="631" t="s">
        <v>3864</v>
      </c>
      <c r="G17" s="632">
        <f ca="1">G16*10%</f>
        <v>0</v>
      </c>
    </row>
    <row r="18" spans="1:7" ht="20.100000000000001" customHeight="1">
      <c r="A18" s="393" t="s">
        <v>2399</v>
      </c>
      <c r="B18" s="400" t="s">
        <v>2610</v>
      </c>
      <c r="C18" s="393" t="s">
        <v>2386</v>
      </c>
      <c r="D18" s="633" t="s">
        <v>3865</v>
      </c>
      <c r="E18" s="634">
        <f>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1" fitToHeight="0"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4" tint="0.59999389629810485"/>
    <pageSetUpPr fitToPage="1"/>
  </sheetPr>
  <dimension ref="A1:G18"/>
  <sheetViews>
    <sheetView showGridLines="0" view="pageBreakPreview" zoomScale="115" zoomScaleNormal="100" zoomScaleSheetLayoutView="115" workbookViewId="0">
      <selection activeCell="D1" sqref="D1:G1048576"/>
    </sheetView>
  </sheetViews>
  <sheetFormatPr defaultColWidth="9.140625" defaultRowHeight="20.100000000000001" customHeight="1"/>
  <cols>
    <col min="1" max="1" width="8.5703125" style="371" customWidth="1"/>
    <col min="2" max="2" width="45.5703125" style="371" customWidth="1"/>
    <col min="3" max="3" width="8.5703125" style="371" customWidth="1"/>
    <col min="4" max="7" width="20.5703125" style="371" customWidth="1"/>
    <col min="8" max="16384" width="9.140625" style="371"/>
  </cols>
  <sheetData>
    <row r="1" spans="1:7" ht="20.100000000000001" customHeight="1">
      <c r="A1" s="71" t="str">
        <f ca="1">SETTING!$O$16</f>
        <v>BẢNG 4: TỔNG HỢP CHI PHÍ THỬ NGHIỆM HIỆU CHỈNH</v>
      </c>
      <c r="B1" s="71"/>
      <c r="C1" s="71"/>
      <c r="D1" s="71"/>
      <c r="E1" s="71"/>
      <c r="F1" s="71"/>
      <c r="G1" s="71"/>
    </row>
    <row r="2" spans="1:7" ht="20.100000000000001" customHeight="1">
      <c r="A2" s="147"/>
      <c r="B2" s="147"/>
      <c r="C2" s="147"/>
      <c r="D2" s="643"/>
      <c r="E2" s="643"/>
      <c r="F2" s="643"/>
      <c r="G2" s="643"/>
    </row>
    <row r="3" spans="1:7" ht="20.100000000000001" customHeight="1">
      <c r="A3" s="1415" t="s">
        <v>2347</v>
      </c>
      <c r="B3" s="1415" t="s">
        <v>2360</v>
      </c>
      <c r="C3" s="1109" t="s">
        <v>2605</v>
      </c>
      <c r="D3" s="1417" t="s">
        <v>2428</v>
      </c>
      <c r="E3" s="1418"/>
      <c r="F3" s="1417" t="s">
        <v>2429</v>
      </c>
      <c r="G3" s="1418"/>
    </row>
    <row r="4" spans="1:7" ht="20.100000000000001" customHeight="1">
      <c r="A4" s="1416"/>
      <c r="B4" s="1416"/>
      <c r="C4" s="1110" t="s">
        <v>2606</v>
      </c>
      <c r="D4" s="391" t="s">
        <v>3877</v>
      </c>
      <c r="E4" s="391" t="s">
        <v>2348</v>
      </c>
      <c r="F4" s="391" t="s">
        <v>3877</v>
      </c>
      <c r="G4" s="391" t="s">
        <v>2348</v>
      </c>
    </row>
    <row r="5" spans="1:7" ht="20.100000000000001" customHeight="1">
      <c r="A5" s="384" t="s">
        <v>2361</v>
      </c>
      <c r="B5" s="148" t="s">
        <v>2362</v>
      </c>
      <c r="C5" s="384" t="s">
        <v>2363</v>
      </c>
      <c r="D5" s="624" t="s">
        <v>3878</v>
      </c>
      <c r="E5" s="632">
        <f ca="1">E6+E8+E10+E12</f>
        <v>0</v>
      </c>
      <c r="F5" s="624" t="s">
        <v>3878</v>
      </c>
      <c r="G5" s="632">
        <f ca="1">G6+G8+G10+G12</f>
        <v>0</v>
      </c>
    </row>
    <row r="6" spans="1:7" ht="20.100000000000001" customHeight="1">
      <c r="A6" s="376">
        <v>1</v>
      </c>
      <c r="B6" s="149" t="s">
        <v>2364</v>
      </c>
      <c r="C6" s="376" t="s">
        <v>2357</v>
      </c>
      <c r="D6" s="66" t="s">
        <v>2366</v>
      </c>
      <c r="E6" s="611">
        <f ca="1">E7</f>
        <v>0</v>
      </c>
      <c r="F6" s="66" t="s">
        <v>2366</v>
      </c>
      <c r="G6" s="611">
        <f ca="1">G7</f>
        <v>0</v>
      </c>
    </row>
    <row r="7" spans="1:7" ht="20.100000000000001" customHeight="1">
      <c r="A7" s="97"/>
      <c r="B7" s="121" t="s">
        <v>2611</v>
      </c>
      <c r="C7" s="97" t="s">
        <v>2366</v>
      </c>
      <c r="D7" s="644" t="s">
        <v>2369</v>
      </c>
      <c r="E7" s="645">
        <f ca="1">tnhc_vltntba1</f>
        <v>0</v>
      </c>
      <c r="F7" s="644" t="s">
        <v>2369</v>
      </c>
      <c r="G7" s="645">
        <f ca="1">tnhc_vltndd1</f>
        <v>0</v>
      </c>
    </row>
    <row r="8" spans="1:7" ht="20.100000000000001" customHeight="1">
      <c r="A8" s="376">
        <v>2</v>
      </c>
      <c r="B8" s="149" t="s">
        <v>2370</v>
      </c>
      <c r="C8" s="376" t="s">
        <v>2371</v>
      </c>
      <c r="D8" s="66" t="s">
        <v>3885</v>
      </c>
      <c r="E8" s="611">
        <f ca="1">E9</f>
        <v>0</v>
      </c>
      <c r="F8" s="66" t="s">
        <v>3885</v>
      </c>
      <c r="G8" s="611">
        <f ca="1">G9</f>
        <v>0</v>
      </c>
    </row>
    <row r="9" spans="1:7" ht="20.100000000000001" customHeight="1">
      <c r="A9" s="97"/>
      <c r="B9" s="121" t="s">
        <v>2612</v>
      </c>
      <c r="C9" s="97" t="s">
        <v>2372</v>
      </c>
      <c r="D9" s="644" t="str">
        <f>"NC x "&amp;HSNCTN</f>
        <v>NC x 1</v>
      </c>
      <c r="E9" s="645">
        <f ca="1">tnhc_nctntba1*HSNCTN</f>
        <v>0</v>
      </c>
      <c r="F9" s="644" t="str">
        <f>"NC x "&amp;HSNCTN</f>
        <v>NC x 1</v>
      </c>
      <c r="G9" s="645">
        <f ca="1">tnhc_nctndd1*HSNCTN</f>
        <v>0</v>
      </c>
    </row>
    <row r="10" spans="1:7" ht="20.100000000000001" customHeight="1">
      <c r="A10" s="376">
        <v>3</v>
      </c>
      <c r="B10" s="149" t="s">
        <v>2374</v>
      </c>
      <c r="C10" s="376" t="s">
        <v>2375</v>
      </c>
      <c r="D10" s="66" t="s">
        <v>2376</v>
      </c>
      <c r="E10" s="611">
        <f ca="1">E11</f>
        <v>0</v>
      </c>
      <c r="F10" s="66" t="s">
        <v>3886</v>
      </c>
      <c r="G10" s="611">
        <f ca="1">G11</f>
        <v>0</v>
      </c>
    </row>
    <row r="11" spans="1:7" ht="20.100000000000001" customHeight="1">
      <c r="A11" s="97"/>
      <c r="B11" s="121" t="s">
        <v>2613</v>
      </c>
      <c r="C11" s="97" t="s">
        <v>2376</v>
      </c>
      <c r="D11" s="644" t="str">
        <f>"M x "&amp;HSMTCTN</f>
        <v>M x 1</v>
      </c>
      <c r="E11" s="645">
        <f ca="1">tnhc_mtctntba1*HSMTCTN</f>
        <v>0</v>
      </c>
      <c r="F11" s="644" t="str">
        <f>"M x "&amp;HSMTCTN</f>
        <v>M x 1</v>
      </c>
      <c r="G11" s="645">
        <f ca="1">tnhc_mtctndd1*HSMTCTN</f>
        <v>0</v>
      </c>
    </row>
    <row r="12" spans="1:7" ht="20.100000000000001" customHeight="1">
      <c r="A12" s="376">
        <v>4</v>
      </c>
      <c r="B12" s="149" t="s">
        <v>2377</v>
      </c>
      <c r="C12" s="376" t="s">
        <v>2378</v>
      </c>
      <c r="D12" s="646" t="s">
        <v>3881</v>
      </c>
      <c r="E12" s="647">
        <f ca="1">2%*(E6+E8+E10)*0</f>
        <v>0</v>
      </c>
      <c r="F12" s="646" t="s">
        <v>3881</v>
      </c>
      <c r="G12" s="647">
        <f ca="1">2%*(G6+G8+G10)*0</f>
        <v>0</v>
      </c>
    </row>
    <row r="13" spans="1:7" ht="20.100000000000001" customHeight="1">
      <c r="A13" s="384" t="s">
        <v>2379</v>
      </c>
      <c r="B13" s="383" t="s">
        <v>2393</v>
      </c>
      <c r="C13" s="384" t="s">
        <v>2375</v>
      </c>
      <c r="D13" s="624" t="s">
        <v>3882</v>
      </c>
      <c r="E13" s="632">
        <f ca="1">65%*E8</f>
        <v>0</v>
      </c>
      <c r="F13" s="624" t="s">
        <v>3882</v>
      </c>
      <c r="G13" s="632">
        <f ca="1">65%*G8</f>
        <v>0</v>
      </c>
    </row>
    <row r="14" spans="1:7" ht="20.100000000000001" customHeight="1">
      <c r="A14" s="150"/>
      <c r="B14" s="151" t="s">
        <v>2700</v>
      </c>
      <c r="C14" s="150" t="s">
        <v>2388</v>
      </c>
      <c r="D14" s="648" t="s">
        <v>3860</v>
      </c>
      <c r="E14" s="649">
        <f ca="1">E5+E13</f>
        <v>0</v>
      </c>
      <c r="F14" s="648" t="s">
        <v>3860</v>
      </c>
      <c r="G14" s="649">
        <f ca="1">G5+G13</f>
        <v>0</v>
      </c>
    </row>
    <row r="15" spans="1:7" ht="20.100000000000001" customHeight="1">
      <c r="A15" s="384" t="s">
        <v>2380</v>
      </c>
      <c r="B15" s="383" t="s">
        <v>2395</v>
      </c>
      <c r="C15" s="384" t="s">
        <v>2381</v>
      </c>
      <c r="D15" s="624" t="s">
        <v>3862</v>
      </c>
      <c r="E15" s="632">
        <f ca="1">E14*6%</f>
        <v>0</v>
      </c>
      <c r="F15" s="624" t="s">
        <v>3862</v>
      </c>
      <c r="G15" s="632">
        <f ca="1">G14*6%</f>
        <v>0</v>
      </c>
    </row>
    <row r="16" spans="1:7" ht="20.100000000000001" customHeight="1">
      <c r="A16" s="152"/>
      <c r="B16" s="153" t="s">
        <v>2699</v>
      </c>
      <c r="C16" s="152" t="s">
        <v>2383</v>
      </c>
      <c r="D16" s="650" t="s">
        <v>3863</v>
      </c>
      <c r="E16" s="651">
        <f ca="1">E15+E14</f>
        <v>0</v>
      </c>
      <c r="F16" s="650" t="s">
        <v>3863</v>
      </c>
      <c r="G16" s="651">
        <f ca="1">G15+G14</f>
        <v>0</v>
      </c>
    </row>
    <row r="17" spans="1:7" ht="20.100000000000001" customHeight="1">
      <c r="A17" s="384" t="s">
        <v>2384</v>
      </c>
      <c r="B17" s="383" t="s">
        <v>2396</v>
      </c>
      <c r="C17" s="384" t="s">
        <v>2385</v>
      </c>
      <c r="D17" s="624" t="s">
        <v>3864</v>
      </c>
      <c r="E17" s="632">
        <f ca="1">E16*10%</f>
        <v>0</v>
      </c>
      <c r="F17" s="624" t="s">
        <v>3864</v>
      </c>
      <c r="G17" s="632">
        <f ca="1">G16*10%</f>
        <v>0</v>
      </c>
    </row>
    <row r="18" spans="1:7" ht="20.100000000000001" customHeight="1">
      <c r="A18" s="393" t="s">
        <v>2399</v>
      </c>
      <c r="B18" s="400" t="s">
        <v>2698</v>
      </c>
      <c r="C18" s="393" t="s">
        <v>2386</v>
      </c>
      <c r="D18" s="633" t="s">
        <v>3865</v>
      </c>
      <c r="E18" s="634">
        <f ca="1">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1" fitToHeight="0" orientation="landscape" blackAndWhite="1"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tint="0.59999389629810485"/>
    <pageSetUpPr fitToPage="1"/>
  </sheetPr>
  <dimension ref="A1:L65"/>
  <sheetViews>
    <sheetView showGridLines="0" showZeros="0" view="pageBreakPreview" topLeftCell="A46" zoomScale="70" zoomScaleNormal="85" zoomScaleSheetLayoutView="70" workbookViewId="0">
      <selection activeCell="D67" sqref="D67"/>
    </sheetView>
  </sheetViews>
  <sheetFormatPr defaultColWidth="9.140625" defaultRowHeight="25.35" customHeight="1"/>
  <cols>
    <col min="1" max="1" width="9.140625" style="371"/>
    <col min="2" max="2" width="15.5703125" style="371" customWidth="1"/>
    <col min="3" max="3" width="50.5703125" style="371" customWidth="1"/>
    <col min="4" max="11" width="15.5703125" style="371" customWidth="1"/>
    <col min="12" max="16384" width="9.140625" style="371"/>
  </cols>
  <sheetData>
    <row r="1" spans="1:12" ht="25.35" customHeight="1">
      <c r="A1" s="373"/>
      <c r="B1" s="381" t="str">
        <f ca="1">SETTING!$O$17</f>
        <v>BẢNG 4: KHỐI LƯỢNG CHI TIẾT THỬ NGHIỆM HIỆU CHỈNH</v>
      </c>
      <c r="C1" s="385"/>
      <c r="D1" s="386"/>
      <c r="E1" s="378"/>
      <c r="F1" s="378"/>
      <c r="G1" s="378"/>
      <c r="H1" s="378"/>
      <c r="I1" s="378"/>
      <c r="J1" s="378"/>
      <c r="K1" s="378"/>
    </row>
    <row r="2" spans="1:12" ht="25.35" customHeight="1">
      <c r="A2" s="373"/>
      <c r="B2" s="790"/>
      <c r="C2" s="790"/>
      <c r="D2" s="790"/>
      <c r="E2" s="635"/>
      <c r="F2" s="359"/>
      <c r="G2" s="359"/>
      <c r="H2" s="359"/>
      <c r="I2" s="790"/>
      <c r="J2" s="790"/>
      <c r="K2" s="790"/>
    </row>
    <row r="3" spans="1:12" ht="25.35" customHeight="1">
      <c r="A3" s="373"/>
      <c r="B3" s="802" t="s">
        <v>2695</v>
      </c>
      <c r="C3" s="1111" t="s">
        <v>2599</v>
      </c>
      <c r="D3" s="1111" t="s">
        <v>2352</v>
      </c>
      <c r="E3" s="804" t="s">
        <v>2694</v>
      </c>
      <c r="F3" s="794" t="s">
        <v>2141</v>
      </c>
      <c r="G3" s="795"/>
      <c r="H3" s="796"/>
      <c r="I3" s="794" t="s">
        <v>2348</v>
      </c>
      <c r="J3" s="795"/>
      <c r="K3" s="796"/>
    </row>
    <row r="4" spans="1:12" ht="25.35" customHeight="1">
      <c r="A4" s="373"/>
      <c r="B4" s="803"/>
      <c r="C4" s="803"/>
      <c r="D4" s="803"/>
      <c r="E4" s="805"/>
      <c r="F4" s="817" t="s">
        <v>3883</v>
      </c>
      <c r="G4" s="817" t="s">
        <v>4</v>
      </c>
      <c r="H4" s="817" t="s">
        <v>3884</v>
      </c>
      <c r="I4" s="817" t="s">
        <v>3883</v>
      </c>
      <c r="J4" s="817" t="s">
        <v>4</v>
      </c>
      <c r="K4" s="817" t="s">
        <v>3884</v>
      </c>
    </row>
    <row r="5" spans="1:12" ht="25.35" customHeight="1">
      <c r="A5" s="373"/>
      <c r="B5" s="412" t="s">
        <v>2701</v>
      </c>
      <c r="C5" s="394"/>
      <c r="D5" s="394"/>
      <c r="E5" s="636"/>
      <c r="F5" s="637"/>
      <c r="G5" s="637"/>
      <c r="H5" s="637"/>
      <c r="I5" s="637"/>
      <c r="J5" s="637"/>
      <c r="K5" s="638"/>
    </row>
    <row r="6" spans="1:12" ht="25.35" customHeight="1">
      <c r="A6" s="373" t="s">
        <v>4197</v>
      </c>
      <c r="B6" s="388" t="str">
        <f>VLOOKUP(A6,R_DG!$A$1310:$G$1370,2,0)</f>
        <v>EB.11040</v>
      </c>
      <c r="C6" s="399" t="str">
        <f>VLOOKUP(A6,R_DG!$A$1310:$G$1370,3,0)</f>
        <v>LBS SF6 3pha 24kV 630A 12kA + bộ truyền động</v>
      </c>
      <c r="D6" s="390" t="str">
        <f>VLOOKUP(A6,R_DG!$A$1310:$G$1370,4,0)</f>
        <v>cái</v>
      </c>
      <c r="E6" s="388">
        <f>SUMIF(KLVT!$A$5:$A$1429,RIGHT(A6,LEN(A6)-4),KLVT!$E$5:$E$1429)</f>
        <v>0</v>
      </c>
      <c r="F6" s="642">
        <f>VLOOKUP(A6,R_DG!$A$1310:$G$1370,5,0)</f>
        <v>0</v>
      </c>
      <c r="G6" s="642">
        <f>VLOOKUP(A6,R_DG!$A$1310:$G$1370,6,0)</f>
        <v>3012818.49</v>
      </c>
      <c r="H6" s="642">
        <f>VLOOKUP(A6,R_DG!$A$1310:$G$1370,7,0)</f>
        <v>142926.28672727273</v>
      </c>
      <c r="I6" s="639">
        <f t="shared" ref="I6:I22" si="0">E6*F6</f>
        <v>0</v>
      </c>
      <c r="J6" s="639">
        <f t="shared" ref="J6:J22" si="1">E6*G6</f>
        <v>0</v>
      </c>
      <c r="K6" s="639">
        <f t="shared" ref="K6:K22" si="2">E6*H6</f>
        <v>0</v>
      </c>
      <c r="L6" s="371">
        <f>IF(SUM(I6:K6)&gt;0,1,0)</f>
        <v>0</v>
      </c>
    </row>
    <row r="7" spans="1:12" ht="25.35" customHeight="1">
      <c r="A7" s="373" t="s">
        <v>4199</v>
      </c>
      <c r="B7" s="388" t="str">
        <f>VLOOKUP(A7,R_DG!$A$1310:$G$1370,2,0)</f>
        <v>EB.11040</v>
      </c>
      <c r="C7" s="399" t="str">
        <f>VLOOKUP(A7,R_DG!$A$1310:$G$1370,3,0)</f>
        <v>Recloser 24kV 630A</v>
      </c>
      <c r="D7" s="390" t="str">
        <f>VLOOKUP(A7,R_DG!$A$1310:$G$1370,4,0)</f>
        <v>cái</v>
      </c>
      <c r="E7" s="388">
        <f ca="1">SUMIF(KLVT!$A$5:$A$1429,RIGHT(A7,LEN(A7)-4),KLVT!$E$5:$E$1429)</f>
        <v>0</v>
      </c>
      <c r="F7" s="642">
        <f>VLOOKUP(A7,R_DG!$A$1310:$G$1370,5,0)</f>
        <v>0</v>
      </c>
      <c r="G7" s="642">
        <f>VLOOKUP(A7,R_DG!$A$1310:$G$1370,6,0)</f>
        <v>3012818.49</v>
      </c>
      <c r="H7" s="642">
        <f>VLOOKUP(A7,R_DG!$A$1310:$G$1370,7,0)</f>
        <v>142926.28672727273</v>
      </c>
      <c r="I7" s="639">
        <f t="shared" ca="1" si="0"/>
        <v>0</v>
      </c>
      <c r="J7" s="639">
        <f t="shared" ca="1" si="1"/>
        <v>0</v>
      </c>
      <c r="K7" s="639">
        <f t="shared" ca="1" si="2"/>
        <v>0</v>
      </c>
      <c r="L7" s="371">
        <f t="shared" ref="L7:L65" ca="1" si="3">IF(SUM(I7:K7)&gt;0,1,0)</f>
        <v>0</v>
      </c>
    </row>
    <row r="8" spans="1:12" ht="25.35" customHeight="1">
      <c r="A8" s="373" t="s">
        <v>4200</v>
      </c>
      <c r="B8" s="388" t="str">
        <f>VLOOKUP(A8,R_DG!$A$1310:$G$1370,2,0)</f>
        <v>EB.22040</v>
      </c>
      <c r="C8" s="399" t="str">
        <f>VLOOKUP(A8,R_DG!$A$1310:$G$1370,3,0)</f>
        <v xml:space="preserve">FCO 24KV - 100A </v>
      </c>
      <c r="D8" s="390" t="str">
        <f>VLOOKUP(A8,R_DG!$A$1310:$G$1370,4,0)</f>
        <v>cái</v>
      </c>
      <c r="E8" s="388"/>
      <c r="F8" s="642">
        <f>VLOOKUP(A8,R_DG!$A$1310:$G$1370,5,0)</f>
        <v>0</v>
      </c>
      <c r="G8" s="642">
        <f>VLOOKUP(A8,R_DG!$A$1310:$G$1370,6,0)</f>
        <v>60717.18233333333</v>
      </c>
      <c r="H8" s="642">
        <f>VLOOKUP(A8,R_DG!$A$1310:$G$1370,7,0)</f>
        <v>1540.9118606060606</v>
      </c>
      <c r="I8" s="639">
        <f t="shared" si="0"/>
        <v>0</v>
      </c>
      <c r="J8" s="639">
        <f t="shared" si="1"/>
        <v>0</v>
      </c>
      <c r="K8" s="639">
        <f t="shared" si="2"/>
        <v>0</v>
      </c>
      <c r="L8" s="371">
        <f t="shared" si="3"/>
        <v>0</v>
      </c>
    </row>
    <row r="9" spans="1:12" ht="25.35" customHeight="1">
      <c r="A9" s="373" t="s">
        <v>4202</v>
      </c>
      <c r="B9" s="388" t="str">
        <f>VLOOKUP(A9,R_DG!$A$1310:$G$1370,2,0)</f>
        <v>EB.22040</v>
      </c>
      <c r="C9" s="399" t="str">
        <f>VLOOKUP(A9,R_DG!$A$1310:$G$1370,3,0)</f>
        <v xml:space="preserve">FCO 24KV - 200A </v>
      </c>
      <c r="D9" s="390" t="str">
        <f>VLOOKUP(A9,R_DG!$A$1310:$G$1370,4,0)</f>
        <v>cái</v>
      </c>
      <c r="E9" s="388"/>
      <c r="F9" s="642">
        <f>VLOOKUP(A9,R_DG!$A$1310:$G$1370,5,0)</f>
        <v>0</v>
      </c>
      <c r="G9" s="642">
        <f>VLOOKUP(A9,R_DG!$A$1310:$G$1370,6,0)</f>
        <v>60717.18233333333</v>
      </c>
      <c r="H9" s="642">
        <f>VLOOKUP(A9,R_DG!$A$1310:$G$1370,7,0)</f>
        <v>1540.9118606060606</v>
      </c>
      <c r="I9" s="639">
        <f t="shared" si="0"/>
        <v>0</v>
      </c>
      <c r="J9" s="639">
        <f t="shared" si="1"/>
        <v>0</v>
      </c>
      <c r="K9" s="639">
        <f t="shared" si="2"/>
        <v>0</v>
      </c>
      <c r="L9" s="371">
        <f t="shared" si="3"/>
        <v>0</v>
      </c>
    </row>
    <row r="10" spans="1:12" ht="25.35" customHeight="1">
      <c r="A10" s="373" t="s">
        <v>4203</v>
      </c>
      <c r="B10" s="388" t="str">
        <f>VLOOKUP(A10,R_DG!$A$1310:$G$1370,2,0)</f>
        <v>EC.11040</v>
      </c>
      <c r="C10" s="399" t="str">
        <f>VLOOKUP(A10,R_DG!$A$1310:$G$1370,3,0)</f>
        <v>LA 18kV 10kA</v>
      </c>
      <c r="D10" s="390" t="str">
        <f>VLOOKUP(A10,R_DG!$A$1310:$G$1370,4,0)</f>
        <v>cái</v>
      </c>
      <c r="E10" s="388"/>
      <c r="F10" s="642">
        <f>VLOOKUP(A10,R_DG!$A$1310:$G$1370,5,0)</f>
        <v>0</v>
      </c>
      <c r="G10" s="642">
        <f>VLOOKUP(A10,R_DG!$A$1310:$G$1370,6,0)</f>
        <v>118809.81</v>
      </c>
      <c r="H10" s="642">
        <f>VLOOKUP(A10,R_DG!$A$1310:$G$1370,7,0)</f>
        <v>24706.128000000001</v>
      </c>
      <c r="I10" s="639">
        <f t="shared" si="0"/>
        <v>0</v>
      </c>
      <c r="J10" s="639">
        <f t="shared" si="1"/>
        <v>0</v>
      </c>
      <c r="K10" s="639">
        <f t="shared" si="2"/>
        <v>0</v>
      </c>
      <c r="L10" s="371">
        <f t="shared" si="3"/>
        <v>0</v>
      </c>
    </row>
    <row r="11" spans="1:12" ht="25.35" customHeight="1">
      <c r="A11" s="373" t="s">
        <v>4204</v>
      </c>
      <c r="B11" s="388" t="str">
        <f>VLOOKUP(A11,R_DG!$A$1310:$G$1370,2,0)</f>
        <v>EB.41040</v>
      </c>
      <c r="C11" s="399" t="str">
        <f>VLOOKUP(A11,R_DG!$A$1310:$G$1370,3,0)</f>
        <v>Sứ treo Polyme 24kV</v>
      </c>
      <c r="D11" s="390" t="str">
        <f>VLOOKUP(A11,R_DG!$A$1310:$G$1370,4,0)</f>
        <v>cái</v>
      </c>
      <c r="E11" s="388"/>
      <c r="F11" s="642">
        <f>VLOOKUP(A11,R_DG!$A$1310:$G$1370,5,0)</f>
        <v>0</v>
      </c>
      <c r="G11" s="642">
        <f>VLOOKUP(A11,R_DG!$A$1310:$G$1370,6,0)</f>
        <v>5500.99</v>
      </c>
      <c r="H11" s="642">
        <f>VLOOKUP(A11,R_DG!$A$1310:$G$1370,7,0)</f>
        <v>2015.248</v>
      </c>
      <c r="I11" s="639">
        <f t="shared" si="0"/>
        <v>0</v>
      </c>
      <c r="J11" s="639">
        <f t="shared" si="1"/>
        <v>0</v>
      </c>
      <c r="K11" s="639">
        <f t="shared" si="2"/>
        <v>0</v>
      </c>
      <c r="L11" s="371">
        <f t="shared" si="3"/>
        <v>0</v>
      </c>
    </row>
    <row r="12" spans="1:12" ht="25.35" customHeight="1">
      <c r="A12" s="373" t="s">
        <v>4206</v>
      </c>
      <c r="B12" s="388" t="str">
        <f>VLOOKUP(A12,R_DG!$A$1310:$G$1370,2,0)</f>
        <v>EB.41020</v>
      </c>
      <c r="C12" s="399" t="str">
        <f>VLOOKUP(A12,R_DG!$A$1310:$G$1370,3,0)</f>
        <v>Sứ đứng 24kV ĐR 540mm</v>
      </c>
      <c r="D12" s="390" t="str">
        <f>VLOOKUP(A12,R_DG!$A$1310:$G$1370,4,0)</f>
        <v>cái</v>
      </c>
      <c r="E12" s="388"/>
      <c r="F12" s="642">
        <f>VLOOKUP(A12,R_DG!$A$1310:$G$1370,5,0)</f>
        <v>0</v>
      </c>
      <c r="G12" s="642">
        <f>VLOOKUP(A12,R_DG!$A$1310:$G$1370,6,0)</f>
        <v>10919.130000000001</v>
      </c>
      <c r="H12" s="642">
        <f>VLOOKUP(A12,R_DG!$A$1310:$G$1370,7,0)</f>
        <v>3875.7440000000001</v>
      </c>
      <c r="I12" s="639">
        <f t="shared" si="0"/>
        <v>0</v>
      </c>
      <c r="J12" s="639">
        <f t="shared" si="1"/>
        <v>0</v>
      </c>
      <c r="K12" s="639">
        <f t="shared" si="2"/>
        <v>0</v>
      </c>
      <c r="L12" s="371">
        <f t="shared" si="3"/>
        <v>0</v>
      </c>
    </row>
    <row r="13" spans="1:12" ht="25.35" customHeight="1">
      <c r="A13" s="373" t="s">
        <v>4520</v>
      </c>
      <c r="B13" s="388" t="str">
        <f>VLOOKUP(A13,R_DG!$A$1310:$G$1370,2,0)</f>
        <v>EB.60040</v>
      </c>
      <c r="C13" s="399" t="str">
        <f>VLOOKUP(A13,R_DG!$A$1310:$G$1370,3,0)</f>
        <v>Cáp ABC4x120</v>
      </c>
      <c r="D13" s="390" t="str">
        <f>VLOOKUP(A13,R_DG!$A$1310:$G$1370,4,0)</f>
        <v>mẫu</v>
      </c>
      <c r="E13" s="388"/>
      <c r="F13" s="642">
        <f>VLOOKUP(A13,R_DG!$A$1310:$G$1370,5,0)</f>
        <v>0</v>
      </c>
      <c r="G13" s="642">
        <f>VLOOKUP(A13,R_DG!$A$1310:$G$1370,6,0)</f>
        <v>26726.2</v>
      </c>
      <c r="H13" s="642">
        <f>VLOOKUP(A13,R_DG!$A$1310:$G$1370,7,0)</f>
        <v>2071.84</v>
      </c>
      <c r="I13" s="639">
        <f t="shared" si="0"/>
        <v>0</v>
      </c>
      <c r="J13" s="639">
        <f t="shared" si="1"/>
        <v>0</v>
      </c>
      <c r="K13" s="639">
        <f t="shared" si="2"/>
        <v>0</v>
      </c>
      <c r="L13" s="371">
        <f t="shared" si="3"/>
        <v>0</v>
      </c>
    </row>
    <row r="14" spans="1:12" ht="25.35" customHeight="1">
      <c r="A14" s="373" t="s">
        <v>4686</v>
      </c>
      <c r="B14" s="388" t="str">
        <f>VLOOKUP(A14,R_DG!$A$1310:$G$1370,2,0)</f>
        <v>EB.60030</v>
      </c>
      <c r="C14" s="399" t="str">
        <f>VLOOKUP(A14,R_DG!$A$1310:$G$1370,3,0)</f>
        <v>Cáp CXV25</v>
      </c>
      <c r="D14" s="390" t="str">
        <f>VLOOKUP(A14,R_DG!$A$1310:$G$1370,4,0)</f>
        <v>mẫu</v>
      </c>
      <c r="E14" s="388"/>
      <c r="F14" s="642">
        <f>VLOOKUP(A14,R_DG!$A$1310:$G$1370,5,0)</f>
        <v>0</v>
      </c>
      <c r="G14" s="642">
        <f>VLOOKUP(A14,R_DG!$A$1310:$G$1370,6,0)</f>
        <v>26726.2</v>
      </c>
      <c r="H14" s="642">
        <f>VLOOKUP(A14,R_DG!$A$1310:$G$1370,7,0)</f>
        <v>2071.84</v>
      </c>
      <c r="I14" s="639">
        <f t="shared" si="0"/>
        <v>0</v>
      </c>
      <c r="J14" s="639">
        <f t="shared" si="1"/>
        <v>0</v>
      </c>
      <c r="K14" s="639">
        <f t="shared" si="2"/>
        <v>0</v>
      </c>
      <c r="L14" s="371">
        <f t="shared" si="3"/>
        <v>0</v>
      </c>
    </row>
    <row r="15" spans="1:12" ht="25.35" customHeight="1">
      <c r="A15" s="373" t="s">
        <v>4210</v>
      </c>
      <c r="B15" s="388" t="str">
        <f>VLOOKUP(A15,R_DG!$A$1310:$G$1370,2,0)</f>
        <v>EB.60040</v>
      </c>
      <c r="C15" s="399" t="str">
        <f>VLOOKUP(A15,R_DG!$A$1310:$G$1370,3,0)</f>
        <v>Cáp AC95</v>
      </c>
      <c r="D15" s="390" t="str">
        <f>VLOOKUP(A15,R_DG!$A$1310:$G$1370,4,0)</f>
        <v>mẫu</v>
      </c>
      <c r="E15" s="388"/>
      <c r="F15" s="642">
        <f>VLOOKUP(A15,R_DG!$A$1310:$G$1370,5,0)</f>
        <v>0</v>
      </c>
      <c r="G15" s="642">
        <f>VLOOKUP(A15,R_DG!$A$1310:$G$1370,6,0)</f>
        <v>0</v>
      </c>
      <c r="H15" s="642">
        <f>VLOOKUP(A15,R_DG!$A$1310:$G$1370,7,0)</f>
        <v>0</v>
      </c>
      <c r="I15" s="639">
        <f t="shared" si="0"/>
        <v>0</v>
      </c>
      <c r="J15" s="639">
        <f t="shared" si="1"/>
        <v>0</v>
      </c>
      <c r="K15" s="639">
        <f t="shared" si="2"/>
        <v>0</v>
      </c>
      <c r="L15" s="371">
        <f t="shared" si="3"/>
        <v>0</v>
      </c>
    </row>
    <row r="16" spans="1:12" ht="25.35" customHeight="1">
      <c r="A16" s="373" t="s">
        <v>4211</v>
      </c>
      <c r="B16" s="388" t="str">
        <f>VLOOKUP(A16,R_DG!$A$1310:$G$1370,2,0)</f>
        <v>EB.60040</v>
      </c>
      <c r="C16" s="399" t="str">
        <f>VLOOKUP(A16,R_DG!$A$1310:$G$1370,3,0)</f>
        <v>Cáp ACXV50</v>
      </c>
      <c r="D16" s="390" t="str">
        <f>VLOOKUP(A16,R_DG!$A$1310:$G$1370,4,0)</f>
        <v>mẫu</v>
      </c>
      <c r="E16" s="388"/>
      <c r="F16" s="642">
        <f>VLOOKUP(A16,R_DG!$A$1310:$G$1370,5,0)</f>
        <v>0</v>
      </c>
      <c r="G16" s="642">
        <f>VLOOKUP(A16,R_DG!$A$1310:$G$1370,6,0)</f>
        <v>269465.7</v>
      </c>
      <c r="H16" s="642">
        <f>VLOOKUP(A16,R_DG!$A$1310:$G$1370,7,0)</f>
        <v>104921.152</v>
      </c>
      <c r="I16" s="639">
        <f t="shared" si="0"/>
        <v>0</v>
      </c>
      <c r="J16" s="639">
        <f t="shared" si="1"/>
        <v>0</v>
      </c>
      <c r="K16" s="639">
        <f t="shared" si="2"/>
        <v>0</v>
      </c>
      <c r="L16" s="371">
        <f t="shared" si="3"/>
        <v>0</v>
      </c>
    </row>
    <row r="17" spans="1:12" ht="25.35" customHeight="1">
      <c r="A17" s="373" t="s">
        <v>4212</v>
      </c>
      <c r="B17" s="388" t="str">
        <f>VLOOKUP(A17,R_DG!$A$1310:$G$1370,2,0)</f>
        <v>EB.60040</v>
      </c>
      <c r="C17" s="399" t="str">
        <f>VLOOKUP(A17,R_DG!$A$1310:$G$1370,3,0)</f>
        <v>Cáp ACXV70</v>
      </c>
      <c r="D17" s="390" t="str">
        <f>VLOOKUP(A17,R_DG!$A$1310:$G$1370,4,0)</f>
        <v>mẫu</v>
      </c>
      <c r="E17" s="388"/>
      <c r="F17" s="642">
        <f>VLOOKUP(A17,R_DG!$A$1310:$G$1370,5,0)</f>
        <v>0</v>
      </c>
      <c r="G17" s="642">
        <f>VLOOKUP(A17,R_DG!$A$1310:$G$1370,6,0)</f>
        <v>269465.7</v>
      </c>
      <c r="H17" s="642">
        <f>VLOOKUP(A17,R_DG!$A$1310:$G$1370,7,0)</f>
        <v>104921.152</v>
      </c>
      <c r="I17" s="639">
        <f t="shared" si="0"/>
        <v>0</v>
      </c>
      <c r="J17" s="639">
        <f t="shared" si="1"/>
        <v>0</v>
      </c>
      <c r="K17" s="639">
        <f t="shared" si="2"/>
        <v>0</v>
      </c>
      <c r="L17" s="371">
        <f t="shared" si="3"/>
        <v>0</v>
      </c>
    </row>
    <row r="18" spans="1:12" ht="25.35" customHeight="1">
      <c r="A18" s="373" t="s">
        <v>4213</v>
      </c>
      <c r="B18" s="388" t="str">
        <f>VLOOKUP(A18,R_DG!$A$1310:$G$1370,2,0)</f>
        <v>EB.60040</v>
      </c>
      <c r="C18" s="399" t="str">
        <f>VLOOKUP(A18,R_DG!$A$1310:$G$1370,3,0)</f>
        <v>Cáp ACXV95</v>
      </c>
      <c r="D18" s="390" t="str">
        <f>VLOOKUP(A18,R_DG!$A$1310:$G$1370,4,0)</f>
        <v>mẫu</v>
      </c>
      <c r="E18" s="388"/>
      <c r="F18" s="642">
        <f>VLOOKUP(A18,R_DG!$A$1310:$G$1370,5,0)</f>
        <v>0</v>
      </c>
      <c r="G18" s="642">
        <f>VLOOKUP(A18,R_DG!$A$1310:$G$1370,6,0)</f>
        <v>269465.7</v>
      </c>
      <c r="H18" s="642">
        <f>VLOOKUP(A18,R_DG!$A$1310:$G$1370,7,0)</f>
        <v>104921.152</v>
      </c>
      <c r="I18" s="639">
        <f t="shared" si="0"/>
        <v>0</v>
      </c>
      <c r="J18" s="639">
        <f t="shared" si="1"/>
        <v>0</v>
      </c>
      <c r="K18" s="639">
        <f t="shared" si="2"/>
        <v>0</v>
      </c>
      <c r="L18" s="371">
        <f t="shared" si="3"/>
        <v>0</v>
      </c>
    </row>
    <row r="19" spans="1:12" ht="25.35" customHeight="1">
      <c r="A19" s="226" t="s">
        <v>4214</v>
      </c>
      <c r="B19" s="388" t="str">
        <f>VLOOKUP(A19,R_DG!$A$1310:$G$1370,2,0)</f>
        <v>EB.60040</v>
      </c>
      <c r="C19" s="399" t="str">
        <f>VLOOKUP(A19,R_DG!$A$1310:$G$1370,3,0)</f>
        <v>Cáp ngầm C/DSTA/PVC 0,6kV - 4x120mm2</v>
      </c>
      <c r="D19" s="390" t="str">
        <f>VLOOKUP(A19,R_DG!$A$1310:$G$1370,4,0)</f>
        <v>mẫu</v>
      </c>
      <c r="E19" s="388"/>
      <c r="F19" s="642">
        <f>VLOOKUP(A19,R_DG!$A$1310:$G$1370,5,0)</f>
        <v>0</v>
      </c>
      <c r="G19" s="642">
        <f>VLOOKUP(A19,R_DG!$A$1310:$G$1370,6,0)</f>
        <v>269465.7</v>
      </c>
      <c r="H19" s="642">
        <f>VLOOKUP(A19,R_DG!$A$1310:$G$1370,7,0)</f>
        <v>104921.152</v>
      </c>
      <c r="I19" s="639">
        <f t="shared" si="0"/>
        <v>0</v>
      </c>
      <c r="J19" s="639">
        <f t="shared" si="1"/>
        <v>0</v>
      </c>
      <c r="K19" s="639">
        <f t="shared" si="2"/>
        <v>0</v>
      </c>
      <c r="L19" s="371">
        <f t="shared" si="3"/>
        <v>0</v>
      </c>
    </row>
    <row r="20" spans="1:12" ht="25.35" customHeight="1">
      <c r="A20" s="226" t="s">
        <v>4400</v>
      </c>
      <c r="B20" s="388" t="str">
        <f>VLOOKUP(A20,R_DG!$A$1310:$G$1370,2,0)</f>
        <v>EB.60040</v>
      </c>
      <c r="C20" s="399" t="str">
        <f>VLOOKUP(A20,R_DG!$A$1310:$G$1370,3,0)</f>
        <v>Cáp ABC4x120</v>
      </c>
      <c r="D20" s="390" t="str">
        <f>VLOOKUP(A20,R_DG!$A$1310:$G$1370,4,0)</f>
        <v>mẫu</v>
      </c>
      <c r="E20" s="388"/>
      <c r="F20" s="642">
        <f>VLOOKUP(A20,R_DG!$A$1310:$G$1370,5,0)</f>
        <v>0</v>
      </c>
      <c r="G20" s="642">
        <f>VLOOKUP(A20,R_DG!$A$1310:$G$1370,6,0)</f>
        <v>26726.2</v>
      </c>
      <c r="H20" s="642">
        <f>VLOOKUP(A20,R_DG!$A$1310:$G$1370,7,0)</f>
        <v>2071.84</v>
      </c>
      <c r="I20" s="639">
        <f t="shared" si="0"/>
        <v>0</v>
      </c>
      <c r="J20" s="639">
        <f t="shared" si="1"/>
        <v>0</v>
      </c>
      <c r="K20" s="639">
        <f t="shared" si="2"/>
        <v>0</v>
      </c>
      <c r="L20" s="371">
        <f t="shared" si="3"/>
        <v>0</v>
      </c>
    </row>
    <row r="21" spans="1:12" ht="25.35" customHeight="1">
      <c r="A21" s="226" t="s">
        <v>4215</v>
      </c>
      <c r="B21" s="388" t="str">
        <f>VLOOKUP(A21,R_DG!$A$1310:$G$1370,2,0)</f>
        <v>EB.60040</v>
      </c>
      <c r="C21" s="399" t="str">
        <f>VLOOKUP(A21,R_DG!$A$1310:$G$1370,3,0)</f>
        <v>Cáp ABC4x150</v>
      </c>
      <c r="D21" s="390" t="str">
        <f>VLOOKUP(A21,R_DG!$A$1310:$G$1370,4,0)</f>
        <v>mẫu</v>
      </c>
      <c r="E21" s="388"/>
      <c r="F21" s="642">
        <f>VLOOKUP(A21,R_DG!$A$1310:$G$1370,5,0)</f>
        <v>0</v>
      </c>
      <c r="G21" s="642">
        <f>VLOOKUP(A21,R_DG!$A$1310:$G$1370,6,0)</f>
        <v>26726.2</v>
      </c>
      <c r="H21" s="642">
        <f>VLOOKUP(A21,R_DG!$A$1310:$G$1370,7,0)</f>
        <v>2071.84</v>
      </c>
      <c r="I21" s="639">
        <f t="shared" si="0"/>
        <v>0</v>
      </c>
      <c r="J21" s="639">
        <f t="shared" si="1"/>
        <v>0</v>
      </c>
      <c r="K21" s="639">
        <f t="shared" si="2"/>
        <v>0</v>
      </c>
      <c r="L21" s="371">
        <f t="shared" si="3"/>
        <v>0</v>
      </c>
    </row>
    <row r="22" spans="1:12" ht="25.35" customHeight="1">
      <c r="A22" s="226" t="s">
        <v>4679</v>
      </c>
      <c r="B22" s="388" t="str">
        <f>VLOOKUP(A22,R_DG!$A$1310:$G$1370,2,0)</f>
        <v>EB.60040</v>
      </c>
      <c r="C22" s="399" t="str">
        <f>VLOOKUP(A22,R_DG!$A$1310:$G$1370,3,0)</f>
        <v>Cáp CVV4x4</v>
      </c>
      <c r="D22" s="390" t="str">
        <f>VLOOKUP(A22,R_DG!$A$1310:$G$1370,4,0)</f>
        <v>mẫu</v>
      </c>
      <c r="E22" s="388">
        <f ca="1">IF(SUMIF(KLVT!$A$5:$A$1429,RIGHT(A22,LEN(A22)-4),KLVT!$E$5:$E$1429)&gt;1,1,0)</f>
        <v>0</v>
      </c>
      <c r="F22" s="642">
        <f>VLOOKUP(A22,R_DG!$A$1310:$G$1370,5,0)</f>
        <v>0</v>
      </c>
      <c r="G22" s="642">
        <f>VLOOKUP(A22,R_DG!$A$1310:$G$1370,6,0)</f>
        <v>26726.2</v>
      </c>
      <c r="H22" s="642">
        <f>VLOOKUP(A22,R_DG!$A$1310:$G$1370,7,0)</f>
        <v>2071.84</v>
      </c>
      <c r="I22" s="639">
        <f t="shared" ca="1" si="0"/>
        <v>0</v>
      </c>
      <c r="J22" s="639">
        <f t="shared" ca="1" si="1"/>
        <v>0</v>
      </c>
      <c r="K22" s="639">
        <f t="shared" ca="1" si="2"/>
        <v>0</v>
      </c>
      <c r="L22" s="371">
        <f t="shared" ca="1" si="3"/>
        <v>0</v>
      </c>
    </row>
    <row r="23" spans="1:12" ht="25.35" customHeight="1">
      <c r="A23" s="373" t="s">
        <v>4216</v>
      </c>
      <c r="B23" s="388" t="str">
        <f>VLOOKUP(A23,R_DG!$A$1310:$G$1370,2,0)</f>
        <v>EC.22020</v>
      </c>
      <c r="C23" s="399" t="str">
        <f>VLOOKUP(A23,R_DG!$A$1310:$G$1370,3,0)</f>
        <v>Tiếp địa lặp lại trụ 7,5m</v>
      </c>
      <c r="D23" s="390" t="str">
        <f>VLOOKUP(A23,R_DG!$A$1310:$G$1370,4,0)</f>
        <v>vị trí</v>
      </c>
      <c r="E23" s="388">
        <f>SUMIF(KLVT!$A$5:$A$1429,RIGHT(A23,LEN(A23)-4),KLVT!$E$5:$E$1429)</f>
        <v>0</v>
      </c>
      <c r="F23" s="642">
        <f>VLOOKUP(A23,R_DG!$A$1310:$G$1370,5,0)</f>
        <v>0</v>
      </c>
      <c r="G23" s="642">
        <f>VLOOKUP(A23,R_DG!$A$1310:$G$1370,6,0)</f>
        <v>142942.9</v>
      </c>
      <c r="H23" s="642">
        <f>VLOOKUP(A23,R_DG!$A$1310:$G$1370,7,0)</f>
        <v>4037.4265454545462</v>
      </c>
      <c r="I23" s="639">
        <f>E23*F23</f>
        <v>0</v>
      </c>
      <c r="J23" s="639">
        <f>E23*G23</f>
        <v>0</v>
      </c>
      <c r="K23" s="639">
        <f>E23*H23</f>
        <v>0</v>
      </c>
      <c r="L23" s="371">
        <f t="shared" si="3"/>
        <v>0</v>
      </c>
    </row>
    <row r="24" spans="1:12" ht="25.35" customHeight="1">
      <c r="A24" s="373" t="s">
        <v>4218</v>
      </c>
      <c r="B24" s="388" t="str">
        <f>VLOOKUP(A24,R_DG!$A$1310:$G$1370,2,0)</f>
        <v>EC.22020</v>
      </c>
      <c r="C24" s="399" t="str">
        <f>VLOOKUP(A24,R_DG!$A$1310:$G$1370,3,0)</f>
        <v>Tiếp địa lặp lại trụ 8,5m</v>
      </c>
      <c r="D24" s="390" t="str">
        <f>VLOOKUP(A24,R_DG!$A$1310:$G$1370,4,0)</f>
        <v>vị trí</v>
      </c>
      <c r="E24" s="388">
        <f>SUMIF(KLVT!$A$5:$A$1429,RIGHT(A24,LEN(A24)-4),KLVT!$E$5:$E$1429)</f>
        <v>0</v>
      </c>
      <c r="F24" s="642">
        <f>VLOOKUP(A24,R_DG!$A$1310:$G$1370,5,0)</f>
        <v>0</v>
      </c>
      <c r="G24" s="642">
        <f>VLOOKUP(A24,R_DG!$A$1310:$G$1370,6,0)</f>
        <v>142942.9</v>
      </c>
      <c r="H24" s="642">
        <f>VLOOKUP(A24,R_DG!$A$1310:$G$1370,7,0)</f>
        <v>4037.4265454545462</v>
      </c>
      <c r="I24" s="639">
        <f>E24*F24</f>
        <v>0</v>
      </c>
      <c r="J24" s="639">
        <f>E24*G24</f>
        <v>0</v>
      </c>
      <c r="K24" s="639">
        <f>E24*H24</f>
        <v>0</v>
      </c>
      <c r="L24" s="371">
        <f t="shared" si="3"/>
        <v>0</v>
      </c>
    </row>
    <row r="25" spans="1:12" ht="25.35" customHeight="1">
      <c r="A25" s="373" t="s">
        <v>4219</v>
      </c>
      <c r="B25" s="388" t="str">
        <f>VLOOKUP(A25,R_DG!$A$1310:$G$1370,2,0)</f>
        <v>EC.22020</v>
      </c>
      <c r="C25" s="399" t="str">
        <f>VLOOKUP(A25,R_DG!$A$1310:$G$1370,3,0)</f>
        <v>Tiếp địa lặp lại trụ 8,5m cáp ABC</v>
      </c>
      <c r="D25" s="390" t="str">
        <f>VLOOKUP(A25,R_DG!$A$1310:$G$1370,4,0)</f>
        <v>vị trí</v>
      </c>
      <c r="E25" s="388">
        <f>SUMIF(KLVT!$A$5:$A$1429,RIGHT(A25,LEN(A25)-4),KLVT!$E$5:$E$1429)</f>
        <v>0</v>
      </c>
      <c r="F25" s="642">
        <f>VLOOKUP(A25,R_DG!$A$1310:$G$1370,5,0)</f>
        <v>0</v>
      </c>
      <c r="G25" s="642">
        <f>VLOOKUP(A25,R_DG!$A$1310:$G$1370,6,0)</f>
        <v>142942.9</v>
      </c>
      <c r="H25" s="642">
        <f>VLOOKUP(A25,R_DG!$A$1310:$G$1370,7,0)</f>
        <v>4037.4265454545462</v>
      </c>
      <c r="I25" s="639">
        <f>E25*F25</f>
        <v>0</v>
      </c>
      <c r="J25" s="639">
        <f>E25*G25</f>
        <v>0</v>
      </c>
      <c r="K25" s="639">
        <f>E25*H25</f>
        <v>0</v>
      </c>
      <c r="L25" s="371">
        <f t="shared" si="3"/>
        <v>0</v>
      </c>
    </row>
    <row r="26" spans="1:12" ht="25.35" customHeight="1">
      <c r="A26" s="373" t="s">
        <v>4220</v>
      </c>
      <c r="B26" s="388" t="str">
        <f>VLOOKUP(A26,R_DG!$A$1310:$G$1370,2,0)</f>
        <v>EC.22020</v>
      </c>
      <c r="C26" s="399" t="str">
        <f>VLOOKUP(A26,R_DG!$A$1310:$G$1370,3,0)</f>
        <v>Tiếp địa lặp lại trụ 12m</v>
      </c>
      <c r="D26" s="390" t="str">
        <f>VLOOKUP(A26,R_DG!$A$1310:$G$1370,4,0)</f>
        <v>vị trí</v>
      </c>
      <c r="E26" s="388">
        <f>SUMIF(KLVT!$A$5:$A$1429,RIGHT(A26,LEN(A26)-4),KLVT!$E$5:$E$1429)</f>
        <v>0</v>
      </c>
      <c r="F26" s="642">
        <f>VLOOKUP(A26,R_DG!$A$1310:$G$1370,5,0)</f>
        <v>0</v>
      </c>
      <c r="G26" s="642">
        <f>VLOOKUP(A26,R_DG!$A$1310:$G$1370,6,0)</f>
        <v>142942.9</v>
      </c>
      <c r="H26" s="642">
        <f>VLOOKUP(A26,R_DG!$A$1310:$G$1370,7,0)</f>
        <v>4037.4265454545462</v>
      </c>
      <c r="I26" s="639">
        <f>E26*F26</f>
        <v>0</v>
      </c>
      <c r="J26" s="639">
        <f>E26*G26</f>
        <v>0</v>
      </c>
      <c r="K26" s="639">
        <f>E26*H26</f>
        <v>0</v>
      </c>
      <c r="L26" s="371">
        <f t="shared" si="3"/>
        <v>0</v>
      </c>
    </row>
    <row r="27" spans="1:12" ht="25.35" customHeight="1">
      <c r="A27" s="373"/>
      <c r="B27" s="396" t="s">
        <v>2696</v>
      </c>
      <c r="C27" s="817" t="s">
        <v>2602</v>
      </c>
      <c r="D27" s="507"/>
      <c r="E27" s="640"/>
      <c r="F27" s="396"/>
      <c r="G27" s="396"/>
      <c r="H27" s="396"/>
      <c r="I27" s="641">
        <f ca="1">SUM(I6:I26)</f>
        <v>0</v>
      </c>
      <c r="J27" s="641">
        <f ca="1">SUM(J6:J26)</f>
        <v>0</v>
      </c>
      <c r="K27" s="641">
        <f ca="1">SUM(K6:K26)</f>
        <v>0</v>
      </c>
      <c r="L27" s="371">
        <f t="shared" ca="1" si="3"/>
        <v>0</v>
      </c>
    </row>
    <row r="28" spans="1:12" ht="25.35" customHeight="1">
      <c r="A28" s="373"/>
      <c r="B28" s="412" t="s">
        <v>2702</v>
      </c>
      <c r="C28" s="394"/>
      <c r="D28" s="394"/>
      <c r="E28" s="636"/>
      <c r="F28" s="637"/>
      <c r="G28" s="637"/>
      <c r="H28" s="637"/>
      <c r="I28" s="637"/>
      <c r="J28" s="637"/>
      <c r="K28" s="638"/>
      <c r="L28" s="371">
        <f t="shared" si="3"/>
        <v>0</v>
      </c>
    </row>
    <row r="29" spans="1:12" ht="25.35" customHeight="1">
      <c r="A29" s="373" t="s">
        <v>4221</v>
      </c>
      <c r="B29" s="388" t="str">
        <f>VLOOKUP(A29,R_DG!$A$1310:$G$1370,2,0)</f>
        <v>RC.21040</v>
      </c>
      <c r="C29" s="399" t="str">
        <f>VLOOKUP(A29,R_DG!$A$1310:$G$1370,3,0)</f>
        <v>Tiếp địa TBA 1 pha</v>
      </c>
      <c r="D29" s="390" t="str">
        <f>VLOOKUP(A29,R_DG!$A$1310:$G$1370,4,0)</f>
        <v>vị trí</v>
      </c>
      <c r="E29" s="388">
        <f>SUMIF(KLVT!$A$5:$A$1429,RIGHT(A29,LEN(A29)-5),KLVT!$F$5:$F$1429)</f>
        <v>0</v>
      </c>
      <c r="F29" s="642">
        <f>VLOOKUP(A29,R_DG!$A$1310:$G$1370,5,0)</f>
        <v>0</v>
      </c>
      <c r="G29" s="642">
        <f>VLOOKUP(A29,R_DG!$A$1310:$G$1370,6,0)</f>
        <v>1134065.6000000001</v>
      </c>
      <c r="H29" s="642">
        <f>VLOOKUP(A29,R_DG!$A$1310:$G$1370,7,0)</f>
        <v>28371.105454545461</v>
      </c>
      <c r="I29" s="639">
        <f>E29*F29</f>
        <v>0</v>
      </c>
      <c r="J29" s="639">
        <f>E29*G29</f>
        <v>0</v>
      </c>
      <c r="K29" s="639">
        <f>E29*H29</f>
        <v>0</v>
      </c>
      <c r="L29" s="371">
        <f t="shared" si="3"/>
        <v>0</v>
      </c>
    </row>
    <row r="30" spans="1:12" ht="25.35" customHeight="1">
      <c r="A30" s="373" t="s">
        <v>4223</v>
      </c>
      <c r="B30" s="388" t="str">
        <f>VLOOKUP(A30,R_DG!$A$1310:$G$1370,2,0)</f>
        <v>RC.21040</v>
      </c>
      <c r="C30" s="399" t="str">
        <f>VLOOKUP(A30,R_DG!$A$1310:$G$1370,3,0)</f>
        <v>Tiếp địa TBA 3 pha</v>
      </c>
      <c r="D30" s="390" t="str">
        <f>VLOOKUP(A30,R_DG!$A$1310:$G$1370,4,0)</f>
        <v>vị trí</v>
      </c>
      <c r="E30" s="388">
        <f>SUMIF(KLVT!$A$5:$A$1429,RIGHT(A30,LEN(A30)-5),KLVT!$F$5:$F$1429)</f>
        <v>0</v>
      </c>
      <c r="F30" s="642">
        <f>VLOOKUP(A30,R_DG!$A$1310:$G$1370,5,0)</f>
        <v>0</v>
      </c>
      <c r="G30" s="642">
        <f>VLOOKUP(A30,R_DG!$A$1310:$G$1370,6,0)</f>
        <v>1134065.6000000001</v>
      </c>
      <c r="H30" s="642">
        <f>VLOOKUP(A30,R_DG!$A$1310:$G$1370,7,0)</f>
        <v>28371.105454545461</v>
      </c>
      <c r="I30" s="639">
        <f>E30*F30</f>
        <v>0</v>
      </c>
      <c r="J30" s="639">
        <f>E30*G30</f>
        <v>0</v>
      </c>
      <c r="K30" s="639">
        <f>E30*H30</f>
        <v>0</v>
      </c>
      <c r="L30" s="371">
        <f t="shared" si="3"/>
        <v>0</v>
      </c>
    </row>
    <row r="31" spans="1:12" ht="25.35" customHeight="1">
      <c r="A31" s="373" t="s">
        <v>4224</v>
      </c>
      <c r="B31" s="388" t="str">
        <f>VLOOKUP(A31,R_DG!$A$1310:$G$1370,2,0)</f>
        <v>EA.22110</v>
      </c>
      <c r="C31" s="399" t="str">
        <f>VLOOKUP(A31,R_DG!$A$1310:$G$1370,3,0)</f>
        <v>Máy biến áp 22/0,4kV- 1000kVA</v>
      </c>
      <c r="D31" s="390" t="str">
        <f>VLOOKUP(A31,R_DG!$A$1310:$G$1370,4,0)</f>
        <v>máy</v>
      </c>
      <c r="E31" s="388">
        <f ca="1">SUMIF(KLVT!$A$5:$A$1429,RIGHT(A31,LEN(A31)-5),KLVT!$F$5:$F$1429)</f>
        <v>0</v>
      </c>
      <c r="F31" s="642">
        <f>VLOOKUP(A31,R_DG!$A$1310:$G$1370,5,0)</f>
        <v>0</v>
      </c>
      <c r="G31" s="642">
        <f>VLOOKUP(A31,R_DG!$A$1310:$G$1370,6,0)</f>
        <v>2124251.44</v>
      </c>
      <c r="H31" s="642">
        <f>VLOOKUP(A31,R_DG!$A$1310:$G$1370,7,0)</f>
        <v>360324.22036363633</v>
      </c>
      <c r="I31" s="639">
        <f t="shared" ref="I31:I56" ca="1" si="4">E31*F31</f>
        <v>0</v>
      </c>
      <c r="J31" s="639">
        <f t="shared" ref="J31:J56" ca="1" si="5">E31*G31</f>
        <v>0</v>
      </c>
      <c r="K31" s="639">
        <f t="shared" ref="K31:K56" ca="1" si="6">E31*H31</f>
        <v>0</v>
      </c>
      <c r="L31" s="371">
        <f t="shared" ca="1" si="3"/>
        <v>0</v>
      </c>
    </row>
    <row r="32" spans="1:12" ht="25.35" customHeight="1">
      <c r="A32" s="373" t="s">
        <v>4226</v>
      </c>
      <c r="B32" s="388" t="str">
        <f>VLOOKUP(A32,R_DG!$A$1310:$G$1370,2,0)</f>
        <v>EA.22110</v>
      </c>
      <c r="C32" s="399" t="str">
        <f>VLOOKUP(A32,R_DG!$A$1310:$G$1370,3,0)</f>
        <v>Máy biến áp 22/0,4kV- 750kVA</v>
      </c>
      <c r="D32" s="390" t="str">
        <f>VLOOKUP(A32,R_DG!$A$1310:$G$1370,4,0)</f>
        <v>máy</v>
      </c>
      <c r="E32" s="388">
        <f ca="1">SUMIF(KLVT!$A$5:$A$1429,RIGHT(A32,LEN(A32)-5),KLVT!$F$5:$F$1429)</f>
        <v>0</v>
      </c>
      <c r="F32" s="642">
        <f>VLOOKUP(A32,R_DG!$A$1310:$G$1370,5,0)</f>
        <v>0</v>
      </c>
      <c r="G32" s="642">
        <f>VLOOKUP(A32,R_DG!$A$1310:$G$1370,6,0)</f>
        <v>2124251.44</v>
      </c>
      <c r="H32" s="642">
        <f>VLOOKUP(A32,R_DG!$A$1310:$G$1370,7,0)</f>
        <v>360324.22036363633</v>
      </c>
      <c r="I32" s="639">
        <f t="shared" ca="1" si="4"/>
        <v>0</v>
      </c>
      <c r="J32" s="639">
        <f t="shared" ca="1" si="5"/>
        <v>0</v>
      </c>
      <c r="K32" s="639">
        <f t="shared" ca="1" si="6"/>
        <v>0</v>
      </c>
      <c r="L32" s="371">
        <f t="shared" ca="1" si="3"/>
        <v>0</v>
      </c>
    </row>
    <row r="33" spans="1:12" ht="25.35" customHeight="1">
      <c r="A33" s="373" t="s">
        <v>4227</v>
      </c>
      <c r="B33" s="388" t="str">
        <f>VLOOKUP(A33,R_DG!$A$1310:$G$1370,2,0)</f>
        <v>EA.22110</v>
      </c>
      <c r="C33" s="399" t="str">
        <f>VLOOKUP(A33,R_DG!$A$1310:$G$1370,3,0)</f>
        <v>Máy biến áp 22/0,4kV- 630kVA</v>
      </c>
      <c r="D33" s="390" t="str">
        <f>VLOOKUP(A33,R_DG!$A$1310:$G$1370,4,0)</f>
        <v>máy</v>
      </c>
      <c r="E33" s="388">
        <f ca="1">SUMIF(KLVT!$A$5:$A$1429,RIGHT(A33,LEN(A33)-5),KLVT!$F$5:$F$1429)</f>
        <v>0</v>
      </c>
      <c r="F33" s="642">
        <f>VLOOKUP(A33,R_DG!$A$1310:$G$1370,5,0)</f>
        <v>0</v>
      </c>
      <c r="G33" s="642">
        <f>VLOOKUP(A33,R_DG!$A$1310:$G$1370,6,0)</f>
        <v>2124251.44</v>
      </c>
      <c r="H33" s="642">
        <f>VLOOKUP(A33,R_DG!$A$1310:$G$1370,7,0)</f>
        <v>360324.22036363633</v>
      </c>
      <c r="I33" s="639">
        <f t="shared" ca="1" si="4"/>
        <v>0</v>
      </c>
      <c r="J33" s="639">
        <f t="shared" ca="1" si="5"/>
        <v>0</v>
      </c>
      <c r="K33" s="639">
        <f t="shared" ca="1" si="6"/>
        <v>0</v>
      </c>
      <c r="L33" s="371">
        <f t="shared" ca="1" si="3"/>
        <v>0</v>
      </c>
    </row>
    <row r="34" spans="1:12" ht="25.35" customHeight="1">
      <c r="A34" s="373" t="s">
        <v>4228</v>
      </c>
      <c r="B34" s="388" t="str">
        <f>VLOOKUP(A34,R_DG!$A$1310:$G$1370,2,0)</f>
        <v>EA.22110</v>
      </c>
      <c r="C34" s="399" t="str">
        <f>VLOOKUP(A34,R_DG!$A$1310:$G$1370,3,0)</f>
        <v>Máy biến áp 22/0,4kV- 560kVA</v>
      </c>
      <c r="D34" s="390" t="str">
        <f>VLOOKUP(A34,R_DG!$A$1310:$G$1370,4,0)</f>
        <v>máy</v>
      </c>
      <c r="E34" s="388">
        <f ca="1">SUMIF(KLVT!$A$5:$A$1429,RIGHT(A34,LEN(A34)-5),KLVT!$F$5:$F$1429)</f>
        <v>0</v>
      </c>
      <c r="F34" s="642">
        <f>VLOOKUP(A34,R_DG!$A$1310:$G$1370,5,0)</f>
        <v>0</v>
      </c>
      <c r="G34" s="642">
        <f>VLOOKUP(A34,R_DG!$A$1310:$G$1370,6,0)</f>
        <v>2124251.44</v>
      </c>
      <c r="H34" s="642">
        <f>VLOOKUP(A34,R_DG!$A$1310:$G$1370,7,0)</f>
        <v>360324.22036363633</v>
      </c>
      <c r="I34" s="639">
        <f t="shared" ca="1" si="4"/>
        <v>0</v>
      </c>
      <c r="J34" s="639">
        <f t="shared" ca="1" si="5"/>
        <v>0</v>
      </c>
      <c r="K34" s="639">
        <f t="shared" ca="1" si="6"/>
        <v>0</v>
      </c>
      <c r="L34" s="371">
        <f t="shared" ca="1" si="3"/>
        <v>0</v>
      </c>
    </row>
    <row r="35" spans="1:12" ht="25.35" customHeight="1">
      <c r="A35" s="373" t="s">
        <v>4229</v>
      </c>
      <c r="B35" s="388" t="str">
        <f>VLOOKUP(A35,R_DG!$A$1310:$G$1370,2,0)</f>
        <v>EA.22110</v>
      </c>
      <c r="C35" s="399" t="str">
        <f>VLOOKUP(A35,R_DG!$A$1310:$G$1370,3,0)</f>
        <v>Máy biến áp 22/0,4kV- 400kVA</v>
      </c>
      <c r="D35" s="390" t="str">
        <f>VLOOKUP(A35,R_DG!$A$1310:$G$1370,4,0)</f>
        <v>máy</v>
      </c>
      <c r="E35" s="388">
        <f ca="1">SUMIF(KLVT!$A$5:$A$1429,RIGHT(A35,LEN(A35)-5),KLVT!$F$5:$F$1429)</f>
        <v>0</v>
      </c>
      <c r="F35" s="642">
        <f>VLOOKUP(A35,R_DG!$A$1310:$G$1370,5,0)</f>
        <v>0</v>
      </c>
      <c r="G35" s="642">
        <f>VLOOKUP(A35,R_DG!$A$1310:$G$1370,6,0)</f>
        <v>2124251.44</v>
      </c>
      <c r="H35" s="642">
        <f>VLOOKUP(A35,R_DG!$A$1310:$G$1370,7,0)</f>
        <v>360324.22036363633</v>
      </c>
      <c r="I35" s="639">
        <f t="shared" ca="1" si="4"/>
        <v>0</v>
      </c>
      <c r="J35" s="639">
        <f t="shared" ca="1" si="5"/>
        <v>0</v>
      </c>
      <c r="K35" s="639">
        <f t="shared" ca="1" si="6"/>
        <v>0</v>
      </c>
      <c r="L35" s="371">
        <f t="shared" ca="1" si="3"/>
        <v>0</v>
      </c>
    </row>
    <row r="36" spans="1:12" ht="25.35" customHeight="1">
      <c r="A36" s="373" t="s">
        <v>4230</v>
      </c>
      <c r="B36" s="388" t="str">
        <f>VLOOKUP(A36,R_DG!$A$1310:$G$1370,2,0)</f>
        <v>EA.22110</v>
      </c>
      <c r="C36" s="399" t="str">
        <f>VLOOKUP(A36,R_DG!$A$1310:$G$1370,3,0)</f>
        <v>Máy biến áp 22/0,4kV- 320kVA</v>
      </c>
      <c r="D36" s="390" t="str">
        <f>VLOOKUP(A36,R_DG!$A$1310:$G$1370,4,0)</f>
        <v>máy</v>
      </c>
      <c r="E36" s="388">
        <f ca="1">SUMIF(KLVT!$A$5:$A$1429,RIGHT(A36,LEN(A36)-5),KLVT!$F$5:$F$1429)</f>
        <v>0</v>
      </c>
      <c r="F36" s="642">
        <f>VLOOKUP(A36,R_DG!$A$1310:$G$1370,5,0)</f>
        <v>0</v>
      </c>
      <c r="G36" s="642">
        <f>VLOOKUP(A36,R_DG!$A$1310:$G$1370,6,0)</f>
        <v>2124251.44</v>
      </c>
      <c r="H36" s="642">
        <f>VLOOKUP(A36,R_DG!$A$1310:$G$1370,7,0)</f>
        <v>360324.22036363633</v>
      </c>
      <c r="I36" s="639">
        <f t="shared" ca="1" si="4"/>
        <v>0</v>
      </c>
      <c r="J36" s="639">
        <f t="shared" ca="1" si="5"/>
        <v>0</v>
      </c>
      <c r="K36" s="639">
        <f t="shared" ca="1" si="6"/>
        <v>0</v>
      </c>
      <c r="L36" s="371">
        <f t="shared" ca="1" si="3"/>
        <v>0</v>
      </c>
    </row>
    <row r="37" spans="1:12" ht="25.35" customHeight="1">
      <c r="A37" s="373" t="s">
        <v>4231</v>
      </c>
      <c r="B37" s="388" t="str">
        <f>VLOOKUP(A37,R_DG!$A$1310:$G$1370,2,0)</f>
        <v>EA.22110</v>
      </c>
      <c r="C37" s="399" t="str">
        <f>VLOOKUP(A37,R_DG!$A$1310:$G$1370,3,0)</f>
        <v>Máy biến áp 22/0,4kV- 250kVA</v>
      </c>
      <c r="D37" s="390" t="str">
        <f>VLOOKUP(A37,R_DG!$A$1310:$G$1370,4,0)</f>
        <v>máy</v>
      </c>
      <c r="E37" s="388">
        <f ca="1">SUMIF(KLVT!$A$5:$A$1429,RIGHT(A37,LEN(A37)-5),KLVT!$F$5:$F$1429)</f>
        <v>0</v>
      </c>
      <c r="F37" s="642">
        <f>VLOOKUP(A37,R_DG!$A$1310:$G$1370,5,0)</f>
        <v>0</v>
      </c>
      <c r="G37" s="642">
        <f>VLOOKUP(A37,R_DG!$A$1310:$G$1370,6,0)</f>
        <v>2124251.44</v>
      </c>
      <c r="H37" s="642">
        <f>VLOOKUP(A37,R_DG!$A$1310:$G$1370,7,0)</f>
        <v>360324.22036363633</v>
      </c>
      <c r="I37" s="639">
        <f t="shared" ca="1" si="4"/>
        <v>0</v>
      </c>
      <c r="J37" s="639">
        <f t="shared" ca="1" si="5"/>
        <v>0</v>
      </c>
      <c r="K37" s="639">
        <f t="shared" ca="1" si="6"/>
        <v>0</v>
      </c>
      <c r="L37" s="371">
        <f t="shared" ca="1" si="3"/>
        <v>0</v>
      </c>
    </row>
    <row r="38" spans="1:12" ht="25.35" customHeight="1">
      <c r="A38" s="373" t="s">
        <v>4232</v>
      </c>
      <c r="B38" s="388" t="str">
        <f>VLOOKUP(A38,R_DG!$A$1310:$G$1370,2,0)</f>
        <v>EA.22110</v>
      </c>
      <c r="C38" s="399" t="str">
        <f>VLOOKUP(A38,R_DG!$A$1310:$G$1370,3,0)</f>
        <v>Máy biến áp 22/0,4kV  160kVA</v>
      </c>
      <c r="D38" s="390" t="str">
        <f>VLOOKUP(A38,R_DG!$A$1310:$G$1370,4,0)</f>
        <v>máy</v>
      </c>
      <c r="E38" s="388">
        <f ca="1">SUMIF(KLVT!$A$5:$A$1429,RIGHT(A38,LEN(A38)-5),KLVT!$F$5:$F$1429)</f>
        <v>0</v>
      </c>
      <c r="F38" s="642">
        <f>VLOOKUP(A38,R_DG!$A$1310:$G$1370,5,0)</f>
        <v>0</v>
      </c>
      <c r="G38" s="642">
        <f>VLOOKUP(A38,R_DG!$A$1310:$G$1370,6,0)</f>
        <v>2124251.44</v>
      </c>
      <c r="H38" s="642">
        <f>VLOOKUP(A38,R_DG!$A$1310:$G$1370,7,0)</f>
        <v>360324.22036363633</v>
      </c>
      <c r="I38" s="639">
        <f t="shared" ca="1" si="4"/>
        <v>0</v>
      </c>
      <c r="J38" s="639">
        <f t="shared" ca="1" si="5"/>
        <v>0</v>
      </c>
      <c r="K38" s="639">
        <f t="shared" ca="1" si="6"/>
        <v>0</v>
      </c>
      <c r="L38" s="371">
        <f t="shared" ca="1" si="3"/>
        <v>0</v>
      </c>
    </row>
    <row r="39" spans="1:12" ht="25.35" customHeight="1">
      <c r="A39" s="373" t="s">
        <v>4233</v>
      </c>
      <c r="B39" s="388" t="str">
        <f>VLOOKUP(A39,R_DG!$A$1310:$G$1370,2,0)</f>
        <v>EA.22130</v>
      </c>
      <c r="C39" s="399" t="str">
        <f>VLOOKUP(A39,R_DG!$A$1310:$G$1370,3,0)</f>
        <v>Máy biến áp 12,7/0,22-0,44kV  50kVA</v>
      </c>
      <c r="D39" s="390" t="str">
        <f>VLOOKUP(A39,R_DG!$A$1310:$G$1370,4,0)</f>
        <v>máy</v>
      </c>
      <c r="E39" s="388">
        <f ca="1">SUMIF(KLVT!$A$5:$A$1429,RIGHT(A39,LEN(A39)-5),KLVT!$F$5:$F$1429)</f>
        <v>0</v>
      </c>
      <c r="F39" s="642">
        <f>VLOOKUP(A39,R_DG!$A$1310:$G$1370,5,0)</f>
        <v>0</v>
      </c>
      <c r="G39" s="642">
        <f>VLOOKUP(A39,R_DG!$A$1310:$G$1370,6,0)</f>
        <v>1282235.68</v>
      </c>
      <c r="H39" s="642">
        <f>VLOOKUP(A39,R_DG!$A$1310:$G$1370,7,0)</f>
        <v>266420.15181818185</v>
      </c>
      <c r="I39" s="639">
        <f t="shared" ca="1" si="4"/>
        <v>0</v>
      </c>
      <c r="J39" s="639">
        <f t="shared" ca="1" si="5"/>
        <v>0</v>
      </c>
      <c r="K39" s="639">
        <f t="shared" ca="1" si="6"/>
        <v>0</v>
      </c>
      <c r="L39" s="371">
        <f t="shared" ca="1" si="3"/>
        <v>0</v>
      </c>
    </row>
    <row r="40" spans="1:12" ht="25.35" customHeight="1">
      <c r="A40" s="373" t="s">
        <v>4235</v>
      </c>
      <c r="B40" s="388" t="str">
        <f>VLOOKUP(A40,R_DG!$A$1310:$G$1370,2,0)</f>
        <v>EA.22130</v>
      </c>
      <c r="C40" s="399" t="str">
        <f>VLOOKUP(A40,R_DG!$A$1310:$G$1370,3,0)</f>
        <v>Máy biến áp 12,7/0,22-0,44kV  75kVA</v>
      </c>
      <c r="D40" s="390" t="str">
        <f>VLOOKUP(A40,R_DG!$A$1310:$G$1370,4,0)</f>
        <v>máy</v>
      </c>
      <c r="E40" s="388">
        <f ca="1">SUMIF(KLVT!$A$5:$A$1429,RIGHT(A40,LEN(A40)-5),KLVT!$F$5:$F$1429)</f>
        <v>0</v>
      </c>
      <c r="F40" s="642">
        <f>VLOOKUP(A40,R_DG!$A$1310:$G$1370,5,0)</f>
        <v>0</v>
      </c>
      <c r="G40" s="642">
        <f>VLOOKUP(A40,R_DG!$A$1310:$G$1370,6,0)</f>
        <v>1282235.68</v>
      </c>
      <c r="H40" s="642">
        <f>VLOOKUP(A40,R_DG!$A$1310:$G$1370,7,0)</f>
        <v>266420.15181818185</v>
      </c>
      <c r="I40" s="639">
        <f t="shared" ca="1" si="4"/>
        <v>0</v>
      </c>
      <c r="J40" s="639">
        <f t="shared" ca="1" si="5"/>
        <v>0</v>
      </c>
      <c r="K40" s="639">
        <f t="shared" ca="1" si="6"/>
        <v>0</v>
      </c>
      <c r="L40" s="371">
        <f t="shared" ca="1" si="3"/>
        <v>0</v>
      </c>
    </row>
    <row r="41" spans="1:12" ht="25.35" customHeight="1">
      <c r="A41" s="373" t="s">
        <v>4236</v>
      </c>
      <c r="B41" s="388" t="str">
        <f>VLOOKUP(A41,R_DG!$A$1310:$G$1370,2,0)</f>
        <v>EA.22130</v>
      </c>
      <c r="C41" s="399" t="str">
        <f>VLOOKUP(A41,R_DG!$A$1310:$G$1370,3,0)</f>
        <v>Máy biến áp 12,7/0,22-0,44kV  37,5kVA</v>
      </c>
      <c r="D41" s="390" t="str">
        <f>VLOOKUP(A41,R_DG!$A$1310:$G$1370,4,0)</f>
        <v>máy</v>
      </c>
      <c r="E41" s="388">
        <f ca="1">SUMIF(KLVT!$A$5:$A$1429,RIGHT(A41,LEN(A41)-5),KLVT!$F$5:$F$1429)</f>
        <v>0</v>
      </c>
      <c r="F41" s="642">
        <f>VLOOKUP(A41,R_DG!$A$1310:$G$1370,5,0)</f>
        <v>0</v>
      </c>
      <c r="G41" s="642">
        <f>VLOOKUP(A41,R_DG!$A$1310:$G$1370,6,0)</f>
        <v>1282235.68</v>
      </c>
      <c r="H41" s="642">
        <f>VLOOKUP(A41,R_DG!$A$1310:$G$1370,7,0)</f>
        <v>266420.15181818185</v>
      </c>
      <c r="I41" s="639">
        <f t="shared" ca="1" si="4"/>
        <v>0</v>
      </c>
      <c r="J41" s="639">
        <f t="shared" ca="1" si="5"/>
        <v>0</v>
      </c>
      <c r="K41" s="639">
        <f t="shared" ca="1" si="6"/>
        <v>0</v>
      </c>
      <c r="L41" s="371">
        <f t="shared" ca="1" si="3"/>
        <v>0</v>
      </c>
    </row>
    <row r="42" spans="1:12" ht="25.35" customHeight="1">
      <c r="A42" s="373" t="s">
        <v>4237</v>
      </c>
      <c r="B42" s="388" t="str">
        <f>VLOOKUP(A42,R_DG!$A$1310:$G$1370,2,0)</f>
        <v>EA.22130</v>
      </c>
      <c r="C42" s="399" t="str">
        <f>VLOOKUP(A42,R_DG!$A$1310:$G$1370,3,0)</f>
        <v>Máy biến áp 12,7/0,22-0,44kV  25kVA</v>
      </c>
      <c r="D42" s="390" t="str">
        <f>VLOOKUP(A42,R_DG!$A$1310:$G$1370,4,0)</f>
        <v>máy</v>
      </c>
      <c r="E42" s="388">
        <f ca="1">SUMIF(KLVT!$A$5:$A$1429,RIGHT(A42,LEN(A42)-5),KLVT!$F$5:$F$1429)</f>
        <v>0</v>
      </c>
      <c r="F42" s="642">
        <f>VLOOKUP(A42,R_DG!$A$1310:$G$1370,5,0)</f>
        <v>0</v>
      </c>
      <c r="G42" s="642">
        <f>VLOOKUP(A42,R_DG!$A$1310:$G$1370,6,0)</f>
        <v>1282235.68</v>
      </c>
      <c r="H42" s="642">
        <f>VLOOKUP(A42,R_DG!$A$1310:$G$1370,7,0)</f>
        <v>266420.15181818185</v>
      </c>
      <c r="I42" s="639">
        <f t="shared" ca="1" si="4"/>
        <v>0</v>
      </c>
      <c r="J42" s="639">
        <f t="shared" ca="1" si="5"/>
        <v>0</v>
      </c>
      <c r="K42" s="639">
        <f t="shared" ca="1" si="6"/>
        <v>0</v>
      </c>
      <c r="L42" s="371">
        <f t="shared" ca="1" si="3"/>
        <v>0</v>
      </c>
    </row>
    <row r="43" spans="1:12" ht="25.35" customHeight="1">
      <c r="A43" s="373" t="s">
        <v>4238</v>
      </c>
      <c r="B43" s="388" t="str">
        <f>VLOOKUP(A43,R_DG!$A$1310:$G$1370,2,0)</f>
        <v>EA.22130</v>
      </c>
      <c r="C43" s="399" t="str">
        <f>VLOOKUP(A43,R_DG!$A$1310:$G$1370,3,0)</f>
        <v>Máy biến áp 12,7/0,22-0,44kV  15kVA</v>
      </c>
      <c r="D43" s="390" t="str">
        <f>VLOOKUP(A43,R_DG!$A$1310:$G$1370,4,0)</f>
        <v>máy</v>
      </c>
      <c r="E43" s="388">
        <f ca="1">SUMIF(KLVT!$A$5:$A$1429,RIGHT(A43,LEN(A43)-5),KLVT!$F$5:$F$1429)</f>
        <v>0</v>
      </c>
      <c r="F43" s="642">
        <f>VLOOKUP(A43,R_DG!$A$1310:$G$1370,5,0)</f>
        <v>0</v>
      </c>
      <c r="G43" s="642">
        <f>VLOOKUP(A43,R_DG!$A$1310:$G$1370,6,0)</f>
        <v>1282235.68</v>
      </c>
      <c r="H43" s="642">
        <f>VLOOKUP(A43,R_DG!$A$1310:$G$1370,7,0)</f>
        <v>266420.15181818185</v>
      </c>
      <c r="I43" s="639">
        <f t="shared" ca="1" si="4"/>
        <v>0</v>
      </c>
      <c r="J43" s="639">
        <f t="shared" ca="1" si="5"/>
        <v>0</v>
      </c>
      <c r="K43" s="639">
        <f t="shared" ca="1" si="6"/>
        <v>0</v>
      </c>
      <c r="L43" s="371">
        <f t="shared" ca="1" si="3"/>
        <v>0</v>
      </c>
    </row>
    <row r="44" spans="1:12" ht="25.35" customHeight="1">
      <c r="A44" s="373" t="s">
        <v>4239</v>
      </c>
      <c r="B44" s="388" t="str">
        <f>VLOOKUP(A44,R_DG!$A$1310:$G$1370,2,0)</f>
        <v>EB.60030</v>
      </c>
      <c r="C44" s="399" t="str">
        <f>VLOOKUP(A44,R_DG!$A$1310:$G$1370,3,0)</f>
        <v>Cáp đồng bọc CV70</v>
      </c>
      <c r="D44" s="390" t="str">
        <f>VLOOKUP(A44,R_DG!$A$1310:$G$1370,4,0)</f>
        <v>mẫu</v>
      </c>
      <c r="E44" s="388">
        <f ca="1">IF(SUMIF(KLVT!$A$5:$A$1429,RIGHT(A44,LEN(A44)-5),KLVT!$F$5:$F$1429)&gt;1,1,0)</f>
        <v>0</v>
      </c>
      <c r="F44" s="642">
        <f>VLOOKUP(A44,R_DG!$A$1310:$G$1370,5,0)</f>
        <v>0</v>
      </c>
      <c r="G44" s="642">
        <f>VLOOKUP(A44,R_DG!$A$1310:$G$1370,6,0)</f>
        <v>26726.2</v>
      </c>
      <c r="H44" s="642">
        <f>VLOOKUP(A44,R_DG!$A$1310:$G$1370,7,0)</f>
        <v>2071.84</v>
      </c>
      <c r="I44" s="639">
        <f t="shared" ca="1" si="4"/>
        <v>0</v>
      </c>
      <c r="J44" s="639">
        <f t="shared" ca="1" si="5"/>
        <v>0</v>
      </c>
      <c r="K44" s="639">
        <f t="shared" ca="1" si="6"/>
        <v>0</v>
      </c>
      <c r="L44" s="371">
        <f t="shared" ca="1" si="3"/>
        <v>0</v>
      </c>
    </row>
    <row r="45" spans="1:12" ht="25.35" customHeight="1">
      <c r="A45" s="373" t="s">
        <v>4241</v>
      </c>
      <c r="B45" s="388" t="str">
        <f>VLOOKUP(A45,R_DG!$A$1310:$G$1370,2,0)</f>
        <v>EB.60030</v>
      </c>
      <c r="C45" s="399" t="str">
        <f>VLOOKUP(A45,R_DG!$A$1310:$G$1370,3,0)</f>
        <v>Cáp đồng bọc CV50</v>
      </c>
      <c r="D45" s="390" t="str">
        <f>VLOOKUP(A45,R_DG!$A$1310:$G$1370,4,0)</f>
        <v>mẫu</v>
      </c>
      <c r="E45" s="388">
        <f ca="1">IF(SUMIF(KLVT!$A$5:$A$1429,RIGHT(A45,LEN(A45)-5),KLVT!$F$5:$F$1429)&gt;1,1,0)</f>
        <v>0</v>
      </c>
      <c r="F45" s="642">
        <f>VLOOKUP(A45,R_DG!$A$1310:$G$1370,5,0)</f>
        <v>0</v>
      </c>
      <c r="G45" s="642">
        <f>VLOOKUP(A45,R_DG!$A$1310:$G$1370,6,0)</f>
        <v>26726.2</v>
      </c>
      <c r="H45" s="642">
        <f>VLOOKUP(A45,R_DG!$A$1310:$G$1370,7,0)</f>
        <v>2071.84</v>
      </c>
      <c r="I45" s="639">
        <f t="shared" ca="1" si="4"/>
        <v>0</v>
      </c>
      <c r="J45" s="639">
        <f t="shared" ca="1" si="5"/>
        <v>0</v>
      </c>
      <c r="K45" s="639">
        <f t="shared" ca="1" si="6"/>
        <v>0</v>
      </c>
      <c r="L45" s="371">
        <f t="shared" ca="1" si="3"/>
        <v>0</v>
      </c>
    </row>
    <row r="46" spans="1:12" ht="25.35" customHeight="1">
      <c r="A46" s="373" t="s">
        <v>4242</v>
      </c>
      <c r="B46" s="388" t="str">
        <f>VLOOKUP(A46,R_DG!$A$1310:$G$1370,2,0)</f>
        <v>EB.60030</v>
      </c>
      <c r="C46" s="399" t="str">
        <f>VLOOKUP(A46,R_DG!$A$1310:$G$1370,3,0)</f>
        <v>Cáp đồng bọc CV70</v>
      </c>
      <c r="D46" s="390" t="str">
        <f>VLOOKUP(A46,R_DG!$A$1310:$G$1370,4,0)</f>
        <v>mẫu</v>
      </c>
      <c r="E46" s="388">
        <f ca="1">IF(SUMIF(KLVT!$A$5:$A$1429,RIGHT(A46,LEN(A46)-5),KLVT!$F$5:$F$1429)&gt;1,1,0)</f>
        <v>0</v>
      </c>
      <c r="F46" s="642">
        <f>VLOOKUP(A46,R_DG!$A$1310:$G$1370,5,0)</f>
        <v>0</v>
      </c>
      <c r="G46" s="642">
        <f>VLOOKUP(A46,R_DG!$A$1310:$G$1370,6,0)</f>
        <v>26726.2</v>
      </c>
      <c r="H46" s="642">
        <f>VLOOKUP(A46,R_DG!$A$1310:$G$1370,7,0)</f>
        <v>2071.84</v>
      </c>
      <c r="I46" s="639">
        <f t="shared" ca="1" si="4"/>
        <v>0</v>
      </c>
      <c r="J46" s="639">
        <f t="shared" ca="1" si="5"/>
        <v>0</v>
      </c>
      <c r="K46" s="639">
        <f t="shared" ca="1" si="6"/>
        <v>0</v>
      </c>
      <c r="L46" s="371">
        <f t="shared" ca="1" si="3"/>
        <v>0</v>
      </c>
    </row>
    <row r="47" spans="1:12" ht="25.35" customHeight="1">
      <c r="A47" s="373" t="s">
        <v>4243</v>
      </c>
      <c r="B47" s="388" t="str">
        <f>VLOOKUP(A47,R_DG!$A$1310:$G$1370,2,0)</f>
        <v>EB.60030</v>
      </c>
      <c r="C47" s="399" t="str">
        <f>VLOOKUP(A47,R_DG!$A$1310:$G$1370,3,0)</f>
        <v>Cáp đồng bọc CV95</v>
      </c>
      <c r="D47" s="390" t="str">
        <f>VLOOKUP(A47,R_DG!$A$1310:$G$1370,4,0)</f>
        <v>mẫu</v>
      </c>
      <c r="E47" s="388">
        <f ca="1">IF(SUMIF(KLVT!$A$5:$A$1429,RIGHT(A47,LEN(A47)-5),KLVT!$F$5:$F$1429)&gt;1,1,0)</f>
        <v>0</v>
      </c>
      <c r="F47" s="642">
        <f>VLOOKUP(A47,R_DG!$A$1310:$G$1370,5,0)</f>
        <v>0</v>
      </c>
      <c r="G47" s="642">
        <f>VLOOKUP(A47,R_DG!$A$1310:$G$1370,6,0)</f>
        <v>26726.2</v>
      </c>
      <c r="H47" s="642">
        <f>VLOOKUP(A47,R_DG!$A$1310:$G$1370,7,0)</f>
        <v>2071.84</v>
      </c>
      <c r="I47" s="639">
        <f t="shared" ca="1" si="4"/>
        <v>0</v>
      </c>
      <c r="J47" s="639">
        <f t="shared" ca="1" si="5"/>
        <v>0</v>
      </c>
      <c r="K47" s="639">
        <f t="shared" ca="1" si="6"/>
        <v>0</v>
      </c>
      <c r="L47" s="371">
        <f t="shared" ca="1" si="3"/>
        <v>0</v>
      </c>
    </row>
    <row r="48" spans="1:12" ht="25.35" customHeight="1">
      <c r="A48" s="373" t="s">
        <v>4244</v>
      </c>
      <c r="B48" s="388" t="str">
        <f>VLOOKUP(A48,R_DG!$A$1310:$G$1370,2,0)</f>
        <v>EB.60030</v>
      </c>
      <c r="C48" s="399" t="str">
        <f>VLOOKUP(A48,R_DG!$A$1310:$G$1370,3,0)</f>
        <v>Cáp đồng bọc CV120</v>
      </c>
      <c r="D48" s="390" t="str">
        <f>VLOOKUP(A48,R_DG!$A$1310:$G$1370,4,0)</f>
        <v>mẫu</v>
      </c>
      <c r="E48" s="388">
        <f ca="1">IF(SUMIF(KLVT!$A$5:$A$1429,RIGHT(A48,LEN(A48)-5),KLVT!$F$5:$F$1429)&gt;1,1,0)</f>
        <v>0</v>
      </c>
      <c r="F48" s="642">
        <f>VLOOKUP(A48,R_DG!$A$1310:$G$1370,5,0)</f>
        <v>0</v>
      </c>
      <c r="G48" s="642">
        <f>VLOOKUP(A48,R_DG!$A$1310:$G$1370,6,0)</f>
        <v>26726.2</v>
      </c>
      <c r="H48" s="642">
        <f>VLOOKUP(A48,R_DG!$A$1310:$G$1370,7,0)</f>
        <v>2071.84</v>
      </c>
      <c r="I48" s="639">
        <f t="shared" ca="1" si="4"/>
        <v>0</v>
      </c>
      <c r="J48" s="639">
        <f t="shared" ca="1" si="5"/>
        <v>0</v>
      </c>
      <c r="K48" s="639">
        <f t="shared" ca="1" si="6"/>
        <v>0</v>
      </c>
      <c r="L48" s="371">
        <f t="shared" ca="1" si="3"/>
        <v>0</v>
      </c>
    </row>
    <row r="49" spans="1:12" ht="25.35" customHeight="1">
      <c r="A49" s="373" t="s">
        <v>4245</v>
      </c>
      <c r="B49" s="388" t="str">
        <f>VLOOKUP(A49,R_DG!$A$1310:$G$1370,2,0)</f>
        <v>EB.60030</v>
      </c>
      <c r="C49" s="399" t="str">
        <f>VLOOKUP(A49,R_DG!$A$1310:$G$1370,3,0)</f>
        <v>Cáp đồng bọc CV150</v>
      </c>
      <c r="D49" s="390" t="str">
        <f>VLOOKUP(A49,R_DG!$A$1310:$G$1370,4,0)</f>
        <v>mẫu</v>
      </c>
      <c r="E49" s="388">
        <f ca="1">IF(SUMIF(KLVT!$A$5:$A$1429,RIGHT(A49,LEN(A49)-5),KLVT!$F$5:$F$1429)&gt;1,1,0)</f>
        <v>0</v>
      </c>
      <c r="F49" s="642">
        <f>VLOOKUP(A49,R_DG!$A$1310:$G$1370,5,0)</f>
        <v>0</v>
      </c>
      <c r="G49" s="642">
        <f>VLOOKUP(A49,R_DG!$A$1310:$G$1370,6,0)</f>
        <v>26726.2</v>
      </c>
      <c r="H49" s="642">
        <f>VLOOKUP(A49,R_DG!$A$1310:$G$1370,7,0)</f>
        <v>2071.84</v>
      </c>
      <c r="I49" s="639">
        <f t="shared" ca="1" si="4"/>
        <v>0</v>
      </c>
      <c r="J49" s="639">
        <f t="shared" ca="1" si="5"/>
        <v>0</v>
      </c>
      <c r="K49" s="639">
        <f t="shared" ca="1" si="6"/>
        <v>0</v>
      </c>
      <c r="L49" s="371">
        <f t="shared" ca="1" si="3"/>
        <v>0</v>
      </c>
    </row>
    <row r="50" spans="1:12" ht="25.35" customHeight="1">
      <c r="A50" s="373" t="s">
        <v>4246</v>
      </c>
      <c r="B50" s="388" t="str">
        <f>VLOOKUP(A50,R_DG!$A$1310:$G$1370,2,0)</f>
        <v>EB.60030</v>
      </c>
      <c r="C50" s="399" t="str">
        <f>VLOOKUP(A50,R_DG!$A$1310:$G$1370,3,0)</f>
        <v>Cáp đồng bọc CV185</v>
      </c>
      <c r="D50" s="390" t="str">
        <f>VLOOKUP(A50,R_DG!$A$1310:$G$1370,4,0)</f>
        <v>mẫu</v>
      </c>
      <c r="E50" s="388">
        <f ca="1">IF(SUMIF(KLVT!$A$5:$A$1429,RIGHT(A50,LEN(A50)-5),KLVT!$F$5:$F$1429)&gt;1,1,0)</f>
        <v>0</v>
      </c>
      <c r="F50" s="642">
        <f>VLOOKUP(A50,R_DG!$A$1310:$G$1370,5,0)</f>
        <v>0</v>
      </c>
      <c r="G50" s="642">
        <f>VLOOKUP(A50,R_DG!$A$1310:$G$1370,6,0)</f>
        <v>26726.2</v>
      </c>
      <c r="H50" s="642">
        <f>VLOOKUP(A50,R_DG!$A$1310:$G$1370,7,0)</f>
        <v>2071.84</v>
      </c>
      <c r="I50" s="639">
        <f t="shared" ca="1" si="4"/>
        <v>0</v>
      </c>
      <c r="J50" s="639">
        <f t="shared" ca="1" si="5"/>
        <v>0</v>
      </c>
      <c r="K50" s="639">
        <f t="shared" ca="1" si="6"/>
        <v>0</v>
      </c>
      <c r="L50" s="371">
        <f t="shared" ca="1" si="3"/>
        <v>0</v>
      </c>
    </row>
    <row r="51" spans="1:12" ht="25.35" customHeight="1">
      <c r="A51" s="373" t="s">
        <v>4247</v>
      </c>
      <c r="B51" s="388" t="str">
        <f>VLOOKUP(A51,R_DG!$A$1310:$G$1370,2,0)</f>
        <v>EB.60030</v>
      </c>
      <c r="C51" s="399" t="str">
        <f>VLOOKUP(A51,R_DG!$A$1310:$G$1370,3,0)</f>
        <v>Cáp đồng bọc CV200</v>
      </c>
      <c r="D51" s="390" t="str">
        <f>VLOOKUP(A51,R_DG!$A$1310:$G$1370,4,0)</f>
        <v>mẫu</v>
      </c>
      <c r="E51" s="388">
        <f ca="1">IF(SUMIF(KLVT!$A$5:$A$1429,RIGHT(A51,LEN(A51)-5),KLVT!$F$5:$F$1429)&gt;1,1,0)</f>
        <v>0</v>
      </c>
      <c r="F51" s="642">
        <f>VLOOKUP(A51,R_DG!$A$1310:$G$1370,5,0)</f>
        <v>0</v>
      </c>
      <c r="G51" s="642">
        <f>VLOOKUP(A51,R_DG!$A$1310:$G$1370,6,0)</f>
        <v>26726.2</v>
      </c>
      <c r="H51" s="642">
        <f>VLOOKUP(A51,R_DG!$A$1310:$G$1370,7,0)</f>
        <v>2071.84</v>
      </c>
      <c r="I51" s="639">
        <f t="shared" ca="1" si="4"/>
        <v>0</v>
      </c>
      <c r="J51" s="639">
        <f t="shared" ca="1" si="5"/>
        <v>0</v>
      </c>
      <c r="K51" s="639">
        <f t="shared" ca="1" si="6"/>
        <v>0</v>
      </c>
      <c r="L51" s="371">
        <f t="shared" ca="1" si="3"/>
        <v>0</v>
      </c>
    </row>
    <row r="52" spans="1:12" ht="25.35" customHeight="1">
      <c r="A52" s="373" t="s">
        <v>4686</v>
      </c>
      <c r="B52" s="388" t="str">
        <f>VLOOKUP(A52,R_DG!$A$1310:$G$1370,2,0)</f>
        <v>EB.60030</v>
      </c>
      <c r="C52" s="399" t="str">
        <f>VLOOKUP(A52,R_DG!$A$1310:$G$1370,3,0)</f>
        <v>Cáp CXV25</v>
      </c>
      <c r="D52" s="390" t="str">
        <f>VLOOKUP(A52,R_DG!$A$1310:$G$1370,4,0)</f>
        <v>mẫu</v>
      </c>
      <c r="E52" s="388">
        <f ca="1">IF(SUMIF(KLVT!$A$5:$A$1429,RIGHT(A52,LEN(A52)-4),KLVT!$F$5:$F$1429)&gt;1,1,0)</f>
        <v>0</v>
      </c>
      <c r="F52" s="642">
        <f>VLOOKUP(A52,R_DG!$A$1310:$G$1370,5,0)</f>
        <v>0</v>
      </c>
      <c r="G52" s="642">
        <f>VLOOKUP(A52,R_DG!$A$1310:$G$1370,6,0)</f>
        <v>26726.2</v>
      </c>
      <c r="H52" s="642">
        <f>VLOOKUP(A52,R_DG!$A$1310:$G$1370,7,0)</f>
        <v>2071.84</v>
      </c>
      <c r="I52" s="639">
        <f t="shared" ca="1" si="4"/>
        <v>0</v>
      </c>
      <c r="J52" s="639">
        <f t="shared" ca="1" si="5"/>
        <v>0</v>
      </c>
      <c r="K52" s="639">
        <f t="shared" ca="1" si="6"/>
        <v>0</v>
      </c>
      <c r="L52" s="371">
        <f t="shared" ca="1" si="3"/>
        <v>0</v>
      </c>
    </row>
    <row r="53" spans="1:12" ht="25.35" customHeight="1">
      <c r="A53" s="373" t="s">
        <v>4249</v>
      </c>
      <c r="B53" s="388" t="str">
        <f>VLOOKUP(A53,R_DG!$A$1310:$G$1370,2,0)</f>
        <v>EB.22040</v>
      </c>
      <c r="C53" s="399" t="str">
        <f>VLOOKUP(A53,R_DG!$A$1310:$G$1370,3,0)</f>
        <v>FCO 24kV - 100A</v>
      </c>
      <c r="D53" s="390" t="str">
        <f>VLOOKUP(A53,R_DG!$A$1310:$G$1370,4,0)</f>
        <v>cái</v>
      </c>
      <c r="E53" s="388">
        <f ca="1">SUMIF(KLVT!$A$5:$A$1429,RIGHT(A53,LEN(A53)-5),KLVT!$F$5:$F$1429)</f>
        <v>0</v>
      </c>
      <c r="F53" s="642">
        <f>VLOOKUP(A53,R_DG!$A$1310:$G$1370,5,0)</f>
        <v>0</v>
      </c>
      <c r="G53" s="642">
        <f>VLOOKUP(A53,R_DG!$A$1310:$G$1370,6,0)</f>
        <v>60717.18233333333</v>
      </c>
      <c r="H53" s="642">
        <f>VLOOKUP(A53,R_DG!$A$1310:$G$1370,7,0)</f>
        <v>1540.9118606060606</v>
      </c>
      <c r="I53" s="639">
        <f t="shared" ca="1" si="4"/>
        <v>0</v>
      </c>
      <c r="J53" s="639">
        <f t="shared" ca="1" si="5"/>
        <v>0</v>
      </c>
      <c r="K53" s="639">
        <f t="shared" ca="1" si="6"/>
        <v>0</v>
      </c>
      <c r="L53" s="371">
        <f t="shared" ca="1" si="3"/>
        <v>0</v>
      </c>
    </row>
    <row r="54" spans="1:12" ht="25.35" customHeight="1">
      <c r="A54" s="373" t="s">
        <v>4250</v>
      </c>
      <c r="B54" s="388" t="str">
        <f>VLOOKUP(A54,R_DG!$A$1310:$G$1370,2,0)</f>
        <v>EC.11040</v>
      </c>
      <c r="C54" s="399" t="str">
        <f>VLOOKUP(A54,R_DG!$A$1310:$G$1370,3,0)</f>
        <v>LA 18kV 10kA</v>
      </c>
      <c r="D54" s="390" t="str">
        <f>VLOOKUP(A54,R_DG!$A$1310:$G$1370,4,0)</f>
        <v>cái</v>
      </c>
      <c r="E54" s="388">
        <f ca="1">SUMIF(KLVT!$A$5:$A$1429,RIGHT(A54,LEN(A54)-5),KLVT!$F$5:$F$1429)</f>
        <v>0</v>
      </c>
      <c r="F54" s="642">
        <f>VLOOKUP(A54,R_DG!$A$1310:$G$1370,5,0)</f>
        <v>0</v>
      </c>
      <c r="G54" s="642">
        <f>VLOOKUP(A54,R_DG!$A$1310:$G$1370,6,0)</f>
        <v>118809.81</v>
      </c>
      <c r="H54" s="642">
        <f>VLOOKUP(A54,R_DG!$A$1310:$G$1370,7,0)</f>
        <v>24706.128000000001</v>
      </c>
      <c r="I54" s="639">
        <f t="shared" ca="1" si="4"/>
        <v>0</v>
      </c>
      <c r="J54" s="639">
        <f t="shared" ca="1" si="5"/>
        <v>0</v>
      </c>
      <c r="K54" s="639">
        <f t="shared" ca="1" si="6"/>
        <v>0</v>
      </c>
      <c r="L54" s="371">
        <f t="shared" ca="1" si="3"/>
        <v>0</v>
      </c>
    </row>
    <row r="55" spans="1:12" ht="25.35" customHeight="1">
      <c r="A55" s="373" t="s">
        <v>4251</v>
      </c>
      <c r="B55" s="388" t="str">
        <f>VLOOKUP(A55,R_DG!$A$1310:$G$1370,2,0)</f>
        <v>EB.72020</v>
      </c>
      <c r="C55" s="399" t="str">
        <f>VLOOKUP(A55,R_DG!$A$1310:$G$1370,3,0)</f>
        <v>MCCB 3 cực 400V-75A - 10KA</v>
      </c>
      <c r="D55" s="390" t="str">
        <f>VLOOKUP(A55,R_DG!$A$1310:$G$1370,4,0)</f>
        <v>cái</v>
      </c>
      <c r="E55" s="388">
        <f ca="1">SUMIF(KLVT!$A$5:$A$1429,RIGHT(A55,LEN(A55)-5),KLVT!$F$5:$F$1429)</f>
        <v>0</v>
      </c>
      <c r="F55" s="642">
        <f>VLOOKUP(A55,R_DG!$A$1310:$G$1370,5,0)</f>
        <v>0</v>
      </c>
      <c r="G55" s="642">
        <f>VLOOKUP(A55,R_DG!$A$1310:$G$1370,6,0)</f>
        <v>160191.5</v>
      </c>
      <c r="H55" s="642">
        <f>VLOOKUP(A55,R_DG!$A$1310:$G$1370,7,0)</f>
        <v>25652.196727272727</v>
      </c>
      <c r="I55" s="639">
        <f t="shared" ca="1" si="4"/>
        <v>0</v>
      </c>
      <c r="J55" s="639">
        <f t="shared" ca="1" si="5"/>
        <v>0</v>
      </c>
      <c r="K55" s="639">
        <f t="shared" ca="1" si="6"/>
        <v>0</v>
      </c>
      <c r="L55" s="371">
        <f t="shared" ca="1" si="3"/>
        <v>0</v>
      </c>
    </row>
    <row r="56" spans="1:12" ht="25.35" customHeight="1">
      <c r="A56" s="373" t="s">
        <v>4253</v>
      </c>
      <c r="B56" s="388" t="str">
        <f>VLOOKUP(A56,R_DG!$A$1310:$G$1370,2,0)</f>
        <v>EB.72020</v>
      </c>
      <c r="C56" s="399" t="str">
        <f>VLOOKUP(A56,R_DG!$A$1310:$G$1370,3,0)</f>
        <v>MCCB 3 cực 400V-80A - 10KA</v>
      </c>
      <c r="D56" s="390" t="str">
        <f>VLOOKUP(A56,R_DG!$A$1310:$G$1370,4,0)</f>
        <v>cái</v>
      </c>
      <c r="E56" s="388">
        <f ca="1">SUMIF(KLVT!$A$5:$A$1429,RIGHT(A56,LEN(A56)-5),KLVT!$F$5:$F$1429)</f>
        <v>0</v>
      </c>
      <c r="F56" s="642">
        <f>VLOOKUP(A56,R_DG!$A$1310:$G$1370,5,0)</f>
        <v>0</v>
      </c>
      <c r="G56" s="642">
        <f>VLOOKUP(A56,R_DG!$A$1310:$G$1370,6,0)</f>
        <v>160191.5</v>
      </c>
      <c r="H56" s="642">
        <f>VLOOKUP(A56,R_DG!$A$1310:$G$1370,7,0)</f>
        <v>25652.196727272727</v>
      </c>
      <c r="I56" s="639">
        <f t="shared" ca="1" si="4"/>
        <v>0</v>
      </c>
      <c r="J56" s="639">
        <f t="shared" ca="1" si="5"/>
        <v>0</v>
      </c>
      <c r="K56" s="639">
        <f t="shared" ca="1" si="6"/>
        <v>0</v>
      </c>
      <c r="L56" s="371">
        <f t="shared" ca="1" si="3"/>
        <v>0</v>
      </c>
    </row>
    <row r="57" spans="1:12" ht="25.35" customHeight="1">
      <c r="A57" s="373" t="s">
        <v>4254</v>
      </c>
      <c r="B57" s="388" t="str">
        <f>VLOOKUP(A57,R_DG!$A$1310:$G$1370,2,0)</f>
        <v>EB.72010</v>
      </c>
      <c r="C57" s="399" t="str">
        <f>VLOOKUP(A57,R_DG!$A$1310:$G$1370,3,0)</f>
        <v>MCCB 3 cực 400V -125A - 30KA</v>
      </c>
      <c r="D57" s="390" t="str">
        <f>VLOOKUP(A57,R_DG!$A$1310:$G$1370,4,0)</f>
        <v>cái</v>
      </c>
      <c r="E57" s="388">
        <f ca="1">SUMIF(KLVT!$A$5:$A$1429,RIGHT(A57,LEN(A57)-5),KLVT!$F$5:$F$1429)</f>
        <v>0</v>
      </c>
      <c r="F57" s="642">
        <f>VLOOKUP(A57,R_DG!$A$1310:$G$1370,5,0)</f>
        <v>0</v>
      </c>
      <c r="G57" s="642">
        <f>VLOOKUP(A57,R_DG!$A$1310:$G$1370,6,0)</f>
        <v>160191.5</v>
      </c>
      <c r="H57" s="642">
        <f>VLOOKUP(A57,R_DG!$A$1310:$G$1370,7,0)</f>
        <v>25652.196727272727</v>
      </c>
      <c r="I57" s="639"/>
      <c r="J57" s="639"/>
      <c r="K57" s="639"/>
      <c r="L57" s="371">
        <f t="shared" si="3"/>
        <v>0</v>
      </c>
    </row>
    <row r="58" spans="1:12" ht="25.35" customHeight="1">
      <c r="A58" s="373" t="s">
        <v>4256</v>
      </c>
      <c r="B58" s="388" t="str">
        <f>VLOOKUP(A58,R_DG!$A$1310:$G$1370,2,0)</f>
        <v>EB.72010</v>
      </c>
      <c r="C58" s="399" t="str">
        <f>VLOOKUP(A58,R_DG!$A$1310:$G$1370,3,0)</f>
        <v>MCCB 3 cực 400V -200A - 35KA</v>
      </c>
      <c r="D58" s="390" t="str">
        <f>VLOOKUP(A58,R_DG!$A$1310:$G$1370,4,0)</f>
        <v>cái</v>
      </c>
      <c r="E58" s="388">
        <f ca="1">SUMIF(KLVT!$A$5:$A$1429,RIGHT(A58,LEN(A58)-5),KLVT!$F$5:$F$1429)</f>
        <v>0</v>
      </c>
      <c r="F58" s="642">
        <f>VLOOKUP(A58,R_DG!$A$1310:$G$1370,5,0)</f>
        <v>0</v>
      </c>
      <c r="G58" s="642">
        <f>VLOOKUP(A58,R_DG!$A$1310:$G$1370,6,0)</f>
        <v>160191.5</v>
      </c>
      <c r="H58" s="642">
        <f>VLOOKUP(A58,R_DG!$A$1310:$G$1370,7,0)</f>
        <v>25652.196727272727</v>
      </c>
      <c r="I58" s="639">
        <f t="shared" ref="I58:I64" ca="1" si="7">E58*F58</f>
        <v>0</v>
      </c>
      <c r="J58" s="639">
        <f t="shared" ref="J58:J64" ca="1" si="8">E58*G58</f>
        <v>0</v>
      </c>
      <c r="K58" s="639">
        <f t="shared" ref="K58:K64" ca="1" si="9">E58*H58</f>
        <v>0</v>
      </c>
      <c r="L58" s="371">
        <f t="shared" ca="1" si="3"/>
        <v>0</v>
      </c>
    </row>
    <row r="59" spans="1:12" ht="25.35" customHeight="1">
      <c r="A59" s="373" t="s">
        <v>4257</v>
      </c>
      <c r="B59" s="388" t="str">
        <f>VLOOKUP(A59,R_DG!$A$1310:$G$1370,2,0)</f>
        <v>EB.72010</v>
      </c>
      <c r="C59" s="399" t="str">
        <f>VLOOKUP(A59,R_DG!$A$1310:$G$1370,3,0)</f>
        <v xml:space="preserve">MCCB 3 cực 400V -250A - 35KA </v>
      </c>
      <c r="D59" s="390" t="str">
        <f>VLOOKUP(A59,R_DG!$A$1310:$G$1370,4,0)</f>
        <v>cái</v>
      </c>
      <c r="E59" s="388">
        <f ca="1">SUMIF(KLVT!$A$5:$A$1429,RIGHT(A59,LEN(A59)-5),KLVT!$F$5:$F$1429)</f>
        <v>0</v>
      </c>
      <c r="F59" s="642">
        <f>VLOOKUP(A59,R_DG!$A$1310:$G$1370,5,0)</f>
        <v>0</v>
      </c>
      <c r="G59" s="642">
        <f>VLOOKUP(A59,R_DG!$A$1310:$G$1370,6,0)</f>
        <v>160191.5</v>
      </c>
      <c r="H59" s="642">
        <f>VLOOKUP(A59,R_DG!$A$1310:$G$1370,7,0)</f>
        <v>25652.196727272727</v>
      </c>
      <c r="I59" s="639">
        <f t="shared" ca="1" si="7"/>
        <v>0</v>
      </c>
      <c r="J59" s="639">
        <f t="shared" ca="1" si="8"/>
        <v>0</v>
      </c>
      <c r="K59" s="639">
        <f t="shared" ca="1" si="9"/>
        <v>0</v>
      </c>
      <c r="L59" s="371">
        <f t="shared" ca="1" si="3"/>
        <v>0</v>
      </c>
    </row>
    <row r="60" spans="1:12" ht="25.35" customHeight="1">
      <c r="A60" s="373" t="s">
        <v>4258</v>
      </c>
      <c r="B60" s="388" t="str">
        <f>VLOOKUP(A60,R_DG!$A$1310:$G$1370,2,0)</f>
        <v>EB.71040</v>
      </c>
      <c r="C60" s="399" t="str">
        <f>VLOOKUP(A60,R_DG!$A$1310:$G$1370,3,0)</f>
        <v>MCCB 3 cực 400V -400A - 35KA</v>
      </c>
      <c r="D60" s="390" t="str">
        <f>VLOOKUP(A60,R_DG!$A$1310:$G$1370,4,0)</f>
        <v>cái</v>
      </c>
      <c r="E60" s="388">
        <f ca="1">SUMIF(KLVT!$A$5:$A$1429,RIGHT(A60,LEN(A60)-5),KLVT!$F$5:$F$1429)</f>
        <v>0</v>
      </c>
      <c r="F60" s="642">
        <f>VLOOKUP(A60,R_DG!$A$1310:$G$1370,5,0)</f>
        <v>0</v>
      </c>
      <c r="G60" s="642">
        <f>VLOOKUP(A60,R_DG!$A$1310:$G$1370,6,0)</f>
        <v>257287.3</v>
      </c>
      <c r="H60" s="642">
        <f>VLOOKUP(A60,R_DG!$A$1310:$G$1370,7,0)</f>
        <v>52373.686909090909</v>
      </c>
      <c r="I60" s="639">
        <f t="shared" ca="1" si="7"/>
        <v>0</v>
      </c>
      <c r="J60" s="639">
        <f t="shared" ca="1" si="8"/>
        <v>0</v>
      </c>
      <c r="K60" s="639">
        <f t="shared" ca="1" si="9"/>
        <v>0</v>
      </c>
      <c r="L60" s="371">
        <f t="shared" ca="1" si="3"/>
        <v>0</v>
      </c>
    </row>
    <row r="61" spans="1:12" ht="25.35" customHeight="1">
      <c r="A61" s="373" t="s">
        <v>4259</v>
      </c>
      <c r="B61" s="388" t="str">
        <f>VLOOKUP(A61,R_DG!$A$1310:$G$1370,2,0)</f>
        <v>EB.71030</v>
      </c>
      <c r="C61" s="399" t="str">
        <f>VLOOKUP(A61,R_DG!$A$1310:$G$1370,3,0)</f>
        <v>MCCB 3 cực 400V - 500A/35KA</v>
      </c>
      <c r="D61" s="390" t="str">
        <f>VLOOKUP(A61,R_DG!$A$1310:$G$1370,4,0)</f>
        <v>cái</v>
      </c>
      <c r="E61" s="388">
        <f ca="1">SUMIF(KLVT!$A$5:$A$1429,RIGHT(A61,LEN(A61)-5),KLVT!$F$5:$F$1429)</f>
        <v>0</v>
      </c>
      <c r="F61" s="642">
        <f>VLOOKUP(A61,R_DG!$A$1310:$G$1370,5,0)</f>
        <v>0</v>
      </c>
      <c r="G61" s="642">
        <f>VLOOKUP(A61,R_DG!$A$1310:$G$1370,6,0)</f>
        <v>322835.25</v>
      </c>
      <c r="H61" s="642">
        <f>VLOOKUP(A61,R_DG!$A$1310:$G$1370,7,0)</f>
        <v>65850.001272727284</v>
      </c>
      <c r="I61" s="639">
        <f t="shared" ca="1" si="7"/>
        <v>0</v>
      </c>
      <c r="J61" s="639">
        <f t="shared" ca="1" si="8"/>
        <v>0</v>
      </c>
      <c r="K61" s="639">
        <f t="shared" ca="1" si="9"/>
        <v>0</v>
      </c>
      <c r="L61" s="371">
        <f t="shared" ca="1" si="3"/>
        <v>0</v>
      </c>
    </row>
    <row r="62" spans="1:12" ht="25.35" customHeight="1">
      <c r="A62" s="373" t="s">
        <v>4260</v>
      </c>
      <c r="B62" s="388" t="str">
        <f>VLOOKUP(A62,R_DG!$A$1310:$G$1370,2,0)</f>
        <v>EB.71030</v>
      </c>
      <c r="C62" s="399" t="str">
        <f>VLOOKUP(A62,R_DG!$A$1310:$G$1370,3,0)</f>
        <v>MCCB 3 cực 400V -630A - 35KA</v>
      </c>
      <c r="D62" s="390" t="str">
        <f>VLOOKUP(A62,R_DG!$A$1310:$G$1370,4,0)</f>
        <v>cái</v>
      </c>
      <c r="E62" s="388">
        <f ca="1">SUMIF(KLVT!$A$5:$A$1429,RIGHT(A62,LEN(A62)-5),KLVT!$F$5:$F$1429)</f>
        <v>0</v>
      </c>
      <c r="F62" s="642">
        <f>VLOOKUP(A62,R_DG!$A$1310:$G$1370,5,0)</f>
        <v>0</v>
      </c>
      <c r="G62" s="642">
        <f>VLOOKUP(A62,R_DG!$A$1310:$G$1370,6,0)</f>
        <v>322835.25</v>
      </c>
      <c r="H62" s="642">
        <f>VLOOKUP(A62,R_DG!$A$1310:$G$1370,7,0)</f>
        <v>65850.001272727284</v>
      </c>
      <c r="I62" s="639">
        <f t="shared" ca="1" si="7"/>
        <v>0</v>
      </c>
      <c r="J62" s="639">
        <f t="shared" ca="1" si="8"/>
        <v>0</v>
      </c>
      <c r="K62" s="639">
        <f t="shared" ca="1" si="9"/>
        <v>0</v>
      </c>
      <c r="L62" s="371">
        <f t="shared" ca="1" si="3"/>
        <v>0</v>
      </c>
    </row>
    <row r="63" spans="1:12" ht="25.35" customHeight="1">
      <c r="A63" s="373" t="s">
        <v>4261</v>
      </c>
      <c r="B63" s="388" t="str">
        <f>VLOOKUP(A63,R_DG!$A$1310:$G$1370,2,0)</f>
        <v>EB.71020</v>
      </c>
      <c r="C63" s="399" t="str">
        <f>VLOOKUP(A63,R_DG!$A$1310:$G$1370,3,0)</f>
        <v>MCCB 3 cực 400V -1000A - 50KA</v>
      </c>
      <c r="D63" s="390" t="str">
        <f>VLOOKUP(A63,R_DG!$A$1310:$G$1370,4,0)</f>
        <v>cái</v>
      </c>
      <c r="E63" s="388">
        <f ca="1">SUMIF(KLVT!$A$5:$A$1429,RIGHT(A63,LEN(A63)-5),KLVT!$F$5:$F$1429)</f>
        <v>0</v>
      </c>
      <c r="F63" s="642">
        <f>VLOOKUP(A63,R_DG!$A$1310:$G$1370,5,0)</f>
        <v>0</v>
      </c>
      <c r="G63" s="642">
        <f>VLOOKUP(A63,R_DG!$A$1310:$G$1370,6,0)</f>
        <v>458752.8</v>
      </c>
      <c r="H63" s="642">
        <f>VLOOKUP(A63,R_DG!$A$1310:$G$1370,7,0)</f>
        <v>82022.069272727284</v>
      </c>
      <c r="I63" s="639">
        <f t="shared" ca="1" si="7"/>
        <v>0</v>
      </c>
      <c r="J63" s="639">
        <f t="shared" ca="1" si="8"/>
        <v>0</v>
      </c>
      <c r="K63" s="639">
        <f t="shared" ca="1" si="9"/>
        <v>0</v>
      </c>
      <c r="L63" s="371">
        <f t="shared" ca="1" si="3"/>
        <v>0</v>
      </c>
    </row>
    <row r="64" spans="1:12" ht="25.35" customHeight="1">
      <c r="A64" s="373" t="s">
        <v>4263</v>
      </c>
      <c r="B64" s="388" t="str">
        <f>VLOOKUP(A64,R_DG!$A$1310:$G$1370,2,0)</f>
        <v>EB.71020</v>
      </c>
      <c r="C64" s="399" t="str">
        <f>VLOOKUP(A64,R_DG!$A$1310:$G$1370,3,0)</f>
        <v>MCCB 3 cực 400V -1250A - 85KA</v>
      </c>
      <c r="D64" s="390" t="str">
        <f>VLOOKUP(A64,R_DG!$A$1310:$G$1370,4,0)</f>
        <v>cái</v>
      </c>
      <c r="E64" s="388">
        <f ca="1">SUMIF(KLVT!$A$5:$A$1429,RIGHT(A64,LEN(A64)-5),KLVT!$F$5:$F$1429)</f>
        <v>0</v>
      </c>
      <c r="F64" s="642">
        <f>VLOOKUP(A64,R_DG!$A$1310:$G$1370,5,0)</f>
        <v>0</v>
      </c>
      <c r="G64" s="642">
        <f>VLOOKUP(A64,R_DG!$A$1310:$G$1370,6,0)</f>
        <v>458752.8</v>
      </c>
      <c r="H64" s="642">
        <f>VLOOKUP(A64,R_DG!$A$1310:$G$1370,7,0)</f>
        <v>82022.069272727284</v>
      </c>
      <c r="I64" s="639">
        <f t="shared" ca="1" si="7"/>
        <v>0</v>
      </c>
      <c r="J64" s="639">
        <f t="shared" ca="1" si="8"/>
        <v>0</v>
      </c>
      <c r="K64" s="639">
        <f t="shared" ca="1" si="9"/>
        <v>0</v>
      </c>
      <c r="L64" s="371">
        <f t="shared" ca="1" si="3"/>
        <v>0</v>
      </c>
    </row>
    <row r="65" spans="1:12" ht="25.35" customHeight="1">
      <c r="A65" s="373"/>
      <c r="B65" s="396" t="s">
        <v>2697</v>
      </c>
      <c r="C65" s="817" t="s">
        <v>2602</v>
      </c>
      <c r="D65" s="507"/>
      <c r="E65" s="640"/>
      <c r="F65" s="396"/>
      <c r="G65" s="396"/>
      <c r="H65" s="396"/>
      <c r="I65" s="641">
        <f t="shared" ref="I65:J65" ca="1" si="10">SUM(I29:I64)</f>
        <v>0</v>
      </c>
      <c r="J65" s="641">
        <f t="shared" ca="1" si="10"/>
        <v>0</v>
      </c>
      <c r="K65" s="641">
        <f ca="1">SUM(K29:K64)</f>
        <v>0</v>
      </c>
      <c r="L65" s="371">
        <f t="shared" ca="1" si="3"/>
        <v>0</v>
      </c>
    </row>
  </sheetData>
  <autoFilter ref="L4:L65"/>
  <printOptions horizontalCentered="1"/>
  <pageMargins left="0.78740157480314998" right="0.59055118110236204" top="0.59055118110236204" bottom="0.59055118110236204" header="0.31496062992126" footer="0.31496062992126"/>
  <pageSetup paperSize="9" scale="69"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D34"/>
  <sheetViews>
    <sheetView showGridLines="0" view="pageBreakPreview" zoomScaleNormal="100" zoomScaleSheetLayoutView="100" workbookViewId="0">
      <selection activeCell="D36" sqref="D36"/>
    </sheetView>
  </sheetViews>
  <sheetFormatPr defaultColWidth="9.140625" defaultRowHeight="20.100000000000001" customHeight="1"/>
  <cols>
    <col min="1" max="1" width="15.5703125" style="180" customWidth="1"/>
    <col min="2" max="2" width="70.5703125" style="180" customWidth="1"/>
    <col min="3" max="3" width="15.5703125" style="180" customWidth="1"/>
    <col min="4" max="4" width="9.140625" style="437"/>
    <col min="5" max="16384" width="9.140625" style="180"/>
  </cols>
  <sheetData>
    <row r="1" spans="1:3" ht="24" customHeight="1">
      <c r="A1" s="1250" t="str">
        <f ca="1">SETTING!$O$21</f>
        <v>BẢNG 5: CHI PHÍ VẬN CHUYỂN ĐƯỜNG DÀI</v>
      </c>
      <c r="B1" s="554"/>
      <c r="C1" s="554"/>
    </row>
    <row r="2" spans="1:3" ht="9" customHeight="1">
      <c r="A2" s="437"/>
      <c r="B2" s="1251"/>
      <c r="C2" s="437"/>
    </row>
    <row r="3" spans="1:3" ht="20.100000000000001" customHeight="1">
      <c r="A3" s="1252" t="s">
        <v>2614</v>
      </c>
      <c r="B3" s="1253" t="s">
        <v>2854</v>
      </c>
      <c r="C3" s="1252" t="s">
        <v>2853</v>
      </c>
    </row>
    <row r="4" spans="1:3" ht="20.100000000000001" customHeight="1">
      <c r="A4" s="1254" t="s">
        <v>3416</v>
      </c>
      <c r="B4" s="1255" t="s">
        <v>2615</v>
      </c>
      <c r="C4" s="1254"/>
    </row>
    <row r="5" spans="1:3" ht="20.100000000000001" customHeight="1">
      <c r="A5" s="86"/>
      <c r="B5" s="1256" t="str">
        <f ca="1">CHUYENTRUDD&amp;" chuyến x 10 tấn x "&amp;C31&amp;"km x "&amp;VLOOKUP(C31,DMVCDD,RIGHT(A31,1)+1)&amp;" đ x 1,3 x 1,1"</f>
        <v>0 chuyến x 10 tấn x 140km x 498 đ x 1,3 x 1,1</v>
      </c>
      <c r="C5" s="1257">
        <f ca="1">CHUYENTRUDD*10*C31*VLOOKUP(C31,DMVCDD,RIGHT(A31,1)+1)*1.3*1.1</f>
        <v>0</v>
      </c>
    </row>
    <row r="6" spans="1:3" ht="20.100000000000001" customHeight="1">
      <c r="A6" s="1254" t="s">
        <v>3417</v>
      </c>
      <c r="B6" s="1255" t="s">
        <v>2616</v>
      </c>
      <c r="C6" s="1254"/>
    </row>
    <row r="7" spans="1:3" ht="20.100000000000001" customHeight="1">
      <c r="A7" s="86"/>
      <c r="B7" s="1256" t="str">
        <f ca="1">CHUYENTRUDD&amp;" chuyến x 10 tấn x "&amp;C34&amp;"km x "&amp;VLOOKUP(C34,DMVCDD,RIGHT(A34,1)+1)&amp;" đ x 1,3 x 1,1"</f>
        <v>0 chuyến x 10 tấn x 20km x 1022 đ x 1,3 x 1,1</v>
      </c>
      <c r="C7" s="1257">
        <f ca="1">CHUYENTRUDD*10*C34*VLOOKUP(C34,DMVCDD,RIGHT(A34,1)+1)*1.3*1.1</f>
        <v>0</v>
      </c>
    </row>
    <row r="8" spans="1:3" ht="20.100000000000001" customHeight="1">
      <c r="A8" s="1254" t="s">
        <v>3421</v>
      </c>
      <c r="B8" s="1255" t="s">
        <v>2617</v>
      </c>
      <c r="C8" s="1254"/>
    </row>
    <row r="9" spans="1:3" ht="20.100000000000001" customHeight="1">
      <c r="A9" s="86"/>
      <c r="B9" s="1256" t="str">
        <f ca="1">CHUYENPKDD&amp;" chuyến x 10 tấn x "&amp;C32&amp;"km x "&amp;VLOOKUP(C32,DMVCDD,RIGHT(A32,1)+1)&amp;" đ x 1,3 x 1,1"</f>
        <v>1 chuyến x 10 tấn x 140km x 498 đ x 1,3 x 1,1</v>
      </c>
      <c r="C9" s="1257">
        <f ca="1">CHUYENPKDD*10*C32*VLOOKUP(C32,DMVCDD,RIGHT(A32,1)+1)*1.3*1.1</f>
        <v>996996.00000000012</v>
      </c>
    </row>
    <row r="10" spans="1:3" ht="20.100000000000001" customHeight="1">
      <c r="A10" s="1254" t="s">
        <v>3418</v>
      </c>
      <c r="B10" s="1255" t="s">
        <v>2618</v>
      </c>
      <c r="C10" s="1254"/>
    </row>
    <row r="11" spans="1:3" ht="20.100000000000001" customHeight="1">
      <c r="A11" s="86"/>
      <c r="B11" s="1256" t="str">
        <f ca="1">CHUYENPKDD&amp;" chuyến x 10 tấn x "&amp;C34&amp;"km x "&amp;VLOOKUP(C34,DMVCDD,RIGHT(A34,1)+1)&amp;" đ x 1,3 x 1,1"</f>
        <v>1 chuyến x 10 tấn x 20km x 1022 đ x 1,3 x 1,1</v>
      </c>
      <c r="C11" s="1257">
        <f ca="1">CHUYENPKDD*10*C34*VLOOKUP(C34,DMVCDD,RIGHT(A34,1)+1)*1.3*1.1</f>
        <v>292292</v>
      </c>
    </row>
    <row r="12" spans="1:3" ht="20.100000000000001" customHeight="1">
      <c r="A12" s="1254" t="s">
        <v>3420</v>
      </c>
      <c r="B12" s="1255" t="s">
        <v>2619</v>
      </c>
      <c r="C12" s="1254"/>
    </row>
    <row r="13" spans="1:3" ht="20.100000000000001" customHeight="1">
      <c r="A13" s="86"/>
      <c r="B13" s="1256" t="str">
        <f ca="1">"2 lần x 0,05ca/tấn x "&amp;ROUND(KLPKDD/1000,1)&amp;"tấn x "&amp;TEXT(VLOOKUP("CAU5T",CAMAY,2,0),"#,###")&amp;" đồng/ca"</f>
        <v>2 lần x 0,05ca/tấn x 0,8tấn x 1502012,385 đồng/ca</v>
      </c>
      <c r="C13" s="1257">
        <f ca="1">2*ROUND(KLPKDD/1000,1)*0.05*VLOOKUP("CAU5T",CAMAY,2,0)</f>
        <v>120160.99076923079</v>
      </c>
    </row>
    <row r="14" spans="1:3" ht="20.100000000000001" customHeight="1">
      <c r="A14" s="1254" t="s">
        <v>3419</v>
      </c>
      <c r="B14" s="1255" t="s">
        <v>2620</v>
      </c>
      <c r="C14" s="1254"/>
    </row>
    <row r="15" spans="1:3" ht="20.100000000000001" customHeight="1">
      <c r="A15" s="86"/>
      <c r="B15" s="1256" t="str">
        <f ca="1">"2 lần x 0,05ca/tấn x "&amp;ROUND(KLTRUDA/1000,1)&amp;"tấn x "&amp;TEXT(VLOOKUP("CAU10T",CAMAY,2,0),"#,###")&amp;" đồng/ca"&amp;" x 1,05"</f>
        <v>2 lần x 0,05ca/tấn x 0tấn x 2081520,87 đồng/ca x 1,05</v>
      </c>
      <c r="C15" s="1257">
        <f ca="1">2*ROUND(KLTRUDA/1000,1)*0.05*VLOOKUP("CAU10T",CAMAY,2,0)*1.05</f>
        <v>0</v>
      </c>
    </row>
    <row r="16" spans="1:3" ht="20.100000000000001" customHeight="1">
      <c r="A16" s="1254" t="s">
        <v>3422</v>
      </c>
      <c r="B16" s="1255" t="s">
        <v>2823</v>
      </c>
      <c r="C16" s="1254"/>
    </row>
    <row r="17" spans="1:3" ht="20.100000000000001" customHeight="1">
      <c r="A17" s="86"/>
      <c r="B17" s="1256" t="str">
        <f ca="1">(CHUYENPKDD+CHUYENTRUDD)&amp;" chuyến x 25.000 đ/chuyến"</f>
        <v>1 chuyến x 25.000 đ/chuyến</v>
      </c>
      <c r="C17" s="1257">
        <f ca="1">(CHUYENPKDD+CHUYENTRUDD)*25000</f>
        <v>25000</v>
      </c>
    </row>
    <row r="18" spans="1:3" ht="20.100000000000001" customHeight="1">
      <c r="A18" s="1258" t="s">
        <v>2818</v>
      </c>
      <c r="B18" s="1259" t="s">
        <v>2622</v>
      </c>
      <c r="C18" s="1260">
        <f ca="1">SUM(C5:C17)</f>
        <v>1434448.9907692308</v>
      </c>
    </row>
    <row r="19" spans="1:3" ht="20.100000000000001" hidden="1" customHeight="1">
      <c r="A19" s="1252" t="s">
        <v>2623</v>
      </c>
      <c r="B19" s="1253" t="s">
        <v>2855</v>
      </c>
      <c r="C19" s="1252" t="s">
        <v>2853</v>
      </c>
    </row>
    <row r="20" spans="1:3" ht="20.100000000000001" hidden="1" customHeight="1">
      <c r="A20" s="1254" t="s">
        <v>3423</v>
      </c>
      <c r="B20" s="1255" t="s">
        <v>2624</v>
      </c>
      <c r="C20" s="1254"/>
    </row>
    <row r="21" spans="1:3" ht="20.100000000000001" hidden="1" customHeight="1">
      <c r="A21" s="86"/>
      <c r="B21" s="1256" t="str">
        <f ca="1">CHUYENTBTBA&amp;" chuyến x 5 tấn x "&amp;C33&amp;"km x "&amp;VLOOKUP(C33,DMVCDD,RIGHT(A33,1)+1)&amp;" đ x 1,3 x 1,1"</f>
        <v>0 chuyến x 5 tấn x 140km x 498 đ x 1,3 x 1,1</v>
      </c>
      <c r="C21" s="1257">
        <f ca="1">CHUYENTBTBA*5*C33*VLOOKUP(C33,DMVCDD,RIGHT(A33,1)+1)*1.3*1.1</f>
        <v>0</v>
      </c>
    </row>
    <row r="22" spans="1:3" ht="20.100000000000001" hidden="1" customHeight="1">
      <c r="A22" s="1254" t="s">
        <v>3424</v>
      </c>
      <c r="B22" s="1255" t="s">
        <v>2625</v>
      </c>
      <c r="C22" s="1254"/>
    </row>
    <row r="23" spans="1:3" ht="20.100000000000001" hidden="1" customHeight="1">
      <c r="A23" s="86"/>
      <c r="B23" s="1256" t="str">
        <f ca="1">CHUYENTBTBA&amp;" chuyến x 5 tấn x "&amp;C34&amp;"km x "&amp;VLOOKUP(C34,DMVCDD,RIGHT(A34,1)+1)&amp;" đ x 1,3 x 1,1"</f>
        <v>0 chuyến x 5 tấn x 20km x 1022 đ x 1,3 x 1,1</v>
      </c>
      <c r="C23" s="1257">
        <f ca="1">CHUYENTBTBA*5*C34*VLOOKUP(C34,DMVCDD,RIGHT(A34,1)+1)*1.3*1.1</f>
        <v>0</v>
      </c>
    </row>
    <row r="24" spans="1:3" ht="20.100000000000001" hidden="1" customHeight="1">
      <c r="A24" s="1254" t="s">
        <v>3425</v>
      </c>
      <c r="B24" s="1255" t="s">
        <v>2824</v>
      </c>
      <c r="C24" s="1254"/>
    </row>
    <row r="25" spans="1:3" ht="20.100000000000001" hidden="1" customHeight="1">
      <c r="A25" s="86"/>
      <c r="B25" s="1256" t="str">
        <f ca="1">"2 lần x 0,05ca/tấn x "&amp;ROUND(KLPKTBA/1000,1)&amp;"tấn x 576940 đ/ca x 1,05"</f>
        <v>2 lần x 0,05ca/tấn x 0tấn x 576940 đ/ca x 1,05</v>
      </c>
      <c r="C25" s="1257">
        <f ca="1">2*ROUND(KLPKTBA/1000,1)*0.05*576940*1.05</f>
        <v>0</v>
      </c>
    </row>
    <row r="26" spans="1:3" ht="20.100000000000001" hidden="1" customHeight="1">
      <c r="A26" s="1254" t="s">
        <v>3426</v>
      </c>
      <c r="B26" s="1255" t="s">
        <v>2621</v>
      </c>
      <c r="C26" s="1254"/>
    </row>
    <row r="27" spans="1:3" ht="20.100000000000001" hidden="1" customHeight="1">
      <c r="A27" s="86"/>
      <c r="B27" s="1256" t="str">
        <f ca="1">CHUYENTBTBA&amp;" chuyến x 25.000 đ/chuyến"</f>
        <v>0 chuyến x 25.000 đ/chuyến</v>
      </c>
      <c r="C27" s="1257">
        <f ca="1">CHUYENTBTBA*25000</f>
        <v>0</v>
      </c>
    </row>
    <row r="28" spans="1:3" ht="20.100000000000001" hidden="1" customHeight="1">
      <c r="A28" s="1258" t="s">
        <v>2819</v>
      </c>
      <c r="B28" s="1259" t="s">
        <v>2825</v>
      </c>
      <c r="C28" s="1260">
        <f ca="1">SUM(C21:C27)</f>
        <v>0</v>
      </c>
    </row>
    <row r="29" spans="1:3" ht="20.100000000000001" customHeight="1">
      <c r="A29" s="1252" t="s">
        <v>2677</v>
      </c>
      <c r="B29" s="1253" t="s">
        <v>2826</v>
      </c>
      <c r="C29" s="1261">
        <f ca="1">C28+C18</f>
        <v>1434448.9907692308</v>
      </c>
    </row>
    <row r="30" spans="1:3" ht="20.100000000000001" customHeight="1">
      <c r="A30" s="1262" t="s">
        <v>2821</v>
      </c>
      <c r="B30" s="1251"/>
      <c r="C30" s="437"/>
    </row>
    <row r="31" spans="1:3" ht="20.100000000000001" customHeight="1">
      <c r="A31" s="1263" t="s">
        <v>2852</v>
      </c>
      <c r="B31" s="1263" t="s">
        <v>2834</v>
      </c>
      <c r="C31" s="1264">
        <v>140</v>
      </c>
    </row>
    <row r="32" spans="1:3" ht="20.100000000000001" customHeight="1">
      <c r="A32" s="1263" t="s">
        <v>2852</v>
      </c>
      <c r="B32" s="1263" t="s">
        <v>2835</v>
      </c>
      <c r="C32" s="1264">
        <v>140</v>
      </c>
    </row>
    <row r="33" spans="1:3" ht="20.100000000000001" customHeight="1">
      <c r="A33" s="1263" t="s">
        <v>2852</v>
      </c>
      <c r="B33" s="1263" t="s">
        <v>2836</v>
      </c>
      <c r="C33" s="1264">
        <v>140</v>
      </c>
    </row>
    <row r="34" spans="1:3" ht="20.100000000000001" customHeight="1">
      <c r="A34" s="1263" t="s">
        <v>2833</v>
      </c>
      <c r="B34" s="1263" t="s">
        <v>2837</v>
      </c>
      <c r="C34" s="1264">
        <v>20</v>
      </c>
    </row>
  </sheetData>
  <printOptions horizontalCentered="1"/>
  <pageMargins left="1.0374015750000001" right="0.34055118099999998" top="0.59055118110236204" bottom="0.59055118110236204" header="0.31496062992126" footer="0.31496062992126"/>
  <pageSetup paperSize="9" scale="86" fitToHeight="0" orientation="portrait"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filterMode="1">
    <pageSetUpPr fitToPage="1"/>
  </sheetPr>
  <dimension ref="A1:M1435"/>
  <sheetViews>
    <sheetView showGridLines="0" showZeros="0" view="pageBreakPreview" topLeftCell="A119" zoomScale="85" zoomScaleNormal="70" zoomScaleSheetLayoutView="85" workbookViewId="0">
      <selection activeCell="E159" sqref="E159:E1345"/>
    </sheetView>
  </sheetViews>
  <sheetFormatPr defaultColWidth="9.140625" defaultRowHeight="26.25"/>
  <cols>
    <col min="1" max="1" width="17.140625" style="1251" bestFit="1" customWidth="1"/>
    <col min="2" max="2" width="7.42578125" style="437" customWidth="1"/>
    <col min="3" max="3" width="47" style="985" customWidth="1"/>
    <col min="4" max="4" width="9.42578125" style="437" bestFit="1" customWidth="1"/>
    <col min="5" max="6" width="9.42578125" style="1251" customWidth="1"/>
    <col min="7" max="7" width="13.85546875" style="1251" bestFit="1" customWidth="1"/>
    <col min="8" max="8" width="11.140625" style="1251" customWidth="1"/>
    <col min="9" max="9" width="17.140625" style="1267" bestFit="1" customWidth="1"/>
    <col min="10" max="10" width="11.140625" style="1267" customWidth="1"/>
    <col min="11" max="11" width="9" style="1268" customWidth="1"/>
    <col min="12" max="12" width="13.85546875" style="1251" bestFit="1" customWidth="1"/>
    <col min="13" max="16384" width="9.140625" style="1251"/>
  </cols>
  <sheetData>
    <row r="1" spans="1:11">
      <c r="B1" s="1265" t="str">
        <f ca="1">SETTING!$O$21</f>
        <v>BẢNG 5: CHI PHÍ VẬN CHUYỂN ĐƯỜNG DÀI</v>
      </c>
      <c r="C1" s="1266"/>
      <c r="D1" s="792"/>
      <c r="E1" s="792"/>
      <c r="F1" s="792"/>
      <c r="G1" s="792"/>
    </row>
    <row r="2" spans="1:11" s="45" customFormat="1" hidden="1">
      <c r="B2" s="46"/>
      <c r="C2" s="931"/>
      <c r="D2" s="46"/>
      <c r="I2" s="75"/>
      <c r="J2" s="75"/>
      <c r="K2" s="1094"/>
    </row>
    <row r="3" spans="1:11" s="45" customFormat="1" hidden="1">
      <c r="B3" s="46"/>
      <c r="C3" s="931"/>
      <c r="D3" s="46"/>
      <c r="F3" s="373"/>
      <c r="I3" s="75"/>
      <c r="J3" s="75"/>
      <c r="K3" s="1094"/>
    </row>
    <row r="4" spans="1:11" ht="54" customHeight="1">
      <c r="A4" s="1269" t="s">
        <v>0</v>
      </c>
      <c r="B4" s="1252" t="s">
        <v>2347</v>
      </c>
      <c r="C4" s="1270" t="s">
        <v>2809</v>
      </c>
      <c r="D4" s="1252" t="s">
        <v>2352</v>
      </c>
      <c r="E4" s="1271" t="s">
        <v>3412</v>
      </c>
      <c r="F4" s="1271" t="s">
        <v>3413</v>
      </c>
      <c r="G4" s="1271" t="s">
        <v>2817</v>
      </c>
      <c r="H4" s="1272" t="s">
        <v>2810</v>
      </c>
      <c r="I4" s="1261" t="s">
        <v>3414</v>
      </c>
      <c r="J4" s="1261" t="s">
        <v>3415</v>
      </c>
    </row>
    <row r="5" spans="1:11">
      <c r="A5" s="1269" t="s">
        <v>2814</v>
      </c>
      <c r="B5" s="1252" t="s">
        <v>2361</v>
      </c>
      <c r="C5" s="1273" t="s">
        <v>2811</v>
      </c>
      <c r="D5" s="438"/>
      <c r="E5" s="438"/>
      <c r="F5" s="438"/>
      <c r="G5" s="438"/>
      <c r="H5" s="1274"/>
      <c r="I5" s="1275">
        <f t="shared" ref="I5" ca="1" si="0">SUM(I6:I118)</f>
        <v>0</v>
      </c>
      <c r="J5" s="1275">
        <f ca="1">SUM(J6:J118)</f>
        <v>0</v>
      </c>
      <c r="K5" s="1268">
        <v>1</v>
      </c>
    </row>
    <row r="6" spans="1:11" s="45" customFormat="1" hidden="1">
      <c r="A6" s="45" t="s">
        <v>1478</v>
      </c>
      <c r="B6" s="85">
        <f ca="1">IF(K6&gt;0,1,0)</f>
        <v>0</v>
      </c>
      <c r="C6" s="1084" t="str">
        <f t="shared" ref="C6:C39" si="1">VLOOKUP(A6,DONGIA,3,0)</f>
        <v>Máy biến áp 8,6(12,7)/0,22- 0,44kV 15kVA - Amorphous</v>
      </c>
      <c r="D6" s="85" t="str">
        <f t="shared" ref="D6:D39" si="2">VLOOKUP(A6,DONGIA,4,0)</f>
        <v>máy</v>
      </c>
      <c r="E6" s="448">
        <f ca="1">SUMIF(OFFSET(tongctvtdd1,0,-(COLUMN(E6)+7-(COLUMN(E6)-5)/2)),KLVT!$A6,tongctvtdd1)+SUMIF(OFFSET(tongctvtpk1,0,-(COLUMN(E6)+7-(COLUMN(E6)-5)/2)),KLVT!$A6,tongctvtpk1)</f>
        <v>0</v>
      </c>
      <c r="F6" s="449">
        <f ca="1">SUMIF(OFFSET(cttba_vlvt1_1,0,-9,-ROW(cttba_vlvt1_1)+ROW(cttba_vltb1_1)-10),KLVT!$A6,OFFSET(cttba_vlvt1_1,0,-4,-ROW(cttba_vlvt1_1)+ROW(cttba_vltb1_1)-10))</f>
        <v>0</v>
      </c>
      <c r="G6" s="451">
        <f t="shared" ref="G6:G69" ca="1" si="3">SUM(E6:F6)</f>
        <v>0</v>
      </c>
      <c r="H6" s="450">
        <f t="shared" ref="H6:H37" si="4">VLOOKUP(A6,DONGIA,18,0)</f>
        <v>129</v>
      </c>
      <c r="I6" s="447">
        <f t="shared" ref="I6:I37" ca="1" si="5">E6*$H6</f>
        <v>0</v>
      </c>
      <c r="J6" s="447">
        <f t="shared" ref="J6:J37" ca="1" si="6">F6*$H6</f>
        <v>0</v>
      </c>
      <c r="K6" s="1095">
        <f t="shared" ref="K6:K37" ca="1" si="7">IF(G6&gt;0,1,0)</f>
        <v>0</v>
      </c>
    </row>
    <row r="7" spans="1:11" s="45" customFormat="1" hidden="1">
      <c r="A7" s="45" t="s">
        <v>1481</v>
      </c>
      <c r="B7" s="85">
        <f ca="1">IF(K7&gt;0,COUNTIF(K$6:K7,"&gt;0"),B6)</f>
        <v>0</v>
      </c>
      <c r="C7" s="1084" t="str">
        <f>VLOOKUP(A7,DONGIA,3,0)</f>
        <v>Máy biến áp 8,6(12,7)/0,22- 0,44kV 25kVA - Amorphous</v>
      </c>
      <c r="D7" s="85" t="str">
        <f>VLOOKUP(A7,DONGIA,4,0)</f>
        <v>máy</v>
      </c>
      <c r="E7" s="448">
        <f ca="1">SUMIF(OFFSET(tongctvtdd1,0,-(COLUMN(E7)+7-(COLUMN(E7)-5)/2)),KLVT!$A7,tongctvtdd1)+SUMIF(OFFSET(tongctvtpk1,0,-(COLUMN(E7)+7-(COLUMN(E7)-5)/2)),KLVT!$A7,tongctvtpk1)</f>
        <v>0</v>
      </c>
      <c r="F7" s="449">
        <f ca="1">SUMIF(OFFSET(cttba_vlvt1_1,0,-9,-ROW(cttba_vlvt1_1)+ROW(cttba_vltb1_1)-10),KLVT!$A7,OFFSET(cttba_vlvt1_1,0,-4,-ROW(cttba_vlvt1_1)+ROW(cttba_vltb1_1)-10))</f>
        <v>0</v>
      </c>
      <c r="G7" s="451">
        <f t="shared" ca="1" si="3"/>
        <v>0</v>
      </c>
      <c r="H7" s="450">
        <f t="shared" si="4"/>
        <v>180</v>
      </c>
      <c r="I7" s="447">
        <f t="shared" ca="1" si="5"/>
        <v>0</v>
      </c>
      <c r="J7" s="447">
        <f t="shared" ca="1" si="6"/>
        <v>0</v>
      </c>
      <c r="K7" s="1095">
        <f t="shared" ca="1" si="7"/>
        <v>0</v>
      </c>
    </row>
    <row r="8" spans="1:11" s="45" customFormat="1" hidden="1">
      <c r="A8" s="45" t="s">
        <v>1482</v>
      </c>
      <c r="B8" s="85">
        <f ca="1">IF(K8&gt;0,COUNTIF(K$6:K8,"&gt;0"),B7)</f>
        <v>0</v>
      </c>
      <c r="C8" s="1084" t="str">
        <f t="shared" si="1"/>
        <v>Máy biến áp 8,6(12,7)/0,22-0,44kV- 37,5kVA - Amorphous</v>
      </c>
      <c r="D8" s="85" t="str">
        <f t="shared" si="2"/>
        <v>máy</v>
      </c>
      <c r="E8" s="448">
        <f ca="1">SUMIF(OFFSET(tongctvtdd1,0,-(COLUMN(E8)+7-(COLUMN(E8)-5)/2)),KLVT!$A8,tongctvtdd1)+SUMIF(OFFSET(tongctvtpk1,0,-(COLUMN(E8)+7-(COLUMN(E8)-5)/2)),KLVT!$A8,tongctvtpk1)</f>
        <v>0</v>
      </c>
      <c r="F8" s="449">
        <f ca="1">SUMIF(OFFSET(cttba_vlvt1_1,0,-9,-ROW(cttba_vlvt1_1)+ROW(cttba_vltb1_1)-10),KLVT!$A8,OFFSET(cttba_vlvt1_1,0,-4,-ROW(cttba_vlvt1_1)+ROW(cttba_vltb1_1)-10))</f>
        <v>0</v>
      </c>
      <c r="G8" s="451">
        <f t="shared" ca="1" si="3"/>
        <v>0</v>
      </c>
      <c r="H8" s="450">
        <f t="shared" si="4"/>
        <v>250</v>
      </c>
      <c r="I8" s="447">
        <f t="shared" ca="1" si="5"/>
        <v>0</v>
      </c>
      <c r="J8" s="447">
        <f t="shared" ca="1" si="6"/>
        <v>0</v>
      </c>
      <c r="K8" s="1095">
        <f t="shared" ca="1" si="7"/>
        <v>0</v>
      </c>
    </row>
    <row r="9" spans="1:11" s="45" customFormat="1" hidden="1">
      <c r="A9" s="45" t="s">
        <v>1484</v>
      </c>
      <c r="B9" s="85">
        <f ca="1">IF(K9&gt;0,COUNTIF(K$6:K9,"&gt;0"),B8)</f>
        <v>0</v>
      </c>
      <c r="C9" s="1084" t="str">
        <f t="shared" si="1"/>
        <v>Máy biến áp 8,6(12,7)/0,22-0,44kV- 50kVA - Amorphous</v>
      </c>
      <c r="D9" s="85" t="str">
        <f t="shared" si="2"/>
        <v>máy</v>
      </c>
      <c r="E9" s="448">
        <f ca="1">SUMIF(OFFSET(tongctvtdd1,0,-(COLUMN(E9)+7-(COLUMN(E9)-5)/2)),KLVT!$A9,tongctvtdd1)+SUMIF(OFFSET(tongctvtpk1,0,-(COLUMN(E9)+7-(COLUMN(E9)-5)/2)),KLVT!$A9,tongctvtpk1)</f>
        <v>0</v>
      </c>
      <c r="F9" s="449">
        <f ca="1">SUMIF(OFFSET(cttba_vlvt1_1,0,-9,-ROW(cttba_vlvt1_1)+ROW(cttba_vltb1_1)-10),KLVT!$A9,OFFSET(cttba_vlvt1_1,0,-4,-ROW(cttba_vlvt1_1)+ROW(cttba_vltb1_1)-10))</f>
        <v>0</v>
      </c>
      <c r="G9" s="451">
        <f t="shared" ca="1" si="3"/>
        <v>0</v>
      </c>
      <c r="H9" s="450">
        <f t="shared" si="4"/>
        <v>380</v>
      </c>
      <c r="I9" s="447">
        <f t="shared" ca="1" si="5"/>
        <v>0</v>
      </c>
      <c r="J9" s="447">
        <f t="shared" ca="1" si="6"/>
        <v>0</v>
      </c>
      <c r="K9" s="1095">
        <f t="shared" ca="1" si="7"/>
        <v>0</v>
      </c>
    </row>
    <row r="10" spans="1:11" s="45" customFormat="1" hidden="1">
      <c r="A10" s="45" t="s">
        <v>1485</v>
      </c>
      <c r="B10" s="85">
        <f ca="1">IF(K10&gt;0,COUNTIF(K$6:K10,"&gt;0"),B9)</f>
        <v>0</v>
      </c>
      <c r="C10" s="1084" t="str">
        <f t="shared" si="1"/>
        <v>Máy biến áp 8,6(12,7)/0,22-0,44kV- 75kVA - Amorphous</v>
      </c>
      <c r="D10" s="85" t="str">
        <f t="shared" si="2"/>
        <v>máy</v>
      </c>
      <c r="E10" s="448">
        <f ca="1">SUMIF(OFFSET(tongctvtdd1,0,-(COLUMN(E10)+7-(COLUMN(E10)-5)/2)),KLVT!$A10,tongctvtdd1)+SUMIF(OFFSET(tongctvtpk1,0,-(COLUMN(E10)+7-(COLUMN(E10)-5)/2)),KLVT!$A10,tongctvtpk1)</f>
        <v>0</v>
      </c>
      <c r="F10" s="449">
        <f ca="1">SUMIF(OFFSET(cttba_vlvt1_1,0,-9,-ROW(cttba_vlvt1_1)+ROW(cttba_vltb1_1)-10),KLVT!$A10,OFFSET(cttba_vlvt1_1,0,-4,-ROW(cttba_vlvt1_1)+ROW(cttba_vltb1_1)-10))</f>
        <v>0</v>
      </c>
      <c r="G10" s="451">
        <f t="shared" ca="1" si="3"/>
        <v>0</v>
      </c>
      <c r="H10" s="450">
        <f t="shared" si="4"/>
        <v>505</v>
      </c>
      <c r="I10" s="447">
        <f t="shared" ca="1" si="5"/>
        <v>0</v>
      </c>
      <c r="J10" s="447">
        <f t="shared" ca="1" si="6"/>
        <v>0</v>
      </c>
      <c r="K10" s="1095">
        <f t="shared" ca="1" si="7"/>
        <v>0</v>
      </c>
    </row>
    <row r="11" spans="1:11" s="45" customFormat="1" hidden="1">
      <c r="A11" s="45" t="s">
        <v>1487</v>
      </c>
      <c r="B11" s="85">
        <f ca="1">IF(K11&gt;0,COUNTIF(K$6:K11,"&gt;0"),B10)</f>
        <v>0</v>
      </c>
      <c r="C11" s="1084" t="str">
        <f t="shared" si="1"/>
        <v>Máy biến áp 8,6(12,7)/0,22-0,44kV- 100kVA - Amorphous</v>
      </c>
      <c r="D11" s="85" t="str">
        <f t="shared" si="2"/>
        <v>máy</v>
      </c>
      <c r="E11" s="448">
        <f ca="1">SUMIF(OFFSET(tongctvtdd1,0,-(COLUMN(E11)+7-(COLUMN(E11)-5)/2)),KLVT!$A11,tongctvtdd1)+SUMIF(OFFSET(tongctvtpk1,0,-(COLUMN(E11)+7-(COLUMN(E11)-5)/2)),KLVT!$A11,tongctvtpk1)</f>
        <v>0</v>
      </c>
      <c r="F11" s="449">
        <f ca="1">SUMIF(OFFSET(cttba_vlvt1_1,0,-9,-ROW(cttba_vlvt1_1)+ROW(cttba_vltb1_1)-10),KLVT!$A11,OFFSET(cttba_vlvt1_1,0,-4,-ROW(cttba_vlvt1_1)+ROW(cttba_vltb1_1)-10))</f>
        <v>0</v>
      </c>
      <c r="G11" s="451">
        <f t="shared" ca="1" si="3"/>
        <v>0</v>
      </c>
      <c r="H11" s="450">
        <f t="shared" si="4"/>
        <v>745</v>
      </c>
      <c r="I11" s="447">
        <f t="shared" ca="1" si="5"/>
        <v>0</v>
      </c>
      <c r="J11" s="447">
        <f t="shared" ca="1" si="6"/>
        <v>0</v>
      </c>
      <c r="K11" s="1095">
        <f t="shared" ca="1" si="7"/>
        <v>0</v>
      </c>
    </row>
    <row r="12" spans="1:11" s="45" customFormat="1" hidden="1">
      <c r="A12" s="45" t="s">
        <v>1489</v>
      </c>
      <c r="B12" s="85">
        <f ca="1">IF(K12&gt;0,COUNTIF(K$6:K12,"&gt;0"),B11)</f>
        <v>0</v>
      </c>
      <c r="C12" s="1084" t="str">
        <f t="shared" si="1"/>
        <v>Máy biến áp 12,7/0,22-0,44kV 15kVA - Amorphous</v>
      </c>
      <c r="D12" s="85" t="str">
        <f t="shared" si="2"/>
        <v>máy</v>
      </c>
      <c r="E12" s="448">
        <f ca="1">SUMIF(OFFSET(tongctvtdd1,0,-(COLUMN(E12)+7-(COLUMN(E12)-5)/2)),KLVT!$A12,tongctvtdd1)+SUMIF(OFFSET(tongctvtpk1,0,-(COLUMN(E12)+7-(COLUMN(E12)-5)/2)),KLVT!$A12,tongctvtpk1)</f>
        <v>0</v>
      </c>
      <c r="F12" s="449">
        <f ca="1">SUMIF(OFFSET(cttba_vlvt1_1,0,-9,-ROW(cttba_vlvt1_1)+ROW(cttba_vltb1_1)-10),KLVT!$A12,OFFSET(cttba_vlvt1_1,0,-4,-ROW(cttba_vlvt1_1)+ROW(cttba_vltb1_1)-10))</f>
        <v>0</v>
      </c>
      <c r="G12" s="451">
        <f t="shared" ca="1" si="3"/>
        <v>0</v>
      </c>
      <c r="H12" s="450">
        <f t="shared" si="4"/>
        <v>129</v>
      </c>
      <c r="I12" s="447">
        <f t="shared" ca="1" si="5"/>
        <v>0</v>
      </c>
      <c r="J12" s="447">
        <f t="shared" ca="1" si="6"/>
        <v>0</v>
      </c>
      <c r="K12" s="1095">
        <f t="shared" ca="1" si="7"/>
        <v>0</v>
      </c>
    </row>
    <row r="13" spans="1:11" s="45" customFormat="1" hidden="1">
      <c r="A13" s="45" t="s">
        <v>1491</v>
      </c>
      <c r="B13" s="85">
        <f ca="1">IF(K13&gt;0,COUNTIF(K$6:K13,"&gt;0"),B12)</f>
        <v>0</v>
      </c>
      <c r="C13" s="1084" t="str">
        <f t="shared" si="1"/>
        <v>Máy biến áp 12,7/0,22-0,44kV 25kVA - Amorphous</v>
      </c>
      <c r="D13" s="85" t="str">
        <f t="shared" si="2"/>
        <v>máy</v>
      </c>
      <c r="E13" s="448">
        <f ca="1">SUMIF(OFFSET(tongctvtdd1,0,-(COLUMN(E13)+7-(COLUMN(E13)-5)/2)),KLVT!$A13,tongctvtdd1)+SUMIF(OFFSET(tongctvtpk1,0,-(COLUMN(E13)+7-(COLUMN(E13)-5)/2)),KLVT!$A13,tongctvtpk1)</f>
        <v>0</v>
      </c>
      <c r="F13" s="449">
        <f ca="1">SUMIF(OFFSET(cttba_vlvt1_1,0,-9,-ROW(cttba_vlvt1_1)+ROW(cttba_vltb1_1)-10),KLVT!$A13,OFFSET(cttba_vlvt1_1,0,-4,-ROW(cttba_vlvt1_1)+ROW(cttba_vltb1_1)-10))</f>
        <v>0</v>
      </c>
      <c r="G13" s="451">
        <f t="shared" ca="1" si="3"/>
        <v>0</v>
      </c>
      <c r="H13" s="450">
        <f t="shared" si="4"/>
        <v>180</v>
      </c>
      <c r="I13" s="447">
        <f t="shared" ca="1" si="5"/>
        <v>0</v>
      </c>
      <c r="J13" s="447">
        <f t="shared" ca="1" si="6"/>
        <v>0</v>
      </c>
      <c r="K13" s="1094">
        <f t="shared" ca="1" si="7"/>
        <v>0</v>
      </c>
    </row>
    <row r="14" spans="1:11" s="45" customFormat="1" hidden="1">
      <c r="A14" s="45" t="s">
        <v>2643</v>
      </c>
      <c r="B14" s="85">
        <f ca="1">IF(K14&gt;0,COUNTIF(K$6:K14,"&gt;0"),B13)</f>
        <v>0</v>
      </c>
      <c r="C14" s="1084" t="str">
        <f t="shared" si="1"/>
        <v>Máy biến áp 12,7/0,22-0,44kV 37,5kVA - Amorphous</v>
      </c>
      <c r="D14" s="85" t="str">
        <f t="shared" si="2"/>
        <v>máy</v>
      </c>
      <c r="E14" s="448">
        <f ca="1">SUMIF(OFFSET(tongctvtdd1,0,-(COLUMN(E14)+7-(COLUMN(E14)-5)/2)),KLVT!$A14,tongctvtdd1)+SUMIF(OFFSET(tongctvtpk1,0,-(COLUMN(E14)+7-(COLUMN(E14)-5)/2)),KLVT!$A14,tongctvtpk1)</f>
        <v>0</v>
      </c>
      <c r="F14" s="449">
        <f ca="1">SUMIF(OFFSET(cttba_vlvt1_1,0,-9,-ROW(cttba_vlvt1_1)+ROW(cttba_vltb1_1)-10),KLVT!$A14,OFFSET(cttba_vlvt1_1,0,-4,-ROW(cttba_vlvt1_1)+ROW(cttba_vltb1_1)-10))</f>
        <v>0</v>
      </c>
      <c r="G14" s="451">
        <f t="shared" ca="1" si="3"/>
        <v>0</v>
      </c>
      <c r="H14" s="450">
        <f t="shared" si="4"/>
        <v>250</v>
      </c>
      <c r="I14" s="447">
        <f t="shared" ca="1" si="5"/>
        <v>0</v>
      </c>
      <c r="J14" s="447">
        <f t="shared" ca="1" si="6"/>
        <v>0</v>
      </c>
      <c r="K14" s="1095">
        <f t="shared" ca="1" si="7"/>
        <v>0</v>
      </c>
    </row>
    <row r="15" spans="1:11" s="45" customFormat="1" hidden="1">
      <c r="A15" s="45" t="s">
        <v>1494</v>
      </c>
      <c r="B15" s="85">
        <f ca="1">IF(K15&gt;0,COUNTIF(K$6:K15,"&gt;0"),B14)</f>
        <v>0</v>
      </c>
      <c r="C15" s="1084" t="str">
        <f t="shared" si="1"/>
        <v>Máy biến áp 12,7/0,22-0,44kV 50kVA - Amorphous</v>
      </c>
      <c r="D15" s="85" t="str">
        <f t="shared" si="2"/>
        <v>máy</v>
      </c>
      <c r="E15" s="448">
        <f ca="1">SUMIF(OFFSET(tongctvtdd1,0,-(COLUMN(E15)+7-(COLUMN(E15)-5)/2)),KLVT!$A15,tongctvtdd1)+SUMIF(OFFSET(tongctvtpk1,0,-(COLUMN(E15)+7-(COLUMN(E15)-5)/2)),KLVT!$A15,tongctvtpk1)</f>
        <v>0</v>
      </c>
      <c r="F15" s="449">
        <f ca="1">SUMIF(OFFSET(cttba_vlvt1_1,0,-9,-ROW(cttba_vlvt1_1)+ROW(cttba_vltb1_1)-10),KLVT!$A15,OFFSET(cttba_vlvt1_1,0,-4,-ROW(cttba_vlvt1_1)+ROW(cttba_vltb1_1)-10))</f>
        <v>0</v>
      </c>
      <c r="G15" s="451">
        <f t="shared" ca="1" si="3"/>
        <v>0</v>
      </c>
      <c r="H15" s="450">
        <f t="shared" si="4"/>
        <v>380</v>
      </c>
      <c r="I15" s="447">
        <f t="shared" ca="1" si="5"/>
        <v>0</v>
      </c>
      <c r="J15" s="447">
        <f t="shared" ca="1" si="6"/>
        <v>0</v>
      </c>
      <c r="K15" s="1094">
        <f t="shared" ca="1" si="7"/>
        <v>0</v>
      </c>
    </row>
    <row r="16" spans="1:11" s="45" customFormat="1" hidden="1">
      <c r="A16" s="45" t="s">
        <v>1496</v>
      </c>
      <c r="B16" s="85">
        <f ca="1">IF(K16&gt;0,COUNTIF(K$6:K16,"&gt;0"),B15)</f>
        <v>0</v>
      </c>
      <c r="C16" s="1084" t="str">
        <f t="shared" si="1"/>
        <v>Máy biến áp 12,7/0,22-0,44kV 75kVA - Amorphous</v>
      </c>
      <c r="D16" s="85" t="str">
        <f t="shared" si="2"/>
        <v>máy</v>
      </c>
      <c r="E16" s="448">
        <f ca="1">SUMIF(OFFSET(tongctvtdd1,0,-(COLUMN(E16)+7-(COLUMN(E16)-5)/2)),KLVT!$A16,tongctvtdd1)+SUMIF(OFFSET(tongctvtpk1,0,-(COLUMN(E16)+7-(COLUMN(E16)-5)/2)),KLVT!$A16,tongctvtpk1)</f>
        <v>0</v>
      </c>
      <c r="F16" s="449">
        <f ca="1">SUMIF(OFFSET(cttba_vlvt1_1,0,-9,-ROW(cttba_vlvt1_1)+ROW(cttba_vltb1_1)-10),KLVT!$A16,OFFSET(cttba_vlvt1_1,0,-4,-ROW(cttba_vlvt1_1)+ROW(cttba_vltb1_1)-10))</f>
        <v>0</v>
      </c>
      <c r="G16" s="451">
        <f t="shared" ca="1" si="3"/>
        <v>0</v>
      </c>
      <c r="H16" s="450">
        <f t="shared" si="4"/>
        <v>505</v>
      </c>
      <c r="I16" s="447">
        <f t="shared" ca="1" si="5"/>
        <v>0</v>
      </c>
      <c r="J16" s="447">
        <f t="shared" ca="1" si="6"/>
        <v>0</v>
      </c>
      <c r="K16" s="1094">
        <f t="shared" ca="1" si="7"/>
        <v>0</v>
      </c>
    </row>
    <row r="17" spans="1:11" s="45" customFormat="1" hidden="1">
      <c r="A17" s="45" t="s">
        <v>1498</v>
      </c>
      <c r="B17" s="85">
        <f ca="1">IF(K17&gt;0,COUNTIF(K$6:K17,"&gt;0"),B16)</f>
        <v>0</v>
      </c>
      <c r="C17" s="1084" t="str">
        <f t="shared" si="1"/>
        <v>Máy biến áp 12,7/0,22-0,44kV 100kVA - Amorphous</v>
      </c>
      <c r="D17" s="85" t="str">
        <f t="shared" si="2"/>
        <v>máy</v>
      </c>
      <c r="E17" s="448">
        <f ca="1">SUMIF(OFFSET(tongctvtdd1,0,-(COLUMN(E17)+7-(COLUMN(E17)-5)/2)),KLVT!$A17,tongctvtdd1)+SUMIF(OFFSET(tongctvtpk1,0,-(COLUMN(E17)+7-(COLUMN(E17)-5)/2)),KLVT!$A17,tongctvtpk1)</f>
        <v>0</v>
      </c>
      <c r="F17" s="449">
        <f ca="1">SUMIF(OFFSET(cttba_vlvt1_1,0,-9,-ROW(cttba_vlvt1_1)+ROW(cttba_vltb1_1)-10),KLVT!$A17,OFFSET(cttba_vlvt1_1,0,-4,-ROW(cttba_vlvt1_1)+ROW(cttba_vltb1_1)-10))</f>
        <v>0</v>
      </c>
      <c r="G17" s="451">
        <f t="shared" ca="1" si="3"/>
        <v>0</v>
      </c>
      <c r="H17" s="450">
        <f t="shared" si="4"/>
        <v>745</v>
      </c>
      <c r="I17" s="447">
        <f t="shared" ca="1" si="5"/>
        <v>0</v>
      </c>
      <c r="J17" s="447">
        <f t="shared" ca="1" si="6"/>
        <v>0</v>
      </c>
      <c r="K17" s="1095">
        <f t="shared" ca="1" si="7"/>
        <v>0</v>
      </c>
    </row>
    <row r="18" spans="1:11" s="45" customFormat="1" hidden="1">
      <c r="A18" s="45" t="s">
        <v>1499</v>
      </c>
      <c r="B18" s="85">
        <f ca="1">IF(K18&gt;0,COUNTIF(K$6:K18,"&gt;0"),B17)</f>
        <v>0</v>
      </c>
      <c r="C18" s="1084" t="str">
        <f t="shared" si="1"/>
        <v>Máy biến áp 15(22)/0,4kV- 100kVA - Amorphous</v>
      </c>
      <c r="D18" s="85" t="str">
        <f t="shared" si="2"/>
        <v>máy</v>
      </c>
      <c r="E18" s="448">
        <f ca="1">SUMIF(OFFSET(tongctvtdd1,0,-(COLUMN(E18)+7-(COLUMN(E18)-5)/2)),KLVT!$A18,tongctvtdd1)+SUMIF(OFFSET(tongctvtpk1,0,-(COLUMN(E18)+7-(COLUMN(E18)-5)/2)),KLVT!$A18,tongctvtpk1)</f>
        <v>0</v>
      </c>
      <c r="F18" s="449">
        <f ca="1">SUMIF(OFFSET(cttba_vlvt1_1,0,-9,-ROW(cttba_vlvt1_1)+ROW(cttba_vltb1_1)-10),KLVT!$A18,OFFSET(cttba_vlvt1_1,0,-4,-ROW(cttba_vlvt1_1)+ROW(cttba_vltb1_1)-10))</f>
        <v>0</v>
      </c>
      <c r="G18" s="451">
        <f t="shared" ca="1" si="3"/>
        <v>0</v>
      </c>
      <c r="H18" s="450">
        <f t="shared" si="4"/>
        <v>800</v>
      </c>
      <c r="I18" s="447">
        <f t="shared" ca="1" si="5"/>
        <v>0</v>
      </c>
      <c r="J18" s="447">
        <f t="shared" ca="1" si="6"/>
        <v>0</v>
      </c>
      <c r="K18" s="1095">
        <f t="shared" ca="1" si="7"/>
        <v>0</v>
      </c>
    </row>
    <row r="19" spans="1:11" s="45" customFormat="1" hidden="1">
      <c r="A19" s="45" t="s">
        <v>1500</v>
      </c>
      <c r="B19" s="85">
        <f ca="1">IF(K19&gt;0,COUNTIF(K$6:K19,"&gt;0"),B18)</f>
        <v>0</v>
      </c>
      <c r="C19" s="1084" t="str">
        <f t="shared" si="1"/>
        <v>Máy biến áp 15(22)/0,4kV- 160kVA - Amorphous</v>
      </c>
      <c r="D19" s="85" t="str">
        <f t="shared" si="2"/>
        <v>máy</v>
      </c>
      <c r="E19" s="448">
        <f ca="1">SUMIF(OFFSET(tongctvtdd1,0,-(COLUMN(E19)+7-(COLUMN(E19)-5)/2)),KLVT!$A19,tongctvtdd1)+SUMIF(OFFSET(tongctvtpk1,0,-(COLUMN(E19)+7-(COLUMN(E19)-5)/2)),KLVT!$A19,tongctvtpk1)</f>
        <v>0</v>
      </c>
      <c r="F19" s="449">
        <f ca="1">SUMIF(OFFSET(cttba_vlvt1_1,0,-9,-ROW(cttba_vlvt1_1)+ROW(cttba_vltb1_1)-10),KLVT!$A19,OFFSET(cttba_vlvt1_1,0,-4,-ROW(cttba_vlvt1_1)+ROW(cttba_vltb1_1)-10))</f>
        <v>0</v>
      </c>
      <c r="G19" s="451">
        <f t="shared" ca="1" si="3"/>
        <v>0</v>
      </c>
      <c r="H19" s="450">
        <f t="shared" si="4"/>
        <v>904</v>
      </c>
      <c r="I19" s="447">
        <f t="shared" ca="1" si="5"/>
        <v>0</v>
      </c>
      <c r="J19" s="447">
        <f t="shared" ca="1" si="6"/>
        <v>0</v>
      </c>
      <c r="K19" s="1095">
        <f t="shared" ca="1" si="7"/>
        <v>0</v>
      </c>
    </row>
    <row r="20" spans="1:11" s="45" customFormat="1" hidden="1">
      <c r="A20" s="45" t="s">
        <v>1501</v>
      </c>
      <c r="B20" s="85">
        <f ca="1">IF(K20&gt;0,COUNTIF(K$6:K20,"&gt;0"),B19)</f>
        <v>0</v>
      </c>
      <c r="C20" s="1084" t="str">
        <f t="shared" si="1"/>
        <v>Máy biến áp 15(22)/0,4kV- 180kVA - Amorphous</v>
      </c>
      <c r="D20" s="85" t="str">
        <f t="shared" si="2"/>
        <v>máy</v>
      </c>
      <c r="E20" s="448">
        <f ca="1">SUMIF(OFFSET(tongctvtdd1,0,-(COLUMN(E20)+7-(COLUMN(E20)-5)/2)),KLVT!$A20,tongctvtdd1)+SUMIF(OFFSET(tongctvtpk1,0,-(COLUMN(E20)+7-(COLUMN(E20)-5)/2)),KLVT!$A20,tongctvtpk1)</f>
        <v>0</v>
      </c>
      <c r="F20" s="449">
        <f ca="1">SUMIF(OFFSET(cttba_vlvt1_1,0,-9,-ROW(cttba_vlvt1_1)+ROW(cttba_vltb1_1)-10),KLVT!$A20,OFFSET(cttba_vlvt1_1,0,-4,-ROW(cttba_vlvt1_1)+ROW(cttba_vltb1_1)-10))</f>
        <v>0</v>
      </c>
      <c r="G20" s="451">
        <f t="shared" ca="1" si="3"/>
        <v>0</v>
      </c>
      <c r="H20" s="450">
        <f t="shared" si="4"/>
        <v>1100</v>
      </c>
      <c r="I20" s="447">
        <f t="shared" ca="1" si="5"/>
        <v>0</v>
      </c>
      <c r="J20" s="447">
        <f t="shared" ca="1" si="6"/>
        <v>0</v>
      </c>
      <c r="K20" s="1095">
        <f t="shared" ca="1" si="7"/>
        <v>0</v>
      </c>
    </row>
    <row r="21" spans="1:11" s="45" customFormat="1" hidden="1">
      <c r="A21" s="45" t="s">
        <v>1502</v>
      </c>
      <c r="B21" s="85">
        <f ca="1">IF(K21&gt;0,COUNTIF(K$6:K21,"&gt;0"),B20)</f>
        <v>0</v>
      </c>
      <c r="C21" s="1084" t="str">
        <f t="shared" si="1"/>
        <v>Máy biến áp 15(22)/0,4kV- 250kVA - Amorphous</v>
      </c>
      <c r="D21" s="85" t="str">
        <f t="shared" si="2"/>
        <v>máy</v>
      </c>
      <c r="E21" s="448">
        <f ca="1">SUMIF(OFFSET(tongctvtdd1,0,-(COLUMN(E21)+7-(COLUMN(E21)-5)/2)),KLVT!$A21,tongctvtdd1)+SUMIF(OFFSET(tongctvtpk1,0,-(COLUMN(E21)+7-(COLUMN(E21)-5)/2)),KLVT!$A21,tongctvtpk1)</f>
        <v>0</v>
      </c>
      <c r="F21" s="449">
        <f ca="1">SUMIF(OFFSET(cttba_vlvt1_1,0,-9,-ROW(cttba_vlvt1_1)+ROW(cttba_vltb1_1)-10),KLVT!$A21,OFFSET(cttba_vlvt1_1,0,-4,-ROW(cttba_vlvt1_1)+ROW(cttba_vltb1_1)-10))</f>
        <v>0</v>
      </c>
      <c r="G21" s="451">
        <f t="shared" ca="1" si="3"/>
        <v>0</v>
      </c>
      <c r="H21" s="450">
        <f t="shared" si="4"/>
        <v>1155</v>
      </c>
      <c r="I21" s="447">
        <f t="shared" ca="1" si="5"/>
        <v>0</v>
      </c>
      <c r="J21" s="447">
        <f t="shared" ca="1" si="6"/>
        <v>0</v>
      </c>
      <c r="K21" s="1095">
        <f t="shared" ca="1" si="7"/>
        <v>0</v>
      </c>
    </row>
    <row r="22" spans="1:11" s="45" customFormat="1" hidden="1">
      <c r="A22" s="45" t="s">
        <v>1503</v>
      </c>
      <c r="B22" s="85">
        <f ca="1">IF(K22&gt;0,COUNTIF(K$6:K22,"&gt;0"),B21)</f>
        <v>0</v>
      </c>
      <c r="C22" s="1084" t="str">
        <f t="shared" si="1"/>
        <v>Máy biến áp 15(22)/0,4kV- 320kVA - Amorphous</v>
      </c>
      <c r="D22" s="85" t="str">
        <f t="shared" si="2"/>
        <v>máy</v>
      </c>
      <c r="E22" s="448">
        <f ca="1">SUMIF(OFFSET(tongctvtdd1,0,-(COLUMN(E22)+7-(COLUMN(E22)-5)/2)),KLVT!$A22,tongctvtdd1)+SUMIF(OFFSET(tongctvtpk1,0,-(COLUMN(E22)+7-(COLUMN(E22)-5)/2)),KLVT!$A22,tongctvtpk1)</f>
        <v>0</v>
      </c>
      <c r="F22" s="449">
        <f ca="1">SUMIF(OFFSET(cttba_vlvt1_1,0,-9,-ROW(cttba_vlvt1_1)+ROW(cttba_vltb1_1)-10),KLVT!$A22,OFFSET(cttba_vlvt1_1,0,-4,-ROW(cttba_vlvt1_1)+ROW(cttba_vltb1_1)-10))</f>
        <v>0</v>
      </c>
      <c r="G22" s="451">
        <f t="shared" ca="1" si="3"/>
        <v>0</v>
      </c>
      <c r="H22" s="450">
        <f t="shared" si="4"/>
        <v>1400</v>
      </c>
      <c r="I22" s="447">
        <f t="shared" ca="1" si="5"/>
        <v>0</v>
      </c>
      <c r="J22" s="447">
        <f t="shared" ca="1" si="6"/>
        <v>0</v>
      </c>
      <c r="K22" s="1095">
        <f t="shared" ca="1" si="7"/>
        <v>0</v>
      </c>
    </row>
    <row r="23" spans="1:11" s="45" customFormat="1" hidden="1">
      <c r="A23" s="45" t="s">
        <v>1504</v>
      </c>
      <c r="B23" s="85">
        <f ca="1">IF(K23&gt;0,COUNTIF(K$6:K23,"&gt;0"),B22)</f>
        <v>0</v>
      </c>
      <c r="C23" s="1084" t="str">
        <f t="shared" si="1"/>
        <v>Máy biến áp 15(22)/0,4kV- 400kVA - Amorphous</v>
      </c>
      <c r="D23" s="85" t="str">
        <f t="shared" si="2"/>
        <v>máy</v>
      </c>
      <c r="E23" s="448">
        <f ca="1">SUMIF(OFFSET(tongctvtdd1,0,-(COLUMN(E23)+7-(COLUMN(E23)-5)/2)),KLVT!$A23,tongctvtdd1)+SUMIF(OFFSET(tongctvtpk1,0,-(COLUMN(E23)+7-(COLUMN(E23)-5)/2)),KLVT!$A23,tongctvtpk1)</f>
        <v>0</v>
      </c>
      <c r="F23" s="449">
        <f ca="1">SUMIF(OFFSET(cttba_vlvt1_1,0,-9,-ROW(cttba_vlvt1_1)+ROW(cttba_vltb1_1)-10),KLVT!$A23,OFFSET(cttba_vlvt1_1,0,-4,-ROW(cttba_vlvt1_1)+ROW(cttba_vltb1_1)-10))</f>
        <v>0</v>
      </c>
      <c r="G23" s="451">
        <f t="shared" ca="1" si="3"/>
        <v>0</v>
      </c>
      <c r="H23" s="450">
        <f t="shared" si="4"/>
        <v>1800</v>
      </c>
      <c r="I23" s="447">
        <f t="shared" ca="1" si="5"/>
        <v>0</v>
      </c>
      <c r="J23" s="447">
        <f t="shared" ca="1" si="6"/>
        <v>0</v>
      </c>
      <c r="K23" s="1095">
        <f t="shared" ca="1" si="7"/>
        <v>0</v>
      </c>
    </row>
    <row r="24" spans="1:11" s="45" customFormat="1" hidden="1">
      <c r="A24" s="45" t="s">
        <v>1505</v>
      </c>
      <c r="B24" s="85">
        <f ca="1">IF(K24&gt;0,COUNTIF(K$6:K24,"&gt;0"),B23)</f>
        <v>0</v>
      </c>
      <c r="C24" s="1084" t="str">
        <f t="shared" si="1"/>
        <v>Máy biến áp 15(22)/0,4kV- 560kVA - Amorphous</v>
      </c>
      <c r="D24" s="85" t="str">
        <f t="shared" si="2"/>
        <v>máy</v>
      </c>
      <c r="E24" s="448">
        <f ca="1">SUMIF(OFFSET(tongctvtdd1,0,-(COLUMN(E24)+7-(COLUMN(E24)-5)/2)),KLVT!$A24,tongctvtdd1)+SUMIF(OFFSET(tongctvtpk1,0,-(COLUMN(E24)+7-(COLUMN(E24)-5)/2)),KLVT!$A24,tongctvtpk1)</f>
        <v>0</v>
      </c>
      <c r="F24" s="449">
        <f ca="1">SUMIF(OFFSET(cttba_vlvt1_1,0,-9,-ROW(cttba_vlvt1_1)+ROW(cttba_vltb1_1)-10),KLVT!$A24,OFFSET(cttba_vlvt1_1,0,-4,-ROW(cttba_vlvt1_1)+ROW(cttba_vltb1_1)-10))</f>
        <v>0</v>
      </c>
      <c r="G24" s="451">
        <f t="shared" ca="1" si="3"/>
        <v>0</v>
      </c>
      <c r="H24" s="450">
        <f t="shared" si="4"/>
        <v>2069</v>
      </c>
      <c r="I24" s="447">
        <f t="shared" ca="1" si="5"/>
        <v>0</v>
      </c>
      <c r="J24" s="447">
        <f t="shared" ca="1" si="6"/>
        <v>0</v>
      </c>
      <c r="K24" s="1095">
        <f t="shared" ca="1" si="7"/>
        <v>0</v>
      </c>
    </row>
    <row r="25" spans="1:11" s="45" customFormat="1" hidden="1">
      <c r="A25" s="45" t="s">
        <v>1506</v>
      </c>
      <c r="B25" s="85">
        <f ca="1">IF(K25&gt;0,COUNTIF(K$6:K25,"&gt;0"),B24)</f>
        <v>0</v>
      </c>
      <c r="C25" s="1084" t="str">
        <f t="shared" si="1"/>
        <v>Máy biến áp 15(22)/0,4kV- 630kVA - Amorphous</v>
      </c>
      <c r="D25" s="85" t="str">
        <f t="shared" si="2"/>
        <v>máy</v>
      </c>
      <c r="E25" s="448">
        <f ca="1">SUMIF(OFFSET(tongctvtdd1,0,-(COLUMN(E25)+7-(COLUMN(E25)-5)/2)),KLVT!$A25,tongctvtdd1)+SUMIF(OFFSET(tongctvtpk1,0,-(COLUMN(E25)+7-(COLUMN(E25)-5)/2)),KLVT!$A25,tongctvtpk1)</f>
        <v>0</v>
      </c>
      <c r="F25" s="449">
        <f ca="1">SUMIF(OFFSET(cttba_vlvt1_1,0,-9,-ROW(cttba_vlvt1_1)+ROW(cttba_vltb1_1)-10),KLVT!$A25,OFFSET(cttba_vlvt1_1,0,-4,-ROW(cttba_vlvt1_1)+ROW(cttba_vltb1_1)-10))</f>
        <v>0</v>
      </c>
      <c r="G25" s="451">
        <f t="shared" ca="1" si="3"/>
        <v>0</v>
      </c>
      <c r="H25" s="450">
        <f t="shared" si="4"/>
        <v>2500</v>
      </c>
      <c r="I25" s="447">
        <f t="shared" ca="1" si="5"/>
        <v>0</v>
      </c>
      <c r="J25" s="447">
        <f t="shared" ca="1" si="6"/>
        <v>0</v>
      </c>
      <c r="K25" s="1095">
        <f t="shared" ca="1" si="7"/>
        <v>0</v>
      </c>
    </row>
    <row r="26" spans="1:11" s="45" customFormat="1" hidden="1">
      <c r="A26" s="45" t="s">
        <v>1507</v>
      </c>
      <c r="B26" s="85">
        <f ca="1">IF(K26&gt;0,COUNTIF(K$6:K26,"&gt;0"),B25)</f>
        <v>0</v>
      </c>
      <c r="C26" s="1084" t="str">
        <f t="shared" si="1"/>
        <v>Máy biến áp 15(22)/0,4kV- 750kVA - Amorphous</v>
      </c>
      <c r="D26" s="85" t="str">
        <f t="shared" si="2"/>
        <v>máy</v>
      </c>
      <c r="E26" s="448">
        <f ca="1">SUMIF(OFFSET(tongctvtdd1,0,-(COLUMN(E26)+7-(COLUMN(E26)-5)/2)),KLVT!$A26,tongctvtdd1)+SUMIF(OFFSET(tongctvtpk1,0,-(COLUMN(E26)+7-(COLUMN(E26)-5)/2)),KLVT!$A26,tongctvtpk1)</f>
        <v>0</v>
      </c>
      <c r="F26" s="449">
        <f ca="1">SUMIF(OFFSET(cttba_vlvt1_1,0,-9,-ROW(cttba_vlvt1_1)+ROW(cttba_vltb1_1)-10),KLVT!$A26,OFFSET(cttba_vlvt1_1,0,-4,-ROW(cttba_vlvt1_1)+ROW(cttba_vltb1_1)-10))</f>
        <v>0</v>
      </c>
      <c r="G26" s="451">
        <f t="shared" ca="1" si="3"/>
        <v>0</v>
      </c>
      <c r="H26" s="450">
        <f t="shared" si="4"/>
        <v>2800</v>
      </c>
      <c r="I26" s="447">
        <f t="shared" ca="1" si="5"/>
        <v>0</v>
      </c>
      <c r="J26" s="447">
        <f t="shared" ca="1" si="6"/>
        <v>0</v>
      </c>
      <c r="K26" s="1095">
        <f t="shared" ca="1" si="7"/>
        <v>0</v>
      </c>
    </row>
    <row r="27" spans="1:11" s="45" customFormat="1" hidden="1">
      <c r="A27" s="45" t="s">
        <v>1508</v>
      </c>
      <c r="B27" s="85">
        <f ca="1">IF(K27&gt;0,COUNTIF(K$6:K27,"&gt;0"),B26)</f>
        <v>0</v>
      </c>
      <c r="C27" s="1084" t="str">
        <f t="shared" si="1"/>
        <v>Máy biến áp 15(22)/0,4kV- 1000kVA - Amorphous</v>
      </c>
      <c r="D27" s="85" t="str">
        <f t="shared" si="2"/>
        <v>máy</v>
      </c>
      <c r="E27" s="448">
        <f ca="1">SUMIF(OFFSET(tongctvtdd1,0,-(COLUMN(E27)+7-(COLUMN(E27)-5)/2)),KLVT!$A27,tongctvtdd1)+SUMIF(OFFSET(tongctvtpk1,0,-(COLUMN(E27)+7-(COLUMN(E27)-5)/2)),KLVT!$A27,tongctvtpk1)</f>
        <v>0</v>
      </c>
      <c r="F27" s="449">
        <f ca="1">SUMIF(OFFSET(cttba_vlvt1_1,0,-9,-ROW(cttba_vlvt1_1)+ROW(cttba_vltb1_1)-10),KLVT!$A27,OFFSET(cttba_vlvt1_1,0,-4,-ROW(cttba_vlvt1_1)+ROW(cttba_vltb1_1)-10))</f>
        <v>0</v>
      </c>
      <c r="G27" s="451">
        <f t="shared" ca="1" si="3"/>
        <v>0</v>
      </c>
      <c r="H27" s="450">
        <f t="shared" si="4"/>
        <v>3000</v>
      </c>
      <c r="I27" s="447">
        <f t="shared" ca="1" si="5"/>
        <v>0</v>
      </c>
      <c r="J27" s="447">
        <f t="shared" ca="1" si="6"/>
        <v>0</v>
      </c>
      <c r="K27" s="1095">
        <f t="shared" ca="1" si="7"/>
        <v>0</v>
      </c>
    </row>
    <row r="28" spans="1:11" s="45" customFormat="1" hidden="1">
      <c r="A28" s="45" t="s">
        <v>1509</v>
      </c>
      <c r="B28" s="85">
        <f ca="1">IF(K28&gt;0,COUNTIF(K$6:K28,"&gt;0"),B27)</f>
        <v>0</v>
      </c>
      <c r="C28" s="1084" t="str">
        <f>VLOOKUP(A28,DONGIA,3,0)</f>
        <v>Máy biến áp 15(22)/0,4kV- 1250kVA - Amorphous</v>
      </c>
      <c r="D28" s="85" t="str">
        <f>VLOOKUP(A28,DONGIA,4,0)</f>
        <v>máy</v>
      </c>
      <c r="E28" s="448">
        <f ca="1">SUMIF(OFFSET(tongctvtdd1,0,-(COLUMN(E28)+7-(COLUMN(E28)-5)/2)),KLVT!$A28,tongctvtdd1)+SUMIF(OFFSET(tongctvtpk1,0,-(COLUMN(E28)+7-(COLUMN(E28)-5)/2)),KLVT!$A28,tongctvtpk1)</f>
        <v>0</v>
      </c>
      <c r="F28" s="449">
        <f ca="1">SUMIF(OFFSET(cttba_vlvt1_1,0,-9,-ROW(cttba_vlvt1_1)+ROW(cttba_vltb1_1)-10),KLVT!$A28,OFFSET(cttba_vlvt1_1,0,-4,-ROW(cttba_vlvt1_1)+ROW(cttba_vltb1_1)-10))</f>
        <v>0</v>
      </c>
      <c r="G28" s="451">
        <f t="shared" ca="1" si="3"/>
        <v>0</v>
      </c>
      <c r="H28" s="450">
        <f t="shared" si="4"/>
        <v>4000</v>
      </c>
      <c r="I28" s="447">
        <f t="shared" ca="1" si="5"/>
        <v>0</v>
      </c>
      <c r="J28" s="447">
        <f t="shared" ca="1" si="6"/>
        <v>0</v>
      </c>
      <c r="K28" s="1095">
        <f t="shared" ca="1" si="7"/>
        <v>0</v>
      </c>
    </row>
    <row r="29" spans="1:11" s="45" customFormat="1" hidden="1">
      <c r="A29" s="45" t="s">
        <v>1510</v>
      </c>
      <c r="B29" s="85">
        <f ca="1">IF(K29&gt;0,COUNTIF(K$6:K29,"&gt;0"),B28)</f>
        <v>0</v>
      </c>
      <c r="C29" s="1084" t="str">
        <f t="shared" si="1"/>
        <v>Máy biến áp 15(22)/0,4kV- 1500kVA - Amorphous</v>
      </c>
      <c r="D29" s="85" t="str">
        <f t="shared" si="2"/>
        <v>máy</v>
      </c>
      <c r="E29" s="448">
        <f ca="1">SUMIF(OFFSET(tongctvtdd1,0,-(COLUMN(E29)+7-(COLUMN(E29)-5)/2)),KLVT!$A29,tongctvtdd1)+SUMIF(OFFSET(tongctvtpk1,0,-(COLUMN(E29)+7-(COLUMN(E29)-5)/2)),KLVT!$A29,tongctvtpk1)</f>
        <v>0</v>
      </c>
      <c r="F29" s="449">
        <f ca="1">SUMIF(OFFSET(cttba_vlvt1_1,0,-9,-ROW(cttba_vlvt1_1)+ROW(cttba_vltb1_1)-10),KLVT!$A29,OFFSET(cttba_vlvt1_1,0,-4,-ROW(cttba_vlvt1_1)+ROW(cttba_vltb1_1)-10))</f>
        <v>0</v>
      </c>
      <c r="G29" s="451">
        <f t="shared" ca="1" si="3"/>
        <v>0</v>
      </c>
      <c r="H29" s="450">
        <f t="shared" si="4"/>
        <v>4250</v>
      </c>
      <c r="I29" s="447">
        <f t="shared" ca="1" si="5"/>
        <v>0</v>
      </c>
      <c r="J29" s="447">
        <f t="shared" ca="1" si="6"/>
        <v>0</v>
      </c>
      <c r="K29" s="1095">
        <f t="shared" ca="1" si="7"/>
        <v>0</v>
      </c>
    </row>
    <row r="30" spans="1:11" s="45" customFormat="1" hidden="1">
      <c r="A30" s="45" t="s">
        <v>1511</v>
      </c>
      <c r="B30" s="85">
        <f ca="1">IF(K30&gt;0,COUNTIF(K$6:K30,"&gt;0"),B29)</f>
        <v>0</v>
      </c>
      <c r="C30" s="1084" t="str">
        <f t="shared" si="1"/>
        <v>Máy biến áp 15(22)/0,4kV- 1600kVA - Amorphous</v>
      </c>
      <c r="D30" s="85" t="str">
        <f t="shared" si="2"/>
        <v>máy</v>
      </c>
      <c r="E30" s="448">
        <f ca="1">SUMIF(OFFSET(tongctvtdd1,0,-(COLUMN(E30)+7-(COLUMN(E30)-5)/2)),KLVT!$A30,tongctvtdd1)+SUMIF(OFFSET(tongctvtpk1,0,-(COLUMN(E30)+7-(COLUMN(E30)-5)/2)),KLVT!$A30,tongctvtpk1)</f>
        <v>0</v>
      </c>
      <c r="F30" s="449">
        <f ca="1">SUMIF(OFFSET(cttba_vlvt1_1,0,-9,-ROW(cttba_vlvt1_1)+ROW(cttba_vltb1_1)-10),KLVT!$A30,OFFSET(cttba_vlvt1_1,0,-4,-ROW(cttba_vlvt1_1)+ROW(cttba_vltb1_1)-10))</f>
        <v>0</v>
      </c>
      <c r="G30" s="451">
        <f t="shared" ca="1" si="3"/>
        <v>0</v>
      </c>
      <c r="H30" s="450">
        <f t="shared" si="4"/>
        <v>4300</v>
      </c>
      <c r="I30" s="447">
        <f t="shared" ca="1" si="5"/>
        <v>0</v>
      </c>
      <c r="J30" s="447">
        <f t="shared" ca="1" si="6"/>
        <v>0</v>
      </c>
      <c r="K30" s="1095">
        <f t="shared" ca="1" si="7"/>
        <v>0</v>
      </c>
    </row>
    <row r="31" spans="1:11" s="45" customFormat="1" hidden="1">
      <c r="A31" s="45" t="s">
        <v>1512</v>
      </c>
      <c r="B31" s="85">
        <f ca="1">IF(K31&gt;0,COUNTIF(K$6:K31,"&gt;0"),B30)</f>
        <v>0</v>
      </c>
      <c r="C31" s="1084" t="str">
        <f t="shared" si="1"/>
        <v>Máy biến áp 15(22)/0,4kV- 2000kVA - Amorphous</v>
      </c>
      <c r="D31" s="85" t="str">
        <f t="shared" si="2"/>
        <v>máy</v>
      </c>
      <c r="E31" s="448">
        <f ca="1">SUMIF(OFFSET(tongctvtdd1,0,-(COLUMN(E31)+7-(COLUMN(E31)-5)/2)),KLVT!$A31,tongctvtdd1)+SUMIF(OFFSET(tongctvtpk1,0,-(COLUMN(E31)+7-(COLUMN(E31)-5)/2)),KLVT!$A31,tongctvtpk1)</f>
        <v>0</v>
      </c>
      <c r="F31" s="449">
        <f ca="1">SUMIF(OFFSET(cttba_vlvt1_1,0,-9,-ROW(cttba_vlvt1_1)+ROW(cttba_vltb1_1)-10),KLVT!$A31,OFFSET(cttba_vlvt1_1,0,-4,-ROW(cttba_vlvt1_1)+ROW(cttba_vltb1_1)-10))</f>
        <v>0</v>
      </c>
      <c r="G31" s="451">
        <f t="shared" ca="1" si="3"/>
        <v>0</v>
      </c>
      <c r="H31" s="450">
        <f t="shared" si="4"/>
        <v>4500</v>
      </c>
      <c r="I31" s="447">
        <f t="shared" ca="1" si="5"/>
        <v>0</v>
      </c>
      <c r="J31" s="447">
        <f t="shared" ca="1" si="6"/>
        <v>0</v>
      </c>
      <c r="K31" s="1095">
        <f t="shared" ca="1" si="7"/>
        <v>0</v>
      </c>
    </row>
    <row r="32" spans="1:11" s="45" customFormat="1" hidden="1">
      <c r="A32" s="45" t="s">
        <v>1513</v>
      </c>
      <c r="B32" s="85">
        <f ca="1">IF(K32&gt;0,COUNTIF(K$6:K32,"&gt;0"),B31)</f>
        <v>0</v>
      </c>
      <c r="C32" s="1084" t="str">
        <f t="shared" si="1"/>
        <v>Máy biến áp 15(22)/0,4kV- 2500kVA - Amorphous</v>
      </c>
      <c r="D32" s="85" t="str">
        <f t="shared" si="2"/>
        <v>máy</v>
      </c>
      <c r="E32" s="448">
        <f ca="1">SUMIF(OFFSET(tongctvtdd1,0,-(COLUMN(E32)+7-(COLUMN(E32)-5)/2)),KLVT!$A32,tongctvtdd1)+SUMIF(OFFSET(tongctvtpk1,0,-(COLUMN(E32)+7-(COLUMN(E32)-5)/2)),KLVT!$A32,tongctvtpk1)</f>
        <v>0</v>
      </c>
      <c r="F32" s="449">
        <f ca="1">SUMIF(OFFSET(cttba_vlvt1_1,0,-9,-ROW(cttba_vlvt1_1)+ROW(cttba_vltb1_1)-10),KLVT!$A32,OFFSET(cttba_vlvt1_1,0,-4,-ROW(cttba_vlvt1_1)+ROW(cttba_vltb1_1)-10))</f>
        <v>0</v>
      </c>
      <c r="G32" s="451">
        <f t="shared" ca="1" si="3"/>
        <v>0</v>
      </c>
      <c r="H32" s="450">
        <f t="shared" si="4"/>
        <v>5000</v>
      </c>
      <c r="I32" s="447">
        <f t="shared" ca="1" si="5"/>
        <v>0</v>
      </c>
      <c r="J32" s="447">
        <f t="shared" ca="1" si="6"/>
        <v>0</v>
      </c>
      <c r="K32" s="1095">
        <f t="shared" ca="1" si="7"/>
        <v>0</v>
      </c>
    </row>
    <row r="33" spans="1:11" s="45" customFormat="1" hidden="1">
      <c r="A33" s="45" t="s">
        <v>1514</v>
      </c>
      <c r="B33" s="85">
        <f ca="1">IF(K33&gt;0,COUNTIF(K$6:K33,"&gt;0"),B32)</f>
        <v>0</v>
      </c>
      <c r="C33" s="1084" t="str">
        <f t="shared" si="1"/>
        <v>Máy biến áp 15(22)/0,4kV- 3000kVA - Amorphous</v>
      </c>
      <c r="D33" s="85" t="str">
        <f t="shared" si="2"/>
        <v>máy</v>
      </c>
      <c r="E33" s="448">
        <f ca="1">SUMIF(OFFSET(tongctvtdd1,0,-(COLUMN(E33)+7-(COLUMN(E33)-5)/2)),KLVT!$A33,tongctvtdd1)+SUMIF(OFFSET(tongctvtpk1,0,-(COLUMN(E33)+7-(COLUMN(E33)-5)/2)),KLVT!$A33,tongctvtpk1)</f>
        <v>0</v>
      </c>
      <c r="F33" s="449">
        <f ca="1">SUMIF(OFFSET(cttba_vlvt1_1,0,-9,-ROW(cttba_vlvt1_1)+ROW(cttba_vltb1_1)-10),KLVT!$A33,OFFSET(cttba_vlvt1_1,0,-4,-ROW(cttba_vlvt1_1)+ROW(cttba_vltb1_1)-10))</f>
        <v>0</v>
      </c>
      <c r="G33" s="451">
        <f t="shared" ca="1" si="3"/>
        <v>0</v>
      </c>
      <c r="H33" s="450">
        <f t="shared" si="4"/>
        <v>5500</v>
      </c>
      <c r="I33" s="447">
        <f t="shared" ca="1" si="5"/>
        <v>0</v>
      </c>
      <c r="J33" s="447">
        <f t="shared" ca="1" si="6"/>
        <v>0</v>
      </c>
      <c r="K33" s="1095">
        <f t="shared" ca="1" si="7"/>
        <v>0</v>
      </c>
    </row>
    <row r="34" spans="1:11" s="45" customFormat="1" hidden="1">
      <c r="A34" s="45" t="s">
        <v>1515</v>
      </c>
      <c r="B34" s="85">
        <f ca="1">IF(K34&gt;0,COUNTIF(K$6:K34,"&gt;0"),B33)</f>
        <v>0</v>
      </c>
      <c r="C34" s="1084" t="str">
        <f t="shared" si="1"/>
        <v>Máy biến áp 15(22)/0,4kV- 4000kVA - Amorphous</v>
      </c>
      <c r="D34" s="85" t="str">
        <f t="shared" si="2"/>
        <v>máy</v>
      </c>
      <c r="E34" s="448">
        <f ca="1">SUMIF(OFFSET(tongctvtdd1,0,-(COLUMN(E34)+7-(COLUMN(E34)-5)/2)),KLVT!$A34,tongctvtdd1)+SUMIF(OFFSET(tongctvtpk1,0,-(COLUMN(E34)+7-(COLUMN(E34)-5)/2)),KLVT!$A34,tongctvtpk1)</f>
        <v>0</v>
      </c>
      <c r="F34" s="449">
        <f ca="1">SUMIF(OFFSET(cttba_vlvt1_1,0,-9,-ROW(cttba_vlvt1_1)+ROW(cttba_vltb1_1)-10),KLVT!$A34,OFFSET(cttba_vlvt1_1,0,-4,-ROW(cttba_vlvt1_1)+ROW(cttba_vltb1_1)-10))</f>
        <v>0</v>
      </c>
      <c r="G34" s="451">
        <f t="shared" ca="1" si="3"/>
        <v>0</v>
      </c>
      <c r="H34" s="450">
        <f t="shared" si="4"/>
        <v>6000</v>
      </c>
      <c r="I34" s="447">
        <f t="shared" ca="1" si="5"/>
        <v>0</v>
      </c>
      <c r="J34" s="447">
        <f t="shared" ca="1" si="6"/>
        <v>0</v>
      </c>
      <c r="K34" s="1095">
        <f t="shared" ca="1" si="7"/>
        <v>0</v>
      </c>
    </row>
    <row r="35" spans="1:11" s="45" customFormat="1" hidden="1">
      <c r="A35" s="45" t="s">
        <v>1516</v>
      </c>
      <c r="B35" s="85">
        <f ca="1">IF(K35&gt;0,COUNTIF(K$6:K35,"&gt;0"),B34)</f>
        <v>0</v>
      </c>
      <c r="C35" s="1084" t="str">
        <f t="shared" si="1"/>
        <v>Máy biến áp 22/0,4kV 100kVA - Amorphous</v>
      </c>
      <c r="D35" s="85" t="str">
        <f t="shared" si="2"/>
        <v>máy</v>
      </c>
      <c r="E35" s="448">
        <f ca="1">SUMIF(OFFSET(tongctvtdd1,0,-(COLUMN(E35)+7-(COLUMN(E35)-5)/2)),KLVT!$A35,tongctvtdd1)+SUMIF(OFFSET(tongctvtpk1,0,-(COLUMN(E35)+7-(COLUMN(E35)-5)/2)),KLVT!$A35,tongctvtpk1)</f>
        <v>0</v>
      </c>
      <c r="F35" s="449">
        <f ca="1">SUMIF(OFFSET(cttba_vlvt1_1,0,-9,-ROW(cttba_vlvt1_1)+ROW(cttba_vltb1_1)-10),KLVT!$A35,OFFSET(cttba_vlvt1_1,0,-4,-ROW(cttba_vlvt1_1)+ROW(cttba_vltb1_1)-10))</f>
        <v>0</v>
      </c>
      <c r="G35" s="451">
        <f t="shared" ca="1" si="3"/>
        <v>0</v>
      </c>
      <c r="H35" s="450">
        <f t="shared" si="4"/>
        <v>800</v>
      </c>
      <c r="I35" s="447">
        <f t="shared" ca="1" si="5"/>
        <v>0</v>
      </c>
      <c r="J35" s="447">
        <f t="shared" ca="1" si="6"/>
        <v>0</v>
      </c>
      <c r="K35" s="1095">
        <f t="shared" ca="1" si="7"/>
        <v>0</v>
      </c>
    </row>
    <row r="36" spans="1:11" s="45" customFormat="1" hidden="1">
      <c r="A36" s="45" t="s">
        <v>1517</v>
      </c>
      <c r="B36" s="85">
        <f ca="1">IF(K36&gt;0,COUNTIF(K$6:K36,"&gt;0"),B35)</f>
        <v>0</v>
      </c>
      <c r="C36" s="1084" t="str">
        <f t="shared" si="1"/>
        <v>Máy biến áp 22/0,4kV 160kVA - Amorphous</v>
      </c>
      <c r="D36" s="85" t="str">
        <f t="shared" si="2"/>
        <v>máy</v>
      </c>
      <c r="E36" s="448">
        <f ca="1">SUMIF(OFFSET(tongctvtdd1,0,-(COLUMN(E36)+7-(COLUMN(E36)-5)/2)),KLVT!$A36,tongctvtdd1)+SUMIF(OFFSET(tongctvtpk1,0,-(COLUMN(E36)+7-(COLUMN(E36)-5)/2)),KLVT!$A36,tongctvtpk1)</f>
        <v>0</v>
      </c>
      <c r="F36" s="449">
        <f ca="1">SUMIF(OFFSET(cttba_vlvt1_1,0,-9,-ROW(cttba_vlvt1_1)+ROW(cttba_vltb1_1)-10),KLVT!$A36,OFFSET(cttba_vlvt1_1,0,-4,-ROW(cttba_vlvt1_1)+ROW(cttba_vltb1_1)-10))</f>
        <v>0</v>
      </c>
      <c r="G36" s="451">
        <f t="shared" ca="1" si="3"/>
        <v>0</v>
      </c>
      <c r="H36" s="450">
        <f t="shared" si="4"/>
        <v>904</v>
      </c>
      <c r="I36" s="447">
        <f t="shared" ca="1" si="5"/>
        <v>0</v>
      </c>
      <c r="J36" s="447">
        <f t="shared" ca="1" si="6"/>
        <v>0</v>
      </c>
      <c r="K36" s="1095">
        <f t="shared" ca="1" si="7"/>
        <v>0</v>
      </c>
    </row>
    <row r="37" spans="1:11" s="45" customFormat="1" hidden="1">
      <c r="A37" s="45" t="s">
        <v>1519</v>
      </c>
      <c r="B37" s="85">
        <f ca="1">IF(K37&gt;0,COUNTIF(K$6:K37,"&gt;0"),B36)</f>
        <v>0</v>
      </c>
      <c r="C37" s="1084" t="str">
        <f t="shared" si="1"/>
        <v>Máy biến áp 22/0,4kV 180kVA - Amorphous</v>
      </c>
      <c r="D37" s="85" t="str">
        <f t="shared" si="2"/>
        <v>máy</v>
      </c>
      <c r="E37" s="448">
        <f ca="1">SUMIF(OFFSET(tongctvtdd1,0,-(COLUMN(E37)+7-(COLUMN(E37)-5)/2)),KLVT!$A37,tongctvtdd1)+SUMIF(OFFSET(tongctvtpk1,0,-(COLUMN(E37)+7-(COLUMN(E37)-5)/2)),KLVT!$A37,tongctvtpk1)</f>
        <v>0</v>
      </c>
      <c r="F37" s="449">
        <f ca="1">SUMIF(OFFSET(cttba_vlvt1_1,0,-9,-ROW(cttba_vlvt1_1)+ROW(cttba_vltb1_1)-10),KLVT!$A37,OFFSET(cttba_vlvt1_1,0,-4,-ROW(cttba_vlvt1_1)+ROW(cttba_vltb1_1)-10))</f>
        <v>0</v>
      </c>
      <c r="G37" s="451">
        <f t="shared" ca="1" si="3"/>
        <v>0</v>
      </c>
      <c r="H37" s="450">
        <f t="shared" si="4"/>
        <v>1100</v>
      </c>
      <c r="I37" s="447">
        <f t="shared" ca="1" si="5"/>
        <v>0</v>
      </c>
      <c r="J37" s="447">
        <f t="shared" ca="1" si="6"/>
        <v>0</v>
      </c>
      <c r="K37" s="1095">
        <f t="shared" ca="1" si="7"/>
        <v>0</v>
      </c>
    </row>
    <row r="38" spans="1:11" s="45" customFormat="1" hidden="1">
      <c r="A38" s="45" t="s">
        <v>1520</v>
      </c>
      <c r="B38" s="85">
        <f ca="1">IF(K38&gt;0,COUNTIF(K$6:K38,"&gt;0"),B37)</f>
        <v>0</v>
      </c>
      <c r="C38" s="1084" t="str">
        <f t="shared" si="1"/>
        <v>Máy biến áp 22/0,4kV- 250kVA - Amorphous</v>
      </c>
      <c r="D38" s="85" t="str">
        <f t="shared" si="2"/>
        <v>máy</v>
      </c>
      <c r="E38" s="448">
        <f ca="1">SUMIF(OFFSET(tongctvtdd1,0,-(COLUMN(E38)+7-(COLUMN(E38)-5)/2)),KLVT!$A38,tongctvtdd1)+SUMIF(OFFSET(tongctvtpk1,0,-(COLUMN(E38)+7-(COLUMN(E38)-5)/2)),KLVT!$A38,tongctvtpk1)</f>
        <v>0</v>
      </c>
      <c r="F38" s="449">
        <f ca="1">SUMIF(OFFSET(cttba_vlvt1_1,0,-9,-ROW(cttba_vlvt1_1)+ROW(cttba_vltb1_1)-10),KLVT!$A38,OFFSET(cttba_vlvt1_1,0,-4,-ROW(cttba_vlvt1_1)+ROW(cttba_vltb1_1)-10))</f>
        <v>0</v>
      </c>
      <c r="G38" s="451">
        <f t="shared" ca="1" si="3"/>
        <v>0</v>
      </c>
      <c r="H38" s="450">
        <f t="shared" ref="H38:H69" si="8">VLOOKUP(A38,DONGIA,18,0)</f>
        <v>1155</v>
      </c>
      <c r="I38" s="447">
        <f t="shared" ref="I38:I69" ca="1" si="9">E38*$H38</f>
        <v>0</v>
      </c>
      <c r="J38" s="447">
        <f t="shared" ref="J38:J69" ca="1" si="10">F38*$H38</f>
        <v>0</v>
      </c>
      <c r="K38" s="1094">
        <f t="shared" ref="K38:K69" ca="1" si="11">IF(G38&gt;0,1,0)</f>
        <v>0</v>
      </c>
    </row>
    <row r="39" spans="1:11" s="45" customFormat="1" hidden="1">
      <c r="A39" s="45" t="s">
        <v>1522</v>
      </c>
      <c r="B39" s="85">
        <f ca="1">IF(K39&gt;0,COUNTIF(K$6:K39,"&gt;0"),B38)</f>
        <v>0</v>
      </c>
      <c r="C39" s="1084" t="str">
        <f t="shared" si="1"/>
        <v>Máy biến áp 22/0,4kV- 320kVA - Amorphous</v>
      </c>
      <c r="D39" s="85" t="str">
        <f t="shared" si="2"/>
        <v>máy</v>
      </c>
      <c r="E39" s="448">
        <f ca="1">SUMIF(OFFSET(tongctvtdd1,0,-(COLUMN(E39)+7-(COLUMN(E39)-5)/2)),KLVT!$A39,tongctvtdd1)+SUMIF(OFFSET(tongctvtpk1,0,-(COLUMN(E39)+7-(COLUMN(E39)-5)/2)),KLVT!$A39,tongctvtpk1)</f>
        <v>0</v>
      </c>
      <c r="F39" s="449">
        <f ca="1">SUMIF(OFFSET(cttba_vlvt1_1,0,-9,-ROW(cttba_vlvt1_1)+ROW(cttba_vltb1_1)-10),KLVT!$A39,OFFSET(cttba_vlvt1_1,0,-4,-ROW(cttba_vlvt1_1)+ROW(cttba_vltb1_1)-10))</f>
        <v>0</v>
      </c>
      <c r="G39" s="451">
        <f t="shared" ca="1" si="3"/>
        <v>0</v>
      </c>
      <c r="H39" s="450">
        <f t="shared" si="8"/>
        <v>1400</v>
      </c>
      <c r="I39" s="447">
        <f t="shared" ca="1" si="9"/>
        <v>0</v>
      </c>
      <c r="J39" s="447">
        <f t="shared" ca="1" si="10"/>
        <v>0</v>
      </c>
      <c r="K39" s="1094">
        <f t="shared" ca="1" si="11"/>
        <v>0</v>
      </c>
    </row>
    <row r="40" spans="1:11" s="45" customFormat="1" hidden="1">
      <c r="A40" s="45" t="s">
        <v>1524</v>
      </c>
      <c r="B40" s="85">
        <f ca="1">IF(K40&gt;0,COUNTIF(K$6:K40,"&gt;0"),B39)</f>
        <v>0</v>
      </c>
      <c r="C40" s="1084" t="str">
        <f t="shared" ref="C40:C81" si="12">VLOOKUP(A40,DONGIA,3,0)</f>
        <v>Máy biến áp 22/0,4kV- 400kVA - Amorphous</v>
      </c>
      <c r="D40" s="85" t="str">
        <f t="shared" ref="D40:D81" si="13">VLOOKUP(A40,DONGIA,4,0)</f>
        <v>máy</v>
      </c>
      <c r="E40" s="448">
        <f ca="1">SUMIF(OFFSET(tongctvtdd1,0,-(COLUMN(E40)+7-(COLUMN(E40)-5)/2)),KLVT!$A40,tongctvtdd1)+SUMIF(OFFSET(tongctvtpk1,0,-(COLUMN(E40)+7-(COLUMN(E40)-5)/2)),KLVT!$A40,tongctvtpk1)</f>
        <v>0</v>
      </c>
      <c r="F40" s="449">
        <f ca="1">SUMIF(OFFSET(cttba_vlvt1_1,0,-9,-ROW(cttba_vlvt1_1)+ROW(cttba_vltb1_1)-10),KLVT!$A40,OFFSET(cttba_vlvt1_1,0,-4,-ROW(cttba_vlvt1_1)+ROW(cttba_vltb1_1)-10))</f>
        <v>0</v>
      </c>
      <c r="G40" s="451">
        <f t="shared" ca="1" si="3"/>
        <v>0</v>
      </c>
      <c r="H40" s="450">
        <f t="shared" si="8"/>
        <v>1800</v>
      </c>
      <c r="I40" s="447">
        <f t="shared" ca="1" si="9"/>
        <v>0</v>
      </c>
      <c r="J40" s="447">
        <f t="shared" ca="1" si="10"/>
        <v>0</v>
      </c>
      <c r="K40" s="1094">
        <f t="shared" ca="1" si="11"/>
        <v>0</v>
      </c>
    </row>
    <row r="41" spans="1:11" s="45" customFormat="1" hidden="1">
      <c r="A41" s="45" t="s">
        <v>1526</v>
      </c>
      <c r="B41" s="85">
        <f ca="1">IF(K41&gt;0,COUNTIF(K$6:K41,"&gt;0"),B40)</f>
        <v>0</v>
      </c>
      <c r="C41" s="1084" t="str">
        <f t="shared" si="12"/>
        <v>Máy biến áp 22/0,4kV- 560kVA - Amorphous</v>
      </c>
      <c r="D41" s="85" t="str">
        <f t="shared" si="13"/>
        <v>máy</v>
      </c>
      <c r="E41" s="448">
        <f ca="1">SUMIF(OFFSET(tongctvtdd1,0,-(COLUMN(E41)+7-(COLUMN(E41)-5)/2)),KLVT!$A41,tongctvtdd1)+SUMIF(OFFSET(tongctvtpk1,0,-(COLUMN(E41)+7-(COLUMN(E41)-5)/2)),KLVT!$A41,tongctvtpk1)</f>
        <v>0</v>
      </c>
      <c r="F41" s="449">
        <f ca="1">SUMIF(OFFSET(cttba_vlvt1_1,0,-9,-ROW(cttba_vlvt1_1)+ROW(cttba_vltb1_1)-10),KLVT!$A41,OFFSET(cttba_vlvt1_1,0,-4,-ROW(cttba_vlvt1_1)+ROW(cttba_vltb1_1)-10))</f>
        <v>0</v>
      </c>
      <c r="G41" s="451">
        <f t="shared" ca="1" si="3"/>
        <v>0</v>
      </c>
      <c r="H41" s="450">
        <f t="shared" si="8"/>
        <v>2069</v>
      </c>
      <c r="I41" s="447">
        <f t="shared" ca="1" si="9"/>
        <v>0</v>
      </c>
      <c r="J41" s="447">
        <f t="shared" ca="1" si="10"/>
        <v>0</v>
      </c>
      <c r="K41" s="1095">
        <f t="shared" ca="1" si="11"/>
        <v>0</v>
      </c>
    </row>
    <row r="42" spans="1:11" s="45" customFormat="1" hidden="1">
      <c r="A42" s="45" t="s">
        <v>1528</v>
      </c>
      <c r="B42" s="85">
        <f ca="1">IF(K42&gt;0,COUNTIF(K$6:K42,"&gt;0"),B41)</f>
        <v>0</v>
      </c>
      <c r="C42" s="1084" t="str">
        <f t="shared" si="12"/>
        <v>Máy biến áp 22/0,4kV- 630kVA - Amorphous</v>
      </c>
      <c r="D42" s="85" t="str">
        <f t="shared" si="13"/>
        <v>máy</v>
      </c>
      <c r="E42" s="448">
        <f ca="1">SUMIF(OFFSET(tongctvtdd1,0,-(COLUMN(E42)+7-(COLUMN(E42)-5)/2)),KLVT!$A42,tongctvtdd1)+SUMIF(OFFSET(tongctvtpk1,0,-(COLUMN(E42)+7-(COLUMN(E42)-5)/2)),KLVT!$A42,tongctvtpk1)</f>
        <v>0</v>
      </c>
      <c r="F42" s="449">
        <f ca="1">SUMIF(OFFSET(cttba_vlvt1_1,0,-9,-ROW(cttba_vlvt1_1)+ROW(cttba_vltb1_1)-10),KLVT!$A42,OFFSET(cttba_vlvt1_1,0,-4,-ROW(cttba_vlvt1_1)+ROW(cttba_vltb1_1)-10))</f>
        <v>0</v>
      </c>
      <c r="G42" s="451">
        <f t="shared" ca="1" si="3"/>
        <v>0</v>
      </c>
      <c r="H42" s="450">
        <f t="shared" si="8"/>
        <v>2500</v>
      </c>
      <c r="I42" s="447">
        <f t="shared" ca="1" si="9"/>
        <v>0</v>
      </c>
      <c r="J42" s="447">
        <f t="shared" ca="1" si="10"/>
        <v>0</v>
      </c>
      <c r="K42" s="1095">
        <f t="shared" ca="1" si="11"/>
        <v>0</v>
      </c>
    </row>
    <row r="43" spans="1:11" s="45" customFormat="1" hidden="1">
      <c r="A43" s="45" t="s">
        <v>1530</v>
      </c>
      <c r="B43" s="85">
        <f ca="1">IF(K43&gt;0,COUNTIF(K$6:K43,"&gt;0"),B42)</f>
        <v>0</v>
      </c>
      <c r="C43" s="1084" t="str">
        <f t="shared" si="12"/>
        <v>Máy biến áp 22/0,4kV- 750kVA - Amorphous</v>
      </c>
      <c r="D43" s="85" t="str">
        <f t="shared" si="13"/>
        <v>máy</v>
      </c>
      <c r="E43" s="448">
        <f ca="1">SUMIF(OFFSET(tongctvtdd1,0,-(COLUMN(E43)+7-(COLUMN(E43)-5)/2)),KLVT!$A43,tongctvtdd1)+SUMIF(OFFSET(tongctvtpk1,0,-(COLUMN(E43)+7-(COLUMN(E43)-5)/2)),KLVT!$A43,tongctvtpk1)</f>
        <v>0</v>
      </c>
      <c r="F43" s="449">
        <f ca="1">SUMIF(OFFSET(cttba_vlvt1_1,0,-9,-ROW(cttba_vlvt1_1)+ROW(cttba_vltb1_1)-10),KLVT!$A43,OFFSET(cttba_vlvt1_1,0,-4,-ROW(cttba_vlvt1_1)+ROW(cttba_vltb1_1)-10))</f>
        <v>0</v>
      </c>
      <c r="G43" s="451">
        <f t="shared" ca="1" si="3"/>
        <v>0</v>
      </c>
      <c r="H43" s="450">
        <f t="shared" si="8"/>
        <v>2800</v>
      </c>
      <c r="I43" s="447">
        <f t="shared" ca="1" si="9"/>
        <v>0</v>
      </c>
      <c r="J43" s="447">
        <f t="shared" ca="1" si="10"/>
        <v>0</v>
      </c>
      <c r="K43" s="1094">
        <f t="shared" ca="1" si="11"/>
        <v>0</v>
      </c>
    </row>
    <row r="44" spans="1:11" s="45" customFormat="1" hidden="1">
      <c r="A44" s="45" t="s">
        <v>1532</v>
      </c>
      <c r="B44" s="85">
        <f ca="1">IF(K44&gt;0,COUNTIF(K$6:K44,"&gt;0"),B43)</f>
        <v>0</v>
      </c>
      <c r="C44" s="1084" t="str">
        <f t="shared" si="12"/>
        <v>Máy biến áp 22/0,4kV- 800kVA - Amorphous</v>
      </c>
      <c r="D44" s="85" t="str">
        <f t="shared" si="13"/>
        <v>máy</v>
      </c>
      <c r="E44" s="448">
        <f ca="1">SUMIF(OFFSET(tongctvtdd1,0,-(COLUMN(E44)+7-(COLUMN(E44)-5)/2)),KLVT!$A44,tongctvtdd1)+SUMIF(OFFSET(tongctvtpk1,0,-(COLUMN(E44)+7-(COLUMN(E44)-5)/2)),KLVT!$A44,tongctvtpk1)</f>
        <v>0</v>
      </c>
      <c r="F44" s="449">
        <f ca="1">SUMIF(OFFSET(cttba_vlvt1_1,0,-9,-ROW(cttba_vlvt1_1)+ROW(cttba_vltb1_1)-10),KLVT!$A44,OFFSET(cttba_vlvt1_1,0,-4,-ROW(cttba_vlvt1_1)+ROW(cttba_vltb1_1)-10))</f>
        <v>0</v>
      </c>
      <c r="G44" s="451">
        <f t="shared" ca="1" si="3"/>
        <v>0</v>
      </c>
      <c r="H44" s="450">
        <f t="shared" si="8"/>
        <v>3000</v>
      </c>
      <c r="I44" s="447">
        <f t="shared" ca="1" si="9"/>
        <v>0</v>
      </c>
      <c r="J44" s="447">
        <f t="shared" ca="1" si="10"/>
        <v>0</v>
      </c>
      <c r="K44" s="1095">
        <f t="shared" ca="1" si="11"/>
        <v>0</v>
      </c>
    </row>
    <row r="45" spans="1:11" s="45" customFormat="1" hidden="1">
      <c r="A45" s="45" t="s">
        <v>1533</v>
      </c>
      <c r="B45" s="85">
        <f ca="1">IF(K45&gt;0,COUNTIF(K$6:K45,"&gt;0"),B44)</f>
        <v>0</v>
      </c>
      <c r="C45" s="1084" t="str">
        <f t="shared" si="12"/>
        <v>Máy biến áp 22/0,4kV- 1000kVA - Amorphous</v>
      </c>
      <c r="D45" s="85" t="str">
        <f t="shared" si="13"/>
        <v>máy</v>
      </c>
      <c r="E45" s="448">
        <f ca="1">SUMIF(OFFSET(tongctvtdd1,0,-(COLUMN(E45)+7-(COLUMN(E45)-5)/2)),KLVT!$A45,tongctvtdd1)+SUMIF(OFFSET(tongctvtpk1,0,-(COLUMN(E45)+7-(COLUMN(E45)-5)/2)),KLVT!$A45,tongctvtpk1)</f>
        <v>0</v>
      </c>
      <c r="F45" s="449">
        <f ca="1">SUMIF(OFFSET(cttba_vlvt1_1,0,-9,-ROW(cttba_vlvt1_1)+ROW(cttba_vltb1_1)-10),KLVT!$A45,OFFSET(cttba_vlvt1_1,0,-4,-ROW(cttba_vlvt1_1)+ROW(cttba_vltb1_1)-10))</f>
        <v>0</v>
      </c>
      <c r="G45" s="451">
        <f t="shared" ca="1" si="3"/>
        <v>0</v>
      </c>
      <c r="H45" s="450">
        <f t="shared" si="8"/>
        <v>4000</v>
      </c>
      <c r="I45" s="447">
        <f t="shared" ca="1" si="9"/>
        <v>0</v>
      </c>
      <c r="J45" s="447">
        <f t="shared" ca="1" si="10"/>
        <v>0</v>
      </c>
      <c r="K45" s="1095">
        <f t="shared" ca="1" si="11"/>
        <v>0</v>
      </c>
    </row>
    <row r="46" spans="1:11" s="45" customFormat="1" hidden="1">
      <c r="A46" s="45" t="s">
        <v>1535</v>
      </c>
      <c r="B46" s="85">
        <f ca="1">IF(K46&gt;0,COUNTIF(K$6:K46,"&gt;0"),B45)</f>
        <v>0</v>
      </c>
      <c r="C46" s="1084" t="str">
        <f t="shared" si="12"/>
        <v>Máy biến áp 22/0,4kV- 1250kVA - Amorphous</v>
      </c>
      <c r="D46" s="85" t="str">
        <f t="shared" si="13"/>
        <v>máy</v>
      </c>
      <c r="E46" s="448">
        <f ca="1">SUMIF(OFFSET(tongctvtdd1,0,-(COLUMN(E46)+7-(COLUMN(E46)-5)/2)),KLVT!$A46,tongctvtdd1)+SUMIF(OFFSET(tongctvtpk1,0,-(COLUMN(E46)+7-(COLUMN(E46)-5)/2)),KLVT!$A46,tongctvtpk1)</f>
        <v>0</v>
      </c>
      <c r="F46" s="449">
        <f ca="1">SUMIF(OFFSET(cttba_vlvt1_1,0,-9,-ROW(cttba_vlvt1_1)+ROW(cttba_vltb1_1)-10),KLVT!$A46,OFFSET(cttba_vlvt1_1,0,-4,-ROW(cttba_vlvt1_1)+ROW(cttba_vltb1_1)-10))</f>
        <v>0</v>
      </c>
      <c r="G46" s="451">
        <f t="shared" ca="1" si="3"/>
        <v>0</v>
      </c>
      <c r="H46" s="450">
        <f t="shared" si="8"/>
        <v>4250</v>
      </c>
      <c r="I46" s="447">
        <f t="shared" ca="1" si="9"/>
        <v>0</v>
      </c>
      <c r="J46" s="447">
        <f t="shared" ca="1" si="10"/>
        <v>0</v>
      </c>
      <c r="K46" s="1095">
        <f t="shared" ca="1" si="11"/>
        <v>0</v>
      </c>
    </row>
    <row r="47" spans="1:11" s="45" customFormat="1" hidden="1">
      <c r="A47" s="45" t="s">
        <v>1536</v>
      </c>
      <c r="B47" s="85">
        <f ca="1">IF(K47&gt;0,COUNTIF(K$6:K47,"&gt;0"),B46)</f>
        <v>0</v>
      </c>
      <c r="C47" s="1084" t="str">
        <f t="shared" si="12"/>
        <v>Máy biến áp 22/0,4kV- 1500kVA - Amorphous</v>
      </c>
      <c r="D47" s="85" t="str">
        <f t="shared" si="13"/>
        <v>máy</v>
      </c>
      <c r="E47" s="448">
        <f ca="1">SUMIF(OFFSET(tongctvtdd1,0,-(COLUMN(E47)+7-(COLUMN(E47)-5)/2)),KLVT!$A47,tongctvtdd1)+SUMIF(OFFSET(tongctvtpk1,0,-(COLUMN(E47)+7-(COLUMN(E47)-5)/2)),KLVT!$A47,tongctvtpk1)</f>
        <v>0</v>
      </c>
      <c r="F47" s="449">
        <f ca="1">SUMIF(OFFSET(cttba_vlvt1_1,0,-9,-ROW(cttba_vlvt1_1)+ROW(cttba_vltb1_1)-10),KLVT!$A47,OFFSET(cttba_vlvt1_1,0,-4,-ROW(cttba_vlvt1_1)+ROW(cttba_vltb1_1)-10))</f>
        <v>0</v>
      </c>
      <c r="G47" s="451">
        <f t="shared" ca="1" si="3"/>
        <v>0</v>
      </c>
      <c r="H47" s="450">
        <f t="shared" si="8"/>
        <v>4300</v>
      </c>
      <c r="I47" s="447">
        <f t="shared" ca="1" si="9"/>
        <v>0</v>
      </c>
      <c r="J47" s="447">
        <f t="shared" ca="1" si="10"/>
        <v>0</v>
      </c>
      <c r="K47" s="1095">
        <f t="shared" ca="1" si="11"/>
        <v>0</v>
      </c>
    </row>
    <row r="48" spans="1:11" s="45" customFormat="1" hidden="1">
      <c r="A48" s="45" t="s">
        <v>1537</v>
      </c>
      <c r="B48" s="85">
        <f ca="1">IF(K48&gt;0,COUNTIF(K$6:K48,"&gt;0"),B47)</f>
        <v>0</v>
      </c>
      <c r="C48" s="1084" t="str">
        <f t="shared" si="12"/>
        <v>Máy biến áp 22/0,4kV- 1600kVA - Amorphous</v>
      </c>
      <c r="D48" s="85" t="str">
        <f t="shared" si="13"/>
        <v>máy</v>
      </c>
      <c r="E48" s="448">
        <f ca="1">SUMIF(OFFSET(tongctvtdd1,0,-(COLUMN(E48)+7-(COLUMN(E48)-5)/2)),KLVT!$A48,tongctvtdd1)+SUMIF(OFFSET(tongctvtpk1,0,-(COLUMN(E48)+7-(COLUMN(E48)-5)/2)),KLVT!$A48,tongctvtpk1)</f>
        <v>0</v>
      </c>
      <c r="F48" s="449">
        <f ca="1">SUMIF(OFFSET(cttba_vlvt1_1,0,-9,-ROW(cttba_vlvt1_1)+ROW(cttba_vltb1_1)-10),KLVT!$A48,OFFSET(cttba_vlvt1_1,0,-4,-ROW(cttba_vlvt1_1)+ROW(cttba_vltb1_1)-10))</f>
        <v>0</v>
      </c>
      <c r="G48" s="451">
        <f t="shared" ca="1" si="3"/>
        <v>0</v>
      </c>
      <c r="H48" s="450">
        <f t="shared" si="8"/>
        <v>4500</v>
      </c>
      <c r="I48" s="447">
        <f t="shared" ca="1" si="9"/>
        <v>0</v>
      </c>
      <c r="J48" s="447">
        <f t="shared" ca="1" si="10"/>
        <v>0</v>
      </c>
      <c r="K48" s="1095">
        <f t="shared" ca="1" si="11"/>
        <v>0</v>
      </c>
    </row>
    <row r="49" spans="1:11" s="45" customFormat="1" hidden="1">
      <c r="A49" s="45" t="s">
        <v>1538</v>
      </c>
      <c r="B49" s="85">
        <f ca="1">IF(K49&gt;0,COUNTIF(K$6:K49,"&gt;0"),B48)</f>
        <v>0</v>
      </c>
      <c r="C49" s="1084" t="str">
        <f t="shared" si="12"/>
        <v>Máy biến áp 22/0,4kV- 2000kVA - Amorphous</v>
      </c>
      <c r="D49" s="85" t="str">
        <f t="shared" si="13"/>
        <v>máy</v>
      </c>
      <c r="E49" s="448">
        <f ca="1">SUMIF(OFFSET(tongctvtdd1,0,-(COLUMN(E49)+7-(COLUMN(E49)-5)/2)),KLVT!$A49,tongctvtdd1)+SUMIF(OFFSET(tongctvtpk1,0,-(COLUMN(E49)+7-(COLUMN(E49)-5)/2)),KLVT!$A49,tongctvtpk1)</f>
        <v>0</v>
      </c>
      <c r="F49" s="449">
        <f ca="1">SUMIF(OFFSET(cttba_vlvt1_1,0,-9,-ROW(cttba_vlvt1_1)+ROW(cttba_vltb1_1)-10),KLVT!$A49,OFFSET(cttba_vlvt1_1,0,-4,-ROW(cttba_vlvt1_1)+ROW(cttba_vltb1_1)-10))</f>
        <v>0</v>
      </c>
      <c r="G49" s="451">
        <f t="shared" ca="1" si="3"/>
        <v>0</v>
      </c>
      <c r="H49" s="450">
        <f t="shared" si="8"/>
        <v>5000</v>
      </c>
      <c r="I49" s="447">
        <f t="shared" ca="1" si="9"/>
        <v>0</v>
      </c>
      <c r="J49" s="447">
        <f t="shared" ca="1" si="10"/>
        <v>0</v>
      </c>
      <c r="K49" s="1095">
        <f t="shared" ca="1" si="11"/>
        <v>0</v>
      </c>
    </row>
    <row r="50" spans="1:11" s="45" customFormat="1" hidden="1">
      <c r="A50" s="45" t="s">
        <v>1539</v>
      </c>
      <c r="B50" s="85">
        <f ca="1">IF(K50&gt;0,COUNTIF(K$6:K50,"&gt;0"),B49)</f>
        <v>0</v>
      </c>
      <c r="C50" s="1084" t="str">
        <f t="shared" si="12"/>
        <v>Máy biến áp 22/0,4kV- 2500kVA - Amorphous</v>
      </c>
      <c r="D50" s="85" t="str">
        <f t="shared" si="13"/>
        <v>máy</v>
      </c>
      <c r="E50" s="448">
        <f ca="1">SUMIF(OFFSET(tongctvtdd1,0,-(COLUMN(E50)+7-(COLUMN(E50)-5)/2)),KLVT!$A50,tongctvtdd1)+SUMIF(OFFSET(tongctvtpk1,0,-(COLUMN(E50)+7-(COLUMN(E50)-5)/2)),KLVT!$A50,tongctvtpk1)</f>
        <v>0</v>
      </c>
      <c r="F50" s="449">
        <f ca="1">SUMIF(OFFSET(cttba_vlvt1_1,0,-9,-ROW(cttba_vlvt1_1)+ROW(cttba_vltb1_1)-10),KLVT!$A50,OFFSET(cttba_vlvt1_1,0,-4,-ROW(cttba_vlvt1_1)+ROW(cttba_vltb1_1)-10))</f>
        <v>0</v>
      </c>
      <c r="G50" s="451">
        <f t="shared" ca="1" si="3"/>
        <v>0</v>
      </c>
      <c r="H50" s="450">
        <f t="shared" si="8"/>
        <v>5500</v>
      </c>
      <c r="I50" s="447">
        <f t="shared" ca="1" si="9"/>
        <v>0</v>
      </c>
      <c r="J50" s="447">
        <f t="shared" ca="1" si="10"/>
        <v>0</v>
      </c>
      <c r="K50" s="1095">
        <f t="shared" ca="1" si="11"/>
        <v>0</v>
      </c>
    </row>
    <row r="51" spans="1:11" s="45" customFormat="1" hidden="1">
      <c r="A51" s="45" t="s">
        <v>1540</v>
      </c>
      <c r="B51" s="85">
        <f ca="1">IF(K51&gt;0,COUNTIF(K$6:K51,"&gt;0"),B50)</f>
        <v>0</v>
      </c>
      <c r="C51" s="1084" t="str">
        <f t="shared" si="12"/>
        <v>Máy biến áp 22/0,4kV- 3000kVA - Amorphous</v>
      </c>
      <c r="D51" s="85" t="str">
        <f t="shared" si="13"/>
        <v>máy</v>
      </c>
      <c r="E51" s="448">
        <f ca="1">SUMIF(OFFSET(tongctvtdd1,0,-(COLUMN(E51)+7-(COLUMN(E51)-5)/2)),KLVT!$A51,tongctvtdd1)+SUMIF(OFFSET(tongctvtpk1,0,-(COLUMN(E51)+7-(COLUMN(E51)-5)/2)),KLVT!$A51,tongctvtpk1)</f>
        <v>0</v>
      </c>
      <c r="F51" s="449">
        <f ca="1">SUMIF(OFFSET(cttba_vlvt1_1,0,-9,-ROW(cttba_vlvt1_1)+ROW(cttba_vltb1_1)-10),KLVT!$A51,OFFSET(cttba_vlvt1_1,0,-4,-ROW(cttba_vlvt1_1)+ROW(cttba_vltb1_1)-10))</f>
        <v>0</v>
      </c>
      <c r="G51" s="451">
        <f t="shared" ca="1" si="3"/>
        <v>0</v>
      </c>
      <c r="H51" s="450">
        <f t="shared" si="8"/>
        <v>6000</v>
      </c>
      <c r="I51" s="447">
        <f t="shared" ca="1" si="9"/>
        <v>0</v>
      </c>
      <c r="J51" s="447">
        <f t="shared" ca="1" si="10"/>
        <v>0</v>
      </c>
      <c r="K51" s="1095">
        <f t="shared" ca="1" si="11"/>
        <v>0</v>
      </c>
    </row>
    <row r="52" spans="1:11" s="45" customFormat="1" hidden="1">
      <c r="A52" s="45" t="s">
        <v>1541</v>
      </c>
      <c r="B52" s="85">
        <f ca="1">IF(K52&gt;0,COUNTIF(K$6:K52,"&gt;0"),B51)</f>
        <v>0</v>
      </c>
      <c r="C52" s="1084" t="str">
        <f t="shared" si="12"/>
        <v>Máy biến áp 22/0,4kV- 4000kVA - Amorphous</v>
      </c>
      <c r="D52" s="85" t="str">
        <f t="shared" si="13"/>
        <v>máy</v>
      </c>
      <c r="E52" s="448">
        <f ca="1">SUMIF(OFFSET(tongctvtdd1,0,-(COLUMN(E52)+7-(COLUMN(E52)-5)/2)),KLVT!$A52,tongctvtdd1)+SUMIF(OFFSET(tongctvtpk1,0,-(COLUMN(E52)+7-(COLUMN(E52)-5)/2)),KLVT!$A52,tongctvtpk1)</f>
        <v>0</v>
      </c>
      <c r="F52" s="449">
        <f ca="1">SUMIF(OFFSET(cttba_vlvt1_1,0,-9,-ROW(cttba_vlvt1_1)+ROW(cttba_vltb1_1)-10),KLVT!$A52,OFFSET(cttba_vlvt1_1,0,-4,-ROW(cttba_vlvt1_1)+ROW(cttba_vltb1_1)-10))</f>
        <v>0</v>
      </c>
      <c r="G52" s="451">
        <f t="shared" ca="1" si="3"/>
        <v>0</v>
      </c>
      <c r="H52" s="450">
        <f t="shared" si="8"/>
        <v>6500</v>
      </c>
      <c r="I52" s="447">
        <f t="shared" ca="1" si="9"/>
        <v>0</v>
      </c>
      <c r="J52" s="447">
        <f t="shared" ca="1" si="10"/>
        <v>0</v>
      </c>
      <c r="K52" s="1095">
        <f t="shared" ca="1" si="11"/>
        <v>0</v>
      </c>
    </row>
    <row r="53" spans="1:11" s="45" customFormat="1" hidden="1">
      <c r="A53" s="45" t="s">
        <v>1542</v>
      </c>
      <c r="B53" s="85">
        <f ca="1">IF(K53&gt;0,COUNTIF(K$6:K53,"&gt;0"),B52)</f>
        <v>0</v>
      </c>
      <c r="C53" s="1084" t="str">
        <f t="shared" si="12"/>
        <v>FCO 24kV - 100A</v>
      </c>
      <c r="D53" s="85" t="str">
        <f t="shared" si="13"/>
        <v>cái</v>
      </c>
      <c r="E53" s="448">
        <f ca="1">SUMIF(OFFSET(tongctvtdd1,0,-(COLUMN(E53)+7-(COLUMN(E53)-5)/2)),KLVT!$A53,tongctvtdd1)+SUMIF(OFFSET(tongctvtpk1,0,-(COLUMN(E53)+7-(COLUMN(E53)-5)/2)),KLVT!$A53,tongctvtpk1)</f>
        <v>0</v>
      </c>
      <c r="F53" s="449">
        <f ca="1">SUMIF(OFFSET(cttba_vlvt1_1,0,-9,-ROW(cttba_vlvt1_1)+ROW(cttba_vltb1_1)-10),KLVT!$A53,OFFSET(cttba_vlvt1_1,0,-4,-ROW(cttba_vlvt1_1)+ROW(cttba_vltb1_1)-10))</f>
        <v>0</v>
      </c>
      <c r="G53" s="451">
        <f t="shared" ca="1" si="3"/>
        <v>0</v>
      </c>
      <c r="H53" s="450">
        <f t="shared" si="8"/>
        <v>1.5</v>
      </c>
      <c r="I53" s="447">
        <f t="shared" ca="1" si="9"/>
        <v>0</v>
      </c>
      <c r="J53" s="447">
        <f t="shared" ca="1" si="10"/>
        <v>0</v>
      </c>
      <c r="K53" s="1095">
        <f t="shared" ca="1" si="11"/>
        <v>0</v>
      </c>
    </row>
    <row r="54" spans="1:11" s="45" customFormat="1" hidden="1">
      <c r="A54" s="45" t="s">
        <v>1545</v>
      </c>
      <c r="B54" s="85">
        <f ca="1">IF(K54&gt;0,COUNTIF(K$6:K54,"&gt;0"),B53)</f>
        <v>0</v>
      </c>
      <c r="C54" s="1084" t="str">
        <f t="shared" si="12"/>
        <v xml:space="preserve">FCO 24KV - 200A </v>
      </c>
      <c r="D54" s="85" t="str">
        <f t="shared" si="13"/>
        <v>cái</v>
      </c>
      <c r="E54" s="448">
        <f ca="1">SUMIF(OFFSET(tongctvtdd1,0,-(COLUMN(E54)+7-(COLUMN(E54)-5)/2)),KLVT!$A54,tongctvtdd1)+SUMIF(OFFSET(tongctvtpk1,0,-(COLUMN(E54)+7-(COLUMN(E54)-5)/2)),KLVT!$A54,tongctvtpk1)</f>
        <v>0</v>
      </c>
      <c r="F54" s="449">
        <f ca="1">SUMIF(OFFSET(cttba_vlvt1_1,0,-9,-ROW(cttba_vlvt1_1)+ROW(cttba_vltb1_1)-10),KLVT!$A54,OFFSET(cttba_vlvt1_1,0,-4,-ROW(cttba_vlvt1_1)+ROW(cttba_vltb1_1)-10))</f>
        <v>0</v>
      </c>
      <c r="G54" s="451">
        <f t="shared" ca="1" si="3"/>
        <v>0</v>
      </c>
      <c r="H54" s="450">
        <f t="shared" si="8"/>
        <v>1.8</v>
      </c>
      <c r="I54" s="447">
        <f t="shared" ca="1" si="9"/>
        <v>0</v>
      </c>
      <c r="J54" s="447">
        <f t="shared" ca="1" si="10"/>
        <v>0</v>
      </c>
      <c r="K54" s="1095">
        <f t="shared" ca="1" si="11"/>
        <v>0</v>
      </c>
    </row>
    <row r="55" spans="1:11" s="45" customFormat="1" hidden="1">
      <c r="A55" s="45" t="s">
        <v>1547</v>
      </c>
      <c r="B55" s="85">
        <f ca="1">IF(K55&gt;0,COUNTIF(K$6:K55,"&gt;0"),B54)</f>
        <v>0</v>
      </c>
      <c r="C55" s="1084" t="str">
        <f t="shared" si="12"/>
        <v>FCO 24kV - 100A</v>
      </c>
      <c r="D55" s="85" t="str">
        <f t="shared" si="13"/>
        <v>cái</v>
      </c>
      <c r="E55" s="448"/>
      <c r="F55" s="449">
        <f ca="1">SUMIF(OFFSET(cttba_vlvt1_1,0,-9,-ROW(cttba_vlvt1_1)+ROW(cttba_vltb1_1)-10),KLVT!$A55,OFFSET(cttba_vlvt1_1,0,-4,-ROW(cttba_vlvt1_1)+ROW(cttba_vltb1_1)-10))</f>
        <v>0</v>
      </c>
      <c r="G55" s="451">
        <f t="shared" ca="1" si="3"/>
        <v>0</v>
      </c>
      <c r="H55" s="450">
        <f t="shared" si="8"/>
        <v>1.5</v>
      </c>
      <c r="I55" s="447">
        <f t="shared" si="9"/>
        <v>0</v>
      </c>
      <c r="J55" s="447">
        <f t="shared" ca="1" si="10"/>
        <v>0</v>
      </c>
      <c r="K55" s="1094">
        <f t="shared" ca="1" si="11"/>
        <v>0</v>
      </c>
    </row>
    <row r="56" spans="1:11" s="45" customFormat="1" hidden="1">
      <c r="A56" s="45" t="s">
        <v>1548</v>
      </c>
      <c r="B56" s="85">
        <f ca="1">IF(K56&gt;0,COUNTIF(K$6:K56,"&gt;0"),B55)</f>
        <v>0</v>
      </c>
      <c r="C56" s="1084" t="str">
        <f t="shared" si="12"/>
        <v xml:space="preserve">FCO 24KV - 200A </v>
      </c>
      <c r="D56" s="85" t="str">
        <f t="shared" si="13"/>
        <v>cái</v>
      </c>
      <c r="E56" s="448">
        <f ca="1">SUMIF(OFFSET(tongctvtdd1,0,-(COLUMN(E56)+7-(COLUMN(E56)-5)/2)),KLVT!$A56,tongctvtdd1)+SUMIF(OFFSET(tongctvtpk1,0,-(COLUMN(E56)+7-(COLUMN(E56)-5)/2)),KLVT!$A56,tongctvtpk1)</f>
        <v>0</v>
      </c>
      <c r="F56" s="449">
        <f ca="1">SUMIF(OFFSET(cttba_vlvt1_1,0,-9,-ROW(cttba_vlvt1_1)+ROW(cttba_vltb1_1)-10),KLVT!$A56,OFFSET(cttba_vlvt1_1,0,-4,-ROW(cttba_vlvt1_1)+ROW(cttba_vltb1_1)-10))</f>
        <v>0</v>
      </c>
      <c r="G56" s="451">
        <f t="shared" ca="1" si="3"/>
        <v>0</v>
      </c>
      <c r="H56" s="450">
        <f t="shared" si="8"/>
        <v>1.8</v>
      </c>
      <c r="I56" s="447">
        <f t="shared" ca="1" si="9"/>
        <v>0</v>
      </c>
      <c r="J56" s="447">
        <f t="shared" ca="1" si="10"/>
        <v>0</v>
      </c>
      <c r="K56" s="1095">
        <f t="shared" ca="1" si="11"/>
        <v>0</v>
      </c>
    </row>
    <row r="57" spans="1:11" s="45" customFormat="1" hidden="1">
      <c r="A57" s="45" t="s">
        <v>1549</v>
      </c>
      <c r="B57" s="85">
        <f ca="1">IF(K57&gt;0,COUNTIF(K$6:K57,"&gt;0"),B56)</f>
        <v>0</v>
      </c>
      <c r="C57" s="1084" t="str">
        <f t="shared" si="12"/>
        <v>LBFCO-24KV-100A</v>
      </c>
      <c r="D57" s="85" t="str">
        <f t="shared" si="13"/>
        <v>cái</v>
      </c>
      <c r="E57" s="448">
        <f ca="1">SUMIF(OFFSET(tongctvtdd1,0,-(COLUMN(E57)+7-(COLUMN(E57)-5)/2)),KLVT!$A57,tongctvtdd1)+SUMIF(OFFSET(tongctvtpk1,0,-(COLUMN(E57)+7-(COLUMN(E57)-5)/2)),KLVT!$A57,tongctvtpk1)</f>
        <v>0</v>
      </c>
      <c r="F57" s="449">
        <f ca="1">SUMIF(OFFSET(cttba_vlvt1_1,0,-9,-ROW(cttba_vlvt1_1)+ROW(cttba_vltb1_1)-10),KLVT!$A57,OFFSET(cttba_vlvt1_1,0,-4,-ROW(cttba_vlvt1_1)+ROW(cttba_vltb1_1)-10))</f>
        <v>0</v>
      </c>
      <c r="G57" s="451">
        <f t="shared" ca="1" si="3"/>
        <v>0</v>
      </c>
      <c r="H57" s="450">
        <f t="shared" si="8"/>
        <v>1.5</v>
      </c>
      <c r="I57" s="447">
        <f t="shared" ca="1" si="9"/>
        <v>0</v>
      </c>
      <c r="J57" s="447">
        <f t="shared" ca="1" si="10"/>
        <v>0</v>
      </c>
      <c r="K57" s="1095">
        <f t="shared" ca="1" si="11"/>
        <v>0</v>
      </c>
    </row>
    <row r="58" spans="1:11" s="45" customFormat="1" hidden="1">
      <c r="A58" s="45" t="s">
        <v>1551</v>
      </c>
      <c r="B58" s="85">
        <f ca="1">IF(K58&gt;0,COUNTIF(K$6:K58,"&gt;0"),B57)</f>
        <v>0</v>
      </c>
      <c r="C58" s="1084" t="str">
        <f t="shared" si="12"/>
        <v>LBFCO-24KV-200A</v>
      </c>
      <c r="D58" s="85" t="str">
        <f t="shared" si="13"/>
        <v>cái</v>
      </c>
      <c r="E58" s="448">
        <f ca="1">SUMIF(OFFSET(tongctvtdd1,0,-(COLUMN(E58)+7-(COLUMN(E58)-5)/2)),KLVT!$A58,tongctvtdd1)+SUMIF(OFFSET(tongctvtpk1,0,-(COLUMN(E58)+7-(COLUMN(E58)-5)/2)),KLVT!$A58,tongctvtpk1)</f>
        <v>0</v>
      </c>
      <c r="F58" s="449">
        <f ca="1">SUMIF(OFFSET(cttba_vlvt1_1,0,-9,-ROW(cttba_vlvt1_1)+ROW(cttba_vltb1_1)-10),KLVT!$A58,OFFSET(cttba_vlvt1_1,0,-4,-ROW(cttba_vlvt1_1)+ROW(cttba_vltb1_1)-10))</f>
        <v>0</v>
      </c>
      <c r="G58" s="451">
        <f t="shared" ca="1" si="3"/>
        <v>0</v>
      </c>
      <c r="H58" s="450">
        <f t="shared" si="8"/>
        <v>1.8</v>
      </c>
      <c r="I58" s="447">
        <f t="shared" ca="1" si="9"/>
        <v>0</v>
      </c>
      <c r="J58" s="447">
        <f t="shared" ca="1" si="10"/>
        <v>0</v>
      </c>
      <c r="K58" s="1095">
        <f t="shared" ca="1" si="11"/>
        <v>0</v>
      </c>
    </row>
    <row r="59" spans="1:11" s="373" customFormat="1" hidden="1">
      <c r="A59" s="373" t="s">
        <v>1553</v>
      </c>
      <c r="B59" s="85">
        <f ca="1">IF(K59&gt;0,COUNTIF(K$6:K59,"&gt;0"),B58)</f>
        <v>0</v>
      </c>
      <c r="C59" s="1084" t="str">
        <f t="shared" ref="C59:C74" si="14">VLOOKUP(A59,DONGIA,3,0)</f>
        <v>LBFCO-24KV-100A</v>
      </c>
      <c r="D59" s="85" t="str">
        <f t="shared" ref="D59:D74" si="15">VLOOKUP(A59,DONGIA,4,0)</f>
        <v>cái</v>
      </c>
      <c r="E59" s="448">
        <f ca="1">SUMIF(OFFSET(tongctvtdd1,0,-(COLUMN(E59)+7-(COLUMN(E59)-5)/2)),KLVT!$A59,tongctvtdd1)+SUMIF(OFFSET(tongctvtpk1,0,-(COLUMN(E59)+7-(COLUMN(E59)-5)/2)),KLVT!$A59,tongctvtpk1)</f>
        <v>0</v>
      </c>
      <c r="F59" s="449">
        <f ca="1">SUMIF(OFFSET(cttba_vlvt1_1,0,-9,-ROW(cttba_vlvt1_1)+ROW(cttba_vltb1_1)-10),KLVT!$A59,OFFSET(cttba_vlvt1_1,0,-4,-ROW(cttba_vlvt1_1)+ROW(cttba_vltb1_1)-10))</f>
        <v>0</v>
      </c>
      <c r="G59" s="451">
        <f t="shared" ca="1" si="3"/>
        <v>0</v>
      </c>
      <c r="H59" s="450">
        <f t="shared" si="8"/>
        <v>1.5</v>
      </c>
      <c r="I59" s="447">
        <f t="shared" ca="1" si="9"/>
        <v>0</v>
      </c>
      <c r="J59" s="447">
        <f t="shared" ca="1" si="10"/>
        <v>0</v>
      </c>
      <c r="K59" s="1095">
        <f t="shared" ca="1" si="11"/>
        <v>0</v>
      </c>
    </row>
    <row r="60" spans="1:11" s="373" customFormat="1" hidden="1">
      <c r="A60" s="373" t="s">
        <v>1554</v>
      </c>
      <c r="B60" s="85">
        <f ca="1">IF(K60&gt;0,COUNTIF(K$6:K60,"&gt;0"),B59)</f>
        <v>0</v>
      </c>
      <c r="C60" s="1084" t="str">
        <f t="shared" si="14"/>
        <v>LBFCO-24KV-200A</v>
      </c>
      <c r="D60" s="85" t="str">
        <f t="shared" si="15"/>
        <v>cái</v>
      </c>
      <c r="E60" s="448">
        <f ca="1">SUMIF(OFFSET(tongctvtdd1,0,-(COLUMN(E60)+7-(COLUMN(E60)-5)/2)),KLVT!$A60,tongctvtdd1)+SUMIF(OFFSET(tongctvtpk1,0,-(COLUMN(E60)+7-(COLUMN(E60)-5)/2)),KLVT!$A60,tongctvtpk1)</f>
        <v>0</v>
      </c>
      <c r="F60" s="449">
        <f ca="1">SUMIF(OFFSET(cttba_vlvt1_1,0,-9,-ROW(cttba_vlvt1_1)+ROW(cttba_vltb1_1)-10),KLVT!$A60,OFFSET(cttba_vlvt1_1,0,-4,-ROW(cttba_vlvt1_1)+ROW(cttba_vltb1_1)-10))</f>
        <v>0</v>
      </c>
      <c r="G60" s="451">
        <f t="shared" ca="1" si="3"/>
        <v>0</v>
      </c>
      <c r="H60" s="450">
        <f t="shared" si="8"/>
        <v>1.8</v>
      </c>
      <c r="I60" s="447">
        <f t="shared" ca="1" si="9"/>
        <v>0</v>
      </c>
      <c r="J60" s="447">
        <f t="shared" ca="1" si="10"/>
        <v>0</v>
      </c>
      <c r="K60" s="1095">
        <f t="shared" ca="1" si="11"/>
        <v>0</v>
      </c>
    </row>
    <row r="61" spans="1:11" s="373" customFormat="1" hidden="1">
      <c r="A61" s="373" t="s">
        <v>1555</v>
      </c>
      <c r="B61" s="85">
        <f ca="1">IF(K61&gt;0,COUNTIF(K$6:K61,"&gt;0"),B60)</f>
        <v>0</v>
      </c>
      <c r="C61" s="1084" t="str">
        <f t="shared" si="14"/>
        <v xml:space="preserve">DS 1P - 24KV - 600A </v>
      </c>
      <c r="D61" s="85" t="str">
        <f t="shared" si="15"/>
        <v>bộ</v>
      </c>
      <c r="E61" s="448">
        <f ca="1">SUMIF(OFFSET(tongctvtdd1,0,-(COLUMN(E61)+7-(COLUMN(E61)-5)/2)),KLVT!$A61,tongctvtdd1)+SUMIF(OFFSET(tongctvtpk1,0,-(COLUMN(E61)+7-(COLUMN(E61)-5)/2)),KLVT!$A61,tongctvtpk1)</f>
        <v>0</v>
      </c>
      <c r="F61" s="449">
        <f ca="1">SUMIF(OFFSET(cttba_vlvt1_1,0,-9,-ROW(cttba_vlvt1_1)+ROW(cttba_vltb1_1)-10),KLVT!$A61,OFFSET(cttba_vlvt1_1,0,-4,-ROW(cttba_vlvt1_1)+ROW(cttba_vltb1_1)-10))</f>
        <v>0</v>
      </c>
      <c r="G61" s="451">
        <f t="shared" ca="1" si="3"/>
        <v>0</v>
      </c>
      <c r="H61" s="450">
        <f t="shared" si="8"/>
        <v>15</v>
      </c>
      <c r="I61" s="447">
        <f t="shared" ca="1" si="9"/>
        <v>0</v>
      </c>
      <c r="J61" s="447">
        <f t="shared" ca="1" si="10"/>
        <v>0</v>
      </c>
      <c r="K61" s="1095">
        <f t="shared" ca="1" si="11"/>
        <v>0</v>
      </c>
    </row>
    <row r="62" spans="1:11" s="373" customFormat="1" hidden="1">
      <c r="A62" s="373" t="s">
        <v>1558</v>
      </c>
      <c r="B62" s="85">
        <f ca="1">IF(K62&gt;0,COUNTIF(K$6:K62,"&gt;0"),B61)</f>
        <v>0</v>
      </c>
      <c r="C62" s="1084" t="str">
        <f t="shared" si="14"/>
        <v xml:space="preserve">DS 3P - 24KV - 630A </v>
      </c>
      <c r="D62" s="85" t="str">
        <f t="shared" si="15"/>
        <v>bộ</v>
      </c>
      <c r="E62" s="448">
        <f ca="1">SUMIF(OFFSET(tongctvtdd1,0,-(COLUMN(E62)+7-(COLUMN(E62)-5)/2)),KLVT!$A62,tongctvtdd1)+SUMIF(OFFSET(tongctvtpk1,0,-(COLUMN(E62)+7-(COLUMN(E62)-5)/2)),KLVT!$A62,tongctvtpk1)</f>
        <v>0</v>
      </c>
      <c r="F62" s="449">
        <f ca="1">SUMIF(OFFSET(cttba_vlvt1_1,0,-9,-ROW(cttba_vlvt1_1)+ROW(cttba_vltb1_1)-10),KLVT!$A62,OFFSET(cttba_vlvt1_1,0,-4,-ROW(cttba_vlvt1_1)+ROW(cttba_vltb1_1)-10))</f>
        <v>0</v>
      </c>
      <c r="G62" s="451">
        <f t="shared" ca="1" si="3"/>
        <v>0</v>
      </c>
      <c r="H62" s="450">
        <f t="shared" si="8"/>
        <v>50</v>
      </c>
      <c r="I62" s="447">
        <f t="shared" ca="1" si="9"/>
        <v>0</v>
      </c>
      <c r="J62" s="447">
        <f t="shared" ca="1" si="10"/>
        <v>0</v>
      </c>
      <c r="K62" s="1095">
        <f t="shared" ca="1" si="11"/>
        <v>0</v>
      </c>
    </row>
    <row r="63" spans="1:11" s="373" customFormat="1" hidden="1">
      <c r="A63" s="373" t="s">
        <v>1560</v>
      </c>
      <c r="B63" s="85">
        <f ca="1">IF(K63&gt;0,COUNTIF(K$6:K63,"&gt;0"),B62)</f>
        <v>0</v>
      </c>
      <c r="C63" s="1084" t="str">
        <f t="shared" si="14"/>
        <v xml:space="preserve">DS 1P - 24KV - 600A </v>
      </c>
      <c r="D63" s="85" t="str">
        <f t="shared" si="15"/>
        <v>bộ</v>
      </c>
      <c r="E63" s="448">
        <f ca="1">SUMIF(OFFSET(tongctvtdd1,0,-(COLUMN(E63)+7-(COLUMN(E63)-5)/2)),KLVT!$A63,tongctvtdd1)+SUMIF(OFFSET(tongctvtpk1,0,-(COLUMN(E63)+7-(COLUMN(E63)-5)/2)),KLVT!$A63,tongctvtpk1)</f>
        <v>0</v>
      </c>
      <c r="F63" s="449">
        <f ca="1">SUMIF(OFFSET(cttba_vlvt1_1,0,-9,-ROW(cttba_vlvt1_1)+ROW(cttba_vltb1_1)-10),KLVT!$A63,OFFSET(cttba_vlvt1_1,0,-4,-ROW(cttba_vlvt1_1)+ROW(cttba_vltb1_1)-10))</f>
        <v>0</v>
      </c>
      <c r="G63" s="451">
        <f t="shared" ca="1" si="3"/>
        <v>0</v>
      </c>
      <c r="H63" s="450">
        <f t="shared" si="8"/>
        <v>30</v>
      </c>
      <c r="I63" s="447">
        <f t="shared" ca="1" si="9"/>
        <v>0</v>
      </c>
      <c r="J63" s="447">
        <f t="shared" ca="1" si="10"/>
        <v>0</v>
      </c>
      <c r="K63" s="1095">
        <f t="shared" ca="1" si="11"/>
        <v>0</v>
      </c>
    </row>
    <row r="64" spans="1:11" s="373" customFormat="1" hidden="1">
      <c r="A64" s="373" t="s">
        <v>1562</v>
      </c>
      <c r="B64" s="85">
        <f ca="1">IF(K64&gt;0,COUNTIF(K$6:K64,"&gt;0"),B63)</f>
        <v>0</v>
      </c>
      <c r="C64" s="1084" t="str">
        <f t="shared" si="14"/>
        <v xml:space="preserve">DS 3P - 24KV - 630A </v>
      </c>
      <c r="D64" s="85" t="str">
        <f t="shared" si="15"/>
        <v>bộ</v>
      </c>
      <c r="E64" s="448">
        <f ca="1">SUMIF(OFFSET(tongctvtdd1,0,-(COLUMN(E64)+7-(COLUMN(E64)-5)/2)),KLVT!$A64,tongctvtdd1)+SUMIF(OFFSET(tongctvtpk1,0,-(COLUMN(E64)+7-(COLUMN(E64)-5)/2)),KLVT!$A64,tongctvtpk1)</f>
        <v>0</v>
      </c>
      <c r="F64" s="449">
        <f ca="1">SUMIF(OFFSET(cttba_vlvt1_1,0,-9,-ROW(cttba_vlvt1_1)+ROW(cttba_vltb1_1)-10),KLVT!$A64,OFFSET(cttba_vlvt1_1,0,-4,-ROW(cttba_vlvt1_1)+ROW(cttba_vltb1_1)-10))</f>
        <v>0</v>
      </c>
      <c r="G64" s="451">
        <f t="shared" ca="1" si="3"/>
        <v>0</v>
      </c>
      <c r="H64" s="450">
        <f t="shared" si="8"/>
        <v>30</v>
      </c>
      <c r="I64" s="447">
        <f t="shared" ca="1" si="9"/>
        <v>0</v>
      </c>
      <c r="J64" s="447">
        <f t="shared" ca="1" si="10"/>
        <v>0</v>
      </c>
      <c r="K64" s="1095">
        <f t="shared" ca="1" si="11"/>
        <v>0</v>
      </c>
    </row>
    <row r="65" spans="1:11" s="373" customFormat="1" hidden="1">
      <c r="A65" s="373" t="s">
        <v>1564</v>
      </c>
      <c r="B65" s="85">
        <f ca="1">IF(K65&gt;0,COUNTIF(K$6:K65,"&gt;0"),B64)</f>
        <v>0</v>
      </c>
      <c r="C65" s="1084" t="str">
        <f t="shared" si="14"/>
        <v>LBS SF6 3pha 24kV 630A - 16kA</v>
      </c>
      <c r="D65" s="85" t="str">
        <f t="shared" si="15"/>
        <v>bộ</v>
      </c>
      <c r="E65" s="448">
        <f ca="1">SUMIF(OFFSET(tongctvtdd1,0,-(COLUMN(E65)+7-(COLUMN(E65)-5)/2)),KLVT!$A65,tongctvtdd1)+SUMIF(OFFSET(tongctvtpk1,0,-(COLUMN(E65)+7-(COLUMN(E65)-5)/2)),KLVT!$A65,tongctvtpk1)</f>
        <v>0</v>
      </c>
      <c r="F65" s="449">
        <f ca="1">SUMIF(OFFSET(cttba_vlvt1_1,0,-9,-ROW(cttba_vlvt1_1)+ROW(cttba_vltb1_1)-10),KLVT!$A65,OFFSET(cttba_vlvt1_1,0,-4,-ROW(cttba_vlvt1_1)+ROW(cttba_vltb1_1)-10))</f>
        <v>0</v>
      </c>
      <c r="G65" s="451">
        <f t="shared" ca="1" si="3"/>
        <v>0</v>
      </c>
      <c r="H65" s="450">
        <f t="shared" si="8"/>
        <v>72</v>
      </c>
      <c r="I65" s="447">
        <f t="shared" ca="1" si="9"/>
        <v>0</v>
      </c>
      <c r="J65" s="447">
        <f t="shared" ca="1" si="10"/>
        <v>0</v>
      </c>
      <c r="K65" s="1095">
        <f t="shared" ca="1" si="11"/>
        <v>0</v>
      </c>
    </row>
    <row r="66" spans="1:11" s="373" customFormat="1" hidden="1">
      <c r="A66" s="373" t="s">
        <v>1567</v>
      </c>
      <c r="B66" s="85">
        <f ca="1">IF(K66&gt;0,COUNTIF(K$6:K66,"&gt;0"),B65)</f>
        <v>0</v>
      </c>
      <c r="C66" s="1084" t="str">
        <f t="shared" si="14"/>
        <v>LBS SF6 3pha 24kV 630A 12kA + bộ truyền động</v>
      </c>
      <c r="D66" s="85" t="str">
        <f t="shared" si="15"/>
        <v>bộ</v>
      </c>
      <c r="E66" s="448">
        <f ca="1">SUMIF(OFFSET(tongctvtdd1,0,-(COLUMN(E66)+7-(COLUMN(E66)-5)/2)),KLVT!$A66,tongctvtdd1)+SUMIF(OFFSET(tongctvtpk1,0,-(COLUMN(E66)+7-(COLUMN(E66)-5)/2)),KLVT!$A66,tongctvtpk1)</f>
        <v>0</v>
      </c>
      <c r="F66" s="449">
        <f ca="1">SUMIF(OFFSET(cttba_vlvt1_1,0,-9,-ROW(cttba_vlvt1_1)+ROW(cttba_vltb1_1)-10),KLVT!$A66,OFFSET(cttba_vlvt1_1,0,-4,-ROW(cttba_vlvt1_1)+ROW(cttba_vltb1_1)-10))</f>
        <v>0</v>
      </c>
      <c r="G66" s="451">
        <f t="shared" ca="1" si="3"/>
        <v>0</v>
      </c>
      <c r="H66" s="450">
        <f t="shared" si="8"/>
        <v>100</v>
      </c>
      <c r="I66" s="447">
        <f t="shared" ca="1" si="9"/>
        <v>0</v>
      </c>
      <c r="J66" s="447">
        <f t="shared" ca="1" si="10"/>
        <v>0</v>
      </c>
      <c r="K66" s="1095">
        <f t="shared" ca="1" si="11"/>
        <v>0</v>
      </c>
    </row>
    <row r="67" spans="1:11" s="373" customFormat="1" hidden="1">
      <c r="A67" s="373" t="s">
        <v>1569</v>
      </c>
      <c r="B67" s="85">
        <f ca="1">IF(K67&gt;0,COUNTIF(K$6:K67,"&gt;0"),B66)</f>
        <v>0</v>
      </c>
      <c r="C67" s="1084" t="str">
        <f t="shared" si="14"/>
        <v>Recloser 24kV 630A</v>
      </c>
      <c r="D67" s="85" t="str">
        <f t="shared" si="15"/>
        <v>bộ</v>
      </c>
      <c r="E67" s="448">
        <f ca="1">SUMIF(OFFSET(tongctvtdd1,0,-(COLUMN(E67)+7-(COLUMN(E67)-5)/2)),KLVT!$A67,tongctvtdd1)+SUMIF(OFFSET(tongctvtpk1,0,-(COLUMN(E67)+7-(COLUMN(E67)-5)/2)),KLVT!$A67,tongctvtpk1)</f>
        <v>0</v>
      </c>
      <c r="F67" s="449">
        <f ca="1">SUMIF(OFFSET(cttba_vlvt1_1,0,-9,-ROW(cttba_vlvt1_1)+ROW(cttba_vltb1_1)-10),KLVT!$A67,OFFSET(cttba_vlvt1_1,0,-4,-ROW(cttba_vlvt1_1)+ROW(cttba_vltb1_1)-10))</f>
        <v>0</v>
      </c>
      <c r="G67" s="451">
        <f t="shared" ca="1" si="3"/>
        <v>0</v>
      </c>
      <c r="H67" s="450">
        <f t="shared" si="8"/>
        <v>100</v>
      </c>
      <c r="I67" s="447">
        <f t="shared" ca="1" si="9"/>
        <v>0</v>
      </c>
      <c r="J67" s="447">
        <f t="shared" ca="1" si="10"/>
        <v>0</v>
      </c>
      <c r="K67" s="1095">
        <f t="shared" ca="1" si="11"/>
        <v>0</v>
      </c>
    </row>
    <row r="68" spans="1:11" s="373" customFormat="1" hidden="1">
      <c r="A68" s="373" t="s">
        <v>1572</v>
      </c>
      <c r="B68" s="85">
        <f ca="1">IF(K68&gt;0,COUNTIF(K$6:K68,"&gt;0"),B67)</f>
        <v>0</v>
      </c>
      <c r="C68" s="1084" t="str">
        <f t="shared" si="14"/>
        <v>Recloser 24kV 630-800A</v>
      </c>
      <c r="D68" s="85" t="str">
        <f t="shared" si="15"/>
        <v>bộ</v>
      </c>
      <c r="E68" s="448">
        <f ca="1">SUMIF(OFFSET(tongctvtdd1,0,-(COLUMN(E68)+7-(COLUMN(E68)-5)/2)),KLVT!$A68,tongctvtdd1)+SUMIF(OFFSET(tongctvtpk1,0,-(COLUMN(E68)+7-(COLUMN(E68)-5)/2)),KLVT!$A68,tongctvtpk1)</f>
        <v>0</v>
      </c>
      <c r="F68" s="449">
        <f ca="1">SUMIF(OFFSET(cttba_vlvt1_1,0,-9,-ROW(cttba_vlvt1_1)+ROW(cttba_vltb1_1)-10),KLVT!$A68,OFFSET(cttba_vlvt1_1,0,-4,-ROW(cttba_vlvt1_1)+ROW(cttba_vltb1_1)-10))</f>
        <v>0</v>
      </c>
      <c r="G68" s="451">
        <f t="shared" ca="1" si="3"/>
        <v>0</v>
      </c>
      <c r="H68" s="450">
        <f t="shared" si="8"/>
        <v>100</v>
      </c>
      <c r="I68" s="447">
        <f t="shared" ca="1" si="9"/>
        <v>0</v>
      </c>
      <c r="J68" s="447">
        <f t="shared" ca="1" si="10"/>
        <v>0</v>
      </c>
      <c r="K68" s="1095">
        <f t="shared" ca="1" si="11"/>
        <v>0</v>
      </c>
    </row>
    <row r="69" spans="1:11" s="373" customFormat="1" hidden="1">
      <c r="A69" s="373" t="s">
        <v>1574</v>
      </c>
      <c r="B69" s="85">
        <f ca="1">IF(K69&gt;0,COUNTIF(K$6:K69,"&gt;0"),B68)</f>
        <v>0</v>
      </c>
      <c r="C69" s="1084" t="str">
        <f t="shared" si="14"/>
        <v>LTD 1P 24KV - 800A</v>
      </c>
      <c r="D69" s="85" t="str">
        <f t="shared" si="15"/>
        <v>cái</v>
      </c>
      <c r="E69" s="448">
        <f ca="1">SUMIF(OFFSET(tongctvtdd1,0,-(COLUMN(E69)+7-(COLUMN(E69)-5)/2)),KLVT!$A69,tongctvtdd1)+SUMIF(OFFSET(tongctvtpk1,0,-(COLUMN(E69)+7-(COLUMN(E69)-5)/2)),KLVT!$A69,tongctvtpk1)</f>
        <v>0</v>
      </c>
      <c r="F69" s="449">
        <f ca="1">SUMIF(OFFSET(cttba_vlvt1_1,0,-9,-ROW(cttba_vlvt1_1)+ROW(cttba_vltb1_1)-10),KLVT!$A69,OFFSET(cttba_vlvt1_1,0,-4,-ROW(cttba_vlvt1_1)+ROW(cttba_vltb1_1)-10))</f>
        <v>0</v>
      </c>
      <c r="G69" s="451">
        <f t="shared" ca="1" si="3"/>
        <v>0</v>
      </c>
      <c r="H69" s="450">
        <f t="shared" si="8"/>
        <v>15</v>
      </c>
      <c r="I69" s="447">
        <f t="shared" ca="1" si="9"/>
        <v>0</v>
      </c>
      <c r="J69" s="447">
        <f t="shared" ca="1" si="10"/>
        <v>0</v>
      </c>
      <c r="K69" s="1095">
        <f t="shared" ca="1" si="11"/>
        <v>0</v>
      </c>
    </row>
    <row r="70" spans="1:11" s="373" customFormat="1" hidden="1">
      <c r="A70" s="373" t="s">
        <v>1577</v>
      </c>
      <c r="B70" s="85">
        <f ca="1">IF(K70&gt;0,COUNTIF(K$6:K70,"&gt;0"),B69)</f>
        <v>0</v>
      </c>
      <c r="C70" s="1084" t="str">
        <f t="shared" si="14"/>
        <v>LA 12kV 10kA</v>
      </c>
      <c r="D70" s="85" t="str">
        <f t="shared" si="15"/>
        <v>cái</v>
      </c>
      <c r="E70" s="448">
        <f ca="1">SUMIF(OFFSET(tongctvtdd1,0,-(COLUMN(E70)+7-(COLUMN(E70)-5)/2)),KLVT!$A70,tongctvtdd1)+SUMIF(OFFSET(tongctvtpk1,0,-(COLUMN(E70)+7-(COLUMN(E70)-5)/2)),KLVT!$A70,tongctvtpk1)</f>
        <v>0</v>
      </c>
      <c r="F70" s="449">
        <f ca="1">SUMIF(OFFSET(cttba_vlvt1_1,0,-9,-ROW(cttba_vlvt1_1)+ROW(cttba_vltb1_1)-10),KLVT!$A70,OFFSET(cttba_vlvt1_1,0,-4,-ROW(cttba_vlvt1_1)+ROW(cttba_vltb1_1)-10))</f>
        <v>0</v>
      </c>
      <c r="G70" s="451">
        <f t="shared" ref="G70:G133" ca="1" si="16">SUM(E70:F70)</f>
        <v>0</v>
      </c>
      <c r="H70" s="450">
        <f t="shared" ref="H70:H101" si="17">VLOOKUP(A70,DONGIA,18,0)</f>
        <v>3</v>
      </c>
      <c r="I70" s="447">
        <f t="shared" ref="I70:I101" ca="1" si="18">E70*$H70</f>
        <v>0</v>
      </c>
      <c r="J70" s="447">
        <f t="shared" ref="J70:J101" ca="1" si="19">F70*$H70</f>
        <v>0</v>
      </c>
      <c r="K70" s="1095">
        <f t="shared" ref="K70:K101" ca="1" si="20">IF(G70&gt;0,1,0)</f>
        <v>0</v>
      </c>
    </row>
    <row r="71" spans="1:11" s="373" customFormat="1" hidden="1">
      <c r="A71" s="373" t="s">
        <v>1580</v>
      </c>
      <c r="B71" s="85">
        <f ca="1">IF(K71&gt;0,COUNTIF(K$6:K71,"&gt;0"),B70)</f>
        <v>0</v>
      </c>
      <c r="C71" s="1084" t="str">
        <f t="shared" si="14"/>
        <v>LA 18kV 10kA</v>
      </c>
      <c r="D71" s="85" t="str">
        <f t="shared" si="15"/>
        <v>cái</v>
      </c>
      <c r="E71" s="448"/>
      <c r="F71" s="449">
        <f ca="1">SUMIF(OFFSET(cttba_vlvt1_1,0,-9,-ROW(cttba_vlvt1_1)+ROW(cttba_vltb1_1)-10),KLVT!$A71,OFFSET(cttba_vlvt1_1,0,-4,-ROW(cttba_vlvt1_1)+ROW(cttba_vltb1_1)-10))</f>
        <v>0</v>
      </c>
      <c r="G71" s="451">
        <f t="shared" ca="1" si="16"/>
        <v>0</v>
      </c>
      <c r="H71" s="450">
        <f t="shared" si="17"/>
        <v>3</v>
      </c>
      <c r="I71" s="447">
        <f t="shared" si="18"/>
        <v>0</v>
      </c>
      <c r="J71" s="447">
        <f t="shared" ca="1" si="19"/>
        <v>0</v>
      </c>
      <c r="K71" s="1094">
        <f t="shared" ca="1" si="20"/>
        <v>0</v>
      </c>
    </row>
    <row r="72" spans="1:11" s="373" customFormat="1" hidden="1">
      <c r="A72" s="373" t="s">
        <v>1615</v>
      </c>
      <c r="B72" s="85">
        <f ca="1">IF(K72&gt;0,COUNTIF(K$6:K72,"&gt;0"),B71)</f>
        <v>0</v>
      </c>
      <c r="C72" s="1084" t="str">
        <f t="shared" si="14"/>
        <v>Relay Timer + cầu chì</v>
      </c>
      <c r="D72" s="85" t="str">
        <f t="shared" si="15"/>
        <v>bộ</v>
      </c>
      <c r="E72" s="448">
        <f ca="1">SUMIF(OFFSET(tongctvtdd1,0,-(COLUMN(E72)+7-(COLUMN(E72)-5)/2)),KLVT!$A72,tongctvtdd1)+SUMIF(OFFSET(tongctvtpk1,0,-(COLUMN(E72)+7-(COLUMN(E72)-5)/2)),KLVT!$A72,tongctvtpk1)</f>
        <v>0</v>
      </c>
      <c r="F72" s="449">
        <f ca="1">SUMIF(OFFSET(cttba_vlvt1_1,0,-9,-ROW(cttba_vlvt1_1)+ROW(cttba_vltb1_1)-10),KLVT!$A72,OFFSET(cttba_vlvt1_1,0,-4,-ROW(cttba_vlvt1_1)+ROW(cttba_vltb1_1)-10))</f>
        <v>0</v>
      </c>
      <c r="G72" s="451">
        <f t="shared" ca="1" si="16"/>
        <v>0</v>
      </c>
      <c r="H72" s="450">
        <f t="shared" si="17"/>
        <v>0.5</v>
      </c>
      <c r="I72" s="447">
        <f t="shared" ca="1" si="18"/>
        <v>0</v>
      </c>
      <c r="J72" s="447">
        <f t="shared" ca="1" si="19"/>
        <v>0</v>
      </c>
      <c r="K72" s="1095">
        <f t="shared" ca="1" si="20"/>
        <v>0</v>
      </c>
    </row>
    <row r="73" spans="1:11" s="373" customFormat="1" hidden="1">
      <c r="A73" s="373" t="s">
        <v>1617</v>
      </c>
      <c r="B73" s="85">
        <f ca="1">IF(K73&gt;0,COUNTIF(K$6:K73,"&gt;0"),B72)</f>
        <v>0</v>
      </c>
      <c r="C73" s="1084" t="str">
        <f t="shared" si="14"/>
        <v>Contactor 3P-50A</v>
      </c>
      <c r="D73" s="85" t="str">
        <f t="shared" si="15"/>
        <v>cái</v>
      </c>
      <c r="E73" s="448">
        <f ca="1">SUMIF(OFFSET(tongctvtdd1,0,-(COLUMN(E73)+7-(COLUMN(E73)-5)/2)),KLVT!$A73,tongctvtdd1)+SUMIF(OFFSET(tongctvtpk1,0,-(COLUMN(E73)+7-(COLUMN(E73)-5)/2)),KLVT!$A73,tongctvtpk1)</f>
        <v>0</v>
      </c>
      <c r="F73" s="449">
        <f ca="1">SUMIF(OFFSET(cttba_vlvt1_1,0,-9,-ROW(cttba_vlvt1_1)+ROW(cttba_vltb1_1)-10),KLVT!$A73,OFFSET(cttba_vlvt1_1,0,-4,-ROW(cttba_vlvt1_1)+ROW(cttba_vltb1_1)-10))</f>
        <v>0</v>
      </c>
      <c r="G73" s="451">
        <f t="shared" ca="1" si="16"/>
        <v>0</v>
      </c>
      <c r="H73" s="450">
        <f t="shared" si="17"/>
        <v>0.5</v>
      </c>
      <c r="I73" s="447">
        <f t="shared" ca="1" si="18"/>
        <v>0</v>
      </c>
      <c r="J73" s="447">
        <f t="shared" ca="1" si="19"/>
        <v>0</v>
      </c>
      <c r="K73" s="1095">
        <f t="shared" ca="1" si="20"/>
        <v>0</v>
      </c>
    </row>
    <row r="74" spans="1:11" s="373" customFormat="1" hidden="1">
      <c r="A74" s="373" t="s">
        <v>1619</v>
      </c>
      <c r="B74" s="85">
        <f ca="1">IF(K74&gt;0,COUNTIF(K$6:K74,"&gt;0"),B73)</f>
        <v>0</v>
      </c>
      <c r="C74" s="1084" t="str">
        <f t="shared" si="14"/>
        <v>Contactor 3P-100A</v>
      </c>
      <c r="D74" s="85" t="str">
        <f t="shared" si="15"/>
        <v>cái</v>
      </c>
      <c r="E74" s="448">
        <f ca="1">SUMIF(OFFSET(tongctvtdd1,0,-(COLUMN(E74)+7-(COLUMN(E74)-5)/2)),KLVT!$A74,tongctvtdd1)+SUMIF(OFFSET(tongctvtpk1,0,-(COLUMN(E74)+7-(COLUMN(E74)-5)/2)),KLVT!$A74,tongctvtpk1)</f>
        <v>0</v>
      </c>
      <c r="F74" s="449">
        <f ca="1">SUMIF(OFFSET(cttba_vlvt1_1,0,-9,-ROW(cttba_vlvt1_1)+ROW(cttba_vltb1_1)-10),KLVT!$A74,OFFSET(cttba_vlvt1_1,0,-4,-ROW(cttba_vlvt1_1)+ROW(cttba_vltb1_1)-10))</f>
        <v>0</v>
      </c>
      <c r="G74" s="451">
        <f t="shared" ca="1" si="16"/>
        <v>0</v>
      </c>
      <c r="H74" s="450">
        <f t="shared" si="17"/>
        <v>0.7</v>
      </c>
      <c r="I74" s="447">
        <f t="shared" ca="1" si="18"/>
        <v>0</v>
      </c>
      <c r="J74" s="447">
        <f t="shared" ca="1" si="19"/>
        <v>0</v>
      </c>
      <c r="K74" s="1095">
        <f t="shared" ca="1" si="20"/>
        <v>0</v>
      </c>
    </row>
    <row r="75" spans="1:11" s="45" customFormat="1" hidden="1">
      <c r="A75" s="45" t="s">
        <v>1621</v>
      </c>
      <c r="B75" s="85">
        <f ca="1">IF(K75&gt;0,COUNTIF(K$6:K75,"&gt;0"),B74)</f>
        <v>0</v>
      </c>
      <c r="C75" s="1084" t="str">
        <f t="shared" si="12"/>
        <v>Contactor 3P-125A</v>
      </c>
      <c r="D75" s="85" t="str">
        <f t="shared" si="13"/>
        <v>cái</v>
      </c>
      <c r="E75" s="448">
        <f ca="1">SUMIF(OFFSET(tongctvtdd1,0,-(COLUMN(E75)+7-(COLUMN(E75)-5)/2)),KLVT!$A75,tongctvtdd1)+SUMIF(OFFSET(tongctvtpk1,0,-(COLUMN(E75)+7-(COLUMN(E75)-5)/2)),KLVT!$A75,tongctvtpk1)</f>
        <v>0</v>
      </c>
      <c r="F75" s="449">
        <f ca="1">SUMIF(OFFSET(cttba_vlvt1_1,0,-9,-ROW(cttba_vlvt1_1)+ROW(cttba_vltb1_1)-10),KLVT!$A75,OFFSET(cttba_vlvt1_1,0,-4,-ROW(cttba_vlvt1_1)+ROW(cttba_vltb1_1)-10))</f>
        <v>0</v>
      </c>
      <c r="G75" s="451">
        <f t="shared" ca="1" si="16"/>
        <v>0</v>
      </c>
      <c r="H75" s="450">
        <f t="shared" si="17"/>
        <v>0.7</v>
      </c>
      <c r="I75" s="447">
        <f t="shared" ca="1" si="18"/>
        <v>0</v>
      </c>
      <c r="J75" s="447">
        <f t="shared" ca="1" si="19"/>
        <v>0</v>
      </c>
      <c r="K75" s="1095">
        <f t="shared" ca="1" si="20"/>
        <v>0</v>
      </c>
    </row>
    <row r="76" spans="1:11" s="373" customFormat="1" hidden="1">
      <c r="A76" s="373" t="s">
        <v>1672</v>
      </c>
      <c r="B76" s="85">
        <f ca="1">IF(K76&gt;0,COUNTIF(K$6:K76,"&gt;0"),B75)</f>
        <v>0</v>
      </c>
      <c r="C76" s="1084" t="str">
        <f t="shared" si="12"/>
        <v>Aptomat 2 cực 220V - 30A - 2,5kA</v>
      </c>
      <c r="D76" s="85" t="str">
        <f t="shared" si="13"/>
        <v>cái</v>
      </c>
      <c r="E76" s="448">
        <f ca="1">SUMIF(OFFSET(tongctvtdd1,0,-(COLUMN(E76)+7-(COLUMN(E76)-5)/2)),KLVT!$A76,tongctvtdd1)+SUMIF(OFFSET(tongctvtpk1,0,-(COLUMN(E76)+7-(COLUMN(E76)-5)/2)),KLVT!$A76,tongctvtpk1)</f>
        <v>0</v>
      </c>
      <c r="F76" s="449">
        <f ca="1">SUMIF(OFFSET(cttba_vlvt1_1,0,-9,-ROW(cttba_vlvt1_1)+ROW(cttba_vltb1_1)-10),KLVT!$A76,OFFSET(cttba_vlvt1_1,0,-4,-ROW(cttba_vlvt1_1)+ROW(cttba_vltb1_1)-10))</f>
        <v>0</v>
      </c>
      <c r="G76" s="451">
        <f t="shared" ca="1" si="16"/>
        <v>0</v>
      </c>
      <c r="H76" s="450">
        <f t="shared" si="17"/>
        <v>0.2</v>
      </c>
      <c r="I76" s="447">
        <f t="shared" ca="1" si="18"/>
        <v>0</v>
      </c>
      <c r="J76" s="447">
        <f t="shared" ca="1" si="19"/>
        <v>0</v>
      </c>
      <c r="K76" s="1095">
        <f t="shared" ca="1" si="20"/>
        <v>0</v>
      </c>
    </row>
    <row r="77" spans="1:11" s="373" customFormat="1" hidden="1">
      <c r="A77" s="373" t="s">
        <v>1674</v>
      </c>
      <c r="B77" s="85">
        <f ca="1">IF(K77&gt;0,COUNTIF(K$6:K77,"&gt;0"),B76)</f>
        <v>0</v>
      </c>
      <c r="C77" s="1084" t="str">
        <f t="shared" si="12"/>
        <v>Aptomat 2 cực 220V - 40A - 7,5kA</v>
      </c>
      <c r="D77" s="85" t="str">
        <f t="shared" si="13"/>
        <v>cái</v>
      </c>
      <c r="E77" s="448">
        <f ca="1">SUMIF(OFFSET(tongctvtdd1,0,-(COLUMN(E77)+7-(COLUMN(E77)-5)/2)),KLVT!$A77,tongctvtdd1)+SUMIF(OFFSET(tongctvtpk1,0,-(COLUMN(E77)+7-(COLUMN(E77)-5)/2)),KLVT!$A77,tongctvtpk1)</f>
        <v>0</v>
      </c>
      <c r="F77" s="449">
        <f ca="1">SUMIF(OFFSET(cttba_vlvt1_1,0,-9,-ROW(cttba_vlvt1_1)+ROW(cttba_vltb1_1)-10),KLVT!$A77,OFFSET(cttba_vlvt1_1,0,-4,-ROW(cttba_vlvt1_1)+ROW(cttba_vltb1_1)-10))</f>
        <v>0</v>
      </c>
      <c r="G77" s="451">
        <f t="shared" ca="1" si="16"/>
        <v>0</v>
      </c>
      <c r="H77" s="450">
        <f t="shared" si="17"/>
        <v>0.3</v>
      </c>
      <c r="I77" s="447">
        <f t="shared" ca="1" si="18"/>
        <v>0</v>
      </c>
      <c r="J77" s="447">
        <f t="shared" ca="1" si="19"/>
        <v>0</v>
      </c>
      <c r="K77" s="1095">
        <f t="shared" ca="1" si="20"/>
        <v>0</v>
      </c>
    </row>
    <row r="78" spans="1:11" s="373" customFormat="1" hidden="1">
      <c r="A78" s="373" t="s">
        <v>1676</v>
      </c>
      <c r="B78" s="85">
        <f ca="1">IF(K78&gt;0,COUNTIF(K$6:K78,"&gt;0"),B77)</f>
        <v>0</v>
      </c>
      <c r="C78" s="1084" t="str">
        <f t="shared" si="12"/>
        <v>Aptomat 2 cực 220V -100A</v>
      </c>
      <c r="D78" s="85" t="str">
        <f t="shared" si="13"/>
        <v>cái</v>
      </c>
      <c r="E78" s="448">
        <f ca="1">SUMIF(OFFSET(tongctvtdd1,0,-(COLUMN(E78)+7-(COLUMN(E78)-5)/2)),KLVT!$A78,tongctvtdd1)+SUMIF(OFFSET(tongctvtpk1,0,-(COLUMN(E78)+7-(COLUMN(E78)-5)/2)),KLVT!$A78,tongctvtpk1)</f>
        <v>0</v>
      </c>
      <c r="F78" s="449">
        <f ca="1">SUMIF(OFFSET(cttba_vlvt1_1,0,-9,-ROW(cttba_vlvt1_1)+ROW(cttba_vltb1_1)-10),KLVT!$A78,OFFSET(cttba_vlvt1_1,0,-4,-ROW(cttba_vlvt1_1)+ROW(cttba_vltb1_1)-10))</f>
        <v>0</v>
      </c>
      <c r="G78" s="451">
        <f t="shared" ca="1" si="16"/>
        <v>0</v>
      </c>
      <c r="H78" s="450">
        <f t="shared" si="17"/>
        <v>1</v>
      </c>
      <c r="I78" s="447">
        <f t="shared" ca="1" si="18"/>
        <v>0</v>
      </c>
      <c r="J78" s="447">
        <f t="shared" ca="1" si="19"/>
        <v>0</v>
      </c>
      <c r="K78" s="1095">
        <f t="shared" ca="1" si="20"/>
        <v>0</v>
      </c>
    </row>
    <row r="79" spans="1:11" s="373" customFormat="1" hidden="1">
      <c r="A79" s="373" t="s">
        <v>1678</v>
      </c>
      <c r="B79" s="85">
        <f ca="1">IF(K79&gt;0,COUNTIF(K$6:K79,"&gt;0"),B78)</f>
        <v>0</v>
      </c>
      <c r="C79" s="1084" t="str">
        <f t="shared" si="12"/>
        <v>MCCB 3 cực 400V-50A - 25KA</v>
      </c>
      <c r="D79" s="85" t="str">
        <f t="shared" si="13"/>
        <v>cái</v>
      </c>
      <c r="E79" s="448">
        <f ca="1">SUMIF(OFFSET(tongctvtdd1,0,-(COLUMN(E79)+7-(COLUMN(E79)-5)/2)),KLVT!$A79,tongctvtdd1)+SUMIF(OFFSET(tongctvtpk1,0,-(COLUMN(E79)+7-(COLUMN(E79)-5)/2)),KLVT!$A79,tongctvtpk1)</f>
        <v>0</v>
      </c>
      <c r="F79" s="449">
        <f ca="1">SUMIF(OFFSET(cttba_vlvt1_1,0,-9,-ROW(cttba_vlvt1_1)+ROW(cttba_vltb1_1)-10),KLVT!$A79,OFFSET(cttba_vlvt1_1,0,-4,-ROW(cttba_vlvt1_1)+ROW(cttba_vltb1_1)-10))</f>
        <v>0</v>
      </c>
      <c r="G79" s="451">
        <f t="shared" ca="1" si="16"/>
        <v>0</v>
      </c>
      <c r="H79" s="450">
        <f t="shared" si="17"/>
        <v>1</v>
      </c>
      <c r="I79" s="447">
        <f t="shared" ca="1" si="18"/>
        <v>0</v>
      </c>
      <c r="J79" s="447">
        <f t="shared" ca="1" si="19"/>
        <v>0</v>
      </c>
      <c r="K79" s="1095">
        <f t="shared" ca="1" si="20"/>
        <v>0</v>
      </c>
    </row>
    <row r="80" spans="1:11" s="373" customFormat="1" hidden="1">
      <c r="A80" s="373" t="s">
        <v>1680</v>
      </c>
      <c r="B80" s="85">
        <f ca="1">IF(K80&gt;0,COUNTIF(K$6:K80,"&gt;0"),B79)</f>
        <v>0</v>
      </c>
      <c r="C80" s="1084" t="str">
        <f t="shared" si="12"/>
        <v>MCCB 3 cực 400V-80A - 10KA</v>
      </c>
      <c r="D80" s="85" t="str">
        <f t="shared" si="13"/>
        <v>cái</v>
      </c>
      <c r="E80" s="448">
        <f ca="1">SUMIF(OFFSET(tongctvtdd1,0,-(COLUMN(E80)+7-(COLUMN(E80)-5)/2)),KLVT!$A80,tongctvtdd1)+SUMIF(OFFSET(tongctvtpk1,0,-(COLUMN(E80)+7-(COLUMN(E80)-5)/2)),KLVT!$A80,tongctvtpk1)</f>
        <v>0</v>
      </c>
      <c r="F80" s="449">
        <f ca="1">SUMIF(OFFSET(cttba_vlvt1_1,0,-9,-ROW(cttba_vlvt1_1)+ROW(cttba_vltb1_1)-10),KLVT!$A80,OFFSET(cttba_vlvt1_1,0,-4,-ROW(cttba_vlvt1_1)+ROW(cttba_vltb1_1)-10))</f>
        <v>0</v>
      </c>
      <c r="G80" s="451">
        <f t="shared" ca="1" si="16"/>
        <v>0</v>
      </c>
      <c r="H80" s="450">
        <f t="shared" si="17"/>
        <v>1</v>
      </c>
      <c r="I80" s="447">
        <f t="shared" ca="1" si="18"/>
        <v>0</v>
      </c>
      <c r="J80" s="447">
        <f t="shared" ca="1" si="19"/>
        <v>0</v>
      </c>
      <c r="K80" s="1095">
        <f t="shared" ca="1" si="20"/>
        <v>0</v>
      </c>
    </row>
    <row r="81" spans="1:11" s="373" customFormat="1" hidden="1">
      <c r="A81" s="373" t="s">
        <v>1682</v>
      </c>
      <c r="B81" s="85">
        <f ca="1">IF(K81&gt;0,COUNTIF(K$6:K81,"&gt;0"),B80)</f>
        <v>0</v>
      </c>
      <c r="C81" s="1084" t="str">
        <f t="shared" si="12"/>
        <v>MCCB 3 cực 400V-75A - 10KA</v>
      </c>
      <c r="D81" s="85" t="str">
        <f t="shared" si="13"/>
        <v>cái</v>
      </c>
      <c r="E81" s="448">
        <f ca="1">SUMIF(OFFSET(tongctvtdd1,0,-(COLUMN(E81)+7-(COLUMN(E81)-5)/2)),KLVT!$A81,tongctvtdd1)+SUMIF(OFFSET(tongctvtpk1,0,-(COLUMN(E81)+7-(COLUMN(E81)-5)/2)),KLVT!$A81,tongctvtpk1)</f>
        <v>0</v>
      </c>
      <c r="F81" s="449">
        <f ca="1">SUMIF(OFFSET(cttba_vlvt1_1,0,-9,-ROW(cttba_vlvt1_1)+ROW(cttba_vltb1_1)-10),KLVT!$A81,OFFSET(cttba_vlvt1_1,0,-4,-ROW(cttba_vlvt1_1)+ROW(cttba_vltb1_1)-10))</f>
        <v>0</v>
      </c>
      <c r="G81" s="451">
        <f t="shared" ca="1" si="16"/>
        <v>0</v>
      </c>
      <c r="H81" s="450">
        <f t="shared" si="17"/>
        <v>2.5</v>
      </c>
      <c r="I81" s="447">
        <f t="shared" ca="1" si="18"/>
        <v>0</v>
      </c>
      <c r="J81" s="447">
        <f t="shared" ca="1" si="19"/>
        <v>0</v>
      </c>
      <c r="K81" s="1095">
        <f t="shared" ca="1" si="20"/>
        <v>0</v>
      </c>
    </row>
    <row r="82" spans="1:11" s="373" customFormat="1" hidden="1">
      <c r="A82" s="373" t="s">
        <v>1684</v>
      </c>
      <c r="B82" s="85">
        <f ca="1">IF(K82&gt;0,COUNTIF(K$6:K82,"&gt;0"),B81)</f>
        <v>0</v>
      </c>
      <c r="C82" s="1084" t="str">
        <f>VLOOKUP(A82,DONGIA,3,0)</f>
        <v>MCCB 3 cực 400V-100A - 30KA</v>
      </c>
      <c r="D82" s="85" t="str">
        <f>VLOOKUP(A82,DONGIA,4,0)</f>
        <v>cái</v>
      </c>
      <c r="E82" s="448">
        <f ca="1">SUMIF(OFFSET(tongctvtdd1,0,-(COLUMN(E82)+7-(COLUMN(E82)-5)/2)),KLVT!$A82,tongctvtdd1)+SUMIF(OFFSET(tongctvtpk1,0,-(COLUMN(E82)+7-(COLUMN(E82)-5)/2)),KLVT!$A82,tongctvtpk1)</f>
        <v>0</v>
      </c>
      <c r="F82" s="449">
        <f ca="1">SUMIF(OFFSET(cttba_vlvt1_1,0,-9,-ROW(cttba_vlvt1_1)+ROW(cttba_vltb1_1)-10),KLVT!$A82,OFFSET(cttba_vlvt1_1,0,-4,-ROW(cttba_vlvt1_1)+ROW(cttba_vltb1_1)-10))</f>
        <v>0</v>
      </c>
      <c r="G82" s="451">
        <f t="shared" ca="1" si="16"/>
        <v>0</v>
      </c>
      <c r="H82" s="450">
        <f t="shared" si="17"/>
        <v>2.8</v>
      </c>
      <c r="I82" s="447">
        <f t="shared" ca="1" si="18"/>
        <v>0</v>
      </c>
      <c r="J82" s="447">
        <f t="shared" ca="1" si="19"/>
        <v>0</v>
      </c>
      <c r="K82" s="1095">
        <f t="shared" ca="1" si="20"/>
        <v>0</v>
      </c>
    </row>
    <row r="83" spans="1:11" s="373" customFormat="1" hidden="1">
      <c r="A83" s="373" t="s">
        <v>1686</v>
      </c>
      <c r="B83" s="85">
        <f ca="1">IF(K83&gt;0,COUNTIF(K$6:K83,"&gt;0"),B82)</f>
        <v>0</v>
      </c>
      <c r="C83" s="1084" t="str">
        <f t="shared" ref="C83:C118" si="21">VLOOKUP(A83,DONGIA,3,0)</f>
        <v>MCCB 3 cực 400V -125A - 30KA</v>
      </c>
      <c r="D83" s="85" t="str">
        <f t="shared" ref="D83:D118" si="22">VLOOKUP(A83,DONGIA,4,0)</f>
        <v>cái</v>
      </c>
      <c r="E83" s="448">
        <f ca="1">SUMIF(OFFSET(tongctvtdd1,0,-(COLUMN(E83)+7-(COLUMN(E83)-5)/2)),KLVT!$A83,tongctvtdd1)+SUMIF(OFFSET(tongctvtpk1,0,-(COLUMN(E83)+7-(COLUMN(E83)-5)/2)),KLVT!$A83,tongctvtpk1)</f>
        <v>0</v>
      </c>
      <c r="F83" s="449">
        <f ca="1">SUMIF(OFFSET(cttba_vlvt1_1,0,-9,-ROW(cttba_vlvt1_1)+ROW(cttba_vltb1_1)-10),KLVT!$A83,OFFSET(cttba_vlvt1_1,0,-4,-ROW(cttba_vlvt1_1)+ROW(cttba_vltb1_1)-10))</f>
        <v>0</v>
      </c>
      <c r="G83" s="451">
        <f t="shared" ca="1" si="16"/>
        <v>0</v>
      </c>
      <c r="H83" s="450">
        <f t="shared" si="17"/>
        <v>2</v>
      </c>
      <c r="I83" s="447">
        <f t="shared" ca="1" si="18"/>
        <v>0</v>
      </c>
      <c r="J83" s="447">
        <f t="shared" ca="1" si="19"/>
        <v>0</v>
      </c>
      <c r="K83" s="1094">
        <f t="shared" ca="1" si="20"/>
        <v>0</v>
      </c>
    </row>
    <row r="84" spans="1:11" s="373" customFormat="1" hidden="1">
      <c r="A84" s="373" t="s">
        <v>1688</v>
      </c>
      <c r="B84" s="85">
        <f ca="1">IF(K84&gt;0,COUNTIF(K$6:K84,"&gt;0"),B83)</f>
        <v>0</v>
      </c>
      <c r="C84" s="1084" t="str">
        <f t="shared" si="21"/>
        <v>MCCB 3 cực 400V -150A - 35KA</v>
      </c>
      <c r="D84" s="85" t="str">
        <f t="shared" si="22"/>
        <v>cái</v>
      </c>
      <c r="E84" s="448">
        <f ca="1">SUMIF(OFFSET(tongctvtdd1,0,-(COLUMN(E84)+7-(COLUMN(E84)-5)/2)),KLVT!$A84,tongctvtdd1)+SUMIF(OFFSET(tongctvtpk1,0,-(COLUMN(E84)+7-(COLUMN(E84)-5)/2)),KLVT!$A84,tongctvtpk1)</f>
        <v>0</v>
      </c>
      <c r="F84" s="449">
        <f ca="1">SUMIF(OFFSET(cttba_vlvt1_1,0,-9,-ROW(cttba_vlvt1_1)+ROW(cttba_vltb1_1)-10),KLVT!$A84,OFFSET(cttba_vlvt1_1,0,-4,-ROW(cttba_vlvt1_1)+ROW(cttba_vltb1_1)-10))</f>
        <v>0</v>
      </c>
      <c r="G84" s="451">
        <f t="shared" ca="1" si="16"/>
        <v>0</v>
      </c>
      <c r="H84" s="450">
        <f t="shared" si="17"/>
        <v>2</v>
      </c>
      <c r="I84" s="447">
        <f t="shared" ca="1" si="18"/>
        <v>0</v>
      </c>
      <c r="J84" s="447">
        <f t="shared" ca="1" si="19"/>
        <v>0</v>
      </c>
      <c r="K84" s="1095">
        <f t="shared" ca="1" si="20"/>
        <v>0</v>
      </c>
    </row>
    <row r="85" spans="1:11" s="373" customFormat="1" hidden="1">
      <c r="A85" s="373" t="s">
        <v>1690</v>
      </c>
      <c r="B85" s="85">
        <f ca="1">IF(K85&gt;0,COUNTIF(K$6:K85,"&gt;0"),B84)</f>
        <v>0</v>
      </c>
      <c r="C85" s="1084" t="str">
        <f t="shared" si="21"/>
        <v>MCCB 3 cực 400V -200A - 35KA</v>
      </c>
      <c r="D85" s="85" t="str">
        <f t="shared" si="22"/>
        <v>cái</v>
      </c>
      <c r="E85" s="448">
        <f ca="1">SUMIF(OFFSET(tongctvtdd1,0,-(COLUMN(E85)+7-(COLUMN(E85)-5)/2)),KLVT!$A85,tongctvtdd1)+SUMIF(OFFSET(tongctvtpk1,0,-(COLUMN(E85)+7-(COLUMN(E85)-5)/2)),KLVT!$A85,tongctvtpk1)</f>
        <v>0</v>
      </c>
      <c r="F85" s="449">
        <f ca="1">SUMIF(OFFSET(cttba_vlvt1_1,0,-9,-ROW(cttba_vlvt1_1)+ROW(cttba_vltb1_1)-10),KLVT!$A85,OFFSET(cttba_vlvt1_1,0,-4,-ROW(cttba_vlvt1_1)+ROW(cttba_vltb1_1)-10))</f>
        <v>0</v>
      </c>
      <c r="G85" s="451">
        <f t="shared" ca="1" si="16"/>
        <v>0</v>
      </c>
      <c r="H85" s="450">
        <f t="shared" si="17"/>
        <v>2</v>
      </c>
      <c r="I85" s="447">
        <f t="shared" ca="1" si="18"/>
        <v>0</v>
      </c>
      <c r="J85" s="447">
        <f t="shared" ca="1" si="19"/>
        <v>0</v>
      </c>
      <c r="K85" s="1094">
        <f t="shared" ca="1" si="20"/>
        <v>0</v>
      </c>
    </row>
    <row r="86" spans="1:11" s="373" customFormat="1" hidden="1">
      <c r="A86" s="373" t="s">
        <v>1692</v>
      </c>
      <c r="B86" s="85">
        <f ca="1">IF(K86&gt;0,COUNTIF(K$6:K86,"&gt;0"),B85)</f>
        <v>0</v>
      </c>
      <c r="C86" s="1084" t="str">
        <f t="shared" si="21"/>
        <v xml:space="preserve">MCCB 3 cực 400V -250A - 35KA </v>
      </c>
      <c r="D86" s="85" t="str">
        <f t="shared" si="22"/>
        <v>cái</v>
      </c>
      <c r="E86" s="448">
        <f ca="1">SUMIF(OFFSET(tongctvtdd1,0,-(COLUMN(E86)+7-(COLUMN(E86)-5)/2)),KLVT!$A86,tongctvtdd1)+SUMIF(OFFSET(tongctvtpk1,0,-(COLUMN(E86)+7-(COLUMN(E86)-5)/2)),KLVT!$A86,tongctvtpk1)</f>
        <v>0</v>
      </c>
      <c r="F86" s="449">
        <f ca="1">SUMIF(OFFSET(cttba_vlvt1_1,0,-9,-ROW(cttba_vlvt1_1)+ROW(cttba_vltb1_1)-10),KLVT!$A86,OFFSET(cttba_vlvt1_1,0,-4,-ROW(cttba_vlvt1_1)+ROW(cttba_vltb1_1)-10))</f>
        <v>0</v>
      </c>
      <c r="G86" s="451">
        <f t="shared" ca="1" si="16"/>
        <v>0</v>
      </c>
      <c r="H86" s="450">
        <f t="shared" si="17"/>
        <v>2</v>
      </c>
      <c r="I86" s="447">
        <f t="shared" ca="1" si="18"/>
        <v>0</v>
      </c>
      <c r="J86" s="447">
        <f t="shared" ca="1" si="19"/>
        <v>0</v>
      </c>
      <c r="K86" s="1094">
        <f t="shared" ca="1" si="20"/>
        <v>0</v>
      </c>
    </row>
    <row r="87" spans="1:11" s="373" customFormat="1" hidden="1">
      <c r="A87" s="373" t="s">
        <v>1694</v>
      </c>
      <c r="B87" s="85">
        <f ca="1">IF(K87&gt;0,COUNTIF(K$6:K87,"&gt;0"),B86)</f>
        <v>0</v>
      </c>
      <c r="C87" s="1084" t="str">
        <f t="shared" si="21"/>
        <v>MCCB 3 cực 400V -400A - 35KA</v>
      </c>
      <c r="D87" s="85" t="str">
        <f t="shared" si="22"/>
        <v>cái</v>
      </c>
      <c r="E87" s="448">
        <f ca="1">SUMIF(OFFSET(tongctvtdd1,0,-(COLUMN(E87)+7-(COLUMN(E87)-5)/2)),KLVT!$A87,tongctvtdd1)+SUMIF(OFFSET(tongctvtpk1,0,-(COLUMN(E87)+7-(COLUMN(E87)-5)/2)),KLVT!$A87,tongctvtpk1)</f>
        <v>0</v>
      </c>
      <c r="F87" s="449">
        <f ca="1">SUMIF(OFFSET(cttba_vlvt1_1,0,-9,-ROW(cttba_vlvt1_1)+ROW(cttba_vltb1_1)-10),KLVT!$A87,OFFSET(cttba_vlvt1_1,0,-4,-ROW(cttba_vlvt1_1)+ROW(cttba_vltb1_1)-10))</f>
        <v>0</v>
      </c>
      <c r="G87" s="451">
        <f t="shared" ca="1" si="16"/>
        <v>0</v>
      </c>
      <c r="H87" s="450">
        <f t="shared" si="17"/>
        <v>2</v>
      </c>
      <c r="I87" s="447">
        <f t="shared" ca="1" si="18"/>
        <v>0</v>
      </c>
      <c r="J87" s="447">
        <f t="shared" ca="1" si="19"/>
        <v>0</v>
      </c>
      <c r="K87" s="1094">
        <f t="shared" ca="1" si="20"/>
        <v>0</v>
      </c>
    </row>
    <row r="88" spans="1:11" s="373" customFormat="1" hidden="1">
      <c r="A88" s="373" t="s">
        <v>1696</v>
      </c>
      <c r="B88" s="85">
        <f ca="1">IF(K88&gt;0,COUNTIF(K$6:K88,"&gt;0"),B87)</f>
        <v>0</v>
      </c>
      <c r="C88" s="1084" t="str">
        <f t="shared" si="21"/>
        <v>MCCB 3 cực 400V - 500A/35KA</v>
      </c>
      <c r="D88" s="85" t="str">
        <f t="shared" si="22"/>
        <v>cái</v>
      </c>
      <c r="E88" s="448">
        <f ca="1">SUMIF(OFFSET(tongctvtdd1,0,-(COLUMN(E88)+7-(COLUMN(E88)-5)/2)),KLVT!$A88,tongctvtdd1)+SUMIF(OFFSET(tongctvtpk1,0,-(COLUMN(E88)+7-(COLUMN(E88)-5)/2)),KLVT!$A88,tongctvtpk1)</f>
        <v>0</v>
      </c>
      <c r="F88" s="449">
        <f ca="1">SUMIF(OFFSET(cttba_vlvt1_1,0,-9,-ROW(cttba_vlvt1_1)+ROW(cttba_vltb1_1)-10),KLVT!$A88,OFFSET(cttba_vlvt1_1,0,-4,-ROW(cttba_vlvt1_1)+ROW(cttba_vltb1_1)-10))</f>
        <v>0</v>
      </c>
      <c r="G88" s="451">
        <f t="shared" ca="1" si="16"/>
        <v>0</v>
      </c>
      <c r="H88" s="450">
        <f t="shared" si="17"/>
        <v>2</v>
      </c>
      <c r="I88" s="447">
        <f t="shared" ca="1" si="18"/>
        <v>0</v>
      </c>
      <c r="J88" s="447">
        <f t="shared" ca="1" si="19"/>
        <v>0</v>
      </c>
      <c r="K88" s="1094">
        <f t="shared" ca="1" si="20"/>
        <v>0</v>
      </c>
    </row>
    <row r="89" spans="1:11" s="373" customFormat="1" hidden="1">
      <c r="A89" s="373" t="s">
        <v>1698</v>
      </c>
      <c r="B89" s="85">
        <f ca="1">IF(K89&gt;0,COUNTIF(K$6:K89,"&gt;0"),B88)</f>
        <v>0</v>
      </c>
      <c r="C89" s="1084" t="str">
        <f t="shared" si="21"/>
        <v>MCCB 3 cực 400V -600A - 35KA</v>
      </c>
      <c r="D89" s="85" t="str">
        <f t="shared" si="22"/>
        <v>cái</v>
      </c>
      <c r="E89" s="448">
        <f ca="1">SUMIF(OFFSET(tongctvtdd1,0,-(COLUMN(E89)+7-(COLUMN(E89)-5)/2)),KLVT!$A89,tongctvtdd1)+SUMIF(OFFSET(tongctvtpk1,0,-(COLUMN(E89)+7-(COLUMN(E89)-5)/2)),KLVT!$A89,tongctvtpk1)</f>
        <v>0</v>
      </c>
      <c r="F89" s="449">
        <f ca="1">SUMIF(OFFSET(cttba_vlvt1_1,0,-9,-ROW(cttba_vlvt1_1)+ROW(cttba_vltb1_1)-10),KLVT!$A89,OFFSET(cttba_vlvt1_1,0,-4,-ROW(cttba_vlvt1_1)+ROW(cttba_vltb1_1)-10))</f>
        <v>0</v>
      </c>
      <c r="G89" s="451">
        <f t="shared" ca="1" si="16"/>
        <v>0</v>
      </c>
      <c r="H89" s="450">
        <f t="shared" si="17"/>
        <v>2</v>
      </c>
      <c r="I89" s="447">
        <f t="shared" ca="1" si="18"/>
        <v>0</v>
      </c>
      <c r="J89" s="447">
        <f t="shared" ca="1" si="19"/>
        <v>0</v>
      </c>
      <c r="K89" s="1095">
        <f t="shared" ca="1" si="20"/>
        <v>0</v>
      </c>
    </row>
    <row r="90" spans="1:11" s="373" customFormat="1" hidden="1">
      <c r="A90" s="373" t="s">
        <v>1700</v>
      </c>
      <c r="B90" s="85">
        <f ca="1">IF(K90&gt;0,COUNTIF(K$6:K90,"&gt;0"),B89)</f>
        <v>0</v>
      </c>
      <c r="C90" s="1084" t="str">
        <f t="shared" si="21"/>
        <v>MCCB 3 cực 400V -630A - 35KA</v>
      </c>
      <c r="D90" s="85" t="str">
        <f t="shared" si="22"/>
        <v>cái</v>
      </c>
      <c r="E90" s="448">
        <f ca="1">SUMIF(OFFSET(tongctvtdd1,0,-(COLUMN(E90)+7-(COLUMN(E90)-5)/2)),KLVT!$A90,tongctvtdd1)+SUMIF(OFFSET(tongctvtpk1,0,-(COLUMN(E90)+7-(COLUMN(E90)-5)/2)),KLVT!$A90,tongctvtpk1)</f>
        <v>0</v>
      </c>
      <c r="F90" s="449">
        <f ca="1">SUMIF(OFFSET(cttba_vlvt1_1,0,-9,-ROW(cttba_vlvt1_1)+ROW(cttba_vltb1_1)-10),KLVT!$A90,OFFSET(cttba_vlvt1_1,0,-4,-ROW(cttba_vlvt1_1)+ROW(cttba_vltb1_1)-10))</f>
        <v>0</v>
      </c>
      <c r="G90" s="451">
        <f t="shared" ca="1" si="16"/>
        <v>0</v>
      </c>
      <c r="H90" s="450">
        <f t="shared" si="17"/>
        <v>2</v>
      </c>
      <c r="I90" s="447">
        <f t="shared" ca="1" si="18"/>
        <v>0</v>
      </c>
      <c r="J90" s="447">
        <f t="shared" ca="1" si="19"/>
        <v>0</v>
      </c>
      <c r="K90" s="1094">
        <f t="shared" ca="1" si="20"/>
        <v>0</v>
      </c>
    </row>
    <row r="91" spans="1:11" s="373" customFormat="1" hidden="1">
      <c r="A91" s="373" t="s">
        <v>1702</v>
      </c>
      <c r="B91" s="85">
        <f ca="1">IF(K91&gt;0,COUNTIF(K$6:K91,"&gt;0"),B90)</f>
        <v>0</v>
      </c>
      <c r="C91" s="1084" t="str">
        <f t="shared" si="21"/>
        <v>MCCB 3 cực 400V -800A - 50KA</v>
      </c>
      <c r="D91" s="85" t="str">
        <f t="shared" si="22"/>
        <v>cái</v>
      </c>
      <c r="E91" s="448">
        <f ca="1">SUMIF(OFFSET(tongctvtdd1,0,-(COLUMN(E91)+7-(COLUMN(E91)-5)/2)),KLVT!$A91,tongctvtdd1)+SUMIF(OFFSET(tongctvtpk1,0,-(COLUMN(E91)+7-(COLUMN(E91)-5)/2)),KLVT!$A91,tongctvtpk1)</f>
        <v>0</v>
      </c>
      <c r="F91" s="449">
        <f ca="1">SUMIF(OFFSET(cttba_vlvt1_1,0,-9,-ROW(cttba_vlvt1_1)+ROW(cttba_vltb1_1)-10),KLVT!$A91,OFFSET(cttba_vlvt1_1,0,-4,-ROW(cttba_vlvt1_1)+ROW(cttba_vltb1_1)-10))</f>
        <v>0</v>
      </c>
      <c r="G91" s="451">
        <f t="shared" ca="1" si="16"/>
        <v>0</v>
      </c>
      <c r="H91" s="450">
        <f t="shared" si="17"/>
        <v>4</v>
      </c>
      <c r="I91" s="447">
        <f t="shared" ca="1" si="18"/>
        <v>0</v>
      </c>
      <c r="J91" s="447">
        <f t="shared" ca="1" si="19"/>
        <v>0</v>
      </c>
      <c r="K91" s="1095">
        <f t="shared" ca="1" si="20"/>
        <v>0</v>
      </c>
    </row>
    <row r="92" spans="1:11" s="373" customFormat="1" hidden="1">
      <c r="A92" s="373" t="s">
        <v>1704</v>
      </c>
      <c r="B92" s="85">
        <f ca="1">IF(K92&gt;0,COUNTIF(K$6:K92,"&gt;0"),B91)</f>
        <v>0</v>
      </c>
      <c r="C92" s="1084" t="str">
        <f t="shared" si="21"/>
        <v>MCCB 3 cực 400V -1000A - 50KA</v>
      </c>
      <c r="D92" s="85" t="str">
        <f t="shared" si="22"/>
        <v>cái</v>
      </c>
      <c r="E92" s="448">
        <f ca="1">SUMIF(OFFSET(tongctvtdd1,0,-(COLUMN(E92)+7-(COLUMN(E92)-5)/2)),KLVT!$A92,tongctvtdd1)+SUMIF(OFFSET(tongctvtpk1,0,-(COLUMN(E92)+7-(COLUMN(E92)-5)/2)),KLVT!$A92,tongctvtpk1)</f>
        <v>0</v>
      </c>
      <c r="F92" s="449">
        <f ca="1">SUMIF(OFFSET(cttba_vlvt1_1,0,-9,-ROW(cttba_vlvt1_1)+ROW(cttba_vltb1_1)-10),KLVT!$A92,OFFSET(cttba_vlvt1_1,0,-4,-ROW(cttba_vlvt1_1)+ROW(cttba_vltb1_1)-10))</f>
        <v>0</v>
      </c>
      <c r="G92" s="451">
        <f t="shared" ca="1" si="16"/>
        <v>0</v>
      </c>
      <c r="H92" s="450">
        <f t="shared" si="17"/>
        <v>4</v>
      </c>
      <c r="I92" s="447">
        <f t="shared" ca="1" si="18"/>
        <v>0</v>
      </c>
      <c r="J92" s="447">
        <f t="shared" ca="1" si="19"/>
        <v>0</v>
      </c>
      <c r="K92" s="1095">
        <f t="shared" ca="1" si="20"/>
        <v>0</v>
      </c>
    </row>
    <row r="93" spans="1:11" s="373" customFormat="1" hidden="1">
      <c r="A93" s="373" t="s">
        <v>1706</v>
      </c>
      <c r="B93" s="85">
        <f ca="1">IF(K93&gt;0,COUNTIF(K$6:K93,"&gt;0"),B92)</f>
        <v>0</v>
      </c>
      <c r="C93" s="1084" t="str">
        <f t="shared" si="21"/>
        <v>MCCB 3 cực 400V -1250A - 85KA</v>
      </c>
      <c r="D93" s="85" t="str">
        <f t="shared" si="22"/>
        <v>cái</v>
      </c>
      <c r="E93" s="448">
        <f ca="1">SUMIF(OFFSET(tongctvtdd1,0,-(COLUMN(E93)+7-(COLUMN(E93)-5)/2)),KLVT!$A93,tongctvtdd1)+SUMIF(OFFSET(tongctvtpk1,0,-(COLUMN(E93)+7-(COLUMN(E93)-5)/2)),KLVT!$A93,tongctvtpk1)</f>
        <v>0</v>
      </c>
      <c r="F93" s="449">
        <f ca="1">SUMIF(OFFSET(cttba_vlvt1_1,0,-9,-ROW(cttba_vlvt1_1)+ROW(cttba_vltb1_1)-10),KLVT!$A93,OFFSET(cttba_vlvt1_1,0,-4,-ROW(cttba_vlvt1_1)+ROW(cttba_vltb1_1)-10))</f>
        <v>0</v>
      </c>
      <c r="G93" s="451">
        <f t="shared" ca="1" si="16"/>
        <v>0</v>
      </c>
      <c r="H93" s="450">
        <f t="shared" si="17"/>
        <v>4</v>
      </c>
      <c r="I93" s="447">
        <f t="shared" ca="1" si="18"/>
        <v>0</v>
      </c>
      <c r="J93" s="447">
        <f t="shared" ca="1" si="19"/>
        <v>0</v>
      </c>
      <c r="K93" s="1094">
        <f t="shared" ca="1" si="20"/>
        <v>0</v>
      </c>
    </row>
    <row r="94" spans="1:11" s="373" customFormat="1" hidden="1">
      <c r="A94" s="373" t="s">
        <v>1708</v>
      </c>
      <c r="B94" s="85">
        <f ca="1">IF(K94&gt;0,COUNTIF(K$6:K94,"&gt;0"),B93)</f>
        <v>0</v>
      </c>
      <c r="C94" s="1084" t="str">
        <f t="shared" si="21"/>
        <v>MCCB 3 cực 400V -1600A - 85KA</v>
      </c>
      <c r="D94" s="85" t="str">
        <f t="shared" si="22"/>
        <v>cái</v>
      </c>
      <c r="E94" s="448">
        <f ca="1">SUMIF(OFFSET(tongctvtdd1,0,-(COLUMN(E94)+7-(COLUMN(E94)-5)/2)),KLVT!$A94,tongctvtdd1)+SUMIF(OFFSET(tongctvtpk1,0,-(COLUMN(E94)+7-(COLUMN(E94)-5)/2)),KLVT!$A94,tongctvtpk1)</f>
        <v>0</v>
      </c>
      <c r="F94" s="449">
        <f ca="1">SUMIF(OFFSET(cttba_vlvt1_1,0,-9,-ROW(cttba_vlvt1_1)+ROW(cttba_vltb1_1)-10),KLVT!$A94,OFFSET(cttba_vlvt1_1,0,-4,-ROW(cttba_vlvt1_1)+ROW(cttba_vltb1_1)-10))</f>
        <v>0</v>
      </c>
      <c r="G94" s="451">
        <f t="shared" ca="1" si="16"/>
        <v>0</v>
      </c>
      <c r="H94" s="450">
        <f t="shared" si="17"/>
        <v>8</v>
      </c>
      <c r="I94" s="447">
        <f t="shared" ca="1" si="18"/>
        <v>0</v>
      </c>
      <c r="J94" s="447">
        <f t="shared" ca="1" si="19"/>
        <v>0</v>
      </c>
      <c r="K94" s="1095">
        <f t="shared" ca="1" si="20"/>
        <v>0</v>
      </c>
    </row>
    <row r="95" spans="1:11" s="373" customFormat="1" hidden="1">
      <c r="A95" s="373" t="s">
        <v>1710</v>
      </c>
      <c r="B95" s="85">
        <f ca="1">IF(K95&gt;0,COUNTIF(K$6:K95,"&gt;0"),B94)</f>
        <v>0</v>
      </c>
      <c r="C95" s="1084" t="str">
        <f t="shared" si="21"/>
        <v>ACB 3P - 1600A - 65KA (nạp lò xo bằng tay)</v>
      </c>
      <c r="D95" s="85" t="str">
        <f t="shared" si="22"/>
        <v>cái</v>
      </c>
      <c r="E95" s="448">
        <f ca="1">SUMIF(OFFSET(tongctvtdd1,0,-(COLUMN(E95)+7-(COLUMN(E95)-5)/2)),KLVT!$A95,tongctvtdd1)+SUMIF(OFFSET(tongctvtpk1,0,-(COLUMN(E95)+7-(COLUMN(E95)-5)/2)),KLVT!$A95,tongctvtpk1)</f>
        <v>0</v>
      </c>
      <c r="F95" s="449">
        <f ca="1">SUMIF(OFFSET(cttba_vlvt1_1,0,-9,-ROW(cttba_vlvt1_1)+ROW(cttba_vltb1_1)-10),KLVT!$A95,OFFSET(cttba_vlvt1_1,0,-4,-ROW(cttba_vlvt1_1)+ROW(cttba_vltb1_1)-10))</f>
        <v>0</v>
      </c>
      <c r="G95" s="451">
        <f t="shared" ca="1" si="16"/>
        <v>0</v>
      </c>
      <c r="H95" s="450">
        <f t="shared" si="17"/>
        <v>10</v>
      </c>
      <c r="I95" s="447">
        <f t="shared" ca="1" si="18"/>
        <v>0</v>
      </c>
      <c r="J95" s="447">
        <f t="shared" ca="1" si="19"/>
        <v>0</v>
      </c>
      <c r="K95" s="1095">
        <f t="shared" ca="1" si="20"/>
        <v>0</v>
      </c>
    </row>
    <row r="96" spans="1:11" s="373" customFormat="1" hidden="1">
      <c r="A96" s="373" t="s">
        <v>1712</v>
      </c>
      <c r="B96" s="85">
        <f ca="1">IF(K96&gt;0,COUNTIF(K$6:K96,"&gt;0"),B95)</f>
        <v>0</v>
      </c>
      <c r="C96" s="1084" t="str">
        <f t="shared" si="21"/>
        <v>ACB 3P - 2000A - 85KA (nạp lò xo bằng tay)</v>
      </c>
      <c r="D96" s="85" t="str">
        <f t="shared" si="22"/>
        <v>cái</v>
      </c>
      <c r="E96" s="448">
        <f ca="1">SUMIF(OFFSET(tongctvtdd1,0,-(COLUMN(E96)+7-(COLUMN(E96)-5)/2)),KLVT!$A96,tongctvtdd1)+SUMIF(OFFSET(tongctvtpk1,0,-(COLUMN(E96)+7-(COLUMN(E96)-5)/2)),KLVT!$A96,tongctvtpk1)</f>
        <v>0</v>
      </c>
      <c r="F96" s="449">
        <f ca="1">SUMIF(OFFSET(cttba_vlvt1_1,0,-9,-ROW(cttba_vlvt1_1)+ROW(cttba_vltb1_1)-10),KLVT!$A96,OFFSET(cttba_vlvt1_1,0,-4,-ROW(cttba_vlvt1_1)+ROW(cttba_vltb1_1)-10))</f>
        <v>0</v>
      </c>
      <c r="G96" s="451">
        <f t="shared" ca="1" si="16"/>
        <v>0</v>
      </c>
      <c r="H96" s="450">
        <f t="shared" si="17"/>
        <v>10</v>
      </c>
      <c r="I96" s="447">
        <f t="shared" ca="1" si="18"/>
        <v>0</v>
      </c>
      <c r="J96" s="447">
        <f t="shared" ca="1" si="19"/>
        <v>0</v>
      </c>
      <c r="K96" s="1095">
        <f t="shared" ca="1" si="20"/>
        <v>0</v>
      </c>
    </row>
    <row r="97" spans="1:11" s="373" customFormat="1" hidden="1">
      <c r="A97" s="373" t="s">
        <v>1714</v>
      </c>
      <c r="B97" s="85">
        <f ca="1">IF(K97&gt;0,COUNTIF(K$6:K97,"&gt;0"),B96)</f>
        <v>0</v>
      </c>
      <c r="C97" s="1084" t="str">
        <f t="shared" si="21"/>
        <v>ACB 3P - 2500A - 85KA (nạp lò xo bằng tay)</v>
      </c>
      <c r="D97" s="85" t="str">
        <f t="shared" si="22"/>
        <v>cái</v>
      </c>
      <c r="E97" s="448">
        <f ca="1">SUMIF(OFFSET(tongctvtdd1,0,-(COLUMN(E97)+7-(COLUMN(E97)-5)/2)),KLVT!$A97,tongctvtdd1)+SUMIF(OFFSET(tongctvtpk1,0,-(COLUMN(E97)+7-(COLUMN(E97)-5)/2)),KLVT!$A97,tongctvtpk1)</f>
        <v>0</v>
      </c>
      <c r="F97" s="449">
        <f ca="1">SUMIF(OFFSET(cttba_vlvt1_1,0,-9,-ROW(cttba_vlvt1_1)+ROW(cttba_vltb1_1)-10),KLVT!$A97,OFFSET(cttba_vlvt1_1,0,-4,-ROW(cttba_vlvt1_1)+ROW(cttba_vltb1_1)-10))</f>
        <v>0</v>
      </c>
      <c r="G97" s="451">
        <f t="shared" ca="1" si="16"/>
        <v>0</v>
      </c>
      <c r="H97" s="450">
        <f t="shared" si="17"/>
        <v>10</v>
      </c>
      <c r="I97" s="447">
        <f t="shared" ca="1" si="18"/>
        <v>0</v>
      </c>
      <c r="J97" s="447">
        <f t="shared" ca="1" si="19"/>
        <v>0</v>
      </c>
      <c r="K97" s="1095">
        <f t="shared" ca="1" si="20"/>
        <v>0</v>
      </c>
    </row>
    <row r="98" spans="1:11" s="373" customFormat="1" hidden="1">
      <c r="A98" s="373" t="s">
        <v>1716</v>
      </c>
      <c r="B98" s="85">
        <f ca="1">IF(K98&gt;0,COUNTIF(K$6:K98,"&gt;0"),B97)</f>
        <v>0</v>
      </c>
      <c r="C98" s="1084" t="str">
        <f t="shared" si="21"/>
        <v>ACB 3P - 3200A - 85KA (nạp lò xo bằng tay)</v>
      </c>
      <c r="D98" s="85" t="str">
        <f t="shared" si="22"/>
        <v>cái</v>
      </c>
      <c r="E98" s="448">
        <f ca="1">SUMIF(OFFSET(tongctvtdd1,0,-(COLUMN(E98)+7-(COLUMN(E98)-5)/2)),KLVT!$A98,tongctvtdd1)+SUMIF(OFFSET(tongctvtpk1,0,-(COLUMN(E98)+7-(COLUMN(E98)-5)/2)),KLVT!$A98,tongctvtpk1)</f>
        <v>0</v>
      </c>
      <c r="F98" s="449">
        <f ca="1">SUMIF(OFFSET(cttba_vlvt1_1,0,-9,-ROW(cttba_vlvt1_1)+ROW(cttba_vltb1_1)-10),KLVT!$A98,OFFSET(cttba_vlvt1_1,0,-4,-ROW(cttba_vlvt1_1)+ROW(cttba_vltb1_1)-10))</f>
        <v>0</v>
      </c>
      <c r="G98" s="451">
        <f t="shared" ca="1" si="16"/>
        <v>0</v>
      </c>
      <c r="H98" s="450">
        <f t="shared" si="17"/>
        <v>10</v>
      </c>
      <c r="I98" s="447">
        <f t="shared" ca="1" si="18"/>
        <v>0</v>
      </c>
      <c r="J98" s="447">
        <f t="shared" ca="1" si="19"/>
        <v>0</v>
      </c>
      <c r="K98" s="1095">
        <f t="shared" ca="1" si="20"/>
        <v>0</v>
      </c>
    </row>
    <row r="99" spans="1:11" s="373" customFormat="1" hidden="1">
      <c r="A99" s="373" t="s">
        <v>1718</v>
      </c>
      <c r="B99" s="85">
        <f ca="1">IF(K99&gt;0,COUNTIF(K$6:K99,"&gt;0"),B98)</f>
        <v>0</v>
      </c>
      <c r="C99" s="1084" t="str">
        <f t="shared" si="21"/>
        <v>ACB 3P - 4000A - 85KA (nạp lò xo bằng tay)</v>
      </c>
      <c r="D99" s="85" t="str">
        <f t="shared" si="22"/>
        <v>cái</v>
      </c>
      <c r="E99" s="448">
        <f ca="1">SUMIF(OFFSET(tongctvtdd1,0,-(COLUMN(E99)+7-(COLUMN(E99)-5)/2)),KLVT!$A99,tongctvtdd1)+SUMIF(OFFSET(tongctvtpk1,0,-(COLUMN(E99)+7-(COLUMN(E99)-5)/2)),KLVT!$A99,tongctvtpk1)</f>
        <v>0</v>
      </c>
      <c r="F99" s="449">
        <f ca="1">SUMIF(OFFSET(cttba_vlvt1_1,0,-9,-ROW(cttba_vlvt1_1)+ROW(cttba_vltb1_1)-10),KLVT!$A99,OFFSET(cttba_vlvt1_1,0,-4,-ROW(cttba_vlvt1_1)+ROW(cttba_vltb1_1)-10))</f>
        <v>0</v>
      </c>
      <c r="G99" s="451">
        <f t="shared" ca="1" si="16"/>
        <v>0</v>
      </c>
      <c r="H99" s="450">
        <f t="shared" si="17"/>
        <v>6</v>
      </c>
      <c r="I99" s="447">
        <f t="shared" ca="1" si="18"/>
        <v>0</v>
      </c>
      <c r="J99" s="447">
        <f t="shared" ca="1" si="19"/>
        <v>0</v>
      </c>
      <c r="K99" s="1095">
        <f t="shared" ca="1" si="20"/>
        <v>0</v>
      </c>
    </row>
    <row r="100" spans="1:11" s="373" customFormat="1" hidden="1">
      <c r="A100" s="373" t="s">
        <v>1720</v>
      </c>
      <c r="B100" s="85">
        <f ca="1">IF(K100&gt;0,COUNTIF(K$6:K100,"&gt;0"),B99)</f>
        <v>0</v>
      </c>
      <c r="C100" s="1084" t="str">
        <f t="shared" si="21"/>
        <v>ACB 3P - 4000A - 130KA (nạp lò xo bằng tay)</v>
      </c>
      <c r="D100" s="85" t="str">
        <f t="shared" si="22"/>
        <v>cái</v>
      </c>
      <c r="E100" s="448">
        <f ca="1">SUMIF(OFFSET(tongctvtdd1,0,-(COLUMN(E100)+7-(COLUMN(E100)-5)/2)),KLVT!$A100,tongctvtdd1)+SUMIF(OFFSET(tongctvtpk1,0,-(COLUMN(E100)+7-(COLUMN(E100)-5)/2)),KLVT!$A100,tongctvtpk1)</f>
        <v>0</v>
      </c>
      <c r="F100" s="449">
        <f ca="1">SUMIF(OFFSET(cttba_vlvt1_1,0,-9,-ROW(cttba_vlvt1_1)+ROW(cttba_vltb1_1)-10),KLVT!$A100,OFFSET(cttba_vlvt1_1,0,-4,-ROW(cttba_vlvt1_1)+ROW(cttba_vltb1_1)-10))</f>
        <v>0</v>
      </c>
      <c r="G100" s="451">
        <f t="shared" ca="1" si="16"/>
        <v>0</v>
      </c>
      <c r="H100" s="450">
        <f t="shared" si="17"/>
        <v>6</v>
      </c>
      <c r="I100" s="447">
        <f t="shared" ca="1" si="18"/>
        <v>0</v>
      </c>
      <c r="J100" s="447">
        <f t="shared" ca="1" si="19"/>
        <v>0</v>
      </c>
      <c r="K100" s="1095">
        <f t="shared" ca="1" si="20"/>
        <v>0</v>
      </c>
    </row>
    <row r="101" spans="1:11" s="373" customFormat="1" hidden="1">
      <c r="A101" s="373" t="s">
        <v>1722</v>
      </c>
      <c r="B101" s="85">
        <f ca="1">IF(K101&gt;0,COUNTIF(K$6:K101,"&gt;0"),B100)</f>
        <v>0</v>
      </c>
      <c r="C101" s="1084" t="str">
        <f t="shared" si="21"/>
        <v>ACB 3P - 6300A - 130KA (nạp lò xo bằng tay)</v>
      </c>
      <c r="D101" s="85" t="str">
        <f t="shared" si="22"/>
        <v>cái</v>
      </c>
      <c r="E101" s="448">
        <f ca="1">SUMIF(OFFSET(tongctvtdd1,0,-(COLUMN(E101)+7-(COLUMN(E101)-5)/2)),KLVT!$A101,tongctvtdd1)+SUMIF(OFFSET(tongctvtpk1,0,-(COLUMN(E101)+7-(COLUMN(E101)-5)/2)),KLVT!$A101,tongctvtpk1)</f>
        <v>0</v>
      </c>
      <c r="F101" s="449">
        <f ca="1">SUMIF(OFFSET(cttba_vlvt1_1,0,-9,-ROW(cttba_vlvt1_1)+ROW(cttba_vltb1_1)-10),KLVT!$A101,OFFSET(cttba_vlvt1_1,0,-4,-ROW(cttba_vlvt1_1)+ROW(cttba_vltb1_1)-10))</f>
        <v>0</v>
      </c>
      <c r="G101" s="451">
        <f t="shared" ca="1" si="16"/>
        <v>0</v>
      </c>
      <c r="H101" s="450">
        <f t="shared" si="17"/>
        <v>6</v>
      </c>
      <c r="I101" s="447">
        <f t="shared" ca="1" si="18"/>
        <v>0</v>
      </c>
      <c r="J101" s="447">
        <f t="shared" ca="1" si="19"/>
        <v>0</v>
      </c>
      <c r="K101" s="1095">
        <f t="shared" ca="1" si="20"/>
        <v>0</v>
      </c>
    </row>
    <row r="102" spans="1:11" s="373" customFormat="1" hidden="1">
      <c r="A102" s="373" t="s">
        <v>1724</v>
      </c>
      <c r="B102" s="85">
        <f ca="1">IF(K102&gt;0,COUNTIF(K$6:K102,"&gt;0"),B101)</f>
        <v>0</v>
      </c>
      <c r="C102" s="1084" t="str">
        <f t="shared" si="21"/>
        <v>Áp tô mát CBXE 200NC -250A-600V (TERASAKY-Nhật)</v>
      </c>
      <c r="D102" s="85" t="str">
        <f t="shared" si="22"/>
        <v>cái</v>
      </c>
      <c r="E102" s="448">
        <f ca="1">SUMIF(OFFSET(tongctvtdd1,0,-(COLUMN(E102)+7-(COLUMN(E102)-5)/2)),KLVT!$A102,tongctvtdd1)+SUMIF(OFFSET(tongctvtpk1,0,-(COLUMN(E102)+7-(COLUMN(E102)-5)/2)),KLVT!$A102,tongctvtpk1)</f>
        <v>0</v>
      </c>
      <c r="F102" s="449">
        <f ca="1">SUMIF(OFFSET(cttba_vlvt1_1,0,-9,-ROW(cttba_vlvt1_1)+ROW(cttba_vltb1_1)-10),KLVT!$A102,OFFSET(cttba_vlvt1_1,0,-4,-ROW(cttba_vlvt1_1)+ROW(cttba_vltb1_1)-10))</f>
        <v>0</v>
      </c>
      <c r="G102" s="451">
        <f t="shared" ca="1" si="16"/>
        <v>0</v>
      </c>
      <c r="H102" s="450">
        <f t="shared" ref="H102:H118" si="23">VLOOKUP(A102,DONGIA,18,0)</f>
        <v>6</v>
      </c>
      <c r="I102" s="447">
        <f t="shared" ref="I102:I118" ca="1" si="24">E102*$H102</f>
        <v>0</v>
      </c>
      <c r="J102" s="447">
        <f t="shared" ref="J102:J118" ca="1" si="25">F102*$H102</f>
        <v>0</v>
      </c>
      <c r="K102" s="1095">
        <f t="shared" ref="K102:K118" ca="1" si="26">IF(G102&gt;0,1,0)</f>
        <v>0</v>
      </c>
    </row>
    <row r="103" spans="1:11" s="373" customFormat="1" hidden="1">
      <c r="A103" s="373" t="s">
        <v>1726</v>
      </c>
      <c r="B103" s="85">
        <f ca="1">IF(K103&gt;0,COUNTIF(K$6:K103,"&gt;0"),B102)</f>
        <v>0</v>
      </c>
      <c r="C103" s="1084" t="str">
        <f t="shared" si="21"/>
        <v>Áp tô mát CBXE 200NC -150A-600V (TERASAKY-Nhật)</v>
      </c>
      <c r="D103" s="85" t="str">
        <f t="shared" si="22"/>
        <v>cái</v>
      </c>
      <c r="E103" s="448">
        <f ca="1">SUMIF(OFFSET(tongctvtdd1,0,-(COLUMN(E103)+7-(COLUMN(E103)-5)/2)),KLVT!$A103,tongctvtdd1)+SUMIF(OFFSET(tongctvtpk1,0,-(COLUMN(E103)+7-(COLUMN(E103)-5)/2)),KLVT!$A103,tongctvtpk1)</f>
        <v>0</v>
      </c>
      <c r="F103" s="449">
        <f ca="1">SUMIF(OFFSET(cttba_vlvt1_1,0,-9,-ROW(cttba_vlvt1_1)+ROW(cttba_vltb1_1)-10),KLVT!$A103,OFFSET(cttba_vlvt1_1,0,-4,-ROW(cttba_vlvt1_1)+ROW(cttba_vltb1_1)-10))</f>
        <v>0</v>
      </c>
      <c r="G103" s="451">
        <f t="shared" ca="1" si="16"/>
        <v>0</v>
      </c>
      <c r="H103" s="450">
        <f t="shared" si="23"/>
        <v>6</v>
      </c>
      <c r="I103" s="447">
        <f t="shared" ca="1" si="24"/>
        <v>0</v>
      </c>
      <c r="J103" s="447">
        <f t="shared" ca="1" si="25"/>
        <v>0</v>
      </c>
      <c r="K103" s="1095">
        <f t="shared" ca="1" si="26"/>
        <v>0</v>
      </c>
    </row>
    <row r="104" spans="1:11" s="373" customFormat="1" hidden="1">
      <c r="A104" s="373" t="s">
        <v>1728</v>
      </c>
      <c r="B104" s="85">
        <f ca="1">IF(K104&gt;0,COUNTIF(K$6:K104,"&gt;0"),B103)</f>
        <v>0</v>
      </c>
      <c r="C104" s="1084" t="str">
        <f t="shared" si="21"/>
        <v>Dây chảy 3K</v>
      </c>
      <c r="D104" s="85" t="str">
        <f t="shared" si="22"/>
        <v>sợi</v>
      </c>
      <c r="E104" s="448">
        <f ca="1">SUMIF(OFFSET(tongctvtdd1,0,-(COLUMN(E104)+7-(COLUMN(E104)-5)/2)),KLVT!$A104,tongctvtdd1)+SUMIF(OFFSET(tongctvtpk1,0,-(COLUMN(E104)+7-(COLUMN(E104)-5)/2)),KLVT!$A104,tongctvtpk1)</f>
        <v>0</v>
      </c>
      <c r="F104" s="449">
        <f ca="1">SUMIF(OFFSET(cttba_vlvt1_1,0,-9,-ROW(cttba_vlvt1_1)+ROW(cttba_vltb1_1)-10),KLVT!$A104,OFFSET(cttba_vlvt1_1,0,-4,-ROW(cttba_vlvt1_1)+ROW(cttba_vltb1_1)-10))</f>
        <v>0</v>
      </c>
      <c r="G104" s="451">
        <f t="shared" ca="1" si="16"/>
        <v>0</v>
      </c>
      <c r="H104" s="450">
        <f t="shared" si="23"/>
        <v>0.1</v>
      </c>
      <c r="I104" s="447">
        <f t="shared" ca="1" si="24"/>
        <v>0</v>
      </c>
      <c r="J104" s="447">
        <f t="shared" ca="1" si="25"/>
        <v>0</v>
      </c>
      <c r="K104" s="1094">
        <f t="shared" ca="1" si="26"/>
        <v>0</v>
      </c>
    </row>
    <row r="105" spans="1:11" s="373" customFormat="1" hidden="1">
      <c r="A105" s="373" t="s">
        <v>1731</v>
      </c>
      <c r="B105" s="85">
        <f ca="1">IF(K105&gt;0,COUNTIF(K$6:K105,"&gt;0"),B104)</f>
        <v>0</v>
      </c>
      <c r="C105" s="1084" t="str">
        <f t="shared" si="21"/>
        <v>Dây chảy 6K</v>
      </c>
      <c r="D105" s="85" t="str">
        <f t="shared" si="22"/>
        <v>Sợi</v>
      </c>
      <c r="E105" s="448">
        <f ca="1">SUMIF(OFFSET(tongctvtdd1,0,-(COLUMN(E105)+7-(COLUMN(E105)-5)/2)),KLVT!$A105,tongctvtdd1)+SUMIF(OFFSET(tongctvtpk1,0,-(COLUMN(E105)+7-(COLUMN(E105)-5)/2)),KLVT!$A105,tongctvtpk1)</f>
        <v>0</v>
      </c>
      <c r="F105" s="449">
        <f ca="1">SUMIF(OFFSET(cttba_vlvt1_1,0,-9,-ROW(cttba_vlvt1_1)+ROW(cttba_vltb1_1)-10),KLVT!$A105,OFFSET(cttba_vlvt1_1,0,-4,-ROW(cttba_vlvt1_1)+ROW(cttba_vltb1_1)-10))</f>
        <v>0</v>
      </c>
      <c r="G105" s="451">
        <f t="shared" ca="1" si="16"/>
        <v>0</v>
      </c>
      <c r="H105" s="450">
        <f t="shared" si="23"/>
        <v>0.1</v>
      </c>
      <c r="I105" s="447">
        <f t="shared" ca="1" si="24"/>
        <v>0</v>
      </c>
      <c r="J105" s="447">
        <f t="shared" ca="1" si="25"/>
        <v>0</v>
      </c>
      <c r="K105" s="1094">
        <f t="shared" ca="1" si="26"/>
        <v>0</v>
      </c>
    </row>
    <row r="106" spans="1:11" s="373" customFormat="1" hidden="1">
      <c r="A106" s="373" t="s">
        <v>1733</v>
      </c>
      <c r="B106" s="85">
        <f ca="1">IF(K106&gt;0,COUNTIF(K$6:K106,"&gt;0"),B105)</f>
        <v>0</v>
      </c>
      <c r="C106" s="1084" t="str">
        <f t="shared" si="21"/>
        <v>Dây chảy 8K</v>
      </c>
      <c r="D106" s="85" t="str">
        <f t="shared" si="22"/>
        <v>Sợi</v>
      </c>
      <c r="E106" s="448">
        <f ca="1">SUMIF(OFFSET(tongctvtdd1,0,-(COLUMN(E106)+7-(COLUMN(E106)-5)/2)),KLVT!$A106,tongctvtdd1)+SUMIF(OFFSET(tongctvtpk1,0,-(COLUMN(E106)+7-(COLUMN(E106)-5)/2)),KLVT!$A106,tongctvtpk1)</f>
        <v>0</v>
      </c>
      <c r="F106" s="449">
        <f ca="1">SUMIF(OFFSET(cttba_vlvt1_1,0,-9,-ROW(cttba_vlvt1_1)+ROW(cttba_vltb1_1)-10),KLVT!$A106,OFFSET(cttba_vlvt1_1,0,-4,-ROW(cttba_vlvt1_1)+ROW(cttba_vltb1_1)-10))</f>
        <v>0</v>
      </c>
      <c r="G106" s="451">
        <f t="shared" ca="1" si="16"/>
        <v>0</v>
      </c>
      <c r="H106" s="450">
        <f t="shared" si="23"/>
        <v>0.1</v>
      </c>
      <c r="I106" s="447">
        <f t="shared" ca="1" si="24"/>
        <v>0</v>
      </c>
      <c r="J106" s="447">
        <f t="shared" ca="1" si="25"/>
        <v>0</v>
      </c>
      <c r="K106" s="1094">
        <f t="shared" ca="1" si="26"/>
        <v>0</v>
      </c>
    </row>
    <row r="107" spans="1:11" s="373" customFormat="1" hidden="1">
      <c r="A107" s="373" t="s">
        <v>1735</v>
      </c>
      <c r="B107" s="85">
        <f ca="1">IF(K107&gt;0,COUNTIF(K$6:K107,"&gt;0"),B106)</f>
        <v>0</v>
      </c>
      <c r="C107" s="1084" t="str">
        <f t="shared" si="21"/>
        <v>Dây chảy 10K</v>
      </c>
      <c r="D107" s="85" t="str">
        <f t="shared" si="22"/>
        <v>Sợi</v>
      </c>
      <c r="E107" s="448">
        <f ca="1">SUMIF(OFFSET(tongctvtdd1,0,-(COLUMN(E107)+7-(COLUMN(E107)-5)/2)),KLVT!$A107,tongctvtdd1)+SUMIF(OFFSET(tongctvtpk1,0,-(COLUMN(E107)+7-(COLUMN(E107)-5)/2)),KLVT!$A107,tongctvtpk1)</f>
        <v>0</v>
      </c>
      <c r="F107" s="449">
        <f ca="1">SUMIF(OFFSET(cttba_vlvt1_1,0,-9,-ROW(cttba_vlvt1_1)+ROW(cttba_vltb1_1)-10),KLVT!$A107,OFFSET(cttba_vlvt1_1,0,-4,-ROW(cttba_vlvt1_1)+ROW(cttba_vltb1_1)-10))</f>
        <v>0</v>
      </c>
      <c r="G107" s="451">
        <f t="shared" ca="1" si="16"/>
        <v>0</v>
      </c>
      <c r="H107" s="450">
        <f t="shared" si="23"/>
        <v>0.1</v>
      </c>
      <c r="I107" s="447">
        <f t="shared" ca="1" si="24"/>
        <v>0</v>
      </c>
      <c r="J107" s="447">
        <f t="shared" ca="1" si="25"/>
        <v>0</v>
      </c>
      <c r="K107" s="1095">
        <f t="shared" ca="1" si="26"/>
        <v>0</v>
      </c>
    </row>
    <row r="108" spans="1:11" s="373" customFormat="1" hidden="1">
      <c r="A108" s="373" t="s">
        <v>1737</v>
      </c>
      <c r="B108" s="85">
        <f ca="1">IF(K108&gt;0,COUNTIF(K$6:K108,"&gt;0"),B107)</f>
        <v>0</v>
      </c>
      <c r="C108" s="1084" t="str">
        <f t="shared" si="21"/>
        <v>Dây chảy 12K</v>
      </c>
      <c r="D108" s="85" t="str">
        <f t="shared" si="22"/>
        <v>Sợi</v>
      </c>
      <c r="E108" s="448">
        <f ca="1">SUMIF(OFFSET(tongctvtdd1,0,-(COLUMN(E108)+7-(COLUMN(E108)-5)/2)),KLVT!$A108,tongctvtdd1)+SUMIF(OFFSET(tongctvtpk1,0,-(COLUMN(E108)+7-(COLUMN(E108)-5)/2)),KLVT!$A108,tongctvtpk1)</f>
        <v>0</v>
      </c>
      <c r="F108" s="449">
        <f ca="1">SUMIF(OFFSET(cttba_vlvt1_1,0,-9,-ROW(cttba_vlvt1_1)+ROW(cttba_vltb1_1)-10),KLVT!$A108,OFFSET(cttba_vlvt1_1,0,-4,-ROW(cttba_vlvt1_1)+ROW(cttba_vltb1_1)-10))</f>
        <v>0</v>
      </c>
      <c r="G108" s="451">
        <f t="shared" ca="1" si="16"/>
        <v>0</v>
      </c>
      <c r="H108" s="450">
        <f t="shared" si="23"/>
        <v>0.1</v>
      </c>
      <c r="I108" s="447">
        <f t="shared" ca="1" si="24"/>
        <v>0</v>
      </c>
      <c r="J108" s="447">
        <f t="shared" ca="1" si="25"/>
        <v>0</v>
      </c>
      <c r="K108" s="1094">
        <f t="shared" ca="1" si="26"/>
        <v>0</v>
      </c>
    </row>
    <row r="109" spans="1:11" s="373" customFormat="1" hidden="1">
      <c r="A109" s="373" t="s">
        <v>1739</v>
      </c>
      <c r="B109" s="85">
        <f ca="1">IF(K109&gt;0,COUNTIF(K$6:K109,"&gt;0"),B108)</f>
        <v>0</v>
      </c>
      <c r="C109" s="1084" t="str">
        <f t="shared" si="21"/>
        <v>Dây chảy 15K</v>
      </c>
      <c r="D109" s="85" t="str">
        <f t="shared" si="22"/>
        <v>Sợi</v>
      </c>
      <c r="E109" s="448">
        <f ca="1">SUMIF(OFFSET(tongctvtdd1,0,-(COLUMN(E109)+7-(COLUMN(E109)-5)/2)),KLVT!$A109,tongctvtdd1)+SUMIF(OFFSET(tongctvtpk1,0,-(COLUMN(E109)+7-(COLUMN(E109)-5)/2)),KLVT!$A109,tongctvtpk1)</f>
        <v>0</v>
      </c>
      <c r="F109" s="449">
        <f ca="1">SUMIF(OFFSET(cttba_vlvt1_1,0,-9,-ROW(cttba_vlvt1_1)+ROW(cttba_vltb1_1)-10),KLVT!$A109,OFFSET(cttba_vlvt1_1,0,-4,-ROW(cttba_vlvt1_1)+ROW(cttba_vltb1_1)-10))</f>
        <v>0</v>
      </c>
      <c r="G109" s="451">
        <f t="shared" ca="1" si="16"/>
        <v>0</v>
      </c>
      <c r="H109" s="450">
        <f t="shared" si="23"/>
        <v>0.1</v>
      </c>
      <c r="I109" s="447">
        <f t="shared" ca="1" si="24"/>
        <v>0</v>
      </c>
      <c r="J109" s="447">
        <f t="shared" ca="1" si="25"/>
        <v>0</v>
      </c>
      <c r="K109" s="1095">
        <f t="shared" ca="1" si="26"/>
        <v>0</v>
      </c>
    </row>
    <row r="110" spans="1:11" s="373" customFormat="1" hidden="1">
      <c r="A110" s="373" t="s">
        <v>1741</v>
      </c>
      <c r="B110" s="85">
        <f ca="1">IF(K110&gt;0,COUNTIF(K$6:K110,"&gt;0"),B109)</f>
        <v>0</v>
      </c>
      <c r="C110" s="1084" t="str">
        <f t="shared" si="21"/>
        <v>Dây chảy 20K</v>
      </c>
      <c r="D110" s="85" t="str">
        <f t="shared" si="22"/>
        <v>Sợi</v>
      </c>
      <c r="E110" s="448">
        <f ca="1">SUMIF(OFFSET(tongctvtdd1,0,-(COLUMN(E110)+7-(COLUMN(E110)-5)/2)),KLVT!$A110,tongctvtdd1)+SUMIF(OFFSET(tongctvtpk1,0,-(COLUMN(E110)+7-(COLUMN(E110)-5)/2)),KLVT!$A110,tongctvtpk1)</f>
        <v>0</v>
      </c>
      <c r="F110" s="449">
        <f ca="1">SUMIF(OFFSET(cttba_vlvt1_1,0,-9,-ROW(cttba_vlvt1_1)+ROW(cttba_vltb1_1)-10),KLVT!$A110,OFFSET(cttba_vlvt1_1,0,-4,-ROW(cttba_vlvt1_1)+ROW(cttba_vltb1_1)-10))</f>
        <v>0</v>
      </c>
      <c r="G110" s="451">
        <f t="shared" ca="1" si="16"/>
        <v>0</v>
      </c>
      <c r="H110" s="450">
        <f t="shared" si="23"/>
        <v>0.1</v>
      </c>
      <c r="I110" s="447">
        <f t="shared" ca="1" si="24"/>
        <v>0</v>
      </c>
      <c r="J110" s="447">
        <f t="shared" ca="1" si="25"/>
        <v>0</v>
      </c>
      <c r="K110" s="1094">
        <f t="shared" ca="1" si="26"/>
        <v>0</v>
      </c>
    </row>
    <row r="111" spans="1:11" s="373" customFormat="1" hidden="1">
      <c r="A111" s="373" t="s">
        <v>1743</v>
      </c>
      <c r="B111" s="85">
        <f ca="1">IF(K111&gt;0,COUNTIF(K$6:K111,"&gt;0"),B110)</f>
        <v>0</v>
      </c>
      <c r="C111" s="1084" t="str">
        <f t="shared" si="21"/>
        <v>Dây chảy 25K</v>
      </c>
      <c r="D111" s="85" t="str">
        <f t="shared" si="22"/>
        <v>Sợi</v>
      </c>
      <c r="E111" s="448">
        <f ca="1">SUMIF(OFFSET(tongctvtdd1,0,-(COLUMN(E111)+7-(COLUMN(E111)-5)/2)),KLVT!$A111,tongctvtdd1)+SUMIF(OFFSET(tongctvtpk1,0,-(COLUMN(E111)+7-(COLUMN(E111)-5)/2)),KLVT!$A111,tongctvtpk1)</f>
        <v>0</v>
      </c>
      <c r="F111" s="449">
        <f ca="1">SUMIF(OFFSET(cttba_vlvt1_1,0,-9,-ROW(cttba_vlvt1_1)+ROW(cttba_vltb1_1)-10),KLVT!$A111,OFFSET(cttba_vlvt1_1,0,-4,-ROW(cttba_vlvt1_1)+ROW(cttba_vltb1_1)-10))</f>
        <v>0</v>
      </c>
      <c r="G111" s="451">
        <f t="shared" ca="1" si="16"/>
        <v>0</v>
      </c>
      <c r="H111" s="450">
        <f t="shared" si="23"/>
        <v>0.1</v>
      </c>
      <c r="I111" s="447">
        <f t="shared" ca="1" si="24"/>
        <v>0</v>
      </c>
      <c r="J111" s="447">
        <f t="shared" ca="1" si="25"/>
        <v>0</v>
      </c>
      <c r="K111" s="1095">
        <f t="shared" ca="1" si="26"/>
        <v>0</v>
      </c>
    </row>
    <row r="112" spans="1:11" s="373" customFormat="1" hidden="1">
      <c r="A112" s="373" t="s">
        <v>1745</v>
      </c>
      <c r="B112" s="85">
        <f ca="1">IF(K112&gt;0,COUNTIF(K$6:K112,"&gt;0"),B111)</f>
        <v>0</v>
      </c>
      <c r="C112" s="1084" t="str">
        <f t="shared" si="21"/>
        <v>Dây chảy 30K</v>
      </c>
      <c r="D112" s="85" t="str">
        <f t="shared" si="22"/>
        <v>Sợi</v>
      </c>
      <c r="E112" s="448">
        <f ca="1">SUMIF(OFFSET(tongctvtdd1,0,-(COLUMN(E112)+7-(COLUMN(E112)-5)/2)),KLVT!$A112,tongctvtdd1)+SUMIF(OFFSET(tongctvtpk1,0,-(COLUMN(E112)+7-(COLUMN(E112)-5)/2)),KLVT!$A112,tongctvtpk1)</f>
        <v>0</v>
      </c>
      <c r="F112" s="449">
        <f ca="1">SUMIF(OFFSET(cttba_vlvt1_1,0,-9,-ROW(cttba_vlvt1_1)+ROW(cttba_vltb1_1)-10),KLVT!$A112,OFFSET(cttba_vlvt1_1,0,-4,-ROW(cttba_vlvt1_1)+ROW(cttba_vltb1_1)-10))</f>
        <v>0</v>
      </c>
      <c r="G112" s="451">
        <f t="shared" ca="1" si="16"/>
        <v>0</v>
      </c>
      <c r="H112" s="450">
        <f t="shared" si="23"/>
        <v>0.1</v>
      </c>
      <c r="I112" s="447">
        <f t="shared" ca="1" si="24"/>
        <v>0</v>
      </c>
      <c r="J112" s="447">
        <f t="shared" ca="1" si="25"/>
        <v>0</v>
      </c>
      <c r="K112" s="1095">
        <f t="shared" ca="1" si="26"/>
        <v>0</v>
      </c>
    </row>
    <row r="113" spans="1:11" s="373" customFormat="1" hidden="1">
      <c r="A113" s="373" t="s">
        <v>1747</v>
      </c>
      <c r="B113" s="85">
        <f ca="1">IF(K113&gt;0,COUNTIF(K$6:K113,"&gt;0"),B112)</f>
        <v>0</v>
      </c>
      <c r="C113" s="1084" t="str">
        <f t="shared" si="21"/>
        <v>Dây chảy 40K</v>
      </c>
      <c r="D113" s="85" t="str">
        <f t="shared" si="22"/>
        <v>Sợi</v>
      </c>
      <c r="E113" s="448">
        <f ca="1">SUMIF(OFFSET(tongctvtdd1,0,-(COLUMN(E113)+7-(COLUMN(E113)-5)/2)),KLVT!$A113,tongctvtdd1)+SUMIF(OFFSET(tongctvtpk1,0,-(COLUMN(E113)+7-(COLUMN(E113)-5)/2)),KLVT!$A113,tongctvtpk1)</f>
        <v>0</v>
      </c>
      <c r="F113" s="449">
        <f ca="1">SUMIF(OFFSET(cttba_vlvt1_1,0,-9,-ROW(cttba_vlvt1_1)+ROW(cttba_vltb1_1)-10),KLVT!$A113,OFFSET(cttba_vlvt1_1,0,-4,-ROW(cttba_vlvt1_1)+ROW(cttba_vltb1_1)-10))</f>
        <v>0</v>
      </c>
      <c r="G113" s="451">
        <f t="shared" ca="1" si="16"/>
        <v>0</v>
      </c>
      <c r="H113" s="450">
        <f t="shared" si="23"/>
        <v>0.1</v>
      </c>
      <c r="I113" s="447">
        <f t="shared" ca="1" si="24"/>
        <v>0</v>
      </c>
      <c r="J113" s="447">
        <f t="shared" ca="1" si="25"/>
        <v>0</v>
      </c>
      <c r="K113" s="1095">
        <f t="shared" ca="1" si="26"/>
        <v>0</v>
      </c>
    </row>
    <row r="114" spans="1:11" s="373" customFormat="1" hidden="1">
      <c r="A114" s="373" t="s">
        <v>1749</v>
      </c>
      <c r="B114" s="85">
        <f ca="1">IF(K114&gt;0,COUNTIF(K$6:K114,"&gt;0"),B113)</f>
        <v>0</v>
      </c>
      <c r="C114" s="1084" t="str">
        <f t="shared" si="21"/>
        <v>Dây chảy 50K</v>
      </c>
      <c r="D114" s="85" t="str">
        <f t="shared" si="22"/>
        <v>Sợi</v>
      </c>
      <c r="E114" s="448">
        <f ca="1">SUMIF(OFFSET(tongctvtdd1,0,-(COLUMN(E114)+7-(COLUMN(E114)-5)/2)),KLVT!$A114,tongctvtdd1)+SUMIF(OFFSET(tongctvtpk1,0,-(COLUMN(E114)+7-(COLUMN(E114)-5)/2)),KLVT!$A114,tongctvtpk1)</f>
        <v>0</v>
      </c>
      <c r="F114" s="449">
        <f ca="1">SUMIF(OFFSET(cttba_vlvt1_1,0,-9,-ROW(cttba_vlvt1_1)+ROW(cttba_vltb1_1)-10),KLVT!$A114,OFFSET(cttba_vlvt1_1,0,-4,-ROW(cttba_vlvt1_1)+ROW(cttba_vltb1_1)-10))</f>
        <v>0</v>
      </c>
      <c r="G114" s="451">
        <f t="shared" ca="1" si="16"/>
        <v>0</v>
      </c>
      <c r="H114" s="450">
        <f t="shared" si="23"/>
        <v>0.1</v>
      </c>
      <c r="I114" s="447">
        <f t="shared" ca="1" si="24"/>
        <v>0</v>
      </c>
      <c r="J114" s="447">
        <f t="shared" ca="1" si="25"/>
        <v>0</v>
      </c>
      <c r="K114" s="1095">
        <f t="shared" ca="1" si="26"/>
        <v>0</v>
      </c>
    </row>
    <row r="115" spans="1:11" s="373" customFormat="1" hidden="1">
      <c r="A115" s="373" t="s">
        <v>1751</v>
      </c>
      <c r="B115" s="85">
        <f ca="1">IF(K115&gt;0,COUNTIF(K$6:K115,"&gt;0"),B114)</f>
        <v>0</v>
      </c>
      <c r="C115" s="1084" t="str">
        <f t="shared" si="21"/>
        <v>Dây chảy 65K</v>
      </c>
      <c r="D115" s="85" t="str">
        <f t="shared" si="22"/>
        <v>Sợi</v>
      </c>
      <c r="E115" s="448">
        <f ca="1">SUMIF(OFFSET(tongctvtdd1,0,-(COLUMN(E115)+7-(COLUMN(E115)-5)/2)),KLVT!$A115,tongctvtdd1)+SUMIF(OFFSET(tongctvtpk1,0,-(COLUMN(E115)+7-(COLUMN(E115)-5)/2)),KLVT!$A115,tongctvtpk1)</f>
        <v>0</v>
      </c>
      <c r="F115" s="449">
        <f ca="1">SUMIF(OFFSET(cttba_vlvt1_1,0,-9,-ROW(cttba_vlvt1_1)+ROW(cttba_vltb1_1)-10),KLVT!$A115,OFFSET(cttba_vlvt1_1,0,-4,-ROW(cttba_vlvt1_1)+ROW(cttba_vltb1_1)-10))</f>
        <v>0</v>
      </c>
      <c r="G115" s="451">
        <f t="shared" ca="1" si="16"/>
        <v>0</v>
      </c>
      <c r="H115" s="450">
        <f t="shared" si="23"/>
        <v>0.1</v>
      </c>
      <c r="I115" s="447">
        <f t="shared" ca="1" si="24"/>
        <v>0</v>
      </c>
      <c r="J115" s="447">
        <f t="shared" ca="1" si="25"/>
        <v>0</v>
      </c>
      <c r="K115" s="1095">
        <f t="shared" ca="1" si="26"/>
        <v>0</v>
      </c>
    </row>
    <row r="116" spans="1:11" s="373" customFormat="1" hidden="1">
      <c r="A116" s="373" t="s">
        <v>1753</v>
      </c>
      <c r="B116" s="85">
        <f ca="1">IF(K116&gt;0,COUNTIF(K$6:K116,"&gt;0"),B115)</f>
        <v>0</v>
      </c>
      <c r="C116" s="1084" t="str">
        <f t="shared" si="21"/>
        <v>Dây chảy 80K</v>
      </c>
      <c r="D116" s="85" t="str">
        <f t="shared" si="22"/>
        <v>Sợi</v>
      </c>
      <c r="E116" s="448">
        <f ca="1">SUMIF(OFFSET(tongctvtdd1,0,-(COLUMN(E116)+7-(COLUMN(E116)-5)/2)),KLVT!$A116,tongctvtdd1)+SUMIF(OFFSET(tongctvtpk1,0,-(COLUMN(E116)+7-(COLUMN(E116)-5)/2)),KLVT!$A116,tongctvtpk1)</f>
        <v>0</v>
      </c>
      <c r="F116" s="449">
        <f ca="1">SUMIF(OFFSET(cttba_vlvt1_1,0,-9,-ROW(cttba_vlvt1_1)+ROW(cttba_vltb1_1)-10),KLVT!$A116,OFFSET(cttba_vlvt1_1,0,-4,-ROW(cttba_vlvt1_1)+ROW(cttba_vltb1_1)-10))</f>
        <v>0</v>
      </c>
      <c r="G116" s="451">
        <f t="shared" ca="1" si="16"/>
        <v>0</v>
      </c>
      <c r="H116" s="450">
        <f t="shared" si="23"/>
        <v>0.1</v>
      </c>
      <c r="I116" s="447">
        <f t="shared" ca="1" si="24"/>
        <v>0</v>
      </c>
      <c r="J116" s="447">
        <f t="shared" ca="1" si="25"/>
        <v>0</v>
      </c>
      <c r="K116" s="1095">
        <f t="shared" ca="1" si="26"/>
        <v>0</v>
      </c>
    </row>
    <row r="117" spans="1:11" s="373" customFormat="1" hidden="1">
      <c r="A117" s="373" t="s">
        <v>1755</v>
      </c>
      <c r="B117" s="85">
        <f ca="1">IF(K117&gt;0,COUNTIF(K$6:K117,"&gt;0"),B116)</f>
        <v>0</v>
      </c>
      <c r="C117" s="1084" t="str">
        <f t="shared" si="21"/>
        <v>Dây chảy 100K</v>
      </c>
      <c r="D117" s="85" t="str">
        <f t="shared" si="22"/>
        <v>Sợi</v>
      </c>
      <c r="E117" s="448">
        <f ca="1">SUMIF(OFFSET(tongctvtdd1,0,-(COLUMN(E117)+7-(COLUMN(E117)-5)/2)),KLVT!$A117,tongctvtdd1)+SUMIF(OFFSET(tongctvtpk1,0,-(COLUMN(E117)+7-(COLUMN(E117)-5)/2)),KLVT!$A117,tongctvtpk1)</f>
        <v>0</v>
      </c>
      <c r="F117" s="449">
        <f ca="1">SUMIF(OFFSET(cttba_vlvt1_1,0,-9,-ROW(cttba_vlvt1_1)+ROW(cttba_vltb1_1)-10),KLVT!$A117,OFFSET(cttba_vlvt1_1,0,-4,-ROW(cttba_vlvt1_1)+ROW(cttba_vltb1_1)-10))</f>
        <v>0</v>
      </c>
      <c r="G117" s="451">
        <f t="shared" ca="1" si="16"/>
        <v>0</v>
      </c>
      <c r="H117" s="450">
        <f t="shared" si="23"/>
        <v>0.1</v>
      </c>
      <c r="I117" s="447">
        <f t="shared" ca="1" si="24"/>
        <v>0</v>
      </c>
      <c r="J117" s="447">
        <f t="shared" ca="1" si="25"/>
        <v>0</v>
      </c>
      <c r="K117" s="1095">
        <f t="shared" ca="1" si="26"/>
        <v>0</v>
      </c>
    </row>
    <row r="118" spans="1:11" s="373" customFormat="1" hidden="1">
      <c r="A118" s="373" t="s">
        <v>1757</v>
      </c>
      <c r="B118" s="85">
        <f ca="1">IF(K118&gt;0,COUNTIF(K$6:K118,"&gt;0"),B117)</f>
        <v>0</v>
      </c>
      <c r="C118" s="1084" t="str">
        <f t="shared" si="21"/>
        <v>Dây chảy 140K</v>
      </c>
      <c r="D118" s="85" t="str">
        <f t="shared" si="22"/>
        <v>Sợi</v>
      </c>
      <c r="E118" s="448">
        <f ca="1">SUMIF(OFFSET(tongctvtdd1,0,-(COLUMN(E118)+7-(COLUMN(E118)-5)/2)),KLVT!$A118,tongctvtdd1)+SUMIF(OFFSET(tongctvtpk1,0,-(COLUMN(E118)+7-(COLUMN(E118)-5)/2)),KLVT!$A118,tongctvtpk1)</f>
        <v>0</v>
      </c>
      <c r="F118" s="449">
        <f ca="1">SUMIF(OFFSET(cttba_vlvt1_1,0,-9,-ROW(cttba_vlvt1_1)+ROW(cttba_vltb1_1)-10),KLVT!$A118,OFFSET(cttba_vlvt1_1,0,-4,-ROW(cttba_vlvt1_1)+ROW(cttba_vltb1_1)-10))</f>
        <v>0</v>
      </c>
      <c r="G118" s="451">
        <f t="shared" ca="1" si="16"/>
        <v>0</v>
      </c>
      <c r="H118" s="450">
        <f t="shared" si="23"/>
        <v>0.1</v>
      </c>
      <c r="I118" s="447">
        <f t="shared" ca="1" si="24"/>
        <v>0</v>
      </c>
      <c r="J118" s="447">
        <f t="shared" ca="1" si="25"/>
        <v>0</v>
      </c>
      <c r="K118" s="1095">
        <f t="shared" ca="1" si="26"/>
        <v>0</v>
      </c>
    </row>
    <row r="119" spans="1:11">
      <c r="A119" s="1269" t="s">
        <v>2816</v>
      </c>
      <c r="B119" s="438">
        <f ca="1">IF(K119&gt;0,COUNTIF(K$6:K119,"&gt;0"),B118)</f>
        <v>1</v>
      </c>
      <c r="C119" s="1273" t="s">
        <v>2815</v>
      </c>
      <c r="D119" s="438"/>
      <c r="E119" s="1276">
        <f ca="1">SUMIF(OFFSET(tongctvtdd1,0,-(COLUMN(E119)+7-(COLUMN(E119)-5)/2)),KLVT!$A119,tongctvtdd1)+SUMIF(OFFSET(tongctvtpk1,0,-(COLUMN(E119)+7-(COLUMN(E119)-5)/2)),KLVT!$A119,tongctvtpk1)</f>
        <v>0</v>
      </c>
      <c r="F119" s="1277">
        <f ca="1">SUMIF(OFFSET(cttba_vlvt1_1,0,-9,-ROW(cttba_vlvt1_1)+ROW(cttba_vltb1_1)-10),KLVT!$A119,OFFSET(cttba_vlvt1_1,0,-4,-ROW(cttba_vlvt1_1)+ROW(cttba_vltb1_1)-10))</f>
        <v>0</v>
      </c>
      <c r="G119" s="1277">
        <f t="shared" ca="1" si="16"/>
        <v>0</v>
      </c>
      <c r="H119" s="1274"/>
      <c r="I119" s="1275">
        <f ca="1">SUM(I120:I132)</f>
        <v>0</v>
      </c>
      <c r="J119" s="1275">
        <f t="shared" ref="J119" ca="1" si="27">SUM(J120:J132)</f>
        <v>0</v>
      </c>
      <c r="K119" s="1268">
        <v>1</v>
      </c>
    </row>
    <row r="120" spans="1:11" s="45" customFormat="1" hidden="1">
      <c r="A120" s="45" t="s">
        <v>16</v>
      </c>
      <c r="B120" s="85">
        <f ca="1">IF(K120&gt;0,COUNTIF(K$6:K120,"&gt;0"),B119)</f>
        <v>1</v>
      </c>
      <c r="C120" s="1084" t="str">
        <f t="shared" ref="C120:C129" si="28">VLOOKUP(A120,DONGIA,3,0)</f>
        <v>Đế neo BTCT 200x1200</v>
      </c>
      <c r="D120" s="85" t="str">
        <f t="shared" ref="D120:D129" si="29">VLOOKUP(A120,DONGIA,4,0)</f>
        <v>cái</v>
      </c>
      <c r="E120" s="448">
        <f ca="1">SUMIF(OFFSET(tongctvtdd1,0,-(COLUMN(E120)+7-(COLUMN(E120)-5)/2)),KLVT!$A120,tongctvtdd1)+SUMIF(OFFSET(tongctvtpk1,0,-(COLUMN(E120)+7-(COLUMN(E120)-5)/2)),KLVT!$A120,tongctvtpk1)</f>
        <v>0</v>
      </c>
      <c r="F120" s="449">
        <f ca="1">SUMIF(OFFSET(cttba_vlvt1_1,0,-9,-ROW(cttba_vlvt1_1)+ROW(cttba_vltb1_1)-10),KLVT!$A120,OFFSET(cttba_vlvt1_1,0,-4,-ROW(cttba_vlvt1_1)+ROW(cttba_vltb1_1)-10))</f>
        <v>0</v>
      </c>
      <c r="G120" s="451">
        <f t="shared" ca="1" si="16"/>
        <v>0</v>
      </c>
      <c r="H120" s="450">
        <f t="shared" ref="H120:H132" si="30">VLOOKUP(A120,DONGIA,18,0)</f>
        <v>90</v>
      </c>
      <c r="I120" s="447">
        <f t="shared" ref="I120:I132" ca="1" si="31">E120*$H120</f>
        <v>0</v>
      </c>
      <c r="J120" s="447">
        <f t="shared" ref="J120:J132" ca="1" si="32">F120*$H120</f>
        <v>0</v>
      </c>
      <c r="K120" s="1095">
        <f t="shared" ref="K120:K132" ca="1" si="33">IF(G120&gt;0,1,0)</f>
        <v>0</v>
      </c>
    </row>
    <row r="121" spans="1:11" s="45" customFormat="1" hidden="1">
      <c r="A121" s="45" t="s">
        <v>18</v>
      </c>
      <c r="B121" s="85">
        <f ca="1">IF(K121&gt;0,COUNTIF(K$6:K121,"&gt;0"),B120)</f>
        <v>1</v>
      </c>
      <c r="C121" s="1084" t="str">
        <f t="shared" si="28"/>
        <v>Đế neo BTCT 400x1200</v>
      </c>
      <c r="D121" s="85" t="str">
        <f t="shared" si="29"/>
        <v>cái</v>
      </c>
      <c r="E121" s="448">
        <f ca="1">SUMIF(OFFSET(tongctvtdd1,0,-(COLUMN(E121)+7-(COLUMN(E121)-5)/2)),KLVT!$A121,tongctvtdd1)+SUMIF(OFFSET(tongctvtpk1,0,-(COLUMN(E121)+7-(COLUMN(E121)-5)/2)),KLVT!$A121,tongctvtpk1)</f>
        <v>0</v>
      </c>
      <c r="F121" s="449">
        <f ca="1">SUMIF(OFFSET(cttba_vlvt1_1,0,-9,-ROW(cttba_vlvt1_1)+ROW(cttba_vltb1_1)-10),KLVT!$A121,OFFSET(cttba_vlvt1_1,0,-4,-ROW(cttba_vlvt1_1)+ROW(cttba_vltb1_1)-10))</f>
        <v>0</v>
      </c>
      <c r="G121" s="451">
        <f t="shared" ca="1" si="16"/>
        <v>0</v>
      </c>
      <c r="H121" s="450">
        <f t="shared" si="30"/>
        <v>170</v>
      </c>
      <c r="I121" s="447">
        <f t="shared" ca="1" si="31"/>
        <v>0</v>
      </c>
      <c r="J121" s="447">
        <f t="shared" ca="1" si="32"/>
        <v>0</v>
      </c>
      <c r="K121" s="1095">
        <f t="shared" ca="1" si="33"/>
        <v>0</v>
      </c>
    </row>
    <row r="122" spans="1:11" s="45" customFormat="1" hidden="1">
      <c r="A122" s="45" t="s">
        <v>20</v>
      </c>
      <c r="B122" s="85">
        <f ca="1">IF(K122&gt;0,COUNTIF(K$6:K122,"&gt;0"),B121)</f>
        <v>1</v>
      </c>
      <c r="C122" s="1084" t="str">
        <f t="shared" si="28"/>
        <v>Đế neo BTCT 400x1500</v>
      </c>
      <c r="D122" s="85" t="str">
        <f t="shared" si="29"/>
        <v>cái</v>
      </c>
      <c r="E122" s="448">
        <f ca="1">SUMIF(OFFSET(tongctvtdd1,0,-(COLUMN(E122)+7-(COLUMN(E122)-5)/2)),KLVT!$A122,tongctvtdd1)+SUMIF(OFFSET(tongctvtpk1,0,-(COLUMN(E122)+7-(COLUMN(E122)-5)/2)),KLVT!$A122,tongctvtpk1)</f>
        <v>0</v>
      </c>
      <c r="F122" s="449">
        <f ca="1">SUMIF(OFFSET(cttba_vlvt1_1,0,-9,-ROW(cttba_vlvt1_1)+ROW(cttba_vltb1_1)-10),KLVT!$A122,OFFSET(cttba_vlvt1_1,0,-4,-ROW(cttba_vlvt1_1)+ROW(cttba_vltb1_1)-10))</f>
        <v>0</v>
      </c>
      <c r="G122" s="451">
        <f t="shared" ca="1" si="16"/>
        <v>0</v>
      </c>
      <c r="H122" s="450">
        <f t="shared" si="30"/>
        <v>270</v>
      </c>
      <c r="I122" s="447">
        <f t="shared" ca="1" si="31"/>
        <v>0</v>
      </c>
      <c r="J122" s="447">
        <f t="shared" ca="1" si="32"/>
        <v>0</v>
      </c>
      <c r="K122" s="1095">
        <f t="shared" ca="1" si="33"/>
        <v>0</v>
      </c>
    </row>
    <row r="123" spans="1:11" s="45" customFormat="1" hidden="1">
      <c r="A123" s="45" t="s">
        <v>22</v>
      </c>
      <c r="B123" s="85">
        <f ca="1">IF(K123&gt;0,COUNTIF(K$6:K123,"&gt;0"),B122)</f>
        <v>1</v>
      </c>
      <c r="C123" s="1084" t="str">
        <f t="shared" si="28"/>
        <v>Đế neo BTCT 600x1500</v>
      </c>
      <c r="D123" s="85" t="str">
        <f t="shared" si="29"/>
        <v>cái</v>
      </c>
      <c r="E123" s="448">
        <f ca="1">SUMIF(OFFSET(tongctvtdd1,0,-(COLUMN(E123)+7-(COLUMN(E123)-5)/2)),KLVT!$A123,tongctvtdd1)+SUMIF(OFFSET(tongctvtpk1,0,-(COLUMN(E123)+7-(COLUMN(E123)-5)/2)),KLVT!$A123,tongctvtpk1)</f>
        <v>0</v>
      </c>
      <c r="F123" s="449">
        <f ca="1">SUMIF(OFFSET(cttba_vlvt1_1,0,-9,-ROW(cttba_vlvt1_1)+ROW(cttba_vltb1_1)-10),KLVT!$A123,OFFSET(cttba_vlvt1_1,0,-4,-ROW(cttba_vlvt1_1)+ROW(cttba_vltb1_1)-10))</f>
        <v>0</v>
      </c>
      <c r="G123" s="451">
        <f t="shared" ca="1" si="16"/>
        <v>0</v>
      </c>
      <c r="H123" s="450">
        <f t="shared" si="30"/>
        <v>400</v>
      </c>
      <c r="I123" s="447">
        <f t="shared" ca="1" si="31"/>
        <v>0</v>
      </c>
      <c r="J123" s="447">
        <f t="shared" ca="1" si="32"/>
        <v>0</v>
      </c>
      <c r="K123" s="1095">
        <f t="shared" ca="1" si="33"/>
        <v>0</v>
      </c>
    </row>
    <row r="124" spans="1:11" s="45" customFormat="1" hidden="1">
      <c r="A124" s="45" t="s">
        <v>730</v>
      </c>
      <c r="B124" s="85">
        <f ca="1">IF(K124&gt;0,COUNTIF(K$6:K124,"&gt;0"),B123)</f>
        <v>1</v>
      </c>
      <c r="C124" s="1084" t="str">
        <f t="shared" si="28"/>
        <v>Trụ BTLT 7,5m F200 dự ứng lực</v>
      </c>
      <c r="D124" s="85" t="str">
        <f t="shared" si="29"/>
        <v>trụ</v>
      </c>
      <c r="E124" s="448">
        <f ca="1">SUMIF(OFFSET(tongctvtdd1,0,-(COLUMN(E124)+7-(COLUMN(E124)-5)/2)),KLVT!$A124,tongctvtdd1)+SUMIF(OFFSET(tongctvtpk1,0,-(COLUMN(E124)+7-(COLUMN(E124)-5)/2)),KLVT!$A124,tongctvtpk1)</f>
        <v>0</v>
      </c>
      <c r="F124" s="449">
        <f ca="1">SUMIF(OFFSET(cttba_vlvt1_1,0,-9,-ROW(cttba_vlvt1_1)+ROW(cttba_vltb1_1)-10),KLVT!$A124,OFFSET(cttba_vlvt1_1,0,-4,-ROW(cttba_vlvt1_1)+ROW(cttba_vltb1_1)-10))</f>
        <v>0</v>
      </c>
      <c r="G124" s="451">
        <f t="shared" ca="1" si="16"/>
        <v>0</v>
      </c>
      <c r="H124" s="450">
        <f t="shared" si="30"/>
        <v>600</v>
      </c>
      <c r="I124" s="447">
        <f t="shared" ca="1" si="31"/>
        <v>0</v>
      </c>
      <c r="J124" s="447">
        <f t="shared" ca="1" si="32"/>
        <v>0</v>
      </c>
      <c r="K124" s="1094">
        <f t="shared" ca="1" si="33"/>
        <v>0</v>
      </c>
    </row>
    <row r="125" spans="1:11" s="45" customFormat="1" hidden="1">
      <c r="A125" s="45" t="s">
        <v>732</v>
      </c>
      <c r="B125" s="85">
        <f ca="1">IF(K125&gt;0,COUNTIF(K$6:K125,"&gt;0"),B124)</f>
        <v>1</v>
      </c>
      <c r="C125" s="1084" t="str">
        <f t="shared" si="28"/>
        <v>Trụ BTLT 8,4m F200 dự ứng lực</v>
      </c>
      <c r="D125" s="85" t="str">
        <f t="shared" si="29"/>
        <v>trụ</v>
      </c>
      <c r="E125" s="448">
        <f ca="1">SUMIF(OFFSET(tongctvtdd1,0,-(COLUMN(E125)+7-(COLUMN(E125)-5)/2)),KLVT!$A125,tongctvtdd1)+SUMIF(OFFSET(tongctvtpk1,0,-(COLUMN(E125)+7-(COLUMN(E125)-5)/2)),KLVT!$A125,tongctvtpk1)</f>
        <v>0</v>
      </c>
      <c r="F125" s="449">
        <f ca="1">SUMIF(OFFSET(cttba_vlvt1_1,0,-9,-ROW(cttba_vlvt1_1)+ROW(cttba_vltb1_1)-10),KLVT!$A125,OFFSET(cttba_vlvt1_1,0,-4,-ROW(cttba_vlvt1_1)+ROW(cttba_vltb1_1)-10))</f>
        <v>0</v>
      </c>
      <c r="G125" s="451">
        <f t="shared" ca="1" si="16"/>
        <v>0</v>
      </c>
      <c r="H125" s="450">
        <f t="shared" si="30"/>
        <v>600</v>
      </c>
      <c r="I125" s="447">
        <f t="shared" ca="1" si="31"/>
        <v>0</v>
      </c>
      <c r="J125" s="447">
        <f t="shared" ca="1" si="32"/>
        <v>0</v>
      </c>
      <c r="K125" s="1094">
        <f t="shared" ca="1" si="33"/>
        <v>0</v>
      </c>
    </row>
    <row r="126" spans="1:11" s="45" customFormat="1" hidden="1">
      <c r="A126" s="45" t="s">
        <v>734</v>
      </c>
      <c r="B126" s="85">
        <f ca="1">IF(K126&gt;0,COUNTIF(K$6:K126,"&gt;0"),B125)</f>
        <v>1</v>
      </c>
      <c r="C126" s="1084" t="str">
        <f t="shared" si="28"/>
        <v>Trụ BTLT 8,5m F200 dự ứng lực</v>
      </c>
      <c r="D126" s="85" t="str">
        <f t="shared" si="29"/>
        <v>trụ</v>
      </c>
      <c r="E126" s="448">
        <f ca="1">SUMIF(OFFSET(tongctvtdd1,0,-(COLUMN(E126)+7-(COLUMN(E126)-5)/2)),KLVT!$A126,tongctvtdd1)+SUMIF(OFFSET(tongctvtpk1,0,-(COLUMN(E126)+7-(COLUMN(E126)-5)/2)),KLVT!$A126,tongctvtpk1)</f>
        <v>0</v>
      </c>
      <c r="F126" s="449">
        <f ca="1">SUMIF(OFFSET(cttba_vlvt1_1,0,-9,-ROW(cttba_vlvt1_1)+ROW(cttba_vltb1_1)-10),KLVT!$A126,OFFSET(cttba_vlvt1_1,0,-4,-ROW(cttba_vlvt1_1)+ROW(cttba_vltb1_1)-10))</f>
        <v>0</v>
      </c>
      <c r="G126" s="451">
        <f t="shared" ca="1" si="16"/>
        <v>0</v>
      </c>
      <c r="H126" s="450">
        <f t="shared" si="30"/>
        <v>750</v>
      </c>
      <c r="I126" s="447">
        <f t="shared" ca="1" si="31"/>
        <v>0</v>
      </c>
      <c r="J126" s="447">
        <f t="shared" ca="1" si="32"/>
        <v>0</v>
      </c>
      <c r="K126" s="1095">
        <f t="shared" ca="1" si="33"/>
        <v>0</v>
      </c>
    </row>
    <row r="127" spans="1:11" s="45" customFormat="1" hidden="1">
      <c r="A127" s="45" t="s">
        <v>736</v>
      </c>
      <c r="B127" s="85">
        <f ca="1">IF(K127&gt;0,COUNTIF(K$6:K127,"&gt;0"),B126)</f>
        <v>1</v>
      </c>
      <c r="C127" s="1084" t="str">
        <f t="shared" si="28"/>
        <v>Trụ BTLT 8,5m F300 dự ứng lực</v>
      </c>
      <c r="D127" s="85" t="str">
        <f t="shared" si="29"/>
        <v>trụ</v>
      </c>
      <c r="E127" s="448">
        <f ca="1">SUMIF(OFFSET(tongctvtdd1,0,-(COLUMN(E127)+7-(COLUMN(E127)-5)/2)),KLVT!$A127,tongctvtdd1)+SUMIF(OFFSET(tongctvtpk1,0,-(COLUMN(E127)+7-(COLUMN(E127)-5)/2)),KLVT!$A127,tongctvtpk1)</f>
        <v>0</v>
      </c>
      <c r="F127" s="449">
        <f ca="1">SUMIF(OFFSET(cttba_vlvt1_1,0,-9,-ROW(cttba_vlvt1_1)+ROW(cttba_vltb1_1)-10),KLVT!$A127,OFFSET(cttba_vlvt1_1,0,-4,-ROW(cttba_vlvt1_1)+ROW(cttba_vltb1_1)-10))</f>
        <v>0</v>
      </c>
      <c r="G127" s="451">
        <f t="shared" ca="1" si="16"/>
        <v>0</v>
      </c>
      <c r="H127" s="450">
        <f t="shared" si="30"/>
        <v>760</v>
      </c>
      <c r="I127" s="447">
        <f t="shared" ca="1" si="31"/>
        <v>0</v>
      </c>
      <c r="J127" s="447">
        <f t="shared" ca="1" si="32"/>
        <v>0</v>
      </c>
      <c r="K127" s="1095">
        <f t="shared" ca="1" si="33"/>
        <v>0</v>
      </c>
    </row>
    <row r="128" spans="1:11" s="45" customFormat="1" hidden="1">
      <c r="A128" s="45" t="s">
        <v>738</v>
      </c>
      <c r="B128" s="85">
        <f ca="1">IF(K128&gt;0,COUNTIF(K$6:K128,"&gt;0"),B127)</f>
        <v>1</v>
      </c>
      <c r="C128" s="1084" t="str">
        <f t="shared" si="28"/>
        <v>Trụ BTLT 10,5m F480 dự ứng lực</v>
      </c>
      <c r="D128" s="85" t="str">
        <f t="shared" si="29"/>
        <v>trụ</v>
      </c>
      <c r="E128" s="448">
        <f ca="1">SUMIF(OFFSET(tongctvtdd1,0,-(COLUMN(E128)+7-(COLUMN(E128)-5)/2)),KLVT!$A128,tongctvtdd1)+SUMIF(OFFSET(tongctvtpk1,0,-(COLUMN(E128)+7-(COLUMN(E128)-5)/2)),KLVT!$A128,tongctvtpk1)</f>
        <v>0</v>
      </c>
      <c r="F128" s="449">
        <f ca="1">SUMIF(OFFSET(cttba_vlvt1_1,0,-9,-ROW(cttba_vlvt1_1)+ROW(cttba_vltb1_1)-10),KLVT!$A128,OFFSET(cttba_vlvt1_1,0,-4,-ROW(cttba_vlvt1_1)+ROW(cttba_vltb1_1)-10))</f>
        <v>0</v>
      </c>
      <c r="G128" s="451">
        <f t="shared" ca="1" si="16"/>
        <v>0</v>
      </c>
      <c r="H128" s="450">
        <f t="shared" si="30"/>
        <v>900</v>
      </c>
      <c r="I128" s="447">
        <f t="shared" ca="1" si="31"/>
        <v>0</v>
      </c>
      <c r="J128" s="447">
        <f t="shared" ca="1" si="32"/>
        <v>0</v>
      </c>
      <c r="K128" s="1095">
        <f t="shared" ca="1" si="33"/>
        <v>0</v>
      </c>
    </row>
    <row r="129" spans="1:11" s="45" customFormat="1" hidden="1">
      <c r="A129" s="45" t="s">
        <v>740</v>
      </c>
      <c r="B129" s="85">
        <f ca="1">IF(K129&gt;0,COUNTIF(K$6:K129,"&gt;0"),B128)</f>
        <v>1</v>
      </c>
      <c r="C129" s="1084" t="str">
        <f t="shared" si="28"/>
        <v>Trụ BTLT 10,5m F350 dự ứng lực</v>
      </c>
      <c r="D129" s="85" t="str">
        <f t="shared" si="29"/>
        <v>trụ</v>
      </c>
      <c r="E129" s="448">
        <f ca="1">SUMIF(OFFSET(tongctvtdd1,0,-(COLUMN(E129)+7-(COLUMN(E129)-5)/2)),KLVT!$A129,tongctvtdd1)+SUMIF(OFFSET(tongctvtpk1,0,-(COLUMN(E129)+7-(COLUMN(E129)-5)/2)),KLVT!$A129,tongctvtpk1)</f>
        <v>0</v>
      </c>
      <c r="F129" s="449">
        <f ca="1">SUMIF(OFFSET(cttba_vlvt1_1,0,-9,-ROW(cttba_vlvt1_1)+ROW(cttba_vltb1_1)-10),KLVT!$A129,OFFSET(cttba_vlvt1_1,0,-4,-ROW(cttba_vlvt1_1)+ROW(cttba_vltb1_1)-10))</f>
        <v>0</v>
      </c>
      <c r="G129" s="451">
        <f t="shared" ca="1" si="16"/>
        <v>0</v>
      </c>
      <c r="H129" s="450">
        <f t="shared" si="30"/>
        <v>900</v>
      </c>
      <c r="I129" s="447">
        <f t="shared" ca="1" si="31"/>
        <v>0</v>
      </c>
      <c r="J129" s="447">
        <f t="shared" ca="1" si="32"/>
        <v>0</v>
      </c>
      <c r="K129" s="1095">
        <f t="shared" ca="1" si="33"/>
        <v>0</v>
      </c>
    </row>
    <row r="130" spans="1:11" s="373" customFormat="1" hidden="1">
      <c r="A130" s="373" t="s">
        <v>742</v>
      </c>
      <c r="B130" s="85">
        <f ca="1">IF(K130&gt;0,COUNTIF(K$6:K130,"&gt;0"),B129)</f>
        <v>1</v>
      </c>
      <c r="C130" s="1084" t="str">
        <f>VLOOKUP(A130,DONGIA,3,0)</f>
        <v>Trụ BTLT 12m F540 dự ứng lực</v>
      </c>
      <c r="D130" s="85" t="str">
        <f>VLOOKUP(A130,DONGIA,4,0)</f>
        <v>trụ</v>
      </c>
      <c r="E130" s="448">
        <f ca="1">SUMIF(OFFSET(tongctvtdd1,0,-(COLUMN(E130)+7-(COLUMN(E130)-5)/2)),KLVT!$A130,tongctvtdd1)+SUMIF(OFFSET(tongctvtpk1,0,-(COLUMN(E130)+7-(COLUMN(E130)-5)/2)),KLVT!$A130,tongctvtpk1)</f>
        <v>0</v>
      </c>
      <c r="F130" s="449">
        <f ca="1">SUMIF(OFFSET(cttba_vlvt1_1,0,-9,-ROW(cttba_vlvt1_1)+ROW(cttba_vltb1_1)-10),KLVT!$A130,OFFSET(cttba_vlvt1_1,0,-4,-ROW(cttba_vlvt1_1)+ROW(cttba_vltb1_1)-10))</f>
        <v>0</v>
      </c>
      <c r="G130" s="451">
        <f t="shared" ca="1" si="16"/>
        <v>0</v>
      </c>
      <c r="H130" s="450">
        <f t="shared" si="30"/>
        <v>1100</v>
      </c>
      <c r="I130" s="447">
        <f t="shared" ca="1" si="31"/>
        <v>0</v>
      </c>
      <c r="J130" s="447">
        <f t="shared" ca="1" si="32"/>
        <v>0</v>
      </c>
      <c r="K130" s="1094">
        <f t="shared" ca="1" si="33"/>
        <v>0</v>
      </c>
    </row>
    <row r="131" spans="1:11" s="373" customFormat="1" hidden="1">
      <c r="A131" s="373" t="s">
        <v>743</v>
      </c>
      <c r="B131" s="85">
        <f ca="1">IF(K131&gt;0,COUNTIF(K$6:K131,"&gt;0"),B130)</f>
        <v>1</v>
      </c>
      <c r="C131" s="1084" t="str">
        <f>VLOOKUP(A131,DONGIA,3,0)</f>
        <v>Trụ BTLT 14m F650 dự ứng lực</v>
      </c>
      <c r="D131" s="85" t="str">
        <f>VLOOKUP(A131,DONGIA,4,0)</f>
        <v>trụ</v>
      </c>
      <c r="E131" s="448">
        <f ca="1">SUMIF(OFFSET(tongctvtdd1,0,-(COLUMN(E131)+7-(COLUMN(E131)-5)/2)),KLVT!$A131,tongctvtdd1)+SUMIF(OFFSET(tongctvtpk1,0,-(COLUMN(E131)+7-(COLUMN(E131)-5)/2)),KLVT!$A131,tongctvtpk1)</f>
        <v>0</v>
      </c>
      <c r="F131" s="449">
        <f ca="1">SUMIF(OFFSET(cttba_vlvt1_1,0,-9,-ROW(cttba_vlvt1_1)+ROW(cttba_vltb1_1)-10),KLVT!$A131,OFFSET(cttba_vlvt1_1,0,-4,-ROW(cttba_vlvt1_1)+ROW(cttba_vltb1_1)-10))</f>
        <v>0</v>
      </c>
      <c r="G131" s="451">
        <f t="shared" ca="1" si="16"/>
        <v>0</v>
      </c>
      <c r="H131" s="450">
        <f t="shared" si="30"/>
        <v>1390</v>
      </c>
      <c r="I131" s="447">
        <f t="shared" ca="1" si="31"/>
        <v>0</v>
      </c>
      <c r="J131" s="447">
        <f t="shared" ca="1" si="32"/>
        <v>0</v>
      </c>
      <c r="K131" s="1094">
        <f t="shared" ca="1" si="33"/>
        <v>0</v>
      </c>
    </row>
    <row r="132" spans="1:11" s="373" customFormat="1" hidden="1">
      <c r="A132" s="373" t="s">
        <v>745</v>
      </c>
      <c r="B132" s="85">
        <f ca="1">IF(K132&gt;0,COUNTIF(K$6:K132,"&gt;0"),B131)</f>
        <v>1</v>
      </c>
      <c r="C132" s="1084" t="str">
        <f>VLOOKUP(A132,DONGIA,3,0)</f>
        <v>Trụ BTLT 20m F1000 dự ứng lực</v>
      </c>
      <c r="D132" s="85" t="str">
        <f>VLOOKUP(A132,DONGIA,4,0)</f>
        <v>trụ</v>
      </c>
      <c r="E132" s="448">
        <f ca="1">SUMIF(OFFSET(tongctvtdd1,0,-(COLUMN(E132)+7-(COLUMN(E132)-5)/2)),KLVT!$A132,tongctvtdd1)+SUMIF(OFFSET(tongctvtpk1,0,-(COLUMN(E132)+7-(COLUMN(E132)-5)/2)),KLVT!$A132,tongctvtpk1)</f>
        <v>0</v>
      </c>
      <c r="F132" s="449">
        <f ca="1">SUMIF(OFFSET(cttba_vlvt1_1,0,-9,-ROW(cttba_vlvt1_1)+ROW(cttba_vltb1_1)-10),KLVT!$A132,OFFSET(cttba_vlvt1_1,0,-4,-ROW(cttba_vlvt1_1)+ROW(cttba_vltb1_1)-10))</f>
        <v>0</v>
      </c>
      <c r="G132" s="451">
        <f t="shared" ca="1" si="16"/>
        <v>0</v>
      </c>
      <c r="H132" s="450">
        <f t="shared" si="30"/>
        <v>2720</v>
      </c>
      <c r="I132" s="447">
        <f t="shared" ca="1" si="31"/>
        <v>0</v>
      </c>
      <c r="J132" s="447">
        <f t="shared" ca="1" si="32"/>
        <v>0</v>
      </c>
      <c r="K132" s="1094">
        <f t="shared" ca="1" si="33"/>
        <v>0</v>
      </c>
    </row>
    <row r="133" spans="1:11">
      <c r="A133" s="1269" t="s">
        <v>2813</v>
      </c>
      <c r="B133" s="438">
        <f ca="1">IF(K133&gt;0,COUNTIF(K$6:K133,"&gt;0"),B132)</f>
        <v>2</v>
      </c>
      <c r="C133" s="1273" t="s">
        <v>2794</v>
      </c>
      <c r="D133" s="438"/>
      <c r="E133" s="1276">
        <f ca="1">SUMIF(OFFSET(tongctvtdd1,0,-(COLUMN(E133)+7-(COLUMN(E133)-5)/2)),KLVT!$A133,tongctvtdd1)+SUMIF(OFFSET(tongctvtpk1,0,-(COLUMN(E133)+7-(COLUMN(E133)-5)/2)),KLVT!$A133,tongctvtpk1)</f>
        <v>0</v>
      </c>
      <c r="F133" s="1277">
        <f ca="1">SUMIF(OFFSET(cttba_vlvt1_1,0,-9,-ROW(cttba_vlvt1_1)+ROW(cttba_vltb1_1)-10),KLVT!$A133,OFFSET(cttba_vlvt1_1,0,-4,-ROW(cttba_vlvt1_1)+ROW(cttba_vltb1_1)-10))</f>
        <v>0</v>
      </c>
      <c r="G133" s="1277">
        <f t="shared" ca="1" si="16"/>
        <v>0</v>
      </c>
      <c r="H133" s="1274"/>
      <c r="I133" s="1275">
        <f ca="1">SUM(I134:I1429)</f>
        <v>782.49500000000012</v>
      </c>
      <c r="J133" s="1275">
        <f ca="1">SUM(J134:J1429)</f>
        <v>0</v>
      </c>
      <c r="K133" s="1268">
        <v>1</v>
      </c>
    </row>
    <row r="134" spans="1:11" s="45" customFormat="1" hidden="1">
      <c r="A134" s="45" t="str">
        <f>IF(AND(COUNTIF($A$5:$A$133,R_DG!A7)=0,R_DG!R7&gt;0,ISNUMBER(R_DG!R7)),R_DG!A7,"NONE")</f>
        <v>D12</v>
      </c>
      <c r="B134" s="85">
        <f ca="1">IF(K134&gt;0,COUNTIF(K$6:K134,"&gt;0"),B133)</f>
        <v>2</v>
      </c>
      <c r="C134" s="1084" t="str">
        <f t="shared" ref="C134:C193" si="34">VLOOKUP(A134,DONGIA,3,0)</f>
        <v>Đà cản BTCT 1,2m</v>
      </c>
      <c r="D134" s="85" t="str">
        <f t="shared" ref="D134:D193" si="35">VLOOKUP(A134,DONGIA,4,0)</f>
        <v>cái</v>
      </c>
      <c r="E134" s="448">
        <f ca="1">SUMIF(OFFSET(tongctvtdd1,0,-(COLUMN(E134)+7-(COLUMN(E134)-5)/2)),KLVT!$A134,tongctvtdd1)+SUMIF(OFFSET(tongctvtpk1,0,-(COLUMN(E134)+7-(COLUMN(E134)-5)/2)),KLVT!$A134,tongctvtpk1)</f>
        <v>0</v>
      </c>
      <c r="F134" s="449">
        <f ca="1">SUMIF(OFFSET(cttba_vlvt1_1,0,-9,-ROW(cttba_vlvt1_1)+ROW(cttba_vltb1_1)-10),KLVT!$A134,OFFSET(cttba_vlvt1_1,0,-4,-ROW(cttba_vlvt1_1)+ROW(cttba_vltb1_1)-10))</f>
        <v>0</v>
      </c>
      <c r="G134" s="451">
        <f t="shared" ref="G134:G197" ca="1" si="36">SUM(E134:F134)</f>
        <v>0</v>
      </c>
      <c r="H134" s="450">
        <f t="shared" ref="H134:H197" si="37">VLOOKUP(A134,DONGIA,18,0)</f>
        <v>80</v>
      </c>
      <c r="I134" s="447">
        <f t="shared" ref="I134:I197" ca="1" si="38">E134*$H134</f>
        <v>0</v>
      </c>
      <c r="J134" s="447">
        <f t="shared" ref="J134:J197" ca="1" si="39">F134*$H134</f>
        <v>0</v>
      </c>
      <c r="K134" s="1094">
        <f t="shared" ref="K134:K193" ca="1" si="40">IF(G134&gt;0,1,0)</f>
        <v>0</v>
      </c>
    </row>
    <row r="135" spans="1:11" s="45" customFormat="1" hidden="1">
      <c r="A135" s="373" t="str">
        <f>IF(AND(COUNTIF($A$5:$A$133,R_DG!A8)=0,R_DG!R8&gt;0,ISNUMBER(R_DG!R8)),R_DG!A8,"NONE")</f>
        <v>D15</v>
      </c>
      <c r="B135" s="85">
        <f ca="1">IF(K135&gt;0,COUNTIF(K$6:K135,"&gt;0"),B134)</f>
        <v>2</v>
      </c>
      <c r="C135" s="1084" t="str">
        <f t="shared" si="34"/>
        <v>Đà cản BTCT 1,5m</v>
      </c>
      <c r="D135" s="85" t="str">
        <f t="shared" si="35"/>
        <v>cái</v>
      </c>
      <c r="E135" s="448">
        <f ca="1">SUMIF(OFFSET(tongctvtdd1,0,-(COLUMN(E135)+7-(COLUMN(E135)-5)/2)),KLVT!$A135,tongctvtdd1)+SUMIF(OFFSET(tongctvtpk1,0,-(COLUMN(E135)+7-(COLUMN(E135)-5)/2)),KLVT!$A135,tongctvtpk1)</f>
        <v>0</v>
      </c>
      <c r="F135" s="449">
        <f ca="1">SUMIF(OFFSET(cttba_vlvt1_1,0,-9,-ROW(cttba_vlvt1_1)+ROW(cttba_vltb1_1)-10),KLVT!$A135,OFFSET(cttba_vlvt1_1,0,-4,-ROW(cttba_vlvt1_1)+ROW(cttba_vltb1_1)-10))</f>
        <v>0</v>
      </c>
      <c r="G135" s="451">
        <f t="shared" ca="1" si="36"/>
        <v>0</v>
      </c>
      <c r="H135" s="450">
        <f t="shared" si="37"/>
        <v>250</v>
      </c>
      <c r="I135" s="447">
        <f t="shared" ca="1" si="38"/>
        <v>0</v>
      </c>
      <c r="J135" s="447">
        <f t="shared" ca="1" si="39"/>
        <v>0</v>
      </c>
      <c r="K135" s="1094">
        <f t="shared" ca="1" si="40"/>
        <v>0</v>
      </c>
    </row>
    <row r="136" spans="1:11" s="45" customFormat="1" hidden="1">
      <c r="A136" s="373" t="str">
        <f>IF(AND(COUNTIF($A$5:$A$133,R_DG!A9)=0,R_DG!R9&gt;0,ISNUMBER(R_DG!R9)),R_DG!A9,"NONE")</f>
        <v>D20</v>
      </c>
      <c r="B136" s="85">
        <f ca="1">IF(K136&gt;0,COUNTIF(K$6:K136,"&gt;0"),B135)</f>
        <v>2</v>
      </c>
      <c r="C136" s="1084" t="str">
        <f t="shared" si="34"/>
        <v>Đà cản BTCT 2,0m</v>
      </c>
      <c r="D136" s="85" t="str">
        <f t="shared" si="35"/>
        <v>cái</v>
      </c>
      <c r="E136" s="448">
        <f ca="1">SUMIF(OFFSET(tongctvtdd1,0,-(COLUMN(E136)+7-(COLUMN(E136)-5)/2)),KLVT!$A136,tongctvtdd1)+SUMIF(OFFSET(tongctvtpk1,0,-(COLUMN(E136)+7-(COLUMN(E136)-5)/2)),KLVT!$A136,tongctvtpk1)</f>
        <v>0</v>
      </c>
      <c r="F136" s="449">
        <f ca="1">SUMIF(OFFSET(cttba_vlvt1_1,0,-9,-ROW(cttba_vlvt1_1)+ROW(cttba_vltb1_1)-10),KLVT!$A136,OFFSET(cttba_vlvt1_1,0,-4,-ROW(cttba_vlvt1_1)+ROW(cttba_vltb1_1)-10))</f>
        <v>0</v>
      </c>
      <c r="G136" s="451">
        <f t="shared" ca="1" si="36"/>
        <v>0</v>
      </c>
      <c r="H136" s="450">
        <f t="shared" si="37"/>
        <v>300</v>
      </c>
      <c r="I136" s="447">
        <f t="shared" ca="1" si="38"/>
        <v>0</v>
      </c>
      <c r="J136" s="447">
        <f t="shared" ca="1" si="39"/>
        <v>0</v>
      </c>
      <c r="K136" s="1095">
        <f t="shared" ca="1" si="40"/>
        <v>0</v>
      </c>
    </row>
    <row r="137" spans="1:11" s="45" customFormat="1" hidden="1">
      <c r="A137" s="373" t="str">
        <f>IF(AND(COUNTIF($A$5:$A$133,R_DG!A10)=0,R_DG!R10&gt;0,ISNUMBER(R_DG!R10)),R_DG!A10,"NONE")</f>
        <v>D25</v>
      </c>
      <c r="B137" s="85">
        <f ca="1">IF(K137&gt;0,COUNTIF(K$6:K137,"&gt;0"),B136)</f>
        <v>2</v>
      </c>
      <c r="C137" s="1084" t="str">
        <f t="shared" si="34"/>
        <v>Đà cản BTCT 2,5m</v>
      </c>
      <c r="D137" s="85" t="str">
        <f t="shared" si="35"/>
        <v>cái</v>
      </c>
      <c r="E137" s="448">
        <f ca="1">SUMIF(OFFSET(tongctvtdd1,0,-(COLUMN(E137)+7-(COLUMN(E137)-5)/2)),KLVT!$A137,tongctvtdd1)+SUMIF(OFFSET(tongctvtpk1,0,-(COLUMN(E137)+7-(COLUMN(E137)-5)/2)),KLVT!$A137,tongctvtpk1)</f>
        <v>0</v>
      </c>
      <c r="F137" s="449">
        <f ca="1">SUMIF(OFFSET(cttba_vlvt1_1,0,-9,-ROW(cttba_vlvt1_1)+ROW(cttba_vltb1_1)-10),KLVT!$A137,OFFSET(cttba_vlvt1_1,0,-4,-ROW(cttba_vlvt1_1)+ROW(cttba_vltb1_1)-10))</f>
        <v>0</v>
      </c>
      <c r="G137" s="451">
        <f t="shared" ca="1" si="36"/>
        <v>0</v>
      </c>
      <c r="H137" s="450">
        <f t="shared" si="37"/>
        <v>450</v>
      </c>
      <c r="I137" s="447">
        <f t="shared" ca="1" si="38"/>
        <v>0</v>
      </c>
      <c r="J137" s="447">
        <f t="shared" ca="1" si="39"/>
        <v>0</v>
      </c>
      <c r="K137" s="1095">
        <f t="shared" ca="1" si="40"/>
        <v>0</v>
      </c>
    </row>
    <row r="138" spans="1:11" s="45" customFormat="1" hidden="1">
      <c r="A138" s="373" t="str">
        <f>IF(AND(COUNTIF($A$5:$A$133,R_DG!A11)=0,R_DG!R11&gt;0,ISNUMBER(R_DG!R11)),R_DG!A11,"NONE")</f>
        <v>NONE</v>
      </c>
      <c r="B138" s="85">
        <f ca="1">IF(K138&gt;0,COUNTIF(K$6:K138,"&gt;0"),B137)</f>
        <v>2</v>
      </c>
      <c r="C138" s="1084">
        <f t="shared" si="34"/>
        <v>0</v>
      </c>
      <c r="D138" s="85">
        <f t="shared" si="35"/>
        <v>0</v>
      </c>
      <c r="E138" s="448">
        <f ca="1">SUMIF(OFFSET(tongctvtdd1,0,-(COLUMN(E138)+7-(COLUMN(E138)-5)/2)),KLVT!$A138,tongctvtdd1)+SUMIF(OFFSET(tongctvtpk1,0,-(COLUMN(E138)+7-(COLUMN(E138)-5)/2)),KLVT!$A138,tongctvtpk1)</f>
        <v>0</v>
      </c>
      <c r="F138" s="449">
        <f ca="1">SUMIF(OFFSET(cttba_vlvt1_1,0,-9,-ROW(cttba_vlvt1_1)+ROW(cttba_vltb1_1)-10),KLVT!$A138,OFFSET(cttba_vlvt1_1,0,-4,-ROW(cttba_vlvt1_1)+ROW(cttba_vltb1_1)-10))</f>
        <v>0</v>
      </c>
      <c r="G138" s="451">
        <f t="shared" ca="1" si="36"/>
        <v>0</v>
      </c>
      <c r="H138" s="450">
        <f t="shared" si="37"/>
        <v>1</v>
      </c>
      <c r="I138" s="447">
        <f t="shared" ca="1" si="38"/>
        <v>0</v>
      </c>
      <c r="J138" s="447">
        <f t="shared" ca="1" si="39"/>
        <v>0</v>
      </c>
      <c r="K138" s="1095">
        <f t="shared" ca="1" si="40"/>
        <v>0</v>
      </c>
    </row>
    <row r="139" spans="1:11" s="45" customFormat="1" hidden="1">
      <c r="A139" s="373" t="str">
        <f>IF(AND(COUNTIF($A$5:$A$133,R_DG!A12)=0,R_DG!R12&gt;0,ISNUMBER(R_DG!R12)),R_DG!A12,"NONE")</f>
        <v>NONE</v>
      </c>
      <c r="B139" s="85">
        <f ca="1">IF(K139&gt;0,COUNTIF(K$6:K139,"&gt;0"),B138)</f>
        <v>2</v>
      </c>
      <c r="C139" s="1084">
        <f t="shared" si="34"/>
        <v>0</v>
      </c>
      <c r="D139" s="85">
        <f t="shared" si="35"/>
        <v>0</v>
      </c>
      <c r="E139" s="448">
        <f ca="1">SUMIF(OFFSET(tongctvtdd1,0,-(COLUMN(E139)+7-(COLUMN(E139)-5)/2)),KLVT!$A139,tongctvtdd1)+SUMIF(OFFSET(tongctvtpk1,0,-(COLUMN(E139)+7-(COLUMN(E139)-5)/2)),KLVT!$A139,tongctvtpk1)</f>
        <v>0</v>
      </c>
      <c r="F139" s="449">
        <f ca="1">SUMIF(OFFSET(cttba_vlvt1_1,0,-9,-ROW(cttba_vlvt1_1)+ROW(cttba_vltb1_1)-10),KLVT!$A139,OFFSET(cttba_vlvt1_1,0,-4,-ROW(cttba_vlvt1_1)+ROW(cttba_vltb1_1)-10))</f>
        <v>0</v>
      </c>
      <c r="G139" s="451">
        <f t="shared" ca="1" si="36"/>
        <v>0</v>
      </c>
      <c r="H139" s="450">
        <f t="shared" si="37"/>
        <v>1</v>
      </c>
      <c r="I139" s="447">
        <f t="shared" ca="1" si="38"/>
        <v>0</v>
      </c>
      <c r="J139" s="447">
        <f t="shared" ca="1" si="39"/>
        <v>0</v>
      </c>
      <c r="K139" s="1095">
        <f t="shared" ca="1" si="40"/>
        <v>0</v>
      </c>
    </row>
    <row r="140" spans="1:11" s="45" customFormat="1" hidden="1">
      <c r="A140" s="373" t="str">
        <f>IF(AND(COUNTIF($A$5:$A$133,R_DG!A13)=0,R_DG!R13&gt;0,ISNUMBER(R_DG!R13)),R_DG!A13,"NONE")</f>
        <v>NONE</v>
      </c>
      <c r="B140" s="85">
        <f ca="1">IF(K140&gt;0,COUNTIF(K$6:K140,"&gt;0"),B139)</f>
        <v>2</v>
      </c>
      <c r="C140" s="1084">
        <f t="shared" si="34"/>
        <v>0</v>
      </c>
      <c r="D140" s="85">
        <f t="shared" si="35"/>
        <v>0</v>
      </c>
      <c r="E140" s="448">
        <f ca="1">SUMIF(OFFSET(tongctvtdd1,0,-(COLUMN(E140)+7-(COLUMN(E140)-5)/2)),KLVT!$A140,tongctvtdd1)+SUMIF(OFFSET(tongctvtpk1,0,-(COLUMN(E140)+7-(COLUMN(E140)-5)/2)),KLVT!$A140,tongctvtpk1)</f>
        <v>0</v>
      </c>
      <c r="F140" s="449">
        <f ca="1">SUMIF(OFFSET(cttba_vlvt1_1,0,-9,-ROW(cttba_vlvt1_1)+ROW(cttba_vltb1_1)-10),KLVT!$A140,OFFSET(cttba_vlvt1_1,0,-4,-ROW(cttba_vlvt1_1)+ROW(cttba_vltb1_1)-10))</f>
        <v>0</v>
      </c>
      <c r="G140" s="451">
        <f t="shared" ca="1" si="36"/>
        <v>0</v>
      </c>
      <c r="H140" s="450">
        <f t="shared" si="37"/>
        <v>1</v>
      </c>
      <c r="I140" s="447">
        <f t="shared" ca="1" si="38"/>
        <v>0</v>
      </c>
      <c r="J140" s="447">
        <f t="shared" ca="1" si="39"/>
        <v>0</v>
      </c>
      <c r="K140" s="1095">
        <f t="shared" ca="1" si="40"/>
        <v>0</v>
      </c>
    </row>
    <row r="141" spans="1:11" s="45" customFormat="1" hidden="1">
      <c r="A141" s="373" t="str">
        <f>IF(AND(COUNTIF($A$5:$A$133,R_DG!A14)=0,R_DG!R14&gt;0,ISNUMBER(R_DG!R14)),R_DG!A14,"NONE")</f>
        <v>NONE</v>
      </c>
      <c r="B141" s="85">
        <f ca="1">IF(K141&gt;0,COUNTIF(K$6:K141,"&gt;0"),B140)</f>
        <v>2</v>
      </c>
      <c r="C141" s="1084">
        <f t="shared" si="34"/>
        <v>0</v>
      </c>
      <c r="D141" s="85">
        <f t="shared" si="35"/>
        <v>0</v>
      </c>
      <c r="E141" s="448">
        <f ca="1">SUMIF(OFFSET(tongctvtdd1,0,-(COLUMN(E141)+7-(COLUMN(E141)-5)/2)),KLVT!$A141,tongctvtdd1)+SUMIF(OFFSET(tongctvtpk1,0,-(COLUMN(E141)+7-(COLUMN(E141)-5)/2)),KLVT!$A141,tongctvtpk1)</f>
        <v>0</v>
      </c>
      <c r="F141" s="449">
        <f ca="1">SUMIF(OFFSET(cttba_vlvt1_1,0,-9,-ROW(cttba_vlvt1_1)+ROW(cttba_vltb1_1)-10),KLVT!$A141,OFFSET(cttba_vlvt1_1,0,-4,-ROW(cttba_vlvt1_1)+ROW(cttba_vltb1_1)-10))</f>
        <v>0</v>
      </c>
      <c r="G141" s="451">
        <f t="shared" ca="1" si="36"/>
        <v>0</v>
      </c>
      <c r="H141" s="450">
        <f t="shared" si="37"/>
        <v>1</v>
      </c>
      <c r="I141" s="447">
        <f t="shared" ca="1" si="38"/>
        <v>0</v>
      </c>
      <c r="J141" s="447">
        <f t="shared" ca="1" si="39"/>
        <v>0</v>
      </c>
      <c r="K141" s="1095">
        <f t="shared" ca="1" si="40"/>
        <v>0</v>
      </c>
    </row>
    <row r="142" spans="1:11" s="45" customFormat="1" hidden="1">
      <c r="A142" s="373" t="str">
        <f>IF(AND(COUNTIF($A$5:$A$133,R_DG!A15)=0,R_DG!R15&gt;0,ISNUMBER(R_DG!R15)),R_DG!A15,"NONE")</f>
        <v>DN0618</v>
      </c>
      <c r="B142" s="85">
        <f ca="1">IF(K142&gt;0,COUNTIF(K$6:K142,"&gt;0"),B141)</f>
        <v>2</v>
      </c>
      <c r="C142" s="1084" t="str">
        <f t="shared" si="34"/>
        <v>Đế neo BTCT 600x1800</v>
      </c>
      <c r="D142" s="85" t="str">
        <f t="shared" si="35"/>
        <v>cái</v>
      </c>
      <c r="E142" s="448">
        <f ca="1">SUMIF(OFFSET(tongctvtdd1,0,-(COLUMN(E142)+7-(COLUMN(E142)-5)/2)),KLVT!$A142,tongctvtdd1)+SUMIF(OFFSET(tongctvtpk1,0,-(COLUMN(E142)+7-(COLUMN(E142)-5)/2)),KLVT!$A142,tongctvtpk1)</f>
        <v>0</v>
      </c>
      <c r="F142" s="449">
        <f ca="1">SUMIF(OFFSET(cttba_vlvt1_1,0,-9,-ROW(cttba_vlvt1_1)+ROW(cttba_vltb1_1)-10),KLVT!$A142,OFFSET(cttba_vlvt1_1,0,-4,-ROW(cttba_vlvt1_1)+ROW(cttba_vltb1_1)-10))</f>
        <v>0</v>
      </c>
      <c r="G142" s="451">
        <f t="shared" ca="1" si="36"/>
        <v>0</v>
      </c>
      <c r="H142" s="450">
        <f t="shared" si="37"/>
        <v>480</v>
      </c>
      <c r="I142" s="447">
        <f t="shared" ca="1" si="38"/>
        <v>0</v>
      </c>
      <c r="J142" s="447">
        <f t="shared" ca="1" si="39"/>
        <v>0</v>
      </c>
      <c r="K142" s="1095">
        <f t="shared" ca="1" si="40"/>
        <v>0</v>
      </c>
    </row>
    <row r="143" spans="1:11" s="45" customFormat="1" hidden="1">
      <c r="A143" s="373" t="str">
        <f>IF(AND(COUNTIF($A$5:$A$133,R_DG!A16)=0,R_DG!R16&gt;0,ISNUMBER(R_DG!R16)),R_DG!A16,"NONE")</f>
        <v>DN1500</v>
      </c>
      <c r="B143" s="85">
        <f ca="1">IF(K143&gt;0,COUNTIF(K$6:K143,"&gt;0"),B142)</f>
        <v>2</v>
      </c>
      <c r="C143" s="1084" t="str">
        <f t="shared" si="34"/>
        <v>Đế neo BTCT 1500x500</v>
      </c>
      <c r="D143" s="85" t="str">
        <f t="shared" si="35"/>
        <v>cái</v>
      </c>
      <c r="E143" s="448">
        <f ca="1">SUMIF(OFFSET(tongctvtdd1,0,-(COLUMN(E143)+7-(COLUMN(E143)-5)/2)),KLVT!$A143,tongctvtdd1)+SUMIF(OFFSET(tongctvtpk1,0,-(COLUMN(E143)+7-(COLUMN(E143)-5)/2)),KLVT!$A143,tongctvtpk1)</f>
        <v>0</v>
      </c>
      <c r="F143" s="449">
        <f ca="1">SUMIF(OFFSET(cttba_vlvt1_1,0,-9,-ROW(cttba_vlvt1_1)+ROW(cttba_vltb1_1)-10),KLVT!$A143,OFFSET(cttba_vlvt1_1,0,-4,-ROW(cttba_vlvt1_1)+ROW(cttba_vltb1_1)-10))</f>
        <v>0</v>
      </c>
      <c r="G143" s="451">
        <f t="shared" ca="1" si="36"/>
        <v>0</v>
      </c>
      <c r="H143" s="450">
        <f t="shared" si="37"/>
        <v>550</v>
      </c>
      <c r="I143" s="447">
        <f t="shared" ca="1" si="38"/>
        <v>0</v>
      </c>
      <c r="J143" s="447">
        <f t="shared" ca="1" si="39"/>
        <v>0</v>
      </c>
      <c r="K143" s="1095">
        <f t="shared" ca="1" si="40"/>
        <v>0</v>
      </c>
    </row>
    <row r="144" spans="1:11" s="45" customFormat="1" hidden="1">
      <c r="A144" s="373" t="str">
        <f>IF(AND(COUNTIF($A$5:$A$133,R_DG!A17)=0,R_DG!R17&gt;0,ISNUMBER(R_DG!R17)),R_DG!A17,"NONE")</f>
        <v>DN1200</v>
      </c>
      <c r="B144" s="85">
        <f ca="1">IF(K144&gt;0,COUNTIF(K$6:K144,"&gt;0"),B143)</f>
        <v>2</v>
      </c>
      <c r="C144" s="1084" t="str">
        <f t="shared" si="34"/>
        <v>Đế neo BTCT 1200x500</v>
      </c>
      <c r="D144" s="85" t="str">
        <f t="shared" si="35"/>
        <v>cái</v>
      </c>
      <c r="E144" s="448">
        <f ca="1">SUMIF(OFFSET(tongctvtdd1,0,-(COLUMN(E144)+7-(COLUMN(E144)-5)/2)),KLVT!$A144,tongctvtdd1)+SUMIF(OFFSET(tongctvtpk1,0,-(COLUMN(E144)+7-(COLUMN(E144)-5)/2)),KLVT!$A144,tongctvtpk1)</f>
        <v>0</v>
      </c>
      <c r="F144" s="449">
        <f ca="1">SUMIF(OFFSET(cttba_vlvt1_1,0,-9,-ROW(cttba_vlvt1_1)+ROW(cttba_vltb1_1)-10),KLVT!$A144,OFFSET(cttba_vlvt1_1,0,-4,-ROW(cttba_vlvt1_1)+ROW(cttba_vltb1_1)-10))</f>
        <v>0</v>
      </c>
      <c r="G144" s="451">
        <f t="shared" ca="1" si="36"/>
        <v>0</v>
      </c>
      <c r="H144" s="450">
        <f t="shared" si="37"/>
        <v>510</v>
      </c>
      <c r="I144" s="447">
        <f t="shared" ca="1" si="38"/>
        <v>0</v>
      </c>
      <c r="J144" s="447">
        <f t="shared" ca="1" si="39"/>
        <v>0</v>
      </c>
      <c r="K144" s="1095">
        <f t="shared" ca="1" si="40"/>
        <v>0</v>
      </c>
    </row>
    <row r="145" spans="1:11" s="45" customFormat="1" hidden="1">
      <c r="A145" s="373" t="str">
        <f>IF(AND(COUNTIF($A$5:$A$133,R_DG!A18)=0,R_DG!R18&gt;0,ISNUMBER(R_DG!R18)),R_DG!A18,"NONE")</f>
        <v>COM800</v>
      </c>
      <c r="B145" s="85">
        <f ca="1">IF(K145&gt;0,COUNTIF(K$6:K145,"&gt;0"),B144)</f>
        <v>2</v>
      </c>
      <c r="C145" s="1084" t="str">
        <f t="shared" si="34"/>
        <v>Đà hộp composit L110x80x800</v>
      </c>
      <c r="D145" s="85" t="str">
        <f t="shared" si="35"/>
        <v>cái</v>
      </c>
      <c r="E145" s="448">
        <f ca="1">SUMIF(OFFSET(tongctvtdd1,0,-(COLUMN(E145)+7-(COLUMN(E145)-5)/2)),KLVT!$A145,tongctvtdd1)+SUMIF(OFFSET(tongctvtpk1,0,-(COLUMN(E145)+7-(COLUMN(E145)-5)/2)),KLVT!$A145,tongctvtpk1)</f>
        <v>0</v>
      </c>
      <c r="F145" s="449">
        <f ca="1">SUMIF(OFFSET(cttba_vlvt1_1,0,-9,-ROW(cttba_vlvt1_1)+ROW(cttba_vltb1_1)-10),KLVT!$A145,OFFSET(cttba_vlvt1_1,0,-4,-ROW(cttba_vlvt1_1)+ROW(cttba_vltb1_1)-10))</f>
        <v>0</v>
      </c>
      <c r="G145" s="451">
        <f t="shared" ca="1" si="36"/>
        <v>0</v>
      </c>
      <c r="H145" s="450">
        <f t="shared" si="37"/>
        <v>5</v>
      </c>
      <c r="I145" s="447">
        <f t="shared" ca="1" si="38"/>
        <v>0</v>
      </c>
      <c r="J145" s="447">
        <f t="shared" ca="1" si="39"/>
        <v>0</v>
      </c>
      <c r="K145" s="1094">
        <f t="shared" ca="1" si="40"/>
        <v>0</v>
      </c>
    </row>
    <row r="146" spans="1:11" s="45" customFormat="1" hidden="1">
      <c r="A146" s="373" t="str">
        <f>IF(AND(COUNTIF($A$5:$A$133,R_DG!A19)=0,R_DG!R19&gt;0,ISNUMBER(R_DG!R19)),R_DG!A19,"NONE")</f>
        <v>COM2400</v>
      </c>
      <c r="B146" s="85">
        <f ca="1">IF(K146&gt;0,COUNTIF(K$6:K146,"&gt;0"),B145)</f>
        <v>2</v>
      </c>
      <c r="C146" s="1084" t="str">
        <f t="shared" si="34"/>
        <v>Đà hộp composit L110x80x2400</v>
      </c>
      <c r="D146" s="85" t="str">
        <f t="shared" si="35"/>
        <v>cái</v>
      </c>
      <c r="E146" s="448">
        <f ca="1">SUMIF(OFFSET(tongctvtdd1,0,-(COLUMN(E146)+7-(COLUMN(E146)-5)/2)),KLVT!$A146,tongctvtdd1)+SUMIF(OFFSET(tongctvtpk1,0,-(COLUMN(E146)+7-(COLUMN(E146)-5)/2)),KLVT!$A146,tongctvtpk1)</f>
        <v>0</v>
      </c>
      <c r="F146" s="449">
        <f ca="1">SUMIF(OFFSET(cttba_vlvt1_1,0,-9,-ROW(cttba_vlvt1_1)+ROW(cttba_vltb1_1)-10),KLVT!$A146,OFFSET(cttba_vlvt1_1,0,-4,-ROW(cttba_vlvt1_1)+ROW(cttba_vltb1_1)-10))</f>
        <v>0</v>
      </c>
      <c r="G146" s="451">
        <f t="shared" ca="1" si="36"/>
        <v>0</v>
      </c>
      <c r="H146" s="450">
        <f t="shared" si="37"/>
        <v>5</v>
      </c>
      <c r="I146" s="447">
        <f t="shared" ca="1" si="38"/>
        <v>0</v>
      </c>
      <c r="J146" s="447">
        <f t="shared" ca="1" si="39"/>
        <v>0</v>
      </c>
      <c r="K146" s="1094">
        <f t="shared" ca="1" si="40"/>
        <v>0</v>
      </c>
    </row>
    <row r="147" spans="1:11" s="45" customFormat="1" hidden="1">
      <c r="A147" s="373" t="str">
        <f>IF(AND(COUNTIF($A$5:$A$133,R_DG!A20)=0,R_DG!R20&gt;0,ISNUMBER(R_DG!R20)),R_DG!A20,"NONE")</f>
        <v>COM2600</v>
      </c>
      <c r="B147" s="85">
        <f ca="1">IF(K147&gt;0,COUNTIF(K$6:K147,"&gt;0"),B146)</f>
        <v>2</v>
      </c>
      <c r="C147" s="1084" t="str">
        <f t="shared" si="34"/>
        <v>Đà hộp composit L110x80x2600</v>
      </c>
      <c r="D147" s="85" t="str">
        <f t="shared" si="35"/>
        <v>cái</v>
      </c>
      <c r="E147" s="448">
        <f ca="1">SUMIF(OFFSET(tongctvtdd1,0,-(COLUMN(E147)+7-(COLUMN(E147)-5)/2)),KLVT!$A147,tongctvtdd1)+SUMIF(OFFSET(tongctvtpk1,0,-(COLUMN(E147)+7-(COLUMN(E147)-5)/2)),KLVT!$A147,tongctvtpk1)</f>
        <v>0</v>
      </c>
      <c r="F147" s="449">
        <f ca="1">SUMIF(OFFSET(cttba_vlvt1_1,0,-9,-ROW(cttba_vlvt1_1)+ROW(cttba_vltb1_1)-10),KLVT!$A147,OFFSET(cttba_vlvt1_1,0,-4,-ROW(cttba_vlvt1_1)+ROW(cttba_vltb1_1)-10))</f>
        <v>0</v>
      </c>
      <c r="G147" s="451">
        <f t="shared" ca="1" si="36"/>
        <v>0</v>
      </c>
      <c r="H147" s="450">
        <f t="shared" si="37"/>
        <v>5</v>
      </c>
      <c r="I147" s="447">
        <f t="shared" ca="1" si="38"/>
        <v>0</v>
      </c>
      <c r="J147" s="447">
        <f t="shared" ca="1" si="39"/>
        <v>0</v>
      </c>
      <c r="K147" s="1094">
        <f t="shared" ca="1" si="40"/>
        <v>0</v>
      </c>
    </row>
    <row r="148" spans="1:11" s="45" customFormat="1" hidden="1">
      <c r="A148" s="373" t="str">
        <f>IF(AND(COUNTIF($A$5:$A$133,R_DG!A21)=0,R_DG!R21&gt;0,ISNUMBER(R_DG!R21)),R_DG!A21,"NONE")</f>
        <v>CCOM800</v>
      </c>
      <c r="B148" s="85">
        <f ca="1">IF(K148&gt;0,COUNTIF(K$6:K148,"&gt;0"),B147)</f>
        <v>2</v>
      </c>
      <c r="C148" s="1084" t="str">
        <f t="shared" si="34"/>
        <v>Thanh chống L10x60x710</v>
      </c>
      <c r="D148" s="85" t="str">
        <f t="shared" si="35"/>
        <v>cái</v>
      </c>
      <c r="E148" s="448">
        <f ca="1">SUMIF(OFFSET(tongctvtdd1,0,-(COLUMN(E148)+7-(COLUMN(E148)-5)/2)),KLVT!$A148,tongctvtdd1)+SUMIF(OFFSET(tongctvtpk1,0,-(COLUMN(E148)+7-(COLUMN(E148)-5)/2)),KLVT!$A148,tongctvtpk1)</f>
        <v>0</v>
      </c>
      <c r="F148" s="449">
        <f ca="1">SUMIF(OFFSET(cttba_vlvt1_1,0,-9,-ROW(cttba_vlvt1_1)+ROW(cttba_vltb1_1)-10),KLVT!$A148,OFFSET(cttba_vlvt1_1,0,-4,-ROW(cttba_vlvt1_1)+ROW(cttba_vltb1_1)-10))</f>
        <v>0</v>
      </c>
      <c r="G148" s="451">
        <f t="shared" ca="1" si="36"/>
        <v>0</v>
      </c>
      <c r="H148" s="450">
        <f t="shared" si="37"/>
        <v>0.5</v>
      </c>
      <c r="I148" s="447">
        <f t="shared" ca="1" si="38"/>
        <v>0</v>
      </c>
      <c r="J148" s="447">
        <f t="shared" ca="1" si="39"/>
        <v>0</v>
      </c>
      <c r="K148" s="1094">
        <f t="shared" ca="1" si="40"/>
        <v>0</v>
      </c>
    </row>
    <row r="149" spans="1:11" s="45" customFormat="1" hidden="1">
      <c r="A149" s="373" t="str">
        <f>IF(AND(COUNTIF($A$5:$A$133,R_DG!A22)=0,R_DG!R22&gt;0,ISNUMBER(R_DG!R22)),R_DG!A22,"NONE")</f>
        <v>CCOM2400</v>
      </c>
      <c r="B149" s="85">
        <f ca="1">IF(K149&gt;0,COUNTIF(K$6:K149,"&gt;0"),B148)</f>
        <v>2</v>
      </c>
      <c r="C149" s="1084" t="str">
        <f t="shared" si="34"/>
        <v>Thanh chống L10x40x920</v>
      </c>
      <c r="D149" s="85" t="str">
        <f t="shared" si="35"/>
        <v>cái</v>
      </c>
      <c r="E149" s="448">
        <f ca="1">SUMIF(OFFSET(tongctvtdd1,0,-(COLUMN(E149)+7-(COLUMN(E149)-5)/2)),KLVT!$A149,tongctvtdd1)+SUMIF(OFFSET(tongctvtpk1,0,-(COLUMN(E149)+7-(COLUMN(E149)-5)/2)),KLVT!$A149,tongctvtpk1)</f>
        <v>0</v>
      </c>
      <c r="F149" s="449">
        <f ca="1">SUMIF(OFFSET(cttba_vlvt1_1,0,-9,-ROW(cttba_vlvt1_1)+ROW(cttba_vltb1_1)-10),KLVT!$A149,OFFSET(cttba_vlvt1_1,0,-4,-ROW(cttba_vlvt1_1)+ROW(cttba_vltb1_1)-10))</f>
        <v>0</v>
      </c>
      <c r="G149" s="451">
        <f t="shared" ca="1" si="36"/>
        <v>0</v>
      </c>
      <c r="H149" s="450">
        <f t="shared" si="37"/>
        <v>1</v>
      </c>
      <c r="I149" s="447">
        <f t="shared" ca="1" si="38"/>
        <v>0</v>
      </c>
      <c r="J149" s="447">
        <f t="shared" ca="1" si="39"/>
        <v>0</v>
      </c>
      <c r="K149" s="1094">
        <f t="shared" ca="1" si="40"/>
        <v>0</v>
      </c>
    </row>
    <row r="150" spans="1:11" s="373" customFormat="1" hidden="1">
      <c r="A150" s="373" t="str">
        <f>IF(AND(COUNTIF($A$5:$A$133,R_DG!A23)=0,R_DG!R23&gt;0,ISNUMBER(R_DG!R23)),R_DG!A23,"NONE")</f>
        <v>BNH</v>
      </c>
      <c r="B150" s="85">
        <f ca="1">IF(K150&gt;0,COUNTIF(K$6:K150,"&gt;0"),B149)</f>
        <v>2</v>
      </c>
      <c r="C150" s="1084" t="str">
        <f t="shared" ref="C150" si="41">VLOOKUP(A150,DONGIA,3,0)</f>
        <v>Biển số - Bảng nguy hiểm</v>
      </c>
      <c r="D150" s="85" t="str">
        <f t="shared" ref="D150" si="42">VLOOKUP(A150,DONGIA,4,0)</f>
        <v>cái</v>
      </c>
      <c r="E150" s="448">
        <f ca="1">SUMIF(OFFSET(tongctvtdd1,0,-(COLUMN(E150)+7-(COLUMN(E150)-5)/2)),KLVT!$A150,tongctvtdd1)+SUMIF(OFFSET(tongctvtpk1,0,-(COLUMN(E150)+7-(COLUMN(E150)-5)/2)),KLVT!$A150,tongctvtpk1)</f>
        <v>0</v>
      </c>
      <c r="F150" s="449">
        <f ca="1">SUMIF(OFFSET(cttba_vlvt1_1,0,-9,-ROW(cttba_vlvt1_1)+ROW(cttba_vltb1_1)-10),KLVT!$A150,OFFSET(cttba_vlvt1_1,0,-4,-ROW(cttba_vlvt1_1)+ROW(cttba_vltb1_1)-10))</f>
        <v>0</v>
      </c>
      <c r="G150" s="451">
        <f t="shared" ca="1" si="36"/>
        <v>0</v>
      </c>
      <c r="H150" s="450">
        <f t="shared" si="37"/>
        <v>0.3</v>
      </c>
      <c r="I150" s="447">
        <f t="shared" ca="1" si="38"/>
        <v>0</v>
      </c>
      <c r="J150" s="447">
        <f t="shared" ca="1" si="39"/>
        <v>0</v>
      </c>
      <c r="K150" s="1094">
        <f t="shared" ref="K150" ca="1" si="43">IF(G150&gt;0,1,0)</f>
        <v>0</v>
      </c>
    </row>
    <row r="151" spans="1:11" s="373" customFormat="1" hidden="1">
      <c r="A151" s="373" t="str">
        <f>IF(AND(COUNTIF($A$5:$A$133,R_DG!A24)=0,R_DG!R24&gt;0,ISNUMBER(R_DG!R24)),R_DG!A24,"NONE")</f>
        <v>B460</v>
      </c>
      <c r="B151" s="85">
        <f ca="1">IF(K151&gt;0,COUNTIF(K$6:K151,"&gt;0"),B150)</f>
        <v>2</v>
      </c>
      <c r="C151" s="1084" t="str">
        <f t="shared" ref="C151" si="44">VLOOKUP(A151,DONGIA,3,0)</f>
        <v>Boulon 4x60+ 2 long đền vuông</v>
      </c>
      <c r="D151" s="85" t="str">
        <f t="shared" ref="D151" si="45">VLOOKUP(A151,DONGIA,4,0)</f>
        <v>bộ</v>
      </c>
      <c r="E151" s="448">
        <f ca="1">SUMIF(OFFSET(tongctvtdd1,0,-(COLUMN(E151)+7-(COLUMN(E151)-5)/2)),KLVT!$A151,tongctvtdd1)+SUMIF(OFFSET(tongctvtpk1,0,-(COLUMN(E151)+7-(COLUMN(E151)-5)/2)),KLVT!$A151,tongctvtpk1)</f>
        <v>0</v>
      </c>
      <c r="F151" s="449">
        <f ca="1">SUMIF(OFFSET(cttba_vlvt1_1,0,-9,-ROW(cttba_vlvt1_1)+ROW(cttba_vltb1_1)-10),KLVT!$A151,OFFSET(cttba_vlvt1_1,0,-4,-ROW(cttba_vlvt1_1)+ROW(cttba_vltb1_1)-10))</f>
        <v>0</v>
      </c>
      <c r="G151" s="451">
        <f t="shared" ca="1" si="36"/>
        <v>0</v>
      </c>
      <c r="H151" s="450">
        <f t="shared" si="37"/>
        <v>0.1</v>
      </c>
      <c r="I151" s="447">
        <f t="shared" ca="1" si="38"/>
        <v>0</v>
      </c>
      <c r="J151" s="447">
        <f t="shared" ca="1" si="39"/>
        <v>0</v>
      </c>
      <c r="K151" s="1094">
        <f t="shared" ref="K151" ca="1" si="46">IF(G151&gt;0,1,0)</f>
        <v>0</v>
      </c>
    </row>
    <row r="152" spans="1:11" s="373" customFormat="1" hidden="1">
      <c r="A152" s="373" t="str">
        <f>IF(AND(COUNTIF($A$5:$A$133,R_DG!A25)=0,R_DG!R25&gt;0,ISNUMBER(R_DG!R25)),R_DG!A25,"NONE")</f>
        <v>B630</v>
      </c>
      <c r="B152" s="85">
        <f ca="1">IF(K152&gt;0,COUNTIF(K$6:K152,"&gt;0"),B151)</f>
        <v>2</v>
      </c>
      <c r="C152" s="1084" t="str">
        <f t="shared" ref="C152" si="47">VLOOKUP(A152,DONGIA,3,0)</f>
        <v>Boulon 6x30+ 2 long đền vuông</v>
      </c>
      <c r="D152" s="85" t="str">
        <f t="shared" ref="D152" si="48">VLOOKUP(A152,DONGIA,4,0)</f>
        <v>bộ</v>
      </c>
      <c r="E152" s="448">
        <f ca="1">SUMIF(OFFSET(tongctvtdd1,0,-(COLUMN(E152)+7-(COLUMN(E152)-5)/2)),KLVT!$A152,tongctvtdd1)+SUMIF(OFFSET(tongctvtpk1,0,-(COLUMN(E152)+7-(COLUMN(E152)-5)/2)),KLVT!$A152,tongctvtpk1)</f>
        <v>0</v>
      </c>
      <c r="F152" s="449">
        <f ca="1">SUMIF(OFFSET(cttba_vlvt1_1,0,-9,-ROW(cttba_vlvt1_1)+ROW(cttba_vltb1_1)-10),KLVT!$A152,OFFSET(cttba_vlvt1_1,0,-4,-ROW(cttba_vlvt1_1)+ROW(cttba_vltb1_1)-10))</f>
        <v>0</v>
      </c>
      <c r="G152" s="451">
        <f t="shared" ca="1" si="36"/>
        <v>0</v>
      </c>
      <c r="H152" s="450">
        <f t="shared" si="37"/>
        <v>0.1</v>
      </c>
      <c r="I152" s="447">
        <f t="shared" ca="1" si="38"/>
        <v>0</v>
      </c>
      <c r="J152" s="447">
        <f t="shared" ca="1" si="39"/>
        <v>0</v>
      </c>
      <c r="K152" s="1094">
        <f t="shared" ref="K152" ca="1" si="49">IF(G152&gt;0,1,0)</f>
        <v>0</v>
      </c>
    </row>
    <row r="153" spans="1:11" s="45" customFormat="1" hidden="1">
      <c r="A153" s="373" t="str">
        <f>IF(AND(COUNTIF($A$5:$A$133,R_DG!A26)=0,R_DG!R26&gt;0,ISNUMBER(R_DG!R26)),R_DG!A26,"NONE")</f>
        <v>BM10</v>
      </c>
      <c r="B153" s="85">
        <f ca="1">IF(K153&gt;0,COUNTIF(K$6:K153,"&gt;0"),B149)</f>
        <v>2</v>
      </c>
      <c r="C153" s="1084" t="str">
        <f t="shared" si="34"/>
        <v>Boulon giản chân M10</v>
      </c>
      <c r="D153" s="85" t="str">
        <f t="shared" si="35"/>
        <v>bộ</v>
      </c>
      <c r="E153" s="448">
        <f ca="1">SUMIF(OFFSET(tongctvtdd1,0,-(COLUMN(E153)+7-(COLUMN(E153)-5)/2)),KLVT!$A153,tongctvtdd1)+SUMIF(OFFSET(tongctvtpk1,0,-(COLUMN(E153)+7-(COLUMN(E153)-5)/2)),KLVT!$A153,tongctvtpk1)</f>
        <v>0</v>
      </c>
      <c r="F153" s="449">
        <f ca="1">SUMIF(OFFSET(cttba_vlvt1_1,0,-9,-ROW(cttba_vlvt1_1)+ROW(cttba_vltb1_1)-10),KLVT!$A153,OFFSET(cttba_vlvt1_1,0,-4,-ROW(cttba_vlvt1_1)+ROW(cttba_vltb1_1)-10))</f>
        <v>0</v>
      </c>
      <c r="G153" s="451">
        <f t="shared" ca="1" si="36"/>
        <v>0</v>
      </c>
      <c r="H153" s="450">
        <f t="shared" si="37"/>
        <v>0.1</v>
      </c>
      <c r="I153" s="447">
        <f t="shared" ca="1" si="38"/>
        <v>0</v>
      </c>
      <c r="J153" s="447">
        <f t="shared" ca="1" si="39"/>
        <v>0</v>
      </c>
      <c r="K153" s="1094">
        <f t="shared" ca="1" si="40"/>
        <v>0</v>
      </c>
    </row>
    <row r="154" spans="1:11" s="45" customFormat="1" hidden="1">
      <c r="A154" s="373" t="str">
        <f>IF(AND(COUNTIF($A$5:$A$133,R_DG!A27)=0,R_DG!R27&gt;0,ISNUMBER(R_DG!R27)),R_DG!A27,"NONE")</f>
        <v>B1030TH</v>
      </c>
      <c r="B154" s="85">
        <f ca="1">IF(K154&gt;0,COUNTIF(K$6:K154,"&gt;0"),B153)</f>
        <v>2</v>
      </c>
      <c r="C154" s="1084" t="str">
        <f t="shared" si="34"/>
        <v>Boulon thau 10x30 + 2 long đền vuông</v>
      </c>
      <c r="D154" s="85" t="str">
        <f t="shared" si="35"/>
        <v>bộ</v>
      </c>
      <c r="E154" s="448">
        <f ca="1">SUMIF(OFFSET(tongctvtdd1,0,-(COLUMN(E154)+7-(COLUMN(E154)-5)/2)),KLVT!$A154,tongctvtdd1)+SUMIF(OFFSET(tongctvtpk1,0,-(COLUMN(E154)+7-(COLUMN(E154)-5)/2)),KLVT!$A154,tongctvtpk1)</f>
        <v>0</v>
      </c>
      <c r="F154" s="449">
        <f ca="1">SUMIF(OFFSET(cttba_vlvt1_1,0,-9,-ROW(cttba_vlvt1_1)+ROW(cttba_vltb1_1)-10),KLVT!$A154,OFFSET(cttba_vlvt1_1,0,-4,-ROW(cttba_vlvt1_1)+ROW(cttba_vltb1_1)-10))</f>
        <v>0</v>
      </c>
      <c r="G154" s="451">
        <f t="shared" ca="1" si="36"/>
        <v>0</v>
      </c>
      <c r="H154" s="450">
        <f t="shared" si="37"/>
        <v>0.1</v>
      </c>
      <c r="I154" s="447">
        <f t="shared" ca="1" si="38"/>
        <v>0</v>
      </c>
      <c r="J154" s="447">
        <f t="shared" ca="1" si="39"/>
        <v>0</v>
      </c>
      <c r="K154" s="1095">
        <f t="shared" ca="1" si="40"/>
        <v>0</v>
      </c>
    </row>
    <row r="155" spans="1:11" s="45" customFormat="1" hidden="1">
      <c r="A155" s="373" t="str">
        <f>IF(AND(COUNTIF($A$5:$A$133,R_DG!A28)=0,R_DG!R28&gt;0,ISNUMBER(R_DG!R28)),R_DG!A28,"NONE")</f>
        <v>B1040</v>
      </c>
      <c r="B155" s="85">
        <f ca="1">IF(K155&gt;0,COUNTIF(K$6:K155,"&gt;0"),B154)</f>
        <v>2</v>
      </c>
      <c r="C155" s="1084" t="str">
        <f t="shared" si="34"/>
        <v>Boulon 10x40+ 2 long đền vuông D12-50x50x3/Zn</v>
      </c>
      <c r="D155" s="85" t="str">
        <f t="shared" si="35"/>
        <v>bộ</v>
      </c>
      <c r="E155" s="448">
        <f ca="1">SUMIF(OFFSET(tongctvtdd1,0,-(COLUMN(E155)+7-(COLUMN(E155)-5)/2)),KLVT!$A155,tongctvtdd1)+SUMIF(OFFSET(tongctvtpk1,0,-(COLUMN(E155)+7-(COLUMN(E155)-5)/2)),KLVT!$A155,tongctvtpk1)</f>
        <v>0</v>
      </c>
      <c r="F155" s="449">
        <f ca="1">SUMIF(OFFSET(cttba_vlvt1_1,0,-9,-ROW(cttba_vlvt1_1)+ROW(cttba_vltb1_1)-10),KLVT!$A155,OFFSET(cttba_vlvt1_1,0,-4,-ROW(cttba_vlvt1_1)+ROW(cttba_vltb1_1)-10))</f>
        <v>0</v>
      </c>
      <c r="G155" s="451">
        <f t="shared" ca="1" si="36"/>
        <v>0</v>
      </c>
      <c r="H155" s="450">
        <f t="shared" si="37"/>
        <v>0.1</v>
      </c>
      <c r="I155" s="447">
        <f t="shared" ca="1" si="38"/>
        <v>0</v>
      </c>
      <c r="J155" s="447">
        <f t="shared" ca="1" si="39"/>
        <v>0</v>
      </c>
      <c r="K155" s="1095">
        <f t="shared" ca="1" si="40"/>
        <v>0</v>
      </c>
    </row>
    <row r="156" spans="1:11" s="45" customFormat="1" hidden="1">
      <c r="A156" s="373" t="str">
        <f>IF(AND(COUNTIF($A$5:$A$133,R_DG!A29)=0,R_DG!R29&gt;0,ISNUMBER(R_DG!R29)),R_DG!A29,"NONE")</f>
        <v>B1050</v>
      </c>
      <c r="B156" s="85">
        <f ca="1">IF(K156&gt;0,COUNTIF(K$6:K156,"&gt;0"),B155)</f>
        <v>2</v>
      </c>
      <c r="C156" s="1084" t="str">
        <f t="shared" si="34"/>
        <v>Boulon 10x50+ 2 long đền vuông D12-50x50x3/Zn</v>
      </c>
      <c r="D156" s="85" t="str">
        <f t="shared" si="35"/>
        <v>bộ</v>
      </c>
      <c r="E156" s="448">
        <f ca="1">SUMIF(OFFSET(tongctvtdd1,0,-(COLUMN(E156)+7-(COLUMN(E156)-5)/2)),KLVT!$A156,tongctvtdd1)+SUMIF(OFFSET(tongctvtpk1,0,-(COLUMN(E156)+7-(COLUMN(E156)-5)/2)),KLVT!$A156,tongctvtpk1)</f>
        <v>0</v>
      </c>
      <c r="F156" s="449">
        <f ca="1">SUMIF(OFFSET(cttba_vlvt1_1,0,-9,-ROW(cttba_vlvt1_1)+ROW(cttba_vltb1_1)-10),KLVT!$A156,OFFSET(cttba_vlvt1_1,0,-4,-ROW(cttba_vlvt1_1)+ROW(cttba_vltb1_1)-10))</f>
        <v>0</v>
      </c>
      <c r="G156" s="451">
        <f t="shared" ca="1" si="36"/>
        <v>0</v>
      </c>
      <c r="H156" s="450">
        <f t="shared" si="37"/>
        <v>0.1</v>
      </c>
      <c r="I156" s="447">
        <f t="shared" ca="1" si="38"/>
        <v>0</v>
      </c>
      <c r="J156" s="447">
        <f t="shared" ca="1" si="39"/>
        <v>0</v>
      </c>
      <c r="K156" s="1095">
        <f t="shared" ca="1" si="40"/>
        <v>0</v>
      </c>
    </row>
    <row r="157" spans="1:11" s="45" customFormat="1" hidden="1">
      <c r="A157" s="373" t="str">
        <f>IF(AND(COUNTIF($A$5:$A$133,R_DG!A30)=0,R_DG!R30&gt;0,ISNUMBER(R_DG!R30)),R_DG!A30,"NONE")</f>
        <v>B10250</v>
      </c>
      <c r="B157" s="85">
        <f ca="1">IF(K157&gt;0,COUNTIF(K$6:K157,"&gt;0"),B156)</f>
        <v>2</v>
      </c>
      <c r="C157" s="1084" t="str">
        <f t="shared" si="34"/>
        <v>Boulon 10x250+ 2 long đền vuông D14-50x50x3/Zn</v>
      </c>
      <c r="D157" s="85" t="str">
        <f t="shared" si="35"/>
        <v>bộ</v>
      </c>
      <c r="E157" s="448">
        <f ca="1">SUMIF(OFFSET(tongctvtdd1,0,-(COLUMN(E157)+7-(COLUMN(E157)-5)/2)),KLVT!$A157,tongctvtdd1)+SUMIF(OFFSET(tongctvtpk1,0,-(COLUMN(E157)+7-(COLUMN(E157)-5)/2)),KLVT!$A157,tongctvtpk1)</f>
        <v>0</v>
      </c>
      <c r="F157" s="449">
        <f ca="1">SUMIF(OFFSET(cttba_vlvt1_1,0,-9,-ROW(cttba_vlvt1_1)+ROW(cttba_vltb1_1)-10),KLVT!$A157,OFFSET(cttba_vlvt1_1,0,-4,-ROW(cttba_vlvt1_1)+ROW(cttba_vltb1_1)-10))</f>
        <v>0</v>
      </c>
      <c r="G157" s="451">
        <f t="shared" ca="1" si="36"/>
        <v>0</v>
      </c>
      <c r="H157" s="450">
        <f t="shared" si="37"/>
        <v>0.15</v>
      </c>
      <c r="I157" s="447">
        <f t="shared" ca="1" si="38"/>
        <v>0</v>
      </c>
      <c r="J157" s="447">
        <f t="shared" ca="1" si="39"/>
        <v>0</v>
      </c>
      <c r="K157" s="1095">
        <f t="shared" ca="1" si="40"/>
        <v>0</v>
      </c>
    </row>
    <row r="158" spans="1:11" s="45" customFormat="1" hidden="1">
      <c r="A158" s="373" t="str">
        <f>IF(AND(COUNTIF($A$5:$A$133,R_DG!A31)=0,R_DG!R31&gt;0,ISNUMBER(R_DG!R31)),R_DG!A31,"NONE")</f>
        <v>B1230</v>
      </c>
      <c r="B158" s="85">
        <f ca="1">IF(K158&gt;0,COUNTIF(K$6:K158,"&gt;0"),B157)</f>
        <v>2</v>
      </c>
      <c r="C158" s="1084" t="str">
        <f t="shared" si="34"/>
        <v>Boulon 12x30+ 2 long đền vuông D14-50x50x3/Zn</v>
      </c>
      <c r="D158" s="85" t="str">
        <f t="shared" si="35"/>
        <v>bộ</v>
      </c>
      <c r="E158" s="448">
        <f ca="1">SUMIF(OFFSET(tongctvtdd1,0,-(COLUMN(E158)+7-(COLUMN(E158)-5)/2)),KLVT!$A158,tongctvtdd1)+SUMIF(OFFSET(tongctvtpk1,0,-(COLUMN(E158)+7-(COLUMN(E158)-5)/2)),KLVT!$A158,tongctvtpk1)</f>
        <v>0</v>
      </c>
      <c r="F158" s="449">
        <f ca="1">SUMIF(OFFSET(cttba_vlvt1_1,0,-9,-ROW(cttba_vlvt1_1)+ROW(cttba_vltb1_1)-10),KLVT!$A158,OFFSET(cttba_vlvt1_1,0,-4,-ROW(cttba_vlvt1_1)+ROW(cttba_vltb1_1)-10))</f>
        <v>0</v>
      </c>
      <c r="G158" s="451">
        <f t="shared" ca="1" si="36"/>
        <v>0</v>
      </c>
      <c r="H158" s="450">
        <f t="shared" si="37"/>
        <v>0.15</v>
      </c>
      <c r="I158" s="447">
        <f t="shared" ca="1" si="38"/>
        <v>0</v>
      </c>
      <c r="J158" s="447">
        <f t="shared" ca="1" si="39"/>
        <v>0</v>
      </c>
      <c r="K158" s="1095">
        <f t="shared" ca="1" si="40"/>
        <v>0</v>
      </c>
    </row>
    <row r="159" spans="1:11">
      <c r="A159" s="1251" t="str">
        <f>IF(AND(COUNTIF($A$5:$A$133,R_DG!A32)=0,R_DG!R32&gt;0,ISNUMBER(R_DG!R32)),R_DG!A32,"NONE")</f>
        <v>B1240</v>
      </c>
      <c r="B159" s="438">
        <f ca="1">IF(K159&gt;0,COUNTIF(K$6:K159,"&gt;0"),B158)</f>
        <v>3</v>
      </c>
      <c r="C159" s="1278" t="str">
        <f t="shared" si="34"/>
        <v>Boulon 12x40+ 2 long đền vuông D14-50x50x3/Zn</v>
      </c>
      <c r="D159" s="438" t="str">
        <f t="shared" si="35"/>
        <v>bộ</v>
      </c>
      <c r="E159" s="1276">
        <f ca="1">SUMIF(OFFSET(tongctvtdd1,0,-(COLUMN(E159)+7-(COLUMN(E159)-5)/2)),KLVT!$A159,tongctvtdd1)+SUMIF(OFFSET(tongctvtpk1,0,-(COLUMN(E159)+7-(COLUMN(E159)-5)/2)),KLVT!$A159,tongctvtpk1)</f>
        <v>17</v>
      </c>
      <c r="F159" s="1277">
        <f ca="1">SUMIF(OFFSET(cttba_vlvt1_1,0,-9,-ROW(cttba_vlvt1_1)+ROW(cttba_vltb1_1)-10),KLVT!$A159,OFFSET(cttba_vlvt1_1,0,-4,-ROW(cttba_vlvt1_1)+ROW(cttba_vltb1_1)-10))</f>
        <v>0</v>
      </c>
      <c r="G159" s="1277">
        <f t="shared" ca="1" si="36"/>
        <v>17</v>
      </c>
      <c r="H159" s="1274">
        <f t="shared" si="37"/>
        <v>0.15</v>
      </c>
      <c r="I159" s="1279">
        <f t="shared" ca="1" si="38"/>
        <v>2.5499999999999998</v>
      </c>
      <c r="J159" s="1279">
        <f t="shared" ca="1" si="39"/>
        <v>0</v>
      </c>
      <c r="K159" s="1268">
        <f t="shared" ca="1" si="40"/>
        <v>1</v>
      </c>
    </row>
    <row r="160" spans="1:11" s="45" customFormat="1" hidden="1">
      <c r="A160" s="373" t="str">
        <f>IF(AND(COUNTIF($A$5:$A$133,R_DG!A33)=0,R_DG!R33&gt;0,ISNUMBER(R_DG!R33)),R_DG!A33,"NONE")</f>
        <v>B1250</v>
      </c>
      <c r="B160" s="85">
        <f ca="1">IF(K160&gt;0,COUNTIF(K$6:K160,"&gt;0"),B159)</f>
        <v>3</v>
      </c>
      <c r="C160" s="1084" t="str">
        <f t="shared" si="34"/>
        <v>Boulon 12x50+ 2 long đền vuông D14-50x50x3/Zn</v>
      </c>
      <c r="D160" s="85" t="str">
        <f t="shared" si="35"/>
        <v>bộ</v>
      </c>
      <c r="E160" s="448">
        <f ca="1">SUMIF(OFFSET(tongctvtdd1,0,-(COLUMN(E160)+7-(COLUMN(E160)-5)/2)),KLVT!$A160,tongctvtdd1)+SUMIF(OFFSET(tongctvtpk1,0,-(COLUMN(E160)+7-(COLUMN(E160)-5)/2)),KLVT!$A160,tongctvtpk1)</f>
        <v>0</v>
      </c>
      <c r="F160" s="449">
        <f ca="1">SUMIF(OFFSET(cttba_vlvt1_1,0,-9,-ROW(cttba_vlvt1_1)+ROW(cttba_vltb1_1)-10),KLVT!$A160,OFFSET(cttba_vlvt1_1,0,-4,-ROW(cttba_vlvt1_1)+ROW(cttba_vltb1_1)-10))</f>
        <v>0</v>
      </c>
      <c r="G160" s="451">
        <f t="shared" ca="1" si="36"/>
        <v>0</v>
      </c>
      <c r="H160" s="450">
        <f t="shared" si="37"/>
        <v>0.15</v>
      </c>
      <c r="I160" s="447">
        <f t="shared" ca="1" si="38"/>
        <v>0</v>
      </c>
      <c r="J160" s="447">
        <f t="shared" ca="1" si="39"/>
        <v>0</v>
      </c>
      <c r="K160" s="1095">
        <f t="shared" ca="1" si="40"/>
        <v>0</v>
      </c>
    </row>
    <row r="161" spans="1:11" s="45" customFormat="1" hidden="1">
      <c r="A161" s="373" t="str">
        <f>IF(AND(COUNTIF($A$5:$A$133,R_DG!A34)=0,R_DG!R34&gt;0,ISNUMBER(R_DG!R34)),R_DG!A34,"NONE")</f>
        <v>B1260</v>
      </c>
      <c r="B161" s="85">
        <f ca="1">IF(K161&gt;0,COUNTIF(K$6:K161,"&gt;0"),B160)</f>
        <v>3</v>
      </c>
      <c r="C161" s="1084" t="str">
        <f t="shared" si="34"/>
        <v>Boulon 12x60+ 2 long đền vuông D14-50x50x3/Zn</v>
      </c>
      <c r="D161" s="85" t="str">
        <f t="shared" si="35"/>
        <v>bộ</v>
      </c>
      <c r="E161" s="448">
        <f ca="1">SUMIF(OFFSET(tongctvtdd1,0,-(COLUMN(E161)+7-(COLUMN(E161)-5)/2)),KLVT!$A161,tongctvtdd1)+SUMIF(OFFSET(tongctvtpk1,0,-(COLUMN(E161)+7-(COLUMN(E161)-5)/2)),KLVT!$A161,tongctvtpk1)</f>
        <v>0</v>
      </c>
      <c r="F161" s="449">
        <f ca="1">SUMIF(OFFSET(cttba_vlvt1_1,0,-9,-ROW(cttba_vlvt1_1)+ROW(cttba_vltb1_1)-10),KLVT!$A161,OFFSET(cttba_vlvt1_1,0,-4,-ROW(cttba_vlvt1_1)+ROW(cttba_vltb1_1)-10))</f>
        <v>0</v>
      </c>
      <c r="G161" s="451">
        <f t="shared" ca="1" si="36"/>
        <v>0</v>
      </c>
      <c r="H161" s="450">
        <f t="shared" si="37"/>
        <v>0.15</v>
      </c>
      <c r="I161" s="447">
        <f t="shared" ca="1" si="38"/>
        <v>0</v>
      </c>
      <c r="J161" s="447">
        <f t="shared" ca="1" si="39"/>
        <v>0</v>
      </c>
      <c r="K161" s="1094">
        <f t="shared" ca="1" si="40"/>
        <v>0</v>
      </c>
    </row>
    <row r="162" spans="1:11" s="45" customFormat="1" hidden="1">
      <c r="A162" s="373" t="str">
        <f>IF(AND(COUNTIF($A$5:$A$133,R_DG!A35)=0,R_DG!R35&gt;0,ISNUMBER(R_DG!R35)),R_DG!A35,"NONE")</f>
        <v>B1280</v>
      </c>
      <c r="B162" s="85">
        <f ca="1">IF(K162&gt;0,COUNTIF(K$6:K162,"&gt;0"),B161)</f>
        <v>3</v>
      </c>
      <c r="C162" s="1084" t="str">
        <f t="shared" si="34"/>
        <v>Boulon 12x80+ 2 long đền vuông D14-50x50x3/Zn</v>
      </c>
      <c r="D162" s="85" t="str">
        <f t="shared" si="35"/>
        <v>bộ</v>
      </c>
      <c r="E162" s="448">
        <f ca="1">SUMIF(OFFSET(tongctvtdd1,0,-(COLUMN(E162)+7-(COLUMN(E162)-5)/2)),KLVT!$A162,tongctvtdd1)+SUMIF(OFFSET(tongctvtpk1,0,-(COLUMN(E162)+7-(COLUMN(E162)-5)/2)),KLVT!$A162,tongctvtpk1)</f>
        <v>0</v>
      </c>
      <c r="F162" s="449">
        <f ca="1">SUMIF(OFFSET(cttba_vlvt1_1,0,-9,-ROW(cttba_vlvt1_1)+ROW(cttba_vltb1_1)-10),KLVT!$A162,OFFSET(cttba_vlvt1_1,0,-4,-ROW(cttba_vlvt1_1)+ROW(cttba_vltb1_1)-10))</f>
        <v>0</v>
      </c>
      <c r="G162" s="451">
        <f t="shared" ca="1" si="36"/>
        <v>0</v>
      </c>
      <c r="H162" s="450">
        <f t="shared" si="37"/>
        <v>0.1</v>
      </c>
      <c r="I162" s="447">
        <f t="shared" ca="1" si="38"/>
        <v>0</v>
      </c>
      <c r="J162" s="447">
        <f t="shared" ca="1" si="39"/>
        <v>0</v>
      </c>
      <c r="K162" s="1095">
        <f t="shared" ca="1" si="40"/>
        <v>0</v>
      </c>
    </row>
    <row r="163" spans="1:11" s="45" customFormat="1" hidden="1">
      <c r="A163" s="373" t="str">
        <f>IF(AND(COUNTIF($A$5:$A$133,R_DG!A36)=0,R_DG!R36&gt;0,ISNUMBER(R_DG!R36)),R_DG!A36,"NONE")</f>
        <v>B12100</v>
      </c>
      <c r="B163" s="85">
        <f ca="1">IF(K163&gt;0,COUNTIF(K$6:K163,"&gt;0"),B162)</f>
        <v>3</v>
      </c>
      <c r="C163" s="1084" t="str">
        <f t="shared" si="34"/>
        <v>Boulon 12x100+ 2 long đền vuông D14-50x50x3/Zn</v>
      </c>
      <c r="D163" s="85" t="str">
        <f t="shared" si="35"/>
        <v>bộ</v>
      </c>
      <c r="E163" s="448">
        <f ca="1">SUMIF(OFFSET(tongctvtdd1,0,-(COLUMN(E163)+7-(COLUMN(E163)-5)/2)),KLVT!$A163,tongctvtdd1)+SUMIF(OFFSET(tongctvtpk1,0,-(COLUMN(E163)+7-(COLUMN(E163)-5)/2)),KLVT!$A163,tongctvtpk1)</f>
        <v>0</v>
      </c>
      <c r="F163" s="449">
        <f ca="1">SUMIF(OFFSET(cttba_vlvt1_1,0,-9,-ROW(cttba_vlvt1_1)+ROW(cttba_vltb1_1)-10),KLVT!$A163,OFFSET(cttba_vlvt1_1,0,-4,-ROW(cttba_vlvt1_1)+ROW(cttba_vltb1_1)-10))</f>
        <v>0</v>
      </c>
      <c r="G163" s="451">
        <f t="shared" ca="1" si="36"/>
        <v>0</v>
      </c>
      <c r="H163" s="450">
        <f t="shared" si="37"/>
        <v>0.1</v>
      </c>
      <c r="I163" s="447">
        <f t="shared" ca="1" si="38"/>
        <v>0</v>
      </c>
      <c r="J163" s="447">
        <f t="shared" ca="1" si="39"/>
        <v>0</v>
      </c>
      <c r="K163" s="1094">
        <f t="shared" ca="1" si="40"/>
        <v>0</v>
      </c>
    </row>
    <row r="164" spans="1:11" s="45" customFormat="1" hidden="1">
      <c r="A164" s="373" t="str">
        <f>IF(AND(COUNTIF($A$5:$A$133,R_DG!A37)=0,R_DG!R37&gt;0,ISNUMBER(R_DG!R37)),R_DG!A37,"NONE")</f>
        <v>B12150</v>
      </c>
      <c r="B164" s="85">
        <f ca="1">IF(K164&gt;0,COUNTIF(K$6:K164,"&gt;0"),B163)</f>
        <v>3</v>
      </c>
      <c r="C164" s="1084" t="str">
        <f t="shared" si="34"/>
        <v>Boulon 12x150+ 2 long đền vuông D14-50x50x3/Zn</v>
      </c>
      <c r="D164" s="85" t="str">
        <f t="shared" si="35"/>
        <v>bộ</v>
      </c>
      <c r="E164" s="448">
        <f ca="1">SUMIF(OFFSET(tongctvtdd1,0,-(COLUMN(E164)+7-(COLUMN(E164)-5)/2)),KLVT!$A164,tongctvtdd1)+SUMIF(OFFSET(tongctvtpk1,0,-(COLUMN(E164)+7-(COLUMN(E164)-5)/2)),KLVT!$A164,tongctvtpk1)</f>
        <v>0</v>
      </c>
      <c r="F164" s="449">
        <f ca="1">SUMIF(OFFSET(cttba_vlvt1_1,0,-9,-ROW(cttba_vlvt1_1)+ROW(cttba_vltb1_1)-10),KLVT!$A164,OFFSET(cttba_vlvt1_1,0,-4,-ROW(cttba_vlvt1_1)+ROW(cttba_vltb1_1)-10))</f>
        <v>0</v>
      </c>
      <c r="G164" s="451">
        <f t="shared" ca="1" si="36"/>
        <v>0</v>
      </c>
      <c r="H164" s="450">
        <f t="shared" si="37"/>
        <v>0.1</v>
      </c>
      <c r="I164" s="447">
        <f t="shared" ca="1" si="38"/>
        <v>0</v>
      </c>
      <c r="J164" s="447">
        <f t="shared" ca="1" si="39"/>
        <v>0</v>
      </c>
      <c r="K164" s="1095">
        <f t="shared" ca="1" si="40"/>
        <v>0</v>
      </c>
    </row>
    <row r="165" spans="1:11" s="45" customFormat="1" hidden="1">
      <c r="A165" s="373" t="str">
        <f>IF(AND(COUNTIF($A$5:$A$133,R_DG!A38)=0,R_DG!R38&gt;0,ISNUMBER(R_DG!R38)),R_DG!A38,"NONE")</f>
        <v>B12200</v>
      </c>
      <c r="B165" s="85">
        <f ca="1">IF(K165&gt;0,COUNTIF(K$6:K165,"&gt;0"),B164)</f>
        <v>3</v>
      </c>
      <c r="C165" s="1084" t="str">
        <f t="shared" si="34"/>
        <v>Boulon 12x200+ 2 long đền vuông D14-50x50x3/Zn</v>
      </c>
      <c r="D165" s="85" t="str">
        <f t="shared" si="35"/>
        <v>bộ</v>
      </c>
      <c r="E165" s="448">
        <f ca="1">SUMIF(OFFSET(tongctvtdd1,0,-(COLUMN(E165)+7-(COLUMN(E165)-5)/2)),KLVT!$A165,tongctvtdd1)+SUMIF(OFFSET(tongctvtpk1,0,-(COLUMN(E165)+7-(COLUMN(E165)-5)/2)),KLVT!$A165,tongctvtpk1)</f>
        <v>0</v>
      </c>
      <c r="F165" s="449">
        <f ca="1">SUMIF(OFFSET(cttba_vlvt1_1,0,-9,-ROW(cttba_vlvt1_1)+ROW(cttba_vltb1_1)-10),KLVT!$A165,OFFSET(cttba_vlvt1_1,0,-4,-ROW(cttba_vlvt1_1)+ROW(cttba_vltb1_1)-10))</f>
        <v>0</v>
      </c>
      <c r="G165" s="451">
        <f t="shared" ca="1" si="36"/>
        <v>0</v>
      </c>
      <c r="H165" s="450">
        <f t="shared" si="37"/>
        <v>0.1</v>
      </c>
      <c r="I165" s="447">
        <f t="shared" ca="1" si="38"/>
        <v>0</v>
      </c>
      <c r="J165" s="447">
        <f t="shared" ca="1" si="39"/>
        <v>0</v>
      </c>
      <c r="K165" s="1095">
        <f t="shared" ca="1" si="40"/>
        <v>0</v>
      </c>
    </row>
    <row r="166" spans="1:11" s="45" customFormat="1" hidden="1">
      <c r="A166" s="373" t="str">
        <f>IF(AND(COUNTIF($A$5:$A$133,R_DG!A39)=0,R_DG!R39&gt;0,ISNUMBER(R_DG!R39)),R_DG!A39,"NONE")</f>
        <v>B1230TH</v>
      </c>
      <c r="B166" s="85">
        <f ca="1">IF(K166&gt;0,COUNTIF(K$6:K166,"&gt;0"),B165)</f>
        <v>3</v>
      </c>
      <c r="C166" s="1084" t="str">
        <f t="shared" si="34"/>
        <v>Boulon thau 12x30 + 2 long đền vuông D14-50x50x3/Zn</v>
      </c>
      <c r="D166" s="85" t="str">
        <f t="shared" si="35"/>
        <v>bộ</v>
      </c>
      <c r="E166" s="448">
        <f ca="1">SUMIF(OFFSET(tongctvtdd1,0,-(COLUMN(E166)+7-(COLUMN(E166)-5)/2)),KLVT!$A166,tongctvtdd1)+SUMIF(OFFSET(tongctvtpk1,0,-(COLUMN(E166)+7-(COLUMN(E166)-5)/2)),KLVT!$A166,tongctvtpk1)</f>
        <v>0</v>
      </c>
      <c r="F166" s="449">
        <f ca="1">SUMIF(OFFSET(cttba_vlvt1_1,0,-9,-ROW(cttba_vlvt1_1)+ROW(cttba_vltb1_1)-10),KLVT!$A166,OFFSET(cttba_vlvt1_1,0,-4,-ROW(cttba_vlvt1_1)+ROW(cttba_vltb1_1)-10))</f>
        <v>0</v>
      </c>
      <c r="G166" s="451">
        <f t="shared" ca="1" si="36"/>
        <v>0</v>
      </c>
      <c r="H166" s="450">
        <f t="shared" si="37"/>
        <v>0.1</v>
      </c>
      <c r="I166" s="447">
        <f t="shared" ca="1" si="38"/>
        <v>0</v>
      </c>
      <c r="J166" s="447">
        <f t="shared" ca="1" si="39"/>
        <v>0</v>
      </c>
      <c r="K166" s="1095">
        <f t="shared" ca="1" si="40"/>
        <v>0</v>
      </c>
    </row>
    <row r="167" spans="1:11" s="45" customFormat="1" hidden="1">
      <c r="A167" s="373" t="str">
        <f>IF(AND(COUNTIF($A$5:$A$133,R_DG!A40)=0,R_DG!R40&gt;0,ISNUMBER(R_DG!R40)),R_DG!A40,"NONE")</f>
        <v>B1240TH</v>
      </c>
      <c r="B167" s="85">
        <f ca="1">IF(K167&gt;0,COUNTIF(K$6:K167,"&gt;0"),B166)</f>
        <v>3</v>
      </c>
      <c r="C167" s="1084" t="str">
        <f t="shared" si="34"/>
        <v>Boulon thau 12x40 + 2 long đền vuông D14-50x50x3/Zn</v>
      </c>
      <c r="D167" s="85" t="str">
        <f t="shared" si="35"/>
        <v>bộ</v>
      </c>
      <c r="E167" s="448">
        <f ca="1">SUMIF(OFFSET(tongctvtdd1,0,-(COLUMN(E167)+7-(COLUMN(E167)-5)/2)),KLVT!$A167,tongctvtdd1)+SUMIF(OFFSET(tongctvtpk1,0,-(COLUMN(E167)+7-(COLUMN(E167)-5)/2)),KLVT!$A167,tongctvtpk1)</f>
        <v>0</v>
      </c>
      <c r="F167" s="449">
        <f ca="1">SUMIF(OFFSET(cttba_vlvt1_1,0,-9,-ROW(cttba_vlvt1_1)+ROW(cttba_vltb1_1)-10),KLVT!$A167,OFFSET(cttba_vlvt1_1,0,-4,-ROW(cttba_vlvt1_1)+ROW(cttba_vltb1_1)-10))</f>
        <v>0</v>
      </c>
      <c r="G167" s="451">
        <f t="shared" ca="1" si="36"/>
        <v>0</v>
      </c>
      <c r="H167" s="450">
        <f t="shared" si="37"/>
        <v>0.1</v>
      </c>
      <c r="I167" s="447">
        <f t="shared" ca="1" si="38"/>
        <v>0</v>
      </c>
      <c r="J167" s="447">
        <f t="shared" ca="1" si="39"/>
        <v>0</v>
      </c>
      <c r="K167" s="1095">
        <f t="shared" ca="1" si="40"/>
        <v>0</v>
      </c>
    </row>
    <row r="168" spans="1:11" s="45" customFormat="1" hidden="1">
      <c r="A168" s="373" t="str">
        <f>IF(AND(COUNTIF($A$5:$A$133,R_DG!A41)=0,R_DG!R41&gt;0,ISNUMBER(R_DG!R41)),R_DG!A41,"NONE")</f>
        <v>B1250TH</v>
      </c>
      <c r="B168" s="85">
        <f ca="1">IF(K168&gt;0,COUNTIF(K$6:K168,"&gt;0"),B167)</f>
        <v>3</v>
      </c>
      <c r="C168" s="1084" t="str">
        <f t="shared" si="34"/>
        <v>Boulon thau 12x50 + 2 long đền vuông D14-50x50x3/Zn</v>
      </c>
      <c r="D168" s="85" t="str">
        <f t="shared" si="35"/>
        <v>bộ</v>
      </c>
      <c r="E168" s="448">
        <f ca="1">SUMIF(OFFSET(tongctvtdd1,0,-(COLUMN(E168)+7-(COLUMN(E168)-5)/2)),KLVT!$A168,tongctvtdd1)+SUMIF(OFFSET(tongctvtpk1,0,-(COLUMN(E168)+7-(COLUMN(E168)-5)/2)),KLVT!$A168,tongctvtpk1)</f>
        <v>0</v>
      </c>
      <c r="F168" s="449">
        <f ca="1">SUMIF(OFFSET(cttba_vlvt1_1,0,-9,-ROW(cttba_vlvt1_1)+ROW(cttba_vltb1_1)-10),KLVT!$A168,OFFSET(cttba_vlvt1_1,0,-4,-ROW(cttba_vlvt1_1)+ROW(cttba_vltb1_1)-10))</f>
        <v>0</v>
      </c>
      <c r="G168" s="451">
        <f t="shared" ca="1" si="36"/>
        <v>0</v>
      </c>
      <c r="H168" s="450">
        <f t="shared" si="37"/>
        <v>0.1</v>
      </c>
      <c r="I168" s="447">
        <f t="shared" ca="1" si="38"/>
        <v>0</v>
      </c>
      <c r="J168" s="447">
        <f t="shared" ca="1" si="39"/>
        <v>0</v>
      </c>
      <c r="K168" s="1095">
        <f t="shared" ca="1" si="40"/>
        <v>0</v>
      </c>
    </row>
    <row r="169" spans="1:11" s="45" customFormat="1" hidden="1">
      <c r="A169" s="373" t="str">
        <f>IF(AND(COUNTIF($A$5:$A$133,R_DG!A42)=0,R_DG!R42&gt;0,ISNUMBER(R_DG!R42)),R_DG!A42,"NONE")</f>
        <v>B1260TH</v>
      </c>
      <c r="B169" s="85">
        <f ca="1">IF(K169&gt;0,COUNTIF(K$6:K169,"&gt;0"),B168)</f>
        <v>3</v>
      </c>
      <c r="C169" s="1084" t="str">
        <f t="shared" si="34"/>
        <v>Boulon thau 12x60 + 2 long đền vuông D14-50x50x3/Zn</v>
      </c>
      <c r="D169" s="85" t="str">
        <f t="shared" si="35"/>
        <v>bộ</v>
      </c>
      <c r="E169" s="448">
        <f ca="1">SUMIF(OFFSET(tongctvtdd1,0,-(COLUMN(E169)+7-(COLUMN(E169)-5)/2)),KLVT!$A169,tongctvtdd1)+SUMIF(OFFSET(tongctvtpk1,0,-(COLUMN(E169)+7-(COLUMN(E169)-5)/2)),KLVT!$A169,tongctvtpk1)</f>
        <v>0</v>
      </c>
      <c r="F169" s="449">
        <f ca="1">SUMIF(OFFSET(cttba_vlvt1_1,0,-9,-ROW(cttba_vlvt1_1)+ROW(cttba_vltb1_1)-10),KLVT!$A169,OFFSET(cttba_vlvt1_1,0,-4,-ROW(cttba_vlvt1_1)+ROW(cttba_vltb1_1)-10))</f>
        <v>0</v>
      </c>
      <c r="G169" s="451">
        <f t="shared" ca="1" si="36"/>
        <v>0</v>
      </c>
      <c r="H169" s="450">
        <f t="shared" si="37"/>
        <v>0.1</v>
      </c>
      <c r="I169" s="447">
        <f t="shared" ca="1" si="38"/>
        <v>0</v>
      </c>
      <c r="J169" s="447">
        <f t="shared" ca="1" si="39"/>
        <v>0</v>
      </c>
      <c r="K169" s="1095">
        <f t="shared" ca="1" si="40"/>
        <v>0</v>
      </c>
    </row>
    <row r="170" spans="1:11" s="45" customFormat="1" hidden="1">
      <c r="A170" s="373" t="str">
        <f>IF(AND(COUNTIF($A$5:$A$133,R_DG!A43)=0,R_DG!R43&gt;0,ISNUMBER(R_DG!R43)),R_DG!A43,"NONE")</f>
        <v>B1450</v>
      </c>
      <c r="B170" s="85">
        <f ca="1">IF(K170&gt;0,COUNTIF(K$6:K170,"&gt;0"),B169)</f>
        <v>3</v>
      </c>
      <c r="C170" s="1084" t="str">
        <f t="shared" si="34"/>
        <v>Boulon 14x50+ 2 long đền vuông D16-50x50x3/Zn</v>
      </c>
      <c r="D170" s="85" t="str">
        <f t="shared" si="35"/>
        <v>bộ</v>
      </c>
      <c r="E170" s="448">
        <f ca="1">SUMIF(OFFSET(tongctvtdd1,0,-(COLUMN(E170)+7-(COLUMN(E170)-5)/2)),KLVT!$A170,tongctvtdd1)+SUMIF(OFFSET(tongctvtpk1,0,-(COLUMN(E170)+7-(COLUMN(E170)-5)/2)),KLVT!$A170,tongctvtpk1)</f>
        <v>0</v>
      </c>
      <c r="F170" s="449">
        <f ca="1">SUMIF(OFFSET(cttba_vlvt1_1,0,-9,-ROW(cttba_vlvt1_1)+ROW(cttba_vltb1_1)-10),KLVT!$A170,OFFSET(cttba_vlvt1_1,0,-4,-ROW(cttba_vlvt1_1)+ROW(cttba_vltb1_1)-10))</f>
        <v>0</v>
      </c>
      <c r="G170" s="451">
        <f t="shared" ca="1" si="36"/>
        <v>0</v>
      </c>
      <c r="H170" s="450">
        <f t="shared" si="37"/>
        <v>0.2</v>
      </c>
      <c r="I170" s="447">
        <f t="shared" ca="1" si="38"/>
        <v>0</v>
      </c>
      <c r="J170" s="447">
        <f t="shared" ca="1" si="39"/>
        <v>0</v>
      </c>
      <c r="K170" s="1095">
        <f t="shared" ca="1" si="40"/>
        <v>0</v>
      </c>
    </row>
    <row r="171" spans="1:11" s="45" customFormat="1" hidden="1">
      <c r="A171" s="373" t="str">
        <f>IF(AND(COUNTIF($A$5:$A$133,R_DG!A44)=0,R_DG!R44&gt;0,ISNUMBER(R_DG!R44)),R_DG!A44,"NONE")</f>
        <v>B14100</v>
      </c>
      <c r="B171" s="85">
        <f ca="1">IF(K171&gt;0,COUNTIF(K$6:K171,"&gt;0"),B170)</f>
        <v>3</v>
      </c>
      <c r="C171" s="1084" t="str">
        <f t="shared" si="34"/>
        <v>Boulon 14x50+ 2 long đền vuông D16-50x50x3/Zn</v>
      </c>
      <c r="D171" s="85" t="str">
        <f t="shared" si="35"/>
        <v>bộ</v>
      </c>
      <c r="E171" s="448">
        <f ca="1">SUMIF(OFFSET(tongctvtdd1,0,-(COLUMN(E171)+7-(COLUMN(E171)-5)/2)),KLVT!$A171,tongctvtdd1)+SUMIF(OFFSET(tongctvtpk1,0,-(COLUMN(E171)+7-(COLUMN(E171)-5)/2)),KLVT!$A171,tongctvtpk1)</f>
        <v>0</v>
      </c>
      <c r="F171" s="449">
        <f ca="1">SUMIF(OFFSET(cttba_vlvt1_1,0,-9,-ROW(cttba_vlvt1_1)+ROW(cttba_vltb1_1)-10),KLVT!$A171,OFFSET(cttba_vlvt1_1,0,-4,-ROW(cttba_vlvt1_1)+ROW(cttba_vltb1_1)-10))</f>
        <v>0</v>
      </c>
      <c r="G171" s="451">
        <f t="shared" ca="1" si="36"/>
        <v>0</v>
      </c>
      <c r="H171" s="450">
        <f t="shared" si="37"/>
        <v>0.2</v>
      </c>
      <c r="I171" s="447">
        <f t="shared" ca="1" si="38"/>
        <v>0</v>
      </c>
      <c r="J171" s="447">
        <f t="shared" ca="1" si="39"/>
        <v>0</v>
      </c>
      <c r="K171" s="1095">
        <f t="shared" ca="1" si="40"/>
        <v>0</v>
      </c>
    </row>
    <row r="172" spans="1:11" s="45" customFormat="1" hidden="1">
      <c r="A172" s="373" t="str">
        <f>IF(AND(COUNTIF($A$5:$A$133,R_DG!A45)=0,R_DG!R45&gt;0,ISNUMBER(R_DG!R45)),R_DG!A45,"NONE")</f>
        <v>B14150</v>
      </c>
      <c r="B172" s="85">
        <f ca="1">IF(K172&gt;0,COUNTIF(K$6:K172,"&gt;0"),B171)</f>
        <v>3</v>
      </c>
      <c r="C172" s="1084" t="str">
        <f t="shared" si="34"/>
        <v>Boulon 14x150+ 2 long đền vuông D16-50x50x3/Zn</v>
      </c>
      <c r="D172" s="85" t="str">
        <f t="shared" si="35"/>
        <v>bộ</v>
      </c>
      <c r="E172" s="448">
        <f ca="1">SUMIF(OFFSET(tongctvtdd1,0,-(COLUMN(E172)+7-(COLUMN(E172)-5)/2)),KLVT!$A172,tongctvtdd1)+SUMIF(OFFSET(tongctvtpk1,0,-(COLUMN(E172)+7-(COLUMN(E172)-5)/2)),KLVT!$A172,tongctvtpk1)</f>
        <v>0</v>
      </c>
      <c r="F172" s="449">
        <f ca="1">SUMIF(OFFSET(cttba_vlvt1_1,0,-9,-ROW(cttba_vlvt1_1)+ROW(cttba_vltb1_1)-10),KLVT!$A172,OFFSET(cttba_vlvt1_1,0,-4,-ROW(cttba_vlvt1_1)+ROW(cttba_vltb1_1)-10))</f>
        <v>0</v>
      </c>
      <c r="G172" s="451">
        <f t="shared" ca="1" si="36"/>
        <v>0</v>
      </c>
      <c r="H172" s="450">
        <f t="shared" si="37"/>
        <v>0.1</v>
      </c>
      <c r="I172" s="447">
        <f t="shared" ca="1" si="38"/>
        <v>0</v>
      </c>
      <c r="J172" s="447">
        <f t="shared" ca="1" si="39"/>
        <v>0</v>
      </c>
      <c r="K172" s="1094">
        <f t="shared" ca="1" si="40"/>
        <v>0</v>
      </c>
    </row>
    <row r="173" spans="1:11" s="45" customFormat="1" hidden="1">
      <c r="A173" s="373" t="str">
        <f>IF(AND(COUNTIF($A$5:$A$133,R_DG!A46)=0,R_DG!R46&gt;0,ISNUMBER(R_DG!R46)),R_DG!A46,"NONE")</f>
        <v>B1640</v>
      </c>
      <c r="B173" s="85">
        <f ca="1">IF(K173&gt;0,COUNTIF(K$6:K173,"&gt;0"),B172)</f>
        <v>3</v>
      </c>
      <c r="C173" s="1084" t="str">
        <f t="shared" si="34"/>
        <v>Boulon 16x40+ 2 long đền vuông D18-50x50x3/Zn</v>
      </c>
      <c r="D173" s="85" t="str">
        <f t="shared" si="35"/>
        <v>bộ</v>
      </c>
      <c r="E173" s="448">
        <f ca="1">SUMIF(OFFSET(tongctvtdd1,0,-(COLUMN(E173)+7-(COLUMN(E173)-5)/2)),KLVT!$A173,tongctvtdd1)+SUMIF(OFFSET(tongctvtpk1,0,-(COLUMN(E173)+7-(COLUMN(E173)-5)/2)),KLVT!$A173,tongctvtpk1)</f>
        <v>0</v>
      </c>
      <c r="F173" s="449">
        <f ca="1">SUMIF(OFFSET(cttba_vlvt1_1,0,-9,-ROW(cttba_vlvt1_1)+ROW(cttba_vltb1_1)-10),KLVT!$A173,OFFSET(cttba_vlvt1_1,0,-4,-ROW(cttba_vlvt1_1)+ROW(cttba_vltb1_1)-10))</f>
        <v>0</v>
      </c>
      <c r="G173" s="451">
        <f t="shared" ca="1" si="36"/>
        <v>0</v>
      </c>
      <c r="H173" s="450">
        <f t="shared" si="37"/>
        <v>0.2</v>
      </c>
      <c r="I173" s="447">
        <f t="shared" ca="1" si="38"/>
        <v>0</v>
      </c>
      <c r="J173" s="447">
        <f t="shared" ca="1" si="39"/>
        <v>0</v>
      </c>
      <c r="K173" s="1094">
        <f t="shared" ca="1" si="40"/>
        <v>0</v>
      </c>
    </row>
    <row r="174" spans="1:11" s="45" customFormat="1" hidden="1">
      <c r="A174" s="373" t="str">
        <f>IF(AND(COUNTIF($A$5:$A$133,R_DG!A47)=0,R_DG!R47&gt;0,ISNUMBER(R_DG!R47)),R_DG!A47,"NONE")</f>
        <v>B1650</v>
      </c>
      <c r="B174" s="85">
        <f ca="1">IF(K174&gt;0,COUNTIF(K$6:K174,"&gt;0"),B173)</f>
        <v>3</v>
      </c>
      <c r="C174" s="1084" t="str">
        <f t="shared" si="34"/>
        <v>Boulon 16x50+ 2 long đền vuông D18-50x50x3/Zn</v>
      </c>
      <c r="D174" s="85" t="str">
        <f t="shared" si="35"/>
        <v>bộ</v>
      </c>
      <c r="E174" s="448">
        <f ca="1">SUMIF(OFFSET(tongctvtdd1,0,-(COLUMN(E174)+7-(COLUMN(E174)-5)/2)),KLVT!$A174,tongctvtdd1)+SUMIF(OFFSET(tongctvtpk1,0,-(COLUMN(E174)+7-(COLUMN(E174)-5)/2)),KLVT!$A174,tongctvtpk1)</f>
        <v>0</v>
      </c>
      <c r="F174" s="449">
        <f ca="1">SUMIF(OFFSET(cttba_vlvt1_1,0,-9,-ROW(cttba_vlvt1_1)+ROW(cttba_vltb1_1)-10),KLVT!$A174,OFFSET(cttba_vlvt1_1,0,-4,-ROW(cttba_vlvt1_1)+ROW(cttba_vltb1_1)-10))</f>
        <v>0</v>
      </c>
      <c r="G174" s="451">
        <f t="shared" ca="1" si="36"/>
        <v>0</v>
      </c>
      <c r="H174" s="450">
        <f t="shared" si="37"/>
        <v>0.25</v>
      </c>
      <c r="I174" s="447">
        <f t="shared" ca="1" si="38"/>
        <v>0</v>
      </c>
      <c r="J174" s="447">
        <f t="shared" ca="1" si="39"/>
        <v>0</v>
      </c>
      <c r="K174" s="1094">
        <f t="shared" ca="1" si="40"/>
        <v>0</v>
      </c>
    </row>
    <row r="175" spans="1:11" s="45" customFormat="1" hidden="1">
      <c r="A175" s="373" t="str">
        <f>IF(AND(COUNTIF($A$5:$A$133,R_DG!A48)=0,R_DG!R48&gt;0,ISNUMBER(R_DG!R48)),R_DG!A48,"NONE")</f>
        <v>B16100</v>
      </c>
      <c r="B175" s="85">
        <f ca="1">IF(K175&gt;0,COUNTIF(K$6:K175,"&gt;0"),B174)</f>
        <v>3</v>
      </c>
      <c r="C175" s="1084" t="str">
        <f t="shared" si="34"/>
        <v>Boulon 16x100+ 2 long đền vuông D18-50x50x3/Zn</v>
      </c>
      <c r="D175" s="85" t="str">
        <f t="shared" si="35"/>
        <v>bộ</v>
      </c>
      <c r="E175" s="448">
        <f ca="1">SUMIF(OFFSET(tongctvtdd1,0,-(COLUMN(E175)+7-(COLUMN(E175)-5)/2)),KLVT!$A175,tongctvtdd1)+SUMIF(OFFSET(tongctvtpk1,0,-(COLUMN(E175)+7-(COLUMN(E175)-5)/2)),KLVT!$A175,tongctvtpk1)</f>
        <v>0</v>
      </c>
      <c r="F175" s="449">
        <f ca="1">SUMIF(OFFSET(cttba_vlvt1_1,0,-9,-ROW(cttba_vlvt1_1)+ROW(cttba_vltb1_1)-10),KLVT!$A175,OFFSET(cttba_vlvt1_1,0,-4,-ROW(cttba_vlvt1_1)+ROW(cttba_vltb1_1)-10))</f>
        <v>0</v>
      </c>
      <c r="G175" s="451">
        <f t="shared" ca="1" si="36"/>
        <v>0</v>
      </c>
      <c r="H175" s="450">
        <f t="shared" si="37"/>
        <v>0.2</v>
      </c>
      <c r="I175" s="447">
        <f t="shared" ca="1" si="38"/>
        <v>0</v>
      </c>
      <c r="J175" s="447">
        <f t="shared" ca="1" si="39"/>
        <v>0</v>
      </c>
      <c r="K175" s="1094">
        <f t="shared" ca="1" si="40"/>
        <v>0</v>
      </c>
    </row>
    <row r="176" spans="1:11" s="45" customFormat="1" hidden="1">
      <c r="A176" s="373" t="str">
        <f>IF(AND(COUNTIF($A$5:$A$133,R_DG!A49)=0,R_DG!R49&gt;0,ISNUMBER(R_DG!R49)),R_DG!A49,"NONE")</f>
        <v>B16150</v>
      </c>
      <c r="B176" s="85">
        <f ca="1">IF(K176&gt;0,COUNTIF(K$6:K176,"&gt;0"),B175)</f>
        <v>3</v>
      </c>
      <c r="C176" s="1084" t="str">
        <f t="shared" si="34"/>
        <v>Boulon 16x150+ 2 long đền vuông D18-50x50x3/Zn</v>
      </c>
      <c r="D176" s="85" t="str">
        <f t="shared" si="35"/>
        <v>bộ</v>
      </c>
      <c r="E176" s="448">
        <f ca="1">SUMIF(OFFSET(tongctvtdd1,0,-(COLUMN(E176)+7-(COLUMN(E176)-5)/2)),KLVT!$A176,tongctvtdd1)+SUMIF(OFFSET(tongctvtpk1,0,-(COLUMN(E176)+7-(COLUMN(E176)-5)/2)),KLVT!$A176,tongctvtpk1)</f>
        <v>0</v>
      </c>
      <c r="F176" s="449">
        <f ca="1">SUMIF(OFFSET(cttba_vlvt1_1,0,-9,-ROW(cttba_vlvt1_1)+ROW(cttba_vltb1_1)-10),KLVT!$A176,OFFSET(cttba_vlvt1_1,0,-4,-ROW(cttba_vlvt1_1)+ROW(cttba_vltb1_1)-10))</f>
        <v>0</v>
      </c>
      <c r="G176" s="451">
        <f t="shared" ca="1" si="36"/>
        <v>0</v>
      </c>
      <c r="H176" s="450">
        <f t="shared" si="37"/>
        <v>0.2</v>
      </c>
      <c r="I176" s="447">
        <f t="shared" ca="1" si="38"/>
        <v>0</v>
      </c>
      <c r="J176" s="447">
        <f t="shared" ca="1" si="39"/>
        <v>0</v>
      </c>
      <c r="K176" s="1095">
        <f t="shared" ca="1" si="40"/>
        <v>0</v>
      </c>
    </row>
    <row r="177" spans="1:11" s="45" customFormat="1" hidden="1">
      <c r="A177" s="373" t="str">
        <f>IF(AND(COUNTIF($A$5:$A$133,R_DG!A50)=0,R_DG!R50&gt;0,ISNUMBER(R_DG!R50)),R_DG!A50,"NONE")</f>
        <v>B16200</v>
      </c>
      <c r="B177" s="85">
        <f ca="1">IF(K177&gt;0,COUNTIF(K$6:K177,"&gt;0"),B176)</f>
        <v>3</v>
      </c>
      <c r="C177" s="1084" t="str">
        <f t="shared" si="34"/>
        <v>Boulon 16x200+ 2 long đền vuông D18-50x50x3/Zn</v>
      </c>
      <c r="D177" s="85" t="str">
        <f t="shared" si="35"/>
        <v>bộ</v>
      </c>
      <c r="E177" s="448">
        <f ca="1">SUMIF(OFFSET(tongctvtdd1,0,-(COLUMN(E177)+7-(COLUMN(E177)-5)/2)),KLVT!$A177,tongctvtdd1)+SUMIF(OFFSET(tongctvtpk1,0,-(COLUMN(E177)+7-(COLUMN(E177)-5)/2)),KLVT!$A177,tongctvtpk1)</f>
        <v>0</v>
      </c>
      <c r="F177" s="449">
        <f ca="1">SUMIF(OFFSET(cttba_vlvt1_1,0,-9,-ROW(cttba_vlvt1_1)+ROW(cttba_vltb1_1)-10),KLVT!$A177,OFFSET(cttba_vlvt1_1,0,-4,-ROW(cttba_vlvt1_1)+ROW(cttba_vltb1_1)-10))</f>
        <v>0</v>
      </c>
      <c r="G177" s="451">
        <f t="shared" ca="1" si="36"/>
        <v>0</v>
      </c>
      <c r="H177" s="450">
        <f t="shared" si="37"/>
        <v>0.3</v>
      </c>
      <c r="I177" s="447">
        <f t="shared" ca="1" si="38"/>
        <v>0</v>
      </c>
      <c r="J177" s="447">
        <f t="shared" ca="1" si="39"/>
        <v>0</v>
      </c>
      <c r="K177" s="1095">
        <f t="shared" ca="1" si="40"/>
        <v>0</v>
      </c>
    </row>
    <row r="178" spans="1:11" s="45" customFormat="1" hidden="1">
      <c r="A178" s="373" t="str">
        <f>IF(AND(COUNTIF($A$5:$A$133,R_DG!A51)=0,R_DG!R51&gt;0,ISNUMBER(R_DG!R51)),R_DG!A51,"NONE")</f>
        <v>B16250</v>
      </c>
      <c r="B178" s="85">
        <f ca="1">IF(K178&gt;0,COUNTIF(K$6:K178,"&gt;0"),B177)</f>
        <v>3</v>
      </c>
      <c r="C178" s="1084" t="str">
        <f t="shared" si="34"/>
        <v>Boulon 16x250+ 2 long đền vuông D18-50x50x3/Zn</v>
      </c>
      <c r="D178" s="85" t="str">
        <f t="shared" si="35"/>
        <v>bộ</v>
      </c>
      <c r="E178" s="448">
        <f ca="1">SUMIF(OFFSET(tongctvtdd1,0,-(COLUMN(E178)+7-(COLUMN(E178)-5)/2)),KLVT!$A178,tongctvtdd1)+SUMIF(OFFSET(tongctvtpk1,0,-(COLUMN(E178)+7-(COLUMN(E178)-5)/2)),KLVT!$A178,tongctvtpk1)</f>
        <v>0</v>
      </c>
      <c r="F178" s="449">
        <f ca="1">SUMIF(OFFSET(cttba_vlvt1_1,0,-9,-ROW(cttba_vlvt1_1)+ROW(cttba_vltb1_1)-10),KLVT!$A178,OFFSET(cttba_vlvt1_1,0,-4,-ROW(cttba_vlvt1_1)+ROW(cttba_vltb1_1)-10))</f>
        <v>0</v>
      </c>
      <c r="G178" s="451">
        <f t="shared" ca="1" si="36"/>
        <v>0</v>
      </c>
      <c r="H178" s="450">
        <f t="shared" si="37"/>
        <v>0.23</v>
      </c>
      <c r="I178" s="447">
        <f t="shared" ca="1" si="38"/>
        <v>0</v>
      </c>
      <c r="J178" s="447">
        <f t="shared" ca="1" si="39"/>
        <v>0</v>
      </c>
      <c r="K178" s="1094">
        <f t="shared" ca="1" si="40"/>
        <v>0</v>
      </c>
    </row>
    <row r="179" spans="1:11" s="45" customFormat="1" hidden="1">
      <c r="A179" s="373" t="str">
        <f>IF(AND(COUNTIF($A$5:$A$133,R_DG!A52)=0,R_DG!R52&gt;0,ISNUMBER(R_DG!R52)),R_DG!A52,"NONE")</f>
        <v>B16300</v>
      </c>
      <c r="B179" s="85">
        <f ca="1">IF(K179&gt;0,COUNTIF(K$6:K179,"&gt;0"),B178)</f>
        <v>3</v>
      </c>
      <c r="C179" s="1084" t="str">
        <f t="shared" si="34"/>
        <v>Boulon 16x300+ 2 long đền vuông D18-50x50x3/Zn</v>
      </c>
      <c r="D179" s="85" t="str">
        <f t="shared" si="35"/>
        <v>bộ</v>
      </c>
      <c r="E179" s="448">
        <f ca="1">SUMIF(OFFSET(tongctvtdd1,0,-(COLUMN(E179)+7-(COLUMN(E179)-5)/2)),KLVT!$A179,tongctvtdd1)+SUMIF(OFFSET(tongctvtpk1,0,-(COLUMN(E179)+7-(COLUMN(E179)-5)/2)),KLVT!$A179,tongctvtpk1)</f>
        <v>0</v>
      </c>
      <c r="F179" s="449">
        <f ca="1">SUMIF(OFFSET(cttba_vlvt1_1,0,-9,-ROW(cttba_vlvt1_1)+ROW(cttba_vltb1_1)-10),KLVT!$A179,OFFSET(cttba_vlvt1_1,0,-4,-ROW(cttba_vlvt1_1)+ROW(cttba_vltb1_1)-10))</f>
        <v>0</v>
      </c>
      <c r="G179" s="451">
        <f t="shared" ca="1" si="36"/>
        <v>0</v>
      </c>
      <c r="H179" s="450">
        <f t="shared" si="37"/>
        <v>0.25</v>
      </c>
      <c r="I179" s="447">
        <f t="shared" ca="1" si="38"/>
        <v>0</v>
      </c>
      <c r="J179" s="447">
        <f t="shared" ca="1" si="39"/>
        <v>0</v>
      </c>
      <c r="K179" s="1094">
        <f t="shared" ca="1" si="40"/>
        <v>0</v>
      </c>
    </row>
    <row r="180" spans="1:11" s="45" customFormat="1" hidden="1">
      <c r="A180" s="373" t="str">
        <f>IF(AND(COUNTIF($A$5:$A$133,R_DG!A53)=0,R_DG!R53&gt;0,ISNUMBER(R_DG!R53)),R_DG!A53,"NONE")</f>
        <v>B16350</v>
      </c>
      <c r="B180" s="85">
        <f ca="1">IF(K180&gt;0,COUNTIF(K$6:K180,"&gt;0"),B179)</f>
        <v>3</v>
      </c>
      <c r="C180" s="1084" t="str">
        <f t="shared" si="34"/>
        <v>Boulon 16x350+ 2 long đền vuông D18-50x50x3/Zn</v>
      </c>
      <c r="D180" s="85" t="str">
        <f t="shared" si="35"/>
        <v>bộ</v>
      </c>
      <c r="E180" s="448">
        <f ca="1">SUMIF(OFFSET(tongctvtdd1,0,-(COLUMN(E180)+7-(COLUMN(E180)-5)/2)),KLVT!$A180,tongctvtdd1)+SUMIF(OFFSET(tongctvtpk1,0,-(COLUMN(E180)+7-(COLUMN(E180)-5)/2)),KLVT!$A180,tongctvtpk1)</f>
        <v>0</v>
      </c>
      <c r="F180" s="449">
        <f ca="1">SUMIF(OFFSET(cttba_vlvt1_1,0,-9,-ROW(cttba_vlvt1_1)+ROW(cttba_vltb1_1)-10),KLVT!$A180,OFFSET(cttba_vlvt1_1,0,-4,-ROW(cttba_vlvt1_1)+ROW(cttba_vltb1_1)-10))</f>
        <v>0</v>
      </c>
      <c r="G180" s="451">
        <f t="shared" ca="1" si="36"/>
        <v>0</v>
      </c>
      <c r="H180" s="450">
        <f t="shared" si="37"/>
        <v>0.3</v>
      </c>
      <c r="I180" s="447">
        <f t="shared" ca="1" si="38"/>
        <v>0</v>
      </c>
      <c r="J180" s="447">
        <f t="shared" ca="1" si="39"/>
        <v>0</v>
      </c>
      <c r="K180" s="1094">
        <f t="shared" ca="1" si="40"/>
        <v>0</v>
      </c>
    </row>
    <row r="181" spans="1:11" s="45" customFormat="1" hidden="1">
      <c r="A181" s="373" t="str">
        <f>IF(AND(COUNTIF($A$5:$A$133,R_DG!A54)=0,R_DG!R54&gt;0,ISNUMBER(R_DG!R54)),R_DG!A54,"NONE")</f>
        <v>B16400</v>
      </c>
      <c r="B181" s="85">
        <f ca="1">IF(K181&gt;0,COUNTIF(K$6:K181,"&gt;0"),B180)</f>
        <v>3</v>
      </c>
      <c r="C181" s="1084" t="str">
        <f t="shared" si="34"/>
        <v>Boulon 16x400+ 2 long đền vuông D18-50x50x3/Zn</v>
      </c>
      <c r="D181" s="85" t="str">
        <f t="shared" si="35"/>
        <v>bộ</v>
      </c>
      <c r="E181" s="448">
        <f ca="1">SUMIF(OFFSET(tongctvtdd1,0,-(COLUMN(E181)+7-(COLUMN(E181)-5)/2)),KLVT!$A181,tongctvtdd1)+SUMIF(OFFSET(tongctvtpk1,0,-(COLUMN(E181)+7-(COLUMN(E181)-5)/2)),KLVT!$A181,tongctvtpk1)</f>
        <v>0</v>
      </c>
      <c r="F181" s="449">
        <f ca="1">SUMIF(OFFSET(cttba_vlvt1_1,0,-9,-ROW(cttba_vlvt1_1)+ROW(cttba_vltb1_1)-10),KLVT!$A181,OFFSET(cttba_vlvt1_1,0,-4,-ROW(cttba_vlvt1_1)+ROW(cttba_vltb1_1)-10))</f>
        <v>0</v>
      </c>
      <c r="G181" s="451">
        <f t="shared" ca="1" si="36"/>
        <v>0</v>
      </c>
      <c r="H181" s="450">
        <f t="shared" si="37"/>
        <v>0.35</v>
      </c>
      <c r="I181" s="447">
        <f t="shared" ca="1" si="38"/>
        <v>0</v>
      </c>
      <c r="J181" s="447">
        <f t="shared" ca="1" si="39"/>
        <v>0</v>
      </c>
      <c r="K181" s="1094">
        <f t="shared" ca="1" si="40"/>
        <v>0</v>
      </c>
    </row>
    <row r="182" spans="1:11" s="45" customFormat="1" hidden="1">
      <c r="A182" s="373" t="str">
        <f>IF(AND(COUNTIF($A$5:$A$133,R_DG!A55)=0,R_DG!R55&gt;0,ISNUMBER(R_DG!R55)),R_DG!A55,"NONE")</f>
        <v>B16450</v>
      </c>
      <c r="B182" s="85">
        <f ca="1">IF(K182&gt;0,COUNTIF(K$6:K182,"&gt;0"),B181)</f>
        <v>3</v>
      </c>
      <c r="C182" s="1084" t="str">
        <f t="shared" si="34"/>
        <v>Boulon 16x450+ 2 long đền vuông D18-50x50x3/Zn</v>
      </c>
      <c r="D182" s="85" t="str">
        <f t="shared" si="35"/>
        <v>bộ</v>
      </c>
      <c r="E182" s="448">
        <f ca="1">SUMIF(OFFSET(tongctvtdd1,0,-(COLUMN(E182)+7-(COLUMN(E182)-5)/2)),KLVT!$A182,tongctvtdd1)+SUMIF(OFFSET(tongctvtpk1,0,-(COLUMN(E182)+7-(COLUMN(E182)-5)/2)),KLVT!$A182,tongctvtpk1)</f>
        <v>0</v>
      </c>
      <c r="F182" s="449">
        <f ca="1">SUMIF(OFFSET(cttba_vlvt1_1,0,-9,-ROW(cttba_vlvt1_1)+ROW(cttba_vltb1_1)-10),KLVT!$A182,OFFSET(cttba_vlvt1_1,0,-4,-ROW(cttba_vlvt1_1)+ROW(cttba_vltb1_1)-10))</f>
        <v>0</v>
      </c>
      <c r="G182" s="451">
        <f t="shared" ca="1" si="36"/>
        <v>0</v>
      </c>
      <c r="H182" s="450">
        <f t="shared" si="37"/>
        <v>0.35</v>
      </c>
      <c r="I182" s="447">
        <f t="shared" ca="1" si="38"/>
        <v>0</v>
      </c>
      <c r="J182" s="447">
        <f t="shared" ca="1" si="39"/>
        <v>0</v>
      </c>
      <c r="K182" s="1094">
        <f t="shared" ca="1" si="40"/>
        <v>0</v>
      </c>
    </row>
    <row r="183" spans="1:11" s="45" customFormat="1" hidden="1">
      <c r="A183" s="373" t="str">
        <f>IF(AND(COUNTIF($A$5:$A$133,R_DG!A56)=0,R_DG!R56&gt;0,ISNUMBER(R_DG!R56)),R_DG!A56,"NONE")</f>
        <v>B16500</v>
      </c>
      <c r="B183" s="85">
        <f ca="1">IF(K183&gt;0,COUNTIF(K$6:K183,"&gt;0"),B182)</f>
        <v>3</v>
      </c>
      <c r="C183" s="1084" t="str">
        <f t="shared" si="34"/>
        <v>Boulon 16x500+ 2 long đền vuông D18-50x50x3/Zn</v>
      </c>
      <c r="D183" s="85" t="str">
        <f t="shared" si="35"/>
        <v>bộ</v>
      </c>
      <c r="E183" s="448">
        <f ca="1">SUMIF(OFFSET(tongctvtdd1,0,-(COLUMN(E183)+7-(COLUMN(E183)-5)/2)),KLVT!$A183,tongctvtdd1)+SUMIF(OFFSET(tongctvtpk1,0,-(COLUMN(E183)+7-(COLUMN(E183)-5)/2)),KLVT!$A183,tongctvtpk1)</f>
        <v>0</v>
      </c>
      <c r="F183" s="449">
        <f ca="1">SUMIF(OFFSET(cttba_vlvt1_1,0,-9,-ROW(cttba_vlvt1_1)+ROW(cttba_vltb1_1)-10),KLVT!$A183,OFFSET(cttba_vlvt1_1,0,-4,-ROW(cttba_vlvt1_1)+ROW(cttba_vltb1_1)-10))</f>
        <v>0</v>
      </c>
      <c r="G183" s="451">
        <f t="shared" ca="1" si="36"/>
        <v>0</v>
      </c>
      <c r="H183" s="450">
        <f t="shared" si="37"/>
        <v>0.5</v>
      </c>
      <c r="I183" s="447">
        <f t="shared" ca="1" si="38"/>
        <v>0</v>
      </c>
      <c r="J183" s="447">
        <f t="shared" ca="1" si="39"/>
        <v>0</v>
      </c>
      <c r="K183" s="1094">
        <f t="shared" ca="1" si="40"/>
        <v>0</v>
      </c>
    </row>
    <row r="184" spans="1:11" s="45" customFormat="1" hidden="1">
      <c r="A184" s="373" t="str">
        <f>IF(AND(COUNTIF($A$5:$A$133,R_DG!A57)=0,R_DG!R57&gt;0,ISNUMBER(R_DG!R57)),R_DG!A57,"NONE")</f>
        <v>B16550</v>
      </c>
      <c r="B184" s="85">
        <f ca="1">IF(K184&gt;0,COUNTIF(K$6:K184,"&gt;0"),B183)</f>
        <v>3</v>
      </c>
      <c r="C184" s="1084" t="str">
        <f t="shared" si="34"/>
        <v>Boulon 16x550+ 2 long đền vuông D18-50x50x3/Zn</v>
      </c>
      <c r="D184" s="85" t="str">
        <f t="shared" si="35"/>
        <v>bộ</v>
      </c>
      <c r="E184" s="448">
        <f ca="1">SUMIF(OFFSET(tongctvtdd1,0,-(COLUMN(E184)+7-(COLUMN(E184)-5)/2)),KLVT!$A184,tongctvtdd1)+SUMIF(OFFSET(tongctvtpk1,0,-(COLUMN(E184)+7-(COLUMN(E184)-5)/2)),KLVT!$A184,tongctvtpk1)</f>
        <v>0</v>
      </c>
      <c r="F184" s="449">
        <f ca="1">SUMIF(OFFSET(cttba_vlvt1_1,0,-9,-ROW(cttba_vlvt1_1)+ROW(cttba_vltb1_1)-10),KLVT!$A184,OFFSET(cttba_vlvt1_1,0,-4,-ROW(cttba_vlvt1_1)+ROW(cttba_vltb1_1)-10))</f>
        <v>0</v>
      </c>
      <c r="G184" s="451">
        <f t="shared" ca="1" si="36"/>
        <v>0</v>
      </c>
      <c r="H184" s="450">
        <f t="shared" si="37"/>
        <v>0.5</v>
      </c>
      <c r="I184" s="447">
        <f t="shared" ca="1" si="38"/>
        <v>0</v>
      </c>
      <c r="J184" s="447">
        <f t="shared" ca="1" si="39"/>
        <v>0</v>
      </c>
      <c r="K184" s="1094">
        <f t="shared" ca="1" si="40"/>
        <v>0</v>
      </c>
    </row>
    <row r="185" spans="1:11" s="45" customFormat="1" hidden="1">
      <c r="A185" s="373" t="str">
        <f>IF(AND(COUNTIF($A$5:$A$133,R_DG!A58)=0,R_DG!R58&gt;0,ISNUMBER(R_DG!R58)),R_DG!A58,"NONE")</f>
        <v>B16600</v>
      </c>
      <c r="B185" s="85">
        <f ca="1">IF(K185&gt;0,COUNTIF(K$6:K185,"&gt;0"),B184)</f>
        <v>3</v>
      </c>
      <c r="C185" s="1084" t="str">
        <f t="shared" si="34"/>
        <v>Boulon 16x600+ 2 long đền vuông D18-50x50x3/Zn</v>
      </c>
      <c r="D185" s="85" t="str">
        <f t="shared" si="35"/>
        <v>bộ</v>
      </c>
      <c r="E185" s="448">
        <f ca="1">SUMIF(OFFSET(tongctvtdd1,0,-(COLUMN(E185)+7-(COLUMN(E185)-5)/2)),KLVT!$A185,tongctvtdd1)+SUMIF(OFFSET(tongctvtpk1,0,-(COLUMN(E185)+7-(COLUMN(E185)-5)/2)),KLVT!$A185,tongctvtpk1)</f>
        <v>0</v>
      </c>
      <c r="F185" s="449">
        <f ca="1">SUMIF(OFFSET(cttba_vlvt1_1,0,-9,-ROW(cttba_vlvt1_1)+ROW(cttba_vltb1_1)-10),KLVT!$A185,OFFSET(cttba_vlvt1_1,0,-4,-ROW(cttba_vlvt1_1)+ROW(cttba_vltb1_1)-10))</f>
        <v>0</v>
      </c>
      <c r="G185" s="451">
        <f t="shared" ca="1" si="36"/>
        <v>0</v>
      </c>
      <c r="H185" s="450">
        <f t="shared" si="37"/>
        <v>0.5</v>
      </c>
      <c r="I185" s="447">
        <f t="shared" ca="1" si="38"/>
        <v>0</v>
      </c>
      <c r="J185" s="447">
        <f t="shared" ca="1" si="39"/>
        <v>0</v>
      </c>
      <c r="K185" s="1094">
        <f t="shared" ca="1" si="40"/>
        <v>0</v>
      </c>
    </row>
    <row r="186" spans="1:11" s="45" customFormat="1" hidden="1">
      <c r="A186" s="373" t="str">
        <f>IF(AND(COUNTIF($A$5:$A$133,R_DG!A59)=0,R_DG!R59&gt;0,ISNUMBER(R_DG!R59)),R_DG!A59,"NONE")</f>
        <v>B16650</v>
      </c>
      <c r="B186" s="85">
        <f ca="1">IF(K186&gt;0,COUNTIF(K$6:K186,"&gt;0"),B185)</f>
        <v>3</v>
      </c>
      <c r="C186" s="1084" t="str">
        <f t="shared" si="34"/>
        <v>Boulon 16x650+ 2 long đền vuông D18-50x50x3/Zn</v>
      </c>
      <c r="D186" s="85" t="str">
        <f t="shared" si="35"/>
        <v>bộ</v>
      </c>
      <c r="E186" s="448">
        <f ca="1">SUMIF(OFFSET(tongctvtdd1,0,-(COLUMN(E186)+7-(COLUMN(E186)-5)/2)),KLVT!$A186,tongctvtdd1)+SUMIF(OFFSET(tongctvtpk1,0,-(COLUMN(E186)+7-(COLUMN(E186)-5)/2)),KLVT!$A186,tongctvtpk1)</f>
        <v>0</v>
      </c>
      <c r="F186" s="449">
        <f ca="1">SUMIF(OFFSET(cttba_vlvt1_1,0,-9,-ROW(cttba_vlvt1_1)+ROW(cttba_vltb1_1)-10),KLVT!$A186,OFFSET(cttba_vlvt1_1,0,-4,-ROW(cttba_vlvt1_1)+ROW(cttba_vltb1_1)-10))</f>
        <v>0</v>
      </c>
      <c r="G186" s="451">
        <f t="shared" ca="1" si="36"/>
        <v>0</v>
      </c>
      <c r="H186" s="450">
        <f t="shared" si="37"/>
        <v>0.5</v>
      </c>
      <c r="I186" s="447">
        <f t="shared" ca="1" si="38"/>
        <v>0</v>
      </c>
      <c r="J186" s="447">
        <f t="shared" ca="1" si="39"/>
        <v>0</v>
      </c>
      <c r="K186" s="1095">
        <f t="shared" ca="1" si="40"/>
        <v>0</v>
      </c>
    </row>
    <row r="187" spans="1:11" s="45" customFormat="1" ht="15.75" hidden="1">
      <c r="A187" s="373" t="str">
        <f>IF(AND(COUNTIF($A$5:$A$133,R_DG!A60)=0,R_DG!R60&gt;0,ISNUMBER(R_DG!R60)),R_DG!A60,"NONE")</f>
        <v>B16700</v>
      </c>
      <c r="B187" s="85">
        <f ca="1">IF(K187&gt;0,COUNTIF(K$6:K187,"&gt;0"),B186)</f>
        <v>3</v>
      </c>
      <c r="C187" s="1084" t="str">
        <f t="shared" si="34"/>
        <v>Boulon 16x700+ 2 long đền vuông D18-50x50x3/Zn</v>
      </c>
      <c r="D187" s="85" t="str">
        <f t="shared" si="35"/>
        <v>bộ</v>
      </c>
      <c r="E187" s="448">
        <f ca="1">SUMIF(OFFSET(tongctvtdd1,0,-(COLUMN(E187)+7-(COLUMN(E187)-5)/2)),KLVT!$A187,tongctvtdd1)+SUMIF(OFFSET(tongctvtpk1,0,-(COLUMN(E187)+7-(COLUMN(E187)-5)/2)),KLVT!$A187,tongctvtpk1)</f>
        <v>0</v>
      </c>
      <c r="F187" s="449">
        <f ca="1">SUMIF(OFFSET(cttba_vlvt1_1,0,-9,-ROW(cttba_vlvt1_1)+ROW(cttba_vltb1_1)-10),KLVT!$A187,OFFSET(cttba_vlvt1_1,0,-4,-ROW(cttba_vlvt1_1)+ROW(cttba_vltb1_1)-10))</f>
        <v>0</v>
      </c>
      <c r="G187" s="451">
        <f t="shared" ca="1" si="36"/>
        <v>0</v>
      </c>
      <c r="H187" s="450">
        <f t="shared" si="37"/>
        <v>0.5</v>
      </c>
      <c r="I187" s="447">
        <f t="shared" ca="1" si="38"/>
        <v>0</v>
      </c>
      <c r="J187" s="447">
        <f t="shared" ca="1" si="39"/>
        <v>0</v>
      </c>
      <c r="K187" s="373">
        <f t="shared" ca="1" si="40"/>
        <v>0</v>
      </c>
    </row>
    <row r="188" spans="1:11" s="45" customFormat="1" ht="15.75" hidden="1">
      <c r="A188" s="373" t="str">
        <f>IF(AND(COUNTIF($A$5:$A$133,R_DG!A61)=0,R_DG!R61&gt;0,ISNUMBER(R_DG!R61)),R_DG!A61,"NONE")</f>
        <v>B16750</v>
      </c>
      <c r="B188" s="85">
        <f ca="1">IF(K188&gt;0,COUNTIF(K$6:K188,"&gt;0"),B187)</f>
        <v>3</v>
      </c>
      <c r="C188" s="1084" t="str">
        <f t="shared" si="34"/>
        <v>Boulon 16x750+ 2 long đền vuông D18-50x50x3/Zn</v>
      </c>
      <c r="D188" s="85" t="str">
        <f t="shared" si="35"/>
        <v>bộ</v>
      </c>
      <c r="E188" s="448">
        <f ca="1">SUMIF(OFFSET(tongctvtdd1,0,-(COLUMN(E188)+7-(COLUMN(E188)-5)/2)),KLVT!$A188,tongctvtdd1)+SUMIF(OFFSET(tongctvtpk1,0,-(COLUMN(E188)+7-(COLUMN(E188)-5)/2)),KLVT!$A188,tongctvtpk1)</f>
        <v>0</v>
      </c>
      <c r="F188" s="449">
        <f ca="1">SUMIF(OFFSET(cttba_vlvt1_1,0,-9,-ROW(cttba_vlvt1_1)+ROW(cttba_vltb1_1)-10),KLVT!$A188,OFFSET(cttba_vlvt1_1,0,-4,-ROW(cttba_vlvt1_1)+ROW(cttba_vltb1_1)-10))</f>
        <v>0</v>
      </c>
      <c r="G188" s="451">
        <f t="shared" ca="1" si="36"/>
        <v>0</v>
      </c>
      <c r="H188" s="450">
        <f t="shared" si="37"/>
        <v>0.5</v>
      </c>
      <c r="I188" s="447">
        <f t="shared" ca="1" si="38"/>
        <v>0</v>
      </c>
      <c r="J188" s="447">
        <f t="shared" ca="1" si="39"/>
        <v>0</v>
      </c>
      <c r="K188" s="373">
        <f t="shared" ca="1" si="40"/>
        <v>0</v>
      </c>
    </row>
    <row r="189" spans="1:11" s="45" customFormat="1" ht="15.75" hidden="1">
      <c r="A189" s="373" t="str">
        <f>IF(AND(COUNTIF($A$5:$A$133,R_DG!A62)=0,R_DG!R62&gt;0,ISNUMBER(R_DG!R62)),R_DG!A62,"NONE")</f>
        <v>B1680V</v>
      </c>
      <c r="B189" s="85">
        <f ca="1">IF(K189&gt;0,COUNTIF(K$6:K189,"&gt;0"),B188)</f>
        <v>3</v>
      </c>
      <c r="C189" s="1084" t="str">
        <f t="shared" si="34"/>
        <v>Boulon 16x80VRS+ 4 long đền vuông D18-50x50x3/Zn</v>
      </c>
      <c r="D189" s="85" t="str">
        <f t="shared" si="35"/>
        <v>bộ</v>
      </c>
      <c r="E189" s="448">
        <f ca="1">SUMIF(OFFSET(tongctvtdd1,0,-(COLUMN(E189)+7-(COLUMN(E189)-5)/2)),KLVT!$A189,tongctvtdd1)+SUMIF(OFFSET(tongctvtpk1,0,-(COLUMN(E189)+7-(COLUMN(E189)-5)/2)),KLVT!$A189,tongctvtpk1)</f>
        <v>0</v>
      </c>
      <c r="F189" s="449">
        <f ca="1">SUMIF(OFFSET(cttba_vlvt1_1,0,-9,-ROW(cttba_vlvt1_1)+ROW(cttba_vltb1_1)-10),KLVT!$A189,OFFSET(cttba_vlvt1_1,0,-4,-ROW(cttba_vlvt1_1)+ROW(cttba_vltb1_1)-10))</f>
        <v>0</v>
      </c>
      <c r="G189" s="451">
        <f t="shared" ca="1" si="36"/>
        <v>0</v>
      </c>
      <c r="H189" s="450">
        <f t="shared" si="37"/>
        <v>0.2</v>
      </c>
      <c r="I189" s="447">
        <f t="shared" ca="1" si="38"/>
        <v>0</v>
      </c>
      <c r="J189" s="447">
        <f t="shared" ca="1" si="39"/>
        <v>0</v>
      </c>
      <c r="K189" s="373">
        <f t="shared" ca="1" si="40"/>
        <v>0</v>
      </c>
    </row>
    <row r="190" spans="1:11" s="45" customFormat="1" ht="15.75" hidden="1">
      <c r="A190" s="373" t="str">
        <f>IF(AND(COUNTIF($A$5:$A$133,R_DG!A63)=0,R_DG!R63&gt;0,ISNUMBER(R_DG!R63)),R_DG!A63,"NONE")</f>
        <v>B16100V</v>
      </c>
      <c r="B190" s="85">
        <f ca="1">IF(K190&gt;0,COUNTIF(K$6:K190,"&gt;0"),B189)</f>
        <v>3</v>
      </c>
      <c r="C190" s="1084" t="str">
        <f t="shared" si="34"/>
        <v>Boulon 16x100VRS+ 4 long đền vuông D18-50x50x3/Zn</v>
      </c>
      <c r="D190" s="85" t="str">
        <f t="shared" si="35"/>
        <v>bộ</v>
      </c>
      <c r="E190" s="448">
        <f ca="1">SUMIF(OFFSET(tongctvtdd1,0,-(COLUMN(E190)+7-(COLUMN(E190)-5)/2)),KLVT!$A190,tongctvtdd1)+SUMIF(OFFSET(tongctvtpk1,0,-(COLUMN(E190)+7-(COLUMN(E190)-5)/2)),KLVT!$A190,tongctvtpk1)</f>
        <v>0</v>
      </c>
      <c r="F190" s="449">
        <f ca="1">SUMIF(OFFSET(cttba_vlvt1_1,0,-9,-ROW(cttba_vlvt1_1)+ROW(cttba_vltb1_1)-10),KLVT!$A190,OFFSET(cttba_vlvt1_1,0,-4,-ROW(cttba_vlvt1_1)+ROW(cttba_vltb1_1)-10))</f>
        <v>0</v>
      </c>
      <c r="G190" s="451">
        <f t="shared" ca="1" si="36"/>
        <v>0</v>
      </c>
      <c r="H190" s="450">
        <f t="shared" si="37"/>
        <v>0.2</v>
      </c>
      <c r="I190" s="447">
        <f t="shared" ca="1" si="38"/>
        <v>0</v>
      </c>
      <c r="J190" s="447">
        <f t="shared" ca="1" si="39"/>
        <v>0</v>
      </c>
      <c r="K190" s="374">
        <f t="shared" ca="1" si="40"/>
        <v>0</v>
      </c>
    </row>
    <row r="191" spans="1:11" s="45" customFormat="1" ht="15.75" hidden="1">
      <c r="A191" s="373" t="str">
        <f>IF(AND(COUNTIF($A$5:$A$133,R_DG!A64)=0,R_DG!R64&gt;0,ISNUMBER(R_DG!R64)),R_DG!A64,"NONE")</f>
        <v>B16200V</v>
      </c>
      <c r="B191" s="85">
        <f ca="1">IF(K191&gt;0,COUNTIF(K$6:K191,"&gt;0"),B190)</f>
        <v>3</v>
      </c>
      <c r="C191" s="1084" t="str">
        <f t="shared" si="34"/>
        <v>Boulon 16x200VRS+ 4 long đền vuông D18-50x50x3/Zn</v>
      </c>
      <c r="D191" s="85" t="str">
        <f t="shared" si="35"/>
        <v>bộ</v>
      </c>
      <c r="E191" s="448">
        <f ca="1">SUMIF(OFFSET(tongctvtdd1,0,-(COLUMN(E191)+7-(COLUMN(E191)-5)/2)),KLVT!$A191,tongctvtdd1)+SUMIF(OFFSET(tongctvtpk1,0,-(COLUMN(E191)+7-(COLUMN(E191)-5)/2)),KLVT!$A191,tongctvtpk1)</f>
        <v>0</v>
      </c>
      <c r="F191" s="449">
        <f ca="1">SUMIF(OFFSET(cttba_vlvt1_1,0,-9,-ROW(cttba_vlvt1_1)+ROW(cttba_vltb1_1)-10),KLVT!$A191,OFFSET(cttba_vlvt1_1,0,-4,-ROW(cttba_vlvt1_1)+ROW(cttba_vltb1_1)-10))</f>
        <v>0</v>
      </c>
      <c r="G191" s="451">
        <f t="shared" ca="1" si="36"/>
        <v>0</v>
      </c>
      <c r="H191" s="450">
        <f t="shared" si="37"/>
        <v>0.2</v>
      </c>
      <c r="I191" s="447">
        <f t="shared" ca="1" si="38"/>
        <v>0</v>
      </c>
      <c r="J191" s="447">
        <f t="shared" ca="1" si="39"/>
        <v>0</v>
      </c>
      <c r="K191" s="374">
        <f t="shared" ca="1" si="40"/>
        <v>0</v>
      </c>
    </row>
    <row r="192" spans="1:11" s="45" customFormat="1" ht="15.75" hidden="1">
      <c r="A192" s="373" t="str">
        <f>IF(AND(COUNTIF($A$5:$A$133,R_DG!A65)=0,R_DG!R65&gt;0,ISNUMBER(R_DG!R65)),R_DG!A65,"NONE")</f>
        <v>B16250V</v>
      </c>
      <c r="B192" s="85">
        <f ca="1">IF(K192&gt;0,COUNTIF(K$6:K192,"&gt;0"),B191)</f>
        <v>3</v>
      </c>
      <c r="C192" s="1084" t="str">
        <f t="shared" si="34"/>
        <v>Boulon 16x250VRS+ 4 long đền vuông D18-50x50x3/Zn</v>
      </c>
      <c r="D192" s="85" t="str">
        <f t="shared" si="35"/>
        <v>bộ</v>
      </c>
      <c r="E192" s="448">
        <f ca="1">SUMIF(OFFSET(tongctvtdd1,0,-(COLUMN(E192)+7-(COLUMN(E192)-5)/2)),KLVT!$A192,tongctvtdd1)+SUMIF(OFFSET(tongctvtpk1,0,-(COLUMN(E192)+7-(COLUMN(E192)-5)/2)),KLVT!$A192,tongctvtpk1)</f>
        <v>0</v>
      </c>
      <c r="F192" s="449">
        <f ca="1">SUMIF(OFFSET(cttba_vlvt1_1,0,-9,-ROW(cttba_vlvt1_1)+ROW(cttba_vltb1_1)-10),KLVT!$A192,OFFSET(cttba_vlvt1_1,0,-4,-ROW(cttba_vlvt1_1)+ROW(cttba_vltb1_1)-10))</f>
        <v>0</v>
      </c>
      <c r="G192" s="451">
        <f t="shared" ca="1" si="36"/>
        <v>0</v>
      </c>
      <c r="H192" s="450">
        <f t="shared" si="37"/>
        <v>0.3</v>
      </c>
      <c r="I192" s="447">
        <f t="shared" ca="1" si="38"/>
        <v>0</v>
      </c>
      <c r="J192" s="447">
        <f t="shared" ca="1" si="39"/>
        <v>0</v>
      </c>
      <c r="K192" s="374">
        <f t="shared" ca="1" si="40"/>
        <v>0</v>
      </c>
    </row>
    <row r="193" spans="1:11" s="45" customFormat="1" hidden="1">
      <c r="A193" s="373" t="str">
        <f>IF(AND(COUNTIF($A$5:$A$133,R_DG!A66)=0,R_DG!R66&gt;0,ISNUMBER(R_DG!R66)),R_DG!A66,"NONE")</f>
        <v>B16300V</v>
      </c>
      <c r="B193" s="85">
        <f ca="1">IF(K193&gt;0,COUNTIF(K$6:K193,"&gt;0"),B192)</f>
        <v>3</v>
      </c>
      <c r="C193" s="1084" t="str">
        <f t="shared" si="34"/>
        <v>Boulon 16x300VRS+ 4 long đền vuông D18-50x50x3/Zn</v>
      </c>
      <c r="D193" s="85" t="str">
        <f t="shared" si="35"/>
        <v>bộ</v>
      </c>
      <c r="E193" s="448">
        <f ca="1">SUMIF(OFFSET(tongctvtdd1,0,-(COLUMN(E193)+7-(COLUMN(E193)-5)/2)),KLVT!$A193,tongctvtdd1)+SUMIF(OFFSET(tongctvtpk1,0,-(COLUMN(E193)+7-(COLUMN(E193)-5)/2)),KLVT!$A193,tongctvtpk1)</f>
        <v>0</v>
      </c>
      <c r="F193" s="449">
        <f ca="1">SUMIF(OFFSET(cttba_vlvt1_1,0,-9,-ROW(cttba_vlvt1_1)+ROW(cttba_vltb1_1)-10),KLVT!$A193,OFFSET(cttba_vlvt1_1,0,-4,-ROW(cttba_vlvt1_1)+ROW(cttba_vltb1_1)-10))</f>
        <v>0</v>
      </c>
      <c r="G193" s="451">
        <f t="shared" ca="1" si="36"/>
        <v>0</v>
      </c>
      <c r="H193" s="450">
        <f t="shared" si="37"/>
        <v>0.3</v>
      </c>
      <c r="I193" s="447">
        <f t="shared" ca="1" si="38"/>
        <v>0</v>
      </c>
      <c r="J193" s="447">
        <f t="shared" ca="1" si="39"/>
        <v>0</v>
      </c>
      <c r="K193" s="1094">
        <f t="shared" ca="1" si="40"/>
        <v>0</v>
      </c>
    </row>
    <row r="194" spans="1:11" s="45" customFormat="1" ht="15.75" hidden="1">
      <c r="A194" s="373" t="str">
        <f>IF(AND(COUNTIF($A$5:$A$133,R_DG!A67)=0,R_DG!R67&gt;0,ISNUMBER(R_DG!R67)),R_DG!A67,"NONE")</f>
        <v>B16350V</v>
      </c>
      <c r="B194" s="85">
        <f ca="1">IF(K194&gt;0,COUNTIF(K$6:K194,"&gt;0"),B193)</f>
        <v>3</v>
      </c>
      <c r="C194" s="1084" t="str">
        <f t="shared" ref="C194:C254" si="50">VLOOKUP(A194,DONGIA,3,0)</f>
        <v>Boulon 16x350VRS+ 4 long đền vuông D18-50x50x3/Zn</v>
      </c>
      <c r="D194" s="85" t="str">
        <f t="shared" ref="D194:D254" si="51">VLOOKUP(A194,DONGIA,4,0)</f>
        <v>bộ</v>
      </c>
      <c r="E194" s="448">
        <f ca="1">SUMIF(OFFSET(tongctvtdd1,0,-(COLUMN(E194)+7-(COLUMN(E194)-5)/2)),KLVT!$A194,tongctvtdd1)+SUMIF(OFFSET(tongctvtpk1,0,-(COLUMN(E194)+7-(COLUMN(E194)-5)/2)),KLVT!$A194,tongctvtpk1)</f>
        <v>0</v>
      </c>
      <c r="F194" s="449">
        <f ca="1">SUMIF(OFFSET(cttba_vlvt1_1,0,-9,-ROW(cttba_vlvt1_1)+ROW(cttba_vltb1_1)-10),KLVT!$A194,OFFSET(cttba_vlvt1_1,0,-4,-ROW(cttba_vlvt1_1)+ROW(cttba_vltb1_1)-10))</f>
        <v>0</v>
      </c>
      <c r="G194" s="451">
        <f t="shared" ca="1" si="36"/>
        <v>0</v>
      </c>
      <c r="H194" s="450">
        <f t="shared" si="37"/>
        <v>0.35</v>
      </c>
      <c r="I194" s="447">
        <f t="shared" ca="1" si="38"/>
        <v>0</v>
      </c>
      <c r="J194" s="447">
        <f t="shared" ca="1" si="39"/>
        <v>0</v>
      </c>
      <c r="K194" s="374">
        <f t="shared" ref="K194:K254" ca="1" si="52">IF(G194&gt;0,1,0)</f>
        <v>0</v>
      </c>
    </row>
    <row r="195" spans="1:11" ht="15.75">
      <c r="A195" s="1251" t="str">
        <f>IF(AND(COUNTIF($A$5:$A$133,R_DG!A68)=0,R_DG!R68&gt;0,ISNUMBER(R_DG!R68)),R_DG!A68,"NONE")</f>
        <v>B16400V</v>
      </c>
      <c r="B195" s="438">
        <f ca="1">IF(K195&gt;0,COUNTIF(K$6:K195,"&gt;0"),B194)</f>
        <v>4</v>
      </c>
      <c r="C195" s="1278" t="str">
        <f t="shared" si="50"/>
        <v>Boulon 16x400VRS+ 4 long đền vuông D18-50x50x3/Zn</v>
      </c>
      <c r="D195" s="438" t="str">
        <f t="shared" si="51"/>
        <v>bộ</v>
      </c>
      <c r="E195" s="1276">
        <f ca="1">SUMIF(OFFSET(tongctvtdd1,0,-(COLUMN(E195)+7-(COLUMN(E195)-5)/2)),KLVT!$A195,tongctvtdd1)+SUMIF(OFFSET(tongctvtpk1,0,-(COLUMN(E195)+7-(COLUMN(E195)-5)/2)),KLVT!$A195,tongctvtpk1)</f>
        <v>1</v>
      </c>
      <c r="F195" s="1277">
        <f ca="1">SUMIF(OFFSET(cttba_vlvt1_1,0,-9,-ROW(cttba_vlvt1_1)+ROW(cttba_vltb1_1)-10),KLVT!$A195,OFFSET(cttba_vlvt1_1,0,-4,-ROW(cttba_vlvt1_1)+ROW(cttba_vltb1_1)-10))</f>
        <v>0</v>
      </c>
      <c r="G195" s="1277">
        <f t="shared" ca="1" si="36"/>
        <v>1</v>
      </c>
      <c r="H195" s="1274">
        <f t="shared" si="37"/>
        <v>0.4</v>
      </c>
      <c r="I195" s="1279">
        <f t="shared" ca="1" si="38"/>
        <v>0.4</v>
      </c>
      <c r="J195" s="1279">
        <f t="shared" ca="1" si="39"/>
        <v>0</v>
      </c>
      <c r="K195" s="437">
        <f t="shared" ca="1" si="52"/>
        <v>1</v>
      </c>
    </row>
    <row r="196" spans="1:11">
      <c r="A196" s="1251" t="str">
        <f>IF(AND(COUNTIF($A$5:$A$133,R_DG!A69)=0,R_DG!R69&gt;0,ISNUMBER(R_DG!R69)),R_DG!A69,"NONE")</f>
        <v>B16450V</v>
      </c>
      <c r="B196" s="438">
        <f ca="1">IF(K196&gt;0,COUNTIF(K$6:K196,"&gt;0"),B195)</f>
        <v>5</v>
      </c>
      <c r="C196" s="1278" t="str">
        <f t="shared" si="50"/>
        <v>Boulon 16x450VRS+ 4 long đền vuông D18-50x50x3/Zn</v>
      </c>
      <c r="D196" s="438" t="str">
        <f t="shared" si="51"/>
        <v>bộ</v>
      </c>
      <c r="E196" s="1276">
        <f ca="1">SUMIF(OFFSET(tongctvtdd1,0,-(COLUMN(E196)+7-(COLUMN(E196)-5)/2)),KLVT!$A196,tongctvtdd1)+SUMIF(OFFSET(tongctvtpk1,0,-(COLUMN(E196)+7-(COLUMN(E196)-5)/2)),KLVT!$A196,tongctvtpk1)</f>
        <v>5</v>
      </c>
      <c r="F196" s="1277">
        <f ca="1">SUMIF(OFFSET(cttba_vlvt1_1,0,-9,-ROW(cttba_vlvt1_1)+ROW(cttba_vltb1_1)-10),KLVT!$A196,OFFSET(cttba_vlvt1_1,0,-4,-ROW(cttba_vlvt1_1)+ROW(cttba_vltb1_1)-10))</f>
        <v>0</v>
      </c>
      <c r="G196" s="1277">
        <f t="shared" ca="1" si="36"/>
        <v>5</v>
      </c>
      <c r="H196" s="1274">
        <f t="shared" si="37"/>
        <v>0.4</v>
      </c>
      <c r="I196" s="1279">
        <f t="shared" ca="1" si="38"/>
        <v>2</v>
      </c>
      <c r="J196" s="1279">
        <f t="shared" ca="1" si="39"/>
        <v>0</v>
      </c>
      <c r="K196" s="1268">
        <f t="shared" ca="1" si="52"/>
        <v>1</v>
      </c>
    </row>
    <row r="197" spans="1:11">
      <c r="A197" s="1251" t="str">
        <f>IF(AND(COUNTIF($A$5:$A$133,R_DG!A70)=0,R_DG!R70&gt;0,ISNUMBER(R_DG!R70)),R_DG!A70,"NONE")</f>
        <v>B16500V</v>
      </c>
      <c r="B197" s="438">
        <f ca="1">IF(K197&gt;0,COUNTIF(K$6:K197,"&gt;0"),B196)</f>
        <v>6</v>
      </c>
      <c r="C197" s="1278" t="str">
        <f t="shared" si="50"/>
        <v>Boulon 16x500VRS+ 4 long đền vuông D18-50x50x3/Zn</v>
      </c>
      <c r="D197" s="438" t="str">
        <f t="shared" si="51"/>
        <v>bộ</v>
      </c>
      <c r="E197" s="1276">
        <f ca="1">SUMIF(OFFSET(tongctvtdd1,0,-(COLUMN(E197)+7-(COLUMN(E197)-5)/2)),KLVT!$A197,tongctvtdd1)+SUMIF(OFFSET(tongctvtpk1,0,-(COLUMN(E197)+7-(COLUMN(E197)-5)/2)),KLVT!$A197,tongctvtpk1)</f>
        <v>5</v>
      </c>
      <c r="F197" s="1277">
        <f ca="1">SUMIF(OFFSET(cttba_vlvt1_1,0,-9,-ROW(cttba_vlvt1_1)+ROW(cttba_vltb1_1)-10),KLVT!$A197,OFFSET(cttba_vlvt1_1,0,-4,-ROW(cttba_vlvt1_1)+ROW(cttba_vltb1_1)-10))</f>
        <v>0</v>
      </c>
      <c r="G197" s="1277">
        <f t="shared" ca="1" si="36"/>
        <v>5</v>
      </c>
      <c r="H197" s="1274">
        <f t="shared" si="37"/>
        <v>0.5</v>
      </c>
      <c r="I197" s="1279">
        <f t="shared" ca="1" si="38"/>
        <v>2.5</v>
      </c>
      <c r="J197" s="1279">
        <f t="shared" ca="1" si="39"/>
        <v>0</v>
      </c>
      <c r="K197" s="1268">
        <f t="shared" ca="1" si="52"/>
        <v>1</v>
      </c>
    </row>
    <row r="198" spans="1:11">
      <c r="A198" s="1251" t="str">
        <f>IF(AND(COUNTIF($A$5:$A$133,R_DG!A71)=0,R_DG!R71&gt;0,ISNUMBER(R_DG!R71)),R_DG!A71,"NONE")</f>
        <v>B16550V</v>
      </c>
      <c r="B198" s="438">
        <f ca="1">IF(K198&gt;0,COUNTIF(K$6:K198,"&gt;0"),B197)</f>
        <v>7</v>
      </c>
      <c r="C198" s="1278" t="str">
        <f t="shared" si="50"/>
        <v>Boulon 16x550VRS+ 4 long đền vuông D18-50x50x3/Zn</v>
      </c>
      <c r="D198" s="438" t="str">
        <f t="shared" si="51"/>
        <v>bộ</v>
      </c>
      <c r="E198" s="1276">
        <f ca="1">SUMIF(OFFSET(tongctvtdd1,0,-(COLUMN(E198)+7-(COLUMN(E198)-5)/2)),KLVT!$A198,tongctvtdd1)+SUMIF(OFFSET(tongctvtpk1,0,-(COLUMN(E198)+7-(COLUMN(E198)-5)/2)),KLVT!$A198,tongctvtpk1)</f>
        <v>4</v>
      </c>
      <c r="F198" s="1277">
        <f ca="1">SUMIF(OFFSET(cttba_vlvt1_1,0,-9,-ROW(cttba_vlvt1_1)+ROW(cttba_vltb1_1)-10),KLVT!$A198,OFFSET(cttba_vlvt1_1,0,-4,-ROW(cttba_vlvt1_1)+ROW(cttba_vltb1_1)-10))</f>
        <v>0</v>
      </c>
      <c r="G198" s="1277">
        <f t="shared" ref="G198:G261" ca="1" si="53">SUM(E198:F198)</f>
        <v>4</v>
      </c>
      <c r="H198" s="1274">
        <f t="shared" ref="H198:H261" si="54">VLOOKUP(A198,DONGIA,18,0)</f>
        <v>0.5</v>
      </c>
      <c r="I198" s="1279">
        <f t="shared" ref="I198:I261" ca="1" si="55">E198*$H198</f>
        <v>2</v>
      </c>
      <c r="J198" s="1279">
        <f t="shared" ref="J198:J261" ca="1" si="56">F198*$H198</f>
        <v>0</v>
      </c>
      <c r="K198" s="1268">
        <f t="shared" ca="1" si="52"/>
        <v>1</v>
      </c>
    </row>
    <row r="199" spans="1:11">
      <c r="A199" s="1251" t="str">
        <f>IF(AND(COUNTIF($A$5:$A$133,R_DG!A72)=0,R_DG!R72&gt;0,ISNUMBER(R_DG!R72)),R_DG!A72,"NONE")</f>
        <v>B16600V</v>
      </c>
      <c r="B199" s="438">
        <f ca="1">IF(K199&gt;0,COUNTIF(K$6:K199,"&gt;0"),B198)</f>
        <v>8</v>
      </c>
      <c r="C199" s="1278" t="str">
        <f t="shared" si="50"/>
        <v>Boulon 16x600VRS+ 4 long đền vuông D18-50x50x3/Zn</v>
      </c>
      <c r="D199" s="438" t="str">
        <f t="shared" si="51"/>
        <v>bộ</v>
      </c>
      <c r="E199" s="1276">
        <f ca="1">SUMIF(OFFSET(tongctvtdd1,0,-(COLUMN(E199)+7-(COLUMN(E199)-5)/2)),KLVT!$A199,tongctvtdd1)+SUMIF(OFFSET(tongctvtpk1,0,-(COLUMN(E199)+7-(COLUMN(E199)-5)/2)),KLVT!$A199,tongctvtpk1)</f>
        <v>4</v>
      </c>
      <c r="F199" s="1277">
        <f ca="1">SUMIF(OFFSET(cttba_vlvt1_1,0,-9,-ROW(cttba_vlvt1_1)+ROW(cttba_vltb1_1)-10),KLVT!$A199,OFFSET(cttba_vlvt1_1,0,-4,-ROW(cttba_vlvt1_1)+ROW(cttba_vltb1_1)-10))</f>
        <v>0</v>
      </c>
      <c r="G199" s="1277">
        <f t="shared" ca="1" si="53"/>
        <v>4</v>
      </c>
      <c r="H199" s="1274">
        <f t="shared" si="54"/>
        <v>0.5</v>
      </c>
      <c r="I199" s="1279">
        <f t="shared" ca="1" si="55"/>
        <v>2</v>
      </c>
      <c r="J199" s="1279">
        <f t="shared" ca="1" si="56"/>
        <v>0</v>
      </c>
      <c r="K199" s="1268">
        <f t="shared" ca="1" si="52"/>
        <v>1</v>
      </c>
    </row>
    <row r="200" spans="1:11">
      <c r="A200" s="1251" t="str">
        <f>IF(AND(COUNTIF($A$5:$A$133,R_DG!A73)=0,R_DG!R73&gt;0,ISNUMBER(R_DG!R73)),R_DG!A73,"NONE")</f>
        <v>B16650V</v>
      </c>
      <c r="B200" s="438">
        <f ca="1">IF(K200&gt;0,COUNTIF(K$6:K200,"&gt;0"),B199)</f>
        <v>9</v>
      </c>
      <c r="C200" s="1278" t="str">
        <f t="shared" si="50"/>
        <v>Boulon 16x650VRS+ 4 long đền vuông D18-50x50x3/Zn</v>
      </c>
      <c r="D200" s="438" t="str">
        <f t="shared" si="51"/>
        <v>bộ</v>
      </c>
      <c r="E200" s="1276">
        <f ca="1">SUMIF(OFFSET(tongctvtdd1,0,-(COLUMN(E200)+7-(COLUMN(E200)-5)/2)),KLVT!$A200,tongctvtdd1)+SUMIF(OFFSET(tongctvtpk1,0,-(COLUMN(E200)+7-(COLUMN(E200)-5)/2)),KLVT!$A200,tongctvtpk1)</f>
        <v>4</v>
      </c>
      <c r="F200" s="1277">
        <f ca="1">SUMIF(OFFSET(cttba_vlvt1_1,0,-9,-ROW(cttba_vlvt1_1)+ROW(cttba_vltb1_1)-10),KLVT!$A200,OFFSET(cttba_vlvt1_1,0,-4,-ROW(cttba_vlvt1_1)+ROW(cttba_vltb1_1)-10))</f>
        <v>0</v>
      </c>
      <c r="G200" s="1277">
        <f t="shared" ca="1" si="53"/>
        <v>4</v>
      </c>
      <c r="H200" s="1274">
        <f t="shared" si="54"/>
        <v>0.5</v>
      </c>
      <c r="I200" s="1279">
        <f t="shared" ca="1" si="55"/>
        <v>2</v>
      </c>
      <c r="J200" s="1279">
        <f t="shared" ca="1" si="56"/>
        <v>0</v>
      </c>
      <c r="K200" s="1268">
        <f t="shared" ca="1" si="52"/>
        <v>1</v>
      </c>
    </row>
    <row r="201" spans="1:11">
      <c r="A201" s="1251" t="str">
        <f>IF(AND(COUNTIF($A$5:$A$133,R_DG!A74)=0,R_DG!R74&gt;0,ISNUMBER(R_DG!R74)),R_DG!A74,"NONE")</f>
        <v>B16700V</v>
      </c>
      <c r="B201" s="438">
        <f ca="1">IF(K201&gt;0,COUNTIF(K$6:K201,"&gt;0"),B200)</f>
        <v>10</v>
      </c>
      <c r="C201" s="1278" t="str">
        <f t="shared" si="50"/>
        <v>Boulon 16x700VRS+ 4 long đền vuông D18-50x50x3/Zn</v>
      </c>
      <c r="D201" s="438" t="str">
        <f t="shared" si="51"/>
        <v>bộ</v>
      </c>
      <c r="E201" s="1276">
        <f ca="1">SUMIF(OFFSET(tongctvtdd1,0,-(COLUMN(E201)+7-(COLUMN(E201)-5)/2)),KLVT!$A201,tongctvtdd1)+SUMIF(OFFSET(tongctvtpk1,0,-(COLUMN(E201)+7-(COLUMN(E201)-5)/2)),KLVT!$A201,tongctvtpk1)</f>
        <v>4</v>
      </c>
      <c r="F201" s="1277">
        <f ca="1">SUMIF(OFFSET(cttba_vlvt1_1,0,-9,-ROW(cttba_vlvt1_1)+ROW(cttba_vltb1_1)-10),KLVT!$A201,OFFSET(cttba_vlvt1_1,0,-4,-ROW(cttba_vlvt1_1)+ROW(cttba_vltb1_1)-10))</f>
        <v>0</v>
      </c>
      <c r="G201" s="1277">
        <f t="shared" ca="1" si="53"/>
        <v>4</v>
      </c>
      <c r="H201" s="1274">
        <f t="shared" si="54"/>
        <v>0.7</v>
      </c>
      <c r="I201" s="1279">
        <f t="shared" ca="1" si="55"/>
        <v>2.8</v>
      </c>
      <c r="J201" s="1279">
        <f t="shared" ca="1" si="56"/>
        <v>0</v>
      </c>
      <c r="K201" s="1268">
        <f t="shared" ca="1" si="52"/>
        <v>1</v>
      </c>
    </row>
    <row r="202" spans="1:11" s="45" customFormat="1" ht="15.75" hidden="1">
      <c r="A202" s="373" t="str">
        <f>IF(AND(COUNTIF($A$5:$A$133,R_DG!A75)=0,R_DG!R75&gt;0,ISNUMBER(R_DG!R75)),R_DG!A75,"NONE")</f>
        <v>B16750V</v>
      </c>
      <c r="B202" s="85">
        <f ca="1">IF(K202&gt;0,COUNTIF(K$6:K202,"&gt;0"),B201)</f>
        <v>10</v>
      </c>
      <c r="C202" s="1084" t="str">
        <f t="shared" si="50"/>
        <v>Boulon 16x750VRS+ 4 long đền vuông D18-50x50x3/Zn</v>
      </c>
      <c r="D202" s="85" t="str">
        <f t="shared" si="51"/>
        <v>bộ</v>
      </c>
      <c r="E202" s="448">
        <f ca="1">SUMIF(OFFSET(tongctvtdd1,0,-(COLUMN(E202)+7-(COLUMN(E202)-5)/2)),KLVT!$A202,tongctvtdd1)+SUMIF(OFFSET(tongctvtpk1,0,-(COLUMN(E202)+7-(COLUMN(E202)-5)/2)),KLVT!$A202,tongctvtpk1)</f>
        <v>0</v>
      </c>
      <c r="F202" s="449">
        <f ca="1">SUMIF(OFFSET(cttba_vlvt1_1,0,-9,-ROW(cttba_vlvt1_1)+ROW(cttba_vltb1_1)-10),KLVT!$A202,OFFSET(cttba_vlvt1_1,0,-4,-ROW(cttba_vlvt1_1)+ROW(cttba_vltb1_1)-10))</f>
        <v>0</v>
      </c>
      <c r="G202" s="451">
        <f t="shared" ca="1" si="53"/>
        <v>0</v>
      </c>
      <c r="H202" s="450">
        <f t="shared" si="54"/>
        <v>0.7</v>
      </c>
      <c r="I202" s="447">
        <f t="shared" ca="1" si="55"/>
        <v>0</v>
      </c>
      <c r="J202" s="447">
        <f t="shared" ca="1" si="56"/>
        <v>0</v>
      </c>
      <c r="K202" s="374">
        <f t="shared" ca="1" si="52"/>
        <v>0</v>
      </c>
    </row>
    <row r="203" spans="1:11" s="45" customFormat="1" ht="15.75" hidden="1">
      <c r="A203" s="373" t="str">
        <f>IF(AND(COUNTIF($A$5:$A$133,R_DG!A76)=0,R_DG!R76&gt;0,ISNUMBER(R_DG!R76)),R_DG!A76,"NONE")</f>
        <v>B22450</v>
      </c>
      <c r="B203" s="85">
        <f ca="1">IF(K203&gt;0,COUNTIF(K$6:K203,"&gt;0"),B202)</f>
        <v>10</v>
      </c>
      <c r="C203" s="1084" t="str">
        <f t="shared" si="50"/>
        <v>Boulon 22x450+ 2 long đền vuông D24-50x50x3/Zn</v>
      </c>
      <c r="D203" s="85" t="str">
        <f t="shared" si="51"/>
        <v>bộ</v>
      </c>
      <c r="E203" s="448">
        <f ca="1">SUMIF(OFFSET(tongctvtdd1,0,-(COLUMN(E203)+7-(COLUMN(E203)-5)/2)),KLVT!$A203,tongctvtdd1)+SUMIF(OFFSET(tongctvtpk1,0,-(COLUMN(E203)+7-(COLUMN(E203)-5)/2)),KLVT!$A203,tongctvtpk1)</f>
        <v>0</v>
      </c>
      <c r="F203" s="449">
        <f ca="1">SUMIF(OFFSET(cttba_vlvt1_1,0,-9,-ROW(cttba_vlvt1_1)+ROW(cttba_vltb1_1)-10),KLVT!$A203,OFFSET(cttba_vlvt1_1,0,-4,-ROW(cttba_vlvt1_1)+ROW(cttba_vltb1_1)-10))</f>
        <v>0</v>
      </c>
      <c r="G203" s="451">
        <f t="shared" ca="1" si="53"/>
        <v>0</v>
      </c>
      <c r="H203" s="450">
        <f t="shared" si="54"/>
        <v>0.6</v>
      </c>
      <c r="I203" s="447">
        <f t="shared" ca="1" si="55"/>
        <v>0</v>
      </c>
      <c r="J203" s="447">
        <f t="shared" ca="1" si="56"/>
        <v>0</v>
      </c>
      <c r="K203" s="373">
        <f t="shared" ca="1" si="52"/>
        <v>0</v>
      </c>
    </row>
    <row r="204" spans="1:11" s="45" customFormat="1" ht="15.75" hidden="1">
      <c r="A204" s="373" t="str">
        <f>IF(AND(COUNTIF($A$5:$A$133,R_DG!A77)=0,R_DG!R77&gt;0,ISNUMBER(R_DG!R77)),R_DG!A77,"NONE")</f>
        <v>B22500</v>
      </c>
      <c r="B204" s="85">
        <f ca="1">IF(K204&gt;0,COUNTIF(K$6:K204,"&gt;0"),B203)</f>
        <v>10</v>
      </c>
      <c r="C204" s="1084" t="str">
        <f t="shared" si="50"/>
        <v>Boulon 22x500+ 2 long đền vuông D24-50x50x3/Zn</v>
      </c>
      <c r="D204" s="85" t="str">
        <f t="shared" si="51"/>
        <v>bộ</v>
      </c>
      <c r="E204" s="448">
        <f ca="1">SUMIF(OFFSET(tongctvtdd1,0,-(COLUMN(E204)+7-(COLUMN(E204)-5)/2)),KLVT!$A204,tongctvtdd1)+SUMIF(OFFSET(tongctvtpk1,0,-(COLUMN(E204)+7-(COLUMN(E204)-5)/2)),KLVT!$A204,tongctvtpk1)</f>
        <v>0</v>
      </c>
      <c r="F204" s="449">
        <f ca="1">SUMIF(OFFSET(cttba_vlvt1_1,0,-9,-ROW(cttba_vlvt1_1)+ROW(cttba_vltb1_1)-10),KLVT!$A204,OFFSET(cttba_vlvt1_1,0,-4,-ROW(cttba_vlvt1_1)+ROW(cttba_vltb1_1)-10))</f>
        <v>0</v>
      </c>
      <c r="G204" s="451">
        <f t="shared" ca="1" si="53"/>
        <v>0</v>
      </c>
      <c r="H204" s="450">
        <f t="shared" si="54"/>
        <v>0.6</v>
      </c>
      <c r="I204" s="447">
        <f t="shared" ca="1" si="55"/>
        <v>0</v>
      </c>
      <c r="J204" s="447">
        <f t="shared" ca="1" si="56"/>
        <v>0</v>
      </c>
      <c r="K204" s="373">
        <f t="shared" ca="1" si="52"/>
        <v>0</v>
      </c>
    </row>
    <row r="205" spans="1:11" s="45" customFormat="1" ht="15.75" hidden="1">
      <c r="A205" s="373" t="str">
        <f>IF(AND(COUNTIF($A$5:$A$133,R_DG!A78)=0,R_DG!R78&gt;0,ISNUMBER(R_DG!R78)),R_DG!A78,"NONE")</f>
        <v>B22550</v>
      </c>
      <c r="B205" s="85">
        <f ca="1">IF(K205&gt;0,COUNTIF(K$6:K205,"&gt;0"),B204)</f>
        <v>10</v>
      </c>
      <c r="C205" s="1084" t="str">
        <f t="shared" si="50"/>
        <v>Boulon 22x550+ 2 long đền vuông D24-50x50x3/Zn</v>
      </c>
      <c r="D205" s="85" t="str">
        <f t="shared" si="51"/>
        <v>bộ</v>
      </c>
      <c r="E205" s="448">
        <f ca="1">SUMIF(OFFSET(tongctvtdd1,0,-(COLUMN(E205)+7-(COLUMN(E205)-5)/2)),KLVT!$A205,tongctvtdd1)+SUMIF(OFFSET(tongctvtpk1,0,-(COLUMN(E205)+7-(COLUMN(E205)-5)/2)),KLVT!$A205,tongctvtpk1)</f>
        <v>0</v>
      </c>
      <c r="F205" s="449">
        <f ca="1">SUMIF(OFFSET(cttba_vlvt1_1,0,-9,-ROW(cttba_vlvt1_1)+ROW(cttba_vltb1_1)-10),KLVT!$A205,OFFSET(cttba_vlvt1_1,0,-4,-ROW(cttba_vlvt1_1)+ROW(cttba_vltb1_1)-10))</f>
        <v>0</v>
      </c>
      <c r="G205" s="451">
        <f t="shared" ca="1" si="53"/>
        <v>0</v>
      </c>
      <c r="H205" s="450">
        <f t="shared" si="54"/>
        <v>0.6</v>
      </c>
      <c r="I205" s="447">
        <f t="shared" ca="1" si="55"/>
        <v>0</v>
      </c>
      <c r="J205" s="447">
        <f t="shared" ca="1" si="56"/>
        <v>0</v>
      </c>
      <c r="K205" s="373">
        <f t="shared" ca="1" si="52"/>
        <v>0</v>
      </c>
    </row>
    <row r="206" spans="1:11" s="45" customFormat="1" ht="15.75" hidden="1">
      <c r="A206" s="373" t="str">
        <f>IF(AND(COUNTIF($A$5:$A$133,R_DG!A79)=0,R_DG!R79&gt;0,ISNUMBER(R_DG!R79)),R_DG!A79,"NONE")</f>
        <v>B22600</v>
      </c>
      <c r="B206" s="85">
        <f ca="1">IF(K206&gt;0,COUNTIF(K$6:K206,"&gt;0"),B205)</f>
        <v>10</v>
      </c>
      <c r="C206" s="1084" t="str">
        <f t="shared" si="50"/>
        <v>Boulon 22x600+ 2 long đền vuông D24-50x50x3/Zn</v>
      </c>
      <c r="D206" s="85" t="str">
        <f t="shared" si="51"/>
        <v>bộ</v>
      </c>
      <c r="E206" s="448">
        <f ca="1">SUMIF(OFFSET(tongctvtdd1,0,-(COLUMN(E206)+7-(COLUMN(E206)-5)/2)),KLVT!$A206,tongctvtdd1)+SUMIF(OFFSET(tongctvtpk1,0,-(COLUMN(E206)+7-(COLUMN(E206)-5)/2)),KLVT!$A206,tongctvtpk1)</f>
        <v>0</v>
      </c>
      <c r="F206" s="449">
        <f ca="1">SUMIF(OFFSET(cttba_vlvt1_1,0,-9,-ROW(cttba_vlvt1_1)+ROW(cttba_vltb1_1)-10),KLVT!$A206,OFFSET(cttba_vlvt1_1,0,-4,-ROW(cttba_vlvt1_1)+ROW(cttba_vltb1_1)-10))</f>
        <v>0</v>
      </c>
      <c r="G206" s="451">
        <f t="shared" ca="1" si="53"/>
        <v>0</v>
      </c>
      <c r="H206" s="450">
        <f t="shared" si="54"/>
        <v>0.6</v>
      </c>
      <c r="I206" s="447">
        <f t="shared" ca="1" si="55"/>
        <v>0</v>
      </c>
      <c r="J206" s="447">
        <f t="shared" ca="1" si="56"/>
        <v>0</v>
      </c>
      <c r="K206" s="373">
        <f t="shared" ca="1" si="52"/>
        <v>0</v>
      </c>
    </row>
    <row r="207" spans="1:11" s="45" customFormat="1" ht="15.75" hidden="1">
      <c r="A207" s="373" t="str">
        <f>IF(AND(COUNTIF($A$5:$A$133,R_DG!A80)=0,R_DG!R80&gt;0,ISNUMBER(R_DG!R80)),R_DG!A80,"NONE")</f>
        <v>B22650</v>
      </c>
      <c r="B207" s="85">
        <f ca="1">IF(K207&gt;0,COUNTIF(K$6:K207,"&gt;0"),B206)</f>
        <v>10</v>
      </c>
      <c r="C207" s="1084" t="str">
        <f t="shared" si="50"/>
        <v>Boulon 22x650+ 2 long đền vuông D24-50x50x3/Zn</v>
      </c>
      <c r="D207" s="85" t="str">
        <f t="shared" si="51"/>
        <v>bộ</v>
      </c>
      <c r="E207" s="448">
        <f ca="1">SUMIF(OFFSET(tongctvtdd1,0,-(COLUMN(E207)+7-(COLUMN(E207)-5)/2)),KLVT!$A207,tongctvtdd1)+SUMIF(OFFSET(tongctvtpk1,0,-(COLUMN(E207)+7-(COLUMN(E207)-5)/2)),KLVT!$A207,tongctvtpk1)</f>
        <v>0</v>
      </c>
      <c r="F207" s="449">
        <f ca="1">SUMIF(OFFSET(cttba_vlvt1_1,0,-9,-ROW(cttba_vlvt1_1)+ROW(cttba_vltb1_1)-10),KLVT!$A207,OFFSET(cttba_vlvt1_1,0,-4,-ROW(cttba_vlvt1_1)+ROW(cttba_vltb1_1)-10))</f>
        <v>0</v>
      </c>
      <c r="G207" s="451">
        <f t="shared" ca="1" si="53"/>
        <v>0</v>
      </c>
      <c r="H207" s="450">
        <f t="shared" si="54"/>
        <v>0.6</v>
      </c>
      <c r="I207" s="447">
        <f t="shared" ca="1" si="55"/>
        <v>0</v>
      </c>
      <c r="J207" s="447">
        <f t="shared" ca="1" si="56"/>
        <v>0</v>
      </c>
      <c r="K207" s="373">
        <f t="shared" ca="1" si="52"/>
        <v>0</v>
      </c>
    </row>
    <row r="208" spans="1:11" s="45" customFormat="1" ht="15.75" hidden="1">
      <c r="A208" s="373" t="str">
        <f>IF(AND(COUNTIF($A$5:$A$133,R_DG!A81)=0,R_DG!R81&gt;0,ISNUMBER(R_DG!R81)),R_DG!A81,"NONE")</f>
        <v>B22700</v>
      </c>
      <c r="B208" s="85">
        <f ca="1">IF(K208&gt;0,COUNTIF(K$6:K208,"&gt;0"),B207)</f>
        <v>10</v>
      </c>
      <c r="C208" s="1084" t="str">
        <f t="shared" si="50"/>
        <v>Boulon 22x700+ 2 long đền vuông D24-50x50x3/Zn</v>
      </c>
      <c r="D208" s="85" t="str">
        <f t="shared" si="51"/>
        <v>bộ</v>
      </c>
      <c r="E208" s="448">
        <f ca="1">SUMIF(OFFSET(tongctvtdd1,0,-(COLUMN(E208)+7-(COLUMN(E208)-5)/2)),KLVT!$A208,tongctvtdd1)+SUMIF(OFFSET(tongctvtpk1,0,-(COLUMN(E208)+7-(COLUMN(E208)-5)/2)),KLVT!$A208,tongctvtpk1)</f>
        <v>0</v>
      </c>
      <c r="F208" s="449">
        <f ca="1">SUMIF(OFFSET(cttba_vlvt1_1,0,-9,-ROW(cttba_vlvt1_1)+ROW(cttba_vltb1_1)-10),KLVT!$A208,OFFSET(cttba_vlvt1_1,0,-4,-ROW(cttba_vlvt1_1)+ROW(cttba_vltb1_1)-10))</f>
        <v>0</v>
      </c>
      <c r="G208" s="451">
        <f t="shared" ca="1" si="53"/>
        <v>0</v>
      </c>
      <c r="H208" s="450">
        <f t="shared" si="54"/>
        <v>1</v>
      </c>
      <c r="I208" s="447">
        <f t="shared" ca="1" si="55"/>
        <v>0</v>
      </c>
      <c r="J208" s="447">
        <f t="shared" ca="1" si="56"/>
        <v>0</v>
      </c>
      <c r="K208" s="374">
        <f t="shared" ca="1" si="52"/>
        <v>0</v>
      </c>
    </row>
    <row r="209" spans="1:11" s="45" customFormat="1" ht="15.75" hidden="1">
      <c r="A209" s="373" t="str">
        <f>IF(AND(COUNTIF($A$5:$A$133,R_DG!A82)=0,R_DG!R82&gt;0,ISNUMBER(R_DG!R82)),R_DG!A82,"NONE")</f>
        <v>B22750</v>
      </c>
      <c r="B209" s="85">
        <f ca="1">IF(K209&gt;0,COUNTIF(K$6:K209,"&gt;0"),B208)</f>
        <v>10</v>
      </c>
      <c r="C209" s="1084" t="str">
        <f t="shared" si="50"/>
        <v>Boulon 22x750+ 2 long đền vuông D24-50x50x3/Zn</v>
      </c>
      <c r="D209" s="85" t="str">
        <f t="shared" si="51"/>
        <v>bộ</v>
      </c>
      <c r="E209" s="448">
        <f ca="1">SUMIF(OFFSET(tongctvtdd1,0,-(COLUMN(E209)+7-(COLUMN(E209)-5)/2)),KLVT!$A209,tongctvtdd1)+SUMIF(OFFSET(tongctvtpk1,0,-(COLUMN(E209)+7-(COLUMN(E209)-5)/2)),KLVT!$A209,tongctvtpk1)</f>
        <v>0</v>
      </c>
      <c r="F209" s="449">
        <f ca="1">SUMIF(OFFSET(cttba_vlvt1_1,0,-9,-ROW(cttba_vlvt1_1)+ROW(cttba_vltb1_1)-10),KLVT!$A209,OFFSET(cttba_vlvt1_1,0,-4,-ROW(cttba_vlvt1_1)+ROW(cttba_vltb1_1)-10))</f>
        <v>0</v>
      </c>
      <c r="G209" s="451">
        <f t="shared" ca="1" si="53"/>
        <v>0</v>
      </c>
      <c r="H209" s="450">
        <f t="shared" si="54"/>
        <v>1.1000000000000001</v>
      </c>
      <c r="I209" s="447">
        <f t="shared" ca="1" si="55"/>
        <v>0</v>
      </c>
      <c r="J209" s="447">
        <f t="shared" ca="1" si="56"/>
        <v>0</v>
      </c>
      <c r="K209" s="374">
        <f t="shared" ca="1" si="52"/>
        <v>0</v>
      </c>
    </row>
    <row r="210" spans="1:11" s="45" customFormat="1" ht="15.75" hidden="1">
      <c r="A210" s="373" t="str">
        <f>IF(AND(COUNTIF($A$5:$A$133,R_DG!A83)=0,R_DG!R83&gt;0,ISNUMBER(R_DG!R83)),R_DG!A83,"NONE")</f>
        <v>B22800</v>
      </c>
      <c r="B210" s="85">
        <f ca="1">IF(K210&gt;0,COUNTIF(K$6:K210,"&gt;0"),B209)</f>
        <v>10</v>
      </c>
      <c r="C210" s="1084" t="str">
        <f t="shared" si="50"/>
        <v>Boulon 22x800+ 2 long đền vuông D24-50x50x3/Zn</v>
      </c>
      <c r="D210" s="85" t="str">
        <f t="shared" si="51"/>
        <v>bộ</v>
      </c>
      <c r="E210" s="448">
        <f ca="1">SUMIF(OFFSET(tongctvtdd1,0,-(COLUMN(E210)+7-(COLUMN(E210)-5)/2)),KLVT!$A210,tongctvtdd1)+SUMIF(OFFSET(tongctvtpk1,0,-(COLUMN(E210)+7-(COLUMN(E210)-5)/2)),KLVT!$A210,tongctvtpk1)</f>
        <v>0</v>
      </c>
      <c r="F210" s="449">
        <f ca="1">SUMIF(OFFSET(cttba_vlvt1_1,0,-9,-ROW(cttba_vlvt1_1)+ROW(cttba_vltb1_1)-10),KLVT!$A210,OFFSET(cttba_vlvt1_1,0,-4,-ROW(cttba_vlvt1_1)+ROW(cttba_vltb1_1)-10))</f>
        <v>0</v>
      </c>
      <c r="G210" s="451">
        <f t="shared" ca="1" si="53"/>
        <v>0</v>
      </c>
      <c r="H210" s="450">
        <f t="shared" si="54"/>
        <v>1</v>
      </c>
      <c r="I210" s="447">
        <f t="shared" ca="1" si="55"/>
        <v>0</v>
      </c>
      <c r="J210" s="447">
        <f t="shared" ca="1" si="56"/>
        <v>0</v>
      </c>
      <c r="K210" s="374">
        <f t="shared" ca="1" si="52"/>
        <v>0</v>
      </c>
    </row>
    <row r="211" spans="1:11" s="45" customFormat="1" ht="15.75" hidden="1">
      <c r="A211" s="373" t="str">
        <f>IF(AND(COUNTIF($A$5:$A$133,R_DG!A84)=0,R_DG!R84&gt;0,ISNUMBER(R_DG!R84)),R_DG!A84,"NONE")</f>
        <v>B22850</v>
      </c>
      <c r="B211" s="85">
        <f ca="1">IF(K211&gt;0,COUNTIF(K$6:K211,"&gt;0"),B210)</f>
        <v>10</v>
      </c>
      <c r="C211" s="1084" t="str">
        <f t="shared" si="50"/>
        <v>Boulon 22x850+ 2 long đền vuông D24-50x50x3/Zn</v>
      </c>
      <c r="D211" s="85" t="str">
        <f t="shared" si="51"/>
        <v>bộ</v>
      </c>
      <c r="E211" s="448">
        <f ca="1">SUMIF(OFFSET(tongctvtdd1,0,-(COLUMN(E211)+7-(COLUMN(E211)-5)/2)),KLVT!$A211,tongctvtdd1)+SUMIF(OFFSET(tongctvtpk1,0,-(COLUMN(E211)+7-(COLUMN(E211)-5)/2)),KLVT!$A211,tongctvtpk1)</f>
        <v>0</v>
      </c>
      <c r="F211" s="449">
        <f ca="1">SUMIF(OFFSET(cttba_vlvt1_1,0,-9,-ROW(cttba_vlvt1_1)+ROW(cttba_vltb1_1)-10),KLVT!$A211,OFFSET(cttba_vlvt1_1,0,-4,-ROW(cttba_vlvt1_1)+ROW(cttba_vltb1_1)-10))</f>
        <v>0</v>
      </c>
      <c r="G211" s="451">
        <f t="shared" ca="1" si="53"/>
        <v>0</v>
      </c>
      <c r="H211" s="450">
        <f t="shared" si="54"/>
        <v>1.2</v>
      </c>
      <c r="I211" s="447">
        <f t="shared" ca="1" si="55"/>
        <v>0</v>
      </c>
      <c r="J211" s="447">
        <f t="shared" ca="1" si="56"/>
        <v>0</v>
      </c>
      <c r="K211" s="374">
        <f t="shared" ca="1" si="52"/>
        <v>0</v>
      </c>
    </row>
    <row r="212" spans="1:11" s="45" customFormat="1" ht="15.75" hidden="1">
      <c r="A212" s="373" t="str">
        <f>IF(AND(COUNTIF($A$5:$A$133,R_DG!A85)=0,R_DG!R85&gt;0,ISNUMBER(R_DG!R85)),R_DG!A85,"NONE")</f>
        <v>B221000</v>
      </c>
      <c r="B212" s="85">
        <f ca="1">IF(K212&gt;0,COUNTIF(K$6:K212,"&gt;0"),B211)</f>
        <v>10</v>
      </c>
      <c r="C212" s="1084" t="str">
        <f t="shared" si="50"/>
        <v>Boulon 22x1000+ 2 long đền vuông D24-50x50x3/Zn</v>
      </c>
      <c r="D212" s="85" t="str">
        <f t="shared" si="51"/>
        <v>bộ</v>
      </c>
      <c r="E212" s="448">
        <f ca="1">SUMIF(OFFSET(tongctvtdd1,0,-(COLUMN(E212)+7-(COLUMN(E212)-5)/2)),KLVT!$A212,tongctvtdd1)+SUMIF(OFFSET(tongctvtpk1,0,-(COLUMN(E212)+7-(COLUMN(E212)-5)/2)),KLVT!$A212,tongctvtpk1)</f>
        <v>0</v>
      </c>
      <c r="F212" s="449">
        <f ca="1">SUMIF(OFFSET(cttba_vlvt1_1,0,-9,-ROW(cttba_vlvt1_1)+ROW(cttba_vltb1_1)-10),KLVT!$A212,OFFSET(cttba_vlvt1_1,0,-4,-ROW(cttba_vlvt1_1)+ROW(cttba_vltb1_1)-10))</f>
        <v>0</v>
      </c>
      <c r="G212" s="451">
        <f t="shared" ca="1" si="53"/>
        <v>0</v>
      </c>
      <c r="H212" s="450">
        <f t="shared" si="54"/>
        <v>2.5</v>
      </c>
      <c r="I212" s="447">
        <f t="shared" ca="1" si="55"/>
        <v>0</v>
      </c>
      <c r="J212" s="447">
        <f t="shared" ca="1" si="56"/>
        <v>0</v>
      </c>
      <c r="K212" s="373">
        <f t="shared" ca="1" si="52"/>
        <v>0</v>
      </c>
    </row>
    <row r="213" spans="1:11" s="45" customFormat="1" ht="15.75" hidden="1">
      <c r="A213" s="373" t="str">
        <f>IF(AND(COUNTIF($A$5:$A$133,R_DG!A86)=0,R_DG!R86&gt;0,ISNUMBER(R_DG!R86)),R_DG!A86,"NONE")</f>
        <v>BM16200</v>
      </c>
      <c r="B213" s="85">
        <f ca="1">IF(K213&gt;0,COUNTIF(K$6:K213,"&gt;0"),B212)</f>
        <v>10</v>
      </c>
      <c r="C213" s="1084" t="str">
        <f t="shared" si="50"/>
        <v>Boulon mắt 16x200+ 2 long đền vuông D18-50x50x3/Zn</v>
      </c>
      <c r="D213" s="85" t="str">
        <f t="shared" si="51"/>
        <v>bộ</v>
      </c>
      <c r="E213" s="448">
        <f ca="1">SUMIF(OFFSET(tongctvtdd1,0,-(COLUMN(E213)+7-(COLUMN(E213)-5)/2)),KLVT!$A213,tongctvtdd1)+SUMIF(OFFSET(tongctvtpk1,0,-(COLUMN(E213)+7-(COLUMN(E213)-5)/2)),KLVT!$A213,tongctvtpk1)</f>
        <v>0</v>
      </c>
      <c r="F213" s="449">
        <f ca="1">SUMIF(OFFSET(cttba_vlvt1_1,0,-9,-ROW(cttba_vlvt1_1)+ROW(cttba_vltb1_1)-10),KLVT!$A213,OFFSET(cttba_vlvt1_1,0,-4,-ROW(cttba_vlvt1_1)+ROW(cttba_vltb1_1)-10))</f>
        <v>0</v>
      </c>
      <c r="G213" s="451">
        <f t="shared" ca="1" si="53"/>
        <v>0</v>
      </c>
      <c r="H213" s="450">
        <f t="shared" si="54"/>
        <v>0.3</v>
      </c>
      <c r="I213" s="447">
        <f t="shared" ca="1" si="55"/>
        <v>0</v>
      </c>
      <c r="J213" s="447">
        <f t="shared" ca="1" si="56"/>
        <v>0</v>
      </c>
      <c r="K213" s="374">
        <f t="shared" ca="1" si="52"/>
        <v>0</v>
      </c>
    </row>
    <row r="214" spans="1:11" s="373" customFormat="1" hidden="1">
      <c r="A214" s="373" t="str">
        <f>IF(AND(COUNTIF($A$5:$A$133,R_DG!A87)=0,R_DG!R87&gt;0,ISNUMBER(R_DG!R87)),R_DG!A87,"NONE")</f>
        <v>BM16250</v>
      </c>
      <c r="B214" s="85">
        <f ca="1">IF(K214&gt;0,COUNTIF(K$6:K214,"&gt;0"),B213)</f>
        <v>10</v>
      </c>
      <c r="C214" s="1084" t="str">
        <f t="shared" ref="C214" si="57">VLOOKUP(A214,DONGIA,3,0)</f>
        <v>Boulon mắt 16x250+ 2 long đền vuông D18-50x50x3/Zn</v>
      </c>
      <c r="D214" s="85" t="str">
        <f t="shared" ref="D214" si="58">VLOOKUP(A214,DONGIA,4,0)</f>
        <v>bộ</v>
      </c>
      <c r="E214" s="448">
        <f ca="1">SUMIF(OFFSET(tongctvtdd1,0,-(COLUMN(E214)+7-(COLUMN(E214)-5)/2)),KLVT!$A214,tongctvtdd1)+SUMIF(OFFSET(tongctvtpk1,0,-(COLUMN(E214)+7-(COLUMN(E214)-5)/2)),KLVT!$A214,tongctvtpk1)</f>
        <v>0</v>
      </c>
      <c r="F214" s="449">
        <f ca="1">SUMIF(OFFSET(cttba_vlvt1_1,0,-9,-ROW(cttba_vlvt1_1)+ROW(cttba_vltb1_1)-10),KLVT!$A214,OFFSET(cttba_vlvt1_1,0,-4,-ROW(cttba_vlvt1_1)+ROW(cttba_vltb1_1)-10))</f>
        <v>0</v>
      </c>
      <c r="G214" s="451">
        <f t="shared" ca="1" si="53"/>
        <v>0</v>
      </c>
      <c r="H214" s="450">
        <f t="shared" si="54"/>
        <v>0.3</v>
      </c>
      <c r="I214" s="447">
        <f t="shared" ca="1" si="55"/>
        <v>0</v>
      </c>
      <c r="J214" s="447">
        <f t="shared" ca="1" si="56"/>
        <v>0</v>
      </c>
      <c r="K214" s="1094">
        <f t="shared" ref="K214" ca="1" si="59">IF(G214&gt;0,1,0)</f>
        <v>0</v>
      </c>
    </row>
    <row r="215" spans="1:11" s="373" customFormat="1" hidden="1">
      <c r="A215" s="373" t="str">
        <f>IF(AND(COUNTIF($A$5:$A$133,R_DG!A88)=0,R_DG!R88&gt;0,ISNUMBER(R_DG!R88)),R_DG!A88,"NONE")</f>
        <v>BM16300</v>
      </c>
      <c r="B215" s="85">
        <f ca="1">IF(K215&gt;0,COUNTIF(K$6:K215,"&gt;0"),B214)</f>
        <v>10</v>
      </c>
      <c r="C215" s="1084" t="str">
        <f t="shared" ref="C215" si="60">VLOOKUP(A215,DONGIA,3,0)</f>
        <v>Boulon mắt 16x300+ 2 long đền vuông D18-50x50x3/Zn</v>
      </c>
      <c r="D215" s="85" t="str">
        <f t="shared" ref="D215" si="61">VLOOKUP(A215,DONGIA,4,0)</f>
        <v>bộ</v>
      </c>
      <c r="E215" s="448">
        <f ca="1">SUMIF(OFFSET(tongctvtdd1,0,-(COLUMN(E215)+7-(COLUMN(E215)-5)/2)),KLVT!$A215,tongctvtdd1)+SUMIF(OFFSET(tongctvtpk1,0,-(COLUMN(E215)+7-(COLUMN(E215)-5)/2)),KLVT!$A215,tongctvtpk1)</f>
        <v>0</v>
      </c>
      <c r="F215" s="449">
        <f ca="1">SUMIF(OFFSET(cttba_vlvt1_1,0,-9,-ROW(cttba_vlvt1_1)+ROW(cttba_vltb1_1)-10),KLVT!$A215,OFFSET(cttba_vlvt1_1,0,-4,-ROW(cttba_vlvt1_1)+ROW(cttba_vltb1_1)-10))</f>
        <v>0</v>
      </c>
      <c r="G215" s="451">
        <f t="shared" ca="1" si="53"/>
        <v>0</v>
      </c>
      <c r="H215" s="450">
        <f t="shared" si="54"/>
        <v>0.3</v>
      </c>
      <c r="I215" s="447">
        <f t="shared" ca="1" si="55"/>
        <v>0</v>
      </c>
      <c r="J215" s="447">
        <f t="shared" ca="1" si="56"/>
        <v>0</v>
      </c>
      <c r="K215" s="1094">
        <f t="shared" ref="K215" ca="1" si="62">IF(G215&gt;0,1,0)</f>
        <v>0</v>
      </c>
    </row>
    <row r="216" spans="1:11" s="373" customFormat="1" ht="15.75" hidden="1">
      <c r="A216" s="373" t="str">
        <f>IF(AND(COUNTIF($A$5:$A$133,R_DG!A89)=0,R_DG!R89&gt;0,ISNUMBER(R_DG!R89)),R_DG!A89,"NONE")</f>
        <v>BMOC16200</v>
      </c>
      <c r="B216" s="85">
        <f ca="1">IF(K216&gt;0,COUNTIF(K$6:K216,"&gt;0"),B215)</f>
        <v>10</v>
      </c>
      <c r="C216" s="1084" t="str">
        <f t="shared" ref="C216" si="63">VLOOKUP(A216,DONGIA,3,0)</f>
        <v>Boulon móc 16x200+ 2 long đền vuông D18-50x50x3/Zn</v>
      </c>
      <c r="D216" s="85" t="str">
        <f t="shared" ref="D216" si="64">VLOOKUP(A216,DONGIA,4,0)</f>
        <v>bộ</v>
      </c>
      <c r="E216" s="448">
        <f ca="1">SUMIF(OFFSET(tongctvtdd1,0,-(COLUMN(E216)+7-(COLUMN(E216)-5)/2)),KLVT!$A216,tongctvtdd1)+SUMIF(OFFSET(tongctvtpk1,0,-(COLUMN(E216)+7-(COLUMN(E216)-5)/2)),KLVT!$A216,tongctvtpk1)</f>
        <v>0</v>
      </c>
      <c r="F216" s="449">
        <f ca="1">SUMIF(OFFSET(cttba_vlvt1_1,0,-9,-ROW(cttba_vlvt1_1)+ROW(cttba_vltb1_1)-10),KLVT!$A216,OFFSET(cttba_vlvt1_1,0,-4,-ROW(cttba_vlvt1_1)+ROW(cttba_vltb1_1)-10))</f>
        <v>0</v>
      </c>
      <c r="G216" s="451">
        <f t="shared" ca="1" si="53"/>
        <v>0</v>
      </c>
      <c r="H216" s="450">
        <f t="shared" si="54"/>
        <v>0.3</v>
      </c>
      <c r="I216" s="447">
        <f t="shared" ca="1" si="55"/>
        <v>0</v>
      </c>
      <c r="J216" s="447">
        <f t="shared" ca="1" si="56"/>
        <v>0</v>
      </c>
      <c r="K216" s="374">
        <f t="shared" ref="K216" ca="1" si="65">IF(G216&gt;0,1,0)</f>
        <v>0</v>
      </c>
    </row>
    <row r="217" spans="1:11" s="45" customFormat="1" ht="15.75" hidden="1">
      <c r="A217" s="373" t="str">
        <f>IF(AND(COUNTIF($A$5:$A$133,R_DG!A90)=0,R_DG!R90&gt;0,ISNUMBER(R_DG!R90)),R_DG!A90,"NONE")</f>
        <v>BMOC16250</v>
      </c>
      <c r="B217" s="85">
        <f ca="1">IF(K217&gt;0,COUNTIF(K$6:K217,"&gt;0"),B216)</f>
        <v>10</v>
      </c>
      <c r="C217" s="1084" t="str">
        <f t="shared" si="50"/>
        <v>Boulon móc 16x250+ 2 long đền vuông D18-50x50x3/Zn</v>
      </c>
      <c r="D217" s="85" t="str">
        <f t="shared" si="51"/>
        <v>bộ</v>
      </c>
      <c r="E217" s="448">
        <f ca="1">SUMIF(OFFSET(tongctvtdd1,0,-(COLUMN(E217)+7-(COLUMN(E217)-5)/2)),KLVT!$A217,tongctvtdd1)+SUMIF(OFFSET(tongctvtpk1,0,-(COLUMN(E217)+7-(COLUMN(E217)-5)/2)),KLVT!$A217,tongctvtpk1)</f>
        <v>0</v>
      </c>
      <c r="F217" s="449">
        <f ca="1">SUMIF(OFFSET(cttba_vlvt1_1,0,-9,-ROW(cttba_vlvt1_1)+ROW(cttba_vltb1_1)-10),KLVT!$A217,OFFSET(cttba_vlvt1_1,0,-4,-ROW(cttba_vlvt1_1)+ROW(cttba_vltb1_1)-10))</f>
        <v>0</v>
      </c>
      <c r="G217" s="451">
        <f t="shared" ca="1" si="53"/>
        <v>0</v>
      </c>
      <c r="H217" s="450">
        <f t="shared" si="54"/>
        <v>0.3</v>
      </c>
      <c r="I217" s="447">
        <f t="shared" ca="1" si="55"/>
        <v>0</v>
      </c>
      <c r="J217" s="447">
        <f t="shared" ca="1" si="56"/>
        <v>0</v>
      </c>
      <c r="K217" s="374">
        <f t="shared" ca="1" si="52"/>
        <v>0</v>
      </c>
    </row>
    <row r="218" spans="1:11" s="45" customFormat="1" ht="15.75" hidden="1">
      <c r="A218" s="373" t="str">
        <f>IF(AND(COUNTIF($A$5:$A$133,R_DG!A91)=0,R_DG!R91&gt;0,ISNUMBER(R_DG!R91)),R_DG!A91,"NONE")</f>
        <v>BMOC16300</v>
      </c>
      <c r="B218" s="85">
        <f ca="1">IF(K218&gt;0,COUNTIF(K$6:K218,"&gt;0"),B217)</f>
        <v>10</v>
      </c>
      <c r="C218" s="1084" t="str">
        <f t="shared" si="50"/>
        <v>Boulon móc 16x300+ 2 long đền vuông D18-50x50x3/Zn</v>
      </c>
      <c r="D218" s="85" t="str">
        <f t="shared" si="51"/>
        <v>bộ</v>
      </c>
      <c r="E218" s="448">
        <f ca="1">SUMIF(OFFSET(tongctvtdd1,0,-(COLUMN(E218)+7-(COLUMN(E218)-5)/2)),KLVT!$A218,tongctvtdd1)+SUMIF(OFFSET(tongctvtpk1,0,-(COLUMN(E218)+7-(COLUMN(E218)-5)/2)),KLVT!$A218,tongctvtpk1)</f>
        <v>0</v>
      </c>
      <c r="F218" s="449">
        <f ca="1">SUMIF(OFFSET(cttba_vlvt1_1,0,-9,-ROW(cttba_vlvt1_1)+ROW(cttba_vltb1_1)-10),KLVT!$A218,OFFSET(cttba_vlvt1_1,0,-4,-ROW(cttba_vlvt1_1)+ROW(cttba_vltb1_1)-10))</f>
        <v>0</v>
      </c>
      <c r="G218" s="451">
        <f t="shared" ca="1" si="53"/>
        <v>0</v>
      </c>
      <c r="H218" s="450">
        <f t="shared" si="54"/>
        <v>0.3</v>
      </c>
      <c r="I218" s="447">
        <f t="shared" ca="1" si="55"/>
        <v>0</v>
      </c>
      <c r="J218" s="447">
        <f t="shared" ca="1" si="56"/>
        <v>0</v>
      </c>
      <c r="K218" s="373">
        <f t="shared" ca="1" si="52"/>
        <v>0</v>
      </c>
    </row>
    <row r="219" spans="1:11" s="45" customFormat="1" ht="15.75" hidden="1">
      <c r="A219" s="373" t="str">
        <f>IF(AND(COUNTIF($A$5:$A$133,R_DG!A92)=0,R_DG!R92&gt;0,ISNUMBER(R_DG!R92)),R_DG!A92,"NONE")</f>
        <v>SATD10</v>
      </c>
      <c r="B219" s="85">
        <f ca="1">IF(K219&gt;0,COUNTIF(K$6:K219,"&gt;0"),B218)</f>
        <v>10</v>
      </c>
      <c r="C219" s="1084" t="str">
        <f t="shared" si="50"/>
        <v>Sắt tròn D10 (D=0,617kg/m)</v>
      </c>
      <c r="D219" s="85" t="str">
        <f t="shared" si="51"/>
        <v>kg</v>
      </c>
      <c r="E219" s="448">
        <f ca="1">SUMIF(OFFSET(tongctvtdd1,0,-(COLUMN(E219)+7-(COLUMN(E219)-5)/2)),KLVT!$A219,tongctvtdd1)+SUMIF(OFFSET(tongctvtpk1,0,-(COLUMN(E219)+7-(COLUMN(E219)-5)/2)),KLVT!$A219,tongctvtpk1)</f>
        <v>0</v>
      </c>
      <c r="F219" s="449">
        <f ca="1">SUMIF(OFFSET(cttba_vlvt1_1,0,-9,-ROW(cttba_vlvt1_1)+ROW(cttba_vltb1_1)-10),KLVT!$A219,OFFSET(cttba_vlvt1_1,0,-4,-ROW(cttba_vlvt1_1)+ROW(cttba_vltb1_1)-10))</f>
        <v>0</v>
      </c>
      <c r="G219" s="451">
        <f t="shared" ca="1" si="53"/>
        <v>0</v>
      </c>
      <c r="H219" s="450">
        <f t="shared" si="54"/>
        <v>0.7</v>
      </c>
      <c r="I219" s="447">
        <f t="shared" ca="1" si="55"/>
        <v>0</v>
      </c>
      <c r="J219" s="447">
        <f t="shared" ca="1" si="56"/>
        <v>0</v>
      </c>
      <c r="K219" s="373">
        <f t="shared" ca="1" si="52"/>
        <v>0</v>
      </c>
    </row>
    <row r="220" spans="1:11" s="45" customFormat="1" ht="15.75" hidden="1">
      <c r="A220" s="373" t="str">
        <f>IF(AND(COUNTIF($A$5:$A$133,R_DG!A93)=0,R_DG!R93&gt;0,ISNUMBER(R_DG!R93)),R_DG!A93,"NONE")</f>
        <v>SATD6</v>
      </c>
      <c r="B220" s="85">
        <f ca="1">IF(K220&gt;0,COUNTIF(K$6:K220,"&gt;0"),B219)</f>
        <v>10</v>
      </c>
      <c r="C220" s="1084" t="str">
        <f t="shared" si="50"/>
        <v>Sắt tròn D6 (D=0,222kg/m)</v>
      </c>
      <c r="D220" s="85" t="str">
        <f t="shared" si="51"/>
        <v>kg</v>
      </c>
      <c r="E220" s="448">
        <f ca="1">SUMIF(OFFSET(tongctvtdd1,0,-(COLUMN(E220)+7-(COLUMN(E220)-5)/2)),KLVT!$A220,tongctvtdd1)+SUMIF(OFFSET(tongctvtpk1,0,-(COLUMN(E220)+7-(COLUMN(E220)-5)/2)),KLVT!$A220,tongctvtpk1)</f>
        <v>0</v>
      </c>
      <c r="F220" s="449">
        <f ca="1">SUMIF(OFFSET(cttba_vlvt1_1,0,-9,-ROW(cttba_vlvt1_1)+ROW(cttba_vltb1_1)-10),KLVT!$A220,OFFSET(cttba_vlvt1_1,0,-4,-ROW(cttba_vlvt1_1)+ROW(cttba_vltb1_1)-10))</f>
        <v>0</v>
      </c>
      <c r="G220" s="451">
        <f t="shared" ca="1" si="53"/>
        <v>0</v>
      </c>
      <c r="H220" s="450">
        <f t="shared" si="54"/>
        <v>0.7</v>
      </c>
      <c r="I220" s="447">
        <f t="shared" ca="1" si="55"/>
        <v>0</v>
      </c>
      <c r="J220" s="447">
        <f t="shared" ca="1" si="56"/>
        <v>0</v>
      </c>
      <c r="K220" s="374">
        <f t="shared" ca="1" si="52"/>
        <v>0</v>
      </c>
    </row>
    <row r="221" spans="1:11" s="45" customFormat="1" ht="15.75" hidden="1">
      <c r="A221" s="373" t="str">
        <f>IF(AND(COUNTIF($A$5:$A$133,R_DG!A94)=0,R_DG!R94&gt;0,ISNUMBER(R_DG!R94)),R_DG!A94,"NONE")</f>
        <v>LD TRON</v>
      </c>
      <c r="B221" s="85">
        <f ca="1">IF(K221&gt;0,COUNTIF(K$6:K221,"&gt;0"),B220)</f>
        <v>10</v>
      </c>
      <c r="C221" s="1084" t="str">
        <f t="shared" si="50"/>
        <v>Long đền tròn 12-14-16-18</v>
      </c>
      <c r="D221" s="85" t="str">
        <f t="shared" si="51"/>
        <v>cái</v>
      </c>
      <c r="E221" s="448">
        <f ca="1">SUMIF(OFFSET(tongctvtdd1,0,-(COLUMN(E221)+7-(COLUMN(E221)-5)/2)),KLVT!$A221,tongctvtdd1)+SUMIF(OFFSET(tongctvtpk1,0,-(COLUMN(E221)+7-(COLUMN(E221)-5)/2)),KLVT!$A221,tongctvtpk1)</f>
        <v>0</v>
      </c>
      <c r="F221" s="449">
        <f ca="1">SUMIF(OFFSET(cttba_vlvt1_1,0,-9,-ROW(cttba_vlvt1_1)+ROW(cttba_vltb1_1)-10),KLVT!$A221,OFFSET(cttba_vlvt1_1,0,-4,-ROW(cttba_vlvt1_1)+ROW(cttba_vltb1_1)-10))</f>
        <v>0</v>
      </c>
      <c r="G221" s="451">
        <f t="shared" ca="1" si="53"/>
        <v>0</v>
      </c>
      <c r="H221" s="450">
        <f t="shared" si="54"/>
        <v>0.05</v>
      </c>
      <c r="I221" s="447">
        <f t="shared" ca="1" si="55"/>
        <v>0</v>
      </c>
      <c r="J221" s="447">
        <f t="shared" ca="1" si="56"/>
        <v>0</v>
      </c>
      <c r="K221" s="374">
        <f t="shared" ca="1" si="52"/>
        <v>0</v>
      </c>
    </row>
    <row r="222" spans="1:11" s="45" customFormat="1" ht="15.75" hidden="1">
      <c r="A222" s="373" t="str">
        <f>IF(AND(COUNTIF($A$5:$A$133,R_DG!A95)=0,R_DG!R95&gt;0,ISNUMBER(R_DG!R95)),R_DG!A95,"NONE")</f>
        <v>LD 40</v>
      </c>
      <c r="B222" s="85">
        <f ca="1">IF(K222&gt;0,COUNTIF(K$6:K222,"&gt;0"),B221)</f>
        <v>10</v>
      </c>
      <c r="C222" s="1084" t="str">
        <f t="shared" si="50"/>
        <v>Long đền vuông 14-22 (50x50x3)</v>
      </c>
      <c r="D222" s="85" t="str">
        <f t="shared" si="51"/>
        <v>cái</v>
      </c>
      <c r="E222" s="448">
        <f ca="1">SUMIF(OFFSET(tongctvtdd1,0,-(COLUMN(E222)+7-(COLUMN(E222)-5)/2)),KLVT!$A222,tongctvtdd1)+SUMIF(OFFSET(tongctvtpk1,0,-(COLUMN(E222)+7-(COLUMN(E222)-5)/2)),KLVT!$A222,tongctvtpk1)</f>
        <v>0</v>
      </c>
      <c r="F222" s="449">
        <f ca="1">SUMIF(OFFSET(cttba_vlvt1_1,0,-9,-ROW(cttba_vlvt1_1)+ROW(cttba_vltb1_1)-10),KLVT!$A222,OFFSET(cttba_vlvt1_1,0,-4,-ROW(cttba_vlvt1_1)+ROW(cttba_vltb1_1)-10))</f>
        <v>0</v>
      </c>
      <c r="G222" s="451">
        <f t="shared" ca="1" si="53"/>
        <v>0</v>
      </c>
      <c r="H222" s="450">
        <f t="shared" si="54"/>
        <v>0.05</v>
      </c>
      <c r="I222" s="447">
        <f t="shared" ca="1" si="55"/>
        <v>0</v>
      </c>
      <c r="J222" s="447">
        <f t="shared" ca="1" si="56"/>
        <v>0</v>
      </c>
      <c r="K222" s="374">
        <f t="shared" ca="1" si="52"/>
        <v>0</v>
      </c>
    </row>
    <row r="223" spans="1:11" s="45" customFormat="1" ht="15.75" hidden="1">
      <c r="A223" s="373" t="str">
        <f>IF(AND(COUNTIF($A$5:$A$133,R_DG!A96)=0,R_DG!R96&gt;0,ISNUMBER(R_DG!R96)),R_DG!A96,"NONE")</f>
        <v>LD 60</v>
      </c>
      <c r="B223" s="85">
        <f ca="1">IF(K223&gt;0,COUNTIF(K$6:K223,"&gt;0"),B222)</f>
        <v>10</v>
      </c>
      <c r="C223" s="1084" t="str">
        <f t="shared" si="50"/>
        <v>Long đền vuông 18-24 (60x60x6)</v>
      </c>
      <c r="D223" s="85" t="str">
        <f t="shared" si="51"/>
        <v>cái</v>
      </c>
      <c r="E223" s="448">
        <f ca="1">SUMIF(OFFSET(tongctvtdd1,0,-(COLUMN(E223)+7-(COLUMN(E223)-5)/2)),KLVT!$A223,tongctvtdd1)+SUMIF(OFFSET(tongctvtpk1,0,-(COLUMN(E223)+7-(COLUMN(E223)-5)/2)),KLVT!$A223,tongctvtpk1)</f>
        <v>0</v>
      </c>
      <c r="F223" s="449">
        <f ca="1">SUMIF(OFFSET(cttba_vlvt1_1,0,-9,-ROW(cttba_vlvt1_1)+ROW(cttba_vltb1_1)-10),KLVT!$A223,OFFSET(cttba_vlvt1_1,0,-4,-ROW(cttba_vlvt1_1)+ROW(cttba_vltb1_1)-10))</f>
        <v>0</v>
      </c>
      <c r="G223" s="451">
        <f t="shared" ca="1" si="53"/>
        <v>0</v>
      </c>
      <c r="H223" s="450">
        <f t="shared" si="54"/>
        <v>0.1</v>
      </c>
      <c r="I223" s="447">
        <f t="shared" ca="1" si="55"/>
        <v>0</v>
      </c>
      <c r="J223" s="447">
        <f t="shared" ca="1" si="56"/>
        <v>0</v>
      </c>
      <c r="K223" s="374">
        <f t="shared" ca="1" si="52"/>
        <v>0</v>
      </c>
    </row>
    <row r="224" spans="1:11" s="45" customFormat="1" hidden="1">
      <c r="A224" s="373" t="str">
        <f>IF(AND(COUNTIF($A$5:$A$133,R_DG!A97)=0,R_DG!R97&gt;0,ISNUMBER(R_DG!R97)),R_DG!A97,"NONE")</f>
        <v>CHUPFCO</v>
      </c>
      <c r="B224" s="85">
        <f ca="1">IF(K224&gt;0,COUNTIF(K$6:K224,"&gt;0"),B223)</f>
        <v>10</v>
      </c>
      <c r="C224" s="1084" t="str">
        <f t="shared" si="50"/>
        <v>Chụp đầu FCO</v>
      </c>
      <c r="D224" s="85" t="str">
        <f t="shared" si="51"/>
        <v>bộ</v>
      </c>
      <c r="E224" s="448">
        <f ca="1">SUMIF(OFFSET(tongctvtdd1,0,-(COLUMN(E224)+7-(COLUMN(E224)-5)/2)),KLVT!$A224,tongctvtdd1)+SUMIF(OFFSET(tongctvtpk1,0,-(COLUMN(E224)+7-(COLUMN(E224)-5)/2)),KLVT!$A224,tongctvtpk1)</f>
        <v>0</v>
      </c>
      <c r="F224" s="449">
        <f ca="1">SUMIF(OFFSET(cttba_vlvt1_1,0,-9,-ROW(cttba_vlvt1_1)+ROW(cttba_vltb1_1)-10),KLVT!$A224,OFFSET(cttba_vlvt1_1,0,-4,-ROW(cttba_vlvt1_1)+ROW(cttba_vltb1_1)-10))</f>
        <v>0</v>
      </c>
      <c r="G224" s="451">
        <f t="shared" ca="1" si="53"/>
        <v>0</v>
      </c>
      <c r="H224" s="450">
        <f t="shared" si="54"/>
        <v>0.5</v>
      </c>
      <c r="I224" s="447">
        <f t="shared" ca="1" si="55"/>
        <v>0</v>
      </c>
      <c r="J224" s="447">
        <f t="shared" ca="1" si="56"/>
        <v>0</v>
      </c>
      <c r="K224" s="1094">
        <f t="shared" ca="1" si="52"/>
        <v>0</v>
      </c>
    </row>
    <row r="225" spans="1:11" s="45" customFormat="1" hidden="1">
      <c r="A225" s="373" t="str">
        <f>IF(AND(COUNTIF($A$5:$A$133,R_DG!A98)=0,R_DG!R98&gt;0,ISNUMBER(R_DG!R98)),R_DG!A98,"NONE")</f>
        <v>CHUPLA</v>
      </c>
      <c r="B225" s="85">
        <f ca="1">IF(K225&gt;0,COUNTIF(K$6:K225,"&gt;0"),B224)</f>
        <v>10</v>
      </c>
      <c r="C225" s="1084" t="str">
        <f t="shared" si="50"/>
        <v>Chụp đầu LA</v>
      </c>
      <c r="D225" s="85" t="str">
        <f t="shared" si="51"/>
        <v>cái</v>
      </c>
      <c r="E225" s="448">
        <f ca="1">SUMIF(OFFSET(tongctvtdd1,0,-(COLUMN(E225)+7-(COLUMN(E225)-5)/2)),KLVT!$A225,tongctvtdd1)+SUMIF(OFFSET(tongctvtpk1,0,-(COLUMN(E225)+7-(COLUMN(E225)-5)/2)),KLVT!$A225,tongctvtpk1)</f>
        <v>0</v>
      </c>
      <c r="F225" s="449">
        <f ca="1">SUMIF(OFFSET(cttba_vlvt1_1,0,-9,-ROW(cttba_vlvt1_1)+ROW(cttba_vltb1_1)-10),KLVT!$A225,OFFSET(cttba_vlvt1_1,0,-4,-ROW(cttba_vlvt1_1)+ROW(cttba_vltb1_1)-10))</f>
        <v>0</v>
      </c>
      <c r="G225" s="451">
        <f t="shared" ca="1" si="53"/>
        <v>0</v>
      </c>
      <c r="H225" s="450">
        <f t="shared" si="54"/>
        <v>0.5</v>
      </c>
      <c r="I225" s="447">
        <f t="shared" ca="1" si="55"/>
        <v>0</v>
      </c>
      <c r="J225" s="447">
        <f t="shared" ca="1" si="56"/>
        <v>0</v>
      </c>
      <c r="K225" s="1094">
        <f t="shared" ca="1" si="52"/>
        <v>0</v>
      </c>
    </row>
    <row r="226" spans="1:11" s="45" customFormat="1" hidden="1">
      <c r="A226" s="373" t="str">
        <f>IF(AND(COUNTIF($A$5:$A$133,R_DG!A99)=0,R_DG!R99&gt;0,ISNUMBER(R_DG!R99)),R_DG!A99,"NONE")</f>
        <v>CHUPMBA</v>
      </c>
      <c r="B226" s="85">
        <f ca="1">IF(K226&gt;0,COUNTIF(K$6:K226,"&gt;0"),B225)</f>
        <v>10</v>
      </c>
      <c r="C226" s="1084" t="str">
        <f t="shared" si="50"/>
        <v>Chụp đầu cực MBA</v>
      </c>
      <c r="D226" s="85" t="str">
        <f t="shared" si="51"/>
        <v>cái</v>
      </c>
      <c r="E226" s="448">
        <f ca="1">SUMIF(OFFSET(tongctvtdd1,0,-(COLUMN(E226)+7-(COLUMN(E226)-5)/2)),KLVT!$A226,tongctvtdd1)+SUMIF(OFFSET(tongctvtpk1,0,-(COLUMN(E226)+7-(COLUMN(E226)-5)/2)),KLVT!$A226,tongctvtpk1)</f>
        <v>0</v>
      </c>
      <c r="F226" s="449">
        <f ca="1">SUMIF(OFFSET(cttba_vlvt1_1,0,-9,-ROW(cttba_vlvt1_1)+ROW(cttba_vltb1_1)-10),KLVT!$A226,OFFSET(cttba_vlvt1_1,0,-4,-ROW(cttba_vlvt1_1)+ROW(cttba_vltb1_1)-10))</f>
        <v>0</v>
      </c>
      <c r="G226" s="451">
        <f t="shared" ca="1" si="53"/>
        <v>0</v>
      </c>
      <c r="H226" s="450">
        <f t="shared" si="54"/>
        <v>0.5</v>
      </c>
      <c r="I226" s="447">
        <f t="shared" ca="1" si="55"/>
        <v>0</v>
      </c>
      <c r="J226" s="447">
        <f t="shared" ca="1" si="56"/>
        <v>0</v>
      </c>
      <c r="K226" s="1094">
        <f t="shared" ca="1" si="52"/>
        <v>0</v>
      </c>
    </row>
    <row r="227" spans="1:11">
      <c r="A227" s="1251" t="str">
        <f>IF(AND(COUNTIF($A$5:$A$133,R_DG!A100)=0,R_DG!R100&gt;0,ISNUMBER(R_DG!R100)),R_DG!A100,"NONE")</f>
        <v>CHUPKQ</v>
      </c>
      <c r="B227" s="438">
        <f ca="1">IF(K227&gt;0,COUNTIF(K$6:K227,"&gt;0"),B226)</f>
        <v>11</v>
      </c>
      <c r="C227" s="1278" t="str">
        <f t="shared" si="50"/>
        <v>Chụp kẹp quai, hotline</v>
      </c>
      <c r="D227" s="438" t="str">
        <f t="shared" si="51"/>
        <v>cái</v>
      </c>
      <c r="E227" s="1276">
        <f ca="1">SUMIF(OFFSET(tongctvtdd1,0,-(COLUMN(E227)+7-(COLUMN(E227)-5)/2)),KLVT!$A227,tongctvtdd1)+SUMIF(OFFSET(tongctvtpk1,0,-(COLUMN(E227)+7-(COLUMN(E227)-5)/2)),KLVT!$A227,tongctvtpk1)</f>
        <v>12</v>
      </c>
      <c r="F227" s="1277">
        <f ca="1">SUMIF(OFFSET(cttba_vlvt1_1,0,-9,-ROW(cttba_vlvt1_1)+ROW(cttba_vltb1_1)-10),KLVT!$A227,OFFSET(cttba_vlvt1_1,0,-4,-ROW(cttba_vlvt1_1)+ROW(cttba_vltb1_1)-10))</f>
        <v>0</v>
      </c>
      <c r="G227" s="1277">
        <f t="shared" ca="1" si="53"/>
        <v>12</v>
      </c>
      <c r="H227" s="1274">
        <f t="shared" si="54"/>
        <v>0.5</v>
      </c>
      <c r="I227" s="1279">
        <f t="shared" ca="1" si="55"/>
        <v>6</v>
      </c>
      <c r="J227" s="1279">
        <f t="shared" ca="1" si="56"/>
        <v>0</v>
      </c>
      <c r="K227" s="1268">
        <f t="shared" ca="1" si="52"/>
        <v>1</v>
      </c>
    </row>
    <row r="228" spans="1:11" s="45" customFormat="1" ht="15.75" hidden="1">
      <c r="A228" s="373" t="str">
        <f>IF(AND(COUNTIF($A$5:$A$133,R_DG!A101)=0,R_DG!R101&gt;0,ISNUMBER(R_DG!R101)),R_DG!A101,"NONE")</f>
        <v>BATLI</v>
      </c>
      <c r="B228" s="85">
        <f ca="1">IF(K228&gt;0,COUNTIF(K$6:K228,"&gt;0"),B227)</f>
        <v>11</v>
      </c>
      <c r="C228" s="1084" t="str">
        <f t="shared" si="50"/>
        <v>Bass LI bắt FCO</v>
      </c>
      <c r="D228" s="85" t="str">
        <f t="shared" si="51"/>
        <v>Bộ</v>
      </c>
      <c r="E228" s="448">
        <f ca="1">SUMIF(OFFSET(tongctvtdd1,0,-(COLUMN(E228)+7-(COLUMN(E228)-5)/2)),KLVT!$A228,tongctvtdd1)+SUMIF(OFFSET(tongctvtpk1,0,-(COLUMN(E228)+7-(COLUMN(E228)-5)/2)),KLVT!$A228,tongctvtpk1)</f>
        <v>0</v>
      </c>
      <c r="F228" s="449">
        <f ca="1">SUMIF(OFFSET(cttba_vlvt1_1,0,-9,-ROW(cttba_vlvt1_1)+ROW(cttba_vltb1_1)-10),KLVT!$A228,OFFSET(cttba_vlvt1_1,0,-4,-ROW(cttba_vlvt1_1)+ROW(cttba_vltb1_1)-10))</f>
        <v>0</v>
      </c>
      <c r="G228" s="451">
        <f t="shared" ca="1" si="53"/>
        <v>0</v>
      </c>
      <c r="H228" s="450">
        <f t="shared" si="54"/>
        <v>0.5</v>
      </c>
      <c r="I228" s="447">
        <f t="shared" ca="1" si="55"/>
        <v>0</v>
      </c>
      <c r="J228" s="447">
        <f t="shared" ca="1" si="56"/>
        <v>0</v>
      </c>
      <c r="K228" s="373">
        <f t="shared" ca="1" si="52"/>
        <v>0</v>
      </c>
    </row>
    <row r="229" spans="1:11" s="45" customFormat="1" ht="15.75" hidden="1">
      <c r="A229" s="373" t="str">
        <f>IF(AND(COUNTIF($A$5:$A$133,R_DG!A102)=0,R_DG!R102&gt;0,ISNUMBER(R_DG!R102)),R_DG!A102,"NONE")</f>
        <v>BATLIA</v>
      </c>
      <c r="B229" s="85">
        <f ca="1">IF(K229&gt;0,COUNTIF(K$6:K229,"&gt;0"),B228)</f>
        <v>11</v>
      </c>
      <c r="C229" s="1084" t="str">
        <f t="shared" si="50"/>
        <v>Bass LI bắt LA</v>
      </c>
      <c r="D229" s="85" t="str">
        <f t="shared" si="51"/>
        <v>Bộ</v>
      </c>
      <c r="E229" s="448">
        <f ca="1">SUMIF(OFFSET(tongctvtdd1,0,-(COLUMN(E229)+7-(COLUMN(E229)-5)/2)),KLVT!$A229,tongctvtdd1)+SUMIF(OFFSET(tongctvtpk1,0,-(COLUMN(E229)+7-(COLUMN(E229)-5)/2)),KLVT!$A229,tongctvtpk1)</f>
        <v>0</v>
      </c>
      <c r="F229" s="449">
        <f ca="1">SUMIF(OFFSET(cttba_vlvt1_1,0,-9,-ROW(cttba_vlvt1_1)+ROW(cttba_vltb1_1)-10),KLVT!$A229,OFFSET(cttba_vlvt1_1,0,-4,-ROW(cttba_vlvt1_1)+ROW(cttba_vltb1_1)-10))</f>
        <v>0</v>
      </c>
      <c r="G229" s="451">
        <f t="shared" ca="1" si="53"/>
        <v>0</v>
      </c>
      <c r="H229" s="450">
        <f t="shared" si="54"/>
        <v>0.5</v>
      </c>
      <c r="I229" s="447">
        <f t="shared" ca="1" si="55"/>
        <v>0</v>
      </c>
      <c r="J229" s="447">
        <f t="shared" ca="1" si="56"/>
        <v>0</v>
      </c>
      <c r="K229" s="373">
        <f t="shared" ca="1" si="52"/>
        <v>0</v>
      </c>
    </row>
    <row r="230" spans="1:11" s="45" customFormat="1" hidden="1">
      <c r="A230" s="373" t="str">
        <f>IF(AND(COUNTIF($A$5:$A$133,R_DG!A103)=0,R_DG!R103&gt;0,ISNUMBER(R_DG!R103)),R_DG!A103,"NONE")</f>
        <v>BATLL</v>
      </c>
      <c r="B230" s="85">
        <f ca="1">IF(K230&gt;0,COUNTIF(K$6:K230,"&gt;0"),B229)</f>
        <v>11</v>
      </c>
      <c r="C230" s="1084" t="str">
        <f t="shared" si="50"/>
        <v>Bass LL bắt FCO và LA</v>
      </c>
      <c r="D230" s="85" t="str">
        <f t="shared" si="51"/>
        <v>bộ</v>
      </c>
      <c r="E230" s="448">
        <f ca="1">SUMIF(OFFSET(tongctvtdd1,0,-(COLUMN(E230)+7-(COLUMN(E230)-5)/2)),KLVT!$A230,tongctvtdd1)+SUMIF(OFFSET(tongctvtpk1,0,-(COLUMN(E230)+7-(COLUMN(E230)-5)/2)),KLVT!$A230,tongctvtpk1)</f>
        <v>0</v>
      </c>
      <c r="F230" s="449">
        <f ca="1">SUMIF(OFFSET(cttba_vlvt1_1,0,-9,-ROW(cttba_vlvt1_1)+ROW(cttba_vltb1_1)-10),KLVT!$A230,OFFSET(cttba_vlvt1_1,0,-4,-ROW(cttba_vlvt1_1)+ROW(cttba_vltb1_1)-10))</f>
        <v>0</v>
      </c>
      <c r="G230" s="451">
        <f t="shared" ca="1" si="53"/>
        <v>0</v>
      </c>
      <c r="H230" s="450">
        <f t="shared" si="54"/>
        <v>0.5</v>
      </c>
      <c r="I230" s="447">
        <f t="shared" ca="1" si="55"/>
        <v>0</v>
      </c>
      <c r="J230" s="447">
        <f t="shared" ca="1" si="56"/>
        <v>0</v>
      </c>
      <c r="K230" s="1094">
        <f t="shared" ca="1" si="52"/>
        <v>0</v>
      </c>
    </row>
    <row r="231" spans="1:11" s="45" customFormat="1" ht="15.75" hidden="1">
      <c r="A231" s="373" t="str">
        <f>IF(AND(COUNTIF($A$5:$A$133,R_DG!A104)=0,R_DG!R104&gt;0,ISNUMBER(R_DG!R104)),R_DG!A104,"NONE")</f>
        <v>CT25</v>
      </c>
      <c r="B231" s="85">
        <f ca="1">IF(K231&gt;0,COUNTIF(K$6:K231,"&gt;0"),B230)</f>
        <v>11</v>
      </c>
      <c r="C231" s="1084" t="str">
        <f t="shared" si="50"/>
        <v>Cừ tràm 2,5m</v>
      </c>
      <c r="D231" s="85" t="str">
        <f t="shared" si="51"/>
        <v>cây</v>
      </c>
      <c r="E231" s="448">
        <f ca="1">SUMIF(OFFSET(tongctvtdd1,0,-(COLUMN(E231)+7-(COLUMN(E231)-5)/2)),KLVT!$A231,tongctvtdd1)+SUMIF(OFFSET(tongctvtpk1,0,-(COLUMN(E231)+7-(COLUMN(E231)-5)/2)),KLVT!$A231,tongctvtpk1)</f>
        <v>0</v>
      </c>
      <c r="F231" s="449">
        <f ca="1">SUMIF(OFFSET(cttba_vlvt1_1,0,-9,-ROW(cttba_vlvt1_1)+ROW(cttba_vltb1_1)-10),KLVT!$A231,OFFSET(cttba_vlvt1_1,0,-4,-ROW(cttba_vlvt1_1)+ROW(cttba_vltb1_1)-10))</f>
        <v>0</v>
      </c>
      <c r="G231" s="451">
        <f t="shared" ca="1" si="53"/>
        <v>0</v>
      </c>
      <c r="H231" s="450">
        <f t="shared" si="54"/>
        <v>7</v>
      </c>
      <c r="I231" s="447">
        <f t="shared" ca="1" si="55"/>
        <v>0</v>
      </c>
      <c r="J231" s="447">
        <f t="shared" ca="1" si="56"/>
        <v>0</v>
      </c>
      <c r="K231" s="373">
        <f t="shared" ca="1" si="52"/>
        <v>0</v>
      </c>
    </row>
    <row r="232" spans="1:11" s="45" customFormat="1" ht="15.75" hidden="1">
      <c r="A232" s="373" t="str">
        <f>IF(AND(COUNTIF($A$5:$A$133,R_DG!A105)=0,R_DG!R105&gt;0,ISNUMBER(R_DG!R105)),R_DG!A105,"NONE")</f>
        <v>CT3</v>
      </c>
      <c r="B232" s="85">
        <f ca="1">IF(K232&gt;0,COUNTIF(K$6:K232,"&gt;0"),B231)</f>
        <v>11</v>
      </c>
      <c r="C232" s="1084" t="str">
        <f t="shared" si="50"/>
        <v>Cừ tràm 3m</v>
      </c>
      <c r="D232" s="85" t="str">
        <f t="shared" si="51"/>
        <v>cây</v>
      </c>
      <c r="E232" s="448">
        <f ca="1">SUMIF(OFFSET(tongctvtdd1,0,-(COLUMN(E232)+7-(COLUMN(E232)-5)/2)),KLVT!$A232,tongctvtdd1)+SUMIF(OFFSET(tongctvtpk1,0,-(COLUMN(E232)+7-(COLUMN(E232)-5)/2)),KLVT!$A232,tongctvtpk1)</f>
        <v>0</v>
      </c>
      <c r="F232" s="449">
        <f ca="1">SUMIF(OFFSET(cttba_vlvt1_1,0,-9,-ROW(cttba_vlvt1_1)+ROW(cttba_vltb1_1)-10),KLVT!$A232,OFFSET(cttba_vlvt1_1,0,-4,-ROW(cttba_vlvt1_1)+ROW(cttba_vltb1_1)-10))</f>
        <v>0</v>
      </c>
      <c r="G232" s="451">
        <f t="shared" ca="1" si="53"/>
        <v>0</v>
      </c>
      <c r="H232" s="450">
        <f t="shared" si="54"/>
        <v>10</v>
      </c>
      <c r="I232" s="447">
        <f t="shared" ca="1" si="55"/>
        <v>0</v>
      </c>
      <c r="J232" s="447">
        <f t="shared" ca="1" si="56"/>
        <v>0</v>
      </c>
      <c r="K232" s="373">
        <f t="shared" ca="1" si="52"/>
        <v>0</v>
      </c>
    </row>
    <row r="233" spans="1:11" s="45" customFormat="1" ht="15.75" hidden="1">
      <c r="A233" s="373" t="str">
        <f>IF(AND(COUNTIF($A$5:$A$133,R_DG!A106)=0,R_DG!R106&gt;0,ISNUMBER(R_DG!R106)),R_DG!A106,"NONE")</f>
        <v>CONG 1</v>
      </c>
      <c r="B233" s="85">
        <f ca="1">IF(K233&gt;0,COUNTIF(K$6:K233,"&gt;0"),B232)</f>
        <v>11</v>
      </c>
      <c r="C233" s="1084" t="str">
        <f t="shared" si="50"/>
        <v>Cong D1000x1000mm</v>
      </c>
      <c r="D233" s="85" t="str">
        <f t="shared" si="51"/>
        <v>cái</v>
      </c>
      <c r="E233" s="448">
        <f ca="1">SUMIF(OFFSET(tongctvtdd1,0,-(COLUMN(E233)+7-(COLUMN(E233)-5)/2)),KLVT!$A233,tongctvtdd1)+SUMIF(OFFSET(tongctvtpk1,0,-(COLUMN(E233)+7-(COLUMN(E233)-5)/2)),KLVT!$A233,tongctvtpk1)</f>
        <v>0</v>
      </c>
      <c r="F233" s="449">
        <f ca="1">SUMIF(OFFSET(cttba_vlvt1_1,0,-9,-ROW(cttba_vlvt1_1)+ROW(cttba_vltb1_1)-10),KLVT!$A233,OFFSET(cttba_vlvt1_1,0,-4,-ROW(cttba_vlvt1_1)+ROW(cttba_vltb1_1)-10))</f>
        <v>0</v>
      </c>
      <c r="G233" s="451">
        <f t="shared" ca="1" si="53"/>
        <v>0</v>
      </c>
      <c r="H233" s="450">
        <f t="shared" si="54"/>
        <v>5</v>
      </c>
      <c r="I233" s="447">
        <f t="shared" ca="1" si="55"/>
        <v>0</v>
      </c>
      <c r="J233" s="447">
        <f t="shared" ca="1" si="56"/>
        <v>0</v>
      </c>
      <c r="K233" s="373">
        <f t="shared" ca="1" si="52"/>
        <v>0</v>
      </c>
    </row>
    <row r="234" spans="1:11" s="45" customFormat="1" ht="15.75" hidden="1">
      <c r="A234" s="373" t="str">
        <f>IF(AND(COUNTIF($A$5:$A$133,R_DG!A107)=0,R_DG!R107&gt;0,ISNUMBER(R_DG!R107)),R_DG!A107,"NONE")</f>
        <v>CONG 2</v>
      </c>
      <c r="B234" s="85">
        <f ca="1">IF(K234&gt;0,COUNTIF(K$6:K234,"&gt;0"),B233)</f>
        <v>11</v>
      </c>
      <c r="C234" s="1084" t="str">
        <f t="shared" si="50"/>
        <v>Cong D1000x400mm</v>
      </c>
      <c r="D234" s="85" t="str">
        <f t="shared" si="51"/>
        <v>cái</v>
      </c>
      <c r="E234" s="448">
        <f ca="1">SUMIF(OFFSET(tongctvtdd1,0,-(COLUMN(E234)+7-(COLUMN(E234)-5)/2)),KLVT!$A234,tongctvtdd1)+SUMIF(OFFSET(tongctvtpk1,0,-(COLUMN(E234)+7-(COLUMN(E234)-5)/2)),KLVT!$A234,tongctvtpk1)</f>
        <v>0</v>
      </c>
      <c r="F234" s="449">
        <f ca="1">SUMIF(OFFSET(cttba_vlvt1_1,0,-9,-ROW(cttba_vlvt1_1)+ROW(cttba_vltb1_1)-10),KLVT!$A234,OFFSET(cttba_vlvt1_1,0,-4,-ROW(cttba_vlvt1_1)+ROW(cttba_vltb1_1)-10))</f>
        <v>0</v>
      </c>
      <c r="G234" s="451">
        <f t="shared" ca="1" si="53"/>
        <v>0</v>
      </c>
      <c r="H234" s="450">
        <f t="shared" si="54"/>
        <v>5</v>
      </c>
      <c r="I234" s="447">
        <f t="shared" ca="1" si="55"/>
        <v>0</v>
      </c>
      <c r="J234" s="447">
        <f t="shared" ca="1" si="56"/>
        <v>0</v>
      </c>
      <c r="K234" s="373">
        <f t="shared" ca="1" si="52"/>
        <v>0</v>
      </c>
    </row>
    <row r="235" spans="1:11" s="45" customFormat="1" ht="15.75" hidden="1">
      <c r="A235" s="373" t="str">
        <f>IF(AND(COUNTIF($A$5:$A$133,R_DG!A108)=0,R_DG!R108&gt;0,ISNUMBER(R_DG!R108)),R_DG!A108,"NONE")</f>
        <v>CT5</v>
      </c>
      <c r="B235" s="85">
        <f ca="1">IF(K235&gt;0,COUNTIF(K$6:K235,"&gt;0"),B234)</f>
        <v>11</v>
      </c>
      <c r="C235" s="1084" t="str">
        <f t="shared" si="50"/>
        <v>Cừ tràm 5m</v>
      </c>
      <c r="D235" s="85" t="str">
        <f t="shared" si="51"/>
        <v>cây</v>
      </c>
      <c r="E235" s="448">
        <f ca="1">SUMIF(OFFSET(tongctvtdd1,0,-(COLUMN(E235)+7-(COLUMN(E235)-5)/2)),KLVT!$A235,tongctvtdd1)+SUMIF(OFFSET(tongctvtpk1,0,-(COLUMN(E235)+7-(COLUMN(E235)-5)/2)),KLVT!$A235,tongctvtpk1)</f>
        <v>0</v>
      </c>
      <c r="F235" s="449">
        <f ca="1">SUMIF(OFFSET(cttba_vlvt1_1,0,-9,-ROW(cttba_vlvt1_1)+ROW(cttba_vltb1_1)-10),KLVT!$A235,OFFSET(cttba_vlvt1_1,0,-4,-ROW(cttba_vlvt1_1)+ROW(cttba_vltb1_1)-10))</f>
        <v>0</v>
      </c>
      <c r="G235" s="451">
        <f t="shared" ca="1" si="53"/>
        <v>0</v>
      </c>
      <c r="H235" s="450">
        <f t="shared" si="54"/>
        <v>15</v>
      </c>
      <c r="I235" s="447">
        <f t="shared" ca="1" si="55"/>
        <v>0</v>
      </c>
      <c r="J235" s="447">
        <f t="shared" ca="1" si="56"/>
        <v>0</v>
      </c>
      <c r="K235" s="374">
        <f t="shared" ca="1" si="52"/>
        <v>0</v>
      </c>
    </row>
    <row r="236" spans="1:11" s="45" customFormat="1" ht="15.75" hidden="1">
      <c r="A236" s="373" t="str">
        <f>IF(AND(COUNTIF($A$5:$A$133,R_DG!A109)=0,R_DG!R109&gt;0,ISNUMBER(R_DG!R109)),R_DG!A109,"NONE")</f>
        <v>MONGTB</v>
      </c>
      <c r="B236" s="85">
        <f ca="1">IF(K236&gt;0,COUNTIF(K$6:K236,"&gt;0"),B235)</f>
        <v>11</v>
      </c>
      <c r="C236" s="1084" t="str">
        <f t="shared" si="50"/>
        <v>Móng đặt tủ bù (0,2x0,2x0,4)x4 móng</v>
      </c>
      <c r="D236" s="85" t="str">
        <f t="shared" si="51"/>
        <v>Trọn bộ</v>
      </c>
      <c r="E236" s="448">
        <f ca="1">SUMIF(OFFSET(tongctvtdd1,0,-(COLUMN(E236)+7-(COLUMN(E236)-5)/2)),KLVT!$A236,tongctvtdd1)+SUMIF(OFFSET(tongctvtpk1,0,-(COLUMN(E236)+7-(COLUMN(E236)-5)/2)),KLVT!$A236,tongctvtpk1)</f>
        <v>0</v>
      </c>
      <c r="F236" s="449">
        <f ca="1">SUMIF(OFFSET(cttba_vlvt1_1,0,-9,-ROW(cttba_vlvt1_1)+ROW(cttba_vltb1_1)-10),KLVT!$A236,OFFSET(cttba_vlvt1_1,0,-4,-ROW(cttba_vlvt1_1)+ROW(cttba_vltb1_1)-10))</f>
        <v>0</v>
      </c>
      <c r="G236" s="451">
        <f t="shared" ca="1" si="53"/>
        <v>0</v>
      </c>
      <c r="H236" s="450">
        <f t="shared" si="54"/>
        <v>25</v>
      </c>
      <c r="I236" s="447">
        <f t="shared" ca="1" si="55"/>
        <v>0</v>
      </c>
      <c r="J236" s="447">
        <f t="shared" ca="1" si="56"/>
        <v>0</v>
      </c>
      <c r="K236" s="373">
        <f t="shared" ca="1" si="52"/>
        <v>0</v>
      </c>
    </row>
    <row r="237" spans="1:11" s="45" customFormat="1" ht="15.75" hidden="1">
      <c r="A237" s="373" t="str">
        <f>IF(AND(COUNTIF($A$5:$A$133,R_DG!A110)=0,R_DG!R110&gt;0,ISNUMBER(R_DG!R110)),R_DG!A110,"NONE")</f>
        <v>M11</v>
      </c>
      <c r="B237" s="85">
        <f ca="1">IF(K237&gt;0,COUNTIF(K$6:K237,"&gt;0"),B236)</f>
        <v>11</v>
      </c>
      <c r="C237" s="1084" t="str">
        <f t="shared" si="50"/>
        <v>Cáp đồng trần M11mm2</v>
      </c>
      <c r="D237" s="85" t="str">
        <f t="shared" si="51"/>
        <v>kg</v>
      </c>
      <c r="E237" s="448">
        <f ca="1">SUMIF(OFFSET(tongctvtdd1,0,-(COLUMN(E237)+7-(COLUMN(E237)-5)/2)),KLVT!$A237,tongctvtdd1)+SUMIF(OFFSET(tongctvtpk1,0,-(COLUMN(E237)+7-(COLUMN(E237)-5)/2)),KLVT!$A237,tongctvtpk1)</f>
        <v>0</v>
      </c>
      <c r="F237" s="449">
        <f ca="1">SUMIF(OFFSET(cttba_vlvt1_1,0,-9,-ROW(cttba_vlvt1_1)+ROW(cttba_vltb1_1)-10),KLVT!$A237,OFFSET(cttba_vlvt1_1,0,-4,-ROW(cttba_vlvt1_1)+ROW(cttba_vltb1_1)-10))</f>
        <v>0</v>
      </c>
      <c r="G237" s="451">
        <f t="shared" ca="1" si="53"/>
        <v>0</v>
      </c>
      <c r="H237" s="450">
        <f t="shared" si="54"/>
        <v>1</v>
      </c>
      <c r="I237" s="447">
        <f t="shared" ca="1" si="55"/>
        <v>0</v>
      </c>
      <c r="J237" s="447">
        <f t="shared" ca="1" si="56"/>
        <v>0</v>
      </c>
      <c r="K237" s="373">
        <f t="shared" ca="1" si="52"/>
        <v>0</v>
      </c>
    </row>
    <row r="238" spans="1:11" s="45" customFormat="1" ht="15.75" hidden="1">
      <c r="A238" s="373" t="str">
        <f>IF(AND(COUNTIF($A$5:$A$133,R_DG!A111)=0,R_DG!R111&gt;0,ISNUMBER(R_DG!R111)),R_DG!A111,"NONE")</f>
        <v>M22</v>
      </c>
      <c r="B238" s="85">
        <f ca="1">IF(K238&gt;0,COUNTIF(K$6:K238,"&gt;0"),B237)</f>
        <v>11</v>
      </c>
      <c r="C238" s="1084" t="str">
        <f t="shared" si="50"/>
        <v>Cáp đồng trần M22mm2</v>
      </c>
      <c r="D238" s="85" t="str">
        <f t="shared" si="51"/>
        <v>kg</v>
      </c>
      <c r="E238" s="448">
        <f ca="1">SUMIF(OFFSET(tongctvtdd1,0,-(COLUMN(E238)+7-(COLUMN(E238)-5)/2)),KLVT!$A238,tongctvtdd1)+SUMIF(OFFSET(tongctvtpk1,0,-(COLUMN(E238)+7-(COLUMN(E238)-5)/2)),KLVT!$A238,tongctvtpk1)</f>
        <v>0</v>
      </c>
      <c r="F238" s="449">
        <f ca="1">SUMIF(OFFSET(cttba_vlvt1_1,0,-9,-ROW(cttba_vlvt1_1)+ROW(cttba_vltb1_1)-10),KLVT!$A238,OFFSET(cttba_vlvt1_1,0,-4,-ROW(cttba_vlvt1_1)+ROW(cttba_vltb1_1)-10))</f>
        <v>0</v>
      </c>
      <c r="G238" s="451">
        <f t="shared" ca="1" si="53"/>
        <v>0</v>
      </c>
      <c r="H238" s="450">
        <f t="shared" si="54"/>
        <v>1</v>
      </c>
      <c r="I238" s="447">
        <f t="shared" ca="1" si="55"/>
        <v>0</v>
      </c>
      <c r="J238" s="447">
        <f t="shared" ca="1" si="56"/>
        <v>0</v>
      </c>
      <c r="K238" s="373">
        <f t="shared" ca="1" si="52"/>
        <v>0</v>
      </c>
    </row>
    <row r="239" spans="1:11">
      <c r="A239" s="1251" t="str">
        <f>IF(AND(COUNTIF($A$5:$A$133,R_DG!A112)=0,R_DG!R112&gt;0,ISNUMBER(R_DG!R112)),R_DG!A112,"NONE")</f>
        <v>M25</v>
      </c>
      <c r="B239" s="438">
        <f ca="1">IF(K239&gt;0,COUNTIF(K$6:K239,"&gt;0"),B238)</f>
        <v>12</v>
      </c>
      <c r="C239" s="1278" t="str">
        <f t="shared" si="50"/>
        <v>Cáp đồng trần M25mm2</v>
      </c>
      <c r="D239" s="438" t="str">
        <f t="shared" si="51"/>
        <v>kg</v>
      </c>
      <c r="E239" s="1276">
        <f ca="1">SUMIF(OFFSET(tongctvtdd1,0,-(COLUMN(E239)+7-(COLUMN(E239)-5)/2)),KLVT!$A239,tongctvtdd1)+SUMIF(OFFSET(tongctvtpk1,0,-(COLUMN(E239)+7-(COLUMN(E239)-5)/2)),KLVT!$A239,tongctvtpk1)</f>
        <v>39.647999999999996</v>
      </c>
      <c r="F239" s="1277">
        <f ca="1">SUMIF(OFFSET(cttba_vlvt1_1,0,-9,-ROW(cttba_vlvt1_1)+ROW(cttba_vltb1_1)-10),KLVT!$A239,OFFSET(cttba_vlvt1_1,0,-4,-ROW(cttba_vlvt1_1)+ROW(cttba_vltb1_1)-10))</f>
        <v>0</v>
      </c>
      <c r="G239" s="1277">
        <f t="shared" ca="1" si="53"/>
        <v>39.647999999999996</v>
      </c>
      <c r="H239" s="1274">
        <f t="shared" si="54"/>
        <v>1</v>
      </c>
      <c r="I239" s="1279">
        <f t="shared" ca="1" si="55"/>
        <v>39.647999999999996</v>
      </c>
      <c r="J239" s="1279">
        <f t="shared" ca="1" si="56"/>
        <v>0</v>
      </c>
      <c r="K239" s="1268">
        <f t="shared" ca="1" si="52"/>
        <v>1</v>
      </c>
    </row>
    <row r="240" spans="1:11" s="45" customFormat="1" ht="15.75" hidden="1">
      <c r="A240" s="373" t="str">
        <f>IF(AND(COUNTIF($A$5:$A$133,R_DG!A113)=0,R_DG!R113&gt;0,ISNUMBER(R_DG!R113)),R_DG!A113,"NONE")</f>
        <v>M38</v>
      </c>
      <c r="B240" s="85">
        <f ca="1">IF(K240&gt;0,COUNTIF(K$6:K240,"&gt;0"),B239)</f>
        <v>12</v>
      </c>
      <c r="C240" s="1084" t="str">
        <f t="shared" si="50"/>
        <v>Cáp đồng trần M38mm2</v>
      </c>
      <c r="D240" s="85" t="str">
        <f t="shared" si="51"/>
        <v>kg</v>
      </c>
      <c r="E240" s="448">
        <f ca="1">SUMIF(OFFSET(tongctvtdd1,0,-(COLUMN(E240)+7-(COLUMN(E240)-5)/2)),KLVT!$A240,tongctvtdd1)+SUMIF(OFFSET(tongctvtpk1,0,-(COLUMN(E240)+7-(COLUMN(E240)-5)/2)),KLVT!$A240,tongctvtpk1)</f>
        <v>0</v>
      </c>
      <c r="F240" s="449">
        <f ca="1">SUMIF(OFFSET(cttba_vlvt1_1,0,-9,-ROW(cttba_vlvt1_1)+ROW(cttba_vltb1_1)-10),KLVT!$A240,OFFSET(cttba_vlvt1_1,0,-4,-ROW(cttba_vlvt1_1)+ROW(cttba_vltb1_1)-10))</f>
        <v>0</v>
      </c>
      <c r="G240" s="451">
        <f t="shared" ca="1" si="53"/>
        <v>0</v>
      </c>
      <c r="H240" s="450">
        <f t="shared" si="54"/>
        <v>1</v>
      </c>
      <c r="I240" s="447">
        <f t="shared" ca="1" si="55"/>
        <v>0</v>
      </c>
      <c r="J240" s="447">
        <f t="shared" ca="1" si="56"/>
        <v>0</v>
      </c>
      <c r="K240" s="374">
        <f t="shared" ca="1" si="52"/>
        <v>0</v>
      </c>
    </row>
    <row r="241" spans="1:11" s="45" customFormat="1" ht="15.75" hidden="1">
      <c r="A241" s="373" t="str">
        <f>IF(AND(COUNTIF($A$5:$A$133,R_DG!A114)=0,R_DG!R114&gt;0,ISNUMBER(R_DG!R114)),R_DG!A114,"NONE")</f>
        <v>MTBU</v>
      </c>
      <c r="B241" s="85">
        <f ca="1">IF(K241&gt;0,COUNTIF(K$6:K241,"&gt;0"),B240)</f>
        <v>12</v>
      </c>
      <c r="C241" s="1084" t="str">
        <f t="shared" si="50"/>
        <v>Bộ móng tủ bù 0,2x0,2x0,4x4móng</v>
      </c>
      <c r="D241" s="85" t="str">
        <f t="shared" si="51"/>
        <v>trọn bộ</v>
      </c>
      <c r="E241" s="448">
        <f ca="1">SUMIF(OFFSET(tongctvtdd1,0,-(COLUMN(E241)+7-(COLUMN(E241)-5)/2)),KLVT!$A241,tongctvtdd1)+SUMIF(OFFSET(tongctvtpk1,0,-(COLUMN(E241)+7-(COLUMN(E241)-5)/2)),KLVT!$A241,tongctvtpk1)</f>
        <v>0</v>
      </c>
      <c r="F241" s="449">
        <f ca="1">SUMIF(OFFSET(cttba_vlvt1_1,0,-9,-ROW(cttba_vlvt1_1)+ROW(cttba_vltb1_1)-10),KLVT!$A241,OFFSET(cttba_vlvt1_1,0,-4,-ROW(cttba_vlvt1_1)+ROW(cttba_vltb1_1)-10))</f>
        <v>0</v>
      </c>
      <c r="G241" s="451">
        <f t="shared" ca="1" si="53"/>
        <v>0</v>
      </c>
      <c r="H241" s="450">
        <f t="shared" si="54"/>
        <v>25</v>
      </c>
      <c r="I241" s="447">
        <f t="shared" ca="1" si="55"/>
        <v>0</v>
      </c>
      <c r="J241" s="447">
        <f t="shared" ca="1" si="56"/>
        <v>0</v>
      </c>
      <c r="K241" s="373">
        <f t="shared" ca="1" si="52"/>
        <v>0</v>
      </c>
    </row>
    <row r="242" spans="1:11" s="45" customFormat="1" ht="15.75" hidden="1">
      <c r="A242" s="373" t="str">
        <f>IF(AND(COUNTIF($A$5:$A$133,R_DG!A115)=0,R_DG!R115&gt;0,ISNUMBER(R_DG!R115)),R_DG!A115,"NONE")</f>
        <v>M50</v>
      </c>
      <c r="B242" s="85">
        <f ca="1">IF(K242&gt;0,COUNTIF(K$6:K242,"&gt;0"),B241)</f>
        <v>12</v>
      </c>
      <c r="C242" s="1084" t="str">
        <f t="shared" si="50"/>
        <v>Cáp đồng trần M50mm2</v>
      </c>
      <c r="D242" s="85" t="str">
        <f t="shared" si="51"/>
        <v>kg</v>
      </c>
      <c r="E242" s="448">
        <f ca="1">SUMIF(OFFSET(tongctvtdd1,0,-(COLUMN(E242)+7-(COLUMN(E242)-5)/2)),KLVT!$A242,tongctvtdd1)+SUMIF(OFFSET(tongctvtpk1,0,-(COLUMN(E242)+7-(COLUMN(E242)-5)/2)),KLVT!$A242,tongctvtpk1)</f>
        <v>0</v>
      </c>
      <c r="F242" s="449">
        <f ca="1">SUMIF(OFFSET(cttba_vlvt1_1,0,-9,-ROW(cttba_vlvt1_1)+ROW(cttba_vltb1_1)-10),KLVT!$A242,OFFSET(cttba_vlvt1_1,0,-4,-ROW(cttba_vlvt1_1)+ROW(cttba_vltb1_1)-10))</f>
        <v>0</v>
      </c>
      <c r="G242" s="451">
        <f t="shared" ca="1" si="53"/>
        <v>0</v>
      </c>
      <c r="H242" s="450">
        <f t="shared" si="54"/>
        <v>1</v>
      </c>
      <c r="I242" s="447">
        <f t="shared" ca="1" si="55"/>
        <v>0</v>
      </c>
      <c r="J242" s="447">
        <f t="shared" ca="1" si="56"/>
        <v>0</v>
      </c>
      <c r="K242" s="373">
        <f t="shared" ca="1" si="52"/>
        <v>0</v>
      </c>
    </row>
    <row r="243" spans="1:11" s="45" customFormat="1" ht="15.75" hidden="1">
      <c r="A243" s="373" t="str">
        <f>IF(AND(COUNTIF($A$5:$A$133,R_DG!A116)=0,R_DG!R116&gt;0,ISNUMBER(R_DG!R116)),R_DG!A116,"NONE")</f>
        <v>XLPE22</v>
      </c>
      <c r="B243" s="85">
        <f ca="1">IF(K243&gt;0,COUNTIF(K$6:K243,"&gt;0"),B242)</f>
        <v>12</v>
      </c>
      <c r="C243" s="1084" t="str">
        <f t="shared" si="50"/>
        <v>Cáp 24KV C/XLPE/PVC 22mm2</v>
      </c>
      <c r="D243" s="85" t="str">
        <f t="shared" si="51"/>
        <v>mét</v>
      </c>
      <c r="E243" s="448">
        <f ca="1">SUMIF(OFFSET(tongctvtdd1,0,-(COLUMN(E243)+7-(COLUMN(E243)-5)/2)),KLVT!$A243,tongctvtdd1)+SUMIF(OFFSET(tongctvtpk1,0,-(COLUMN(E243)+7-(COLUMN(E243)-5)/2)),KLVT!$A243,tongctvtpk1)</f>
        <v>0</v>
      </c>
      <c r="F243" s="449">
        <f ca="1">SUMIF(OFFSET(cttba_vlvt1_1,0,-9,-ROW(cttba_vlvt1_1)+ROW(cttba_vltb1_1)-10),KLVT!$A243,OFFSET(cttba_vlvt1_1,0,-4,-ROW(cttba_vlvt1_1)+ROW(cttba_vltb1_1)-10))</f>
        <v>0</v>
      </c>
      <c r="G243" s="451">
        <f t="shared" ca="1" si="53"/>
        <v>0</v>
      </c>
      <c r="H243" s="450">
        <f t="shared" si="54"/>
        <v>0.67</v>
      </c>
      <c r="I243" s="447">
        <f t="shared" ca="1" si="55"/>
        <v>0</v>
      </c>
      <c r="J243" s="447">
        <f t="shared" ca="1" si="56"/>
        <v>0</v>
      </c>
      <c r="K243" s="373">
        <f t="shared" ca="1" si="52"/>
        <v>0</v>
      </c>
    </row>
    <row r="244" spans="1:11" s="45" customFormat="1" hidden="1">
      <c r="A244" s="373" t="str">
        <f>IF(AND(COUNTIF($A$5:$A$133,R_DG!A117)=0,R_DG!R117&gt;0,ISNUMBER(R_DG!R117)),R_DG!A117,"NONE")</f>
        <v>XLPE25</v>
      </c>
      <c r="B244" s="85">
        <f ca="1">IF(K244&gt;0,COUNTIF(K$6:K244,"&gt;0"),B243)</f>
        <v>12</v>
      </c>
      <c r="C244" s="1084" t="str">
        <f t="shared" si="50"/>
        <v>Cáp 24KV C/XLPE/PVC 25mm2</v>
      </c>
      <c r="D244" s="85" t="str">
        <f t="shared" si="51"/>
        <v>mét</v>
      </c>
      <c r="E244" s="448">
        <f ca="1">SUMIF(OFFSET(tongctvtdd1,0,-(COLUMN(E244)+7-(COLUMN(E244)-5)/2)),KLVT!$A244,tongctvtdd1)+SUMIF(OFFSET(tongctvtpk1,0,-(COLUMN(E244)+7-(COLUMN(E244)-5)/2)),KLVT!$A244,tongctvtpk1)</f>
        <v>0</v>
      </c>
      <c r="F244" s="449">
        <f ca="1">SUMIF(OFFSET(cttba_vlvt1_1,0,-9,-ROW(cttba_vlvt1_1)+ROW(cttba_vltb1_1)-10),KLVT!$A244,OFFSET(cttba_vlvt1_1,0,-4,-ROW(cttba_vlvt1_1)+ROW(cttba_vltb1_1)-10))</f>
        <v>0</v>
      </c>
      <c r="G244" s="451">
        <f t="shared" ca="1" si="53"/>
        <v>0</v>
      </c>
      <c r="H244" s="450">
        <f t="shared" si="54"/>
        <v>0.71</v>
      </c>
      <c r="I244" s="447">
        <f t="shared" ca="1" si="55"/>
        <v>0</v>
      </c>
      <c r="J244" s="447">
        <f t="shared" ca="1" si="56"/>
        <v>0</v>
      </c>
      <c r="K244" s="1094">
        <f t="shared" ca="1" si="52"/>
        <v>0</v>
      </c>
    </row>
    <row r="245" spans="1:11" s="45" customFormat="1" ht="15.75" hidden="1">
      <c r="A245" s="373" t="str">
        <f>IF(AND(COUNTIF($A$5:$A$133,R_DG!A118)=0,R_DG!R118&gt;0,ISNUMBER(R_DG!R118)),R_DG!A118,"NONE")</f>
        <v>XLPE35</v>
      </c>
      <c r="B245" s="85">
        <f ca="1">IF(K245&gt;0,COUNTIF(K$6:K245,"&gt;0"),B244)</f>
        <v>12</v>
      </c>
      <c r="C245" s="1084" t="str">
        <f t="shared" si="50"/>
        <v>Cáp 24KV C/XLPE/PVC 35mm2</v>
      </c>
      <c r="D245" s="85" t="str">
        <f t="shared" si="51"/>
        <v>mét</v>
      </c>
      <c r="E245" s="448">
        <f ca="1">SUMIF(OFFSET(tongctvtdd1,0,-(COLUMN(E245)+7-(COLUMN(E245)-5)/2)),KLVT!$A245,tongctvtdd1)+SUMIF(OFFSET(tongctvtpk1,0,-(COLUMN(E245)+7-(COLUMN(E245)-5)/2)),KLVT!$A245,tongctvtpk1)</f>
        <v>0</v>
      </c>
      <c r="F245" s="449">
        <f ca="1">SUMIF(OFFSET(cttba_vlvt1_1,0,-9,-ROW(cttba_vlvt1_1)+ROW(cttba_vltb1_1)-10),KLVT!$A245,OFFSET(cttba_vlvt1_1,0,-4,-ROW(cttba_vlvt1_1)+ROW(cttba_vltb1_1)-10))</f>
        <v>0</v>
      </c>
      <c r="G245" s="451">
        <f t="shared" ca="1" si="53"/>
        <v>0</v>
      </c>
      <c r="H245" s="450">
        <f t="shared" si="54"/>
        <v>0.85</v>
      </c>
      <c r="I245" s="447">
        <f t="shared" ca="1" si="55"/>
        <v>0</v>
      </c>
      <c r="J245" s="447">
        <f t="shared" ca="1" si="56"/>
        <v>0</v>
      </c>
      <c r="K245" s="374">
        <f t="shared" ca="1" si="52"/>
        <v>0</v>
      </c>
    </row>
    <row r="246" spans="1:11" s="45" customFormat="1" ht="15.75" hidden="1">
      <c r="A246" s="373" t="str">
        <f>IF(AND(COUNTIF($A$5:$A$133,R_DG!A119)=0,R_DG!R119&gt;0,ISNUMBER(R_DG!R119)),R_DG!A119,"NONE")</f>
        <v>XLPE50</v>
      </c>
      <c r="B246" s="85">
        <f ca="1">IF(K246&gt;0,COUNTIF(K$6:K246,"&gt;0"),B245)</f>
        <v>12</v>
      </c>
      <c r="C246" s="1084" t="str">
        <f t="shared" si="50"/>
        <v>Cáp 24KV C/XLPE/PVC 50mm2</v>
      </c>
      <c r="D246" s="85" t="str">
        <f t="shared" si="51"/>
        <v>mét</v>
      </c>
      <c r="E246" s="448">
        <f ca="1">SUMIF(OFFSET(tongctvtdd1,0,-(COLUMN(E246)+7-(COLUMN(E246)-5)/2)),KLVT!$A246,tongctvtdd1)+SUMIF(OFFSET(tongctvtpk1,0,-(COLUMN(E246)+7-(COLUMN(E246)-5)/2)),KLVT!$A246,tongctvtpk1)</f>
        <v>0</v>
      </c>
      <c r="F246" s="449">
        <f ca="1">SUMIF(OFFSET(cttba_vlvt1_1,0,-9,-ROW(cttba_vlvt1_1)+ROW(cttba_vltb1_1)-10),KLVT!$A246,OFFSET(cttba_vlvt1_1,0,-4,-ROW(cttba_vlvt1_1)+ROW(cttba_vltb1_1)-10))</f>
        <v>0</v>
      </c>
      <c r="G246" s="451">
        <f t="shared" ca="1" si="53"/>
        <v>0</v>
      </c>
      <c r="H246" s="450">
        <f t="shared" si="54"/>
        <v>1.0049999999999999</v>
      </c>
      <c r="I246" s="447">
        <f t="shared" ca="1" si="55"/>
        <v>0</v>
      </c>
      <c r="J246" s="447">
        <f t="shared" ca="1" si="56"/>
        <v>0</v>
      </c>
      <c r="K246" s="373">
        <f t="shared" ca="1" si="52"/>
        <v>0</v>
      </c>
    </row>
    <row r="247" spans="1:11" s="45" customFormat="1" ht="15.75" hidden="1">
      <c r="A247" s="373" t="str">
        <f>IF(AND(COUNTIF($A$5:$A$133,R_DG!A120)=0,R_DG!R120&gt;0,ISNUMBER(R_DG!R120)),R_DG!A120,"NONE")</f>
        <v>XLPE70</v>
      </c>
      <c r="B247" s="85">
        <f ca="1">IF(K247&gt;0,COUNTIF(K$6:K247,"&gt;0"),B246)</f>
        <v>12</v>
      </c>
      <c r="C247" s="1084" t="str">
        <f t="shared" si="50"/>
        <v>Cáp 24KV C/XLPE/PVC 70mm2</v>
      </c>
      <c r="D247" s="85" t="str">
        <f t="shared" si="51"/>
        <v>mét</v>
      </c>
      <c r="E247" s="448">
        <f ca="1">SUMIF(OFFSET(tongctvtdd1,0,-(COLUMN(E247)+7-(COLUMN(E247)-5)/2)),KLVT!$A247,tongctvtdd1)+SUMIF(OFFSET(tongctvtpk1,0,-(COLUMN(E247)+7-(COLUMN(E247)-5)/2)),KLVT!$A247,tongctvtpk1)</f>
        <v>0</v>
      </c>
      <c r="F247" s="449">
        <f ca="1">SUMIF(OFFSET(cttba_vlvt1_1,0,-9,-ROW(cttba_vlvt1_1)+ROW(cttba_vltb1_1)-10),KLVT!$A247,OFFSET(cttba_vlvt1_1,0,-4,-ROW(cttba_vlvt1_1)+ROW(cttba_vltb1_1)-10))</f>
        <v>0</v>
      </c>
      <c r="G247" s="451">
        <f t="shared" ca="1" si="53"/>
        <v>0</v>
      </c>
      <c r="H247" s="450">
        <f t="shared" si="54"/>
        <v>1.25</v>
      </c>
      <c r="I247" s="447">
        <f t="shared" ca="1" si="55"/>
        <v>0</v>
      </c>
      <c r="J247" s="447">
        <f t="shared" ca="1" si="56"/>
        <v>0</v>
      </c>
      <c r="K247" s="374">
        <f t="shared" ca="1" si="52"/>
        <v>0</v>
      </c>
    </row>
    <row r="248" spans="1:11" s="45" customFormat="1" ht="15.75" hidden="1">
      <c r="A248" s="373" t="str">
        <f>IF(AND(COUNTIF($A$5:$A$133,R_DG!A121)=0,R_DG!R121&gt;0,ISNUMBER(R_DG!R121)),R_DG!A121,"NONE")</f>
        <v>XLPE95</v>
      </c>
      <c r="B248" s="85">
        <f ca="1">IF(K248&gt;0,COUNTIF(K$6:K248,"&gt;0"),B247)</f>
        <v>12</v>
      </c>
      <c r="C248" s="1084" t="str">
        <f t="shared" si="50"/>
        <v>Cáp 24KV C/XLPE/PVC 95mm2</v>
      </c>
      <c r="D248" s="85" t="str">
        <f t="shared" si="51"/>
        <v>mét</v>
      </c>
      <c r="E248" s="448">
        <f ca="1">SUMIF(OFFSET(tongctvtdd1,0,-(COLUMN(E248)+7-(COLUMN(E248)-5)/2)),KLVT!$A248,tongctvtdd1)+SUMIF(OFFSET(tongctvtpk1,0,-(COLUMN(E248)+7-(COLUMN(E248)-5)/2)),KLVT!$A248,tongctvtpk1)</f>
        <v>0</v>
      </c>
      <c r="F248" s="449">
        <f ca="1">SUMIF(OFFSET(cttba_vlvt1_1,0,-9,-ROW(cttba_vlvt1_1)+ROW(cttba_vltb1_1)-10),KLVT!$A248,OFFSET(cttba_vlvt1_1,0,-4,-ROW(cttba_vlvt1_1)+ROW(cttba_vltb1_1)-10))</f>
        <v>0</v>
      </c>
      <c r="G248" s="451">
        <f t="shared" ca="1" si="53"/>
        <v>0</v>
      </c>
      <c r="H248" s="450">
        <f t="shared" si="54"/>
        <v>1.55</v>
      </c>
      <c r="I248" s="447">
        <f t="shared" ca="1" si="55"/>
        <v>0</v>
      </c>
      <c r="J248" s="447">
        <f t="shared" ca="1" si="56"/>
        <v>0</v>
      </c>
      <c r="K248" s="373">
        <f t="shared" ca="1" si="52"/>
        <v>0</v>
      </c>
    </row>
    <row r="249" spans="1:11" s="45" customFormat="1" ht="15.75" hidden="1">
      <c r="A249" s="373" t="str">
        <f>IF(AND(COUNTIF($A$5:$A$133,R_DG!A122)=0,R_DG!R122&gt;0,ISNUMBER(R_DG!R122)),R_DG!A122,"NONE")</f>
        <v>XLPE120</v>
      </c>
      <c r="B249" s="85">
        <f ca="1">IF(K249&gt;0,COUNTIF(K$6:K249,"&gt;0"),B248)</f>
        <v>12</v>
      </c>
      <c r="C249" s="1084" t="str">
        <f t="shared" si="50"/>
        <v>Cáp 24KV C/XLPE/PVC 120mm2</v>
      </c>
      <c r="D249" s="85" t="str">
        <f t="shared" si="51"/>
        <v>mét</v>
      </c>
      <c r="E249" s="448">
        <f ca="1">SUMIF(OFFSET(tongctvtdd1,0,-(COLUMN(E249)+7-(COLUMN(E249)-5)/2)),KLVT!$A249,tongctvtdd1)+SUMIF(OFFSET(tongctvtpk1,0,-(COLUMN(E249)+7-(COLUMN(E249)-5)/2)),KLVT!$A249,tongctvtpk1)</f>
        <v>0</v>
      </c>
      <c r="F249" s="449">
        <f ca="1">SUMIF(OFFSET(cttba_vlvt1_1,0,-9,-ROW(cttba_vlvt1_1)+ROW(cttba_vltb1_1)-10),KLVT!$A249,OFFSET(cttba_vlvt1_1,0,-4,-ROW(cttba_vlvt1_1)+ROW(cttba_vltb1_1)-10))</f>
        <v>0</v>
      </c>
      <c r="G249" s="451">
        <f t="shared" ca="1" si="53"/>
        <v>0</v>
      </c>
      <c r="H249" s="450">
        <f t="shared" si="54"/>
        <v>1.81</v>
      </c>
      <c r="I249" s="447">
        <f t="shared" ca="1" si="55"/>
        <v>0</v>
      </c>
      <c r="J249" s="447">
        <f t="shared" ca="1" si="56"/>
        <v>0</v>
      </c>
      <c r="K249" s="373">
        <f t="shared" ca="1" si="52"/>
        <v>0</v>
      </c>
    </row>
    <row r="250" spans="1:11" s="45" customFormat="1" ht="15.75" hidden="1">
      <c r="A250" s="373" t="str">
        <f>IF(AND(COUNTIF($A$5:$A$133,R_DG!A123)=0,R_DG!R123&gt;0,ISNUMBER(R_DG!R123)),R_DG!A123,"NONE")</f>
        <v>XLPE150</v>
      </c>
      <c r="B250" s="85">
        <f ca="1">IF(K250&gt;0,COUNTIF(K$6:K250,"&gt;0"),B249)</f>
        <v>12</v>
      </c>
      <c r="C250" s="1084" t="str">
        <f t="shared" si="50"/>
        <v>Cáp 24KV C/XLPE/PVC 150mm2</v>
      </c>
      <c r="D250" s="85" t="str">
        <f t="shared" si="51"/>
        <v>mét</v>
      </c>
      <c r="E250" s="448">
        <f ca="1">SUMIF(OFFSET(tongctvtdd1,0,-(COLUMN(E250)+7-(COLUMN(E250)-5)/2)),KLVT!$A250,tongctvtdd1)+SUMIF(OFFSET(tongctvtpk1,0,-(COLUMN(E250)+7-(COLUMN(E250)-5)/2)),KLVT!$A250,tongctvtpk1)</f>
        <v>0</v>
      </c>
      <c r="F250" s="449">
        <f ca="1">SUMIF(OFFSET(cttba_vlvt1_1,0,-9,-ROW(cttba_vlvt1_1)+ROW(cttba_vltb1_1)-10),KLVT!$A250,OFFSET(cttba_vlvt1_1,0,-4,-ROW(cttba_vlvt1_1)+ROW(cttba_vltb1_1)-10))</f>
        <v>0</v>
      </c>
      <c r="G250" s="451">
        <f t="shared" ca="1" si="53"/>
        <v>0</v>
      </c>
      <c r="H250" s="450">
        <f t="shared" si="54"/>
        <v>2.2000000000000002</v>
      </c>
      <c r="I250" s="447">
        <f t="shared" ca="1" si="55"/>
        <v>0</v>
      </c>
      <c r="J250" s="447">
        <f t="shared" ca="1" si="56"/>
        <v>0</v>
      </c>
      <c r="K250" s="373">
        <f t="shared" ca="1" si="52"/>
        <v>0</v>
      </c>
    </row>
    <row r="251" spans="1:11" s="45" customFormat="1" ht="15.75" hidden="1">
      <c r="A251" s="373" t="str">
        <f>IF(AND(COUNTIF($A$5:$A$133,R_DG!A124)=0,R_DG!R124&gt;0,ISNUMBER(R_DG!R124)),R_DG!A124,"NONE")</f>
        <v>XLPE185</v>
      </c>
      <c r="B251" s="85">
        <f ca="1">IF(K251&gt;0,COUNTIF(K$6:K251,"&gt;0"),B250)</f>
        <v>12</v>
      </c>
      <c r="C251" s="1084" t="str">
        <f t="shared" si="50"/>
        <v>Cáp 24KV C/XLPE/PVC 185mm2</v>
      </c>
      <c r="D251" s="85" t="str">
        <f t="shared" si="51"/>
        <v>mét</v>
      </c>
      <c r="E251" s="448">
        <f ca="1">SUMIF(OFFSET(tongctvtdd1,0,-(COLUMN(E251)+7-(COLUMN(E251)-5)/2)),KLVT!$A251,tongctvtdd1)+SUMIF(OFFSET(tongctvtpk1,0,-(COLUMN(E251)+7-(COLUMN(E251)-5)/2)),KLVT!$A251,tongctvtpk1)</f>
        <v>0</v>
      </c>
      <c r="F251" s="449">
        <f ca="1">SUMIF(OFFSET(cttba_vlvt1_1,0,-9,-ROW(cttba_vlvt1_1)+ROW(cttba_vltb1_1)-10),KLVT!$A251,OFFSET(cttba_vlvt1_1,0,-4,-ROW(cttba_vlvt1_1)+ROW(cttba_vltb1_1)-10))</f>
        <v>0</v>
      </c>
      <c r="G251" s="451">
        <f t="shared" ca="1" si="53"/>
        <v>0</v>
      </c>
      <c r="H251" s="450">
        <f t="shared" si="54"/>
        <v>2.54</v>
      </c>
      <c r="I251" s="447">
        <f t="shared" ca="1" si="55"/>
        <v>0</v>
      </c>
      <c r="J251" s="447">
        <f t="shared" ca="1" si="56"/>
        <v>0</v>
      </c>
      <c r="K251" s="373">
        <f t="shared" ca="1" si="52"/>
        <v>0</v>
      </c>
    </row>
    <row r="252" spans="1:11" s="45" customFormat="1" ht="15.75" hidden="1">
      <c r="A252" s="373" t="str">
        <f>IF(AND(COUNTIF($A$5:$A$133,R_DG!A125)=0,R_DG!R125&gt;0,ISNUMBER(R_DG!R125)),R_DG!A125,"NONE")</f>
        <v>XLPE240</v>
      </c>
      <c r="B252" s="85">
        <f ca="1">IF(K252&gt;0,COUNTIF(K$6:K252,"&gt;0"),B251)</f>
        <v>12</v>
      </c>
      <c r="C252" s="1084" t="str">
        <f t="shared" si="50"/>
        <v>Cáp 24KV C/XLPE/PVC 240mm2</v>
      </c>
      <c r="D252" s="85" t="str">
        <f t="shared" si="51"/>
        <v>mét</v>
      </c>
      <c r="E252" s="448">
        <f ca="1">SUMIF(OFFSET(tongctvtdd1,0,-(COLUMN(E252)+7-(COLUMN(E252)-5)/2)),KLVT!$A252,tongctvtdd1)+SUMIF(OFFSET(tongctvtpk1,0,-(COLUMN(E252)+7-(COLUMN(E252)-5)/2)),KLVT!$A252,tongctvtpk1)</f>
        <v>0</v>
      </c>
      <c r="F252" s="449">
        <f ca="1">SUMIF(OFFSET(cttba_vlvt1_1,0,-9,-ROW(cttba_vlvt1_1)+ROW(cttba_vltb1_1)-10),KLVT!$A252,OFFSET(cttba_vlvt1_1,0,-4,-ROW(cttba_vlvt1_1)+ROW(cttba_vltb1_1)-10))</f>
        <v>0</v>
      </c>
      <c r="G252" s="451">
        <f t="shared" ca="1" si="53"/>
        <v>0</v>
      </c>
      <c r="H252" s="450">
        <f t="shared" si="54"/>
        <v>3.1669999999999998</v>
      </c>
      <c r="I252" s="447">
        <f t="shared" ca="1" si="55"/>
        <v>0</v>
      </c>
      <c r="J252" s="447">
        <f t="shared" ca="1" si="56"/>
        <v>0</v>
      </c>
      <c r="K252" s="374">
        <f t="shared" ca="1" si="52"/>
        <v>0</v>
      </c>
    </row>
    <row r="253" spans="1:11" s="45" customFormat="1" ht="15.75" hidden="1">
      <c r="A253" s="373" t="str">
        <f>IF(AND(COUNTIF($A$5:$A$133,R_DG!A126)=0,R_DG!R126&gt;0,ISNUMBER(R_DG!R126)),R_DG!A126,"NONE")</f>
        <v>XLPE250</v>
      </c>
      <c r="B253" s="85">
        <f ca="1">IF(K253&gt;0,COUNTIF(K$6:K253,"&gt;0"),B252)</f>
        <v>12</v>
      </c>
      <c r="C253" s="1084" t="str">
        <f t="shared" si="50"/>
        <v>Cáp 24KV C/XLPE/PVC 250mm2</v>
      </c>
      <c r="D253" s="85" t="str">
        <f t="shared" si="51"/>
        <v>mét</v>
      </c>
      <c r="E253" s="448">
        <f ca="1">SUMIF(OFFSET(tongctvtdd1,0,-(COLUMN(E253)+7-(COLUMN(E253)-5)/2)),KLVT!$A253,tongctvtdd1)+SUMIF(OFFSET(tongctvtpk1,0,-(COLUMN(E253)+7-(COLUMN(E253)-5)/2)),KLVT!$A253,tongctvtpk1)</f>
        <v>0</v>
      </c>
      <c r="F253" s="449">
        <f ca="1">SUMIF(OFFSET(cttba_vlvt1_1,0,-9,-ROW(cttba_vlvt1_1)+ROW(cttba_vltb1_1)-10),KLVT!$A253,OFFSET(cttba_vlvt1_1,0,-4,-ROW(cttba_vlvt1_1)+ROW(cttba_vltb1_1)-10))</f>
        <v>0</v>
      </c>
      <c r="G253" s="451">
        <f t="shared" ca="1" si="53"/>
        <v>0</v>
      </c>
      <c r="H253" s="450">
        <f t="shared" si="54"/>
        <v>3.35</v>
      </c>
      <c r="I253" s="447">
        <f t="shared" ca="1" si="55"/>
        <v>0</v>
      </c>
      <c r="J253" s="447">
        <f t="shared" ca="1" si="56"/>
        <v>0</v>
      </c>
      <c r="K253" s="373">
        <f t="shared" ca="1" si="52"/>
        <v>0</v>
      </c>
    </row>
    <row r="254" spans="1:11" s="45" customFormat="1" ht="15.75" hidden="1">
      <c r="A254" s="373" t="str">
        <f>IF(AND(COUNTIF($A$5:$A$133,R_DG!A127)=0,R_DG!R127&gt;0,ISNUMBER(R_DG!R127)),R_DG!A127,"NONE")</f>
        <v>XLPE25A</v>
      </c>
      <c r="B254" s="85">
        <f ca="1">IF(K254&gt;0,COUNTIF(K$6:K254,"&gt;0"),B253)</f>
        <v>12</v>
      </c>
      <c r="C254" s="1084" t="str">
        <f t="shared" si="50"/>
        <v>Cáp 24KV A/XLPE/PVC 25mm2</v>
      </c>
      <c r="D254" s="85" t="str">
        <f t="shared" si="51"/>
        <v>mét</v>
      </c>
      <c r="E254" s="448">
        <f ca="1">SUMIF(OFFSET(tongctvtdd1,0,-(COLUMN(E254)+7-(COLUMN(E254)-5)/2)),KLVT!$A254,tongctvtdd1)+SUMIF(OFFSET(tongctvtpk1,0,-(COLUMN(E254)+7-(COLUMN(E254)-5)/2)),KLVT!$A254,tongctvtpk1)</f>
        <v>0</v>
      </c>
      <c r="F254" s="449">
        <f ca="1">SUMIF(OFFSET(cttba_vlvt1_1,0,-9,-ROW(cttba_vlvt1_1)+ROW(cttba_vltb1_1)-10),KLVT!$A254,OFFSET(cttba_vlvt1_1,0,-4,-ROW(cttba_vlvt1_1)+ROW(cttba_vltb1_1)-10))</f>
        <v>0</v>
      </c>
      <c r="G254" s="451">
        <f t="shared" ca="1" si="53"/>
        <v>0</v>
      </c>
      <c r="H254" s="450">
        <f t="shared" si="54"/>
        <v>0.3</v>
      </c>
      <c r="I254" s="447">
        <f t="shared" ca="1" si="55"/>
        <v>0</v>
      </c>
      <c r="J254" s="447">
        <f t="shared" ca="1" si="56"/>
        <v>0</v>
      </c>
      <c r="K254" s="374">
        <f t="shared" ca="1" si="52"/>
        <v>0</v>
      </c>
    </row>
    <row r="255" spans="1:11" s="45" customFormat="1" ht="15.75" hidden="1">
      <c r="A255" s="373" t="str">
        <f>IF(AND(COUNTIF($A$5:$A$133,R_DG!A128)=0,R_DG!R128&gt;0,ISNUMBER(R_DG!R128)),R_DG!A128,"NONE")</f>
        <v>XLPE35A</v>
      </c>
      <c r="B255" s="85">
        <f ca="1">IF(K255&gt;0,COUNTIF(K$6:K255,"&gt;0"),B254)</f>
        <v>12</v>
      </c>
      <c r="C255" s="1084" t="str">
        <f t="shared" ref="C255:C318" si="66">VLOOKUP(A255,DONGIA,3,0)</f>
        <v>Cáp 24KV A/XLPE/PVC 35mm2</v>
      </c>
      <c r="D255" s="85" t="str">
        <f t="shared" ref="D255:D318" si="67">VLOOKUP(A255,DONGIA,4,0)</f>
        <v>mét</v>
      </c>
      <c r="E255" s="448">
        <f ca="1">SUMIF(OFFSET(tongctvtdd1,0,-(COLUMN(E255)+7-(COLUMN(E255)-5)/2)),KLVT!$A255,tongctvtdd1)+SUMIF(OFFSET(tongctvtpk1,0,-(COLUMN(E255)+7-(COLUMN(E255)-5)/2)),KLVT!$A255,tongctvtpk1)</f>
        <v>0</v>
      </c>
      <c r="F255" s="449">
        <f ca="1">SUMIF(OFFSET(cttba_vlvt1_1,0,-9,-ROW(cttba_vlvt1_1)+ROW(cttba_vltb1_1)-10),KLVT!$A255,OFFSET(cttba_vlvt1_1,0,-4,-ROW(cttba_vlvt1_1)+ROW(cttba_vltb1_1)-10))</f>
        <v>0</v>
      </c>
      <c r="G255" s="451">
        <f t="shared" ca="1" si="53"/>
        <v>0</v>
      </c>
      <c r="H255" s="450">
        <f t="shared" si="54"/>
        <v>0.4</v>
      </c>
      <c r="I255" s="447">
        <f t="shared" ca="1" si="55"/>
        <v>0</v>
      </c>
      <c r="J255" s="447">
        <f t="shared" ca="1" si="56"/>
        <v>0</v>
      </c>
      <c r="K255" s="373">
        <f t="shared" ref="K255:K318" ca="1" si="68">IF(G255&gt;0,1,0)</f>
        <v>0</v>
      </c>
    </row>
    <row r="256" spans="1:11">
      <c r="A256" s="1251" t="str">
        <f>IF(AND(COUNTIF($A$5:$A$133,R_DG!A129)=0,R_DG!R129&gt;0,ISNUMBER(R_DG!R129)),R_DG!A129,"NONE")</f>
        <v>XLPE50AC</v>
      </c>
      <c r="B256" s="438">
        <f ca="1">IF(K256&gt;0,COUNTIF(K$6:K256,"&gt;0"),B255)</f>
        <v>13</v>
      </c>
      <c r="C256" s="1278" t="s">
        <v>4992</v>
      </c>
      <c r="D256" s="438" t="str">
        <f t="shared" si="67"/>
        <v>mét</v>
      </c>
      <c r="E256" s="1276">
        <f ca="1">SUMIF(OFFSET(tongctvtdd1,0,-(COLUMN(E256)+7-(COLUMN(E256)-5)/2)),KLVT!$A256,tongctvtdd1)+SUMIF(OFFSET(tongctvtpk1,0,-(COLUMN(E256)+7-(COLUMN(E256)-5)/2)),KLVT!$A256,tongctvtpk1)</f>
        <v>204</v>
      </c>
      <c r="F256" s="1277">
        <f ca="1">SUMIF(OFFSET(cttba_vlvt1_1,0,-9,-ROW(cttba_vlvt1_1)+ROW(cttba_vltb1_1)-10),KLVT!$A256,OFFSET(cttba_vlvt1_1,0,-4,-ROW(cttba_vlvt1_1)+ROW(cttba_vltb1_1)-10))</f>
        <v>0</v>
      </c>
      <c r="G256" s="1277">
        <f t="shared" ca="1" si="53"/>
        <v>204</v>
      </c>
      <c r="H256" s="1274">
        <f t="shared" si="54"/>
        <v>0.5</v>
      </c>
      <c r="I256" s="1279">
        <f t="shared" ca="1" si="55"/>
        <v>102</v>
      </c>
      <c r="J256" s="1279">
        <f t="shared" ca="1" si="56"/>
        <v>0</v>
      </c>
      <c r="K256" s="1268">
        <f t="shared" ca="1" si="68"/>
        <v>1</v>
      </c>
    </row>
    <row r="257" spans="1:11" s="45" customFormat="1" ht="15.75" hidden="1">
      <c r="A257" s="373" t="str">
        <f>IF(AND(COUNTIF($A$5:$A$133,R_DG!A130)=0,R_DG!R130&gt;0,ISNUMBER(R_DG!R130)),R_DG!A130,"NONE")</f>
        <v>XLPE70AC</v>
      </c>
      <c r="B257" s="85">
        <f ca="1">IF(K257&gt;0,COUNTIF(K$6:K257,"&gt;0"),B256)</f>
        <v>13</v>
      </c>
      <c r="C257" s="1084" t="str">
        <f t="shared" si="66"/>
        <v>Cáp 24KV AC/XLPE/PVC 70mm2</v>
      </c>
      <c r="D257" s="85" t="str">
        <f t="shared" si="67"/>
        <v>mét</v>
      </c>
      <c r="E257" s="448">
        <f ca="1">SUMIF(OFFSET(tongctvtdd1,0,-(COLUMN(E257)+7-(COLUMN(E257)-5)/2)),KLVT!$A257,tongctvtdd1)+SUMIF(OFFSET(tongctvtpk1,0,-(COLUMN(E257)+7-(COLUMN(E257)-5)/2)),KLVT!$A257,tongctvtpk1)</f>
        <v>0</v>
      </c>
      <c r="F257" s="449">
        <f ca="1">SUMIF(OFFSET(cttba_vlvt1_1,0,-9,-ROW(cttba_vlvt1_1)+ROW(cttba_vltb1_1)-10),KLVT!$A257,OFFSET(cttba_vlvt1_1,0,-4,-ROW(cttba_vlvt1_1)+ROW(cttba_vltb1_1)-10))</f>
        <v>0</v>
      </c>
      <c r="G257" s="451">
        <f t="shared" ca="1" si="53"/>
        <v>0</v>
      </c>
      <c r="H257" s="450">
        <f t="shared" si="54"/>
        <v>0.5</v>
      </c>
      <c r="I257" s="447">
        <f t="shared" ca="1" si="55"/>
        <v>0</v>
      </c>
      <c r="J257" s="447">
        <f t="shared" ca="1" si="56"/>
        <v>0</v>
      </c>
      <c r="K257" s="373">
        <f t="shared" ca="1" si="68"/>
        <v>0</v>
      </c>
    </row>
    <row r="258" spans="1:11" s="45" customFormat="1" ht="15.75" hidden="1">
      <c r="A258" s="373" t="str">
        <f>IF(AND(COUNTIF($A$5:$A$133,R_DG!A131)=0,R_DG!R131&gt;0,ISNUMBER(R_DG!R131)),R_DG!A131,"NONE")</f>
        <v>XLPE95AC</v>
      </c>
      <c r="B258" s="85">
        <f ca="1">IF(K258&gt;0,COUNTIF(K$6:K258,"&gt;0"),B257)</f>
        <v>13</v>
      </c>
      <c r="C258" s="1084" t="str">
        <f t="shared" si="66"/>
        <v>Cáp 24KV AC/XLPE/PVC 95mm2</v>
      </c>
      <c r="D258" s="85" t="str">
        <f t="shared" si="67"/>
        <v>mét</v>
      </c>
      <c r="E258" s="448">
        <f ca="1">SUMIF(OFFSET(tongctvtdd1,0,-(COLUMN(E258)+7-(COLUMN(E258)-5)/2)),KLVT!$A258,tongctvtdd1)+SUMIF(OFFSET(tongctvtpk1,0,-(COLUMN(E258)+7-(COLUMN(E258)-5)/2)),KLVT!$A258,tongctvtpk1)</f>
        <v>0</v>
      </c>
      <c r="F258" s="449">
        <f ca="1">SUMIF(OFFSET(cttba_vlvt1_1,0,-9,-ROW(cttba_vlvt1_1)+ROW(cttba_vltb1_1)-10),KLVT!$A258,OFFSET(cttba_vlvt1_1,0,-4,-ROW(cttba_vlvt1_1)+ROW(cttba_vltb1_1)-10))</f>
        <v>0</v>
      </c>
      <c r="G258" s="451">
        <f t="shared" ca="1" si="53"/>
        <v>0</v>
      </c>
      <c r="H258" s="450">
        <f t="shared" si="54"/>
        <v>0.91</v>
      </c>
      <c r="I258" s="447">
        <f t="shared" ca="1" si="55"/>
        <v>0</v>
      </c>
      <c r="J258" s="447">
        <f t="shared" ca="1" si="56"/>
        <v>0</v>
      </c>
      <c r="K258" s="374">
        <f t="shared" ca="1" si="68"/>
        <v>0</v>
      </c>
    </row>
    <row r="259" spans="1:11" s="45" customFormat="1" ht="15.75" hidden="1">
      <c r="A259" s="373" t="str">
        <f>IF(AND(COUNTIF($A$5:$A$133,R_DG!A132)=0,R_DG!R132&gt;0,ISNUMBER(R_DG!R132)),R_DG!A132,"NONE")</f>
        <v>XLPE120AC</v>
      </c>
      <c r="B259" s="85">
        <f ca="1">IF(K259&gt;0,COUNTIF(K$6:K259,"&gt;0"),B258)</f>
        <v>13</v>
      </c>
      <c r="C259" s="1084" t="str">
        <f t="shared" si="66"/>
        <v>Cáp 24KV AC/XLPE/PVC 120mm2</v>
      </c>
      <c r="D259" s="85" t="str">
        <f t="shared" si="67"/>
        <v>mét</v>
      </c>
      <c r="E259" s="448">
        <f ca="1">SUMIF(OFFSET(tongctvtdd1,0,-(COLUMN(E259)+7-(COLUMN(E259)-5)/2)),KLVT!$A259,tongctvtdd1)+SUMIF(OFFSET(tongctvtpk1,0,-(COLUMN(E259)+7-(COLUMN(E259)-5)/2)),KLVT!$A259,tongctvtpk1)</f>
        <v>0</v>
      </c>
      <c r="F259" s="449">
        <f ca="1">SUMIF(OFFSET(cttba_vlvt1_1,0,-9,-ROW(cttba_vlvt1_1)+ROW(cttba_vltb1_1)-10),KLVT!$A259,OFFSET(cttba_vlvt1_1,0,-4,-ROW(cttba_vlvt1_1)+ROW(cttba_vltb1_1)-10))</f>
        <v>0</v>
      </c>
      <c r="G259" s="451">
        <f t="shared" ca="1" si="53"/>
        <v>0</v>
      </c>
      <c r="H259" s="450">
        <f t="shared" si="54"/>
        <v>0.5</v>
      </c>
      <c r="I259" s="447">
        <f t="shared" ca="1" si="55"/>
        <v>0</v>
      </c>
      <c r="J259" s="447">
        <f t="shared" ca="1" si="56"/>
        <v>0</v>
      </c>
      <c r="K259" s="373">
        <f t="shared" ca="1" si="68"/>
        <v>0</v>
      </c>
    </row>
    <row r="260" spans="1:11" s="45" customFormat="1" ht="15.75" hidden="1">
      <c r="A260" s="373" t="str">
        <f>IF(AND(COUNTIF($A$5:$A$133,R_DG!A133)=0,R_DG!R133&gt;0,ISNUMBER(R_DG!R133)),R_DG!A133,"NONE")</f>
        <v>XLPE150AC</v>
      </c>
      <c r="B260" s="85">
        <f ca="1">IF(K260&gt;0,COUNTIF(K$6:K260,"&gt;0"),B259)</f>
        <v>13</v>
      </c>
      <c r="C260" s="1084" t="str">
        <f t="shared" si="66"/>
        <v>Cáp 24KV AC/XLPE/PVC 150mm2</v>
      </c>
      <c r="D260" s="85" t="str">
        <f t="shared" si="67"/>
        <v>mét</v>
      </c>
      <c r="E260" s="448">
        <f ca="1">SUMIF(OFFSET(tongctvtdd1,0,-(COLUMN(E260)+7-(COLUMN(E260)-5)/2)),KLVT!$A260,tongctvtdd1)+SUMIF(OFFSET(tongctvtpk1,0,-(COLUMN(E260)+7-(COLUMN(E260)-5)/2)),KLVT!$A260,tongctvtpk1)</f>
        <v>0</v>
      </c>
      <c r="F260" s="449">
        <f ca="1">SUMIF(OFFSET(cttba_vlvt1_1,0,-9,-ROW(cttba_vlvt1_1)+ROW(cttba_vltb1_1)-10),KLVT!$A260,OFFSET(cttba_vlvt1_1,0,-4,-ROW(cttba_vlvt1_1)+ROW(cttba_vltb1_1)-10))</f>
        <v>0</v>
      </c>
      <c r="G260" s="451">
        <f t="shared" ca="1" si="53"/>
        <v>0</v>
      </c>
      <c r="H260" s="450">
        <f t="shared" si="54"/>
        <v>0.5</v>
      </c>
      <c r="I260" s="447">
        <f t="shared" ca="1" si="55"/>
        <v>0</v>
      </c>
      <c r="J260" s="447">
        <f t="shared" ca="1" si="56"/>
        <v>0</v>
      </c>
      <c r="K260" s="373">
        <f t="shared" ca="1" si="68"/>
        <v>0</v>
      </c>
    </row>
    <row r="261" spans="1:11" s="45" customFormat="1" ht="15.75" hidden="1">
      <c r="A261" s="373" t="str">
        <f>IF(AND(COUNTIF($A$5:$A$133,R_DG!A134)=0,R_DG!R134&gt;0,ISNUMBER(R_DG!R134)),R_DG!A134,"NONE")</f>
        <v>XLPE185AC</v>
      </c>
      <c r="B261" s="85">
        <f ca="1">IF(K261&gt;0,COUNTIF(K$6:K261,"&gt;0"),B260)</f>
        <v>13</v>
      </c>
      <c r="C261" s="1084" t="str">
        <f t="shared" si="66"/>
        <v>Cáp 24KV AC/XLPE/PVC 185mm2</v>
      </c>
      <c r="D261" s="85" t="str">
        <f t="shared" si="67"/>
        <v>mét</v>
      </c>
      <c r="E261" s="448">
        <f ca="1">SUMIF(OFFSET(tongctvtdd1,0,-(COLUMN(E261)+7-(COLUMN(E261)-5)/2)),KLVT!$A261,tongctvtdd1)+SUMIF(OFFSET(tongctvtpk1,0,-(COLUMN(E261)+7-(COLUMN(E261)-5)/2)),KLVT!$A261,tongctvtpk1)</f>
        <v>0</v>
      </c>
      <c r="F261" s="449">
        <f ca="1">SUMIF(OFFSET(cttba_vlvt1_1,0,-9,-ROW(cttba_vlvt1_1)+ROW(cttba_vltb1_1)-10),KLVT!$A261,OFFSET(cttba_vlvt1_1,0,-4,-ROW(cttba_vlvt1_1)+ROW(cttba_vltb1_1)-10))</f>
        <v>0</v>
      </c>
      <c r="G261" s="451">
        <f t="shared" ca="1" si="53"/>
        <v>0</v>
      </c>
      <c r="H261" s="450">
        <f t="shared" si="54"/>
        <v>0.91</v>
      </c>
      <c r="I261" s="447">
        <f t="shared" ca="1" si="55"/>
        <v>0</v>
      </c>
      <c r="J261" s="447">
        <f t="shared" ca="1" si="56"/>
        <v>0</v>
      </c>
      <c r="K261" s="373">
        <f t="shared" ca="1" si="68"/>
        <v>0</v>
      </c>
    </row>
    <row r="262" spans="1:11" s="45" customFormat="1" ht="15.75" hidden="1">
      <c r="A262" s="373" t="str">
        <f>IF(AND(COUNTIF($A$5:$A$133,R_DG!A135)=0,R_DG!R135&gt;0,ISNUMBER(R_DG!R135)),R_DG!A135,"NONE")</f>
        <v>XLPE240AC</v>
      </c>
      <c r="B262" s="85">
        <f ca="1">IF(K262&gt;0,COUNTIF(K$6:K262,"&gt;0"),B261)</f>
        <v>13</v>
      </c>
      <c r="C262" s="1084" t="str">
        <f t="shared" si="66"/>
        <v>Cáp 24KV AC/XLPE/PVC 240mm2</v>
      </c>
      <c r="D262" s="85" t="str">
        <f t="shared" si="67"/>
        <v>mét</v>
      </c>
      <c r="E262" s="448">
        <f ca="1">SUMIF(OFFSET(tongctvtdd1,0,-(COLUMN(E262)+7-(COLUMN(E262)-5)/2)),KLVT!$A262,tongctvtdd1)+SUMIF(OFFSET(tongctvtpk1,0,-(COLUMN(E262)+7-(COLUMN(E262)-5)/2)),KLVT!$A262,tongctvtpk1)</f>
        <v>0</v>
      </c>
      <c r="F262" s="449">
        <f ca="1">SUMIF(OFFSET(cttba_vlvt1_1,0,-9,-ROW(cttba_vlvt1_1)+ROW(cttba_vltb1_1)-10),KLVT!$A262,OFFSET(cttba_vlvt1_1,0,-4,-ROW(cttba_vlvt1_1)+ROW(cttba_vltb1_1)-10))</f>
        <v>0</v>
      </c>
      <c r="G262" s="451">
        <f t="shared" ref="G262:G325" ca="1" si="69">SUM(E262:F262)</f>
        <v>0</v>
      </c>
      <c r="H262" s="450">
        <f t="shared" ref="H262:H325" si="70">VLOOKUP(A262,DONGIA,18,0)</f>
        <v>0.5</v>
      </c>
      <c r="I262" s="447">
        <f t="shared" ref="I262:I325" ca="1" si="71">E262*$H262</f>
        <v>0</v>
      </c>
      <c r="J262" s="447">
        <f t="shared" ref="J262:J325" ca="1" si="72">F262*$H262</f>
        <v>0</v>
      </c>
      <c r="K262" s="373">
        <f t="shared" ca="1" si="68"/>
        <v>0</v>
      </c>
    </row>
    <row r="263" spans="1:11" s="45" customFormat="1" ht="15.75" hidden="1">
      <c r="A263" s="373" t="str">
        <f>IF(AND(COUNTIF($A$5:$A$133,R_DG!A136)=0,R_DG!R136&gt;0,ISNUMBER(R_DG!R136)),R_DG!A136,"NONE")</f>
        <v>XLPE211HT</v>
      </c>
      <c r="B263" s="85">
        <f ca="1">IF(K263&gt;0,COUNTIF(K$6:K263,"&gt;0"),B262)</f>
        <v>13</v>
      </c>
      <c r="C263" s="1084" t="str">
        <f t="shared" si="66"/>
        <v>Cáp C/XLPE/PVC -0.6/1kV-2x11mm2</v>
      </c>
      <c r="D263" s="85" t="str">
        <f t="shared" si="67"/>
        <v>mét</v>
      </c>
      <c r="E263" s="448">
        <f ca="1">SUMIF(OFFSET(tongctvtdd1,0,-(COLUMN(E263)+7-(COLUMN(E263)-5)/2)),KLVT!$A263,tongctvtdd1)+SUMIF(OFFSET(tongctvtpk1,0,-(COLUMN(E263)+7-(COLUMN(E263)-5)/2)),KLVT!$A263,tongctvtpk1)</f>
        <v>0</v>
      </c>
      <c r="F263" s="449">
        <f ca="1">SUMIF(OFFSET(cttba_vlvt1_1,0,-9,-ROW(cttba_vlvt1_1)+ROW(cttba_vltb1_1)-10),KLVT!$A263,OFFSET(cttba_vlvt1_1,0,-4,-ROW(cttba_vlvt1_1)+ROW(cttba_vltb1_1)-10))</f>
        <v>0</v>
      </c>
      <c r="G263" s="451">
        <f t="shared" ca="1" si="69"/>
        <v>0</v>
      </c>
      <c r="H263" s="450">
        <f t="shared" si="70"/>
        <v>0.38</v>
      </c>
      <c r="I263" s="447">
        <f t="shared" ca="1" si="71"/>
        <v>0</v>
      </c>
      <c r="J263" s="447">
        <f t="shared" ca="1" si="72"/>
        <v>0</v>
      </c>
      <c r="K263" s="373">
        <f t="shared" ca="1" si="68"/>
        <v>0</v>
      </c>
    </row>
    <row r="264" spans="1:11" s="45" customFormat="1" ht="15.75" hidden="1">
      <c r="A264" s="373" t="str">
        <f>IF(AND(COUNTIF($A$5:$A$133,R_DG!A137)=0,R_DG!R137&gt;0,ISNUMBER(R_DG!R137)),R_DG!A137,"NONE")</f>
        <v>XLPE216HT</v>
      </c>
      <c r="B264" s="85">
        <f ca="1">IF(K264&gt;0,COUNTIF(K$6:K264,"&gt;0"),B263)</f>
        <v>13</v>
      </c>
      <c r="C264" s="1084" t="str">
        <f t="shared" si="66"/>
        <v>Cáp C/XLPE/PVC -0.6/1kV-2x16mm2</v>
      </c>
      <c r="D264" s="85" t="str">
        <f t="shared" si="67"/>
        <v>mét</v>
      </c>
      <c r="E264" s="448">
        <f ca="1">SUMIF(OFFSET(tongctvtdd1,0,-(COLUMN(E264)+7-(COLUMN(E264)-5)/2)),KLVT!$A264,tongctvtdd1)+SUMIF(OFFSET(tongctvtpk1,0,-(COLUMN(E264)+7-(COLUMN(E264)-5)/2)),KLVT!$A264,tongctvtpk1)</f>
        <v>0</v>
      </c>
      <c r="F264" s="449">
        <f ca="1">SUMIF(OFFSET(cttba_vlvt1_1,0,-9,-ROW(cttba_vlvt1_1)+ROW(cttba_vltb1_1)-10),KLVT!$A264,OFFSET(cttba_vlvt1_1,0,-4,-ROW(cttba_vlvt1_1)+ROW(cttba_vltb1_1)-10))</f>
        <v>0</v>
      </c>
      <c r="G264" s="451">
        <f t="shared" ca="1" si="69"/>
        <v>0</v>
      </c>
      <c r="H264" s="450">
        <f t="shared" si="70"/>
        <v>0.45</v>
      </c>
      <c r="I264" s="447">
        <f t="shared" ca="1" si="71"/>
        <v>0</v>
      </c>
      <c r="J264" s="447">
        <f t="shared" ca="1" si="72"/>
        <v>0</v>
      </c>
      <c r="K264" s="373">
        <f t="shared" ca="1" si="68"/>
        <v>0</v>
      </c>
    </row>
    <row r="265" spans="1:11" s="45" customFormat="1" ht="15.75" hidden="1">
      <c r="A265" s="373" t="str">
        <f>IF(AND(COUNTIF($A$5:$A$133,R_DG!A138)=0,R_DG!R138&gt;0,ISNUMBER(R_DG!R138)),R_DG!A138,"NONE")</f>
        <v>XLPE316HT</v>
      </c>
      <c r="B265" s="85">
        <f ca="1">IF(K265&gt;0,COUNTIF(K$6:K265,"&gt;0"),B264)</f>
        <v>13</v>
      </c>
      <c r="C265" s="1084" t="str">
        <f t="shared" si="66"/>
        <v>Cáp C/XLPE/PVC -0.6/1kV-3x16mm2</v>
      </c>
      <c r="D265" s="85" t="str">
        <f t="shared" si="67"/>
        <v>mét</v>
      </c>
      <c r="E265" s="448">
        <f ca="1">SUMIF(OFFSET(tongctvtdd1,0,-(COLUMN(E265)+7-(COLUMN(E265)-5)/2)),KLVT!$A265,tongctvtdd1)+SUMIF(OFFSET(tongctvtpk1,0,-(COLUMN(E265)+7-(COLUMN(E265)-5)/2)),KLVT!$A265,tongctvtpk1)</f>
        <v>0</v>
      </c>
      <c r="F265" s="449">
        <f ca="1">SUMIF(OFFSET(cttba_vlvt1_1,0,-9,-ROW(cttba_vlvt1_1)+ROW(cttba_vltb1_1)-10),KLVT!$A265,OFFSET(cttba_vlvt1_1,0,-4,-ROW(cttba_vlvt1_1)+ROW(cttba_vltb1_1)-10))</f>
        <v>0</v>
      </c>
      <c r="G265" s="451">
        <f t="shared" ca="1" si="69"/>
        <v>0</v>
      </c>
      <c r="H265" s="450">
        <f t="shared" si="70"/>
        <v>0.62</v>
      </c>
      <c r="I265" s="447">
        <f t="shared" ca="1" si="71"/>
        <v>0</v>
      </c>
      <c r="J265" s="447">
        <f t="shared" ca="1" si="72"/>
        <v>0</v>
      </c>
      <c r="K265" s="373">
        <f t="shared" ca="1" si="68"/>
        <v>0</v>
      </c>
    </row>
    <row r="266" spans="1:11" s="45" customFormat="1" ht="15.75" hidden="1">
      <c r="A266" s="373" t="str">
        <f>IF(AND(COUNTIF($A$5:$A$133,R_DG!A139)=0,R_DG!R139&gt;0,ISNUMBER(R_DG!R139)),R_DG!A139,"NONE")</f>
        <v>XLPE350HT</v>
      </c>
      <c r="B266" s="85">
        <f ca="1">IF(K266&gt;0,COUNTIF(K$6:K266,"&gt;0"),B265)</f>
        <v>13</v>
      </c>
      <c r="C266" s="1084" t="str">
        <f t="shared" si="66"/>
        <v>Cáp C/XLPE/PVC -0.6/1kV-3x50mm2</v>
      </c>
      <c r="D266" s="85" t="str">
        <f t="shared" si="67"/>
        <v>mét</v>
      </c>
      <c r="E266" s="448">
        <f ca="1">SUMIF(OFFSET(tongctvtdd1,0,-(COLUMN(E266)+7-(COLUMN(E266)-5)/2)),KLVT!$A266,tongctvtdd1)+SUMIF(OFFSET(tongctvtpk1,0,-(COLUMN(E266)+7-(COLUMN(E266)-5)/2)),KLVT!$A266,tongctvtpk1)</f>
        <v>0</v>
      </c>
      <c r="F266" s="449">
        <f ca="1">SUMIF(OFFSET(cttba_vlvt1_1,0,-9,-ROW(cttba_vlvt1_1)+ROW(cttba_vltb1_1)-10),KLVT!$A266,OFFSET(cttba_vlvt1_1,0,-4,-ROW(cttba_vlvt1_1)+ROW(cttba_vltb1_1)-10))</f>
        <v>0</v>
      </c>
      <c r="G266" s="451">
        <f t="shared" ca="1" si="69"/>
        <v>0</v>
      </c>
      <c r="H266" s="450">
        <f t="shared" si="70"/>
        <v>2.1</v>
      </c>
      <c r="I266" s="447">
        <f t="shared" ca="1" si="71"/>
        <v>0</v>
      </c>
      <c r="J266" s="447">
        <f t="shared" ca="1" si="72"/>
        <v>0</v>
      </c>
      <c r="K266" s="373">
        <f t="shared" ca="1" si="68"/>
        <v>0</v>
      </c>
    </row>
    <row r="267" spans="1:11" s="45" customFormat="1" ht="15.75" hidden="1">
      <c r="A267" s="373" t="str">
        <f>IF(AND(COUNTIF($A$5:$A$133,R_DG!A140)=0,R_DG!R140&gt;0,ISNUMBER(R_DG!R140)),R_DG!A140,"NONE")</f>
        <v>XLPE416HT</v>
      </c>
      <c r="B267" s="85">
        <f ca="1">IF(K267&gt;0,COUNTIF(K$6:K267,"&gt;0"),B266)</f>
        <v>13</v>
      </c>
      <c r="C267" s="1084" t="str">
        <f t="shared" si="66"/>
        <v>Cáp C/XLPE/PVC -0.6/1kV-4x16mm2</v>
      </c>
      <c r="D267" s="85" t="str">
        <f t="shared" si="67"/>
        <v>mét</v>
      </c>
      <c r="E267" s="448">
        <f ca="1">SUMIF(OFFSET(tongctvtdd1,0,-(COLUMN(E267)+7-(COLUMN(E267)-5)/2)),KLVT!$A267,tongctvtdd1)+SUMIF(OFFSET(tongctvtpk1,0,-(COLUMN(E267)+7-(COLUMN(E267)-5)/2)),KLVT!$A267,tongctvtpk1)</f>
        <v>0</v>
      </c>
      <c r="F267" s="449">
        <f ca="1">SUMIF(OFFSET(cttba_vlvt1_1,0,-9,-ROW(cttba_vlvt1_1)+ROW(cttba_vltb1_1)-10),KLVT!$A267,OFFSET(cttba_vlvt1_1,0,-4,-ROW(cttba_vlvt1_1)+ROW(cttba_vltb1_1)-10))</f>
        <v>0</v>
      </c>
      <c r="G267" s="451">
        <f t="shared" ca="1" si="69"/>
        <v>0</v>
      </c>
      <c r="H267" s="450">
        <f t="shared" si="70"/>
        <v>0.81499999999999995</v>
      </c>
      <c r="I267" s="447">
        <f t="shared" ca="1" si="71"/>
        <v>0</v>
      </c>
      <c r="J267" s="447">
        <f t="shared" ca="1" si="72"/>
        <v>0</v>
      </c>
      <c r="K267" s="373">
        <f t="shared" ca="1" si="68"/>
        <v>0</v>
      </c>
    </row>
    <row r="268" spans="1:11" s="45" customFormat="1" ht="15.75" hidden="1">
      <c r="A268" s="373" t="str">
        <f>IF(AND(COUNTIF($A$5:$A$133,R_DG!A141)=0,R_DG!R141&gt;0,ISNUMBER(R_DG!R141)),R_DG!A141,"NONE")</f>
        <v>XLPE316+10HT</v>
      </c>
      <c r="B268" s="85">
        <f ca="1">IF(K268&gt;0,COUNTIF(K$6:K268,"&gt;0"),B267)</f>
        <v>13</v>
      </c>
      <c r="C268" s="1084" t="str">
        <f t="shared" si="66"/>
        <v>Cáp C/XLPE/PVC -0.6/1kV-3x16+10mm2</v>
      </c>
      <c r="D268" s="85" t="str">
        <f t="shared" si="67"/>
        <v>mét</v>
      </c>
      <c r="E268" s="448">
        <f ca="1">SUMIF(OFFSET(tongctvtdd1,0,-(COLUMN(E268)+7-(COLUMN(E268)-5)/2)),KLVT!$A268,tongctvtdd1)+SUMIF(OFFSET(tongctvtpk1,0,-(COLUMN(E268)+7-(COLUMN(E268)-5)/2)),KLVT!$A268,tongctvtpk1)</f>
        <v>0</v>
      </c>
      <c r="F268" s="449">
        <f ca="1">SUMIF(OFFSET(cttba_vlvt1_1,0,-9,-ROW(cttba_vlvt1_1)+ROW(cttba_vltb1_1)-10),KLVT!$A268,OFFSET(cttba_vlvt1_1,0,-4,-ROW(cttba_vlvt1_1)+ROW(cttba_vltb1_1)-10))</f>
        <v>0</v>
      </c>
      <c r="G268" s="451">
        <f t="shared" ca="1" si="69"/>
        <v>0</v>
      </c>
      <c r="H268" s="450">
        <f t="shared" si="70"/>
        <v>1.2</v>
      </c>
      <c r="I268" s="447">
        <f t="shared" ca="1" si="71"/>
        <v>0</v>
      </c>
      <c r="J268" s="447">
        <f t="shared" ca="1" si="72"/>
        <v>0</v>
      </c>
      <c r="K268" s="373">
        <f t="shared" ca="1" si="68"/>
        <v>0</v>
      </c>
    </row>
    <row r="269" spans="1:11" s="45" customFormat="1" ht="15.75" hidden="1">
      <c r="A269" s="373" t="str">
        <f>IF(AND(COUNTIF($A$5:$A$133,R_DG!A142)=0,R_DG!R142&gt;0,ISNUMBER(R_DG!R142)),R_DG!A142,"NONE")</f>
        <v>XLPE350+35HT</v>
      </c>
      <c r="B269" s="85">
        <f ca="1">IF(K269&gt;0,COUNTIF(K$6:K269,"&gt;0"),B268)</f>
        <v>13</v>
      </c>
      <c r="C269" s="1084" t="str">
        <f t="shared" si="66"/>
        <v>Cáp C/XLPE/PVC -0.6/1kV-3x50+35mm2</v>
      </c>
      <c r="D269" s="85" t="str">
        <f t="shared" si="67"/>
        <v>mét</v>
      </c>
      <c r="E269" s="448">
        <f ca="1">SUMIF(OFFSET(tongctvtdd1,0,-(COLUMN(E269)+7-(COLUMN(E269)-5)/2)),KLVT!$A269,tongctvtdd1)+SUMIF(OFFSET(tongctvtpk1,0,-(COLUMN(E269)+7-(COLUMN(E269)-5)/2)),KLVT!$A269,tongctvtpk1)</f>
        <v>0</v>
      </c>
      <c r="F269" s="449">
        <f ca="1">SUMIF(OFFSET(cttba_vlvt1_1,0,-9,-ROW(cttba_vlvt1_1)+ROW(cttba_vltb1_1)-10),KLVT!$A269,OFFSET(cttba_vlvt1_1,0,-4,-ROW(cttba_vlvt1_1)+ROW(cttba_vltb1_1)-10))</f>
        <v>0</v>
      </c>
      <c r="G269" s="451">
        <f t="shared" ca="1" si="69"/>
        <v>0</v>
      </c>
      <c r="H269" s="450">
        <f t="shared" si="70"/>
        <v>1.8</v>
      </c>
      <c r="I269" s="447">
        <f t="shared" ca="1" si="71"/>
        <v>0</v>
      </c>
      <c r="J269" s="447">
        <f t="shared" ca="1" si="72"/>
        <v>0</v>
      </c>
      <c r="K269" s="373">
        <f t="shared" ca="1" si="68"/>
        <v>0</v>
      </c>
    </row>
    <row r="270" spans="1:11" s="45" customFormat="1" ht="15.75" hidden="1">
      <c r="A270" s="373" t="str">
        <f>IF(AND(COUNTIF($A$5:$A$133,R_DG!A143)=0,R_DG!R143&gt;0,ISNUMBER(R_DG!R143)),R_DG!A143,"NONE")</f>
        <v>XLPE370+50HT</v>
      </c>
      <c r="B270" s="85">
        <f ca="1">IF(K270&gt;0,COUNTIF(K$6:K270,"&gt;0"),B269)</f>
        <v>13</v>
      </c>
      <c r="C270" s="1084" t="str">
        <f t="shared" si="66"/>
        <v>Cáp C/XLPE/PVC -0.6/1kV-3x70+50mm2</v>
      </c>
      <c r="D270" s="85" t="str">
        <f t="shared" si="67"/>
        <v>mét</v>
      </c>
      <c r="E270" s="448">
        <f ca="1">SUMIF(OFFSET(tongctvtdd1,0,-(COLUMN(E270)+7-(COLUMN(E270)-5)/2)),KLVT!$A270,tongctvtdd1)+SUMIF(OFFSET(tongctvtpk1,0,-(COLUMN(E270)+7-(COLUMN(E270)-5)/2)),KLVT!$A270,tongctvtpk1)</f>
        <v>0</v>
      </c>
      <c r="F270" s="449">
        <f ca="1">SUMIF(OFFSET(cttba_vlvt1_1,0,-9,-ROW(cttba_vlvt1_1)+ROW(cttba_vltb1_1)-10),KLVT!$A270,OFFSET(cttba_vlvt1_1,0,-4,-ROW(cttba_vlvt1_1)+ROW(cttba_vltb1_1)-10))</f>
        <v>0</v>
      </c>
      <c r="G270" s="451">
        <f t="shared" ca="1" si="69"/>
        <v>0</v>
      </c>
      <c r="H270" s="450">
        <f t="shared" si="70"/>
        <v>3.8879999999999999</v>
      </c>
      <c r="I270" s="447">
        <f t="shared" ca="1" si="71"/>
        <v>0</v>
      </c>
      <c r="J270" s="447">
        <f t="shared" ca="1" si="72"/>
        <v>0</v>
      </c>
      <c r="K270" s="373">
        <f t="shared" ca="1" si="68"/>
        <v>0</v>
      </c>
    </row>
    <row r="271" spans="1:11" s="45" customFormat="1" ht="15.75" hidden="1">
      <c r="A271" s="373" t="str">
        <f>IF(AND(COUNTIF($A$5:$A$133,R_DG!A144)=0,R_DG!R144&gt;0,ISNUMBER(R_DG!R144)),R_DG!A144,"NONE")</f>
        <v>XLPE395+50HT</v>
      </c>
      <c r="B271" s="85">
        <f ca="1">IF(K271&gt;0,COUNTIF(K$6:K271,"&gt;0"),B270)</f>
        <v>13</v>
      </c>
      <c r="C271" s="1084" t="str">
        <f t="shared" si="66"/>
        <v>Cáp C/XLPE/PVC -0.6/1kV-3x95+50mm2</v>
      </c>
      <c r="D271" s="85" t="str">
        <f t="shared" si="67"/>
        <v>mét</v>
      </c>
      <c r="E271" s="448">
        <f ca="1">SUMIF(OFFSET(tongctvtdd1,0,-(COLUMN(E271)+7-(COLUMN(E271)-5)/2)),KLVT!$A271,tongctvtdd1)+SUMIF(OFFSET(tongctvtpk1,0,-(COLUMN(E271)+7-(COLUMN(E271)-5)/2)),KLVT!$A271,tongctvtpk1)</f>
        <v>0</v>
      </c>
      <c r="F271" s="449">
        <f ca="1">SUMIF(OFFSET(cttba_vlvt1_1,0,-9,-ROW(cttba_vlvt1_1)+ROW(cttba_vltb1_1)-10),KLVT!$A271,OFFSET(cttba_vlvt1_1,0,-4,-ROW(cttba_vlvt1_1)+ROW(cttba_vltb1_1)-10))</f>
        <v>0</v>
      </c>
      <c r="G271" s="451">
        <f t="shared" ca="1" si="69"/>
        <v>0</v>
      </c>
      <c r="H271" s="450">
        <f t="shared" si="70"/>
        <v>3.742</v>
      </c>
      <c r="I271" s="447">
        <f t="shared" ca="1" si="71"/>
        <v>0</v>
      </c>
      <c r="J271" s="447">
        <f t="shared" ca="1" si="72"/>
        <v>0</v>
      </c>
      <c r="K271" s="373">
        <f t="shared" ca="1" si="68"/>
        <v>0</v>
      </c>
    </row>
    <row r="272" spans="1:11" s="45" customFormat="1" ht="15.75" hidden="1">
      <c r="A272" s="373" t="str">
        <f>IF(AND(COUNTIF($A$5:$A$133,R_DG!A145)=0,R_DG!R145&gt;0,ISNUMBER(R_DG!R145)),R_DG!A145,"NONE")</f>
        <v>XLPE3120+70HT</v>
      </c>
      <c r="B272" s="85">
        <f ca="1">IF(K272&gt;0,COUNTIF(K$6:K272,"&gt;0"),B271)</f>
        <v>13</v>
      </c>
      <c r="C272" s="1084" t="str">
        <f t="shared" si="66"/>
        <v>Cáp C/XLPE/PVC -0.6/1kV-3x120+70mm2</v>
      </c>
      <c r="D272" s="85" t="str">
        <f t="shared" si="67"/>
        <v>mét</v>
      </c>
      <c r="E272" s="448">
        <f ca="1">SUMIF(OFFSET(tongctvtdd1,0,-(COLUMN(E272)+7-(COLUMN(E272)-5)/2)),KLVT!$A272,tongctvtdd1)+SUMIF(OFFSET(tongctvtpk1,0,-(COLUMN(E272)+7-(COLUMN(E272)-5)/2)),KLVT!$A272,tongctvtpk1)</f>
        <v>0</v>
      </c>
      <c r="F272" s="449">
        <f ca="1">SUMIF(OFFSET(cttba_vlvt1_1,0,-9,-ROW(cttba_vlvt1_1)+ROW(cttba_vltb1_1)-10),KLVT!$A272,OFFSET(cttba_vlvt1_1,0,-4,-ROW(cttba_vlvt1_1)+ROW(cttba_vltb1_1)-10))</f>
        <v>0</v>
      </c>
      <c r="G272" s="451">
        <f t="shared" ca="1" si="69"/>
        <v>0</v>
      </c>
      <c r="H272" s="450">
        <f t="shared" si="70"/>
        <v>4.6900000000000004</v>
      </c>
      <c r="I272" s="447">
        <f t="shared" ca="1" si="71"/>
        <v>0</v>
      </c>
      <c r="J272" s="447">
        <f t="shared" ca="1" si="72"/>
        <v>0</v>
      </c>
      <c r="K272" s="373">
        <f t="shared" ca="1" si="68"/>
        <v>0</v>
      </c>
    </row>
    <row r="273" spans="1:11" s="45" customFormat="1" ht="15.75" hidden="1">
      <c r="A273" s="373" t="str">
        <f>IF(AND(COUNTIF($A$5:$A$133,R_DG!A146)=0,R_DG!R146&gt;0,ISNUMBER(R_DG!R146)),R_DG!A146,"NONE")</f>
        <v>XLPE3150+95HT</v>
      </c>
      <c r="B273" s="85">
        <f ca="1">IF(K273&gt;0,COUNTIF(K$6:K273,"&gt;0"),B272)</f>
        <v>13</v>
      </c>
      <c r="C273" s="1084" t="str">
        <f t="shared" si="66"/>
        <v>Cáp C/XLPE/PVC -0.6/1kV-3x150+95mm2</v>
      </c>
      <c r="D273" s="85" t="str">
        <f t="shared" si="67"/>
        <v>mét</v>
      </c>
      <c r="E273" s="448">
        <f ca="1">SUMIF(OFFSET(tongctvtdd1,0,-(COLUMN(E273)+7-(COLUMN(E273)-5)/2)),KLVT!$A273,tongctvtdd1)+SUMIF(OFFSET(tongctvtpk1,0,-(COLUMN(E273)+7-(COLUMN(E273)-5)/2)),KLVT!$A273,tongctvtpk1)</f>
        <v>0</v>
      </c>
      <c r="F273" s="449">
        <f ca="1">SUMIF(OFFSET(cttba_vlvt1_1,0,-9,-ROW(cttba_vlvt1_1)+ROW(cttba_vltb1_1)-10),KLVT!$A273,OFFSET(cttba_vlvt1_1,0,-4,-ROW(cttba_vlvt1_1)+ROW(cttba_vltb1_1)-10))</f>
        <v>0</v>
      </c>
      <c r="G273" s="451">
        <f t="shared" ca="1" si="69"/>
        <v>0</v>
      </c>
      <c r="H273" s="450">
        <f t="shared" si="70"/>
        <v>5.5</v>
      </c>
      <c r="I273" s="447">
        <f t="shared" ca="1" si="71"/>
        <v>0</v>
      </c>
      <c r="J273" s="447">
        <f t="shared" ca="1" si="72"/>
        <v>0</v>
      </c>
      <c r="K273" s="373">
        <f t="shared" ca="1" si="68"/>
        <v>0</v>
      </c>
    </row>
    <row r="274" spans="1:11" s="45" customFormat="1" ht="15.75" hidden="1">
      <c r="A274" s="373" t="str">
        <f>IF(AND(COUNTIF($A$5:$A$133,R_DG!A147)=0,R_DG!R147&gt;0,ISNUMBER(R_DG!R147)),R_DG!A147,"NONE")</f>
        <v>XLPE3185+120HT</v>
      </c>
      <c r="B274" s="85">
        <f ca="1">IF(K274&gt;0,COUNTIF(K$6:K274,"&gt;0"),B273)</f>
        <v>13</v>
      </c>
      <c r="C274" s="1084" t="str">
        <f t="shared" si="66"/>
        <v>Cáp C/XLPE/PVC -0.6/1kV-3x185+120mm2</v>
      </c>
      <c r="D274" s="85" t="str">
        <f t="shared" si="67"/>
        <v>mét</v>
      </c>
      <c r="E274" s="448">
        <f ca="1">SUMIF(OFFSET(tongctvtdd1,0,-(COLUMN(E274)+7-(COLUMN(E274)-5)/2)),KLVT!$A274,tongctvtdd1)+SUMIF(OFFSET(tongctvtpk1,0,-(COLUMN(E274)+7-(COLUMN(E274)-5)/2)),KLVT!$A274,tongctvtpk1)</f>
        <v>0</v>
      </c>
      <c r="F274" s="449">
        <f ca="1">SUMIF(OFFSET(cttba_vlvt1_1,0,-9,-ROW(cttba_vlvt1_1)+ROW(cttba_vltb1_1)-10),KLVT!$A274,OFFSET(cttba_vlvt1_1,0,-4,-ROW(cttba_vlvt1_1)+ROW(cttba_vltb1_1)-10))</f>
        <v>0</v>
      </c>
      <c r="G274" s="451">
        <f t="shared" ca="1" si="69"/>
        <v>0</v>
      </c>
      <c r="H274" s="450">
        <f t="shared" si="70"/>
        <v>7.5</v>
      </c>
      <c r="I274" s="447">
        <f t="shared" ca="1" si="71"/>
        <v>0</v>
      </c>
      <c r="J274" s="447">
        <f t="shared" ca="1" si="72"/>
        <v>0</v>
      </c>
      <c r="K274" s="373">
        <f t="shared" ca="1" si="68"/>
        <v>0</v>
      </c>
    </row>
    <row r="275" spans="1:11" s="45" customFormat="1" ht="15.75" hidden="1">
      <c r="A275" s="373" t="str">
        <f>IF(AND(COUNTIF($A$5:$A$133,R_DG!A148)=0,R_DG!R148&gt;0,ISNUMBER(R_DG!R148)),R_DG!A148,"NONE")</f>
        <v>XLPE350+35DHT</v>
      </c>
      <c r="B275" s="85">
        <f ca="1">IF(K275&gt;0,COUNTIF(K$6:K275,"&gt;0"),B274)</f>
        <v>13</v>
      </c>
      <c r="C275" s="1084" t="str">
        <f t="shared" si="66"/>
        <v>Cáp C/XLPE/DSTA/PVC -0.6/1kV-3x50+35mm2</v>
      </c>
      <c r="D275" s="85" t="str">
        <f t="shared" si="67"/>
        <v>mét</v>
      </c>
      <c r="E275" s="448">
        <f ca="1">SUMIF(OFFSET(tongctvtdd1,0,-(COLUMN(E275)+7-(COLUMN(E275)-5)/2)),KLVT!$A275,tongctvtdd1)+SUMIF(OFFSET(tongctvtpk1,0,-(COLUMN(E275)+7-(COLUMN(E275)-5)/2)),KLVT!$A275,tongctvtpk1)</f>
        <v>0</v>
      </c>
      <c r="F275" s="449">
        <f ca="1">SUMIF(OFFSET(cttba_vlvt1_1,0,-9,-ROW(cttba_vlvt1_1)+ROW(cttba_vltb1_1)-10),KLVT!$A275,OFFSET(cttba_vlvt1_1,0,-4,-ROW(cttba_vlvt1_1)+ROW(cttba_vltb1_1)-10))</f>
        <v>0</v>
      </c>
      <c r="G275" s="451">
        <f t="shared" ca="1" si="69"/>
        <v>0</v>
      </c>
      <c r="H275" s="450">
        <f t="shared" si="70"/>
        <v>2.54</v>
      </c>
      <c r="I275" s="447">
        <f t="shared" ca="1" si="71"/>
        <v>0</v>
      </c>
      <c r="J275" s="447">
        <f t="shared" ca="1" si="72"/>
        <v>0</v>
      </c>
      <c r="K275" s="373">
        <f t="shared" ca="1" si="68"/>
        <v>0</v>
      </c>
    </row>
    <row r="276" spans="1:11" s="45" customFormat="1" ht="15.75" hidden="1">
      <c r="A276" s="373" t="str">
        <f>IF(AND(COUNTIF($A$5:$A$133,R_DG!A149)=0,R_DG!R149&gt;0,ISNUMBER(R_DG!R149)),R_DG!A149,"NONE")</f>
        <v>XLPE325D</v>
      </c>
      <c r="B276" s="85">
        <f ca="1">IF(K276&gt;0,COUNTIF(K$6:K276,"&gt;0"),B275)</f>
        <v>13</v>
      </c>
      <c r="C276" s="1084" t="str">
        <f t="shared" si="66"/>
        <v>Cáp 24kV C/XLPE/DSTA/PVC3x25</v>
      </c>
      <c r="D276" s="85" t="str">
        <f t="shared" si="67"/>
        <v>mét</v>
      </c>
      <c r="E276" s="448">
        <f ca="1">SUMIF(OFFSET(tongctvtdd1,0,-(COLUMN(E276)+7-(COLUMN(E276)-5)/2)),KLVT!$A276,tongctvtdd1)+SUMIF(OFFSET(tongctvtpk1,0,-(COLUMN(E276)+7-(COLUMN(E276)-5)/2)),KLVT!$A276,tongctvtpk1)</f>
        <v>0</v>
      </c>
      <c r="F276" s="449">
        <f ca="1">SUMIF(OFFSET(cttba_vlvt1_1,0,-9,-ROW(cttba_vlvt1_1)+ROW(cttba_vltb1_1)-10),KLVT!$A276,OFFSET(cttba_vlvt1_1,0,-4,-ROW(cttba_vlvt1_1)+ROW(cttba_vltb1_1)-10))</f>
        <v>0</v>
      </c>
      <c r="G276" s="451">
        <f t="shared" ca="1" si="69"/>
        <v>0</v>
      </c>
      <c r="H276" s="450">
        <f t="shared" si="70"/>
        <v>4.2</v>
      </c>
      <c r="I276" s="447">
        <f t="shared" ca="1" si="71"/>
        <v>0</v>
      </c>
      <c r="J276" s="447">
        <f t="shared" ca="1" si="72"/>
        <v>0</v>
      </c>
      <c r="K276" s="373">
        <f t="shared" ca="1" si="68"/>
        <v>0</v>
      </c>
    </row>
    <row r="277" spans="1:11" s="45" customFormat="1" ht="15.75" hidden="1">
      <c r="A277" s="373" t="str">
        <f>IF(AND(COUNTIF($A$5:$A$133,R_DG!A150)=0,R_DG!R150&gt;0,ISNUMBER(R_DG!R150)),R_DG!A150,"NONE")</f>
        <v>XLPE350D</v>
      </c>
      <c r="B277" s="85">
        <f ca="1">IF(K277&gt;0,COUNTIF(K$6:K277,"&gt;0"),B276)</f>
        <v>13</v>
      </c>
      <c r="C277" s="1084" t="str">
        <f t="shared" si="66"/>
        <v>Cáp 24kV C/XLPE/DSTA/PVC3x50</v>
      </c>
      <c r="D277" s="85" t="str">
        <f t="shared" si="67"/>
        <v>mét</v>
      </c>
      <c r="E277" s="448">
        <f ca="1">SUMIF(OFFSET(tongctvtdd1,0,-(COLUMN(E277)+7-(COLUMN(E277)-5)/2)),KLVT!$A277,tongctvtdd1)+SUMIF(OFFSET(tongctvtpk1,0,-(COLUMN(E277)+7-(COLUMN(E277)-5)/2)),KLVT!$A277,tongctvtpk1)</f>
        <v>0</v>
      </c>
      <c r="F277" s="449">
        <f ca="1">SUMIF(OFFSET(cttba_vlvt1_1,0,-9,-ROW(cttba_vlvt1_1)+ROW(cttba_vltb1_1)-10),KLVT!$A277,OFFSET(cttba_vlvt1_1,0,-4,-ROW(cttba_vlvt1_1)+ROW(cttba_vltb1_1)-10))</f>
        <v>0</v>
      </c>
      <c r="G277" s="451">
        <f t="shared" ca="1" si="69"/>
        <v>0</v>
      </c>
      <c r="H277" s="450">
        <f t="shared" si="70"/>
        <v>5.39</v>
      </c>
      <c r="I277" s="447">
        <f t="shared" ca="1" si="71"/>
        <v>0</v>
      </c>
      <c r="J277" s="447">
        <f t="shared" ca="1" si="72"/>
        <v>0</v>
      </c>
      <c r="K277" s="374">
        <f t="shared" ca="1" si="68"/>
        <v>0</v>
      </c>
    </row>
    <row r="278" spans="1:11" s="45" customFormat="1" ht="15.75" hidden="1">
      <c r="A278" s="373" t="str">
        <f>IF(AND(COUNTIF($A$5:$A$133,R_DG!A151)=0,R_DG!R151&gt;0,ISNUMBER(R_DG!R151)),R_DG!A151,"NONE")</f>
        <v>XLPE370D</v>
      </c>
      <c r="B278" s="85">
        <f ca="1">IF(K278&gt;0,COUNTIF(K$6:K278,"&gt;0"),B277)</f>
        <v>13</v>
      </c>
      <c r="C278" s="1084" t="str">
        <f t="shared" si="66"/>
        <v>Cáp 24kV C/XLPE/DSTA/PVC3x70mm2</v>
      </c>
      <c r="D278" s="85" t="str">
        <f t="shared" si="67"/>
        <v>mét</v>
      </c>
      <c r="E278" s="448">
        <f ca="1">SUMIF(OFFSET(tongctvtdd1,0,-(COLUMN(E278)+7-(COLUMN(E278)-5)/2)),KLVT!$A278,tongctvtdd1)+SUMIF(OFFSET(tongctvtpk1,0,-(COLUMN(E278)+7-(COLUMN(E278)-5)/2)),KLVT!$A278,tongctvtpk1)</f>
        <v>0</v>
      </c>
      <c r="F278" s="449">
        <f ca="1">SUMIF(OFFSET(cttba_vlvt1_1,0,-9,-ROW(cttba_vlvt1_1)+ROW(cttba_vltb1_1)-10),KLVT!$A278,OFFSET(cttba_vlvt1_1,0,-4,-ROW(cttba_vlvt1_1)+ROW(cttba_vltb1_1)-10))</f>
        <v>0</v>
      </c>
      <c r="G278" s="451">
        <f t="shared" ca="1" si="69"/>
        <v>0</v>
      </c>
      <c r="H278" s="450">
        <f t="shared" si="70"/>
        <v>6.2869999999999999</v>
      </c>
      <c r="I278" s="447">
        <f t="shared" ca="1" si="71"/>
        <v>0</v>
      </c>
      <c r="J278" s="447">
        <f t="shared" ca="1" si="72"/>
        <v>0</v>
      </c>
      <c r="K278" s="373">
        <f t="shared" ca="1" si="68"/>
        <v>0</v>
      </c>
    </row>
    <row r="279" spans="1:11" s="45" customFormat="1" ht="15.75" hidden="1">
      <c r="A279" s="373" t="str">
        <f>IF(AND(COUNTIF($A$5:$A$133,R_DG!A152)=0,R_DG!R152&gt;0,ISNUMBER(R_DG!R152)),R_DG!A152,"NONE")</f>
        <v>XLPE395D</v>
      </c>
      <c r="B279" s="85">
        <f ca="1">IF(K279&gt;0,COUNTIF(K$6:K279,"&gt;0"),B278)</f>
        <v>13</v>
      </c>
      <c r="C279" s="1084" t="str">
        <f t="shared" si="66"/>
        <v>Cáp 24kV C/XLPE/DSTA/PVC3x95mm2</v>
      </c>
      <c r="D279" s="85" t="str">
        <f t="shared" si="67"/>
        <v>mét</v>
      </c>
      <c r="E279" s="448">
        <f ca="1">SUMIF(OFFSET(tongctvtdd1,0,-(COLUMN(E279)+7-(COLUMN(E279)-5)/2)),KLVT!$A279,tongctvtdd1)+SUMIF(OFFSET(tongctvtpk1,0,-(COLUMN(E279)+7-(COLUMN(E279)-5)/2)),KLVT!$A279,tongctvtpk1)</f>
        <v>0</v>
      </c>
      <c r="F279" s="449">
        <f ca="1">SUMIF(OFFSET(cttba_vlvt1_1,0,-9,-ROW(cttba_vlvt1_1)+ROW(cttba_vltb1_1)-10),KLVT!$A279,OFFSET(cttba_vlvt1_1,0,-4,-ROW(cttba_vlvt1_1)+ROW(cttba_vltb1_1)-10))</f>
        <v>0</v>
      </c>
      <c r="G279" s="451">
        <f t="shared" ca="1" si="69"/>
        <v>0</v>
      </c>
      <c r="H279" s="450">
        <f t="shared" si="70"/>
        <v>7.4</v>
      </c>
      <c r="I279" s="447">
        <f t="shared" ca="1" si="71"/>
        <v>0</v>
      </c>
      <c r="J279" s="447">
        <f t="shared" ca="1" si="72"/>
        <v>0</v>
      </c>
      <c r="K279" s="373">
        <f t="shared" ca="1" si="68"/>
        <v>0</v>
      </c>
    </row>
    <row r="280" spans="1:11" s="45" customFormat="1" ht="15.75" hidden="1">
      <c r="A280" s="373" t="str">
        <f>IF(AND(COUNTIF($A$5:$A$133,R_DG!A153)=0,R_DG!R153&gt;0,ISNUMBER(R_DG!R153)),R_DG!A153,"NONE")</f>
        <v>XLPE3120D</v>
      </c>
      <c r="B280" s="85">
        <f ca="1">IF(K280&gt;0,COUNTIF(K$6:K280,"&gt;0"),B279)</f>
        <v>13</v>
      </c>
      <c r="C280" s="1084" t="str">
        <f t="shared" si="66"/>
        <v>Cáp 24kV C/XLPE/DSTA/PVC3x120mm2</v>
      </c>
      <c r="D280" s="85" t="str">
        <f t="shared" si="67"/>
        <v>mét</v>
      </c>
      <c r="E280" s="448">
        <f ca="1">SUMIF(OFFSET(tongctvtdd1,0,-(COLUMN(E280)+7-(COLUMN(E280)-5)/2)),KLVT!$A280,tongctvtdd1)+SUMIF(OFFSET(tongctvtpk1,0,-(COLUMN(E280)+7-(COLUMN(E280)-5)/2)),KLVT!$A280,tongctvtpk1)</f>
        <v>0</v>
      </c>
      <c r="F280" s="449">
        <f ca="1">SUMIF(OFFSET(cttba_vlvt1_1,0,-9,-ROW(cttba_vlvt1_1)+ROW(cttba_vltb1_1)-10),KLVT!$A280,OFFSET(cttba_vlvt1_1,0,-4,-ROW(cttba_vlvt1_1)+ROW(cttba_vltb1_1)-10))</f>
        <v>0</v>
      </c>
      <c r="G280" s="451">
        <f t="shared" ca="1" si="69"/>
        <v>0</v>
      </c>
      <c r="H280" s="450">
        <f t="shared" si="70"/>
        <v>8.36</v>
      </c>
      <c r="I280" s="447">
        <f t="shared" ca="1" si="71"/>
        <v>0</v>
      </c>
      <c r="J280" s="447">
        <f t="shared" ca="1" si="72"/>
        <v>0</v>
      </c>
      <c r="K280" s="373">
        <f t="shared" ca="1" si="68"/>
        <v>0</v>
      </c>
    </row>
    <row r="281" spans="1:11" s="45" customFormat="1" ht="15.75" hidden="1">
      <c r="A281" s="373" t="str">
        <f>IF(AND(COUNTIF($A$5:$A$133,R_DG!A154)=0,R_DG!R154&gt;0,ISNUMBER(R_DG!R154)),R_DG!A154,"NONE")</f>
        <v>XLPE3150D</v>
      </c>
      <c r="B281" s="85">
        <f ca="1">IF(K281&gt;0,COUNTIF(K$6:K281,"&gt;0"),B280)</f>
        <v>13</v>
      </c>
      <c r="C281" s="1084" t="str">
        <f t="shared" si="66"/>
        <v>Cáp 24kV C/XLPE/DSTA/PVC3x150mm2</v>
      </c>
      <c r="D281" s="85" t="str">
        <f t="shared" si="67"/>
        <v>mét</v>
      </c>
      <c r="E281" s="448">
        <f ca="1">SUMIF(OFFSET(tongctvtdd1,0,-(COLUMN(E281)+7-(COLUMN(E281)-5)/2)),KLVT!$A281,tongctvtdd1)+SUMIF(OFFSET(tongctvtpk1,0,-(COLUMN(E281)+7-(COLUMN(E281)-5)/2)),KLVT!$A281,tongctvtpk1)</f>
        <v>0</v>
      </c>
      <c r="F281" s="449">
        <f ca="1">SUMIF(OFFSET(cttba_vlvt1_1,0,-9,-ROW(cttba_vlvt1_1)+ROW(cttba_vltb1_1)-10),KLVT!$A281,OFFSET(cttba_vlvt1_1,0,-4,-ROW(cttba_vlvt1_1)+ROW(cttba_vltb1_1)-10))</f>
        <v>0</v>
      </c>
      <c r="G281" s="451">
        <f t="shared" ca="1" si="69"/>
        <v>0</v>
      </c>
      <c r="H281" s="450">
        <f t="shared" si="70"/>
        <v>9.84</v>
      </c>
      <c r="I281" s="447">
        <f t="shared" ca="1" si="71"/>
        <v>0</v>
      </c>
      <c r="J281" s="447">
        <f t="shared" ca="1" si="72"/>
        <v>0</v>
      </c>
      <c r="K281" s="373">
        <f t="shared" ca="1" si="68"/>
        <v>0</v>
      </c>
    </row>
    <row r="282" spans="1:11" s="45" customFormat="1" ht="15.75" hidden="1">
      <c r="A282" s="373" t="str">
        <f>IF(AND(COUNTIF($A$5:$A$133,R_DG!A155)=0,R_DG!R155&gt;0,ISNUMBER(R_DG!R155)),R_DG!A155,"NONE")</f>
        <v>XLPE3185D</v>
      </c>
      <c r="B282" s="85">
        <f ca="1">IF(K282&gt;0,COUNTIF(K$6:K282,"&gt;0"),B281)</f>
        <v>13</v>
      </c>
      <c r="C282" s="1084" t="str">
        <f t="shared" si="66"/>
        <v>Cáp 24kV C/XLPE/DSTA/PVC3x185mm2</v>
      </c>
      <c r="D282" s="85" t="str">
        <f t="shared" si="67"/>
        <v>mét</v>
      </c>
      <c r="E282" s="448">
        <f ca="1">SUMIF(OFFSET(tongctvtdd1,0,-(COLUMN(E282)+7-(COLUMN(E282)-5)/2)),KLVT!$A282,tongctvtdd1)+SUMIF(OFFSET(tongctvtpk1,0,-(COLUMN(E282)+7-(COLUMN(E282)-5)/2)),KLVT!$A282,tongctvtpk1)</f>
        <v>0</v>
      </c>
      <c r="F282" s="449">
        <f ca="1">SUMIF(OFFSET(cttba_vlvt1_1,0,-9,-ROW(cttba_vlvt1_1)+ROW(cttba_vltb1_1)-10),KLVT!$A282,OFFSET(cttba_vlvt1_1,0,-4,-ROW(cttba_vlvt1_1)+ROW(cttba_vltb1_1)-10))</f>
        <v>0</v>
      </c>
      <c r="G282" s="451">
        <f t="shared" ca="1" si="69"/>
        <v>0</v>
      </c>
      <c r="H282" s="450">
        <f t="shared" si="70"/>
        <v>11.2</v>
      </c>
      <c r="I282" s="447">
        <f t="shared" ca="1" si="71"/>
        <v>0</v>
      </c>
      <c r="J282" s="447">
        <f t="shared" ca="1" si="72"/>
        <v>0</v>
      </c>
      <c r="K282" s="373">
        <f t="shared" ca="1" si="68"/>
        <v>0</v>
      </c>
    </row>
    <row r="283" spans="1:11" s="45" customFormat="1" ht="15.75" hidden="1">
      <c r="A283" s="373" t="str">
        <f>IF(AND(COUNTIF($A$5:$A$133,R_DG!A156)=0,R_DG!R156&gt;0,ISNUMBER(R_DG!R156)),R_DG!A156,"NONE")</f>
        <v>XLPE3240D</v>
      </c>
      <c r="B283" s="85">
        <f ca="1">IF(K283&gt;0,COUNTIF(K$6:K283,"&gt;0"),B282)</f>
        <v>13</v>
      </c>
      <c r="C283" s="1084" t="str">
        <f t="shared" si="66"/>
        <v>Cáp 24kV C/XLPE/DSTA/PVC3x240mm2</v>
      </c>
      <c r="D283" s="85" t="str">
        <f t="shared" si="67"/>
        <v>mét</v>
      </c>
      <c r="E283" s="448">
        <f ca="1">SUMIF(OFFSET(tongctvtdd1,0,-(COLUMN(E283)+7-(COLUMN(E283)-5)/2)),KLVT!$A283,tongctvtdd1)+SUMIF(OFFSET(tongctvtpk1,0,-(COLUMN(E283)+7-(COLUMN(E283)-5)/2)),KLVT!$A283,tongctvtpk1)</f>
        <v>0</v>
      </c>
      <c r="F283" s="449">
        <f ca="1">SUMIF(OFFSET(cttba_vlvt1_1,0,-9,-ROW(cttba_vlvt1_1)+ROW(cttba_vltb1_1)-10),KLVT!$A283,OFFSET(cttba_vlvt1_1,0,-4,-ROW(cttba_vlvt1_1)+ROW(cttba_vltb1_1)-10))</f>
        <v>0</v>
      </c>
      <c r="G283" s="451">
        <f t="shared" ca="1" si="69"/>
        <v>0</v>
      </c>
      <c r="H283" s="450">
        <f t="shared" si="70"/>
        <v>13.8</v>
      </c>
      <c r="I283" s="447">
        <f t="shared" ca="1" si="71"/>
        <v>0</v>
      </c>
      <c r="J283" s="447">
        <f t="shared" ca="1" si="72"/>
        <v>0</v>
      </c>
      <c r="K283" s="373">
        <f t="shared" ca="1" si="68"/>
        <v>0</v>
      </c>
    </row>
    <row r="284" spans="1:11" s="45" customFormat="1" ht="15.75" hidden="1">
      <c r="A284" s="373" t="str">
        <f>IF(AND(COUNTIF($A$5:$A$133,R_DG!A157)=0,R_DG!R157&gt;0,ISNUMBER(R_DG!R157)),R_DG!A157,"NONE")</f>
        <v>XLPE4120D</v>
      </c>
      <c r="B284" s="85">
        <f ca="1">IF(K284&gt;0,COUNTIF(K$6:K284,"&gt;0"),B283)</f>
        <v>13</v>
      </c>
      <c r="C284" s="1084" t="str">
        <f t="shared" si="66"/>
        <v>Cáp 0,4/1kV C/XLPE/DSTA/PVC4x120mm2</v>
      </c>
      <c r="D284" s="85" t="str">
        <f t="shared" si="67"/>
        <v>mét</v>
      </c>
      <c r="E284" s="448">
        <f ca="1">SUMIF(OFFSET(tongctvtdd1,0,-(COLUMN(E284)+7-(COLUMN(E284)-5)/2)),KLVT!$A284,tongctvtdd1)+SUMIF(OFFSET(tongctvtpk1,0,-(COLUMN(E284)+7-(COLUMN(E284)-5)/2)),KLVT!$A284,tongctvtpk1)</f>
        <v>0</v>
      </c>
      <c r="F284" s="449">
        <f ca="1">SUMIF(OFFSET(cttba_vlvt1_1,0,-9,-ROW(cttba_vlvt1_1)+ROW(cttba_vltb1_1)-10),KLVT!$A284,OFFSET(cttba_vlvt1_1,0,-4,-ROW(cttba_vlvt1_1)+ROW(cttba_vltb1_1)-10))</f>
        <v>0</v>
      </c>
      <c r="G284" s="451">
        <f t="shared" ca="1" si="69"/>
        <v>0</v>
      </c>
      <c r="H284" s="450">
        <f t="shared" si="70"/>
        <v>13.8</v>
      </c>
      <c r="I284" s="447">
        <f t="shared" ca="1" si="71"/>
        <v>0</v>
      </c>
      <c r="J284" s="447">
        <f t="shared" ca="1" si="72"/>
        <v>0</v>
      </c>
      <c r="K284" s="373">
        <f t="shared" ca="1" si="68"/>
        <v>0</v>
      </c>
    </row>
    <row r="285" spans="1:11" s="45" customFormat="1" ht="15.75" hidden="1">
      <c r="A285" s="373" t="str">
        <f>IF(AND(COUNTIF($A$5:$A$133,R_DG!A158)=0,R_DG!R158&gt;0,ISNUMBER(R_DG!R158)),R_DG!A158,"NONE")</f>
        <v>XLPE200HT</v>
      </c>
      <c r="B285" s="85">
        <f ca="1">IF(K285&gt;0,COUNTIF(K$6:K285,"&gt;0"),B284)</f>
        <v>13</v>
      </c>
      <c r="C285" s="1084" t="str">
        <f t="shared" si="66"/>
        <v>Cáp 0,6/1KV C/XLPE/PVC 200mm2</v>
      </c>
      <c r="D285" s="85" t="str">
        <f t="shared" si="67"/>
        <v>mét</v>
      </c>
      <c r="E285" s="448">
        <f ca="1">SUMIF(OFFSET(tongctvtdd1,0,-(COLUMN(E285)+7-(COLUMN(E285)-5)/2)),KLVT!$A285,tongctvtdd1)+SUMIF(OFFSET(tongctvtpk1,0,-(COLUMN(E285)+7-(COLUMN(E285)-5)/2)),KLVT!$A285,tongctvtpk1)</f>
        <v>0</v>
      </c>
      <c r="F285" s="449">
        <f ca="1">SUMIF(OFFSET(cttba_vlvt1_1,0,-9,-ROW(cttba_vlvt1_1)+ROW(cttba_vltb1_1)-10),KLVT!$A285,OFFSET(cttba_vlvt1_1,0,-4,-ROW(cttba_vlvt1_1)+ROW(cttba_vltb1_1)-10))</f>
        <v>0</v>
      </c>
      <c r="G285" s="451">
        <f t="shared" ca="1" si="69"/>
        <v>0</v>
      </c>
      <c r="H285" s="450">
        <f t="shared" si="70"/>
        <v>2.528</v>
      </c>
      <c r="I285" s="447">
        <f t="shared" ca="1" si="71"/>
        <v>0</v>
      </c>
      <c r="J285" s="447">
        <f t="shared" ca="1" si="72"/>
        <v>0</v>
      </c>
      <c r="K285" s="373">
        <f t="shared" ca="1" si="68"/>
        <v>0</v>
      </c>
    </row>
    <row r="286" spans="1:11" s="45" customFormat="1" ht="15.75" hidden="1">
      <c r="A286" s="373" t="str">
        <f>IF(AND(COUNTIF($A$5:$A$133,R_DG!A159)=0,R_DG!R159&gt;0,ISNUMBER(R_DG!R159)),R_DG!A159,"NONE")</f>
        <v>XLPE240HT</v>
      </c>
      <c r="B286" s="85">
        <f ca="1">IF(K286&gt;0,COUNTIF(K$6:K286,"&gt;0"),B285)</f>
        <v>13</v>
      </c>
      <c r="C286" s="1084" t="str">
        <f t="shared" si="66"/>
        <v>Cáp 0,6/1KV C/XLPE/PVC 240mm2</v>
      </c>
      <c r="D286" s="85" t="str">
        <f t="shared" si="67"/>
        <v>mét</v>
      </c>
      <c r="E286" s="448">
        <f ca="1">SUMIF(OFFSET(tongctvtdd1,0,-(COLUMN(E286)+7-(COLUMN(E286)-5)/2)),KLVT!$A286,tongctvtdd1)+SUMIF(OFFSET(tongctvtpk1,0,-(COLUMN(E286)+7-(COLUMN(E286)-5)/2)),KLVT!$A286,tongctvtpk1)</f>
        <v>0</v>
      </c>
      <c r="F286" s="449">
        <f ca="1">SUMIF(OFFSET(cttba_vlvt1_1,0,-9,-ROW(cttba_vlvt1_1)+ROW(cttba_vltb1_1)-10),KLVT!$A286,OFFSET(cttba_vlvt1_1,0,-4,-ROW(cttba_vlvt1_1)+ROW(cttba_vltb1_1)-10))</f>
        <v>0</v>
      </c>
      <c r="G286" s="451">
        <f t="shared" ca="1" si="69"/>
        <v>0</v>
      </c>
      <c r="H286" s="450">
        <f t="shared" si="70"/>
        <v>2.528</v>
      </c>
      <c r="I286" s="447">
        <f t="shared" ca="1" si="71"/>
        <v>0</v>
      </c>
      <c r="J286" s="447">
        <f t="shared" ca="1" si="72"/>
        <v>0</v>
      </c>
      <c r="K286" s="373">
        <f t="shared" ca="1" si="68"/>
        <v>0</v>
      </c>
    </row>
    <row r="287" spans="1:11" s="45" customFormat="1" ht="15.75" hidden="1">
      <c r="A287" s="373" t="str">
        <f>IF(AND(COUNTIF($A$5:$A$133,R_DG!A160)=0,R_DG!R160&gt;0,ISNUMBER(R_DG!R160)),R_DG!A160,"NONE")</f>
        <v>XLPE250HT</v>
      </c>
      <c r="B287" s="85">
        <f ca="1">IF(K287&gt;0,COUNTIF(K$6:K287,"&gt;0"),B286)</f>
        <v>13</v>
      </c>
      <c r="C287" s="1084" t="str">
        <f t="shared" si="66"/>
        <v>Cáp 0,6/1KV C/XLPE/PVC 250mm2</v>
      </c>
      <c r="D287" s="85" t="str">
        <f t="shared" si="67"/>
        <v>mét</v>
      </c>
      <c r="E287" s="448">
        <f ca="1">SUMIF(OFFSET(tongctvtdd1,0,-(COLUMN(E287)+7-(COLUMN(E287)-5)/2)),KLVT!$A287,tongctvtdd1)+SUMIF(OFFSET(tongctvtpk1,0,-(COLUMN(E287)+7-(COLUMN(E287)-5)/2)),KLVT!$A287,tongctvtpk1)</f>
        <v>0</v>
      </c>
      <c r="F287" s="449">
        <f ca="1">SUMIF(OFFSET(cttba_vlvt1_1,0,-9,-ROW(cttba_vlvt1_1)+ROW(cttba_vltb1_1)-10),KLVT!$A287,OFFSET(cttba_vlvt1_1,0,-4,-ROW(cttba_vlvt1_1)+ROW(cttba_vltb1_1)-10))</f>
        <v>0</v>
      </c>
      <c r="G287" s="451">
        <f t="shared" ca="1" si="69"/>
        <v>0</v>
      </c>
      <c r="H287" s="450">
        <f t="shared" si="70"/>
        <v>2.6339999999999999</v>
      </c>
      <c r="I287" s="447">
        <f t="shared" ca="1" si="71"/>
        <v>0</v>
      </c>
      <c r="J287" s="447">
        <f t="shared" ca="1" si="72"/>
        <v>0</v>
      </c>
      <c r="K287" s="373">
        <f t="shared" ca="1" si="68"/>
        <v>0</v>
      </c>
    </row>
    <row r="288" spans="1:11" s="45" customFormat="1" ht="15.75" hidden="1">
      <c r="A288" s="373" t="str">
        <f>IF(AND(COUNTIF($A$5:$A$133,R_DG!A161)=0,R_DG!R161&gt;0,ISNUMBER(R_DG!R161)),R_DG!A161,"NONE")</f>
        <v>XLPE300HT</v>
      </c>
      <c r="B288" s="85">
        <f ca="1">IF(K288&gt;0,COUNTIF(K$6:K288,"&gt;0"),B287)</f>
        <v>13</v>
      </c>
      <c r="C288" s="1084" t="str">
        <f t="shared" si="66"/>
        <v>Cáp 0,6/1KV C/XLPE/PVC 300mm2</v>
      </c>
      <c r="D288" s="85" t="str">
        <f t="shared" si="67"/>
        <v>mét</v>
      </c>
      <c r="E288" s="448">
        <f ca="1">SUMIF(OFFSET(tongctvtdd1,0,-(COLUMN(E288)+7-(COLUMN(E288)-5)/2)),KLVT!$A288,tongctvtdd1)+SUMIF(OFFSET(tongctvtpk1,0,-(COLUMN(E288)+7-(COLUMN(E288)-5)/2)),KLVT!$A288,tongctvtpk1)</f>
        <v>0</v>
      </c>
      <c r="F288" s="449">
        <f ca="1">SUMIF(OFFSET(cttba_vlvt1_1,0,-9,-ROW(cttba_vlvt1_1)+ROW(cttba_vltb1_1)-10),KLVT!$A288,OFFSET(cttba_vlvt1_1,0,-4,-ROW(cttba_vlvt1_1)+ROW(cttba_vltb1_1)-10))</f>
        <v>0</v>
      </c>
      <c r="G288" s="451">
        <f t="shared" ca="1" si="69"/>
        <v>0</v>
      </c>
      <c r="H288" s="450">
        <f t="shared" si="70"/>
        <v>3.1</v>
      </c>
      <c r="I288" s="447">
        <f t="shared" ca="1" si="71"/>
        <v>0</v>
      </c>
      <c r="J288" s="447">
        <f t="shared" ca="1" si="72"/>
        <v>0</v>
      </c>
      <c r="K288" s="373">
        <f t="shared" ca="1" si="68"/>
        <v>0</v>
      </c>
    </row>
    <row r="289" spans="1:11" s="45" customFormat="1" ht="15.75" hidden="1">
      <c r="A289" s="373" t="str">
        <f>IF(AND(COUNTIF($A$5:$A$133,R_DG!A162)=0,R_DG!R162&gt;0,ISNUMBER(R_DG!R162)),R_DG!A162,"NONE")</f>
        <v>ACKP35</v>
      </c>
      <c r="B289" s="85">
        <f ca="1">IF(K289&gt;0,COUNTIF(K$6:K289,"&gt;0"),B288)</f>
        <v>13</v>
      </c>
      <c r="C289" s="1084" t="str">
        <f t="shared" si="66"/>
        <v>Cáp nhôm lõi thép ACKP-35/6,2</v>
      </c>
      <c r="D289" s="85" t="str">
        <f t="shared" si="67"/>
        <v>kg</v>
      </c>
      <c r="E289" s="448">
        <f ca="1">SUMIF(OFFSET(tongctvtdd1,0,-(COLUMN(E289)+7-(COLUMN(E289)-5)/2)),KLVT!$A289,tongctvtdd1)+SUMIF(OFFSET(tongctvtpk1,0,-(COLUMN(E289)+7-(COLUMN(E289)-5)/2)),KLVT!$A289,tongctvtpk1)</f>
        <v>0</v>
      </c>
      <c r="F289" s="449">
        <f ca="1">SUMIF(OFFSET(cttba_vlvt1_1,0,-9,-ROW(cttba_vlvt1_1)+ROW(cttba_vltb1_1)-10),KLVT!$A289,OFFSET(cttba_vlvt1_1,0,-4,-ROW(cttba_vlvt1_1)+ROW(cttba_vltb1_1)-10))</f>
        <v>0</v>
      </c>
      <c r="G289" s="451">
        <f t="shared" ca="1" si="69"/>
        <v>0</v>
      </c>
      <c r="H289" s="450">
        <f t="shared" si="70"/>
        <v>1</v>
      </c>
      <c r="I289" s="447">
        <f t="shared" ca="1" si="71"/>
        <v>0</v>
      </c>
      <c r="J289" s="447">
        <f t="shared" ca="1" si="72"/>
        <v>0</v>
      </c>
      <c r="K289" s="373">
        <f t="shared" ca="1" si="68"/>
        <v>0</v>
      </c>
    </row>
    <row r="290" spans="1:11" s="45" customFormat="1" ht="15.75" hidden="1">
      <c r="A290" s="373" t="str">
        <f>IF(AND(COUNTIF($A$5:$A$133,R_DG!A163)=0,R_DG!R163&gt;0,ISNUMBER(R_DG!R163)),R_DG!A163,"NONE")</f>
        <v>ACKP50</v>
      </c>
      <c r="B290" s="85">
        <f ca="1">IF(K290&gt;0,COUNTIF(K$6:K290,"&gt;0"),B289)</f>
        <v>13</v>
      </c>
      <c r="C290" s="1084" t="str">
        <f t="shared" si="66"/>
        <v>Cáp nhôm lõi thép ACKP-50/8</v>
      </c>
      <c r="D290" s="85" t="str">
        <f t="shared" si="67"/>
        <v>kg</v>
      </c>
      <c r="E290" s="448">
        <f ca="1">SUMIF(OFFSET(tongctvtdd1,0,-(COLUMN(E290)+7-(COLUMN(E290)-5)/2)),KLVT!$A290,tongctvtdd1)+SUMIF(OFFSET(tongctvtpk1,0,-(COLUMN(E290)+7-(COLUMN(E290)-5)/2)),KLVT!$A290,tongctvtpk1)</f>
        <v>0</v>
      </c>
      <c r="F290" s="449">
        <f ca="1">SUMIF(OFFSET(cttba_vlvt1_1,0,-9,-ROW(cttba_vlvt1_1)+ROW(cttba_vltb1_1)-10),KLVT!$A290,OFFSET(cttba_vlvt1_1,0,-4,-ROW(cttba_vlvt1_1)+ROW(cttba_vltb1_1)-10))</f>
        <v>0</v>
      </c>
      <c r="G290" s="451">
        <f t="shared" ca="1" si="69"/>
        <v>0</v>
      </c>
      <c r="H290" s="450">
        <f t="shared" si="70"/>
        <v>1</v>
      </c>
      <c r="I290" s="447">
        <f t="shared" ca="1" si="71"/>
        <v>0</v>
      </c>
      <c r="J290" s="447">
        <f t="shared" ca="1" si="72"/>
        <v>0</v>
      </c>
      <c r="K290" s="373">
        <f t="shared" ca="1" si="68"/>
        <v>0</v>
      </c>
    </row>
    <row r="291" spans="1:11" s="45" customFormat="1" ht="15.75" hidden="1">
      <c r="A291" s="373" t="str">
        <f>IF(AND(COUNTIF($A$5:$A$133,R_DG!A164)=0,R_DG!R164&gt;0,ISNUMBER(R_DG!R164)),R_DG!A164,"NONE")</f>
        <v>ACKP70</v>
      </c>
      <c r="B291" s="85">
        <f ca="1">IF(K291&gt;0,COUNTIF(K$6:K291,"&gt;0"),B290)</f>
        <v>13</v>
      </c>
      <c r="C291" s="1084" t="str">
        <f t="shared" si="66"/>
        <v>Cáp nhôm lõi thép ACKP-70/11</v>
      </c>
      <c r="D291" s="85" t="str">
        <f t="shared" si="67"/>
        <v>kg</v>
      </c>
      <c r="E291" s="448">
        <f ca="1">SUMIF(OFFSET(tongctvtdd1,0,-(COLUMN(E291)+7-(COLUMN(E291)-5)/2)),KLVT!$A291,tongctvtdd1)+SUMIF(OFFSET(tongctvtpk1,0,-(COLUMN(E291)+7-(COLUMN(E291)-5)/2)),KLVT!$A291,tongctvtpk1)</f>
        <v>0</v>
      </c>
      <c r="F291" s="449">
        <f ca="1">SUMIF(OFFSET(cttba_vlvt1_1,0,-9,-ROW(cttba_vlvt1_1)+ROW(cttba_vltb1_1)-10),KLVT!$A291,OFFSET(cttba_vlvt1_1,0,-4,-ROW(cttba_vlvt1_1)+ROW(cttba_vltb1_1)-10))</f>
        <v>0</v>
      </c>
      <c r="G291" s="451">
        <f t="shared" ca="1" si="69"/>
        <v>0</v>
      </c>
      <c r="H291" s="450">
        <f t="shared" si="70"/>
        <v>1</v>
      </c>
      <c r="I291" s="447">
        <f t="shared" ca="1" si="71"/>
        <v>0</v>
      </c>
      <c r="J291" s="447">
        <f t="shared" ca="1" si="72"/>
        <v>0</v>
      </c>
      <c r="K291" s="373">
        <f t="shared" ca="1" si="68"/>
        <v>0</v>
      </c>
    </row>
    <row r="292" spans="1:11" s="45" customFormat="1" ht="15.75" hidden="1">
      <c r="A292" s="373" t="str">
        <f>IF(AND(COUNTIF($A$5:$A$133,R_DG!A165)=0,R_DG!R165&gt;0,ISNUMBER(R_DG!R165)),R_DG!A165,"NONE")</f>
        <v>ACKP95</v>
      </c>
      <c r="B292" s="85">
        <f ca="1">IF(K292&gt;0,COUNTIF(K$6:K292,"&gt;0"),B291)</f>
        <v>13</v>
      </c>
      <c r="C292" s="1084" t="str">
        <f t="shared" si="66"/>
        <v>Cáp nhôm lõi thép ACKP-95/16</v>
      </c>
      <c r="D292" s="85" t="str">
        <f t="shared" si="67"/>
        <v>kg</v>
      </c>
      <c r="E292" s="448">
        <f ca="1">SUMIF(OFFSET(tongctvtdd1,0,-(COLUMN(E292)+7-(COLUMN(E292)-5)/2)),KLVT!$A292,tongctvtdd1)+SUMIF(OFFSET(tongctvtpk1,0,-(COLUMN(E292)+7-(COLUMN(E292)-5)/2)),KLVT!$A292,tongctvtpk1)</f>
        <v>0</v>
      </c>
      <c r="F292" s="449">
        <f ca="1">SUMIF(OFFSET(cttba_vlvt1_1,0,-9,-ROW(cttba_vlvt1_1)+ROW(cttba_vltb1_1)-10),KLVT!$A292,OFFSET(cttba_vlvt1_1,0,-4,-ROW(cttba_vlvt1_1)+ROW(cttba_vltb1_1)-10))</f>
        <v>0</v>
      </c>
      <c r="G292" s="451">
        <f t="shared" ca="1" si="69"/>
        <v>0</v>
      </c>
      <c r="H292" s="450">
        <f t="shared" si="70"/>
        <v>1</v>
      </c>
      <c r="I292" s="447">
        <f t="shared" ca="1" si="71"/>
        <v>0</v>
      </c>
      <c r="J292" s="447">
        <f t="shared" ca="1" si="72"/>
        <v>0</v>
      </c>
      <c r="K292" s="373">
        <f t="shared" ca="1" si="68"/>
        <v>0</v>
      </c>
    </row>
    <row r="293" spans="1:11" s="45" customFormat="1" ht="15.75" hidden="1">
      <c r="A293" s="373" t="str">
        <f>IF(AND(COUNTIF($A$5:$A$133,R_DG!A166)=0,R_DG!R166&gt;0,ISNUMBER(R_DG!R166)),R_DG!A166,"NONE")</f>
        <v>ACKP120</v>
      </c>
      <c r="B293" s="85">
        <f ca="1">IF(K293&gt;0,COUNTIF(K$6:K293,"&gt;0"),B292)</f>
        <v>13</v>
      </c>
      <c r="C293" s="1084" t="str">
        <f t="shared" si="66"/>
        <v>Cáp nhôm lõi thép ACKP-120/19</v>
      </c>
      <c r="D293" s="85" t="str">
        <f t="shared" si="67"/>
        <v>kg</v>
      </c>
      <c r="E293" s="448">
        <f ca="1">SUMIF(OFFSET(tongctvtdd1,0,-(COLUMN(E293)+7-(COLUMN(E293)-5)/2)),KLVT!$A293,tongctvtdd1)+SUMIF(OFFSET(tongctvtpk1,0,-(COLUMN(E293)+7-(COLUMN(E293)-5)/2)),KLVT!$A293,tongctvtpk1)</f>
        <v>0</v>
      </c>
      <c r="F293" s="449">
        <f ca="1">SUMIF(OFFSET(cttba_vlvt1_1,0,-9,-ROW(cttba_vlvt1_1)+ROW(cttba_vltb1_1)-10),KLVT!$A293,OFFSET(cttba_vlvt1_1,0,-4,-ROW(cttba_vlvt1_1)+ROW(cttba_vltb1_1)-10))</f>
        <v>0</v>
      </c>
      <c r="G293" s="451">
        <f t="shared" ca="1" si="69"/>
        <v>0</v>
      </c>
      <c r="H293" s="450">
        <f t="shared" si="70"/>
        <v>1</v>
      </c>
      <c r="I293" s="447">
        <f t="shared" ca="1" si="71"/>
        <v>0</v>
      </c>
      <c r="J293" s="447">
        <f t="shared" ca="1" si="72"/>
        <v>0</v>
      </c>
      <c r="K293" s="373">
        <f t="shared" ca="1" si="68"/>
        <v>0</v>
      </c>
    </row>
    <row r="294" spans="1:11" s="45" customFormat="1" ht="15.75" hidden="1">
      <c r="A294" s="373" t="str">
        <f>IF(AND(COUNTIF($A$5:$A$133,R_DG!A167)=0,R_DG!R167&gt;0,ISNUMBER(R_DG!R167)),R_DG!A167,"NONE")</f>
        <v>ACKP150</v>
      </c>
      <c r="B294" s="85">
        <f ca="1">IF(K294&gt;0,COUNTIF(K$6:K294,"&gt;0"),B293)</f>
        <v>13</v>
      </c>
      <c r="C294" s="1084" t="str">
        <f t="shared" si="66"/>
        <v>Cáp nhôm lõi thép ACKP-150/24</v>
      </c>
      <c r="D294" s="85" t="str">
        <f t="shared" si="67"/>
        <v>kg</v>
      </c>
      <c r="E294" s="448">
        <f ca="1">SUMIF(OFFSET(tongctvtdd1,0,-(COLUMN(E294)+7-(COLUMN(E294)-5)/2)),KLVT!$A294,tongctvtdd1)+SUMIF(OFFSET(tongctvtpk1,0,-(COLUMN(E294)+7-(COLUMN(E294)-5)/2)),KLVT!$A294,tongctvtpk1)</f>
        <v>0</v>
      </c>
      <c r="F294" s="449">
        <f ca="1">SUMIF(OFFSET(cttba_vlvt1_1,0,-9,-ROW(cttba_vlvt1_1)+ROW(cttba_vltb1_1)-10),KLVT!$A294,OFFSET(cttba_vlvt1_1,0,-4,-ROW(cttba_vlvt1_1)+ROW(cttba_vltb1_1)-10))</f>
        <v>0</v>
      </c>
      <c r="G294" s="451">
        <f t="shared" ca="1" si="69"/>
        <v>0</v>
      </c>
      <c r="H294" s="450">
        <f t="shared" si="70"/>
        <v>1</v>
      </c>
      <c r="I294" s="447">
        <f t="shared" ca="1" si="71"/>
        <v>0</v>
      </c>
      <c r="J294" s="447">
        <f t="shared" ca="1" si="72"/>
        <v>0</v>
      </c>
      <c r="K294" s="373">
        <f t="shared" ca="1" si="68"/>
        <v>0</v>
      </c>
    </row>
    <row r="295" spans="1:11" s="45" customFormat="1" ht="15.75" hidden="1">
      <c r="A295" s="373" t="str">
        <f>IF(AND(COUNTIF($A$5:$A$133,R_DG!A168)=0,R_DG!R168&gt;0,ISNUMBER(R_DG!R168)),R_DG!A168,"NONE")</f>
        <v>ACKP185</v>
      </c>
      <c r="B295" s="85">
        <f ca="1">IF(K295&gt;0,COUNTIF(K$6:K295,"&gt;0"),B294)</f>
        <v>13</v>
      </c>
      <c r="C295" s="1084" t="str">
        <f t="shared" si="66"/>
        <v>Cáp nhôm lõi thép ACKP-185/29</v>
      </c>
      <c r="D295" s="85" t="str">
        <f t="shared" si="67"/>
        <v>kg</v>
      </c>
      <c r="E295" s="448">
        <f ca="1">SUMIF(OFFSET(tongctvtdd1,0,-(COLUMN(E295)+7-(COLUMN(E295)-5)/2)),KLVT!$A295,tongctvtdd1)+SUMIF(OFFSET(tongctvtpk1,0,-(COLUMN(E295)+7-(COLUMN(E295)-5)/2)),KLVT!$A295,tongctvtpk1)</f>
        <v>0</v>
      </c>
      <c r="F295" s="449">
        <f ca="1">SUMIF(OFFSET(cttba_vlvt1_1,0,-9,-ROW(cttba_vlvt1_1)+ROW(cttba_vltb1_1)-10),KLVT!$A295,OFFSET(cttba_vlvt1_1,0,-4,-ROW(cttba_vlvt1_1)+ROW(cttba_vltb1_1)-10))</f>
        <v>0</v>
      </c>
      <c r="G295" s="451">
        <f t="shared" ca="1" si="69"/>
        <v>0</v>
      </c>
      <c r="H295" s="450">
        <f t="shared" si="70"/>
        <v>1</v>
      </c>
      <c r="I295" s="447">
        <f t="shared" ca="1" si="71"/>
        <v>0</v>
      </c>
      <c r="J295" s="447">
        <f t="shared" ca="1" si="72"/>
        <v>0</v>
      </c>
      <c r="K295" s="374">
        <f t="shared" ca="1" si="68"/>
        <v>0</v>
      </c>
    </row>
    <row r="296" spans="1:11" s="45" customFormat="1" ht="15.75" hidden="1">
      <c r="A296" s="373" t="str">
        <f>IF(AND(COUNTIF($A$5:$A$133,R_DG!A169)=0,R_DG!R169&gt;0,ISNUMBER(R_DG!R169)),R_DG!A169,"NONE")</f>
        <v>ACKP240</v>
      </c>
      <c r="B296" s="85">
        <f ca="1">IF(K296&gt;0,COUNTIF(K$6:K296,"&gt;0"),B295)</f>
        <v>13</v>
      </c>
      <c r="C296" s="1084" t="str">
        <f t="shared" si="66"/>
        <v>Cáp nhôm lõi thép ACKP-240/32</v>
      </c>
      <c r="D296" s="85" t="str">
        <f t="shared" si="67"/>
        <v>kg</v>
      </c>
      <c r="E296" s="448">
        <f ca="1">SUMIF(OFFSET(tongctvtdd1,0,-(COLUMN(E296)+7-(COLUMN(E296)-5)/2)),KLVT!$A296,tongctvtdd1)+SUMIF(OFFSET(tongctvtpk1,0,-(COLUMN(E296)+7-(COLUMN(E296)-5)/2)),KLVT!$A296,tongctvtpk1)</f>
        <v>0</v>
      </c>
      <c r="F296" s="449">
        <f ca="1">SUMIF(OFFSET(cttba_vlvt1_1,0,-9,-ROW(cttba_vlvt1_1)+ROW(cttba_vltb1_1)-10),KLVT!$A296,OFFSET(cttba_vlvt1_1,0,-4,-ROW(cttba_vlvt1_1)+ROW(cttba_vltb1_1)-10))</f>
        <v>0</v>
      </c>
      <c r="G296" s="451">
        <f t="shared" ca="1" si="69"/>
        <v>0</v>
      </c>
      <c r="H296" s="450">
        <f t="shared" si="70"/>
        <v>1</v>
      </c>
      <c r="I296" s="447">
        <f t="shared" ca="1" si="71"/>
        <v>0</v>
      </c>
      <c r="J296" s="447">
        <f t="shared" ca="1" si="72"/>
        <v>0</v>
      </c>
      <c r="K296" s="373">
        <f t="shared" ca="1" si="68"/>
        <v>0</v>
      </c>
    </row>
    <row r="297" spans="1:11" s="45" customFormat="1" ht="15.75" hidden="1">
      <c r="A297" s="373" t="str">
        <f>IF(AND(COUNTIF($A$5:$A$133,R_DG!A170)=0,R_DG!R170&gt;0,ISNUMBER(R_DG!R170)),R_DG!A170,"NONE")</f>
        <v>ACXV50</v>
      </c>
      <c r="B297" s="85">
        <f ca="1">IF(K297&gt;0,COUNTIF(K$6:K297,"&gt;0"),B296)</f>
        <v>13</v>
      </c>
      <c r="C297" s="1084" t="str">
        <f t="shared" si="66"/>
        <v>Cáp nhôm lõi thép bọc 24KV AC/XLPE/PVC50 mm2</v>
      </c>
      <c r="D297" s="85" t="str">
        <f t="shared" si="67"/>
        <v>mét</v>
      </c>
      <c r="E297" s="448">
        <f ca="1">SUMIF(OFFSET(tongctvtdd1,0,-(COLUMN(E297)+7-(COLUMN(E297)-5)/2)),KLVT!$A297,tongctvtdd1)+SUMIF(OFFSET(tongctvtpk1,0,-(COLUMN(E297)+7-(COLUMN(E297)-5)/2)),KLVT!$A297,tongctvtpk1)</f>
        <v>0</v>
      </c>
      <c r="F297" s="449">
        <f ca="1">SUMIF(OFFSET(cttba_vlvt1_1,0,-9,-ROW(cttba_vlvt1_1)+ROW(cttba_vltb1_1)-10),KLVT!$A297,OFFSET(cttba_vlvt1_1,0,-4,-ROW(cttba_vlvt1_1)+ROW(cttba_vltb1_1)-10))</f>
        <v>0</v>
      </c>
      <c r="G297" s="451">
        <f t="shared" ca="1" si="69"/>
        <v>0</v>
      </c>
      <c r="H297" s="450">
        <f t="shared" si="70"/>
        <v>1</v>
      </c>
      <c r="I297" s="447">
        <f t="shared" ca="1" si="71"/>
        <v>0</v>
      </c>
      <c r="J297" s="447">
        <f t="shared" ca="1" si="72"/>
        <v>0</v>
      </c>
      <c r="K297" s="374">
        <f t="shared" ca="1" si="68"/>
        <v>0</v>
      </c>
    </row>
    <row r="298" spans="1:11" s="45" customFormat="1" ht="15.75" hidden="1">
      <c r="A298" s="373" t="str">
        <f>IF(AND(COUNTIF($A$5:$A$133,R_DG!A171)=0,R_DG!R171&gt;0,ISNUMBER(R_DG!R171)),R_DG!A171,"NONE")</f>
        <v>ACXV150</v>
      </c>
      <c r="B298" s="85">
        <f ca="1">IF(K298&gt;0,COUNTIF(K$6:K298,"&gt;0"),B297)</f>
        <v>13</v>
      </c>
      <c r="C298" s="1084" t="str">
        <f t="shared" si="66"/>
        <v>Cáp nhôm lõi thép bọc 24KV AC/XLPE/PVC150/19 mm2</v>
      </c>
      <c r="D298" s="85" t="str">
        <f t="shared" si="67"/>
        <v>mét</v>
      </c>
      <c r="E298" s="448">
        <f ca="1">SUMIF(OFFSET(tongctvtdd1,0,-(COLUMN(E298)+7-(COLUMN(E298)-5)/2)),KLVT!$A298,tongctvtdd1)+SUMIF(OFFSET(tongctvtpk1,0,-(COLUMN(E298)+7-(COLUMN(E298)-5)/2)),KLVT!$A298,tongctvtpk1)</f>
        <v>0</v>
      </c>
      <c r="F298" s="449">
        <f ca="1">SUMIF(OFFSET(cttba_vlvt1_1,0,-9,-ROW(cttba_vlvt1_1)+ROW(cttba_vltb1_1)-10),KLVT!$A298,OFFSET(cttba_vlvt1_1,0,-4,-ROW(cttba_vlvt1_1)+ROW(cttba_vltb1_1)-10))</f>
        <v>0</v>
      </c>
      <c r="G298" s="451">
        <f t="shared" ca="1" si="69"/>
        <v>0</v>
      </c>
      <c r="H298" s="450">
        <f t="shared" si="70"/>
        <v>1.0049999999999999</v>
      </c>
      <c r="I298" s="447">
        <f t="shared" ca="1" si="71"/>
        <v>0</v>
      </c>
      <c r="J298" s="447">
        <f t="shared" ca="1" si="72"/>
        <v>0</v>
      </c>
      <c r="K298" s="373">
        <f t="shared" ca="1" si="68"/>
        <v>0</v>
      </c>
    </row>
    <row r="299" spans="1:11" s="45" customFormat="1" ht="15.75" hidden="1">
      <c r="A299" s="373" t="str">
        <f>IF(AND(COUNTIF($A$5:$A$133,R_DG!A172)=0,R_DG!R172&gt;0,ISNUMBER(R_DG!R172)),R_DG!A172,"NONE")</f>
        <v>AC35</v>
      </c>
      <c r="B299" s="85">
        <f ca="1">IF(K299&gt;0,COUNTIF(K$6:K299,"&gt;0"),B298)</f>
        <v>13</v>
      </c>
      <c r="C299" s="1084" t="str">
        <f t="shared" si="66"/>
        <v>Cáp nhôm lõi thép AC-35/6,2</v>
      </c>
      <c r="D299" s="85" t="str">
        <f t="shared" si="67"/>
        <v>kg</v>
      </c>
      <c r="E299" s="448">
        <f ca="1">SUMIF(OFFSET(tongctvtdd1,0,-(COLUMN(E299)+7-(COLUMN(E299)-5)/2)),KLVT!$A299,tongctvtdd1)+SUMIF(OFFSET(tongctvtpk1,0,-(COLUMN(E299)+7-(COLUMN(E299)-5)/2)),KLVT!$A299,tongctvtpk1)</f>
        <v>0</v>
      </c>
      <c r="F299" s="449">
        <f ca="1">SUMIF(OFFSET(cttba_vlvt1_1,0,-9,-ROW(cttba_vlvt1_1)+ROW(cttba_vltb1_1)-10),KLVT!$A299,OFFSET(cttba_vlvt1_1,0,-4,-ROW(cttba_vlvt1_1)+ROW(cttba_vltb1_1)-10))</f>
        <v>0</v>
      </c>
      <c r="G299" s="451">
        <f t="shared" ca="1" si="69"/>
        <v>0</v>
      </c>
      <c r="H299" s="450">
        <f t="shared" si="70"/>
        <v>2.5</v>
      </c>
      <c r="I299" s="447">
        <f t="shared" ca="1" si="71"/>
        <v>0</v>
      </c>
      <c r="J299" s="447">
        <f t="shared" ca="1" si="72"/>
        <v>0</v>
      </c>
      <c r="K299" s="374">
        <f t="shared" ca="1" si="68"/>
        <v>0</v>
      </c>
    </row>
    <row r="300" spans="1:11">
      <c r="A300" s="1251" t="str">
        <f>IF(AND(COUNTIF($A$5:$A$133,R_DG!A173)=0,R_DG!R173&gt;0,ISNUMBER(R_DG!R173)),R_DG!A173,"NONE")</f>
        <v>AC50</v>
      </c>
      <c r="B300" s="438">
        <f ca="1">IF(K300&gt;0,COUNTIF(K$6:K300,"&gt;0"),B299)</f>
        <v>14</v>
      </c>
      <c r="C300" s="1278" t="str">
        <f t="shared" si="66"/>
        <v>Cáp nhôm lõi thép AC-50/8</v>
      </c>
      <c r="D300" s="438" t="str">
        <f t="shared" si="67"/>
        <v>kg</v>
      </c>
      <c r="E300" s="1276">
        <f ca="1">SUMIF(OFFSET(tongctvtdd1,0,-(COLUMN(E300)+7-(COLUMN(E300)-5)/2)),KLVT!$A300,tongctvtdd1)+SUMIF(OFFSET(tongctvtpk1,0,-(COLUMN(E300)+7-(COLUMN(E300)-5)/2)),KLVT!$A300,tongctvtpk1)</f>
        <v>19.89</v>
      </c>
      <c r="F300" s="1277">
        <f ca="1">SUMIF(OFFSET(cttba_vlvt1_1,0,-9,-ROW(cttba_vlvt1_1)+ROW(cttba_vltb1_1)-10),KLVT!$A300,OFFSET(cttba_vlvt1_1,0,-4,-ROW(cttba_vlvt1_1)+ROW(cttba_vltb1_1)-10))</f>
        <v>0</v>
      </c>
      <c r="G300" s="1277">
        <f t="shared" ca="1" si="69"/>
        <v>19.89</v>
      </c>
      <c r="H300" s="1274">
        <f t="shared" si="70"/>
        <v>1</v>
      </c>
      <c r="I300" s="1279">
        <f t="shared" ca="1" si="71"/>
        <v>19.89</v>
      </c>
      <c r="J300" s="1279">
        <f t="shared" ca="1" si="72"/>
        <v>0</v>
      </c>
      <c r="K300" s="1268">
        <f t="shared" ca="1" si="68"/>
        <v>1</v>
      </c>
    </row>
    <row r="301" spans="1:11" s="45" customFormat="1" ht="15.75" hidden="1">
      <c r="A301" s="373" t="str">
        <f>IF(AND(COUNTIF($A$5:$A$133,R_DG!A174)=0,R_DG!R174&gt;0,ISNUMBER(R_DG!R174)),R_DG!A174,"NONE")</f>
        <v>AC70</v>
      </c>
      <c r="B301" s="85">
        <f ca="1">IF(K301&gt;0,COUNTIF(K$6:K301,"&gt;0"),B300)</f>
        <v>14</v>
      </c>
      <c r="C301" s="1084" t="str">
        <f t="shared" si="66"/>
        <v>Cáp nhôm lõi thép AC-70/11</v>
      </c>
      <c r="D301" s="85" t="str">
        <f t="shared" si="67"/>
        <v>kg</v>
      </c>
      <c r="E301" s="448">
        <f ca="1">SUMIF(OFFSET(tongctvtdd1,0,-(COLUMN(E301)+7-(COLUMN(E301)-5)/2)),KLVT!$A301,tongctvtdd1)+SUMIF(OFFSET(tongctvtpk1,0,-(COLUMN(E301)+7-(COLUMN(E301)-5)/2)),KLVT!$A301,tongctvtpk1)</f>
        <v>0</v>
      </c>
      <c r="F301" s="449">
        <f ca="1">SUMIF(OFFSET(cttba_vlvt1_1,0,-9,-ROW(cttba_vlvt1_1)+ROW(cttba_vltb1_1)-10),KLVT!$A301,OFFSET(cttba_vlvt1_1,0,-4,-ROW(cttba_vlvt1_1)+ROW(cttba_vltb1_1)-10))</f>
        <v>0</v>
      </c>
      <c r="G301" s="451">
        <f t="shared" ca="1" si="69"/>
        <v>0</v>
      </c>
      <c r="H301" s="450">
        <f t="shared" si="70"/>
        <v>1</v>
      </c>
      <c r="I301" s="447">
        <f t="shared" ca="1" si="71"/>
        <v>0</v>
      </c>
      <c r="J301" s="447">
        <f t="shared" ca="1" si="72"/>
        <v>0</v>
      </c>
      <c r="K301" s="374">
        <f t="shared" ca="1" si="68"/>
        <v>0</v>
      </c>
    </row>
    <row r="302" spans="1:11" s="45" customFormat="1" ht="15.75" hidden="1">
      <c r="A302" s="373" t="str">
        <f>IF(AND(COUNTIF($A$5:$A$133,R_DG!A175)=0,R_DG!R175&gt;0,ISNUMBER(R_DG!R175)),R_DG!A175,"NONE")</f>
        <v>AC95</v>
      </c>
      <c r="B302" s="85">
        <f ca="1">IF(K302&gt;0,COUNTIF(K$6:K302,"&gt;0"),B301)</f>
        <v>14</v>
      </c>
      <c r="C302" s="1084" t="str">
        <f t="shared" si="66"/>
        <v>Cáp nhôm lõi thép AC-95/16</v>
      </c>
      <c r="D302" s="85" t="str">
        <f t="shared" si="67"/>
        <v>kg</v>
      </c>
      <c r="E302" s="448">
        <f ca="1">SUMIF(OFFSET(tongctvtdd1,0,-(COLUMN(E302)+7-(COLUMN(E302)-5)/2)),KLVT!$A302,tongctvtdd1)+SUMIF(OFFSET(tongctvtpk1,0,-(COLUMN(E302)+7-(COLUMN(E302)-5)/2)),KLVT!$A302,tongctvtpk1)</f>
        <v>0</v>
      </c>
      <c r="F302" s="449">
        <f ca="1">SUMIF(OFFSET(cttba_vlvt1_1,0,-9,-ROW(cttba_vlvt1_1)+ROW(cttba_vltb1_1)-10),KLVT!$A302,OFFSET(cttba_vlvt1_1,0,-4,-ROW(cttba_vlvt1_1)+ROW(cttba_vltb1_1)-10))</f>
        <v>0</v>
      </c>
      <c r="G302" s="451">
        <f t="shared" ca="1" si="69"/>
        <v>0</v>
      </c>
      <c r="H302" s="450">
        <f t="shared" si="70"/>
        <v>1</v>
      </c>
      <c r="I302" s="447">
        <f t="shared" ca="1" si="71"/>
        <v>0</v>
      </c>
      <c r="J302" s="447">
        <f t="shared" ca="1" si="72"/>
        <v>0</v>
      </c>
      <c r="K302" s="373">
        <f t="shared" ca="1" si="68"/>
        <v>0</v>
      </c>
    </row>
    <row r="303" spans="1:11" s="45" customFormat="1" ht="15.75" hidden="1">
      <c r="A303" s="373" t="str">
        <f>IF(AND(COUNTIF($A$5:$A$133,R_DG!A176)=0,R_DG!R176&gt;0,ISNUMBER(R_DG!R176)),R_DG!A176,"NONE")</f>
        <v>AC120</v>
      </c>
      <c r="B303" s="85">
        <f ca="1">IF(K303&gt;0,COUNTIF(K$6:K303,"&gt;0"),B302)</f>
        <v>14</v>
      </c>
      <c r="C303" s="1084" t="str">
        <f t="shared" si="66"/>
        <v>Cáp nhôm lõi thép AC-120/19</v>
      </c>
      <c r="D303" s="85" t="str">
        <f t="shared" si="67"/>
        <v>kg</v>
      </c>
      <c r="E303" s="448">
        <f ca="1">SUMIF(OFFSET(tongctvtdd1,0,-(COLUMN(E303)+7-(COLUMN(E303)-5)/2)),KLVT!$A303,tongctvtdd1)+SUMIF(OFFSET(tongctvtpk1,0,-(COLUMN(E303)+7-(COLUMN(E303)-5)/2)),KLVT!$A303,tongctvtpk1)</f>
        <v>0</v>
      </c>
      <c r="F303" s="449">
        <f ca="1">SUMIF(OFFSET(cttba_vlvt1_1,0,-9,-ROW(cttba_vlvt1_1)+ROW(cttba_vltb1_1)-10),KLVT!$A303,OFFSET(cttba_vlvt1_1,0,-4,-ROW(cttba_vlvt1_1)+ROW(cttba_vltb1_1)-10))</f>
        <v>0</v>
      </c>
      <c r="G303" s="451">
        <f t="shared" ca="1" si="69"/>
        <v>0</v>
      </c>
      <c r="H303" s="450">
        <f t="shared" si="70"/>
        <v>1</v>
      </c>
      <c r="I303" s="447">
        <f t="shared" ca="1" si="71"/>
        <v>0</v>
      </c>
      <c r="J303" s="447">
        <f t="shared" ca="1" si="72"/>
        <v>0</v>
      </c>
      <c r="K303" s="373">
        <f t="shared" ca="1" si="68"/>
        <v>0</v>
      </c>
    </row>
    <row r="304" spans="1:11" s="45" customFormat="1" ht="15.75" hidden="1">
      <c r="A304" s="373" t="str">
        <f>IF(AND(COUNTIF($A$5:$A$133,R_DG!A177)=0,R_DG!R177&gt;0,ISNUMBER(R_DG!R177)),R_DG!A177,"NONE")</f>
        <v>AC150</v>
      </c>
      <c r="B304" s="85">
        <f ca="1">IF(K304&gt;0,COUNTIF(K$6:K304,"&gt;0"),B303)</f>
        <v>14</v>
      </c>
      <c r="C304" s="1084" t="str">
        <f t="shared" si="66"/>
        <v>Cáp nhôm lõi thép AC-150/24</v>
      </c>
      <c r="D304" s="85" t="str">
        <f t="shared" si="67"/>
        <v>kg</v>
      </c>
      <c r="E304" s="448">
        <f ca="1">SUMIF(OFFSET(tongctvtdd1,0,-(COLUMN(E304)+7-(COLUMN(E304)-5)/2)),KLVT!$A304,tongctvtdd1)+SUMIF(OFFSET(tongctvtpk1,0,-(COLUMN(E304)+7-(COLUMN(E304)-5)/2)),KLVT!$A304,tongctvtpk1)</f>
        <v>0</v>
      </c>
      <c r="F304" s="449">
        <f ca="1">SUMIF(OFFSET(cttba_vlvt1_1,0,-9,-ROW(cttba_vlvt1_1)+ROW(cttba_vltb1_1)-10),KLVT!$A304,OFFSET(cttba_vlvt1_1,0,-4,-ROW(cttba_vlvt1_1)+ROW(cttba_vltb1_1)-10))</f>
        <v>0</v>
      </c>
      <c r="G304" s="451">
        <f t="shared" ca="1" si="69"/>
        <v>0</v>
      </c>
      <c r="H304" s="450">
        <f t="shared" si="70"/>
        <v>1</v>
      </c>
      <c r="I304" s="447">
        <f t="shared" ca="1" si="71"/>
        <v>0</v>
      </c>
      <c r="J304" s="447">
        <f t="shared" ca="1" si="72"/>
        <v>0</v>
      </c>
      <c r="K304" s="373">
        <f t="shared" ca="1" si="68"/>
        <v>0</v>
      </c>
    </row>
    <row r="305" spans="1:11" s="45" customFormat="1" ht="15.75" hidden="1">
      <c r="A305" s="373" t="str">
        <f>IF(AND(COUNTIF($A$5:$A$133,R_DG!A178)=0,R_DG!R178&gt;0,ISNUMBER(R_DG!R178)),R_DG!A178,"NONE")</f>
        <v>AC185</v>
      </c>
      <c r="B305" s="85">
        <f ca="1">IF(K305&gt;0,COUNTIF(K$6:K305,"&gt;0"),B304)</f>
        <v>14</v>
      </c>
      <c r="C305" s="1084" t="str">
        <f t="shared" si="66"/>
        <v>Cáp nhôm lõi thép AC-185/29</v>
      </c>
      <c r="D305" s="85" t="str">
        <f t="shared" si="67"/>
        <v>kg</v>
      </c>
      <c r="E305" s="448">
        <f ca="1">SUMIF(OFFSET(tongctvtdd1,0,-(COLUMN(E305)+7-(COLUMN(E305)-5)/2)),KLVT!$A305,tongctvtdd1)+SUMIF(OFFSET(tongctvtpk1,0,-(COLUMN(E305)+7-(COLUMN(E305)-5)/2)),KLVT!$A305,tongctvtpk1)</f>
        <v>0</v>
      </c>
      <c r="F305" s="449">
        <f ca="1">SUMIF(OFFSET(cttba_vlvt1_1,0,-9,-ROW(cttba_vlvt1_1)+ROW(cttba_vltb1_1)-10),KLVT!$A305,OFFSET(cttba_vlvt1_1,0,-4,-ROW(cttba_vlvt1_1)+ROW(cttba_vltb1_1)-10))</f>
        <v>0</v>
      </c>
      <c r="G305" s="451">
        <f t="shared" ca="1" si="69"/>
        <v>0</v>
      </c>
      <c r="H305" s="450">
        <f t="shared" si="70"/>
        <v>1</v>
      </c>
      <c r="I305" s="447">
        <f t="shared" ca="1" si="71"/>
        <v>0</v>
      </c>
      <c r="J305" s="447">
        <f t="shared" ca="1" si="72"/>
        <v>0</v>
      </c>
      <c r="K305" s="373">
        <f t="shared" ca="1" si="68"/>
        <v>0</v>
      </c>
    </row>
    <row r="306" spans="1:11" s="45" customFormat="1" ht="15.75" hidden="1">
      <c r="A306" s="373" t="str">
        <f>IF(AND(COUNTIF($A$5:$A$133,R_DG!A179)=0,R_DG!R179&gt;0,ISNUMBER(R_DG!R179)),R_DG!A179,"NONE")</f>
        <v>AC240</v>
      </c>
      <c r="B306" s="85">
        <f ca="1">IF(K306&gt;0,COUNTIF(K$6:K306,"&gt;0"),B305)</f>
        <v>14</v>
      </c>
      <c r="C306" s="1084" t="str">
        <f t="shared" si="66"/>
        <v>Cáp nhôm lõi thép AC-240/39</v>
      </c>
      <c r="D306" s="85" t="str">
        <f t="shared" si="67"/>
        <v>kg</v>
      </c>
      <c r="E306" s="448">
        <f ca="1">SUMIF(OFFSET(tongctvtdd1,0,-(COLUMN(E306)+7-(COLUMN(E306)-5)/2)),KLVT!$A306,tongctvtdd1)+SUMIF(OFFSET(tongctvtpk1,0,-(COLUMN(E306)+7-(COLUMN(E306)-5)/2)),KLVT!$A306,tongctvtpk1)</f>
        <v>0</v>
      </c>
      <c r="F306" s="449">
        <f ca="1">SUMIF(OFFSET(cttba_vlvt1_1,0,-9,-ROW(cttba_vlvt1_1)+ROW(cttba_vltb1_1)-10),KLVT!$A306,OFFSET(cttba_vlvt1_1,0,-4,-ROW(cttba_vlvt1_1)+ROW(cttba_vltb1_1)-10))</f>
        <v>0</v>
      </c>
      <c r="G306" s="451">
        <f t="shared" ca="1" si="69"/>
        <v>0</v>
      </c>
      <c r="H306" s="450">
        <f t="shared" si="70"/>
        <v>1</v>
      </c>
      <c r="I306" s="447">
        <f t="shared" ca="1" si="71"/>
        <v>0</v>
      </c>
      <c r="J306" s="447">
        <f t="shared" ca="1" si="72"/>
        <v>0</v>
      </c>
      <c r="K306" s="373">
        <f t="shared" ca="1" si="68"/>
        <v>0</v>
      </c>
    </row>
    <row r="307" spans="1:11" s="45" customFormat="1" ht="15.75" hidden="1">
      <c r="A307" s="373" t="str">
        <f>IF(AND(COUNTIF($A$5:$A$133,R_DG!A180)=0,R_DG!R180&gt;0,ISNUMBER(R_DG!R180)),R_DG!A180,"NONE")</f>
        <v>AV35</v>
      </c>
      <c r="B307" s="85">
        <f ca="1">IF(K307&gt;0,COUNTIF(K$6:K307,"&gt;0"),B306)</f>
        <v>14</v>
      </c>
      <c r="C307" s="1084" t="str">
        <f t="shared" si="66"/>
        <v>Cáp nhôm bọc AV35</v>
      </c>
      <c r="D307" s="85" t="str">
        <f t="shared" si="67"/>
        <v>mét</v>
      </c>
      <c r="E307" s="448">
        <f ca="1">SUMIF(OFFSET(tongctvtdd1,0,-(COLUMN(E307)+7-(COLUMN(E307)-5)/2)),KLVT!$A307,tongctvtdd1)+SUMIF(OFFSET(tongctvtpk1,0,-(COLUMN(E307)+7-(COLUMN(E307)-5)/2)),KLVT!$A307,tongctvtpk1)</f>
        <v>0</v>
      </c>
      <c r="F307" s="449">
        <f ca="1">SUMIF(OFFSET(cttba_vlvt1_1,0,-9,-ROW(cttba_vlvt1_1)+ROW(cttba_vltb1_1)-10),KLVT!$A307,OFFSET(cttba_vlvt1_1,0,-4,-ROW(cttba_vlvt1_1)+ROW(cttba_vltb1_1)-10))</f>
        <v>0</v>
      </c>
      <c r="G307" s="451">
        <f t="shared" ca="1" si="69"/>
        <v>0</v>
      </c>
      <c r="H307" s="450">
        <f t="shared" si="70"/>
        <v>0.17399999999999999</v>
      </c>
      <c r="I307" s="447">
        <f t="shared" ca="1" si="71"/>
        <v>0</v>
      </c>
      <c r="J307" s="447">
        <f t="shared" ca="1" si="72"/>
        <v>0</v>
      </c>
      <c r="K307" s="373">
        <f t="shared" ca="1" si="68"/>
        <v>0</v>
      </c>
    </row>
    <row r="308" spans="1:11" s="45" customFormat="1" ht="15.75" hidden="1">
      <c r="A308" s="373" t="str">
        <f>IF(AND(COUNTIF($A$5:$A$133,R_DG!A181)=0,R_DG!R181&gt;0,ISNUMBER(R_DG!R181)),R_DG!A181,"NONE")</f>
        <v>AV50</v>
      </c>
      <c r="B308" s="85">
        <f ca="1">IF(K308&gt;0,COUNTIF(K$6:K308,"&gt;0"),B307)</f>
        <v>14</v>
      </c>
      <c r="C308" s="1084" t="str">
        <f t="shared" si="66"/>
        <v>Cáp nhôm bọc AV50</v>
      </c>
      <c r="D308" s="85" t="str">
        <f t="shared" si="67"/>
        <v>mét</v>
      </c>
      <c r="E308" s="448">
        <f ca="1">SUMIF(OFFSET(tongctvtdd1,0,-(COLUMN(E308)+7-(COLUMN(E308)-5)/2)),KLVT!$A308,tongctvtdd1)+SUMIF(OFFSET(tongctvtpk1,0,-(COLUMN(E308)+7-(COLUMN(E308)-5)/2)),KLVT!$A308,tongctvtpk1)</f>
        <v>0</v>
      </c>
      <c r="F308" s="449">
        <f ca="1">SUMIF(OFFSET(cttba_vlvt1_1,0,-9,-ROW(cttba_vlvt1_1)+ROW(cttba_vltb1_1)-10),KLVT!$A308,OFFSET(cttba_vlvt1_1,0,-4,-ROW(cttba_vlvt1_1)+ROW(cttba_vltb1_1)-10))</f>
        <v>0</v>
      </c>
      <c r="G308" s="451">
        <f t="shared" ca="1" si="69"/>
        <v>0</v>
      </c>
      <c r="H308" s="450">
        <f t="shared" si="70"/>
        <v>0.22900000000000001</v>
      </c>
      <c r="I308" s="447">
        <f t="shared" ca="1" si="71"/>
        <v>0</v>
      </c>
      <c r="J308" s="447">
        <f t="shared" ca="1" si="72"/>
        <v>0</v>
      </c>
      <c r="K308" s="373">
        <f t="shared" ca="1" si="68"/>
        <v>0</v>
      </c>
    </row>
    <row r="309" spans="1:11" ht="15.75">
      <c r="A309" s="1251" t="str">
        <f>IF(AND(COUNTIF($A$5:$A$133,R_DG!A182)=0,R_DG!R182&gt;0,ISNUMBER(R_DG!R182)),R_DG!A182,"NONE")</f>
        <v>AV70</v>
      </c>
      <c r="B309" s="438">
        <f ca="1">IF(K309&gt;0,COUNTIF(K$6:K309,"&gt;0"),B308)</f>
        <v>15</v>
      </c>
      <c r="C309" s="1278" t="str">
        <f t="shared" si="66"/>
        <v>Cáp nhôm bọc AV70</v>
      </c>
      <c r="D309" s="438" t="str">
        <f t="shared" si="67"/>
        <v>mét</v>
      </c>
      <c r="E309" s="1276">
        <f ca="1">SUMIF(OFFSET(tongctvtdd1,0,-(COLUMN(E309)+7-(COLUMN(E309)-5)/2)),KLVT!$A309,tongctvtdd1)+SUMIF(OFFSET(tongctvtpk1,0,-(COLUMN(E309)+7-(COLUMN(E309)-5)/2)),KLVT!$A309,tongctvtpk1)</f>
        <v>51</v>
      </c>
      <c r="F309" s="1277">
        <f ca="1">SUMIF(OFFSET(cttba_vlvt1_1,0,-9,-ROW(cttba_vlvt1_1)+ROW(cttba_vltb1_1)-10),KLVT!$A309,OFFSET(cttba_vlvt1_1,0,-4,-ROW(cttba_vlvt1_1)+ROW(cttba_vltb1_1)-10))</f>
        <v>0</v>
      </c>
      <c r="G309" s="1277">
        <f t="shared" ca="1" si="69"/>
        <v>51</v>
      </c>
      <c r="H309" s="1274">
        <f t="shared" si="70"/>
        <v>0.30299999999999999</v>
      </c>
      <c r="I309" s="1279">
        <f t="shared" ca="1" si="71"/>
        <v>15.452999999999999</v>
      </c>
      <c r="J309" s="1279">
        <f t="shared" ca="1" si="72"/>
        <v>0</v>
      </c>
      <c r="K309" s="1251">
        <f t="shared" ca="1" si="68"/>
        <v>1</v>
      </c>
    </row>
    <row r="310" spans="1:11" s="45" customFormat="1" ht="15.75" hidden="1">
      <c r="A310" s="373" t="str">
        <f>IF(AND(COUNTIF($A$5:$A$133,R_DG!A183)=0,R_DG!R183&gt;0,ISNUMBER(R_DG!R183)),R_DG!A183,"NONE")</f>
        <v>AV95</v>
      </c>
      <c r="B310" s="85">
        <f ca="1">IF(K310&gt;0,COUNTIF(K$6:K310,"&gt;0"),B309)</f>
        <v>15</v>
      </c>
      <c r="C310" s="1084" t="str">
        <f t="shared" si="66"/>
        <v>Cáp nhôm bọc AV95</v>
      </c>
      <c r="D310" s="85" t="str">
        <f t="shared" si="67"/>
        <v>mét</v>
      </c>
      <c r="E310" s="448">
        <f ca="1">SUMIF(OFFSET(tongctvtdd1,0,-(COLUMN(E310)+7-(COLUMN(E310)-5)/2)),KLVT!$A310,tongctvtdd1)+SUMIF(OFFSET(tongctvtpk1,0,-(COLUMN(E310)+7-(COLUMN(E310)-5)/2)),KLVT!$A310,tongctvtpk1)</f>
        <v>0</v>
      </c>
      <c r="F310" s="449">
        <f ca="1">SUMIF(OFFSET(cttba_vlvt1_1,0,-9,-ROW(cttba_vlvt1_1)+ROW(cttba_vltb1_1)-10),KLVT!$A310,OFFSET(cttba_vlvt1_1,0,-4,-ROW(cttba_vlvt1_1)+ROW(cttba_vltb1_1)-10))</f>
        <v>0</v>
      </c>
      <c r="G310" s="451">
        <f t="shared" ca="1" si="69"/>
        <v>0</v>
      </c>
      <c r="H310" s="450">
        <f t="shared" si="70"/>
        <v>0.39400000000000002</v>
      </c>
      <c r="I310" s="447">
        <f t="shared" ca="1" si="71"/>
        <v>0</v>
      </c>
      <c r="J310" s="447">
        <f t="shared" ca="1" si="72"/>
        <v>0</v>
      </c>
      <c r="K310" s="373">
        <f t="shared" ca="1" si="68"/>
        <v>0</v>
      </c>
    </row>
    <row r="311" spans="1:11" s="45" customFormat="1" ht="15.75" hidden="1">
      <c r="A311" s="373" t="str">
        <f>IF(AND(COUNTIF($A$5:$A$133,R_DG!A184)=0,R_DG!R184&gt;0,ISNUMBER(R_DG!R184)),R_DG!A184,"NONE")</f>
        <v>AV120</v>
      </c>
      <c r="B311" s="85">
        <f ca="1">IF(K311&gt;0,COUNTIF(K$6:K311,"&gt;0"),B310)</f>
        <v>15</v>
      </c>
      <c r="C311" s="1084" t="str">
        <f t="shared" si="66"/>
        <v>Cáp nhôm bọc AV120</v>
      </c>
      <c r="D311" s="85" t="str">
        <f t="shared" si="67"/>
        <v>mét</v>
      </c>
      <c r="E311" s="448">
        <f ca="1">SUMIF(OFFSET(tongctvtdd1,0,-(COLUMN(E311)+7-(COLUMN(E311)-5)/2)),KLVT!$A311,tongctvtdd1)+SUMIF(OFFSET(tongctvtpk1,0,-(COLUMN(E311)+7-(COLUMN(E311)-5)/2)),KLVT!$A311,tongctvtpk1)</f>
        <v>0</v>
      </c>
      <c r="F311" s="449">
        <f ca="1">SUMIF(OFFSET(cttba_vlvt1_1,0,-9,-ROW(cttba_vlvt1_1)+ROW(cttba_vltb1_1)-10),KLVT!$A311,OFFSET(cttba_vlvt1_1,0,-4,-ROW(cttba_vlvt1_1)+ROW(cttba_vltb1_1)-10))</f>
        <v>0</v>
      </c>
      <c r="G311" s="451">
        <f t="shared" ca="1" si="69"/>
        <v>0</v>
      </c>
      <c r="H311" s="450">
        <f t="shared" si="70"/>
        <v>0.48599999999999999</v>
      </c>
      <c r="I311" s="447">
        <f t="shared" ca="1" si="71"/>
        <v>0</v>
      </c>
      <c r="J311" s="447">
        <f t="shared" ca="1" si="72"/>
        <v>0</v>
      </c>
      <c r="K311" s="373">
        <f t="shared" ca="1" si="68"/>
        <v>0</v>
      </c>
    </row>
    <row r="312" spans="1:11" s="45" customFormat="1" ht="15.75" hidden="1">
      <c r="A312" s="373" t="str">
        <f>IF(AND(COUNTIF($A$5:$A$133,R_DG!A185)=0,R_DG!R185&gt;0,ISNUMBER(R_DG!R185)),R_DG!A185,"NONE")</f>
        <v>AV150</v>
      </c>
      <c r="B312" s="85">
        <f ca="1">IF(K312&gt;0,COUNTIF(K$6:K312,"&gt;0"),B311)</f>
        <v>15</v>
      </c>
      <c r="C312" s="1084" t="str">
        <f t="shared" si="66"/>
        <v>Cáp nhôm bọc AV150</v>
      </c>
      <c r="D312" s="85" t="str">
        <f t="shared" si="67"/>
        <v>mét</v>
      </c>
      <c r="E312" s="448">
        <f ca="1">SUMIF(OFFSET(tongctvtdd1,0,-(COLUMN(E312)+7-(COLUMN(E312)-5)/2)),KLVT!$A312,tongctvtdd1)+SUMIF(OFFSET(tongctvtpk1,0,-(COLUMN(E312)+7-(COLUMN(E312)-5)/2)),KLVT!$A312,tongctvtpk1)</f>
        <v>0</v>
      </c>
      <c r="F312" s="449">
        <f ca="1">SUMIF(OFFSET(cttba_vlvt1_1,0,-9,-ROW(cttba_vlvt1_1)+ROW(cttba_vltb1_1)-10),KLVT!$A312,OFFSET(cttba_vlvt1_1,0,-4,-ROW(cttba_vlvt1_1)+ROW(cttba_vltb1_1)-10))</f>
        <v>0</v>
      </c>
      <c r="G312" s="451">
        <f t="shared" ca="1" si="69"/>
        <v>0</v>
      </c>
      <c r="H312" s="450">
        <f t="shared" si="70"/>
        <v>0.59599999999999997</v>
      </c>
      <c r="I312" s="447">
        <f t="shared" ca="1" si="71"/>
        <v>0</v>
      </c>
      <c r="J312" s="447">
        <f t="shared" ca="1" si="72"/>
        <v>0</v>
      </c>
      <c r="K312" s="373">
        <f t="shared" ca="1" si="68"/>
        <v>0</v>
      </c>
    </row>
    <row r="313" spans="1:11" s="45" customFormat="1" ht="15.75" hidden="1">
      <c r="A313" s="373" t="str">
        <f>IF(AND(COUNTIF($A$5:$A$133,R_DG!A186)=0,R_DG!R186&gt;0,ISNUMBER(R_DG!R186)),R_DG!A186,"NONE")</f>
        <v>AV185</v>
      </c>
      <c r="B313" s="85">
        <f ca="1">IF(K313&gt;0,COUNTIF(K$6:K313,"&gt;0"),B312)</f>
        <v>15</v>
      </c>
      <c r="C313" s="1084" t="str">
        <f t="shared" si="66"/>
        <v>Cáp nhôm bọc AV185</v>
      </c>
      <c r="D313" s="85" t="str">
        <f t="shared" si="67"/>
        <v>mét</v>
      </c>
      <c r="E313" s="448">
        <f ca="1">SUMIF(OFFSET(tongctvtdd1,0,-(COLUMN(E313)+7-(COLUMN(E313)-5)/2)),KLVT!$A313,tongctvtdd1)+SUMIF(OFFSET(tongctvtpk1,0,-(COLUMN(E313)+7-(COLUMN(E313)-5)/2)),KLVT!$A313,tongctvtpk1)</f>
        <v>0</v>
      </c>
      <c r="F313" s="449">
        <f ca="1">SUMIF(OFFSET(cttba_vlvt1_1,0,-9,-ROW(cttba_vlvt1_1)+ROW(cttba_vltb1_1)-10),KLVT!$A313,OFFSET(cttba_vlvt1_1,0,-4,-ROW(cttba_vlvt1_1)+ROW(cttba_vltb1_1)-10))</f>
        <v>0</v>
      </c>
      <c r="G313" s="451">
        <f t="shared" ca="1" si="69"/>
        <v>0</v>
      </c>
      <c r="H313" s="450">
        <f t="shared" si="70"/>
        <v>0.72499999999999998</v>
      </c>
      <c r="I313" s="447">
        <f t="shared" ca="1" si="71"/>
        <v>0</v>
      </c>
      <c r="J313" s="447">
        <f t="shared" ca="1" si="72"/>
        <v>0</v>
      </c>
      <c r="K313" s="373">
        <f t="shared" ca="1" si="68"/>
        <v>0</v>
      </c>
    </row>
    <row r="314" spans="1:11" s="45" customFormat="1" ht="15.75" hidden="1">
      <c r="A314" s="373" t="str">
        <f>IF(AND(COUNTIF($A$5:$A$133,R_DG!A187)=0,R_DG!R187&gt;0,ISNUMBER(R_DG!R187)),R_DG!A187,"NONE")</f>
        <v>AV240</v>
      </c>
      <c r="B314" s="85">
        <f ca="1">IF(K314&gt;0,COUNTIF(K$6:K314,"&gt;0"),B313)</f>
        <v>15</v>
      </c>
      <c r="C314" s="1084" t="str">
        <f t="shared" si="66"/>
        <v>Cáp nhôm bọc AV240</v>
      </c>
      <c r="D314" s="85" t="str">
        <f t="shared" si="67"/>
        <v>mét</v>
      </c>
      <c r="E314" s="448">
        <f ca="1">SUMIF(OFFSET(tongctvtdd1,0,-(COLUMN(E314)+7-(COLUMN(E314)-5)/2)),KLVT!$A314,tongctvtdd1)+SUMIF(OFFSET(tongctvtpk1,0,-(COLUMN(E314)+7-(COLUMN(E314)-5)/2)),KLVT!$A314,tongctvtpk1)</f>
        <v>0</v>
      </c>
      <c r="F314" s="449">
        <f ca="1">SUMIF(OFFSET(cttba_vlvt1_1,0,-9,-ROW(cttba_vlvt1_1)+ROW(cttba_vltb1_1)-10),KLVT!$A314,OFFSET(cttba_vlvt1_1,0,-4,-ROW(cttba_vlvt1_1)+ROW(cttba_vltb1_1)-10))</f>
        <v>0</v>
      </c>
      <c r="G314" s="451">
        <f t="shared" ca="1" si="69"/>
        <v>0</v>
      </c>
      <c r="H314" s="450">
        <f t="shared" si="70"/>
        <v>0.92700000000000005</v>
      </c>
      <c r="I314" s="447">
        <f t="shared" ca="1" si="71"/>
        <v>0</v>
      </c>
      <c r="J314" s="447">
        <f t="shared" ca="1" si="72"/>
        <v>0</v>
      </c>
      <c r="K314" s="373">
        <f t="shared" ca="1" si="68"/>
        <v>0</v>
      </c>
    </row>
    <row r="315" spans="1:11" s="45" customFormat="1" ht="15.75" hidden="1">
      <c r="A315" s="373" t="str">
        <f>IF(AND(COUNTIF($A$5:$A$133,R_DG!A188)=0,R_DG!R188&gt;0,ISNUMBER(R_DG!R188)),R_DG!A188,"NONE")</f>
        <v>AV300</v>
      </c>
      <c r="B315" s="85">
        <f ca="1">IF(K315&gt;0,COUNTIF(K$6:K315,"&gt;0"),B314)</f>
        <v>15</v>
      </c>
      <c r="C315" s="1084" t="str">
        <f t="shared" si="66"/>
        <v>Cáp nhôm bọc AV300</v>
      </c>
      <c r="D315" s="85" t="str">
        <f t="shared" si="67"/>
        <v>mét</v>
      </c>
      <c r="E315" s="448">
        <f ca="1">SUMIF(OFFSET(tongctvtdd1,0,-(COLUMN(E315)+7-(COLUMN(E315)-5)/2)),KLVT!$A315,tongctvtdd1)+SUMIF(OFFSET(tongctvtpk1,0,-(COLUMN(E315)+7-(COLUMN(E315)-5)/2)),KLVT!$A315,tongctvtpk1)</f>
        <v>0</v>
      </c>
      <c r="F315" s="449">
        <f ca="1">SUMIF(OFFSET(cttba_vlvt1_1,0,-9,-ROW(cttba_vlvt1_1)+ROW(cttba_vltb1_1)-10),KLVT!$A315,OFFSET(cttba_vlvt1_1,0,-4,-ROW(cttba_vlvt1_1)+ROW(cttba_vltb1_1)-10))</f>
        <v>0</v>
      </c>
      <c r="G315" s="451">
        <f t="shared" ca="1" si="69"/>
        <v>0</v>
      </c>
      <c r="H315" s="450">
        <f t="shared" si="70"/>
        <v>1.147</v>
      </c>
      <c r="I315" s="447">
        <f t="shared" ca="1" si="71"/>
        <v>0</v>
      </c>
      <c r="J315" s="447">
        <f t="shared" ca="1" si="72"/>
        <v>0</v>
      </c>
      <c r="K315" s="373">
        <f t="shared" ca="1" si="68"/>
        <v>0</v>
      </c>
    </row>
    <row r="316" spans="1:11" s="45" customFormat="1" ht="15.75" hidden="1">
      <c r="A316" s="373" t="str">
        <f>IF(AND(COUNTIF($A$5:$A$133,R_DG!A189)=0,R_DG!R189&gt;0,ISNUMBER(R_DG!R189)),R_DG!A189,"NONE")</f>
        <v>ABC2X16</v>
      </c>
      <c r="B316" s="85">
        <f ca="1">IF(K316&gt;0,COUNTIF(K$6:K316,"&gt;0"),B315)</f>
        <v>15</v>
      </c>
      <c r="C316" s="1084" t="str">
        <f t="shared" si="66"/>
        <v>Cáp nhôm ABC 2x16mm2</v>
      </c>
      <c r="D316" s="85" t="str">
        <f t="shared" si="67"/>
        <v>mét</v>
      </c>
      <c r="E316" s="448">
        <f ca="1">SUMIF(OFFSET(tongctvtdd1,0,-(COLUMN(E316)+7-(COLUMN(E316)-5)/2)),KLVT!$A316,tongctvtdd1)+SUMIF(OFFSET(tongctvtpk1,0,-(COLUMN(E316)+7-(COLUMN(E316)-5)/2)),KLVT!$A316,tongctvtpk1)</f>
        <v>0</v>
      </c>
      <c r="F316" s="449">
        <f ca="1">SUMIF(OFFSET(cttba_vlvt1_1,0,-9,-ROW(cttba_vlvt1_1)+ROW(cttba_vltb1_1)-10),KLVT!$A316,OFFSET(cttba_vlvt1_1,0,-4,-ROW(cttba_vlvt1_1)+ROW(cttba_vltb1_1)-10))</f>
        <v>0</v>
      </c>
      <c r="G316" s="451">
        <f t="shared" ca="1" si="69"/>
        <v>0</v>
      </c>
      <c r="H316" s="450">
        <f t="shared" si="70"/>
        <v>0.17499999999999999</v>
      </c>
      <c r="I316" s="447">
        <f t="shared" ca="1" si="71"/>
        <v>0</v>
      </c>
      <c r="J316" s="447">
        <f t="shared" ca="1" si="72"/>
        <v>0</v>
      </c>
      <c r="K316" s="373">
        <f t="shared" ca="1" si="68"/>
        <v>0</v>
      </c>
    </row>
    <row r="317" spans="1:11" s="45" customFormat="1" ht="15.75" hidden="1">
      <c r="A317" s="373" t="str">
        <f>IF(AND(COUNTIF($A$5:$A$133,R_DG!A190)=0,R_DG!R190&gt;0,ISNUMBER(R_DG!R190)),R_DG!A190,"NONE")</f>
        <v>ABC2X25</v>
      </c>
      <c r="B317" s="85">
        <f ca="1">IF(K317&gt;0,COUNTIF(K$6:K317,"&gt;0"),B316)</f>
        <v>15</v>
      </c>
      <c r="C317" s="1084" t="str">
        <f t="shared" si="66"/>
        <v>Cáp nhôm ABC 2x25mm2</v>
      </c>
      <c r="D317" s="85" t="str">
        <f t="shared" si="67"/>
        <v>mét</v>
      </c>
      <c r="E317" s="448">
        <f ca="1">SUMIF(OFFSET(tongctvtdd1,0,-(COLUMN(E317)+7-(COLUMN(E317)-5)/2)),KLVT!$A317,tongctvtdd1)+SUMIF(OFFSET(tongctvtpk1,0,-(COLUMN(E317)+7-(COLUMN(E317)-5)/2)),KLVT!$A317,tongctvtpk1)</f>
        <v>0</v>
      </c>
      <c r="F317" s="449">
        <f ca="1">SUMIF(OFFSET(cttba_vlvt1_1,0,-9,-ROW(cttba_vlvt1_1)+ROW(cttba_vltb1_1)-10),KLVT!$A317,OFFSET(cttba_vlvt1_1,0,-4,-ROW(cttba_vlvt1_1)+ROW(cttba_vltb1_1)-10))</f>
        <v>0</v>
      </c>
      <c r="G317" s="451">
        <f t="shared" ca="1" si="69"/>
        <v>0</v>
      </c>
      <c r="H317" s="450">
        <f t="shared" si="70"/>
        <v>0.3</v>
      </c>
      <c r="I317" s="447">
        <f t="shared" ca="1" si="71"/>
        <v>0</v>
      </c>
      <c r="J317" s="447">
        <f t="shared" ca="1" si="72"/>
        <v>0</v>
      </c>
      <c r="K317" s="373">
        <f t="shared" ca="1" si="68"/>
        <v>0</v>
      </c>
    </row>
    <row r="318" spans="1:11" s="45" customFormat="1" ht="15.75" hidden="1">
      <c r="A318" s="373" t="str">
        <f>IF(AND(COUNTIF($A$5:$A$133,R_DG!A191)=0,R_DG!R191&gt;0,ISNUMBER(R_DG!R191)),R_DG!A191,"NONE")</f>
        <v>ABC3X16</v>
      </c>
      <c r="B318" s="85">
        <f ca="1">IF(K318&gt;0,COUNTIF(K$6:K318,"&gt;0"),B317)</f>
        <v>15</v>
      </c>
      <c r="C318" s="1084" t="str">
        <f t="shared" si="66"/>
        <v>Cáp nhôm ABC 3x16mm2</v>
      </c>
      <c r="D318" s="85" t="str">
        <f t="shared" si="67"/>
        <v>mét</v>
      </c>
      <c r="E318" s="448">
        <f ca="1">SUMIF(OFFSET(tongctvtdd1,0,-(COLUMN(E318)+7-(COLUMN(E318)-5)/2)),KLVT!$A318,tongctvtdd1)+SUMIF(OFFSET(tongctvtpk1,0,-(COLUMN(E318)+7-(COLUMN(E318)-5)/2)),KLVT!$A318,tongctvtpk1)</f>
        <v>0</v>
      </c>
      <c r="F318" s="449">
        <f ca="1">SUMIF(OFFSET(cttba_vlvt1_1,0,-9,-ROW(cttba_vlvt1_1)+ROW(cttba_vltb1_1)-10),KLVT!$A318,OFFSET(cttba_vlvt1_1,0,-4,-ROW(cttba_vlvt1_1)+ROW(cttba_vltb1_1)-10))</f>
        <v>0</v>
      </c>
      <c r="G318" s="451">
        <f t="shared" ca="1" si="69"/>
        <v>0</v>
      </c>
      <c r="H318" s="450">
        <f t="shared" si="70"/>
        <v>0.35</v>
      </c>
      <c r="I318" s="447">
        <f t="shared" ca="1" si="71"/>
        <v>0</v>
      </c>
      <c r="J318" s="447">
        <f t="shared" ca="1" si="72"/>
        <v>0</v>
      </c>
      <c r="K318" s="373">
        <f t="shared" ca="1" si="68"/>
        <v>0</v>
      </c>
    </row>
    <row r="319" spans="1:11" s="45" customFormat="1" ht="15.75" hidden="1">
      <c r="A319" s="373" t="str">
        <f>IF(AND(COUNTIF($A$5:$A$133,R_DG!A192)=0,R_DG!R192&gt;0,ISNUMBER(R_DG!R192)),R_DG!A192,"NONE")</f>
        <v>ABC3X25</v>
      </c>
      <c r="B319" s="85">
        <f ca="1">IF(K319&gt;0,COUNTIF(K$6:K319,"&gt;0"),B318)</f>
        <v>15</v>
      </c>
      <c r="C319" s="1084" t="str">
        <f t="shared" ref="C319:C352" si="73">VLOOKUP(A319,DONGIA,3,0)</f>
        <v>Cáp nhôm ABC 3x25mm2</v>
      </c>
      <c r="D319" s="85" t="str">
        <f t="shared" ref="D319:D352" si="74">VLOOKUP(A319,DONGIA,4,0)</f>
        <v>mét</v>
      </c>
      <c r="E319" s="448">
        <f ca="1">SUMIF(OFFSET(tongctvtdd1,0,-(COLUMN(E319)+7-(COLUMN(E319)-5)/2)),KLVT!$A319,tongctvtdd1)+SUMIF(OFFSET(tongctvtpk1,0,-(COLUMN(E319)+7-(COLUMN(E319)-5)/2)),KLVT!$A319,tongctvtpk1)</f>
        <v>0</v>
      </c>
      <c r="F319" s="449">
        <f ca="1">SUMIF(OFFSET(cttba_vlvt1_1,0,-9,-ROW(cttba_vlvt1_1)+ROW(cttba_vltb1_1)-10),KLVT!$A319,OFFSET(cttba_vlvt1_1,0,-4,-ROW(cttba_vlvt1_1)+ROW(cttba_vltb1_1)-10))</f>
        <v>0</v>
      </c>
      <c r="G319" s="451">
        <f t="shared" ca="1" si="69"/>
        <v>0</v>
      </c>
      <c r="H319" s="450">
        <f t="shared" si="70"/>
        <v>0.4</v>
      </c>
      <c r="I319" s="447">
        <f t="shared" ca="1" si="71"/>
        <v>0</v>
      </c>
      <c r="J319" s="447">
        <f t="shared" ca="1" si="72"/>
        <v>0</v>
      </c>
      <c r="K319" s="373">
        <f t="shared" ref="K319:K382" ca="1" si="75">IF(G319&gt;0,1,0)</f>
        <v>0</v>
      </c>
    </row>
    <row r="320" spans="1:11" s="45" customFormat="1" ht="15.75" hidden="1">
      <c r="A320" s="373" t="str">
        <f>IF(AND(COUNTIF($A$5:$A$133,R_DG!A193)=0,R_DG!R193&gt;0,ISNUMBER(R_DG!R193)),R_DG!A193,"NONE")</f>
        <v>ABC4X50</v>
      </c>
      <c r="B320" s="85">
        <f ca="1">IF(K320&gt;0,COUNTIF(K$6:K320,"&gt;0"),B319)</f>
        <v>15</v>
      </c>
      <c r="C320" s="1084" t="str">
        <f t="shared" si="73"/>
        <v>Cáp nhôm ABC 4x50mm2</v>
      </c>
      <c r="D320" s="85" t="str">
        <f t="shared" si="74"/>
        <v>mét</v>
      </c>
      <c r="E320" s="448">
        <f ca="1">SUMIF(OFFSET(tongctvtdd1,0,-(COLUMN(E320)+7-(COLUMN(E320)-5)/2)),KLVT!$A320,tongctvtdd1)+SUMIF(OFFSET(tongctvtpk1,0,-(COLUMN(E320)+7-(COLUMN(E320)-5)/2)),KLVT!$A320,tongctvtpk1)</f>
        <v>0</v>
      </c>
      <c r="F320" s="449">
        <f ca="1">SUMIF(OFFSET(cttba_vlvt1_1,0,-9,-ROW(cttba_vlvt1_1)+ROW(cttba_vltb1_1)-10),KLVT!$A320,OFFSET(cttba_vlvt1_1,0,-4,-ROW(cttba_vlvt1_1)+ROW(cttba_vltb1_1)-10))</f>
        <v>0</v>
      </c>
      <c r="G320" s="451">
        <f t="shared" ca="1" si="69"/>
        <v>0</v>
      </c>
      <c r="H320" s="450">
        <f t="shared" si="70"/>
        <v>1.1000000000000001</v>
      </c>
      <c r="I320" s="447">
        <f t="shared" ca="1" si="71"/>
        <v>0</v>
      </c>
      <c r="J320" s="447">
        <f t="shared" ca="1" si="72"/>
        <v>0</v>
      </c>
      <c r="K320" s="373">
        <f t="shared" ca="1" si="75"/>
        <v>0</v>
      </c>
    </row>
    <row r="321" spans="1:11" s="45" customFormat="1" ht="15.75" hidden="1">
      <c r="A321" s="373" t="str">
        <f>IF(AND(COUNTIF($A$5:$A$133,R_DG!A194)=0,R_DG!R194&gt;0,ISNUMBER(R_DG!R194)),R_DG!A194,"NONE")</f>
        <v>ABC3X50</v>
      </c>
      <c r="B321" s="85">
        <f ca="1">IF(K321&gt;0,COUNTIF(K$6:K321,"&gt;0"),B320)</f>
        <v>15</v>
      </c>
      <c r="C321" s="1084" t="str">
        <f t="shared" si="73"/>
        <v>Cáp nhôm ABC 3x50mm2</v>
      </c>
      <c r="D321" s="85" t="str">
        <f t="shared" si="74"/>
        <v>mét</v>
      </c>
      <c r="E321" s="448">
        <f ca="1">SUMIF(OFFSET(tongctvtdd1,0,-(COLUMN(E321)+7-(COLUMN(E321)-5)/2)),KLVT!$A321,tongctvtdd1)+SUMIF(OFFSET(tongctvtpk1,0,-(COLUMN(E321)+7-(COLUMN(E321)-5)/2)),KLVT!$A321,tongctvtpk1)</f>
        <v>0</v>
      </c>
      <c r="F321" s="449">
        <f ca="1">SUMIF(OFFSET(cttba_vlvt1_1,0,-9,-ROW(cttba_vlvt1_1)+ROW(cttba_vltb1_1)-10),KLVT!$A321,OFFSET(cttba_vlvt1_1,0,-4,-ROW(cttba_vlvt1_1)+ROW(cttba_vltb1_1)-10))</f>
        <v>0</v>
      </c>
      <c r="G321" s="451">
        <f t="shared" ca="1" si="69"/>
        <v>0</v>
      </c>
      <c r="H321" s="450">
        <f t="shared" si="70"/>
        <v>0.62</v>
      </c>
      <c r="I321" s="447">
        <f t="shared" ca="1" si="71"/>
        <v>0</v>
      </c>
      <c r="J321" s="447">
        <f t="shared" ca="1" si="72"/>
        <v>0</v>
      </c>
      <c r="K321" s="374">
        <f t="shared" ca="1" si="75"/>
        <v>0</v>
      </c>
    </row>
    <row r="322" spans="1:11" ht="15.75">
      <c r="A322" s="1251" t="str">
        <f>IF(AND(COUNTIF($A$5:$A$133,R_DG!A195)=0,R_DG!R195&gt;0,ISNUMBER(R_DG!R195)),R_DG!A195,"NONE")</f>
        <v>ABC4X70</v>
      </c>
      <c r="B322" s="438">
        <f ca="1">IF(K322&gt;0,COUNTIF(K$6:K322,"&gt;0"),B321)</f>
        <v>16</v>
      </c>
      <c r="C322" s="1278" t="str">
        <f t="shared" si="73"/>
        <v>Cáp nhôm ABC 4x70mm2</v>
      </c>
      <c r="D322" s="438" t="str">
        <f t="shared" si="74"/>
        <v>mét</v>
      </c>
      <c r="E322" s="1276">
        <f ca="1">SUMIF(OFFSET(tongctvtdd1,0,-(COLUMN(E322)+7-(COLUMN(E322)-5)/2)),KLVT!$A322,tongctvtdd1)+SUMIF(OFFSET(tongctvtpk1,0,-(COLUMN(E322)+7-(COLUMN(E322)-5)/2)),KLVT!$A322,tongctvtpk1)</f>
        <v>102</v>
      </c>
      <c r="F322" s="1277">
        <f ca="1">SUMIF(OFFSET(cttba_vlvt1_1,0,-9,-ROW(cttba_vlvt1_1)+ROW(cttba_vltb1_1)-10),KLVT!$A322,OFFSET(cttba_vlvt1_1,0,-4,-ROW(cttba_vlvt1_1)+ROW(cttba_vltb1_1)-10))</f>
        <v>0</v>
      </c>
      <c r="G322" s="1277">
        <f t="shared" ca="1" si="69"/>
        <v>102</v>
      </c>
      <c r="H322" s="1274">
        <f t="shared" si="70"/>
        <v>1.0049999999999999</v>
      </c>
      <c r="I322" s="1279">
        <f t="shared" ca="1" si="71"/>
        <v>102.50999999999999</v>
      </c>
      <c r="J322" s="1279">
        <f t="shared" ca="1" si="72"/>
        <v>0</v>
      </c>
      <c r="K322" s="1251">
        <f t="shared" ca="1" si="75"/>
        <v>1</v>
      </c>
    </row>
    <row r="323" spans="1:11" s="45" customFormat="1" ht="15.75" hidden="1">
      <c r="A323" s="373" t="str">
        <f>IF(AND(COUNTIF($A$5:$A$133,R_DG!A196)=0,R_DG!R196&gt;0,ISNUMBER(R_DG!R196)),R_DG!A196,"NONE")</f>
        <v>ABC3X70</v>
      </c>
      <c r="B323" s="85">
        <f ca="1">IF(K323&gt;0,COUNTIF(K$6:K323,"&gt;0"),B322)</f>
        <v>16</v>
      </c>
      <c r="C323" s="1084" t="str">
        <f t="shared" si="73"/>
        <v>Cáp nhôm ABC 3x70mm2</v>
      </c>
      <c r="D323" s="85" t="str">
        <f t="shared" si="74"/>
        <v>mét</v>
      </c>
      <c r="E323" s="448">
        <f ca="1">SUMIF(OFFSET(tongctvtdd1,0,-(COLUMN(E323)+7-(COLUMN(E323)-5)/2)),KLVT!$A323,tongctvtdd1)+SUMIF(OFFSET(tongctvtpk1,0,-(COLUMN(E323)+7-(COLUMN(E323)-5)/2)),KLVT!$A323,tongctvtpk1)</f>
        <v>0</v>
      </c>
      <c r="F323" s="449">
        <f ca="1">SUMIF(OFFSET(cttba_vlvt1_1,0,-9,-ROW(cttba_vlvt1_1)+ROW(cttba_vltb1_1)-10),KLVT!$A323,OFFSET(cttba_vlvt1_1,0,-4,-ROW(cttba_vlvt1_1)+ROW(cttba_vltb1_1)-10))</f>
        <v>0</v>
      </c>
      <c r="G323" s="451">
        <f t="shared" ca="1" si="69"/>
        <v>0</v>
      </c>
      <c r="H323" s="450">
        <f t="shared" si="70"/>
        <v>0.92700000000000005</v>
      </c>
      <c r="I323" s="447">
        <f t="shared" ca="1" si="71"/>
        <v>0</v>
      </c>
      <c r="J323" s="447">
        <f t="shared" ca="1" si="72"/>
        <v>0</v>
      </c>
      <c r="K323" s="374">
        <f t="shared" ca="1" si="75"/>
        <v>0</v>
      </c>
    </row>
    <row r="324" spans="1:11" ht="15.75">
      <c r="A324" s="1251" t="str">
        <f>IF(AND(COUNTIF($A$5:$A$133,R_DG!A197)=0,R_DG!R197&gt;0,ISNUMBER(R_DG!R197)),R_DG!A197,"NONE")</f>
        <v>ABC4X95</v>
      </c>
      <c r="B324" s="438">
        <f ca="1">IF(K324&gt;0,COUNTIF(K$6:K324,"&gt;0"),B323)</f>
        <v>17</v>
      </c>
      <c r="C324" s="1278" t="str">
        <f t="shared" si="73"/>
        <v>Cáp nhôm ABC 4x95mm2</v>
      </c>
      <c r="D324" s="438" t="str">
        <f t="shared" si="74"/>
        <v>mét</v>
      </c>
      <c r="E324" s="1276">
        <f ca="1">SUMIF(OFFSET(tongctvtdd1,0,-(COLUMN(E324)+7-(COLUMN(E324)-5)/2)),KLVT!$A324,tongctvtdd1)+SUMIF(OFFSET(tongctvtpk1,0,-(COLUMN(E324)+7-(COLUMN(E324)-5)/2)),KLVT!$A324,tongctvtpk1)</f>
        <v>108</v>
      </c>
      <c r="F324" s="1277">
        <f ca="1">SUMIF(OFFSET(cttba_vlvt1_1,0,-9,-ROW(cttba_vlvt1_1)+ROW(cttba_vltb1_1)-10),KLVT!$A324,OFFSET(cttba_vlvt1_1,0,-4,-ROW(cttba_vlvt1_1)+ROW(cttba_vltb1_1)-10))</f>
        <v>0</v>
      </c>
      <c r="G324" s="1277">
        <f t="shared" ca="1" si="69"/>
        <v>108</v>
      </c>
      <c r="H324" s="1274">
        <f t="shared" si="70"/>
        <v>1.5</v>
      </c>
      <c r="I324" s="1279">
        <f t="shared" ca="1" si="71"/>
        <v>162</v>
      </c>
      <c r="J324" s="1279">
        <f t="shared" ca="1" si="72"/>
        <v>0</v>
      </c>
      <c r="K324" s="437">
        <f t="shared" ca="1" si="75"/>
        <v>1</v>
      </c>
    </row>
    <row r="325" spans="1:11" s="45" customFormat="1" ht="15.75" hidden="1">
      <c r="A325" s="373" t="str">
        <f>IF(AND(COUNTIF($A$5:$A$133,R_DG!A198)=0,R_DG!R198&gt;0,ISNUMBER(R_DG!R198)),R_DG!A198,"NONE")</f>
        <v>ABC3X95</v>
      </c>
      <c r="B325" s="85">
        <f ca="1">IF(K325&gt;0,COUNTIF(K$6:K325,"&gt;0"),B324)</f>
        <v>17</v>
      </c>
      <c r="C325" s="1084" t="str">
        <f t="shared" si="73"/>
        <v>Cáp nhôm ABC 3x95mm2</v>
      </c>
      <c r="D325" s="85" t="str">
        <f t="shared" si="74"/>
        <v>mét</v>
      </c>
      <c r="E325" s="448">
        <f ca="1">SUMIF(OFFSET(tongctvtdd1,0,-(COLUMN(E325)+7-(COLUMN(E325)-5)/2)),KLVT!$A325,tongctvtdd1)+SUMIF(OFFSET(tongctvtpk1,0,-(COLUMN(E325)+7-(COLUMN(E325)-5)/2)),KLVT!$A325,tongctvtpk1)</f>
        <v>0</v>
      </c>
      <c r="F325" s="449">
        <f ca="1">SUMIF(OFFSET(cttba_vlvt1_1,0,-9,-ROW(cttba_vlvt1_1)+ROW(cttba_vltb1_1)-10),KLVT!$A325,OFFSET(cttba_vlvt1_1,0,-4,-ROW(cttba_vlvt1_1)+ROW(cttba_vltb1_1)-10))</f>
        <v>0</v>
      </c>
      <c r="G325" s="451">
        <f t="shared" ca="1" si="69"/>
        <v>0</v>
      </c>
      <c r="H325" s="450">
        <f t="shared" si="70"/>
        <v>1.1000000000000001</v>
      </c>
      <c r="I325" s="447">
        <f t="shared" ca="1" si="71"/>
        <v>0</v>
      </c>
      <c r="J325" s="447">
        <f t="shared" ca="1" si="72"/>
        <v>0</v>
      </c>
      <c r="K325" s="373">
        <f t="shared" ca="1" si="75"/>
        <v>0</v>
      </c>
    </row>
    <row r="326" spans="1:11" s="45" customFormat="1" hidden="1">
      <c r="A326" s="373" t="str">
        <f>IF(AND(COUNTIF($A$5:$A$133,R_DG!A199)=0,R_DG!R199&gt;0,ISNUMBER(R_DG!R199)),R_DG!A199,"NONE")</f>
        <v>ABC4X120</v>
      </c>
      <c r="B326" s="85">
        <f ca="1">IF(K326&gt;0,COUNTIF(K$6:K326,"&gt;0"),B325)</f>
        <v>17</v>
      </c>
      <c r="C326" s="1084" t="str">
        <f t="shared" si="73"/>
        <v>Cáp nhôm ABC 4x120mm2</v>
      </c>
      <c r="D326" s="85" t="str">
        <f t="shared" si="74"/>
        <v>mét</v>
      </c>
      <c r="E326" s="448">
        <f ca="1">SUMIF(OFFSET(tongctvtdd1,0,-(COLUMN(E326)+7-(COLUMN(E326)-5)/2)),KLVT!$A326,tongctvtdd1)+SUMIF(OFFSET(tongctvtpk1,0,-(COLUMN(E326)+7-(COLUMN(E326)-5)/2)),KLVT!$A326,tongctvtpk1)</f>
        <v>0</v>
      </c>
      <c r="F326" s="449">
        <f ca="1">SUMIF(OFFSET(cttba_vlvt1_1,0,-9,-ROW(cttba_vlvt1_1)+ROW(cttba_vltb1_1)-10),KLVT!$A326,OFFSET(cttba_vlvt1_1,0,-4,-ROW(cttba_vlvt1_1)+ROW(cttba_vltb1_1)-10))</f>
        <v>0</v>
      </c>
      <c r="G326" s="451">
        <f t="shared" ref="G326:G389" ca="1" si="76">SUM(E326:F326)</f>
        <v>0</v>
      </c>
      <c r="H326" s="450">
        <f t="shared" ref="H326:H389" si="77">VLOOKUP(A326,DONGIA,18,0)</f>
        <v>1.4</v>
      </c>
      <c r="I326" s="447">
        <f t="shared" ref="I326:I389" ca="1" si="78">E326*$H326</f>
        <v>0</v>
      </c>
      <c r="J326" s="447">
        <f t="shared" ref="J326:J389" ca="1" si="79">F326*$H326</f>
        <v>0</v>
      </c>
      <c r="K326" s="1094">
        <f t="shared" ca="1" si="75"/>
        <v>0</v>
      </c>
    </row>
    <row r="327" spans="1:11" s="45" customFormat="1" ht="15.75" hidden="1">
      <c r="A327" s="373" t="str">
        <f>IF(AND(COUNTIF($A$5:$A$133,R_DG!A200)=0,R_DG!R200&gt;0,ISNUMBER(R_DG!R200)),R_DG!A200,"NONE")</f>
        <v>ABC4X150</v>
      </c>
      <c r="B327" s="85">
        <f ca="1">IF(K327&gt;0,COUNTIF(K$6:K327,"&gt;0"),B326)</f>
        <v>17</v>
      </c>
      <c r="C327" s="1084" t="str">
        <f t="shared" si="73"/>
        <v>Cáp nhôm ABC 4x150mm2</v>
      </c>
      <c r="D327" s="85" t="str">
        <f t="shared" si="74"/>
        <v>mét</v>
      </c>
      <c r="E327" s="448">
        <f ca="1">SUMIF(OFFSET(tongctvtdd1,0,-(COLUMN(E327)+7-(COLUMN(E327)-5)/2)),KLVT!$A327,tongctvtdd1)+SUMIF(OFFSET(tongctvtpk1,0,-(COLUMN(E327)+7-(COLUMN(E327)-5)/2)),KLVT!$A327,tongctvtpk1)</f>
        <v>0</v>
      </c>
      <c r="F327" s="449">
        <f ca="1">SUMIF(OFFSET(cttba_vlvt1_1,0,-9,-ROW(cttba_vlvt1_1)+ROW(cttba_vltb1_1)-10),KLVT!$A327,OFFSET(cttba_vlvt1_1,0,-4,-ROW(cttba_vlvt1_1)+ROW(cttba_vltb1_1)-10))</f>
        <v>0</v>
      </c>
      <c r="G327" s="451">
        <f t="shared" ca="1" si="76"/>
        <v>0</v>
      </c>
      <c r="H327" s="450">
        <f t="shared" si="77"/>
        <v>1.8</v>
      </c>
      <c r="I327" s="447">
        <f t="shared" ca="1" si="78"/>
        <v>0</v>
      </c>
      <c r="J327" s="447">
        <f t="shared" ca="1" si="79"/>
        <v>0</v>
      </c>
      <c r="K327" s="373">
        <f t="shared" ca="1" si="75"/>
        <v>0</v>
      </c>
    </row>
    <row r="328" spans="1:11" s="45" customFormat="1" ht="15.75" hidden="1">
      <c r="A328" s="373" t="str">
        <f>IF(AND(COUNTIF($A$5:$A$133,R_DG!A201)=0,R_DG!R201&gt;0,ISNUMBER(R_DG!R201)),R_DG!A201,"NONE")</f>
        <v>ABC3X120</v>
      </c>
      <c r="B328" s="85">
        <f ca="1">IF(K328&gt;0,COUNTIF(K$6:K328,"&gt;0"),B327)</f>
        <v>17</v>
      </c>
      <c r="C328" s="1084" t="str">
        <f t="shared" si="73"/>
        <v>Cáp nhôm ABC 3x120mm2</v>
      </c>
      <c r="D328" s="85" t="str">
        <f t="shared" si="74"/>
        <v>mét</v>
      </c>
      <c r="E328" s="448">
        <f ca="1">SUMIF(OFFSET(tongctvtdd1,0,-(COLUMN(E328)+7-(COLUMN(E328)-5)/2)),KLVT!$A328,tongctvtdd1)+SUMIF(OFFSET(tongctvtpk1,0,-(COLUMN(E328)+7-(COLUMN(E328)-5)/2)),KLVT!$A328,tongctvtpk1)</f>
        <v>0</v>
      </c>
      <c r="F328" s="449">
        <f ca="1">SUMIF(OFFSET(cttba_vlvt1_1,0,-9,-ROW(cttba_vlvt1_1)+ROW(cttba_vltb1_1)-10),KLVT!$A328,OFFSET(cttba_vlvt1_1,0,-4,-ROW(cttba_vlvt1_1)+ROW(cttba_vltb1_1)-10))</f>
        <v>0</v>
      </c>
      <c r="G328" s="451">
        <f t="shared" ca="1" si="76"/>
        <v>0</v>
      </c>
      <c r="H328" s="450">
        <f t="shared" si="77"/>
        <v>1.3</v>
      </c>
      <c r="I328" s="447">
        <f t="shared" ca="1" si="78"/>
        <v>0</v>
      </c>
      <c r="J328" s="447">
        <f t="shared" ca="1" si="79"/>
        <v>0</v>
      </c>
      <c r="K328" s="374">
        <f t="shared" ca="1" si="75"/>
        <v>0</v>
      </c>
    </row>
    <row r="329" spans="1:11" s="45" customFormat="1" ht="15.75" hidden="1">
      <c r="A329" s="373" t="str">
        <f>IF(AND(COUNTIF($A$5:$A$133,R_DG!A202)=0,R_DG!R202&gt;0,ISNUMBER(R_DG!R202)),R_DG!A202,"NONE")</f>
        <v>ABC3X150</v>
      </c>
      <c r="B329" s="85">
        <f ca="1">IF(K329&gt;0,COUNTIF(K$6:K329,"&gt;0"),B328)</f>
        <v>17</v>
      </c>
      <c r="C329" s="1084" t="str">
        <f t="shared" si="73"/>
        <v>Cáp nhôm ABC 3x150mm2</v>
      </c>
      <c r="D329" s="85" t="str">
        <f t="shared" si="74"/>
        <v>mét</v>
      </c>
      <c r="E329" s="448">
        <f ca="1">SUMIF(OFFSET(tongctvtdd1,0,-(COLUMN(E329)+7-(COLUMN(E329)-5)/2)),KLVT!$A329,tongctvtdd1)+SUMIF(OFFSET(tongctvtpk1,0,-(COLUMN(E329)+7-(COLUMN(E329)-5)/2)),KLVT!$A329,tongctvtpk1)</f>
        <v>0</v>
      </c>
      <c r="F329" s="449">
        <f ca="1">SUMIF(OFFSET(cttba_vlvt1_1,0,-9,-ROW(cttba_vlvt1_1)+ROW(cttba_vltb1_1)-10),KLVT!$A329,OFFSET(cttba_vlvt1_1,0,-4,-ROW(cttba_vlvt1_1)+ROW(cttba_vltb1_1)-10))</f>
        <v>0</v>
      </c>
      <c r="G329" s="451">
        <f t="shared" ca="1" si="76"/>
        <v>0</v>
      </c>
      <c r="H329" s="450">
        <f t="shared" si="77"/>
        <v>1.45</v>
      </c>
      <c r="I329" s="447">
        <f t="shared" ca="1" si="78"/>
        <v>0</v>
      </c>
      <c r="J329" s="447">
        <f t="shared" ca="1" si="79"/>
        <v>0</v>
      </c>
      <c r="K329" s="373">
        <f t="shared" ca="1" si="75"/>
        <v>0</v>
      </c>
    </row>
    <row r="330" spans="1:11" s="45" customFormat="1" ht="15.75" hidden="1">
      <c r="A330" s="373" t="str">
        <f>IF(AND(COUNTIF($A$5:$A$133,R_DG!A203)=0,R_DG!R203&gt;0,ISNUMBER(R_DG!R203)),R_DG!A203,"NONE")</f>
        <v>ABC2X150</v>
      </c>
      <c r="B330" s="85">
        <f ca="1">IF(K330&gt;0,COUNTIF(K$6:K330,"&gt;0"),B329)</f>
        <v>17</v>
      </c>
      <c r="C330" s="1084" t="str">
        <f t="shared" si="73"/>
        <v>Cáp nhôm ABC 2x150mm2</v>
      </c>
      <c r="D330" s="85" t="str">
        <f t="shared" si="74"/>
        <v>mét</v>
      </c>
      <c r="E330" s="448">
        <f ca="1">SUMIF(OFFSET(tongctvtdd1,0,-(COLUMN(E330)+7-(COLUMN(E330)-5)/2)),KLVT!$A330,tongctvtdd1)+SUMIF(OFFSET(tongctvtpk1,0,-(COLUMN(E330)+7-(COLUMN(E330)-5)/2)),KLVT!$A330,tongctvtpk1)</f>
        <v>0</v>
      </c>
      <c r="F330" s="449">
        <f ca="1">SUMIF(OFFSET(cttba_vlvt1_1,0,-9,-ROW(cttba_vlvt1_1)+ROW(cttba_vltb1_1)-10),KLVT!$A330,OFFSET(cttba_vlvt1_1,0,-4,-ROW(cttba_vlvt1_1)+ROW(cttba_vltb1_1)-10))</f>
        <v>0</v>
      </c>
      <c r="G330" s="451">
        <f t="shared" ca="1" si="76"/>
        <v>0</v>
      </c>
      <c r="H330" s="450">
        <f t="shared" si="77"/>
        <v>1.2</v>
      </c>
      <c r="I330" s="447">
        <f t="shared" ca="1" si="78"/>
        <v>0</v>
      </c>
      <c r="J330" s="447">
        <f t="shared" ca="1" si="79"/>
        <v>0</v>
      </c>
      <c r="K330" s="373">
        <f t="shared" ca="1" si="75"/>
        <v>0</v>
      </c>
    </row>
    <row r="331" spans="1:11" s="45" customFormat="1" ht="15.75" hidden="1">
      <c r="A331" s="373" t="str">
        <f>IF(AND(COUNTIF($A$5:$A$133,R_DG!A204)=0,R_DG!R204&gt;0,ISNUMBER(R_DG!R204)),R_DG!A204,"NONE")</f>
        <v>CVV2X2,5</v>
      </c>
      <c r="B331" s="85">
        <f ca="1">IF(K331&gt;0,COUNTIF(K$6:K331,"&gt;0"),B330)</f>
        <v>17</v>
      </c>
      <c r="C331" s="1084" t="str">
        <f t="shared" si="73"/>
        <v>Cát vàng</v>
      </c>
      <c r="D331" s="85" t="str">
        <f t="shared" si="74"/>
        <v>m3</v>
      </c>
      <c r="E331" s="448">
        <f ca="1">SUMIF(OFFSET(tongctvtdd1,0,-(COLUMN(E331)+7-(COLUMN(E331)-5)/2)),KLVT!$A331,tongctvtdd1)+SUMIF(OFFSET(tongctvtpk1,0,-(COLUMN(E331)+7-(COLUMN(E331)-5)/2)),KLVT!$A331,tongctvtpk1)</f>
        <v>0</v>
      </c>
      <c r="F331" s="449">
        <f ca="1">SUMIF(OFFSET(cttba_vlvt1_1,0,-9,-ROW(cttba_vlvt1_1)+ROW(cttba_vltb1_1)-10),KLVT!$A331,OFFSET(cttba_vlvt1_1,0,-4,-ROW(cttba_vlvt1_1)+ROW(cttba_vltb1_1)-10))</f>
        <v>0</v>
      </c>
      <c r="G331" s="451">
        <f t="shared" ca="1" si="76"/>
        <v>0</v>
      </c>
      <c r="H331" s="450">
        <f t="shared" si="77"/>
        <v>0.1</v>
      </c>
      <c r="I331" s="447">
        <f t="shared" ca="1" si="78"/>
        <v>0</v>
      </c>
      <c r="J331" s="447">
        <f t="shared" ca="1" si="79"/>
        <v>0</v>
      </c>
      <c r="K331" s="373">
        <f t="shared" ca="1" si="75"/>
        <v>0</v>
      </c>
    </row>
    <row r="332" spans="1:11" s="45" customFormat="1" ht="15.75" hidden="1">
      <c r="A332" s="373" t="str">
        <f>IF(AND(COUNTIF($A$5:$A$133,R_DG!A205)=0,R_DG!R205&gt;0,ISNUMBER(R_DG!R205)),R_DG!A205,"NONE")</f>
        <v>CVV316</v>
      </c>
      <c r="B332" s="85">
        <f ca="1">IF(K332&gt;0,COUNTIF(K$6:K332,"&gt;0"),B331)</f>
        <v>17</v>
      </c>
      <c r="C332" s="1084" t="str">
        <f t="shared" si="73"/>
        <v>Cáp CVV 3x16mm2</v>
      </c>
      <c r="D332" s="85" t="str">
        <f t="shared" si="74"/>
        <v>mét</v>
      </c>
      <c r="E332" s="448">
        <f ca="1">SUMIF(OFFSET(tongctvtdd1,0,-(COLUMN(E332)+7-(COLUMN(E332)-5)/2)),KLVT!$A332,tongctvtdd1)+SUMIF(OFFSET(tongctvtpk1,0,-(COLUMN(E332)+7-(COLUMN(E332)-5)/2)),KLVT!$A332,tongctvtpk1)</f>
        <v>0</v>
      </c>
      <c r="F332" s="449">
        <f ca="1">SUMIF(OFFSET(cttba_vlvt1_1,0,-9,-ROW(cttba_vlvt1_1)+ROW(cttba_vltb1_1)-10),KLVT!$A332,OFFSET(cttba_vlvt1_1,0,-4,-ROW(cttba_vlvt1_1)+ROW(cttba_vltb1_1)-10))</f>
        <v>0</v>
      </c>
      <c r="G332" s="451">
        <f t="shared" ca="1" si="76"/>
        <v>0</v>
      </c>
      <c r="H332" s="450">
        <f t="shared" si="77"/>
        <v>0.3</v>
      </c>
      <c r="I332" s="447">
        <f t="shared" ca="1" si="78"/>
        <v>0</v>
      </c>
      <c r="J332" s="447">
        <f t="shared" ca="1" si="79"/>
        <v>0</v>
      </c>
      <c r="K332" s="373">
        <f t="shared" ca="1" si="75"/>
        <v>0</v>
      </c>
    </row>
    <row r="333" spans="1:11" s="45" customFormat="1" ht="15.75" hidden="1">
      <c r="A333" s="373" t="str">
        <f>IF(AND(COUNTIF($A$5:$A$133,R_DG!A206)=0,R_DG!R206&gt;0,ISNUMBER(R_DG!R206)),R_DG!A206,"NONE")</f>
        <v>CVV4X2,5</v>
      </c>
      <c r="B333" s="85">
        <f ca="1">IF(K333&gt;0,COUNTIF(K$6:K333,"&gt;0"),B332)</f>
        <v>17</v>
      </c>
      <c r="C333" s="1084" t="str">
        <f t="shared" si="73"/>
        <v xml:space="preserve">Cáp CVV 4x2,5mm2 </v>
      </c>
      <c r="D333" s="85" t="str">
        <f t="shared" si="74"/>
        <v>mét</v>
      </c>
      <c r="E333" s="448">
        <f ca="1">SUMIF(OFFSET(tongctvtdd1,0,-(COLUMN(E333)+7-(COLUMN(E333)-5)/2)),KLVT!$A333,tongctvtdd1)+SUMIF(OFFSET(tongctvtpk1,0,-(COLUMN(E333)+7-(COLUMN(E333)-5)/2)),KLVT!$A333,tongctvtpk1)</f>
        <v>0</v>
      </c>
      <c r="F333" s="449">
        <f ca="1">SUMIF(OFFSET(cttba_vlvt1_1,0,-9,-ROW(cttba_vlvt1_1)+ROW(cttba_vltb1_1)-10),KLVT!$A333,OFFSET(cttba_vlvt1_1,0,-4,-ROW(cttba_vlvt1_1)+ROW(cttba_vltb1_1)-10))</f>
        <v>0</v>
      </c>
      <c r="G333" s="451">
        <f t="shared" ca="1" si="76"/>
        <v>0</v>
      </c>
      <c r="H333" s="450">
        <f t="shared" si="77"/>
        <v>0.25</v>
      </c>
      <c r="I333" s="447">
        <f t="shared" ca="1" si="78"/>
        <v>0</v>
      </c>
      <c r="J333" s="447">
        <f t="shared" ca="1" si="79"/>
        <v>0</v>
      </c>
      <c r="K333" s="374">
        <f t="shared" ca="1" si="75"/>
        <v>0</v>
      </c>
    </row>
    <row r="334" spans="1:11" s="45" customFormat="1" hidden="1">
      <c r="A334" s="373" t="str">
        <f>IF(AND(COUNTIF($A$5:$A$133,R_DG!A207)=0,R_DG!R207&gt;0,ISNUMBER(R_DG!R207)),R_DG!A207,"NONE")</f>
        <v>CVV4X4</v>
      </c>
      <c r="B334" s="85">
        <f ca="1">IF(K334&gt;0,COUNTIF(K$6:K334,"&gt;0"),B333)</f>
        <v>17</v>
      </c>
      <c r="C334" s="1084" t="str">
        <f t="shared" si="73"/>
        <v xml:space="preserve">Cáp CVV 4x4mm2 </v>
      </c>
      <c r="D334" s="85" t="str">
        <f t="shared" si="74"/>
        <v>mét</v>
      </c>
      <c r="E334" s="448">
        <f ca="1">SUMIF(OFFSET(tongctvtdd1,0,-(COLUMN(E334)+7-(COLUMN(E334)-5)/2)),KLVT!$A334,tongctvtdd1)+SUMIF(OFFSET(tongctvtpk1,0,-(COLUMN(E334)+7-(COLUMN(E334)-5)/2)),KLVT!$A334,tongctvtpk1)</f>
        <v>0</v>
      </c>
      <c r="F334" s="449">
        <f ca="1">SUMIF(OFFSET(cttba_vlvt1_1,0,-9,-ROW(cttba_vlvt1_1)+ROW(cttba_vltb1_1)-10),KLVT!$A334,OFFSET(cttba_vlvt1_1,0,-4,-ROW(cttba_vlvt1_1)+ROW(cttba_vltb1_1)-10))</f>
        <v>0</v>
      </c>
      <c r="G334" s="451">
        <f t="shared" ca="1" si="76"/>
        <v>0</v>
      </c>
      <c r="H334" s="450">
        <f t="shared" si="77"/>
        <v>0.25</v>
      </c>
      <c r="I334" s="447">
        <f t="shared" ca="1" si="78"/>
        <v>0</v>
      </c>
      <c r="J334" s="447">
        <f t="shared" ca="1" si="79"/>
        <v>0</v>
      </c>
      <c r="K334" s="1094">
        <f t="shared" ca="1" si="75"/>
        <v>0</v>
      </c>
    </row>
    <row r="335" spans="1:11" s="45" customFormat="1" ht="15.75" hidden="1">
      <c r="A335" s="373" t="str">
        <f>IF(AND(COUNTIF($A$5:$A$133,R_DG!A208)=0,R_DG!R208&gt;0,ISNUMBER(R_DG!R208)),R_DG!A208,"NONE")</f>
        <v>CV2,5</v>
      </c>
      <c r="B335" s="85">
        <f ca="1">IF(K335&gt;0,COUNTIF(K$6:K335,"&gt;0"),B334)</f>
        <v>17</v>
      </c>
      <c r="C335" s="1084" t="str">
        <f t="shared" si="73"/>
        <v>Cáp đồng mềm CV2,5</v>
      </c>
      <c r="D335" s="85" t="str">
        <f t="shared" si="74"/>
        <v>mét</v>
      </c>
      <c r="E335" s="448">
        <f ca="1">SUMIF(OFFSET(tongctvtdd1,0,-(COLUMN(E335)+7-(COLUMN(E335)-5)/2)),KLVT!$A335,tongctvtdd1)+SUMIF(OFFSET(tongctvtpk1,0,-(COLUMN(E335)+7-(COLUMN(E335)-5)/2)),KLVT!$A335,tongctvtpk1)</f>
        <v>0</v>
      </c>
      <c r="F335" s="449">
        <f ca="1">SUMIF(OFFSET(cttba_vlvt1_1,0,-9,-ROW(cttba_vlvt1_1)+ROW(cttba_vltb1_1)-10),KLVT!$A335,OFFSET(cttba_vlvt1_1,0,-4,-ROW(cttba_vlvt1_1)+ROW(cttba_vltb1_1)-10))</f>
        <v>0</v>
      </c>
      <c r="G335" s="451">
        <f t="shared" ca="1" si="76"/>
        <v>0</v>
      </c>
      <c r="H335" s="450">
        <f t="shared" si="77"/>
        <v>0.1</v>
      </c>
      <c r="I335" s="447">
        <f t="shared" ca="1" si="78"/>
        <v>0</v>
      </c>
      <c r="J335" s="447">
        <f t="shared" ca="1" si="79"/>
        <v>0</v>
      </c>
      <c r="K335" s="373">
        <f t="shared" ca="1" si="75"/>
        <v>0</v>
      </c>
    </row>
    <row r="336" spans="1:11" s="45" customFormat="1" ht="15.75" hidden="1">
      <c r="A336" s="373" t="str">
        <f>IF(AND(COUNTIF($A$5:$A$133,R_DG!A209)=0,R_DG!R209&gt;0,ISNUMBER(R_DG!R209)),R_DG!A209,"NONE")</f>
        <v>CV11</v>
      </c>
      <c r="B336" s="85">
        <f ca="1">IF(K336&gt;0,COUNTIF(K$6:K336,"&gt;0"),B335)</f>
        <v>17</v>
      </c>
      <c r="C336" s="1084" t="str">
        <f t="shared" si="73"/>
        <v>Cáp đồng bọc CV11</v>
      </c>
      <c r="D336" s="85" t="str">
        <f t="shared" si="74"/>
        <v>mét</v>
      </c>
      <c r="E336" s="448">
        <f ca="1">SUMIF(OFFSET(tongctvtdd1,0,-(COLUMN(E336)+7-(COLUMN(E336)-5)/2)),KLVT!$A336,tongctvtdd1)+SUMIF(OFFSET(tongctvtpk1,0,-(COLUMN(E336)+7-(COLUMN(E336)-5)/2)),KLVT!$A336,tongctvtpk1)</f>
        <v>0</v>
      </c>
      <c r="F336" s="449">
        <f ca="1">SUMIF(OFFSET(cttba_vlvt1_1,0,-9,-ROW(cttba_vlvt1_1)+ROW(cttba_vltb1_1)-10),KLVT!$A336,OFFSET(cttba_vlvt1_1,0,-4,-ROW(cttba_vlvt1_1)+ROW(cttba_vltb1_1)-10))</f>
        <v>0</v>
      </c>
      <c r="G336" s="451">
        <f t="shared" ca="1" si="76"/>
        <v>0</v>
      </c>
      <c r="H336" s="450">
        <f t="shared" si="77"/>
        <v>0.1</v>
      </c>
      <c r="I336" s="447">
        <f t="shared" ca="1" si="78"/>
        <v>0</v>
      </c>
      <c r="J336" s="447">
        <f t="shared" ca="1" si="79"/>
        <v>0</v>
      </c>
      <c r="K336" s="374">
        <f t="shared" ca="1" si="75"/>
        <v>0</v>
      </c>
    </row>
    <row r="337" spans="1:11" s="45" customFormat="1" ht="15.75" hidden="1">
      <c r="A337" s="373" t="str">
        <f>IF(AND(COUNTIF($A$5:$A$133,R_DG!A210)=0,R_DG!R210&gt;0,ISNUMBER(R_DG!R210)),R_DG!A210,"NONE")</f>
        <v>CV16</v>
      </c>
      <c r="B337" s="85">
        <f ca="1">IF(K337&gt;0,COUNTIF(K$6:K337,"&gt;0"),B336)</f>
        <v>17</v>
      </c>
      <c r="C337" s="1084" t="str">
        <f t="shared" si="73"/>
        <v>Cáp đồng bọc CV11</v>
      </c>
      <c r="D337" s="85" t="str">
        <f t="shared" si="74"/>
        <v>mét</v>
      </c>
      <c r="E337" s="448">
        <f ca="1">SUMIF(OFFSET(tongctvtdd1,0,-(COLUMN(E337)+7-(COLUMN(E337)-5)/2)),KLVT!$A337,tongctvtdd1)+SUMIF(OFFSET(tongctvtpk1,0,-(COLUMN(E337)+7-(COLUMN(E337)-5)/2)),KLVT!$A337,tongctvtpk1)</f>
        <v>0</v>
      </c>
      <c r="F337" s="449">
        <f ca="1">SUMIF(OFFSET(cttba_vlvt1_1,0,-9,-ROW(cttba_vlvt1_1)+ROW(cttba_vltb1_1)-10),KLVT!$A337,OFFSET(cttba_vlvt1_1,0,-4,-ROW(cttba_vlvt1_1)+ROW(cttba_vltb1_1)-10))</f>
        <v>0</v>
      </c>
      <c r="G337" s="451">
        <f t="shared" ca="1" si="76"/>
        <v>0</v>
      </c>
      <c r="H337" s="450">
        <f t="shared" si="77"/>
        <v>0.1</v>
      </c>
      <c r="I337" s="447">
        <f t="shared" ca="1" si="78"/>
        <v>0</v>
      </c>
      <c r="J337" s="447">
        <f t="shared" ca="1" si="79"/>
        <v>0</v>
      </c>
      <c r="K337" s="374">
        <f t="shared" ca="1" si="75"/>
        <v>0</v>
      </c>
    </row>
    <row r="338" spans="1:11" s="45" customFormat="1" ht="15.75" hidden="1">
      <c r="A338" s="373" t="str">
        <f>IF(AND(COUNTIF($A$5:$A$133,R_DG!A211)=0,R_DG!R211&gt;0,ISNUMBER(R_DG!R211)),R_DG!A211,"NONE")</f>
        <v>CV22</v>
      </c>
      <c r="B338" s="85">
        <f ca="1">IF(K338&gt;0,COUNTIF(K$6:K338,"&gt;0"),B337)</f>
        <v>17</v>
      </c>
      <c r="C338" s="1084" t="str">
        <f t="shared" si="73"/>
        <v>Cáp đồng bọc CV22</v>
      </c>
      <c r="D338" s="85" t="str">
        <f t="shared" si="74"/>
        <v>mét</v>
      </c>
      <c r="E338" s="448">
        <f ca="1">SUMIF(OFFSET(tongctvtdd1,0,-(COLUMN(E338)+7-(COLUMN(E338)-5)/2)),KLVT!$A338,tongctvtdd1)+SUMIF(OFFSET(tongctvtpk1,0,-(COLUMN(E338)+7-(COLUMN(E338)-5)/2)),KLVT!$A338,tongctvtpk1)</f>
        <v>0</v>
      </c>
      <c r="F338" s="449">
        <f ca="1">SUMIF(OFFSET(cttba_vlvt1_1,0,-9,-ROW(cttba_vlvt1_1)+ROW(cttba_vltb1_1)-10),KLVT!$A338,OFFSET(cttba_vlvt1_1,0,-4,-ROW(cttba_vlvt1_1)+ROW(cttba_vltb1_1)-10))</f>
        <v>0</v>
      </c>
      <c r="G338" s="451">
        <f t="shared" ca="1" si="76"/>
        <v>0</v>
      </c>
      <c r="H338" s="450">
        <f t="shared" si="77"/>
        <v>0.1</v>
      </c>
      <c r="I338" s="447">
        <f t="shared" ca="1" si="78"/>
        <v>0</v>
      </c>
      <c r="J338" s="447">
        <f t="shared" ca="1" si="79"/>
        <v>0</v>
      </c>
      <c r="K338" s="374">
        <f t="shared" ca="1" si="75"/>
        <v>0</v>
      </c>
    </row>
    <row r="339" spans="1:11" s="45" customFormat="1" ht="15.75" hidden="1">
      <c r="A339" s="373" t="str">
        <f>IF(AND(COUNTIF($A$5:$A$133,R_DG!A212)=0,R_DG!R212&gt;0,ISNUMBER(R_DG!R212)),R_DG!A212,"NONE")</f>
        <v>M5M</v>
      </c>
      <c r="B339" s="85">
        <f ca="1">IF(K339&gt;0,COUNTIF(K$6:K339,"&gt;0"),B338)</f>
        <v>17</v>
      </c>
      <c r="C339" s="1084" t="str">
        <f t="shared" si="73"/>
        <v>Dây đồng trần mềm dẹt</v>
      </c>
      <c r="D339" s="85" t="str">
        <f t="shared" si="74"/>
        <v>mét</v>
      </c>
      <c r="E339" s="448">
        <f ca="1">SUMIF(OFFSET(tongctvtdd1,0,-(COLUMN(E339)+7-(COLUMN(E339)-5)/2)),KLVT!$A339,tongctvtdd1)+SUMIF(OFFSET(tongctvtpk1,0,-(COLUMN(E339)+7-(COLUMN(E339)-5)/2)),KLVT!$A339,tongctvtpk1)</f>
        <v>0</v>
      </c>
      <c r="F339" s="449">
        <f ca="1">SUMIF(OFFSET(cttba_vlvt1_1,0,-9,-ROW(cttba_vlvt1_1)+ROW(cttba_vltb1_1)-10),KLVT!$A339,OFFSET(cttba_vlvt1_1,0,-4,-ROW(cttba_vlvt1_1)+ROW(cttba_vltb1_1)-10))</f>
        <v>0</v>
      </c>
      <c r="G339" s="451">
        <f t="shared" ca="1" si="76"/>
        <v>0</v>
      </c>
      <c r="H339" s="450">
        <f t="shared" si="77"/>
        <v>0.1</v>
      </c>
      <c r="I339" s="447">
        <f t="shared" ca="1" si="78"/>
        <v>0</v>
      </c>
      <c r="J339" s="447">
        <f t="shared" ca="1" si="79"/>
        <v>0</v>
      </c>
      <c r="K339" s="374">
        <f t="shared" ca="1" si="75"/>
        <v>0</v>
      </c>
    </row>
    <row r="340" spans="1:11" ht="15.75">
      <c r="A340" s="1251" t="str">
        <f>IF(AND(COUNTIF($A$5:$A$133,R_DG!A213)=0,R_DG!R213&gt;0,ISNUMBER(R_DG!R213)),R_DG!A213,"NONE")</f>
        <v>CV25</v>
      </c>
      <c r="B340" s="438">
        <f ca="1">IF(K340&gt;0,COUNTIF(K$6:K340,"&gt;0"),B339)</f>
        <v>18</v>
      </c>
      <c r="C340" s="1278" t="str">
        <f t="shared" si="73"/>
        <v>Cáp đồng bọc CV25</v>
      </c>
      <c r="D340" s="438" t="str">
        <f t="shared" si="74"/>
        <v>mét</v>
      </c>
      <c r="E340" s="1276">
        <f ca="1">SUMIF(OFFSET(tongctvtdd1,0,-(COLUMN(E340)+7-(COLUMN(E340)-5)/2)),KLVT!$A340,tongctvtdd1)+SUMIF(OFFSET(tongctvtpk1,0,-(COLUMN(E340)+7-(COLUMN(E340)-5)/2)),KLVT!$A340,tongctvtpk1)</f>
        <v>40</v>
      </c>
      <c r="F340" s="1277">
        <f ca="1">SUMIF(OFFSET(cttba_vlvt1_1,0,-9,-ROW(cttba_vlvt1_1)+ROW(cttba_vltb1_1)-10),KLVT!$A340,OFFSET(cttba_vlvt1_1,0,-4,-ROW(cttba_vlvt1_1)+ROW(cttba_vltb1_1)-10))</f>
        <v>0</v>
      </c>
      <c r="G340" s="1277">
        <f t="shared" ca="1" si="76"/>
        <v>40</v>
      </c>
      <c r="H340" s="1274">
        <f t="shared" si="77"/>
        <v>0.16500000000000001</v>
      </c>
      <c r="I340" s="1279">
        <f t="shared" ca="1" si="78"/>
        <v>6.6000000000000005</v>
      </c>
      <c r="J340" s="1279">
        <f t="shared" ca="1" si="79"/>
        <v>0</v>
      </c>
      <c r="K340" s="437">
        <f t="shared" ca="1" si="75"/>
        <v>1</v>
      </c>
    </row>
    <row r="341" spans="1:11" s="45" customFormat="1" ht="15.75" hidden="1">
      <c r="A341" s="373" t="str">
        <f>IF(AND(COUNTIF($A$5:$A$133,R_DG!A214)=0,R_DG!R214&gt;0,ISNUMBER(R_DG!R214)),R_DG!A214,"NONE")</f>
        <v>CV35</v>
      </c>
      <c r="B341" s="85">
        <f ca="1">IF(K341&gt;0,COUNTIF(K$6:K341,"&gt;0"),B340)</f>
        <v>18</v>
      </c>
      <c r="C341" s="1084" t="str">
        <f t="shared" si="73"/>
        <v>Cáp đồng bọc CV35</v>
      </c>
      <c r="D341" s="85" t="str">
        <f t="shared" si="74"/>
        <v>mét</v>
      </c>
      <c r="E341" s="448">
        <f ca="1">SUMIF(OFFSET(tongctvtdd1,0,-(COLUMN(E341)+7-(COLUMN(E341)-5)/2)),KLVT!$A341,tongctvtdd1)+SUMIF(OFFSET(tongctvtpk1,0,-(COLUMN(E341)+7-(COLUMN(E341)-5)/2)),KLVT!$A341,tongctvtpk1)</f>
        <v>0</v>
      </c>
      <c r="F341" s="449">
        <f ca="1">SUMIF(OFFSET(cttba_vlvt1_1,0,-9,-ROW(cttba_vlvt1_1)+ROW(cttba_vltb1_1)-10),KLVT!$A341,OFFSET(cttba_vlvt1_1,0,-4,-ROW(cttba_vlvt1_1)+ROW(cttba_vltb1_1)-10))</f>
        <v>0</v>
      </c>
      <c r="G341" s="451">
        <f t="shared" ca="1" si="76"/>
        <v>0</v>
      </c>
      <c r="H341" s="450">
        <f t="shared" si="77"/>
        <v>0.17399999999999999</v>
      </c>
      <c r="I341" s="447">
        <f t="shared" ca="1" si="78"/>
        <v>0</v>
      </c>
      <c r="J341" s="447">
        <f t="shared" ca="1" si="79"/>
        <v>0</v>
      </c>
      <c r="K341" s="374">
        <f t="shared" ca="1" si="75"/>
        <v>0</v>
      </c>
    </row>
    <row r="342" spans="1:11" s="45" customFormat="1" hidden="1">
      <c r="A342" s="373" t="str">
        <f>IF(AND(COUNTIF($A$5:$A$133,R_DG!A215)=0,R_DG!R215&gt;0,ISNUMBER(R_DG!R215)),R_DG!A215,"NONE")</f>
        <v>CV50</v>
      </c>
      <c r="B342" s="85">
        <f ca="1">IF(K342&gt;0,COUNTIF(K$6:K342,"&gt;0"),B341)</f>
        <v>18</v>
      </c>
      <c r="C342" s="1084" t="str">
        <f t="shared" si="73"/>
        <v>Cáp đồng bọc CV50</v>
      </c>
      <c r="D342" s="85" t="str">
        <f t="shared" si="74"/>
        <v>mét</v>
      </c>
      <c r="E342" s="448">
        <f ca="1">SUMIF(OFFSET(tongctvtdd1,0,-(COLUMN(E342)+7-(COLUMN(E342)-5)/2)),KLVT!$A342,tongctvtdd1)+SUMIF(OFFSET(tongctvtpk1,0,-(COLUMN(E342)+7-(COLUMN(E342)-5)/2)),KLVT!$A342,tongctvtpk1)</f>
        <v>0</v>
      </c>
      <c r="F342" s="449">
        <f ca="1">SUMIF(OFFSET(cttba_vlvt1_1,0,-9,-ROW(cttba_vlvt1_1)+ROW(cttba_vltb1_1)-10),KLVT!$A342,OFFSET(cttba_vlvt1_1,0,-4,-ROW(cttba_vlvt1_1)+ROW(cttba_vltb1_1)-10))</f>
        <v>0</v>
      </c>
      <c r="G342" s="451">
        <f t="shared" ca="1" si="76"/>
        <v>0</v>
      </c>
      <c r="H342" s="450">
        <f t="shared" si="77"/>
        <v>0.22900000000000001</v>
      </c>
      <c r="I342" s="447">
        <f t="shared" ca="1" si="78"/>
        <v>0</v>
      </c>
      <c r="J342" s="447">
        <f t="shared" ca="1" si="79"/>
        <v>0</v>
      </c>
      <c r="K342" s="1094">
        <f t="shared" ca="1" si="75"/>
        <v>0</v>
      </c>
    </row>
    <row r="343" spans="1:11" s="45" customFormat="1" hidden="1">
      <c r="A343" s="373" t="str">
        <f>IF(AND(COUNTIF($A$5:$A$133,R_DG!A216)=0,R_DG!R216&gt;0,ISNUMBER(R_DG!R216)),R_DG!A216,"NONE")</f>
        <v>CV70</v>
      </c>
      <c r="B343" s="85">
        <f ca="1">IF(K343&gt;0,COUNTIF(K$6:K343,"&gt;0"),B342)</f>
        <v>18</v>
      </c>
      <c r="C343" s="1084" t="str">
        <f t="shared" si="73"/>
        <v>Cáp đồng bọc CV70</v>
      </c>
      <c r="D343" s="85" t="str">
        <f t="shared" si="74"/>
        <v>mét</v>
      </c>
      <c r="E343" s="448">
        <f ca="1">SUMIF(OFFSET(tongctvtdd1,0,-(COLUMN(E343)+7-(COLUMN(E343)-5)/2)),KLVT!$A343,tongctvtdd1)+SUMIF(OFFSET(tongctvtpk1,0,-(COLUMN(E343)+7-(COLUMN(E343)-5)/2)),KLVT!$A343,tongctvtpk1)</f>
        <v>0</v>
      </c>
      <c r="F343" s="449">
        <f ca="1">SUMIF(OFFSET(cttba_vlvt1_1,0,-9,-ROW(cttba_vlvt1_1)+ROW(cttba_vltb1_1)-10),KLVT!$A343,OFFSET(cttba_vlvt1_1,0,-4,-ROW(cttba_vlvt1_1)+ROW(cttba_vltb1_1)-10))</f>
        <v>0</v>
      </c>
      <c r="G343" s="451">
        <f t="shared" ca="1" si="76"/>
        <v>0</v>
      </c>
      <c r="H343" s="450">
        <f t="shared" si="77"/>
        <v>0.30299999999999999</v>
      </c>
      <c r="I343" s="447">
        <f t="shared" ca="1" si="78"/>
        <v>0</v>
      </c>
      <c r="J343" s="447">
        <f t="shared" ca="1" si="79"/>
        <v>0</v>
      </c>
      <c r="K343" s="1094">
        <f t="shared" ca="1" si="75"/>
        <v>0</v>
      </c>
    </row>
    <row r="344" spans="1:11" s="45" customFormat="1" hidden="1">
      <c r="A344" s="373" t="str">
        <f>IF(AND(COUNTIF($A$5:$A$133,R_DG!A217)=0,R_DG!R217&gt;0,ISNUMBER(R_DG!R217)),R_DG!A217,"NONE")</f>
        <v>CV95</v>
      </c>
      <c r="B344" s="85">
        <f ca="1">IF(K344&gt;0,COUNTIF(K$6:K344,"&gt;0"),B343)</f>
        <v>18</v>
      </c>
      <c r="C344" s="1084" t="str">
        <f t="shared" si="73"/>
        <v>Cáp đồng bọc CV95</v>
      </c>
      <c r="D344" s="85" t="str">
        <f t="shared" si="74"/>
        <v>mét</v>
      </c>
      <c r="E344" s="448">
        <f ca="1">SUMIF(OFFSET(tongctvtdd1,0,-(COLUMN(E344)+7-(COLUMN(E344)-5)/2)),KLVT!$A344,tongctvtdd1)+SUMIF(OFFSET(tongctvtpk1,0,-(COLUMN(E344)+7-(COLUMN(E344)-5)/2)),KLVT!$A344,tongctvtpk1)</f>
        <v>0</v>
      </c>
      <c r="F344" s="449">
        <f ca="1">SUMIF(OFFSET(cttba_vlvt1_1,0,-9,-ROW(cttba_vlvt1_1)+ROW(cttba_vltb1_1)-10),KLVT!$A344,OFFSET(cttba_vlvt1_1,0,-4,-ROW(cttba_vlvt1_1)+ROW(cttba_vltb1_1)-10))</f>
        <v>0</v>
      </c>
      <c r="G344" s="451">
        <f t="shared" ca="1" si="76"/>
        <v>0</v>
      </c>
      <c r="H344" s="450">
        <f t="shared" si="77"/>
        <v>0.39400000000000002</v>
      </c>
      <c r="I344" s="447">
        <f t="shared" ca="1" si="78"/>
        <v>0</v>
      </c>
      <c r="J344" s="447">
        <f t="shared" ca="1" si="79"/>
        <v>0</v>
      </c>
      <c r="K344" s="1095">
        <f t="shared" ca="1" si="75"/>
        <v>0</v>
      </c>
    </row>
    <row r="345" spans="1:11" s="45" customFormat="1" ht="15.75" hidden="1">
      <c r="A345" s="373" t="str">
        <f>IF(AND(COUNTIF($A$5:$A$133,R_DG!A218)=0,R_DG!R218&gt;0,ISNUMBER(R_DG!R218)),R_DG!A218,"NONE")</f>
        <v>CV120</v>
      </c>
      <c r="B345" s="85">
        <f ca="1">IF(K345&gt;0,COUNTIF(K$6:K345,"&gt;0"),B344)</f>
        <v>18</v>
      </c>
      <c r="C345" s="1084" t="str">
        <f t="shared" si="73"/>
        <v>Cáp đồng bọc CV120</v>
      </c>
      <c r="D345" s="85" t="str">
        <f t="shared" si="74"/>
        <v>mét</v>
      </c>
      <c r="E345" s="448">
        <f ca="1">SUMIF(OFFSET(tongctvtdd1,0,-(COLUMN(E345)+7-(COLUMN(E345)-5)/2)),KLVT!$A345,tongctvtdd1)+SUMIF(OFFSET(tongctvtpk1,0,-(COLUMN(E345)+7-(COLUMN(E345)-5)/2)),KLVT!$A345,tongctvtpk1)</f>
        <v>0</v>
      </c>
      <c r="F345" s="449">
        <f ca="1">SUMIF(OFFSET(cttba_vlvt1_1,0,-9,-ROW(cttba_vlvt1_1)+ROW(cttba_vltb1_1)-10),KLVT!$A345,OFFSET(cttba_vlvt1_1,0,-4,-ROW(cttba_vlvt1_1)+ROW(cttba_vltb1_1)-10))</f>
        <v>0</v>
      </c>
      <c r="G345" s="451">
        <f t="shared" ca="1" si="76"/>
        <v>0</v>
      </c>
      <c r="H345" s="450">
        <f t="shared" si="77"/>
        <v>0.48599999999999999</v>
      </c>
      <c r="I345" s="447">
        <f t="shared" ca="1" si="78"/>
        <v>0</v>
      </c>
      <c r="J345" s="447">
        <f t="shared" ca="1" si="79"/>
        <v>0</v>
      </c>
      <c r="K345" s="374">
        <f t="shared" ca="1" si="75"/>
        <v>0</v>
      </c>
    </row>
    <row r="346" spans="1:11" s="45" customFormat="1" ht="15.75" hidden="1">
      <c r="A346" s="373" t="str">
        <f>IF(AND(COUNTIF($A$5:$A$133,R_DG!A219)=0,R_DG!R219&gt;0,ISNUMBER(R_DG!R219)),R_DG!A219,"NONE")</f>
        <v>CV150</v>
      </c>
      <c r="B346" s="85">
        <f ca="1">IF(K346&gt;0,COUNTIF(K$6:K346,"&gt;0"),B345)</f>
        <v>18</v>
      </c>
      <c r="C346" s="1084" t="str">
        <f t="shared" si="73"/>
        <v>Cáp đồng bọc CV150</v>
      </c>
      <c r="D346" s="85" t="str">
        <f t="shared" si="74"/>
        <v>mét</v>
      </c>
      <c r="E346" s="448">
        <f ca="1">SUMIF(OFFSET(tongctvtdd1,0,-(COLUMN(E346)+7-(COLUMN(E346)-5)/2)),KLVT!$A346,tongctvtdd1)+SUMIF(OFFSET(tongctvtpk1,0,-(COLUMN(E346)+7-(COLUMN(E346)-5)/2)),KLVT!$A346,tongctvtpk1)</f>
        <v>0</v>
      </c>
      <c r="F346" s="449">
        <f ca="1">SUMIF(OFFSET(cttba_vlvt1_1,0,-9,-ROW(cttba_vlvt1_1)+ROW(cttba_vltb1_1)-10),KLVT!$A346,OFFSET(cttba_vlvt1_1,0,-4,-ROW(cttba_vlvt1_1)+ROW(cttba_vltb1_1)-10))</f>
        <v>0</v>
      </c>
      <c r="G346" s="451">
        <f t="shared" ca="1" si="76"/>
        <v>0</v>
      </c>
      <c r="H346" s="450">
        <f t="shared" si="77"/>
        <v>0.59599999999999997</v>
      </c>
      <c r="I346" s="447">
        <f t="shared" ca="1" si="78"/>
        <v>0</v>
      </c>
      <c r="J346" s="447">
        <f t="shared" ca="1" si="79"/>
        <v>0</v>
      </c>
      <c r="K346" s="373">
        <f t="shared" ca="1" si="75"/>
        <v>0</v>
      </c>
    </row>
    <row r="347" spans="1:11" s="45" customFormat="1" ht="15.75" hidden="1">
      <c r="A347" s="373" t="str">
        <f>IF(AND(COUNTIF($A$5:$A$133,R_DG!A220)=0,R_DG!R220&gt;0,ISNUMBER(R_DG!R220)),R_DG!A220,"NONE")</f>
        <v>CV185</v>
      </c>
      <c r="B347" s="85">
        <f ca="1">IF(K347&gt;0,COUNTIF(K$6:K347,"&gt;0"),B346)</f>
        <v>18</v>
      </c>
      <c r="C347" s="1084" t="str">
        <f t="shared" si="73"/>
        <v>Cáp đồng bọc CV185</v>
      </c>
      <c r="D347" s="85" t="str">
        <f t="shared" si="74"/>
        <v>mét</v>
      </c>
      <c r="E347" s="448">
        <f ca="1">SUMIF(OFFSET(tongctvtdd1,0,-(COLUMN(E347)+7-(COLUMN(E347)-5)/2)),KLVT!$A347,tongctvtdd1)+SUMIF(OFFSET(tongctvtpk1,0,-(COLUMN(E347)+7-(COLUMN(E347)-5)/2)),KLVT!$A347,tongctvtpk1)</f>
        <v>0</v>
      </c>
      <c r="F347" s="449">
        <f ca="1">SUMIF(OFFSET(cttba_vlvt1_1,0,-9,-ROW(cttba_vlvt1_1)+ROW(cttba_vltb1_1)-10),KLVT!$A347,OFFSET(cttba_vlvt1_1,0,-4,-ROW(cttba_vlvt1_1)+ROW(cttba_vltb1_1)-10))</f>
        <v>0</v>
      </c>
      <c r="G347" s="451">
        <f t="shared" ca="1" si="76"/>
        <v>0</v>
      </c>
      <c r="H347" s="450">
        <f t="shared" si="77"/>
        <v>0.72499999999999998</v>
      </c>
      <c r="I347" s="447">
        <f t="shared" ca="1" si="78"/>
        <v>0</v>
      </c>
      <c r="J347" s="447">
        <f t="shared" ca="1" si="79"/>
        <v>0</v>
      </c>
      <c r="K347" s="373">
        <f t="shared" ca="1" si="75"/>
        <v>0</v>
      </c>
    </row>
    <row r="348" spans="1:11" s="45" customFormat="1" ht="15.75" hidden="1">
      <c r="A348" s="373" t="str">
        <f>IF(AND(COUNTIF($A$5:$A$133,R_DG!A221)=0,R_DG!R221&gt;0,ISNUMBER(R_DG!R221)),R_DG!A221,"NONE")</f>
        <v>CV200</v>
      </c>
      <c r="B348" s="85">
        <f ca="1">IF(K348&gt;0,COUNTIF(K$6:K348,"&gt;0"),B347)</f>
        <v>18</v>
      </c>
      <c r="C348" s="1084" t="str">
        <f t="shared" si="73"/>
        <v>Cáp đồng bọc CV200</v>
      </c>
      <c r="D348" s="85" t="str">
        <f t="shared" si="74"/>
        <v>mét</v>
      </c>
      <c r="E348" s="448">
        <f ca="1">SUMIF(OFFSET(tongctvtdd1,0,-(COLUMN(E348)+7-(COLUMN(E348)-5)/2)),KLVT!$A348,tongctvtdd1)+SUMIF(OFFSET(tongctvtpk1,0,-(COLUMN(E348)+7-(COLUMN(E348)-5)/2)),KLVT!$A348,tongctvtpk1)</f>
        <v>0</v>
      </c>
      <c r="F348" s="449">
        <f ca="1">SUMIF(OFFSET(cttba_vlvt1_1,0,-9,-ROW(cttba_vlvt1_1)+ROW(cttba_vltb1_1)-10),KLVT!$A348,OFFSET(cttba_vlvt1_1,0,-4,-ROW(cttba_vlvt1_1)+ROW(cttba_vltb1_1)-10))</f>
        <v>0</v>
      </c>
      <c r="G348" s="451">
        <f t="shared" ca="1" si="76"/>
        <v>0</v>
      </c>
      <c r="H348" s="450">
        <f t="shared" si="77"/>
        <v>0.92700000000000005</v>
      </c>
      <c r="I348" s="447">
        <f t="shared" ca="1" si="78"/>
        <v>0</v>
      </c>
      <c r="J348" s="447">
        <f t="shared" ca="1" si="79"/>
        <v>0</v>
      </c>
      <c r="K348" s="373">
        <f t="shared" ca="1" si="75"/>
        <v>0</v>
      </c>
    </row>
    <row r="349" spans="1:11" s="45" customFormat="1" ht="15.75" hidden="1">
      <c r="A349" s="373" t="str">
        <f>IF(AND(COUNTIF($A$5:$A$133,R_DG!A222)=0,R_DG!R222&gt;0,ISNUMBER(R_DG!R222)),R_DG!A222,"NONE")</f>
        <v>CV240</v>
      </c>
      <c r="B349" s="85">
        <f ca="1">IF(K349&gt;0,COUNTIF(K$6:K349,"&gt;0"),B348)</f>
        <v>18</v>
      </c>
      <c r="C349" s="1084" t="str">
        <f t="shared" si="73"/>
        <v>Cáp đồng bọc CV240</v>
      </c>
      <c r="D349" s="85" t="str">
        <f t="shared" si="74"/>
        <v>mét</v>
      </c>
      <c r="E349" s="448">
        <f ca="1">SUMIF(OFFSET(tongctvtdd1,0,-(COLUMN(E349)+7-(COLUMN(E349)-5)/2)),KLVT!$A349,tongctvtdd1)+SUMIF(OFFSET(tongctvtpk1,0,-(COLUMN(E349)+7-(COLUMN(E349)-5)/2)),KLVT!$A349,tongctvtpk1)</f>
        <v>0</v>
      </c>
      <c r="F349" s="449">
        <f ca="1">SUMIF(OFFSET(cttba_vlvt1_1,0,-9,-ROW(cttba_vlvt1_1)+ROW(cttba_vltb1_1)-10),KLVT!$A349,OFFSET(cttba_vlvt1_1,0,-4,-ROW(cttba_vlvt1_1)+ROW(cttba_vltb1_1)-10))</f>
        <v>0</v>
      </c>
      <c r="G349" s="451">
        <f t="shared" ca="1" si="76"/>
        <v>0</v>
      </c>
      <c r="H349" s="450">
        <f t="shared" si="77"/>
        <v>1.147</v>
      </c>
      <c r="I349" s="447">
        <f t="shared" ca="1" si="78"/>
        <v>0</v>
      </c>
      <c r="J349" s="447">
        <f t="shared" ca="1" si="79"/>
        <v>0</v>
      </c>
      <c r="K349" s="373">
        <f t="shared" ca="1" si="75"/>
        <v>0</v>
      </c>
    </row>
    <row r="350" spans="1:11" s="45" customFormat="1" ht="15.75" hidden="1">
      <c r="A350" s="373" t="str">
        <f>IF(AND(COUNTIF($A$5:$A$133,R_DG!A223)=0,R_DG!R223&gt;0,ISNUMBER(R_DG!R223)),R_DG!A223,"NONE")</f>
        <v>CV250</v>
      </c>
      <c r="B350" s="85">
        <f ca="1">IF(K350&gt;0,COUNTIF(K$6:K350,"&gt;0"),B349)</f>
        <v>18</v>
      </c>
      <c r="C350" s="1084" t="str">
        <f t="shared" si="73"/>
        <v>Cáp đồng bọc CV250</v>
      </c>
      <c r="D350" s="85" t="str">
        <f t="shared" si="74"/>
        <v>mét</v>
      </c>
      <c r="E350" s="448">
        <f ca="1">SUMIF(OFFSET(tongctvtdd1,0,-(COLUMN(E350)+7-(COLUMN(E350)-5)/2)),KLVT!$A350,tongctvtdd1)+SUMIF(OFFSET(tongctvtpk1,0,-(COLUMN(E350)+7-(COLUMN(E350)-5)/2)),KLVT!$A350,tongctvtpk1)</f>
        <v>0</v>
      </c>
      <c r="F350" s="449">
        <f ca="1">SUMIF(OFFSET(cttba_vlvt1_1,0,-9,-ROW(cttba_vlvt1_1)+ROW(cttba_vltb1_1)-10),KLVT!$A350,OFFSET(cttba_vlvt1_1,0,-4,-ROW(cttba_vlvt1_1)+ROW(cttba_vltb1_1)-10))</f>
        <v>0</v>
      </c>
      <c r="G350" s="451">
        <f t="shared" ca="1" si="76"/>
        <v>0</v>
      </c>
      <c r="H350" s="450">
        <f t="shared" si="77"/>
        <v>1.1499999999999999</v>
      </c>
      <c r="I350" s="447">
        <f t="shared" ca="1" si="78"/>
        <v>0</v>
      </c>
      <c r="J350" s="447">
        <f t="shared" ca="1" si="79"/>
        <v>0</v>
      </c>
      <c r="K350" s="373">
        <f t="shared" ca="1" si="75"/>
        <v>0</v>
      </c>
    </row>
    <row r="351" spans="1:11" s="45" customFormat="1" ht="15.75" hidden="1">
      <c r="A351" s="373" t="str">
        <f>IF(AND(COUNTIF($A$5:$A$133,R_DG!A224)=0,R_DG!R224&gt;0,ISNUMBER(R_DG!R224)),R_DG!A224,"NONE")</f>
        <v>CV300</v>
      </c>
      <c r="B351" s="85">
        <f ca="1">IF(K351&gt;0,COUNTIF(K$6:K351,"&gt;0"),B350)</f>
        <v>18</v>
      </c>
      <c r="C351" s="1084" t="str">
        <f t="shared" si="73"/>
        <v>Cáp đồng bọc CV300</v>
      </c>
      <c r="D351" s="85" t="str">
        <f t="shared" si="74"/>
        <v>mét</v>
      </c>
      <c r="E351" s="448">
        <f ca="1">SUMIF(OFFSET(tongctvtdd1,0,-(COLUMN(E351)+7-(COLUMN(E351)-5)/2)),KLVT!$A351,tongctvtdd1)+SUMIF(OFFSET(tongctvtpk1,0,-(COLUMN(E351)+7-(COLUMN(E351)-5)/2)),KLVT!$A351,tongctvtpk1)</f>
        <v>0</v>
      </c>
      <c r="F351" s="449">
        <f ca="1">SUMIF(OFFSET(cttba_vlvt1_1,0,-9,-ROW(cttba_vlvt1_1)+ROW(cttba_vltb1_1)-10),KLVT!$A351,OFFSET(cttba_vlvt1_1,0,-4,-ROW(cttba_vlvt1_1)+ROW(cttba_vltb1_1)-10))</f>
        <v>0</v>
      </c>
      <c r="G351" s="451">
        <f t="shared" ca="1" si="76"/>
        <v>0</v>
      </c>
      <c r="H351" s="450">
        <f t="shared" si="77"/>
        <v>1.35</v>
      </c>
      <c r="I351" s="447">
        <f t="shared" ca="1" si="78"/>
        <v>0</v>
      </c>
      <c r="J351" s="447">
        <f t="shared" ca="1" si="79"/>
        <v>0</v>
      </c>
      <c r="K351" s="373">
        <f t="shared" ca="1" si="75"/>
        <v>0</v>
      </c>
    </row>
    <row r="352" spans="1:11" s="45" customFormat="1" ht="15.75" hidden="1">
      <c r="A352" s="373" t="str">
        <f>IF(AND(COUNTIF($A$5:$A$133,R_DG!A225)=0,R_DG!R225&gt;0,ISNUMBER(R_DG!R225)),R_DG!A225,"NONE")</f>
        <v>CV400</v>
      </c>
      <c r="B352" s="85">
        <f ca="1">IF(K352&gt;0,COUNTIF(K$6:K352,"&gt;0"),B351)</f>
        <v>18</v>
      </c>
      <c r="C352" s="1084" t="str">
        <f t="shared" si="73"/>
        <v>Cáp đồng bọc CV400</v>
      </c>
      <c r="D352" s="85" t="str">
        <f t="shared" si="74"/>
        <v>mét</v>
      </c>
      <c r="E352" s="448">
        <f ca="1">SUMIF(OFFSET(tongctvtdd1,0,-(COLUMN(E352)+7-(COLUMN(E352)-5)/2)),KLVT!$A352,tongctvtdd1)+SUMIF(OFFSET(tongctvtpk1,0,-(COLUMN(E352)+7-(COLUMN(E352)-5)/2)),KLVT!$A352,tongctvtpk1)</f>
        <v>0</v>
      </c>
      <c r="F352" s="449">
        <f ca="1">SUMIF(OFFSET(cttba_vlvt1_1,0,-9,-ROW(cttba_vlvt1_1)+ROW(cttba_vltb1_1)-10),KLVT!$A352,OFFSET(cttba_vlvt1_1,0,-4,-ROW(cttba_vlvt1_1)+ROW(cttba_vltb1_1)-10))</f>
        <v>0</v>
      </c>
      <c r="G352" s="451">
        <f t="shared" ca="1" si="76"/>
        <v>0</v>
      </c>
      <c r="H352" s="450">
        <f t="shared" si="77"/>
        <v>1.5</v>
      </c>
      <c r="I352" s="447">
        <f t="shared" ca="1" si="78"/>
        <v>0</v>
      </c>
      <c r="J352" s="447">
        <f t="shared" ca="1" si="79"/>
        <v>0</v>
      </c>
      <c r="K352" s="373">
        <f t="shared" ca="1" si="75"/>
        <v>0</v>
      </c>
    </row>
    <row r="353" spans="1:13" s="45" customFormat="1" ht="15.75" hidden="1">
      <c r="A353" s="373" t="str">
        <f>IF(AND(COUNTIF($A$5:$A$133,R_DG!A226)=0,R_DG!R226&gt;0,ISNUMBER(R_DG!R226)),R_DG!A226,"NONE")</f>
        <v>ACV35</v>
      </c>
      <c r="B353" s="85">
        <f ca="1">IF(K353&gt;0,COUNTIF(K$6:K353,"&gt;0"),B352)</f>
        <v>18</v>
      </c>
      <c r="C353" s="1084" t="str">
        <f t="shared" ref="C353:C416" si="80">VLOOKUP(A353,DONGIA,3,0)</f>
        <v>Cáp nhôm lõi thép ACV35</v>
      </c>
      <c r="D353" s="85" t="str">
        <f t="shared" ref="D353:D416" si="81">VLOOKUP(A353,DONGIA,4,0)</f>
        <v>mét</v>
      </c>
      <c r="E353" s="448">
        <f ca="1">SUMIF(OFFSET(tongctvtdd1,0,-(COLUMN(E353)+7-(COLUMN(E353)-5)/2)),KLVT!$A353,tongctvtdd1)+SUMIF(OFFSET(tongctvtpk1,0,-(COLUMN(E353)+7-(COLUMN(E353)-5)/2)),KLVT!$A353,tongctvtpk1)</f>
        <v>0</v>
      </c>
      <c r="F353" s="449">
        <f ca="1">SUMIF(OFFSET(cttba_vlvt1_1,0,-9,-ROW(cttba_vlvt1_1)+ROW(cttba_vltb1_1)-10),KLVT!$A353,OFFSET(cttba_vlvt1_1,0,-4,-ROW(cttba_vlvt1_1)+ROW(cttba_vltb1_1)-10))</f>
        <v>0</v>
      </c>
      <c r="G353" s="451">
        <f t="shared" ca="1" si="76"/>
        <v>0</v>
      </c>
      <c r="H353" s="450">
        <f t="shared" si="77"/>
        <v>0.22900000000000001</v>
      </c>
      <c r="I353" s="447">
        <f t="shared" ca="1" si="78"/>
        <v>0</v>
      </c>
      <c r="J353" s="447">
        <f t="shared" ca="1" si="79"/>
        <v>0</v>
      </c>
      <c r="K353" s="373">
        <f t="shared" ca="1" si="75"/>
        <v>0</v>
      </c>
    </row>
    <row r="354" spans="1:13" s="45" customFormat="1" ht="15.75" hidden="1">
      <c r="A354" s="373" t="str">
        <f>IF(AND(COUNTIF($A$5:$A$133,R_DG!A227)=0,R_DG!R227&gt;0,ISNUMBER(R_DG!R227)),R_DG!A227,"NONE")</f>
        <v>ACV50</v>
      </c>
      <c r="B354" s="85">
        <f ca="1">IF(K354&gt;0,COUNTIF(K$6:K354,"&gt;0"),B353)</f>
        <v>18</v>
      </c>
      <c r="C354" s="1084" t="str">
        <f t="shared" si="80"/>
        <v>Cáp nhôm lõi thép ACV50</v>
      </c>
      <c r="D354" s="85" t="str">
        <f t="shared" si="81"/>
        <v>mét</v>
      </c>
      <c r="E354" s="448">
        <f ca="1">SUMIF(OFFSET(tongctvtdd1,0,-(COLUMN(E354)+7-(COLUMN(E354)-5)/2)),KLVT!$A354,tongctvtdd1)+SUMIF(OFFSET(tongctvtpk1,0,-(COLUMN(E354)+7-(COLUMN(E354)-5)/2)),KLVT!$A354,tongctvtpk1)</f>
        <v>0</v>
      </c>
      <c r="F354" s="449">
        <f ca="1">SUMIF(OFFSET(cttba_vlvt1_1,0,-9,-ROW(cttba_vlvt1_1)+ROW(cttba_vltb1_1)-10),KLVT!$A354,OFFSET(cttba_vlvt1_1,0,-4,-ROW(cttba_vlvt1_1)+ROW(cttba_vltb1_1)-10))</f>
        <v>0</v>
      </c>
      <c r="G354" s="451">
        <f t="shared" ca="1" si="76"/>
        <v>0</v>
      </c>
      <c r="H354" s="450">
        <f t="shared" si="77"/>
        <v>0.30299999999999999</v>
      </c>
      <c r="I354" s="447">
        <f t="shared" ca="1" si="78"/>
        <v>0</v>
      </c>
      <c r="J354" s="447">
        <f t="shared" ca="1" si="79"/>
        <v>0</v>
      </c>
      <c r="K354" s="373">
        <f t="shared" ca="1" si="75"/>
        <v>0</v>
      </c>
      <c r="M354" s="223"/>
    </row>
    <row r="355" spans="1:13" s="45" customFormat="1" ht="17.25" hidden="1" thickTop="1" thickBot="1">
      <c r="A355" s="373" t="str">
        <f>IF(AND(COUNTIF($A$5:$A$133,R_DG!A228)=0,R_DG!R228&gt;0,ISNUMBER(R_DG!R228)),R_DG!A228,"NONE")</f>
        <v>ACV70</v>
      </c>
      <c r="B355" s="85">
        <f ca="1">IF(K355&gt;0,COUNTIF(K$6:K355,"&gt;0"),B354)</f>
        <v>18</v>
      </c>
      <c r="C355" s="1084" t="str">
        <f t="shared" si="80"/>
        <v>Cáp nhôm lõi thép ACV70</v>
      </c>
      <c r="D355" s="85" t="str">
        <f t="shared" si="81"/>
        <v>mét</v>
      </c>
      <c r="E355" s="448">
        <f ca="1">SUMIF(OFFSET(tongctvtdd1,0,-(COLUMN(E355)+7-(COLUMN(E355)-5)/2)),KLVT!$A355,tongctvtdd1)+SUMIF(OFFSET(tongctvtpk1,0,-(COLUMN(E355)+7-(COLUMN(E355)-5)/2)),KLVT!$A355,tongctvtpk1)</f>
        <v>0</v>
      </c>
      <c r="F355" s="449">
        <f ca="1">SUMIF(OFFSET(cttba_vlvt1_1,0,-9,-ROW(cttba_vlvt1_1)+ROW(cttba_vltb1_1)-10),KLVT!$A355,OFFSET(cttba_vlvt1_1,0,-4,-ROW(cttba_vlvt1_1)+ROW(cttba_vltb1_1)-10))</f>
        <v>0</v>
      </c>
      <c r="G355" s="451">
        <f t="shared" ca="1" si="76"/>
        <v>0</v>
      </c>
      <c r="H355" s="450">
        <f t="shared" si="77"/>
        <v>0.39400000000000002</v>
      </c>
      <c r="I355" s="447">
        <f t="shared" ca="1" si="78"/>
        <v>0</v>
      </c>
      <c r="J355" s="447">
        <f t="shared" ca="1" si="79"/>
        <v>0</v>
      </c>
      <c r="K355" s="373">
        <f t="shared" ca="1" si="75"/>
        <v>0</v>
      </c>
      <c r="L355" s="222" t="s">
        <v>2820</v>
      </c>
      <c r="M355" s="224"/>
    </row>
    <row r="356" spans="1:13" s="45" customFormat="1" ht="17.25" hidden="1" thickTop="1" thickBot="1">
      <c r="A356" s="373" t="str">
        <f>IF(AND(COUNTIF($A$5:$A$133,R_DG!A229)=0,R_DG!R229&gt;0,ISNUMBER(R_DG!R229)),R_DG!A229,"NONE")</f>
        <v>ACV95</v>
      </c>
      <c r="B356" s="85">
        <f ca="1">IF(K356&gt;0,COUNTIF(K$6:K356,"&gt;0"),B355)</f>
        <v>18</v>
      </c>
      <c r="C356" s="1084" t="str">
        <f t="shared" si="80"/>
        <v>Cáp nhôm lõi thép ACV95</v>
      </c>
      <c r="D356" s="85" t="str">
        <f t="shared" si="81"/>
        <v>mét</v>
      </c>
      <c r="E356" s="448">
        <f ca="1">SUMIF(OFFSET(tongctvtdd1,0,-(COLUMN(E356)+7-(COLUMN(E356)-5)/2)),KLVT!$A356,tongctvtdd1)+SUMIF(OFFSET(tongctvtpk1,0,-(COLUMN(E356)+7-(COLUMN(E356)-5)/2)),KLVT!$A356,tongctvtpk1)</f>
        <v>0</v>
      </c>
      <c r="F356" s="449">
        <f ca="1">SUMIF(OFFSET(cttba_vlvt1_1,0,-9,-ROW(cttba_vlvt1_1)+ROW(cttba_vltb1_1)-10),KLVT!$A356,OFFSET(cttba_vlvt1_1,0,-4,-ROW(cttba_vlvt1_1)+ROW(cttba_vltb1_1)-10))</f>
        <v>0</v>
      </c>
      <c r="G356" s="451">
        <f t="shared" ca="1" si="76"/>
        <v>0</v>
      </c>
      <c r="H356" s="450">
        <f t="shared" si="77"/>
        <v>0.48599999999999999</v>
      </c>
      <c r="I356" s="447">
        <f t="shared" ca="1" si="78"/>
        <v>0</v>
      </c>
      <c r="J356" s="447">
        <f t="shared" ca="1" si="79"/>
        <v>0</v>
      </c>
      <c r="K356" s="373">
        <f t="shared" ca="1" si="75"/>
        <v>0</v>
      </c>
      <c r="L356" s="222">
        <f ca="1">ROUNDUP(J356/5000,0)</f>
        <v>0</v>
      </c>
      <c r="M356" s="224"/>
    </row>
    <row r="357" spans="1:13" s="45" customFormat="1" ht="17.25" hidden="1" thickTop="1" thickBot="1">
      <c r="A357" s="373" t="str">
        <f>IF(AND(COUNTIF($A$5:$A$133,R_DG!A230)=0,R_DG!R230&gt;0,ISNUMBER(R_DG!R230)),R_DG!A230,"NONE")</f>
        <v>ACV120</v>
      </c>
      <c r="B357" s="85">
        <f ca="1">IF(K357&gt;0,COUNTIF(K$6:K357,"&gt;0"),B356)</f>
        <v>18</v>
      </c>
      <c r="C357" s="1084" t="str">
        <f t="shared" si="80"/>
        <v>Cáp nhôm lõi thép ACV120</v>
      </c>
      <c r="D357" s="85" t="str">
        <f t="shared" si="81"/>
        <v>mét</v>
      </c>
      <c r="E357" s="448">
        <f ca="1">SUMIF(OFFSET(tongctvtdd1,0,-(COLUMN(E357)+7-(COLUMN(E357)-5)/2)),KLVT!$A357,tongctvtdd1)+SUMIF(OFFSET(tongctvtpk1,0,-(COLUMN(E357)+7-(COLUMN(E357)-5)/2)),KLVT!$A357,tongctvtpk1)</f>
        <v>0</v>
      </c>
      <c r="F357" s="449">
        <f ca="1">SUMIF(OFFSET(cttba_vlvt1_1,0,-9,-ROW(cttba_vlvt1_1)+ROW(cttba_vltb1_1)-10),KLVT!$A357,OFFSET(cttba_vlvt1_1,0,-4,-ROW(cttba_vlvt1_1)+ROW(cttba_vltb1_1)-10))</f>
        <v>0</v>
      </c>
      <c r="G357" s="451">
        <f t="shared" ca="1" si="76"/>
        <v>0</v>
      </c>
      <c r="H357" s="450">
        <f t="shared" si="77"/>
        <v>0.59599999999999997</v>
      </c>
      <c r="I357" s="447">
        <f t="shared" ca="1" si="78"/>
        <v>0</v>
      </c>
      <c r="J357" s="447">
        <f t="shared" ca="1" si="79"/>
        <v>0</v>
      </c>
      <c r="K357" s="373">
        <f t="shared" ca="1" si="75"/>
        <v>0</v>
      </c>
      <c r="L357" s="222"/>
      <c r="M357" s="224"/>
    </row>
    <row r="358" spans="1:13" s="45" customFormat="1" ht="17.25" hidden="1" thickTop="1" thickBot="1">
      <c r="A358" s="373" t="str">
        <f>IF(AND(COUNTIF($A$5:$A$133,R_DG!A231)=0,R_DG!R231&gt;0,ISNUMBER(R_DG!R231)),R_DG!A231,"NONE")</f>
        <v>ACV150</v>
      </c>
      <c r="B358" s="85">
        <f ca="1">IF(K358&gt;0,COUNTIF(K$6:K358,"&gt;0"),B357)</f>
        <v>18</v>
      </c>
      <c r="C358" s="1084" t="str">
        <f t="shared" si="80"/>
        <v>Cáp nhôm lõi thép ACV150</v>
      </c>
      <c r="D358" s="85" t="str">
        <f t="shared" si="81"/>
        <v>mét</v>
      </c>
      <c r="E358" s="448">
        <f ca="1">SUMIF(OFFSET(tongctvtdd1,0,-(COLUMN(E358)+7-(COLUMN(E358)-5)/2)),KLVT!$A358,tongctvtdd1)+SUMIF(OFFSET(tongctvtpk1,0,-(COLUMN(E358)+7-(COLUMN(E358)-5)/2)),KLVT!$A358,tongctvtpk1)</f>
        <v>0</v>
      </c>
      <c r="F358" s="449">
        <f ca="1">SUMIF(OFFSET(cttba_vlvt1_1,0,-9,-ROW(cttba_vlvt1_1)+ROW(cttba_vltb1_1)-10),KLVT!$A358,OFFSET(cttba_vlvt1_1,0,-4,-ROW(cttba_vlvt1_1)+ROW(cttba_vltb1_1)-10))</f>
        <v>0</v>
      </c>
      <c r="G358" s="451">
        <f t="shared" ca="1" si="76"/>
        <v>0</v>
      </c>
      <c r="H358" s="450">
        <f t="shared" si="77"/>
        <v>0.72499999999999998</v>
      </c>
      <c r="I358" s="447">
        <f t="shared" ca="1" si="78"/>
        <v>0</v>
      </c>
      <c r="J358" s="447">
        <f t="shared" ca="1" si="79"/>
        <v>0</v>
      </c>
      <c r="K358" s="373">
        <f t="shared" ca="1" si="75"/>
        <v>0</v>
      </c>
      <c r="L358" s="222"/>
      <c r="M358" s="224"/>
    </row>
    <row r="359" spans="1:13" s="45" customFormat="1" ht="17.25" hidden="1" thickTop="1" thickBot="1">
      <c r="A359" s="373" t="str">
        <f>IF(AND(COUNTIF($A$5:$A$133,R_DG!A232)=0,R_DG!R232&gt;0,ISNUMBER(R_DG!R232)),R_DG!A232,"NONE")</f>
        <v>ACV185</v>
      </c>
      <c r="B359" s="85">
        <f ca="1">IF(K359&gt;0,COUNTIF(K$6:K359,"&gt;0"),B358)</f>
        <v>18</v>
      </c>
      <c r="C359" s="1084" t="str">
        <f t="shared" si="80"/>
        <v>Cáp nhôm lõi thép ACV185</v>
      </c>
      <c r="D359" s="85" t="str">
        <f t="shared" si="81"/>
        <v>mét</v>
      </c>
      <c r="E359" s="448">
        <f ca="1">SUMIF(OFFSET(tongctvtdd1,0,-(COLUMN(E359)+7-(COLUMN(E359)-5)/2)),KLVT!$A359,tongctvtdd1)+SUMIF(OFFSET(tongctvtpk1,0,-(COLUMN(E359)+7-(COLUMN(E359)-5)/2)),KLVT!$A359,tongctvtpk1)</f>
        <v>0</v>
      </c>
      <c r="F359" s="449">
        <f ca="1">SUMIF(OFFSET(cttba_vlvt1_1,0,-9,-ROW(cttba_vlvt1_1)+ROW(cttba_vltb1_1)-10),KLVT!$A359,OFFSET(cttba_vlvt1_1,0,-4,-ROW(cttba_vlvt1_1)+ROW(cttba_vltb1_1)-10))</f>
        <v>0</v>
      </c>
      <c r="G359" s="451">
        <f t="shared" ca="1" si="76"/>
        <v>0</v>
      </c>
      <c r="H359" s="450">
        <f t="shared" si="77"/>
        <v>0.92700000000000005</v>
      </c>
      <c r="I359" s="447">
        <f t="shared" ca="1" si="78"/>
        <v>0</v>
      </c>
      <c r="J359" s="447">
        <f t="shared" ca="1" si="79"/>
        <v>0</v>
      </c>
      <c r="K359" s="373">
        <f t="shared" ca="1" si="75"/>
        <v>0</v>
      </c>
      <c r="L359" s="222"/>
      <c r="M359" s="224"/>
    </row>
    <row r="360" spans="1:13" s="45" customFormat="1" ht="15.75" hidden="1">
      <c r="A360" s="373" t="str">
        <f>IF(AND(COUNTIF($A$5:$A$133,R_DG!A233)=0,R_DG!R233&gt;0,ISNUMBER(R_DG!R233)),R_DG!A233,"NONE")</f>
        <v>ACV240</v>
      </c>
      <c r="B360" s="85">
        <f ca="1">IF(K360&gt;0,COUNTIF(K$6:K360,"&gt;0"),B359)</f>
        <v>18</v>
      </c>
      <c r="C360" s="1084" t="str">
        <f t="shared" si="80"/>
        <v>Cáp nhôm lõi thép ACV240</v>
      </c>
      <c r="D360" s="85" t="str">
        <f t="shared" si="81"/>
        <v>mét</v>
      </c>
      <c r="E360" s="448">
        <f ca="1">SUMIF(OFFSET(tongctvtdd1,0,-(COLUMN(E360)+7-(COLUMN(E360)-5)/2)),KLVT!$A360,tongctvtdd1)+SUMIF(OFFSET(tongctvtpk1,0,-(COLUMN(E360)+7-(COLUMN(E360)-5)/2)),KLVT!$A360,tongctvtpk1)</f>
        <v>0</v>
      </c>
      <c r="F360" s="449">
        <f ca="1">SUMIF(OFFSET(cttba_vlvt1_1,0,-9,-ROW(cttba_vlvt1_1)+ROW(cttba_vltb1_1)-10),KLVT!$A360,OFFSET(cttba_vlvt1_1,0,-4,-ROW(cttba_vlvt1_1)+ROW(cttba_vltb1_1)-10))</f>
        <v>0</v>
      </c>
      <c r="G360" s="451">
        <f t="shared" ca="1" si="76"/>
        <v>0</v>
      </c>
      <c r="H360" s="450">
        <f t="shared" si="77"/>
        <v>1.2</v>
      </c>
      <c r="I360" s="447">
        <f t="shared" ca="1" si="78"/>
        <v>0</v>
      </c>
      <c r="J360" s="447">
        <f t="shared" ca="1" si="79"/>
        <v>0</v>
      </c>
      <c r="K360" s="373">
        <f t="shared" ca="1" si="75"/>
        <v>0</v>
      </c>
      <c r="M360" s="223"/>
    </row>
    <row r="361" spans="1:13" s="45" customFormat="1" ht="15.75" hidden="1">
      <c r="A361" s="373" t="str">
        <f>IF(AND(COUNTIF($A$5:$A$133,R_DG!A234)=0,R_DG!R234&gt;0,ISNUMBER(R_DG!R234)),R_DG!A234,"NONE")</f>
        <v>A35</v>
      </c>
      <c r="B361" s="85">
        <f ca="1">IF(K361&gt;0,COUNTIF(K$6:K361,"&gt;0"),B360)</f>
        <v>18</v>
      </c>
      <c r="C361" s="1084" t="str">
        <f t="shared" si="80"/>
        <v>Cáp nhôm A-35</v>
      </c>
      <c r="D361" s="85" t="str">
        <f t="shared" si="81"/>
        <v>kg</v>
      </c>
      <c r="E361" s="448">
        <f ca="1">SUMIF(OFFSET(tongctvtdd1,0,-(COLUMN(E361)+7-(COLUMN(E361)-5)/2)),KLVT!$A361,tongctvtdd1)+SUMIF(OFFSET(tongctvtpk1,0,-(COLUMN(E361)+7-(COLUMN(E361)-5)/2)),KLVT!$A361,tongctvtpk1)</f>
        <v>0</v>
      </c>
      <c r="F361" s="449">
        <f ca="1">SUMIF(OFFSET(cttba_vlvt1_1,0,-9,-ROW(cttba_vlvt1_1)+ROW(cttba_vltb1_1)-10),KLVT!$A361,OFFSET(cttba_vlvt1_1,0,-4,-ROW(cttba_vlvt1_1)+ROW(cttba_vltb1_1)-10))</f>
        <v>0</v>
      </c>
      <c r="G361" s="451">
        <f t="shared" ca="1" si="76"/>
        <v>0</v>
      </c>
      <c r="H361" s="450">
        <f t="shared" si="77"/>
        <v>1</v>
      </c>
      <c r="I361" s="447">
        <f t="shared" ca="1" si="78"/>
        <v>0</v>
      </c>
      <c r="J361" s="447">
        <f t="shared" ca="1" si="79"/>
        <v>0</v>
      </c>
      <c r="K361" s="373">
        <f t="shared" ca="1" si="75"/>
        <v>0</v>
      </c>
      <c r="M361" s="223"/>
    </row>
    <row r="362" spans="1:13" s="45" customFormat="1" ht="15.75" hidden="1">
      <c r="A362" s="373" t="str">
        <f>IF(AND(COUNTIF($A$5:$A$133,R_DG!A235)=0,R_DG!R235&gt;0,ISNUMBER(R_DG!R235)),R_DG!A235,"NONE")</f>
        <v>A50</v>
      </c>
      <c r="B362" s="85">
        <f ca="1">IF(K362&gt;0,COUNTIF(K$6:K362,"&gt;0"),B361)</f>
        <v>18</v>
      </c>
      <c r="C362" s="1084" t="str">
        <f t="shared" si="80"/>
        <v>Cáp nhôm A-50</v>
      </c>
      <c r="D362" s="85" t="str">
        <f t="shared" si="81"/>
        <v>kg</v>
      </c>
      <c r="E362" s="448">
        <f ca="1">SUMIF(OFFSET(tongctvtdd1,0,-(COLUMN(E362)+7-(COLUMN(E362)-5)/2)),KLVT!$A362,tongctvtdd1)+SUMIF(OFFSET(tongctvtpk1,0,-(COLUMN(E362)+7-(COLUMN(E362)-5)/2)),KLVT!$A362,tongctvtpk1)</f>
        <v>0</v>
      </c>
      <c r="F362" s="449">
        <f ca="1">SUMIF(OFFSET(cttba_vlvt1_1,0,-9,-ROW(cttba_vlvt1_1)+ROW(cttba_vltb1_1)-10),KLVT!$A362,OFFSET(cttba_vlvt1_1,0,-4,-ROW(cttba_vlvt1_1)+ROW(cttba_vltb1_1)-10))</f>
        <v>0</v>
      </c>
      <c r="G362" s="451">
        <f t="shared" ca="1" si="76"/>
        <v>0</v>
      </c>
      <c r="H362" s="450">
        <f t="shared" si="77"/>
        <v>1</v>
      </c>
      <c r="I362" s="447">
        <f t="shared" ca="1" si="78"/>
        <v>0</v>
      </c>
      <c r="J362" s="447">
        <f t="shared" ca="1" si="79"/>
        <v>0</v>
      </c>
      <c r="K362" s="373">
        <f t="shared" ca="1" si="75"/>
        <v>0</v>
      </c>
    </row>
    <row r="363" spans="1:13" s="45" customFormat="1" ht="15.75" hidden="1">
      <c r="A363" s="373" t="str">
        <f>IF(AND(COUNTIF($A$5:$A$133,R_DG!A236)=0,R_DG!R236&gt;0,ISNUMBER(R_DG!R236)),R_DG!A236,"NONE")</f>
        <v>A70</v>
      </c>
      <c r="B363" s="85">
        <f ca="1">IF(K363&gt;0,COUNTIF(K$6:K363,"&gt;0"),B362)</f>
        <v>18</v>
      </c>
      <c r="C363" s="1084" t="str">
        <f t="shared" si="80"/>
        <v>Cáp nhôm A-70</v>
      </c>
      <c r="D363" s="85" t="str">
        <f t="shared" si="81"/>
        <v>kg</v>
      </c>
      <c r="E363" s="448">
        <f ca="1">SUMIF(OFFSET(tongctvtdd1,0,-(COLUMN(E363)+7-(COLUMN(E363)-5)/2)),KLVT!$A363,tongctvtdd1)+SUMIF(OFFSET(tongctvtpk1,0,-(COLUMN(E363)+7-(COLUMN(E363)-5)/2)),KLVT!$A363,tongctvtpk1)</f>
        <v>0</v>
      </c>
      <c r="F363" s="449">
        <f ca="1">SUMIF(OFFSET(cttba_vlvt1_1,0,-9,-ROW(cttba_vlvt1_1)+ROW(cttba_vltb1_1)-10),KLVT!$A363,OFFSET(cttba_vlvt1_1,0,-4,-ROW(cttba_vlvt1_1)+ROW(cttba_vltb1_1)-10))</f>
        <v>0</v>
      </c>
      <c r="G363" s="451">
        <f t="shared" ca="1" si="76"/>
        <v>0</v>
      </c>
      <c r="H363" s="450">
        <f t="shared" si="77"/>
        <v>1</v>
      </c>
      <c r="I363" s="447">
        <f t="shared" ca="1" si="78"/>
        <v>0</v>
      </c>
      <c r="J363" s="447">
        <f t="shared" ca="1" si="79"/>
        <v>0</v>
      </c>
      <c r="K363" s="374">
        <f t="shared" ca="1" si="75"/>
        <v>0</v>
      </c>
    </row>
    <row r="364" spans="1:13" s="45" customFormat="1" ht="15.75" hidden="1">
      <c r="A364" s="373" t="str">
        <f>IF(AND(COUNTIF($A$5:$A$133,R_DG!A237)=0,R_DG!R237&gt;0,ISNUMBER(R_DG!R237)),R_DG!A237,"NONE")</f>
        <v>A95</v>
      </c>
      <c r="B364" s="85">
        <f ca="1">IF(K364&gt;0,COUNTIF(K$6:K364,"&gt;0"),B363)</f>
        <v>18</v>
      </c>
      <c r="C364" s="1084" t="str">
        <f t="shared" si="80"/>
        <v>Cáp nhôm A-95</v>
      </c>
      <c r="D364" s="85" t="str">
        <f t="shared" si="81"/>
        <v>kg</v>
      </c>
      <c r="E364" s="448">
        <f ca="1">SUMIF(OFFSET(tongctvtdd1,0,-(COLUMN(E364)+7-(COLUMN(E364)-5)/2)),KLVT!$A364,tongctvtdd1)+SUMIF(OFFSET(tongctvtpk1,0,-(COLUMN(E364)+7-(COLUMN(E364)-5)/2)),KLVT!$A364,tongctvtpk1)</f>
        <v>0</v>
      </c>
      <c r="F364" s="449">
        <f ca="1">SUMIF(OFFSET(cttba_vlvt1_1,0,-9,-ROW(cttba_vlvt1_1)+ROW(cttba_vltb1_1)-10),KLVT!$A364,OFFSET(cttba_vlvt1_1,0,-4,-ROW(cttba_vlvt1_1)+ROW(cttba_vltb1_1)-10))</f>
        <v>0</v>
      </c>
      <c r="G364" s="451">
        <f t="shared" ca="1" si="76"/>
        <v>0</v>
      </c>
      <c r="H364" s="450">
        <f t="shared" si="77"/>
        <v>1</v>
      </c>
      <c r="I364" s="447">
        <f t="shared" ca="1" si="78"/>
        <v>0</v>
      </c>
      <c r="J364" s="447">
        <f t="shared" ca="1" si="79"/>
        <v>0</v>
      </c>
      <c r="K364" s="374">
        <f t="shared" ca="1" si="75"/>
        <v>0</v>
      </c>
    </row>
    <row r="365" spans="1:13" s="45" customFormat="1" ht="15.75" hidden="1">
      <c r="A365" s="373" t="str">
        <f>IF(AND(COUNTIF($A$5:$A$133,R_DG!A238)=0,R_DG!R238&gt;0,ISNUMBER(R_DG!R238)),R_DG!A238,"NONE")</f>
        <v>A120</v>
      </c>
      <c r="B365" s="85">
        <f ca="1">IF(K365&gt;0,COUNTIF(K$6:K365,"&gt;0"),B364)</f>
        <v>18</v>
      </c>
      <c r="C365" s="1084" t="str">
        <f t="shared" si="80"/>
        <v>Cáp nhôm A-120</v>
      </c>
      <c r="D365" s="85" t="str">
        <f t="shared" si="81"/>
        <v>kg</v>
      </c>
      <c r="E365" s="448">
        <f ca="1">SUMIF(OFFSET(tongctvtdd1,0,-(COLUMN(E365)+7-(COLUMN(E365)-5)/2)),KLVT!$A365,tongctvtdd1)+SUMIF(OFFSET(tongctvtpk1,0,-(COLUMN(E365)+7-(COLUMN(E365)-5)/2)),KLVT!$A365,tongctvtpk1)</f>
        <v>0</v>
      </c>
      <c r="F365" s="449">
        <f ca="1">SUMIF(OFFSET(cttba_vlvt1_1,0,-9,-ROW(cttba_vlvt1_1)+ROW(cttba_vltb1_1)-10),KLVT!$A365,OFFSET(cttba_vlvt1_1,0,-4,-ROW(cttba_vlvt1_1)+ROW(cttba_vltb1_1)-10))</f>
        <v>0</v>
      </c>
      <c r="G365" s="451">
        <f t="shared" ca="1" si="76"/>
        <v>0</v>
      </c>
      <c r="H365" s="450">
        <f t="shared" si="77"/>
        <v>1</v>
      </c>
      <c r="I365" s="447">
        <f t="shared" ca="1" si="78"/>
        <v>0</v>
      </c>
      <c r="J365" s="447">
        <f t="shared" ca="1" si="79"/>
        <v>0</v>
      </c>
      <c r="K365" s="374">
        <f t="shared" ca="1" si="75"/>
        <v>0</v>
      </c>
    </row>
    <row r="366" spans="1:13" s="45" customFormat="1" ht="15.75" hidden="1">
      <c r="A366" s="373" t="str">
        <f>IF(AND(COUNTIF($A$5:$A$133,R_DG!A239)=0,R_DG!R239&gt;0,ISNUMBER(R_DG!R239)),R_DG!A239,"NONE")</f>
        <v>A150</v>
      </c>
      <c r="B366" s="85">
        <f ca="1">IF(K366&gt;0,COUNTIF(K$6:K366,"&gt;0"),B365)</f>
        <v>18</v>
      </c>
      <c r="C366" s="1084" t="str">
        <f t="shared" si="80"/>
        <v>Cáp nhôm A-150</v>
      </c>
      <c r="D366" s="85" t="str">
        <f t="shared" si="81"/>
        <v>kg</v>
      </c>
      <c r="E366" s="448">
        <f ca="1">SUMIF(OFFSET(tongctvtdd1,0,-(COLUMN(E366)+7-(COLUMN(E366)-5)/2)),KLVT!$A366,tongctvtdd1)+SUMIF(OFFSET(tongctvtpk1,0,-(COLUMN(E366)+7-(COLUMN(E366)-5)/2)),KLVT!$A366,tongctvtpk1)</f>
        <v>0</v>
      </c>
      <c r="F366" s="449">
        <f ca="1">SUMIF(OFFSET(cttba_vlvt1_1,0,-9,-ROW(cttba_vlvt1_1)+ROW(cttba_vltb1_1)-10),KLVT!$A366,OFFSET(cttba_vlvt1_1,0,-4,-ROW(cttba_vlvt1_1)+ROW(cttba_vltb1_1)-10))</f>
        <v>0</v>
      </c>
      <c r="G366" s="451">
        <f t="shared" ca="1" si="76"/>
        <v>0</v>
      </c>
      <c r="H366" s="450">
        <f t="shared" si="77"/>
        <v>1</v>
      </c>
      <c r="I366" s="447">
        <f t="shared" ca="1" si="78"/>
        <v>0</v>
      </c>
      <c r="J366" s="447">
        <f t="shared" ca="1" si="79"/>
        <v>0</v>
      </c>
      <c r="K366" s="373">
        <f t="shared" ca="1" si="75"/>
        <v>0</v>
      </c>
    </row>
    <row r="367" spans="1:13" s="45" customFormat="1" ht="15.75" hidden="1">
      <c r="A367" s="373" t="str">
        <f>IF(AND(COUNTIF($A$5:$A$133,R_DG!A240)=0,R_DG!R240&gt;0,ISNUMBER(R_DG!R240)),R_DG!A240,"NONE")</f>
        <v>A185</v>
      </c>
      <c r="B367" s="85">
        <f ca="1">IF(K367&gt;0,COUNTIF(K$6:K367,"&gt;0"),B366)</f>
        <v>18</v>
      </c>
      <c r="C367" s="1084" t="str">
        <f t="shared" si="80"/>
        <v>Cáp nhôm A-185</v>
      </c>
      <c r="D367" s="85" t="str">
        <f t="shared" si="81"/>
        <v>kg</v>
      </c>
      <c r="E367" s="448">
        <f ca="1">SUMIF(OFFSET(tongctvtdd1,0,-(COLUMN(E367)+7-(COLUMN(E367)-5)/2)),KLVT!$A367,tongctvtdd1)+SUMIF(OFFSET(tongctvtpk1,0,-(COLUMN(E367)+7-(COLUMN(E367)-5)/2)),KLVT!$A367,tongctvtpk1)</f>
        <v>0</v>
      </c>
      <c r="F367" s="449">
        <f ca="1">SUMIF(OFFSET(cttba_vlvt1_1,0,-9,-ROW(cttba_vlvt1_1)+ROW(cttba_vltb1_1)-10),KLVT!$A367,OFFSET(cttba_vlvt1_1,0,-4,-ROW(cttba_vlvt1_1)+ROW(cttba_vltb1_1)-10))</f>
        <v>0</v>
      </c>
      <c r="G367" s="451">
        <f t="shared" ca="1" si="76"/>
        <v>0</v>
      </c>
      <c r="H367" s="450">
        <f t="shared" si="77"/>
        <v>1</v>
      </c>
      <c r="I367" s="447">
        <f t="shared" ca="1" si="78"/>
        <v>0</v>
      </c>
      <c r="J367" s="447">
        <f t="shared" ca="1" si="79"/>
        <v>0</v>
      </c>
      <c r="K367" s="374">
        <f t="shared" ca="1" si="75"/>
        <v>0</v>
      </c>
    </row>
    <row r="368" spans="1:13" s="45" customFormat="1" ht="15.75" hidden="1">
      <c r="A368" s="373" t="str">
        <f>IF(AND(COUNTIF($A$5:$A$133,R_DG!A241)=0,R_DG!R241&gt;0,ISNUMBER(R_DG!R241)),R_DG!A241,"NONE")</f>
        <v>A240</v>
      </c>
      <c r="B368" s="85">
        <f ca="1">IF(K368&gt;0,COUNTIF(K$6:K368,"&gt;0"),B367)</f>
        <v>18</v>
      </c>
      <c r="C368" s="1084" t="str">
        <f t="shared" si="80"/>
        <v>Cáp nhôm A-240</v>
      </c>
      <c r="D368" s="85" t="str">
        <f t="shared" si="81"/>
        <v>kg</v>
      </c>
      <c r="E368" s="448">
        <f ca="1">SUMIF(OFFSET(tongctvtdd1,0,-(COLUMN(E368)+7-(COLUMN(E368)-5)/2)),KLVT!$A368,tongctvtdd1)+SUMIF(OFFSET(tongctvtpk1,0,-(COLUMN(E368)+7-(COLUMN(E368)-5)/2)),KLVT!$A368,tongctvtpk1)</f>
        <v>0</v>
      </c>
      <c r="F368" s="449">
        <f ca="1">SUMIF(OFFSET(cttba_vlvt1_1,0,-9,-ROW(cttba_vlvt1_1)+ROW(cttba_vltb1_1)-10),KLVT!$A368,OFFSET(cttba_vlvt1_1,0,-4,-ROW(cttba_vlvt1_1)+ROW(cttba_vltb1_1)-10))</f>
        <v>0</v>
      </c>
      <c r="G368" s="451">
        <f t="shared" ca="1" si="76"/>
        <v>0</v>
      </c>
      <c r="H368" s="450">
        <f t="shared" si="77"/>
        <v>1</v>
      </c>
      <c r="I368" s="447">
        <f t="shared" ca="1" si="78"/>
        <v>0</v>
      </c>
      <c r="J368" s="447">
        <f t="shared" ca="1" si="79"/>
        <v>0</v>
      </c>
      <c r="K368" s="373">
        <f t="shared" ca="1" si="75"/>
        <v>0</v>
      </c>
    </row>
    <row r="369" spans="1:11" s="45" customFormat="1" hidden="1">
      <c r="A369" s="373" t="str">
        <f>IF(AND(COUNTIF($A$5:$A$133,R_DG!A242)=0,R_DG!R242&gt;0,ISNUMBER(R_DG!R242)),R_DG!A242,"NONE")</f>
        <v>C3/8</v>
      </c>
      <c r="B369" s="85">
        <f ca="1">IF(K369&gt;0,COUNTIF(K$6:K369,"&gt;0"),B368)</f>
        <v>18</v>
      </c>
      <c r="C369" s="1084" t="str">
        <f t="shared" si="80"/>
        <v>Cáp thép 3/8"</v>
      </c>
      <c r="D369" s="85" t="str">
        <f t="shared" si="81"/>
        <v>kg</v>
      </c>
      <c r="E369" s="448">
        <f ca="1">SUMIF(OFFSET(tongctvtdd1,0,-(COLUMN(E369)+7-(COLUMN(E369)-5)/2)),KLVT!$A369,tongctvtdd1)+SUMIF(OFFSET(tongctvtpk1,0,-(COLUMN(E369)+7-(COLUMN(E369)-5)/2)),KLVT!$A369,tongctvtpk1)</f>
        <v>0</v>
      </c>
      <c r="F369" s="449">
        <f ca="1">SUMIF(OFFSET(cttba_vlvt1_1,0,-9,-ROW(cttba_vlvt1_1)+ROW(cttba_vltb1_1)-10),KLVT!$A369,OFFSET(cttba_vlvt1_1,0,-4,-ROW(cttba_vlvt1_1)+ROW(cttba_vltb1_1)-10))</f>
        <v>0</v>
      </c>
      <c r="G369" s="451">
        <f t="shared" ca="1" si="76"/>
        <v>0</v>
      </c>
      <c r="H369" s="450">
        <f t="shared" si="77"/>
        <v>1</v>
      </c>
      <c r="I369" s="447">
        <f t="shared" ca="1" si="78"/>
        <v>0</v>
      </c>
      <c r="J369" s="447">
        <f t="shared" ca="1" si="79"/>
        <v>0</v>
      </c>
      <c r="K369" s="1094">
        <f t="shared" ca="1" si="75"/>
        <v>0</v>
      </c>
    </row>
    <row r="370" spans="1:11" s="45" customFormat="1" hidden="1">
      <c r="A370" s="373" t="str">
        <f>IF(AND(COUNTIF($A$5:$A$133,R_DG!A243)=0,R_DG!R243&gt;0,ISNUMBER(R_DG!R243)),R_DG!A243,"NONE")</f>
        <v>C5/8</v>
      </c>
      <c r="B370" s="85">
        <f ca="1">IF(K370&gt;0,COUNTIF(K$6:K370,"&gt;0"),B369)</f>
        <v>18</v>
      </c>
      <c r="C370" s="1084" t="str">
        <f t="shared" si="80"/>
        <v>Cáp thép 5/8" (15m/bộ)</v>
      </c>
      <c r="D370" s="85" t="str">
        <f t="shared" si="81"/>
        <v>kg</v>
      </c>
      <c r="E370" s="448">
        <f ca="1">SUMIF(OFFSET(tongctvtdd1,0,-(COLUMN(E370)+7-(COLUMN(E370)-5)/2)),KLVT!$A370,tongctvtdd1)+SUMIF(OFFSET(tongctvtpk1,0,-(COLUMN(E370)+7-(COLUMN(E370)-5)/2)),KLVT!$A370,tongctvtpk1)</f>
        <v>0</v>
      </c>
      <c r="F370" s="449">
        <f ca="1">SUMIF(OFFSET(cttba_vlvt1_1,0,-9,-ROW(cttba_vlvt1_1)+ROW(cttba_vltb1_1)-10),KLVT!$A370,OFFSET(cttba_vlvt1_1,0,-4,-ROW(cttba_vlvt1_1)+ROW(cttba_vltb1_1)-10))</f>
        <v>0</v>
      </c>
      <c r="G370" s="451">
        <f t="shared" ca="1" si="76"/>
        <v>0</v>
      </c>
      <c r="H370" s="450">
        <f t="shared" si="77"/>
        <v>1</v>
      </c>
      <c r="I370" s="447">
        <f t="shared" ca="1" si="78"/>
        <v>0</v>
      </c>
      <c r="J370" s="447">
        <f t="shared" ca="1" si="79"/>
        <v>0</v>
      </c>
      <c r="K370" s="1094">
        <f t="shared" ca="1" si="75"/>
        <v>0</v>
      </c>
    </row>
    <row r="371" spans="1:11" s="45" customFormat="1" ht="15.75" hidden="1">
      <c r="A371" s="373" t="str">
        <f>IF(AND(COUNTIF($A$5:$A$133,R_DG!A244)=0,R_DG!R244&gt;0,ISNUMBER(R_DG!R244)),R_DG!A244,"NONE")</f>
        <v>CSDI</v>
      </c>
      <c r="B371" s="85">
        <f ca="1">IF(K371&gt;0,COUNTIF(K$6:K371,"&gt;0"),B370)</f>
        <v>18</v>
      </c>
      <c r="C371" s="1084" t="str">
        <f t="shared" si="80"/>
        <v>Chân sứ đỉnh thẳng dài 870x4mm</v>
      </c>
      <c r="D371" s="85" t="str">
        <f t="shared" si="81"/>
        <v>cái</v>
      </c>
      <c r="E371" s="448">
        <f ca="1">SUMIF(OFFSET(tongctvtdd1,0,-(COLUMN(E371)+7-(COLUMN(E371)-5)/2)),KLVT!$A371,tongctvtdd1)+SUMIF(OFFSET(tongctvtpk1,0,-(COLUMN(E371)+7-(COLUMN(E371)-5)/2)),KLVT!$A371,tongctvtpk1)</f>
        <v>0</v>
      </c>
      <c r="F371" s="449">
        <f ca="1">SUMIF(OFFSET(cttba_vlvt1_1,0,-9,-ROW(cttba_vlvt1_1)+ROW(cttba_vltb1_1)-10),KLVT!$A371,OFFSET(cttba_vlvt1_1,0,-4,-ROW(cttba_vlvt1_1)+ROW(cttba_vltb1_1)-10))</f>
        <v>0</v>
      </c>
      <c r="G371" s="451">
        <f t="shared" ca="1" si="76"/>
        <v>0</v>
      </c>
      <c r="H371" s="450">
        <f t="shared" si="77"/>
        <v>5</v>
      </c>
      <c r="I371" s="447">
        <f t="shared" ca="1" si="78"/>
        <v>0</v>
      </c>
      <c r="J371" s="447">
        <f t="shared" ca="1" si="79"/>
        <v>0</v>
      </c>
      <c r="K371" s="374">
        <f t="shared" ca="1" si="75"/>
        <v>0</v>
      </c>
    </row>
    <row r="372" spans="1:11" s="45" customFormat="1" ht="15.75" hidden="1">
      <c r="A372" s="373" t="str">
        <f>IF(AND(COUNTIF($A$5:$A$133,R_DG!A245)=0,R_DG!R245&gt;0,ISNUMBER(R_DG!R245)),R_DG!A245,"NONE")</f>
        <v>CSDG</v>
      </c>
      <c r="B372" s="85">
        <f ca="1">IF(K372&gt;0,COUNTIF(K$6:K372,"&gt;0"),B371)</f>
        <v>18</v>
      </c>
      <c r="C372" s="1084" t="str">
        <f t="shared" si="80"/>
        <v>Chân sứ đỉnh đỡ góc dài 870x4mm</v>
      </c>
      <c r="D372" s="85" t="str">
        <f t="shared" si="81"/>
        <v>cái</v>
      </c>
      <c r="E372" s="448">
        <f ca="1">SUMIF(OFFSET(tongctvtdd1,0,-(COLUMN(E372)+7-(COLUMN(E372)-5)/2)),KLVT!$A372,tongctvtdd1)+SUMIF(OFFSET(tongctvtpk1,0,-(COLUMN(E372)+7-(COLUMN(E372)-5)/2)),KLVT!$A372,tongctvtpk1)</f>
        <v>0</v>
      </c>
      <c r="F372" s="449">
        <f ca="1">SUMIF(OFFSET(cttba_vlvt1_1,0,-9,-ROW(cttba_vlvt1_1)+ROW(cttba_vltb1_1)-10),KLVT!$A372,OFFSET(cttba_vlvt1_1,0,-4,-ROW(cttba_vlvt1_1)+ROW(cttba_vltb1_1)-10))</f>
        <v>0</v>
      </c>
      <c r="G372" s="451">
        <f t="shared" ca="1" si="76"/>
        <v>0</v>
      </c>
      <c r="H372" s="450">
        <f t="shared" si="77"/>
        <v>5</v>
      </c>
      <c r="I372" s="447">
        <f t="shared" ca="1" si="78"/>
        <v>0</v>
      </c>
      <c r="J372" s="447">
        <f t="shared" ca="1" si="79"/>
        <v>0</v>
      </c>
      <c r="K372" s="374">
        <f t="shared" ca="1" si="75"/>
        <v>0</v>
      </c>
    </row>
    <row r="373" spans="1:11" s="45" customFormat="1" hidden="1">
      <c r="A373" s="373" t="str">
        <f>IF(AND(COUNTIF($A$5:$A$133,R_DG!A246)=0,R_DG!R246&gt;0,ISNUMBER(R_DG!R246)),R_DG!A246,"NONE")</f>
        <v>CSD</v>
      </c>
      <c r="B373" s="85">
        <f ca="1">IF(K373&gt;0,COUNTIF(K$6:K373,"&gt;0"),B372)</f>
        <v>18</v>
      </c>
      <c r="C373" s="1084" t="str">
        <f t="shared" si="80"/>
        <v>Chân sứ đứng D20</v>
      </c>
      <c r="D373" s="85" t="str">
        <f t="shared" si="81"/>
        <v>cái</v>
      </c>
      <c r="E373" s="448">
        <f ca="1">SUMIF(OFFSET(tongctvtdd1,0,-(COLUMN(E373)+7-(COLUMN(E373)-5)/2)),KLVT!$A373,tongctvtdd1)+SUMIF(OFFSET(tongctvtpk1,0,-(COLUMN(E373)+7-(COLUMN(E373)-5)/2)),KLVT!$A373,tongctvtpk1)</f>
        <v>0</v>
      </c>
      <c r="F373" s="449">
        <f ca="1">SUMIF(OFFSET(cttba_vlvt1_1,0,-9,-ROW(cttba_vlvt1_1)+ROW(cttba_vltb1_1)-10),KLVT!$A373,OFFSET(cttba_vlvt1_1,0,-4,-ROW(cttba_vlvt1_1)+ROW(cttba_vltb1_1)-10))</f>
        <v>0</v>
      </c>
      <c r="G373" s="451">
        <f t="shared" ca="1" si="76"/>
        <v>0</v>
      </c>
      <c r="H373" s="450">
        <f t="shared" si="77"/>
        <v>3</v>
      </c>
      <c r="I373" s="447">
        <f t="shared" ca="1" si="78"/>
        <v>0</v>
      </c>
      <c r="J373" s="447">
        <f t="shared" ca="1" si="79"/>
        <v>0</v>
      </c>
      <c r="K373" s="1094">
        <f t="shared" ca="1" si="75"/>
        <v>0</v>
      </c>
    </row>
    <row r="374" spans="1:11" s="45" customFormat="1" ht="15.75" hidden="1">
      <c r="A374" s="373" t="str">
        <f>IF(AND(COUNTIF($A$5:$A$133,R_DG!A247)=0,R_DG!R247&gt;0,ISNUMBER(R_DG!R247)),R_DG!A247,"NONE")</f>
        <v>DAYA</v>
      </c>
      <c r="B374" s="85">
        <f ca="1">IF(K374&gt;0,COUNTIF(K$6:K374,"&gt;0"),B373)</f>
        <v>18</v>
      </c>
      <c r="C374" s="1084" t="str">
        <f t="shared" si="80"/>
        <v xml:space="preserve">Dây nhôm buộc </v>
      </c>
      <c r="D374" s="85" t="str">
        <f t="shared" si="81"/>
        <v>kg</v>
      </c>
      <c r="E374" s="448">
        <f ca="1">SUMIF(OFFSET(tongctvtdd1,0,-(COLUMN(E374)+7-(COLUMN(E374)-5)/2)),KLVT!$A374,tongctvtdd1)+SUMIF(OFFSET(tongctvtpk1,0,-(COLUMN(E374)+7-(COLUMN(E374)-5)/2)),KLVT!$A374,tongctvtpk1)</f>
        <v>0</v>
      </c>
      <c r="F374" s="449">
        <f ca="1">SUMIF(OFFSET(cttba_vlvt1_1,0,-9,-ROW(cttba_vlvt1_1)+ROW(cttba_vltb1_1)-10),KLVT!$A374,OFFSET(cttba_vlvt1_1,0,-4,-ROW(cttba_vlvt1_1)+ROW(cttba_vltb1_1)-10))</f>
        <v>0</v>
      </c>
      <c r="G374" s="451">
        <f t="shared" ca="1" si="76"/>
        <v>0</v>
      </c>
      <c r="H374" s="450">
        <f t="shared" si="77"/>
        <v>1</v>
      </c>
      <c r="I374" s="447">
        <f t="shared" ca="1" si="78"/>
        <v>0</v>
      </c>
      <c r="J374" s="447">
        <f t="shared" ca="1" si="79"/>
        <v>0</v>
      </c>
      <c r="K374" s="373">
        <f t="shared" ca="1" si="75"/>
        <v>0</v>
      </c>
    </row>
    <row r="375" spans="1:11" ht="15.75">
      <c r="A375" s="1251" t="str">
        <f>IF(AND(COUNTIF($A$5:$A$133,R_DG!A248)=0,R_DG!R248&gt;0,ISNUMBER(R_DG!R248)),R_DG!A248,"NONE")</f>
        <v>DAYPOL150</v>
      </c>
      <c r="B375" s="438">
        <f ca="1">IF(K375&gt;0,COUNTIF(K$6:K375,"&gt;0"),B374)</f>
        <v>19</v>
      </c>
      <c r="C375" s="1278" t="str">
        <f t="shared" si="80"/>
        <v>Dây buộc cổ sứ phi kim cỡ 150mm2</v>
      </c>
      <c r="D375" s="438" t="str">
        <f t="shared" si="81"/>
        <v>cái</v>
      </c>
      <c r="E375" s="1276">
        <f ca="1">SUMIF(OFFSET(tongctvtdd1,0,-(COLUMN(E375)+7-(COLUMN(E375)-5)/2)),KLVT!$A375,tongctvtdd1)+SUMIF(OFFSET(tongctvtpk1,0,-(COLUMN(E375)+7-(COLUMN(E375)-5)/2)),KLVT!$A375,tongctvtpk1)</f>
        <v>12</v>
      </c>
      <c r="F375" s="1277">
        <f ca="1">SUMIF(OFFSET(cttba_vlvt1_1,0,-9,-ROW(cttba_vlvt1_1)+ROW(cttba_vltb1_1)-10),KLVT!$A375,OFFSET(cttba_vlvt1_1,0,-4,-ROW(cttba_vlvt1_1)+ROW(cttba_vltb1_1)-10))</f>
        <v>0</v>
      </c>
      <c r="G375" s="1277">
        <f t="shared" ca="1" si="76"/>
        <v>12</v>
      </c>
      <c r="H375" s="1274">
        <f t="shared" si="77"/>
        <v>1</v>
      </c>
      <c r="I375" s="1279">
        <f t="shared" ca="1" si="78"/>
        <v>12</v>
      </c>
      <c r="J375" s="1279">
        <f t="shared" ca="1" si="79"/>
        <v>0</v>
      </c>
      <c r="K375" s="437">
        <f t="shared" ca="1" si="75"/>
        <v>1</v>
      </c>
    </row>
    <row r="376" spans="1:11">
      <c r="A376" s="1251" t="str">
        <f>IF(AND(COUNTIF($A$5:$A$133,R_DG!A249)=0,R_DG!R249&gt;0,ISNUMBER(R_DG!R249)),R_DG!A249,"NONE")</f>
        <v>DAYPOL50</v>
      </c>
      <c r="B376" s="438">
        <f ca="1">IF(K376&gt;0,COUNTIF(K$6:K376,"&gt;0"),B375)</f>
        <v>20</v>
      </c>
      <c r="C376" s="1278" t="str">
        <f t="shared" si="80"/>
        <v>Dây buộc cổ sứ phi kim cỡ 50mm2 (đỡ thẳng)</v>
      </c>
      <c r="D376" s="438" t="str">
        <f t="shared" si="81"/>
        <v>cái</v>
      </c>
      <c r="E376" s="1276">
        <f ca="1">SUMIF(OFFSET(tongctvtdd1,0,-(COLUMN(E376)+7-(COLUMN(E376)-5)/2)),KLVT!$A376,tongctvtdd1)+SUMIF(OFFSET(tongctvtpk1,0,-(COLUMN(E376)+7-(COLUMN(E376)-5)/2)),KLVT!$A376,tongctvtpk1)</f>
        <v>6</v>
      </c>
      <c r="F376" s="1277">
        <f ca="1">SUMIF(OFFSET(cttba_vlvt1_1,0,-9,-ROW(cttba_vlvt1_1)+ROW(cttba_vltb1_1)-10),KLVT!$A376,OFFSET(cttba_vlvt1_1,0,-4,-ROW(cttba_vlvt1_1)+ROW(cttba_vltb1_1)-10))</f>
        <v>0</v>
      </c>
      <c r="G376" s="1277">
        <f t="shared" ca="1" si="76"/>
        <v>6</v>
      </c>
      <c r="H376" s="1274">
        <f t="shared" si="77"/>
        <v>1</v>
      </c>
      <c r="I376" s="1279">
        <f t="shared" ca="1" si="78"/>
        <v>6</v>
      </c>
      <c r="J376" s="1279">
        <f t="shared" ca="1" si="79"/>
        <v>0</v>
      </c>
      <c r="K376" s="1268">
        <f t="shared" ca="1" si="75"/>
        <v>1</v>
      </c>
    </row>
    <row r="377" spans="1:11" s="45" customFormat="1" ht="15.75" hidden="1">
      <c r="A377" s="373" t="str">
        <f>IF(AND(COUNTIF($A$5:$A$133,R_DG!A251)=0,R_DG!R251&gt;0,ISNUMBER(R_DG!R251)),R_DG!A251,"NONE")</f>
        <v>GDFCO</v>
      </c>
      <c r="B377" s="85">
        <f ca="1">IF(K377&gt;0,COUNTIF(K$6:K377,"&gt;0"),B376)</f>
        <v>20</v>
      </c>
      <c r="C377" s="1084" t="str">
        <f t="shared" si="80"/>
        <v>Giá chữ "T" lắp FCO, LA (V63x63x6)</v>
      </c>
      <c r="D377" s="85" t="str">
        <f t="shared" si="81"/>
        <v>bộ</v>
      </c>
      <c r="E377" s="448">
        <f ca="1">SUMIF(OFFSET(tongctvtdd1,0,-(COLUMN(E377)+7-(COLUMN(E377)-5)/2)),KLVT!$A377,tongctvtdd1)+SUMIF(OFFSET(tongctvtpk1,0,-(COLUMN(E377)+7-(COLUMN(E377)-5)/2)),KLVT!$A377,tongctvtpk1)</f>
        <v>0</v>
      </c>
      <c r="F377" s="449">
        <f ca="1">SUMIF(OFFSET(cttba_vlvt1_1,0,-9,-ROW(cttba_vlvt1_1)+ROW(cttba_vltb1_1)-10),KLVT!$A377,OFFSET(cttba_vlvt1_1,0,-4,-ROW(cttba_vlvt1_1)+ROW(cttba_vltb1_1)-10))</f>
        <v>0</v>
      </c>
      <c r="G377" s="451">
        <f t="shared" ca="1" si="76"/>
        <v>0</v>
      </c>
      <c r="H377" s="450">
        <f t="shared" si="77"/>
        <v>3</v>
      </c>
      <c r="I377" s="447">
        <f t="shared" ca="1" si="78"/>
        <v>0</v>
      </c>
      <c r="J377" s="447">
        <f t="shared" ca="1" si="79"/>
        <v>0</v>
      </c>
      <c r="K377" s="373">
        <f t="shared" ca="1" si="75"/>
        <v>0</v>
      </c>
    </row>
    <row r="378" spans="1:11" s="45" customFormat="1" ht="15.75" hidden="1">
      <c r="A378" s="373" t="str">
        <f>IF(AND(COUNTIF($A$5:$A$133,R_DG!A252)=0,R_DG!R252&gt;0,ISNUMBER(R_DG!R252)),R_DG!A252,"NONE")</f>
        <v>GUFCO</v>
      </c>
      <c r="B378" s="85">
        <f ca="1">IF(K378&gt;0,COUNTIF(K$6:K378,"&gt;0"),B377)</f>
        <v>20</v>
      </c>
      <c r="C378" s="1084" t="str">
        <f t="shared" si="80"/>
        <v>Giá U 80x600 lắp FCO</v>
      </c>
      <c r="D378" s="85" t="str">
        <f t="shared" si="81"/>
        <v>bộ</v>
      </c>
      <c r="E378" s="448">
        <f ca="1">SUMIF(OFFSET(tongctvtdd1,0,-(COLUMN(E378)+7-(COLUMN(E378)-5)/2)),KLVT!$A378,tongctvtdd1)+SUMIF(OFFSET(tongctvtpk1,0,-(COLUMN(E378)+7-(COLUMN(E378)-5)/2)),KLVT!$A378,tongctvtpk1)</f>
        <v>0</v>
      </c>
      <c r="F378" s="449">
        <f ca="1">SUMIF(OFFSET(cttba_vlvt1_1,0,-9,-ROW(cttba_vlvt1_1)+ROW(cttba_vltb1_1)-10),KLVT!$A378,OFFSET(cttba_vlvt1_1,0,-4,-ROW(cttba_vlvt1_1)+ROW(cttba_vltb1_1)-10))</f>
        <v>0</v>
      </c>
      <c r="G378" s="451">
        <f t="shared" ca="1" si="76"/>
        <v>0</v>
      </c>
      <c r="H378" s="450">
        <f t="shared" si="77"/>
        <v>3</v>
      </c>
      <c r="I378" s="447">
        <f t="shared" ca="1" si="78"/>
        <v>0</v>
      </c>
      <c r="J378" s="447">
        <f t="shared" ca="1" si="79"/>
        <v>0</v>
      </c>
      <c r="K378" s="374">
        <f t="shared" ca="1" si="75"/>
        <v>0</v>
      </c>
    </row>
    <row r="379" spans="1:11" s="45" customFormat="1" ht="15.75" hidden="1">
      <c r="A379" s="373" t="str">
        <f>IF(AND(COUNTIF($A$5:$A$133,R_DG!A253)=0,R_DG!R253&gt;0,ISNUMBER(R_DG!R253)),R_DG!A253,"NONE")</f>
        <v>GIATFCO</v>
      </c>
      <c r="B379" s="85">
        <f ca="1">IF(K379&gt;0,COUNTIF(K$6:K379,"&gt;0"),B378)</f>
        <v>20</v>
      </c>
      <c r="C379" s="1084" t="str">
        <f t="shared" si="80"/>
        <v>Giá chữ "T" lắp FCO, LA (V50x50x5)</v>
      </c>
      <c r="D379" s="85" t="str">
        <f t="shared" si="81"/>
        <v>cái</v>
      </c>
      <c r="E379" s="448">
        <f ca="1">SUMIF(OFFSET(tongctvtdd1,0,-(COLUMN(E379)+7-(COLUMN(E379)-5)/2)),KLVT!$A379,tongctvtdd1)+SUMIF(OFFSET(tongctvtpk1,0,-(COLUMN(E379)+7-(COLUMN(E379)-5)/2)),KLVT!$A379,tongctvtpk1)</f>
        <v>0</v>
      </c>
      <c r="F379" s="449">
        <f ca="1">SUMIF(OFFSET(cttba_vlvt1_1,0,-9,-ROW(cttba_vlvt1_1)+ROW(cttba_vltb1_1)-10),KLVT!$A379,OFFSET(cttba_vlvt1_1,0,-4,-ROW(cttba_vlvt1_1)+ROW(cttba_vltb1_1)-10))</f>
        <v>0</v>
      </c>
      <c r="G379" s="451">
        <f t="shared" ca="1" si="76"/>
        <v>0</v>
      </c>
      <c r="H379" s="450">
        <f t="shared" si="77"/>
        <v>3</v>
      </c>
      <c r="I379" s="447">
        <f t="shared" ca="1" si="78"/>
        <v>0</v>
      </c>
      <c r="J379" s="447">
        <f t="shared" ca="1" si="79"/>
        <v>0</v>
      </c>
      <c r="K379" s="373">
        <f t="shared" ca="1" si="75"/>
        <v>0</v>
      </c>
    </row>
    <row r="380" spans="1:11" s="45" customFormat="1" ht="15.75" hidden="1">
      <c r="A380" s="373" t="str">
        <f>IF(AND(COUNTIF($A$5:$A$133,R_DG!A254)=0,R_DG!R254&gt;0,ISNUMBER(R_DG!R254)),R_DG!A254,"NONE")</f>
        <v>NONE</v>
      </c>
      <c r="B380" s="85">
        <f ca="1">IF(K380&gt;0,COUNTIF(K$6:K380,"&gt;0"),B379)</f>
        <v>20</v>
      </c>
      <c r="C380" s="1084">
        <f t="shared" si="80"/>
        <v>0</v>
      </c>
      <c r="D380" s="85">
        <f t="shared" si="81"/>
        <v>0</v>
      </c>
      <c r="E380" s="448">
        <f ca="1">SUMIF(OFFSET(tongctvtdd1,0,-(COLUMN(E380)+7-(COLUMN(E380)-5)/2)),KLVT!$A380,tongctvtdd1)+SUMIF(OFFSET(tongctvtpk1,0,-(COLUMN(E380)+7-(COLUMN(E380)-5)/2)),KLVT!$A380,tongctvtpk1)</f>
        <v>0</v>
      </c>
      <c r="F380" s="449">
        <f ca="1">SUMIF(OFFSET(cttba_vlvt1_1,0,-9,-ROW(cttba_vlvt1_1)+ROW(cttba_vltb1_1)-10),KLVT!$A380,OFFSET(cttba_vlvt1_1,0,-4,-ROW(cttba_vlvt1_1)+ROW(cttba_vltb1_1)-10))</f>
        <v>0</v>
      </c>
      <c r="G380" s="451">
        <f t="shared" ca="1" si="76"/>
        <v>0</v>
      </c>
      <c r="H380" s="450">
        <f t="shared" si="77"/>
        <v>1</v>
      </c>
      <c r="I380" s="447">
        <f t="shared" ca="1" si="78"/>
        <v>0</v>
      </c>
      <c r="J380" s="447">
        <f t="shared" ca="1" si="79"/>
        <v>0</v>
      </c>
      <c r="K380" s="373">
        <f t="shared" ca="1" si="75"/>
        <v>0</v>
      </c>
    </row>
    <row r="381" spans="1:11" s="45" customFormat="1" ht="15.75" hidden="1">
      <c r="A381" s="373" t="str">
        <f>IF(AND(COUNTIF($A$5:$A$133,R_DG!A255)=0,R_DG!R255&gt;0,ISNUMBER(R_DG!R255)),R_DG!A255,"NONE")</f>
        <v>GIANOI2500</v>
      </c>
      <c r="B381" s="85">
        <f ca="1">IF(K381&gt;0,COUNTIF(K$6:K381,"&gt;0"),B380)</f>
        <v>20</v>
      </c>
      <c r="C381" s="1084" t="str">
        <f t="shared" si="80"/>
        <v>Giá nới + Thanh cái tủ CB</v>
      </c>
      <c r="D381" s="85" t="str">
        <f t="shared" si="81"/>
        <v>bộ</v>
      </c>
      <c r="E381" s="448">
        <f ca="1">SUMIF(OFFSET(tongctvtdd1,0,-(COLUMN(E381)+7-(COLUMN(E381)-5)/2)),KLVT!$A381,tongctvtdd1)+SUMIF(OFFSET(tongctvtpk1,0,-(COLUMN(E381)+7-(COLUMN(E381)-5)/2)),KLVT!$A381,tongctvtpk1)</f>
        <v>0</v>
      </c>
      <c r="F381" s="449">
        <f ca="1">SUMIF(OFFSET(cttba_vlvt1_1,0,-9,-ROW(cttba_vlvt1_1)+ROW(cttba_vltb1_1)-10),KLVT!$A381,OFFSET(cttba_vlvt1_1,0,-4,-ROW(cttba_vlvt1_1)+ROW(cttba_vltb1_1)-10))</f>
        <v>0</v>
      </c>
      <c r="G381" s="451">
        <f t="shared" ca="1" si="76"/>
        <v>0</v>
      </c>
      <c r="H381" s="450">
        <f t="shared" si="77"/>
        <v>1</v>
      </c>
      <c r="I381" s="447">
        <f t="shared" ca="1" si="78"/>
        <v>0</v>
      </c>
      <c r="J381" s="447">
        <f t="shared" ca="1" si="79"/>
        <v>0</v>
      </c>
      <c r="K381" s="373">
        <f t="shared" ca="1" si="75"/>
        <v>0</v>
      </c>
    </row>
    <row r="382" spans="1:11" s="45" customFormat="1" ht="15.75" hidden="1">
      <c r="A382" s="373" t="str">
        <f>IF(AND(COUNTIF($A$5:$A$133,R_DG!A256)=0,R_DG!R256&gt;0,ISNUMBER(R_DG!R256)),R_DG!A256,"NONE")</f>
        <v>GIANOICB</v>
      </c>
      <c r="B382" s="85">
        <f ca="1">IF(K382&gt;0,COUNTIF(K$6:K382,"&gt;0"),B381)</f>
        <v>20</v>
      </c>
      <c r="C382" s="1084" t="str">
        <f t="shared" si="80"/>
        <v>Giá nới + Thanh cái tủ CB</v>
      </c>
      <c r="D382" s="85" t="str">
        <f t="shared" si="81"/>
        <v>bộ</v>
      </c>
      <c r="E382" s="448">
        <f ca="1">SUMIF(OFFSET(tongctvtdd1,0,-(COLUMN(E382)+7-(COLUMN(E382)-5)/2)),KLVT!$A382,tongctvtdd1)+SUMIF(OFFSET(tongctvtpk1,0,-(COLUMN(E382)+7-(COLUMN(E382)-5)/2)),KLVT!$A382,tongctvtpk1)</f>
        <v>0</v>
      </c>
      <c r="F382" s="449">
        <f ca="1">SUMIF(OFFSET(cttba_vlvt1_1,0,-9,-ROW(cttba_vlvt1_1)+ROW(cttba_vltb1_1)-10),KLVT!$A382,OFFSET(cttba_vlvt1_1,0,-4,-ROW(cttba_vlvt1_1)+ROW(cttba_vltb1_1)-10))</f>
        <v>0</v>
      </c>
      <c r="G382" s="451">
        <f t="shared" ca="1" si="76"/>
        <v>0</v>
      </c>
      <c r="H382" s="450">
        <f t="shared" si="77"/>
        <v>1</v>
      </c>
      <c r="I382" s="447">
        <f t="shared" ca="1" si="78"/>
        <v>0</v>
      </c>
      <c r="J382" s="447">
        <f t="shared" ca="1" si="79"/>
        <v>0</v>
      </c>
      <c r="K382" s="373">
        <f t="shared" ca="1" si="75"/>
        <v>0</v>
      </c>
    </row>
    <row r="383" spans="1:11" s="45" customFormat="1" ht="15.75" hidden="1">
      <c r="A383" s="373" t="str">
        <f>IF(AND(COUNTIF($A$5:$A$133,R_DG!A257)=0,R_DG!R257&gt;0,ISNUMBER(R_DG!R257)),R_DG!A257,"NONE")</f>
        <v>GCST</v>
      </c>
      <c r="B383" s="85">
        <f ca="1">IF(K383&gt;0,COUNTIF(K$6:K383,"&gt;0"),B382)</f>
        <v>20</v>
      </c>
      <c r="C383" s="1084" t="str">
        <f t="shared" si="80"/>
        <v>Gia công sắt thép</v>
      </c>
      <c r="D383" s="85" t="str">
        <f t="shared" si="81"/>
        <v>kg</v>
      </c>
      <c r="E383" s="448">
        <f ca="1">SUMIF(OFFSET(tongctvtdd1,0,-(COLUMN(E383)+7-(COLUMN(E383)-5)/2)),KLVT!$A383,tongctvtdd1)+SUMIF(OFFSET(tongctvtpk1,0,-(COLUMN(E383)+7-(COLUMN(E383)-5)/2)),KLVT!$A383,tongctvtpk1)</f>
        <v>0</v>
      </c>
      <c r="F383" s="449">
        <f ca="1">SUMIF(OFFSET(cttba_vlvt1_1,0,-9,-ROW(cttba_vlvt1_1)+ROW(cttba_vltb1_1)-10),KLVT!$A383,OFFSET(cttba_vlvt1_1,0,-4,-ROW(cttba_vlvt1_1)+ROW(cttba_vltb1_1)-10))</f>
        <v>0</v>
      </c>
      <c r="G383" s="451">
        <f t="shared" ca="1" si="76"/>
        <v>0</v>
      </c>
      <c r="H383" s="450">
        <f t="shared" si="77"/>
        <v>1</v>
      </c>
      <c r="I383" s="447">
        <f t="shared" ca="1" si="78"/>
        <v>0</v>
      </c>
      <c r="J383" s="447">
        <f t="shared" ca="1" si="79"/>
        <v>0</v>
      </c>
      <c r="K383" s="374">
        <f t="shared" ref="K383:K446" ca="1" si="82">IF(G383&gt;0,1,0)</f>
        <v>0</v>
      </c>
    </row>
    <row r="384" spans="1:11" s="45" customFormat="1" ht="15.75" hidden="1">
      <c r="A384" s="373" t="str">
        <f>IF(AND(COUNTIF($A$5:$A$133,R_DG!A258)=0,R_DG!R258&gt;0,ISNUMBER(R_DG!R258)),R_DG!A258,"NONE")</f>
        <v>NONE</v>
      </c>
      <c r="B384" s="85">
        <f ca="1">IF(K384&gt;0,COUNTIF(K$6:K384,"&gt;0"),B383)</f>
        <v>20</v>
      </c>
      <c r="C384" s="1084">
        <f t="shared" si="80"/>
        <v>0</v>
      </c>
      <c r="D384" s="85">
        <f t="shared" si="81"/>
        <v>0</v>
      </c>
      <c r="E384" s="448">
        <f ca="1">SUMIF(OFFSET(tongctvtdd1,0,-(COLUMN(E384)+7-(COLUMN(E384)-5)/2)),KLVT!$A384,tongctvtdd1)+SUMIF(OFFSET(tongctvtpk1,0,-(COLUMN(E384)+7-(COLUMN(E384)-5)/2)),KLVT!$A384,tongctvtpk1)</f>
        <v>0</v>
      </c>
      <c r="F384" s="449">
        <f ca="1">SUMIF(OFFSET(cttba_vlvt1_1,0,-9,-ROW(cttba_vlvt1_1)+ROW(cttba_vltb1_1)-10),KLVT!$A384,OFFSET(cttba_vlvt1_1,0,-4,-ROW(cttba_vlvt1_1)+ROW(cttba_vltb1_1)-10))</f>
        <v>0</v>
      </c>
      <c r="G384" s="451">
        <f t="shared" ca="1" si="76"/>
        <v>0</v>
      </c>
      <c r="H384" s="450">
        <f t="shared" si="77"/>
        <v>1</v>
      </c>
      <c r="I384" s="447">
        <f t="shared" ca="1" si="78"/>
        <v>0</v>
      </c>
      <c r="J384" s="447">
        <f t="shared" ca="1" si="79"/>
        <v>0</v>
      </c>
      <c r="K384" s="373">
        <f t="shared" ca="1" si="82"/>
        <v>0</v>
      </c>
    </row>
    <row r="385" spans="1:11" s="45" customFormat="1" hidden="1">
      <c r="A385" s="373" t="str">
        <f>IF(AND(COUNTIF($A$5:$A$133,R_DG!A259)=0,R_DG!R259&gt;0,ISNUMBER(R_DG!R259)),R_DG!A259,"NONE")</f>
        <v>K3B</v>
      </c>
      <c r="B385" s="85">
        <f ca="1">IF(K385&gt;0,COUNTIF(K$6:K385,"&gt;0"),B384)</f>
        <v>20</v>
      </c>
      <c r="C385" s="1084" t="str">
        <f t="shared" si="80"/>
        <v>Kẹp cáp chằng 3 boulon (B46x130)</v>
      </c>
      <c r="D385" s="85" t="str">
        <f t="shared" si="81"/>
        <v>cái</v>
      </c>
      <c r="E385" s="448">
        <f ca="1">SUMIF(OFFSET(tongctvtdd1,0,-(COLUMN(E385)+7-(COLUMN(E385)-5)/2)),KLVT!$A385,tongctvtdd1)+SUMIF(OFFSET(tongctvtpk1,0,-(COLUMN(E385)+7-(COLUMN(E385)-5)/2)),KLVT!$A385,tongctvtpk1)</f>
        <v>0</v>
      </c>
      <c r="F385" s="449">
        <f ca="1">SUMIF(OFFSET(cttba_vlvt1_1,0,-9,-ROW(cttba_vlvt1_1)+ROW(cttba_vltb1_1)-10),KLVT!$A385,OFFSET(cttba_vlvt1_1,0,-4,-ROW(cttba_vlvt1_1)+ROW(cttba_vltb1_1)-10))</f>
        <v>0</v>
      </c>
      <c r="G385" s="451">
        <f t="shared" ca="1" si="76"/>
        <v>0</v>
      </c>
      <c r="H385" s="450">
        <f t="shared" si="77"/>
        <v>0.2</v>
      </c>
      <c r="I385" s="447">
        <f t="shared" ca="1" si="78"/>
        <v>0</v>
      </c>
      <c r="J385" s="447">
        <f t="shared" ca="1" si="79"/>
        <v>0</v>
      </c>
      <c r="K385" s="1094">
        <f t="shared" ca="1" si="82"/>
        <v>0</v>
      </c>
    </row>
    <row r="386" spans="1:11" s="45" customFormat="1" ht="15.75" hidden="1">
      <c r="A386" s="373" t="str">
        <f>IF(AND(COUNTIF($A$5:$A$133,R_DG!A260)=0,R_DG!R260&gt;0,ISNUMBER(R_DG!R260)),R_DG!A260,"NONE")</f>
        <v>CTD</v>
      </c>
      <c r="B386" s="85">
        <f ca="1">IF(K386&gt;0,COUNTIF(K$6:K386,"&gt;0"),B385)</f>
        <v>20</v>
      </c>
      <c r="C386" s="1084" t="str">
        <f t="shared" si="80"/>
        <v>Cọc tiếp đất φ16 - 2,4m</v>
      </c>
      <c r="D386" s="85" t="str">
        <f t="shared" si="81"/>
        <v>cọc</v>
      </c>
      <c r="E386" s="448">
        <f ca="1">SUMIF(OFFSET(tongctvtdd1,0,-(COLUMN(E386)+7-(COLUMN(E386)-5)/2)),KLVT!$A386,tongctvtdd1)+SUMIF(OFFSET(tongctvtpk1,0,-(COLUMN(E386)+7-(COLUMN(E386)-5)/2)),KLVT!$A386,tongctvtpk1)</f>
        <v>0</v>
      </c>
      <c r="F386" s="449">
        <f ca="1">SUMIF(OFFSET(cttba_vlvt1_1,0,-9,-ROW(cttba_vlvt1_1)+ROW(cttba_vltb1_1)-10),KLVT!$A386,OFFSET(cttba_vlvt1_1,0,-4,-ROW(cttba_vlvt1_1)+ROW(cttba_vltb1_1)-10))</f>
        <v>0</v>
      </c>
      <c r="G386" s="451">
        <f t="shared" ca="1" si="76"/>
        <v>0</v>
      </c>
      <c r="H386" s="450">
        <f t="shared" si="77"/>
        <v>3.8</v>
      </c>
      <c r="I386" s="447">
        <f t="shared" ca="1" si="78"/>
        <v>0</v>
      </c>
      <c r="J386" s="447">
        <f t="shared" ca="1" si="79"/>
        <v>0</v>
      </c>
      <c r="K386" s="373">
        <f t="shared" ca="1" si="82"/>
        <v>0</v>
      </c>
    </row>
    <row r="387" spans="1:11">
      <c r="A387" s="1251" t="str">
        <f>IF(AND(COUNTIF($A$5:$A$133,R_DG!A261)=0,R_DG!R261&gt;0,ISNUMBER(R_DG!R261)),R_DG!A261,"NONE")</f>
        <v>CTD+K</v>
      </c>
      <c r="B387" s="438">
        <f ca="1">IF(K387&gt;0,COUNTIF(K$6:K387,"&gt;0"),B386)</f>
        <v>21</v>
      </c>
      <c r="C387" s="1278" t="str">
        <f t="shared" si="80"/>
        <v>Cọc tiếp đất φ 16- 2,4m + kẹp cọc</v>
      </c>
      <c r="D387" s="438" t="str">
        <f t="shared" si="81"/>
        <v>bộ</v>
      </c>
      <c r="E387" s="1276">
        <f ca="1">SUMIF(OFFSET(tongctvtdd1,0,-(COLUMN(E387)+7-(COLUMN(E387)-5)/2)),KLVT!$A387,tongctvtdd1)+SUMIF(OFFSET(tongctvtpk1,0,-(COLUMN(E387)+7-(COLUMN(E387)-5)/2)),KLVT!$A387,tongctvtpk1)</f>
        <v>19</v>
      </c>
      <c r="F387" s="1277">
        <f ca="1">SUMIF(OFFSET(cttba_vlvt1_1,0,-9,-ROW(cttba_vlvt1_1)+ROW(cttba_vltb1_1)-10),KLVT!$A387,OFFSET(cttba_vlvt1_1,0,-4,-ROW(cttba_vlvt1_1)+ROW(cttba_vltb1_1)-10))</f>
        <v>0</v>
      </c>
      <c r="G387" s="1277">
        <f t="shared" ca="1" si="76"/>
        <v>19</v>
      </c>
      <c r="H387" s="1274">
        <f t="shared" si="77"/>
        <v>3.8</v>
      </c>
      <c r="I387" s="1279">
        <f t="shared" ca="1" si="78"/>
        <v>72.2</v>
      </c>
      <c r="J387" s="1279">
        <f t="shared" ca="1" si="79"/>
        <v>0</v>
      </c>
      <c r="K387" s="1268">
        <f t="shared" ca="1" si="82"/>
        <v>1</v>
      </c>
    </row>
    <row r="388" spans="1:11" s="45" customFormat="1" ht="15.75" hidden="1">
      <c r="A388" s="373" t="str">
        <f>IF(AND(COUNTIF($A$5:$A$133,R_DG!A262)=0,R_DG!R262&gt;0,ISNUMBER(R_DG!R262)),R_DG!A262,"NONE")</f>
        <v>K-CU</v>
      </c>
      <c r="B388" s="85">
        <f ca="1">IF(K388&gt;0,COUNTIF(K$6:K388,"&gt;0"),B387)</f>
        <v>21</v>
      </c>
      <c r="C388" s="1084" t="str">
        <f t="shared" si="80"/>
        <v>Kẹp cọc tiếp đất Cu</v>
      </c>
      <c r="D388" s="85" t="str">
        <f t="shared" si="81"/>
        <v>cái</v>
      </c>
      <c r="E388" s="448">
        <f ca="1">SUMIF(OFFSET(tongctvtdd1,0,-(COLUMN(E388)+7-(COLUMN(E388)-5)/2)),KLVT!$A388,tongctvtdd1)+SUMIF(OFFSET(tongctvtpk1,0,-(COLUMN(E388)+7-(COLUMN(E388)-5)/2)),KLVT!$A388,tongctvtpk1)</f>
        <v>0</v>
      </c>
      <c r="F388" s="449">
        <f ca="1">SUMIF(OFFSET(cttba_vlvt1_1,0,-9,-ROW(cttba_vlvt1_1)+ROW(cttba_vltb1_1)-10),KLVT!$A388,OFFSET(cttba_vlvt1_1,0,-4,-ROW(cttba_vlvt1_1)+ROW(cttba_vltb1_1)-10))</f>
        <v>0</v>
      </c>
      <c r="G388" s="451">
        <f t="shared" ca="1" si="76"/>
        <v>0</v>
      </c>
      <c r="H388" s="450">
        <f t="shared" si="77"/>
        <v>0.1</v>
      </c>
      <c r="I388" s="447">
        <f t="shared" ca="1" si="78"/>
        <v>0</v>
      </c>
      <c r="J388" s="447">
        <f t="shared" ca="1" si="79"/>
        <v>0</v>
      </c>
      <c r="K388" s="373">
        <f t="shared" ca="1" si="82"/>
        <v>0</v>
      </c>
    </row>
    <row r="389" spans="1:11" s="45" customFormat="1" ht="15.75" hidden="1">
      <c r="A389" s="373" t="str">
        <f>IF(AND(COUNTIF($A$5:$A$133,R_DG!A263)=0,R_DG!R263&gt;0,ISNUMBER(R_DG!R263)),R_DG!A263,"NONE")</f>
        <v>K-FE</v>
      </c>
      <c r="B389" s="85">
        <f ca="1">IF(K389&gt;0,COUNTIF(K$6:K389,"&gt;0"),B388)</f>
        <v>21</v>
      </c>
      <c r="C389" s="1084" t="str">
        <f t="shared" si="80"/>
        <v>Kẹp cọc tiếp đất Fe</v>
      </c>
      <c r="D389" s="85" t="str">
        <f t="shared" si="81"/>
        <v>cái</v>
      </c>
      <c r="E389" s="448">
        <f ca="1">SUMIF(OFFSET(tongctvtdd1,0,-(COLUMN(E389)+7-(COLUMN(E389)-5)/2)),KLVT!$A389,tongctvtdd1)+SUMIF(OFFSET(tongctvtpk1,0,-(COLUMN(E389)+7-(COLUMN(E389)-5)/2)),KLVT!$A389,tongctvtpk1)</f>
        <v>0</v>
      </c>
      <c r="F389" s="449">
        <f ca="1">SUMIF(OFFSET(cttba_vlvt1_1,0,-9,-ROW(cttba_vlvt1_1)+ROW(cttba_vltb1_1)-10),KLVT!$A389,OFFSET(cttba_vlvt1_1,0,-4,-ROW(cttba_vlvt1_1)+ROW(cttba_vltb1_1)-10))</f>
        <v>0</v>
      </c>
      <c r="G389" s="451">
        <f t="shared" ca="1" si="76"/>
        <v>0</v>
      </c>
      <c r="H389" s="450">
        <f t="shared" si="77"/>
        <v>0.1</v>
      </c>
      <c r="I389" s="447">
        <f t="shared" ca="1" si="78"/>
        <v>0</v>
      </c>
      <c r="J389" s="447">
        <f t="shared" ca="1" si="79"/>
        <v>0</v>
      </c>
      <c r="K389" s="373">
        <f t="shared" ca="1" si="82"/>
        <v>0</v>
      </c>
    </row>
    <row r="390" spans="1:11" s="45" customFormat="1" ht="15.75" hidden="1">
      <c r="A390" s="373" t="str">
        <f>IF(AND(COUNTIF($A$5:$A$133,R_DG!A264)=0,R_DG!R264&gt;0,ISNUMBER(R_DG!R264)),R_DG!A264,"NONE")</f>
        <v>K35</v>
      </c>
      <c r="B390" s="85">
        <f ca="1">IF(K390&gt;0,COUNTIF(K$6:K390,"&gt;0"),B389)</f>
        <v>21</v>
      </c>
      <c r="C390" s="1084" t="str">
        <f t="shared" si="80"/>
        <v>Kẹp 2 rãnh (APC) cỡ dây 35mm2</v>
      </c>
      <c r="D390" s="85" t="str">
        <f t="shared" si="81"/>
        <v>cái</v>
      </c>
      <c r="E390" s="448">
        <f ca="1">SUMIF(OFFSET(tongctvtdd1,0,-(COLUMN(E390)+7-(COLUMN(E390)-5)/2)),KLVT!$A390,tongctvtdd1)+SUMIF(OFFSET(tongctvtpk1,0,-(COLUMN(E390)+7-(COLUMN(E390)-5)/2)),KLVT!$A390,tongctvtpk1)</f>
        <v>0</v>
      </c>
      <c r="F390" s="449">
        <f ca="1">SUMIF(OFFSET(cttba_vlvt1_1,0,-9,-ROW(cttba_vlvt1_1)+ROW(cttba_vltb1_1)-10),KLVT!$A390,OFFSET(cttba_vlvt1_1,0,-4,-ROW(cttba_vlvt1_1)+ROW(cttba_vltb1_1)-10))</f>
        <v>0</v>
      </c>
      <c r="G390" s="451">
        <f t="shared" ref="G390:G453" ca="1" si="83">SUM(E390:F390)</f>
        <v>0</v>
      </c>
      <c r="H390" s="450">
        <f t="shared" ref="H390:H453" si="84">VLOOKUP(A390,DONGIA,18,0)</f>
        <v>0.2</v>
      </c>
      <c r="I390" s="447">
        <f t="shared" ref="I390:I453" ca="1" si="85">E390*$H390</f>
        <v>0</v>
      </c>
      <c r="J390" s="447">
        <f t="shared" ref="J390:J453" ca="1" si="86">F390*$H390</f>
        <v>0</v>
      </c>
      <c r="K390" s="373">
        <f t="shared" ca="1" si="82"/>
        <v>0</v>
      </c>
    </row>
    <row r="391" spans="1:11" s="45" customFormat="1" ht="15.75" hidden="1">
      <c r="A391" s="373" t="str">
        <f>IF(AND(COUNTIF($A$5:$A$133,R_DG!A265)=0,R_DG!R265&gt;0,ISNUMBER(R_DG!R265)),R_DG!A265,"NONE")</f>
        <v>K50</v>
      </c>
      <c r="B391" s="85">
        <f ca="1">IF(K391&gt;0,COUNTIF(K$6:K391,"&gt;0"),B390)</f>
        <v>21</v>
      </c>
      <c r="C391" s="1084" t="str">
        <f t="shared" si="80"/>
        <v>Kẹp 2 rãnh (APC) cỡ dây 50mm2</v>
      </c>
      <c r="D391" s="85" t="str">
        <f t="shared" si="81"/>
        <v>cái</v>
      </c>
      <c r="E391" s="448">
        <f ca="1">SUMIF(OFFSET(tongctvtdd1,0,-(COLUMN(E391)+7-(COLUMN(E391)-5)/2)),KLVT!$A391,tongctvtdd1)+SUMIF(OFFSET(tongctvtpk1,0,-(COLUMN(E391)+7-(COLUMN(E391)-5)/2)),KLVT!$A391,tongctvtpk1)</f>
        <v>0</v>
      </c>
      <c r="F391" s="449">
        <f ca="1">SUMIF(OFFSET(cttba_vlvt1_1,0,-9,-ROW(cttba_vlvt1_1)+ROW(cttba_vltb1_1)-10),KLVT!$A391,OFFSET(cttba_vlvt1_1,0,-4,-ROW(cttba_vlvt1_1)+ROW(cttba_vltb1_1)-10))</f>
        <v>0</v>
      </c>
      <c r="G391" s="451">
        <f t="shared" ca="1" si="83"/>
        <v>0</v>
      </c>
      <c r="H391" s="450">
        <f t="shared" si="84"/>
        <v>0.2</v>
      </c>
      <c r="I391" s="447">
        <f t="shared" ca="1" si="85"/>
        <v>0</v>
      </c>
      <c r="J391" s="447">
        <f t="shared" ca="1" si="86"/>
        <v>0</v>
      </c>
      <c r="K391" s="373">
        <f t="shared" ca="1" si="82"/>
        <v>0</v>
      </c>
    </row>
    <row r="392" spans="1:11" s="45" customFormat="1" ht="15.75" hidden="1">
      <c r="A392" s="373" t="str">
        <f>IF(AND(COUNTIF($A$5:$A$133,R_DG!A266)=0,R_DG!R266&gt;0,ISNUMBER(R_DG!R266)),R_DG!A266,"NONE")</f>
        <v>K70</v>
      </c>
      <c r="B392" s="85">
        <f ca="1">IF(K392&gt;0,COUNTIF(K$6:K392,"&gt;0"),B391)</f>
        <v>21</v>
      </c>
      <c r="C392" s="1084" t="str">
        <f t="shared" si="80"/>
        <v>Kẹp 2 rãnh (APC) cỡ dây 70mm2</v>
      </c>
      <c r="D392" s="85" t="str">
        <f t="shared" si="81"/>
        <v>cái</v>
      </c>
      <c r="E392" s="448">
        <f ca="1">SUMIF(OFFSET(tongctvtdd1,0,-(COLUMN(E392)+7-(COLUMN(E392)-5)/2)),KLVT!$A392,tongctvtdd1)+SUMIF(OFFSET(tongctvtpk1,0,-(COLUMN(E392)+7-(COLUMN(E392)-5)/2)),KLVT!$A392,tongctvtpk1)</f>
        <v>0</v>
      </c>
      <c r="F392" s="449">
        <f ca="1">SUMIF(OFFSET(cttba_vlvt1_1,0,-9,-ROW(cttba_vlvt1_1)+ROW(cttba_vltb1_1)-10),KLVT!$A392,OFFSET(cttba_vlvt1_1,0,-4,-ROW(cttba_vlvt1_1)+ROW(cttba_vltb1_1)-10))</f>
        <v>0</v>
      </c>
      <c r="G392" s="451">
        <f t="shared" ca="1" si="83"/>
        <v>0</v>
      </c>
      <c r="H392" s="450">
        <f t="shared" si="84"/>
        <v>0.2</v>
      </c>
      <c r="I392" s="447">
        <f t="shared" ca="1" si="85"/>
        <v>0</v>
      </c>
      <c r="J392" s="447">
        <f t="shared" ca="1" si="86"/>
        <v>0</v>
      </c>
      <c r="K392" s="373">
        <f t="shared" ca="1" si="82"/>
        <v>0</v>
      </c>
    </row>
    <row r="393" spans="1:11" s="45" customFormat="1" ht="15.75" hidden="1">
      <c r="A393" s="373" t="str">
        <f>IF(AND(COUNTIF($A$5:$A$133,R_DG!A267)=0,R_DG!R267&gt;0,ISNUMBER(R_DG!R267)),R_DG!A267,"NONE")</f>
        <v>K95</v>
      </c>
      <c r="B393" s="85">
        <f ca="1">IF(K393&gt;0,COUNTIF(K$6:K393,"&gt;0"),B392)</f>
        <v>21</v>
      </c>
      <c r="C393" s="1084" t="str">
        <f t="shared" si="80"/>
        <v>Kẹp 2 rãnh (APC) cỡ dây 95mm2</v>
      </c>
      <c r="D393" s="85" t="str">
        <f t="shared" si="81"/>
        <v>cái</v>
      </c>
      <c r="E393" s="448">
        <f ca="1">SUMIF(OFFSET(tongctvtdd1,0,-(COLUMN(E393)+7-(COLUMN(E393)-5)/2)),KLVT!$A393,tongctvtdd1)+SUMIF(OFFSET(tongctvtpk1,0,-(COLUMN(E393)+7-(COLUMN(E393)-5)/2)),KLVT!$A393,tongctvtpk1)</f>
        <v>0</v>
      </c>
      <c r="F393" s="449">
        <f ca="1">SUMIF(OFFSET(cttba_vlvt1_1,0,-9,-ROW(cttba_vlvt1_1)+ROW(cttba_vltb1_1)-10),KLVT!$A393,OFFSET(cttba_vlvt1_1,0,-4,-ROW(cttba_vlvt1_1)+ROW(cttba_vltb1_1)-10))</f>
        <v>0</v>
      </c>
      <c r="G393" s="451">
        <f t="shared" ca="1" si="83"/>
        <v>0</v>
      </c>
      <c r="H393" s="450">
        <f t="shared" si="84"/>
        <v>0.2</v>
      </c>
      <c r="I393" s="447">
        <f t="shared" ca="1" si="85"/>
        <v>0</v>
      </c>
      <c r="J393" s="447">
        <f t="shared" ca="1" si="86"/>
        <v>0</v>
      </c>
      <c r="K393" s="373">
        <f t="shared" ca="1" si="82"/>
        <v>0</v>
      </c>
    </row>
    <row r="394" spans="1:11" s="45" customFormat="1" ht="15.75" hidden="1">
      <c r="A394" s="373" t="str">
        <f>IF(AND(COUNTIF($A$5:$A$133,R_DG!A268)=0,R_DG!R268&gt;0,ISNUMBER(R_DG!R268)),R_DG!A268,"NONE")</f>
        <v>K120</v>
      </c>
      <c r="B394" s="85">
        <f ca="1">IF(K394&gt;0,COUNTIF(K$6:K394,"&gt;0"),B393)</f>
        <v>21</v>
      </c>
      <c r="C394" s="1084" t="str">
        <f t="shared" si="80"/>
        <v>Kẹp 2 rãnh (APC) cỡ dây 120mm2</v>
      </c>
      <c r="D394" s="85" t="str">
        <f t="shared" si="81"/>
        <v>cái</v>
      </c>
      <c r="E394" s="448">
        <f ca="1">SUMIF(OFFSET(tongctvtdd1,0,-(COLUMN(E394)+7-(COLUMN(E394)-5)/2)),KLVT!$A394,tongctvtdd1)+SUMIF(OFFSET(tongctvtpk1,0,-(COLUMN(E394)+7-(COLUMN(E394)-5)/2)),KLVT!$A394,tongctvtpk1)</f>
        <v>0</v>
      </c>
      <c r="F394" s="449">
        <f ca="1">SUMIF(OFFSET(cttba_vlvt1_1,0,-9,-ROW(cttba_vlvt1_1)+ROW(cttba_vltb1_1)-10),KLVT!$A394,OFFSET(cttba_vlvt1_1,0,-4,-ROW(cttba_vlvt1_1)+ROW(cttba_vltb1_1)-10))</f>
        <v>0</v>
      </c>
      <c r="G394" s="451">
        <f t="shared" ca="1" si="83"/>
        <v>0</v>
      </c>
      <c r="H394" s="450">
        <f t="shared" si="84"/>
        <v>0.2</v>
      </c>
      <c r="I394" s="447">
        <f t="shared" ca="1" si="85"/>
        <v>0</v>
      </c>
      <c r="J394" s="447">
        <f t="shared" ca="1" si="86"/>
        <v>0</v>
      </c>
      <c r="K394" s="373">
        <f t="shared" ca="1" si="82"/>
        <v>0</v>
      </c>
    </row>
    <row r="395" spans="1:11" s="45" customFormat="1" ht="15.75" hidden="1">
      <c r="A395" s="373" t="str">
        <f>IF(AND(COUNTIF($A$5:$A$133,R_DG!A269)=0,R_DG!R269&gt;0,ISNUMBER(R_DG!R269)),R_DG!A269,"NONE")</f>
        <v>K150</v>
      </c>
      <c r="B395" s="85">
        <f ca="1">IF(K395&gt;0,COUNTIF(K$6:K395,"&gt;0"),B394)</f>
        <v>21</v>
      </c>
      <c r="C395" s="1084" t="str">
        <f t="shared" si="80"/>
        <v>Kẹp 2 rãnh (APC) cỡ dây 150mm2</v>
      </c>
      <c r="D395" s="85" t="str">
        <f t="shared" si="81"/>
        <v>cái</v>
      </c>
      <c r="E395" s="448">
        <f ca="1">SUMIF(OFFSET(tongctvtdd1,0,-(COLUMN(E395)+7-(COLUMN(E395)-5)/2)),KLVT!$A395,tongctvtdd1)+SUMIF(OFFSET(tongctvtpk1,0,-(COLUMN(E395)+7-(COLUMN(E395)-5)/2)),KLVT!$A395,tongctvtpk1)</f>
        <v>0</v>
      </c>
      <c r="F395" s="449">
        <f ca="1">SUMIF(OFFSET(cttba_vlvt1_1,0,-9,-ROW(cttba_vlvt1_1)+ROW(cttba_vltb1_1)-10),KLVT!$A395,OFFSET(cttba_vlvt1_1,0,-4,-ROW(cttba_vlvt1_1)+ROW(cttba_vltb1_1)-10))</f>
        <v>0</v>
      </c>
      <c r="G395" s="451">
        <f t="shared" ca="1" si="83"/>
        <v>0</v>
      </c>
      <c r="H395" s="450">
        <f t="shared" si="84"/>
        <v>0.2</v>
      </c>
      <c r="I395" s="447">
        <f t="shared" ca="1" si="85"/>
        <v>0</v>
      </c>
      <c r="J395" s="447">
        <f t="shared" ca="1" si="86"/>
        <v>0</v>
      </c>
      <c r="K395" s="373">
        <f t="shared" ca="1" si="82"/>
        <v>0</v>
      </c>
    </row>
    <row r="396" spans="1:11" s="45" customFormat="1" ht="15.75" hidden="1">
      <c r="A396" s="373" t="str">
        <f>IF(AND(COUNTIF($A$5:$A$133,R_DG!A270)=0,R_DG!R270&gt;0,ISNUMBER(R_DG!R270)),R_DG!A270,"NONE")</f>
        <v>K185</v>
      </c>
      <c r="B396" s="85">
        <f ca="1">IF(K396&gt;0,COUNTIF(K$6:K396,"&gt;0"),B395)</f>
        <v>21</v>
      </c>
      <c r="C396" s="1084" t="str">
        <f t="shared" si="80"/>
        <v>Kẹp 2 rãnh (APC) cỡ dây 185mm2</v>
      </c>
      <c r="D396" s="85" t="str">
        <f t="shared" si="81"/>
        <v>cái</v>
      </c>
      <c r="E396" s="448">
        <f ca="1">SUMIF(OFFSET(tongctvtdd1,0,-(COLUMN(E396)+7-(COLUMN(E396)-5)/2)),KLVT!$A396,tongctvtdd1)+SUMIF(OFFSET(tongctvtpk1,0,-(COLUMN(E396)+7-(COLUMN(E396)-5)/2)),KLVT!$A396,tongctvtpk1)</f>
        <v>0</v>
      </c>
      <c r="F396" s="449">
        <f ca="1">SUMIF(OFFSET(cttba_vlvt1_1,0,-9,-ROW(cttba_vlvt1_1)+ROW(cttba_vltb1_1)-10),KLVT!$A396,OFFSET(cttba_vlvt1_1,0,-4,-ROW(cttba_vlvt1_1)+ROW(cttba_vltb1_1)-10))</f>
        <v>0</v>
      </c>
      <c r="G396" s="451">
        <f t="shared" ca="1" si="83"/>
        <v>0</v>
      </c>
      <c r="H396" s="450">
        <f t="shared" si="84"/>
        <v>0.2</v>
      </c>
      <c r="I396" s="447">
        <f t="shared" ca="1" si="85"/>
        <v>0</v>
      </c>
      <c r="J396" s="447">
        <f t="shared" ca="1" si="86"/>
        <v>0</v>
      </c>
      <c r="K396" s="373">
        <f t="shared" ca="1" si="82"/>
        <v>0</v>
      </c>
    </row>
    <row r="397" spans="1:11" s="45" customFormat="1" ht="15.75" hidden="1">
      <c r="A397" s="373" t="str">
        <f>IF(AND(COUNTIF($A$5:$A$133,R_DG!A271)=0,R_DG!R271&gt;0,ISNUMBER(R_DG!R271)),R_DG!A271,"NONE")</f>
        <v>K240</v>
      </c>
      <c r="B397" s="85">
        <f ca="1">IF(K397&gt;0,COUNTIF(K$6:K397,"&gt;0"),B396)</f>
        <v>21</v>
      </c>
      <c r="C397" s="1084" t="str">
        <f t="shared" si="80"/>
        <v>Kẹp 2 rãnh (APC) cỡ dây 240 mm2</v>
      </c>
      <c r="D397" s="85" t="str">
        <f t="shared" si="81"/>
        <v>cái</v>
      </c>
      <c r="E397" s="448">
        <f ca="1">SUMIF(OFFSET(tongctvtdd1,0,-(COLUMN(E397)+7-(COLUMN(E397)-5)/2)),KLVT!$A397,tongctvtdd1)+SUMIF(OFFSET(tongctvtpk1,0,-(COLUMN(E397)+7-(COLUMN(E397)-5)/2)),KLVT!$A397,tongctvtpk1)</f>
        <v>0</v>
      </c>
      <c r="F397" s="449">
        <f ca="1">SUMIF(OFFSET(cttba_vlvt1_1,0,-9,-ROW(cttba_vlvt1_1)+ROW(cttba_vltb1_1)-10),KLVT!$A397,OFFSET(cttba_vlvt1_1,0,-4,-ROW(cttba_vlvt1_1)+ROW(cttba_vltb1_1)-10))</f>
        <v>0</v>
      </c>
      <c r="G397" s="451">
        <f t="shared" ca="1" si="83"/>
        <v>0</v>
      </c>
      <c r="H397" s="450">
        <f t="shared" si="84"/>
        <v>0.2</v>
      </c>
      <c r="I397" s="447">
        <f t="shared" ca="1" si="85"/>
        <v>0</v>
      </c>
      <c r="J397" s="447">
        <f t="shared" ca="1" si="86"/>
        <v>0</v>
      </c>
      <c r="K397" s="373">
        <f t="shared" ca="1" si="82"/>
        <v>0</v>
      </c>
    </row>
    <row r="398" spans="1:11" s="45" customFormat="1" ht="15.75" hidden="1">
      <c r="A398" s="373" t="str">
        <f>IF(AND(COUNTIF($A$5:$A$133,R_DG!A272)=0,R_DG!R272&gt;0,ISNUMBER(R_DG!R272)),R_DG!A272,"NONE")</f>
        <v>KTREO211</v>
      </c>
      <c r="B398" s="85">
        <f ca="1">IF(K398&gt;0,COUNTIF(K$6:K398,"&gt;0"),B397)</f>
        <v>21</v>
      </c>
      <c r="C398" s="1084" t="str">
        <f t="shared" si="80"/>
        <v>Kẹp treo cáp ABC2x11mm2</v>
      </c>
      <c r="D398" s="85" t="str">
        <f t="shared" si="81"/>
        <v>cái</v>
      </c>
      <c r="E398" s="448">
        <f ca="1">SUMIF(OFFSET(tongctvtdd1,0,-(COLUMN(E398)+7-(COLUMN(E398)-5)/2)),KLVT!$A398,tongctvtdd1)+SUMIF(OFFSET(tongctvtpk1,0,-(COLUMN(E398)+7-(COLUMN(E398)-5)/2)),KLVT!$A398,tongctvtpk1)</f>
        <v>0</v>
      </c>
      <c r="F398" s="449">
        <f ca="1">SUMIF(OFFSET(cttba_vlvt1_1,0,-9,-ROW(cttba_vlvt1_1)+ROW(cttba_vltb1_1)-10),KLVT!$A398,OFFSET(cttba_vlvt1_1,0,-4,-ROW(cttba_vlvt1_1)+ROW(cttba_vltb1_1)-10))</f>
        <v>0</v>
      </c>
      <c r="G398" s="451">
        <f t="shared" ca="1" si="83"/>
        <v>0</v>
      </c>
      <c r="H398" s="450">
        <f t="shared" si="84"/>
        <v>0.2</v>
      </c>
      <c r="I398" s="447">
        <f t="shared" ca="1" si="85"/>
        <v>0</v>
      </c>
      <c r="J398" s="447">
        <f t="shared" ca="1" si="86"/>
        <v>0</v>
      </c>
      <c r="K398" s="374">
        <f t="shared" ca="1" si="82"/>
        <v>0</v>
      </c>
    </row>
    <row r="399" spans="1:11" s="45" customFormat="1" ht="15.75" hidden="1">
      <c r="A399" s="373" t="str">
        <f>IF(AND(COUNTIF($A$5:$A$133,R_DG!A273)=0,R_DG!R273&gt;0,ISNUMBER(R_DG!R273)),R_DG!A273,"NONE")</f>
        <v>KTREO11</v>
      </c>
      <c r="B399" s="85">
        <f ca="1">IF(K399&gt;0,COUNTIF(K$6:K399,"&gt;0"),B398)</f>
        <v>21</v>
      </c>
      <c r="C399" s="1084" t="str">
        <f t="shared" si="80"/>
        <v>Kẹp treo cáp ABC4x11mm2</v>
      </c>
      <c r="D399" s="85" t="str">
        <f t="shared" si="81"/>
        <v>cái</v>
      </c>
      <c r="E399" s="448">
        <f ca="1">SUMIF(OFFSET(tongctvtdd1,0,-(COLUMN(E399)+7-(COLUMN(E399)-5)/2)),KLVT!$A399,tongctvtdd1)+SUMIF(OFFSET(tongctvtpk1,0,-(COLUMN(E399)+7-(COLUMN(E399)-5)/2)),KLVT!$A399,tongctvtpk1)</f>
        <v>0</v>
      </c>
      <c r="F399" s="449">
        <f ca="1">SUMIF(OFFSET(cttba_vlvt1_1,0,-9,-ROW(cttba_vlvt1_1)+ROW(cttba_vltb1_1)-10),KLVT!$A399,OFFSET(cttba_vlvt1_1,0,-4,-ROW(cttba_vlvt1_1)+ROW(cttba_vltb1_1)-10))</f>
        <v>0</v>
      </c>
      <c r="G399" s="451">
        <f t="shared" ca="1" si="83"/>
        <v>0</v>
      </c>
      <c r="H399" s="450">
        <f t="shared" si="84"/>
        <v>0.2</v>
      </c>
      <c r="I399" s="447">
        <f t="shared" ca="1" si="85"/>
        <v>0</v>
      </c>
      <c r="J399" s="447">
        <f t="shared" ca="1" si="86"/>
        <v>0</v>
      </c>
      <c r="K399" s="373">
        <f t="shared" ca="1" si="82"/>
        <v>0</v>
      </c>
    </row>
    <row r="400" spans="1:11" s="45" customFormat="1" ht="15.75" hidden="1">
      <c r="A400" s="373" t="str">
        <f>IF(AND(COUNTIF($A$5:$A$133,R_DG!A274)=0,R_DG!R274&gt;0,ISNUMBER(R_DG!R274)),R_DG!A274,"NONE")</f>
        <v>KTREO22</v>
      </c>
      <c r="B400" s="85">
        <f ca="1">IF(K400&gt;0,COUNTIF(K$6:K400,"&gt;0"),B399)</f>
        <v>21</v>
      </c>
      <c r="C400" s="1084" t="str">
        <f t="shared" si="80"/>
        <v>Kẹp treo cáp ABC4x22mm2</v>
      </c>
      <c r="D400" s="85" t="str">
        <f t="shared" si="81"/>
        <v>cái</v>
      </c>
      <c r="E400" s="448">
        <f ca="1">SUMIF(OFFSET(tongctvtdd1,0,-(COLUMN(E400)+7-(COLUMN(E400)-5)/2)),KLVT!$A400,tongctvtdd1)+SUMIF(OFFSET(tongctvtpk1,0,-(COLUMN(E400)+7-(COLUMN(E400)-5)/2)),KLVT!$A400,tongctvtpk1)</f>
        <v>0</v>
      </c>
      <c r="F400" s="449">
        <f ca="1">SUMIF(OFFSET(cttba_vlvt1_1,0,-9,-ROW(cttba_vlvt1_1)+ROW(cttba_vltb1_1)-10),KLVT!$A400,OFFSET(cttba_vlvt1_1,0,-4,-ROW(cttba_vlvt1_1)+ROW(cttba_vltb1_1)-10))</f>
        <v>0</v>
      </c>
      <c r="G400" s="451">
        <f t="shared" ca="1" si="83"/>
        <v>0</v>
      </c>
      <c r="H400" s="450">
        <f t="shared" si="84"/>
        <v>0.2</v>
      </c>
      <c r="I400" s="447">
        <f t="shared" ca="1" si="85"/>
        <v>0</v>
      </c>
      <c r="J400" s="447">
        <f t="shared" ca="1" si="86"/>
        <v>0</v>
      </c>
      <c r="K400" s="374">
        <f t="shared" ca="1" si="82"/>
        <v>0</v>
      </c>
    </row>
    <row r="401" spans="1:11" s="45" customFormat="1" ht="15.75" hidden="1">
      <c r="A401" s="373" t="str">
        <f>IF(AND(COUNTIF($A$5:$A$133,R_DG!A275)=0,R_DG!R275&gt;0,ISNUMBER(R_DG!R275)),R_DG!A275,"NONE")</f>
        <v>KTREO35</v>
      </c>
      <c r="B401" s="85">
        <f ca="1">IF(K401&gt;0,COUNTIF(K$6:K401,"&gt;0"),B400)</f>
        <v>21</v>
      </c>
      <c r="C401" s="1084" t="str">
        <f t="shared" si="80"/>
        <v>Kẹp treo cáp ABC4x35mm2</v>
      </c>
      <c r="D401" s="85" t="str">
        <f t="shared" si="81"/>
        <v>cái</v>
      </c>
      <c r="E401" s="448">
        <f ca="1">SUMIF(OFFSET(tongctvtdd1,0,-(COLUMN(E401)+7-(COLUMN(E401)-5)/2)),KLVT!$A401,tongctvtdd1)+SUMIF(OFFSET(tongctvtpk1,0,-(COLUMN(E401)+7-(COLUMN(E401)-5)/2)),KLVT!$A401,tongctvtpk1)</f>
        <v>0</v>
      </c>
      <c r="F401" s="449">
        <f ca="1">SUMIF(OFFSET(cttba_vlvt1_1,0,-9,-ROW(cttba_vlvt1_1)+ROW(cttba_vltb1_1)-10),KLVT!$A401,OFFSET(cttba_vlvt1_1,0,-4,-ROW(cttba_vlvt1_1)+ROW(cttba_vltb1_1)-10))</f>
        <v>0</v>
      </c>
      <c r="G401" s="451">
        <f t="shared" ca="1" si="83"/>
        <v>0</v>
      </c>
      <c r="H401" s="450">
        <f t="shared" si="84"/>
        <v>0.2</v>
      </c>
      <c r="I401" s="447">
        <f t="shared" ca="1" si="85"/>
        <v>0</v>
      </c>
      <c r="J401" s="447">
        <f t="shared" ca="1" si="86"/>
        <v>0</v>
      </c>
      <c r="K401" s="373">
        <f t="shared" ca="1" si="82"/>
        <v>0</v>
      </c>
    </row>
    <row r="402" spans="1:11" s="45" customFormat="1" ht="15.75" hidden="1">
      <c r="A402" s="373" t="str">
        <f>IF(AND(COUNTIF($A$5:$A$133,R_DG!A276)=0,R_DG!R276&gt;0,ISNUMBER(R_DG!R276)),R_DG!A276,"NONE")</f>
        <v>KTREO50</v>
      </c>
      <c r="B402" s="85">
        <f ca="1">IF(K402&gt;0,COUNTIF(K$6:K402,"&gt;0"),B401)</f>
        <v>21</v>
      </c>
      <c r="C402" s="1084" t="str">
        <f t="shared" si="80"/>
        <v>Kẹp treo cáp ABC4x50mm2</v>
      </c>
      <c r="D402" s="85" t="str">
        <f t="shared" si="81"/>
        <v>cái</v>
      </c>
      <c r="E402" s="448">
        <f ca="1">SUMIF(OFFSET(tongctvtdd1,0,-(COLUMN(E402)+7-(COLUMN(E402)-5)/2)),KLVT!$A402,tongctvtdd1)+SUMIF(OFFSET(tongctvtpk1,0,-(COLUMN(E402)+7-(COLUMN(E402)-5)/2)),KLVT!$A402,tongctvtpk1)</f>
        <v>0</v>
      </c>
      <c r="F402" s="449">
        <f ca="1">SUMIF(OFFSET(cttba_vlvt1_1,0,-9,-ROW(cttba_vlvt1_1)+ROW(cttba_vltb1_1)-10),KLVT!$A402,OFFSET(cttba_vlvt1_1,0,-4,-ROW(cttba_vlvt1_1)+ROW(cttba_vltb1_1)-10))</f>
        <v>0</v>
      </c>
      <c r="G402" s="451">
        <f t="shared" ca="1" si="83"/>
        <v>0</v>
      </c>
      <c r="H402" s="450">
        <f t="shared" si="84"/>
        <v>0.2</v>
      </c>
      <c r="I402" s="447">
        <f t="shared" ca="1" si="85"/>
        <v>0</v>
      </c>
      <c r="J402" s="447">
        <f t="shared" ca="1" si="86"/>
        <v>0</v>
      </c>
      <c r="K402" s="373">
        <f t="shared" ca="1" si="82"/>
        <v>0</v>
      </c>
    </row>
    <row r="403" spans="1:11" ht="15.75">
      <c r="A403" s="1251" t="str">
        <f>IF(AND(COUNTIF($A$5:$A$133,R_DG!A277)=0,R_DG!R277&gt;0,ISNUMBER(R_DG!R277)),R_DG!A277,"NONE")</f>
        <v>KTREO70</v>
      </c>
      <c r="B403" s="438">
        <f ca="1">IF(K403&gt;0,COUNTIF(K$6:K403,"&gt;0"),B402)</f>
        <v>22</v>
      </c>
      <c r="C403" s="1278" t="str">
        <f t="shared" si="80"/>
        <v>Kẹp treo cáp ABC4x70mm2</v>
      </c>
      <c r="D403" s="438" t="str">
        <f t="shared" si="81"/>
        <v>cái</v>
      </c>
      <c r="E403" s="1276">
        <f ca="1">SUMIF(OFFSET(tongctvtdd1,0,-(COLUMN(E403)+7-(COLUMN(E403)-5)/2)),KLVT!$A403,tongctvtdd1)+SUMIF(OFFSET(tongctvtpk1,0,-(COLUMN(E403)+7-(COLUMN(E403)-5)/2)),KLVT!$A403,tongctvtpk1)</f>
        <v>10</v>
      </c>
      <c r="F403" s="1277">
        <f ca="1">SUMIF(OFFSET(cttba_vlvt1_1,0,-9,-ROW(cttba_vlvt1_1)+ROW(cttba_vltb1_1)-10),KLVT!$A403,OFFSET(cttba_vlvt1_1,0,-4,-ROW(cttba_vlvt1_1)+ROW(cttba_vltb1_1)-10))</f>
        <v>0</v>
      </c>
      <c r="G403" s="1277">
        <f t="shared" ca="1" si="83"/>
        <v>10</v>
      </c>
      <c r="H403" s="1274">
        <f t="shared" si="84"/>
        <v>0.2</v>
      </c>
      <c r="I403" s="1279">
        <f t="shared" ca="1" si="85"/>
        <v>2</v>
      </c>
      <c r="J403" s="1279">
        <f t="shared" ca="1" si="86"/>
        <v>0</v>
      </c>
      <c r="K403" s="1251">
        <f t="shared" ca="1" si="82"/>
        <v>1</v>
      </c>
    </row>
    <row r="404" spans="1:11" s="45" customFormat="1" ht="15.75" hidden="1">
      <c r="A404" s="373" t="str">
        <f>IF(AND(COUNTIF($A$5:$A$133,R_DG!A278)=0,R_DG!R278&gt;0,ISNUMBER(R_DG!R278)),R_DG!A278,"NONE")</f>
        <v>KTREO95</v>
      </c>
      <c r="B404" s="85">
        <f ca="1">IF(K404&gt;0,COUNTIF(K$6:K404,"&gt;0"),B403)</f>
        <v>22</v>
      </c>
      <c r="C404" s="1084" t="str">
        <f t="shared" si="80"/>
        <v>Kẹp treo cáp ABC4x95mm2</v>
      </c>
      <c r="D404" s="85" t="str">
        <f t="shared" si="81"/>
        <v>cái</v>
      </c>
      <c r="E404" s="448">
        <f ca="1">SUMIF(OFFSET(tongctvtdd1,0,-(COLUMN(E404)+7-(COLUMN(E404)-5)/2)),KLVT!$A404,tongctvtdd1)+SUMIF(OFFSET(tongctvtpk1,0,-(COLUMN(E404)+7-(COLUMN(E404)-5)/2)),KLVT!$A404,tongctvtpk1)</f>
        <v>0</v>
      </c>
      <c r="F404" s="449">
        <f ca="1">SUMIF(OFFSET(cttba_vlvt1_1,0,-9,-ROW(cttba_vlvt1_1)+ROW(cttba_vltb1_1)-10),KLVT!$A404,OFFSET(cttba_vlvt1_1,0,-4,-ROW(cttba_vlvt1_1)+ROW(cttba_vltb1_1)-10))</f>
        <v>0</v>
      </c>
      <c r="G404" s="451">
        <f t="shared" ca="1" si="83"/>
        <v>0</v>
      </c>
      <c r="H404" s="450">
        <f t="shared" si="84"/>
        <v>0.2</v>
      </c>
      <c r="I404" s="447">
        <f t="shared" ca="1" si="85"/>
        <v>0</v>
      </c>
      <c r="J404" s="447">
        <f t="shared" ca="1" si="86"/>
        <v>0</v>
      </c>
      <c r="K404" s="373">
        <f t="shared" ca="1" si="82"/>
        <v>0</v>
      </c>
    </row>
    <row r="405" spans="1:11" s="45" customFormat="1" ht="15.75" hidden="1">
      <c r="A405" s="373" t="str">
        <f>IF(AND(COUNTIF($A$5:$A$133,R_DG!A279)=0,R_DG!R279&gt;0,ISNUMBER(R_DG!R279)),R_DG!A279,"NONE")</f>
        <v>KTREO120</v>
      </c>
      <c r="B405" s="85">
        <f ca="1">IF(K405&gt;0,COUNTIF(K$6:K405,"&gt;0"),B404)</f>
        <v>22</v>
      </c>
      <c r="C405" s="1084" t="str">
        <f t="shared" si="80"/>
        <v>Kẹp treo cáp ABC4x120mm2</v>
      </c>
      <c r="D405" s="85" t="str">
        <f t="shared" si="81"/>
        <v>cái</v>
      </c>
      <c r="E405" s="448">
        <f ca="1">SUMIF(OFFSET(tongctvtdd1,0,-(COLUMN(E405)+7-(COLUMN(E405)-5)/2)),KLVT!$A405,tongctvtdd1)+SUMIF(OFFSET(tongctvtpk1,0,-(COLUMN(E405)+7-(COLUMN(E405)-5)/2)),KLVT!$A405,tongctvtpk1)</f>
        <v>0</v>
      </c>
      <c r="F405" s="449">
        <f ca="1">SUMIF(OFFSET(cttba_vlvt1_1,0,-9,-ROW(cttba_vlvt1_1)+ROW(cttba_vltb1_1)-10),KLVT!$A405,OFFSET(cttba_vlvt1_1,0,-4,-ROW(cttba_vlvt1_1)+ROW(cttba_vltb1_1)-10))</f>
        <v>0</v>
      </c>
      <c r="G405" s="451">
        <f t="shared" ca="1" si="83"/>
        <v>0</v>
      </c>
      <c r="H405" s="450">
        <f t="shared" si="84"/>
        <v>0.2</v>
      </c>
      <c r="I405" s="447">
        <f t="shared" ca="1" si="85"/>
        <v>0</v>
      </c>
      <c r="J405" s="447">
        <f t="shared" ca="1" si="86"/>
        <v>0</v>
      </c>
      <c r="K405" s="373">
        <f t="shared" ca="1" si="82"/>
        <v>0</v>
      </c>
    </row>
    <row r="406" spans="1:11" s="45" customFormat="1" ht="15.75" hidden="1">
      <c r="A406" s="373" t="str">
        <f>IF(AND(COUNTIF($A$5:$A$133,R_DG!A280)=0,R_DG!R280&gt;0,ISNUMBER(R_DG!R280)),R_DG!A280,"NONE")</f>
        <v>KTREO150</v>
      </c>
      <c r="B406" s="85">
        <f ca="1">IF(K406&gt;0,COUNTIF(K$6:K406,"&gt;0"),B405)</f>
        <v>22</v>
      </c>
      <c r="C406" s="1084" t="str">
        <f t="shared" si="80"/>
        <v>Kẹp treo cáp ABC4x150mm2</v>
      </c>
      <c r="D406" s="85" t="str">
        <f t="shared" si="81"/>
        <v>cái</v>
      </c>
      <c r="E406" s="448">
        <f ca="1">SUMIF(OFFSET(tongctvtdd1,0,-(COLUMN(E406)+7-(COLUMN(E406)-5)/2)),KLVT!$A406,tongctvtdd1)+SUMIF(OFFSET(tongctvtpk1,0,-(COLUMN(E406)+7-(COLUMN(E406)-5)/2)),KLVT!$A406,tongctvtpk1)</f>
        <v>0</v>
      </c>
      <c r="F406" s="449">
        <f ca="1">SUMIF(OFFSET(cttba_vlvt1_1,0,-9,-ROW(cttba_vlvt1_1)+ROW(cttba_vltb1_1)-10),KLVT!$A406,OFFSET(cttba_vlvt1_1,0,-4,-ROW(cttba_vlvt1_1)+ROW(cttba_vltb1_1)-10))</f>
        <v>0</v>
      </c>
      <c r="G406" s="451">
        <f t="shared" ca="1" si="83"/>
        <v>0</v>
      </c>
      <c r="H406" s="450">
        <f t="shared" si="84"/>
        <v>0.2</v>
      </c>
      <c r="I406" s="447">
        <f t="shared" ca="1" si="85"/>
        <v>0</v>
      </c>
      <c r="J406" s="447">
        <f t="shared" ca="1" si="86"/>
        <v>0</v>
      </c>
      <c r="K406" s="373">
        <f t="shared" ca="1" si="82"/>
        <v>0</v>
      </c>
    </row>
    <row r="407" spans="1:11" s="45" customFormat="1" ht="15.75" hidden="1">
      <c r="A407" s="373" t="str">
        <f>IF(AND(COUNTIF($A$5:$A$133,R_DG!A281)=0,R_DG!R281&gt;0,ISNUMBER(R_DG!R281)),R_DG!A281,"NONE")</f>
        <v>MTREOA</v>
      </c>
      <c r="B407" s="85">
        <f ca="1">IF(K407&gt;0,COUNTIF(K$6:K407,"&gt;0"),B406)</f>
        <v>22</v>
      </c>
      <c r="C407" s="1084" t="str">
        <f t="shared" si="80"/>
        <v>Móc treo chữ A</v>
      </c>
      <c r="D407" s="85" t="str">
        <f t="shared" si="81"/>
        <v>cái</v>
      </c>
      <c r="E407" s="448">
        <f ca="1">SUMIF(OFFSET(tongctvtdd1,0,-(COLUMN(E407)+7-(COLUMN(E407)-5)/2)),KLVT!$A407,tongctvtdd1)+SUMIF(OFFSET(tongctvtpk1,0,-(COLUMN(E407)+7-(COLUMN(E407)-5)/2)),KLVT!$A407,tongctvtpk1)</f>
        <v>0</v>
      </c>
      <c r="F407" s="449">
        <f ca="1">SUMIF(OFFSET(cttba_vlvt1_1,0,-9,-ROW(cttba_vlvt1_1)+ROW(cttba_vltb1_1)-10),KLVT!$A407,OFFSET(cttba_vlvt1_1,0,-4,-ROW(cttba_vlvt1_1)+ROW(cttba_vltb1_1)-10))</f>
        <v>0</v>
      </c>
      <c r="G407" s="451">
        <f t="shared" ca="1" si="83"/>
        <v>0</v>
      </c>
      <c r="H407" s="450">
        <f t="shared" si="84"/>
        <v>0.5</v>
      </c>
      <c r="I407" s="447">
        <f t="shared" ca="1" si="85"/>
        <v>0</v>
      </c>
      <c r="J407" s="447">
        <f t="shared" ca="1" si="86"/>
        <v>0</v>
      </c>
      <c r="K407" s="373">
        <f t="shared" ca="1" si="82"/>
        <v>0</v>
      </c>
    </row>
    <row r="408" spans="1:11" s="45" customFormat="1" ht="15.75" hidden="1">
      <c r="A408" s="373" t="str">
        <f>IF(AND(COUNTIF($A$5:$A$133,R_DG!A282)=0,R_DG!R282&gt;0,ISNUMBER(R_DG!R282)),R_DG!A282,"NONE")</f>
        <v>MOCDUNG</v>
      </c>
      <c r="B408" s="85">
        <f ca="1">IF(K408&gt;0,COUNTIF(K$6:K408,"&gt;0"),B407)</f>
        <v>22</v>
      </c>
      <c r="C408" s="1084" t="str">
        <f t="shared" si="80"/>
        <v xml:space="preserve">Móc dừng </v>
      </c>
      <c r="D408" s="85" t="str">
        <f t="shared" si="81"/>
        <v>cái</v>
      </c>
      <c r="E408" s="448">
        <f ca="1">SUMIF(OFFSET(tongctvtdd1,0,-(COLUMN(E408)+7-(COLUMN(E408)-5)/2)),KLVT!$A408,tongctvtdd1)+SUMIF(OFFSET(tongctvtpk1,0,-(COLUMN(E408)+7-(COLUMN(E408)-5)/2)),KLVT!$A408,tongctvtpk1)</f>
        <v>0</v>
      </c>
      <c r="F408" s="449">
        <f ca="1">SUMIF(OFFSET(cttba_vlvt1_1,0,-9,-ROW(cttba_vlvt1_1)+ROW(cttba_vltb1_1)-10),KLVT!$A408,OFFSET(cttba_vlvt1_1,0,-4,-ROW(cttba_vlvt1_1)+ROW(cttba_vltb1_1)-10))</f>
        <v>0</v>
      </c>
      <c r="G408" s="451">
        <f t="shared" ca="1" si="83"/>
        <v>0</v>
      </c>
      <c r="H408" s="450">
        <f t="shared" si="84"/>
        <v>1</v>
      </c>
      <c r="I408" s="447">
        <f t="shared" ca="1" si="85"/>
        <v>0</v>
      </c>
      <c r="J408" s="447">
        <f t="shared" ca="1" si="86"/>
        <v>0</v>
      </c>
      <c r="K408" s="374">
        <f t="shared" ca="1" si="82"/>
        <v>0</v>
      </c>
    </row>
    <row r="409" spans="1:11" s="45" customFormat="1" ht="15.75" hidden="1">
      <c r="A409" s="373" t="str">
        <f>IF(AND(COUNTIF($A$5:$A$133,R_DG!A283)=0,R_DG!R283&gt;0,ISNUMBER(R_DG!R283)),R_DG!A283,"NONE")</f>
        <v>MTREO</v>
      </c>
      <c r="B409" s="85">
        <f ca="1">IF(K409&gt;0,COUNTIF(K$6:K409,"&gt;0"),B408)</f>
        <v>22</v>
      </c>
      <c r="C409" s="1084" t="str">
        <f t="shared" si="80"/>
        <v xml:space="preserve">Móc đơn treo cáp </v>
      </c>
      <c r="D409" s="85" t="str">
        <f t="shared" si="81"/>
        <v>cái</v>
      </c>
      <c r="E409" s="448">
        <f ca="1">SUMIF(OFFSET(tongctvtdd1,0,-(COLUMN(E409)+7-(COLUMN(E409)-5)/2)),KLVT!$A409,tongctvtdd1)+SUMIF(OFFSET(tongctvtpk1,0,-(COLUMN(E409)+7-(COLUMN(E409)-5)/2)),KLVT!$A409,tongctvtpk1)</f>
        <v>0</v>
      </c>
      <c r="F409" s="449">
        <f ca="1">SUMIF(OFFSET(cttba_vlvt1_1,0,-9,-ROW(cttba_vlvt1_1)+ROW(cttba_vltb1_1)-10),KLVT!$A409,OFFSET(cttba_vlvt1_1,0,-4,-ROW(cttba_vlvt1_1)+ROW(cttba_vltb1_1)-10))</f>
        <v>0</v>
      </c>
      <c r="G409" s="451">
        <f t="shared" ca="1" si="83"/>
        <v>0</v>
      </c>
      <c r="H409" s="450">
        <f t="shared" si="84"/>
        <v>0.2</v>
      </c>
      <c r="I409" s="447">
        <f t="shared" ca="1" si="85"/>
        <v>0</v>
      </c>
      <c r="J409" s="447">
        <f t="shared" ca="1" si="86"/>
        <v>0</v>
      </c>
      <c r="K409" s="374">
        <f t="shared" ca="1" si="82"/>
        <v>0</v>
      </c>
    </row>
    <row r="410" spans="1:11" s="45" customFormat="1" ht="15.75" hidden="1">
      <c r="A410" s="373" t="str">
        <f>IF(AND(COUNTIF($A$5:$A$133,R_DG!A284)=0,R_DG!R284&gt;0,ISNUMBER(R_DG!R284)),R_DG!A284,"NONE")</f>
        <v>KNGUNG211</v>
      </c>
      <c r="B410" s="85">
        <f ca="1">IF(K410&gt;0,COUNTIF(K$6:K410,"&gt;0"),B409)</f>
        <v>22</v>
      </c>
      <c r="C410" s="1084" t="str">
        <f t="shared" si="80"/>
        <v>Kẹp ngừng cáp ABC2x11mm2</v>
      </c>
      <c r="D410" s="85" t="str">
        <f t="shared" si="81"/>
        <v>cái</v>
      </c>
      <c r="E410" s="448">
        <f ca="1">SUMIF(OFFSET(tongctvtdd1,0,-(COLUMN(E410)+7-(COLUMN(E410)-5)/2)),KLVT!$A410,tongctvtdd1)+SUMIF(OFFSET(tongctvtpk1,0,-(COLUMN(E410)+7-(COLUMN(E410)-5)/2)),KLVT!$A410,tongctvtpk1)</f>
        <v>0</v>
      </c>
      <c r="F410" s="449">
        <f ca="1">SUMIF(OFFSET(cttba_vlvt1_1,0,-9,-ROW(cttba_vlvt1_1)+ROW(cttba_vltb1_1)-10),KLVT!$A410,OFFSET(cttba_vlvt1_1,0,-4,-ROW(cttba_vlvt1_1)+ROW(cttba_vltb1_1)-10))</f>
        <v>0</v>
      </c>
      <c r="G410" s="451">
        <f t="shared" ca="1" si="83"/>
        <v>0</v>
      </c>
      <c r="H410" s="450">
        <f t="shared" si="84"/>
        <v>1</v>
      </c>
      <c r="I410" s="447">
        <f t="shared" ca="1" si="85"/>
        <v>0</v>
      </c>
      <c r="J410" s="447">
        <f t="shared" ca="1" si="86"/>
        <v>0</v>
      </c>
      <c r="K410" s="373">
        <f t="shared" ca="1" si="82"/>
        <v>0</v>
      </c>
    </row>
    <row r="411" spans="1:11" s="45" customFormat="1" ht="15.75" hidden="1">
      <c r="A411" s="373" t="str">
        <f>IF(AND(COUNTIF($A$5:$A$133,R_DG!A285)=0,R_DG!R285&gt;0,ISNUMBER(R_DG!R285)),R_DG!A285,"NONE")</f>
        <v>KNGUNG11</v>
      </c>
      <c r="B411" s="85">
        <f ca="1">IF(K411&gt;0,COUNTIF(K$6:K411,"&gt;0"),B410)</f>
        <v>22</v>
      </c>
      <c r="C411" s="1084" t="str">
        <f t="shared" si="80"/>
        <v>Kẹp ngừng cáp ABC4x11mm2</v>
      </c>
      <c r="D411" s="85" t="str">
        <f t="shared" si="81"/>
        <v>cái</v>
      </c>
      <c r="E411" s="448">
        <f ca="1">SUMIF(OFFSET(tongctvtdd1,0,-(COLUMN(E411)+7-(COLUMN(E411)-5)/2)),KLVT!$A411,tongctvtdd1)+SUMIF(OFFSET(tongctvtpk1,0,-(COLUMN(E411)+7-(COLUMN(E411)-5)/2)),KLVT!$A411,tongctvtpk1)</f>
        <v>0</v>
      </c>
      <c r="F411" s="449">
        <f ca="1">SUMIF(OFFSET(cttba_vlvt1_1,0,-9,-ROW(cttba_vlvt1_1)+ROW(cttba_vltb1_1)-10),KLVT!$A411,OFFSET(cttba_vlvt1_1,0,-4,-ROW(cttba_vlvt1_1)+ROW(cttba_vltb1_1)-10))</f>
        <v>0</v>
      </c>
      <c r="G411" s="451">
        <f t="shared" ca="1" si="83"/>
        <v>0</v>
      </c>
      <c r="H411" s="450">
        <f t="shared" si="84"/>
        <v>1</v>
      </c>
      <c r="I411" s="447">
        <f t="shared" ca="1" si="85"/>
        <v>0</v>
      </c>
      <c r="J411" s="447">
        <f t="shared" ca="1" si="86"/>
        <v>0</v>
      </c>
      <c r="K411" s="373">
        <f t="shared" ca="1" si="82"/>
        <v>0</v>
      </c>
    </row>
    <row r="412" spans="1:11" s="45" customFormat="1" ht="15.75" hidden="1">
      <c r="A412" s="373" t="str">
        <f>IF(AND(COUNTIF($A$5:$A$133,R_DG!A286)=0,R_DG!R286&gt;0,ISNUMBER(R_DG!R286)),R_DG!A286,"NONE")</f>
        <v>KNGUNG22</v>
      </c>
      <c r="B412" s="85">
        <f ca="1">IF(K412&gt;0,COUNTIF(K$6:K412,"&gt;0"),B411)</f>
        <v>22</v>
      </c>
      <c r="C412" s="1084" t="str">
        <f t="shared" si="80"/>
        <v>Kẹp ngừng cáp ABC4x22mm2</v>
      </c>
      <c r="D412" s="85" t="str">
        <f t="shared" si="81"/>
        <v>cái</v>
      </c>
      <c r="E412" s="448">
        <f ca="1">SUMIF(OFFSET(tongctvtdd1,0,-(COLUMN(E412)+7-(COLUMN(E412)-5)/2)),KLVT!$A412,tongctvtdd1)+SUMIF(OFFSET(tongctvtpk1,0,-(COLUMN(E412)+7-(COLUMN(E412)-5)/2)),KLVT!$A412,tongctvtpk1)</f>
        <v>0</v>
      </c>
      <c r="F412" s="449">
        <f ca="1">SUMIF(OFFSET(cttba_vlvt1_1,0,-9,-ROW(cttba_vlvt1_1)+ROW(cttba_vltb1_1)-10),KLVT!$A412,OFFSET(cttba_vlvt1_1,0,-4,-ROW(cttba_vlvt1_1)+ROW(cttba_vltb1_1)-10))</f>
        <v>0</v>
      </c>
      <c r="G412" s="451">
        <f t="shared" ca="1" si="83"/>
        <v>0</v>
      </c>
      <c r="H412" s="450">
        <f t="shared" si="84"/>
        <v>1</v>
      </c>
      <c r="I412" s="447">
        <f t="shared" ca="1" si="85"/>
        <v>0</v>
      </c>
      <c r="J412" s="447">
        <f t="shared" ca="1" si="86"/>
        <v>0</v>
      </c>
      <c r="K412" s="373">
        <f t="shared" ca="1" si="82"/>
        <v>0</v>
      </c>
    </row>
    <row r="413" spans="1:11" s="45" customFormat="1" ht="15.75" hidden="1">
      <c r="A413" s="373" t="str">
        <f>IF(AND(COUNTIF($A$5:$A$133,R_DG!A287)=0,R_DG!R287&gt;0,ISNUMBER(R_DG!R287)),R_DG!A287,"NONE")</f>
        <v>KNGUNG35</v>
      </c>
      <c r="B413" s="85">
        <f ca="1">IF(K413&gt;0,COUNTIF(K$6:K413,"&gt;0"),B412)</f>
        <v>22</v>
      </c>
      <c r="C413" s="1084" t="str">
        <f t="shared" si="80"/>
        <v>Kẹp ngừng cáp ABC4x35mm2</v>
      </c>
      <c r="D413" s="85" t="str">
        <f t="shared" si="81"/>
        <v>cái</v>
      </c>
      <c r="E413" s="448">
        <f ca="1">SUMIF(OFFSET(tongctvtdd1,0,-(COLUMN(E413)+7-(COLUMN(E413)-5)/2)),KLVT!$A413,tongctvtdd1)+SUMIF(OFFSET(tongctvtpk1,0,-(COLUMN(E413)+7-(COLUMN(E413)-5)/2)),KLVT!$A413,tongctvtpk1)</f>
        <v>0</v>
      </c>
      <c r="F413" s="449">
        <f ca="1">SUMIF(OFFSET(cttba_vlvt1_1,0,-9,-ROW(cttba_vlvt1_1)+ROW(cttba_vltb1_1)-10),KLVT!$A413,OFFSET(cttba_vlvt1_1,0,-4,-ROW(cttba_vlvt1_1)+ROW(cttba_vltb1_1)-10))</f>
        <v>0</v>
      </c>
      <c r="G413" s="451">
        <f t="shared" ca="1" si="83"/>
        <v>0</v>
      </c>
      <c r="H413" s="450">
        <f t="shared" si="84"/>
        <v>1</v>
      </c>
      <c r="I413" s="447">
        <f t="shared" ca="1" si="85"/>
        <v>0</v>
      </c>
      <c r="J413" s="447">
        <f t="shared" ca="1" si="86"/>
        <v>0</v>
      </c>
      <c r="K413" s="373">
        <f t="shared" ca="1" si="82"/>
        <v>0</v>
      </c>
    </row>
    <row r="414" spans="1:11" s="45" customFormat="1" ht="15.75" hidden="1">
      <c r="A414" s="373" t="str">
        <f>IF(AND(COUNTIF($A$5:$A$133,R_DG!A288)=0,R_DG!R288&gt;0,ISNUMBER(R_DG!R288)),R_DG!A288,"NONE")</f>
        <v>KNGUNG50</v>
      </c>
      <c r="B414" s="85">
        <f ca="1">IF(K414&gt;0,COUNTIF(K$6:K414,"&gt;0"),B413)</f>
        <v>22</v>
      </c>
      <c r="C414" s="1084" t="str">
        <f t="shared" si="80"/>
        <v>Kẹp ngừng cáp ABC4x50mm2</v>
      </c>
      <c r="D414" s="85" t="str">
        <f t="shared" si="81"/>
        <v>cái</v>
      </c>
      <c r="E414" s="448">
        <f ca="1">SUMIF(OFFSET(tongctvtdd1,0,-(COLUMN(E414)+7-(COLUMN(E414)-5)/2)),KLVT!$A414,tongctvtdd1)+SUMIF(OFFSET(tongctvtpk1,0,-(COLUMN(E414)+7-(COLUMN(E414)-5)/2)),KLVT!$A414,tongctvtpk1)</f>
        <v>0</v>
      </c>
      <c r="F414" s="449">
        <f ca="1">SUMIF(OFFSET(cttba_vlvt1_1,0,-9,-ROW(cttba_vlvt1_1)+ROW(cttba_vltb1_1)-10),KLVT!$A414,OFFSET(cttba_vlvt1_1,0,-4,-ROW(cttba_vlvt1_1)+ROW(cttba_vltb1_1)-10))</f>
        <v>0</v>
      </c>
      <c r="G414" s="451">
        <f t="shared" ca="1" si="83"/>
        <v>0</v>
      </c>
      <c r="H414" s="450">
        <f t="shared" si="84"/>
        <v>1</v>
      </c>
      <c r="I414" s="447">
        <f t="shared" ca="1" si="85"/>
        <v>0</v>
      </c>
      <c r="J414" s="447">
        <f t="shared" ca="1" si="86"/>
        <v>0</v>
      </c>
      <c r="K414" s="373">
        <f t="shared" ca="1" si="82"/>
        <v>0</v>
      </c>
    </row>
    <row r="415" spans="1:11" ht="15.75">
      <c r="A415" s="1251" t="str">
        <f>IF(AND(COUNTIF($A$5:$A$133,R_DG!A289)=0,R_DG!R289&gt;0,ISNUMBER(R_DG!R289)),R_DG!A289,"NONE")</f>
        <v>KNGUNG70</v>
      </c>
      <c r="B415" s="438">
        <f ca="1">IF(K415&gt;0,COUNTIF(K$6:K415,"&gt;0"),B414)</f>
        <v>23</v>
      </c>
      <c r="C415" s="1278" t="str">
        <f t="shared" si="80"/>
        <v>Kẹp ngừng cáp ABC4x70mm2</v>
      </c>
      <c r="D415" s="438" t="str">
        <f t="shared" si="81"/>
        <v>cái</v>
      </c>
      <c r="E415" s="1276">
        <f ca="1">SUMIF(OFFSET(tongctvtdd1,0,-(COLUMN(E415)+7-(COLUMN(E415)-5)/2)),KLVT!$A415,tongctvtdd1)+SUMIF(OFFSET(tongctvtpk1,0,-(COLUMN(E415)+7-(COLUMN(E415)-5)/2)),KLVT!$A415,tongctvtpk1)</f>
        <v>12</v>
      </c>
      <c r="F415" s="1277">
        <f ca="1">SUMIF(OFFSET(cttba_vlvt1_1,0,-9,-ROW(cttba_vlvt1_1)+ROW(cttba_vltb1_1)-10),KLVT!$A415,OFFSET(cttba_vlvt1_1,0,-4,-ROW(cttba_vlvt1_1)+ROW(cttba_vltb1_1)-10))</f>
        <v>0</v>
      </c>
      <c r="G415" s="1277">
        <f t="shared" ca="1" si="83"/>
        <v>12</v>
      </c>
      <c r="H415" s="1274">
        <f t="shared" si="84"/>
        <v>1</v>
      </c>
      <c r="I415" s="1279">
        <f t="shared" ca="1" si="85"/>
        <v>12</v>
      </c>
      <c r="J415" s="1279">
        <f t="shared" ca="1" si="86"/>
        <v>0</v>
      </c>
      <c r="K415" s="1251">
        <f t="shared" ca="1" si="82"/>
        <v>1</v>
      </c>
    </row>
    <row r="416" spans="1:11" s="45" customFormat="1" ht="15.75" hidden="1">
      <c r="A416" s="373" t="str">
        <f>IF(AND(COUNTIF($A$5:$A$133,R_DG!A290)=0,R_DG!R290&gt;0,ISNUMBER(R_DG!R290)),R_DG!A290,"NONE")</f>
        <v>KNGUNG95</v>
      </c>
      <c r="B416" s="85">
        <f ca="1">IF(K416&gt;0,COUNTIF(K$6:K416,"&gt;0"),B415)</f>
        <v>23</v>
      </c>
      <c r="C416" s="1084" t="str">
        <f t="shared" si="80"/>
        <v>Kẹp ngừng cáp ABC4x95mm2</v>
      </c>
      <c r="D416" s="85" t="str">
        <f t="shared" si="81"/>
        <v>cái</v>
      </c>
      <c r="E416" s="448">
        <f ca="1">SUMIF(OFFSET(tongctvtdd1,0,-(COLUMN(E416)+7-(COLUMN(E416)-5)/2)),KLVT!$A416,tongctvtdd1)+SUMIF(OFFSET(tongctvtpk1,0,-(COLUMN(E416)+7-(COLUMN(E416)-5)/2)),KLVT!$A416,tongctvtpk1)</f>
        <v>0</v>
      </c>
      <c r="F416" s="449">
        <f ca="1">SUMIF(OFFSET(cttba_vlvt1_1,0,-9,-ROW(cttba_vlvt1_1)+ROW(cttba_vltb1_1)-10),KLVT!$A416,OFFSET(cttba_vlvt1_1,0,-4,-ROW(cttba_vlvt1_1)+ROW(cttba_vltb1_1)-10))</f>
        <v>0</v>
      </c>
      <c r="G416" s="451">
        <f t="shared" ca="1" si="83"/>
        <v>0</v>
      </c>
      <c r="H416" s="450">
        <f t="shared" si="84"/>
        <v>1</v>
      </c>
      <c r="I416" s="447">
        <f t="shared" ca="1" si="85"/>
        <v>0</v>
      </c>
      <c r="J416" s="447">
        <f t="shared" ca="1" si="86"/>
        <v>0</v>
      </c>
      <c r="K416" s="373">
        <f t="shared" ca="1" si="82"/>
        <v>0</v>
      </c>
    </row>
    <row r="417" spans="1:11" s="45" customFormat="1" hidden="1">
      <c r="A417" s="373" t="str">
        <f>IF(AND(COUNTIF($A$5:$A$133,R_DG!A291)=0,R_DG!R291&gt;0,ISNUMBER(R_DG!R291)),R_DG!A291,"NONE")</f>
        <v>KNGUNG120</v>
      </c>
      <c r="B417" s="85">
        <f ca="1">IF(K417&gt;0,COUNTIF(K$6:K417,"&gt;0"),B416)</f>
        <v>23</v>
      </c>
      <c r="C417" s="1084" t="str">
        <f t="shared" ref="C417:C480" si="87">VLOOKUP(A417,DONGIA,3,0)</f>
        <v>Kẹp ngừng cáp ABC4x120mm2</v>
      </c>
      <c r="D417" s="85" t="str">
        <f t="shared" ref="D417:D480" si="88">VLOOKUP(A417,DONGIA,4,0)</f>
        <v>cái</v>
      </c>
      <c r="E417" s="448">
        <f ca="1">SUMIF(OFFSET(tongctvtdd1,0,-(COLUMN(E417)+7-(COLUMN(E417)-5)/2)),KLVT!$A417,tongctvtdd1)+SUMIF(OFFSET(tongctvtpk1,0,-(COLUMN(E417)+7-(COLUMN(E417)-5)/2)),KLVT!$A417,tongctvtpk1)</f>
        <v>0</v>
      </c>
      <c r="F417" s="449">
        <f ca="1">SUMIF(OFFSET(cttba_vlvt1_1,0,-9,-ROW(cttba_vlvt1_1)+ROW(cttba_vltb1_1)-10),KLVT!$A417,OFFSET(cttba_vlvt1_1,0,-4,-ROW(cttba_vlvt1_1)+ROW(cttba_vltb1_1)-10))</f>
        <v>0</v>
      </c>
      <c r="G417" s="451">
        <f t="shared" ca="1" si="83"/>
        <v>0</v>
      </c>
      <c r="H417" s="450">
        <f t="shared" si="84"/>
        <v>1</v>
      </c>
      <c r="I417" s="447">
        <f t="shared" ca="1" si="85"/>
        <v>0</v>
      </c>
      <c r="J417" s="447">
        <f t="shared" ca="1" si="86"/>
        <v>0</v>
      </c>
      <c r="K417" s="1094">
        <f t="shared" ca="1" si="82"/>
        <v>0</v>
      </c>
    </row>
    <row r="418" spans="1:11" s="45" customFormat="1" ht="15.75" hidden="1">
      <c r="A418" s="373" t="str">
        <f>IF(AND(COUNTIF($A$5:$A$133,R_DG!A292)=0,R_DG!R292&gt;0,ISNUMBER(R_DG!R292)),R_DG!A292,"NONE")</f>
        <v>KNGUNG150</v>
      </c>
      <c r="B418" s="85">
        <f ca="1">IF(K418&gt;0,COUNTIF(K$6:K418,"&gt;0"),B417)</f>
        <v>23</v>
      </c>
      <c r="C418" s="1084" t="str">
        <f t="shared" si="87"/>
        <v>Kẹp ngừng cáp ABC4x150mm2</v>
      </c>
      <c r="D418" s="85" t="str">
        <f t="shared" si="88"/>
        <v>cái</v>
      </c>
      <c r="E418" s="448">
        <f ca="1">SUMIF(OFFSET(tongctvtdd1,0,-(COLUMN(E418)+7-(COLUMN(E418)-5)/2)),KLVT!$A418,tongctvtdd1)+SUMIF(OFFSET(tongctvtpk1,0,-(COLUMN(E418)+7-(COLUMN(E418)-5)/2)),KLVT!$A418,tongctvtpk1)</f>
        <v>0</v>
      </c>
      <c r="F418" s="449">
        <f ca="1">SUMIF(OFFSET(cttba_vlvt1_1,0,-9,-ROW(cttba_vlvt1_1)+ROW(cttba_vltb1_1)-10),KLVT!$A418,OFFSET(cttba_vlvt1_1,0,-4,-ROW(cttba_vlvt1_1)+ROW(cttba_vltb1_1)-10))</f>
        <v>0</v>
      </c>
      <c r="G418" s="451">
        <f t="shared" ca="1" si="83"/>
        <v>0</v>
      </c>
      <c r="H418" s="450">
        <f t="shared" si="84"/>
        <v>1</v>
      </c>
      <c r="I418" s="447">
        <f t="shared" ca="1" si="85"/>
        <v>0</v>
      </c>
      <c r="J418" s="447">
        <f t="shared" ca="1" si="86"/>
        <v>0</v>
      </c>
      <c r="K418" s="374">
        <f t="shared" ca="1" si="82"/>
        <v>0</v>
      </c>
    </row>
    <row r="419" spans="1:11" s="45" customFormat="1" ht="15.75" hidden="1">
      <c r="A419" s="373" t="str">
        <f>IF(AND(COUNTIF($A$5:$A$133,R_DG!A293)=0,R_DG!R293&gt;0,ISNUMBER(R_DG!R293)),R_DG!A293,"NONE")</f>
        <v>HOPCAP240</v>
      </c>
      <c r="B419" s="85">
        <f ca="1">IF(K419&gt;0,COUNTIF(K$6:K419,"&gt;0"),B418)</f>
        <v>23</v>
      </c>
      <c r="C419" s="1084" t="str">
        <f t="shared" si="87"/>
        <v>Hộp nối cáp ngầm 24kV 3x240mm2</v>
      </c>
      <c r="D419" s="85" t="str">
        <f t="shared" si="88"/>
        <v>cái</v>
      </c>
      <c r="E419" s="448">
        <f ca="1">SUMIF(OFFSET(tongctvtdd1,0,-(COLUMN(E419)+7-(COLUMN(E419)-5)/2)),KLVT!$A419,tongctvtdd1)+SUMIF(OFFSET(tongctvtpk1,0,-(COLUMN(E419)+7-(COLUMN(E419)-5)/2)),KLVT!$A419,tongctvtpk1)</f>
        <v>0</v>
      </c>
      <c r="F419" s="449">
        <f ca="1">SUMIF(OFFSET(cttba_vlvt1_1,0,-9,-ROW(cttba_vlvt1_1)+ROW(cttba_vltb1_1)-10),KLVT!$A419,OFFSET(cttba_vlvt1_1,0,-4,-ROW(cttba_vlvt1_1)+ROW(cttba_vltb1_1)-10))</f>
        <v>0</v>
      </c>
      <c r="G419" s="451">
        <f t="shared" ca="1" si="83"/>
        <v>0</v>
      </c>
      <c r="H419" s="450">
        <f t="shared" si="84"/>
        <v>5</v>
      </c>
      <c r="I419" s="447">
        <f t="shared" ca="1" si="85"/>
        <v>0</v>
      </c>
      <c r="J419" s="447">
        <f t="shared" ca="1" si="86"/>
        <v>0</v>
      </c>
      <c r="K419" s="374">
        <f t="shared" ca="1" si="82"/>
        <v>0</v>
      </c>
    </row>
    <row r="420" spans="1:11" s="45" customFormat="1" ht="15.75" hidden="1">
      <c r="A420" s="373" t="str">
        <f>IF(AND(COUNTIF($A$5:$A$133,R_DG!A294)=0,R_DG!R294&gt;0,ISNUMBER(R_DG!R294)),R_DG!A294,"NONE")</f>
        <v>HOPCAP185</v>
      </c>
      <c r="B420" s="85">
        <f ca="1">IF(K420&gt;0,COUNTIF(K$6:K420,"&gt;0"),B419)</f>
        <v>23</v>
      </c>
      <c r="C420" s="1084" t="str">
        <f t="shared" si="87"/>
        <v>Hộp nối cáp ngầm 24kV 3x185mm2</v>
      </c>
      <c r="D420" s="85" t="str">
        <f t="shared" si="88"/>
        <v>cái</v>
      </c>
      <c r="E420" s="448">
        <f ca="1">SUMIF(OFFSET(tongctvtdd1,0,-(COLUMN(E420)+7-(COLUMN(E420)-5)/2)),KLVT!$A420,tongctvtdd1)+SUMIF(OFFSET(tongctvtpk1,0,-(COLUMN(E420)+7-(COLUMN(E420)-5)/2)),KLVT!$A420,tongctvtpk1)</f>
        <v>0</v>
      </c>
      <c r="F420" s="449">
        <f ca="1">SUMIF(OFFSET(cttba_vlvt1_1,0,-9,-ROW(cttba_vlvt1_1)+ROW(cttba_vltb1_1)-10),KLVT!$A420,OFFSET(cttba_vlvt1_1,0,-4,-ROW(cttba_vlvt1_1)+ROW(cttba_vltb1_1)-10))</f>
        <v>0</v>
      </c>
      <c r="G420" s="451">
        <f t="shared" ca="1" si="83"/>
        <v>0</v>
      </c>
      <c r="H420" s="450">
        <f t="shared" si="84"/>
        <v>5</v>
      </c>
      <c r="I420" s="447">
        <f t="shared" ca="1" si="85"/>
        <v>0</v>
      </c>
      <c r="J420" s="447">
        <f t="shared" ca="1" si="86"/>
        <v>0</v>
      </c>
      <c r="K420" s="373">
        <f t="shared" ca="1" si="82"/>
        <v>0</v>
      </c>
    </row>
    <row r="421" spans="1:11" s="45" customFormat="1" ht="15.75" hidden="1">
      <c r="A421" s="373" t="str">
        <f>IF(AND(COUNTIF($A$5:$A$133,R_DG!A295)=0,R_DG!R295&gt;0,ISNUMBER(R_DG!R295)),R_DG!A295,"NONE")</f>
        <v>HOPCAP150</v>
      </c>
      <c r="B421" s="85">
        <f ca="1">IF(K421&gt;0,COUNTIF(K$6:K421,"&gt;0"),B420)</f>
        <v>23</v>
      </c>
      <c r="C421" s="1084" t="str">
        <f t="shared" si="87"/>
        <v>Hộp nối cáp ngầm 24kV 3x150mm2</v>
      </c>
      <c r="D421" s="85" t="str">
        <f t="shared" si="88"/>
        <v>cái</v>
      </c>
      <c r="E421" s="448">
        <f ca="1">SUMIF(OFFSET(tongctvtdd1,0,-(COLUMN(E421)+7-(COLUMN(E421)-5)/2)),KLVT!$A421,tongctvtdd1)+SUMIF(OFFSET(tongctvtpk1,0,-(COLUMN(E421)+7-(COLUMN(E421)-5)/2)),KLVT!$A421,tongctvtpk1)</f>
        <v>0</v>
      </c>
      <c r="F421" s="449">
        <f ca="1">SUMIF(OFFSET(cttba_vlvt1_1,0,-9,-ROW(cttba_vlvt1_1)+ROW(cttba_vltb1_1)-10),KLVT!$A421,OFFSET(cttba_vlvt1_1,0,-4,-ROW(cttba_vlvt1_1)+ROW(cttba_vltb1_1)-10))</f>
        <v>0</v>
      </c>
      <c r="G421" s="451">
        <f t="shared" ca="1" si="83"/>
        <v>0</v>
      </c>
      <c r="H421" s="450">
        <f t="shared" si="84"/>
        <v>5</v>
      </c>
      <c r="I421" s="447">
        <f t="shared" ca="1" si="85"/>
        <v>0</v>
      </c>
      <c r="J421" s="447">
        <f t="shared" ca="1" si="86"/>
        <v>0</v>
      </c>
      <c r="K421" s="373">
        <f t="shared" ca="1" si="82"/>
        <v>0</v>
      </c>
    </row>
    <row r="422" spans="1:11" s="45" customFormat="1" ht="15.75" hidden="1">
      <c r="A422" s="373" t="str">
        <f>IF(AND(COUNTIF($A$5:$A$133,R_DG!A296)=0,R_DG!R296&gt;0,ISNUMBER(R_DG!R296)),R_DG!A296,"NONE")</f>
        <v>HOPCAP120</v>
      </c>
      <c r="B422" s="85">
        <f ca="1">IF(K422&gt;0,COUNTIF(K$6:K422,"&gt;0"),B421)</f>
        <v>23</v>
      </c>
      <c r="C422" s="1084" t="str">
        <f t="shared" si="87"/>
        <v>Hộp nối cáp ngầm 24kV 3x120mm2</v>
      </c>
      <c r="D422" s="85" t="str">
        <f t="shared" si="88"/>
        <v>cái</v>
      </c>
      <c r="E422" s="448">
        <f ca="1">SUMIF(OFFSET(tongctvtdd1,0,-(COLUMN(E422)+7-(COLUMN(E422)-5)/2)),KLVT!$A422,tongctvtdd1)+SUMIF(OFFSET(tongctvtpk1,0,-(COLUMN(E422)+7-(COLUMN(E422)-5)/2)),KLVT!$A422,tongctvtpk1)</f>
        <v>0</v>
      </c>
      <c r="F422" s="449">
        <f ca="1">SUMIF(OFFSET(cttba_vlvt1_1,0,-9,-ROW(cttba_vlvt1_1)+ROW(cttba_vltb1_1)-10),KLVT!$A422,OFFSET(cttba_vlvt1_1,0,-4,-ROW(cttba_vlvt1_1)+ROW(cttba_vltb1_1)-10))</f>
        <v>0</v>
      </c>
      <c r="G422" s="451">
        <f t="shared" ca="1" si="83"/>
        <v>0</v>
      </c>
      <c r="H422" s="450">
        <f t="shared" si="84"/>
        <v>5</v>
      </c>
      <c r="I422" s="447">
        <f t="shared" ca="1" si="85"/>
        <v>0</v>
      </c>
      <c r="J422" s="447">
        <f t="shared" ca="1" si="86"/>
        <v>0</v>
      </c>
      <c r="K422" s="373">
        <f t="shared" ca="1" si="82"/>
        <v>0</v>
      </c>
    </row>
    <row r="423" spans="1:11" s="45" customFormat="1" ht="15.75" hidden="1">
      <c r="A423" s="373" t="str">
        <f>IF(AND(COUNTIF($A$5:$A$133,R_DG!A297)=0,R_DG!R297&gt;0,ISNUMBER(R_DG!R297)),R_DG!A297,"NONE")</f>
        <v>HOPCAP95</v>
      </c>
      <c r="B423" s="85">
        <f ca="1">IF(K423&gt;0,COUNTIF(K$6:K423,"&gt;0"),B422)</f>
        <v>23</v>
      </c>
      <c r="C423" s="1084" t="str">
        <f t="shared" si="87"/>
        <v>Hộp nối cáp ngầm 24kV 3x95mm2</v>
      </c>
      <c r="D423" s="85" t="str">
        <f t="shared" si="88"/>
        <v>cái</v>
      </c>
      <c r="E423" s="448">
        <f ca="1">SUMIF(OFFSET(tongctvtdd1,0,-(COLUMN(E423)+7-(COLUMN(E423)-5)/2)),KLVT!$A423,tongctvtdd1)+SUMIF(OFFSET(tongctvtpk1,0,-(COLUMN(E423)+7-(COLUMN(E423)-5)/2)),KLVT!$A423,tongctvtpk1)</f>
        <v>0</v>
      </c>
      <c r="F423" s="449">
        <f ca="1">SUMIF(OFFSET(cttba_vlvt1_1,0,-9,-ROW(cttba_vlvt1_1)+ROW(cttba_vltb1_1)-10),KLVT!$A423,OFFSET(cttba_vlvt1_1,0,-4,-ROW(cttba_vlvt1_1)+ROW(cttba_vltb1_1)-10))</f>
        <v>0</v>
      </c>
      <c r="G423" s="451">
        <f t="shared" ca="1" si="83"/>
        <v>0</v>
      </c>
      <c r="H423" s="450">
        <f t="shared" si="84"/>
        <v>5</v>
      </c>
      <c r="I423" s="447">
        <f t="shared" ca="1" si="85"/>
        <v>0</v>
      </c>
      <c r="J423" s="447">
        <f t="shared" ca="1" si="86"/>
        <v>0</v>
      </c>
      <c r="K423" s="373">
        <f t="shared" ca="1" si="82"/>
        <v>0</v>
      </c>
    </row>
    <row r="424" spans="1:11" s="45" customFormat="1" ht="15.75" hidden="1">
      <c r="A424" s="373" t="str">
        <f>IF(AND(COUNTIF($A$5:$A$133,R_DG!A298)=0,R_DG!R298&gt;0,ISNUMBER(R_DG!R298)),R_DG!A298,"NONE")</f>
        <v>HOPCAP70</v>
      </c>
      <c r="B424" s="85">
        <f ca="1">IF(K424&gt;0,COUNTIF(K$6:K424,"&gt;0"),B423)</f>
        <v>23</v>
      </c>
      <c r="C424" s="1084" t="str">
        <f t="shared" si="87"/>
        <v>Hộp nối cáp ngầm 24kV 3x70mm2</v>
      </c>
      <c r="D424" s="85" t="str">
        <f t="shared" si="88"/>
        <v>cái</v>
      </c>
      <c r="E424" s="448">
        <f ca="1">SUMIF(OFFSET(tongctvtdd1,0,-(COLUMN(E424)+7-(COLUMN(E424)-5)/2)),KLVT!$A424,tongctvtdd1)+SUMIF(OFFSET(tongctvtpk1,0,-(COLUMN(E424)+7-(COLUMN(E424)-5)/2)),KLVT!$A424,tongctvtpk1)</f>
        <v>0</v>
      </c>
      <c r="F424" s="449">
        <f ca="1">SUMIF(OFFSET(cttba_vlvt1_1,0,-9,-ROW(cttba_vlvt1_1)+ROW(cttba_vltb1_1)-10),KLVT!$A424,OFFSET(cttba_vlvt1_1,0,-4,-ROW(cttba_vlvt1_1)+ROW(cttba_vltb1_1)-10))</f>
        <v>0</v>
      </c>
      <c r="G424" s="451">
        <f t="shared" ca="1" si="83"/>
        <v>0</v>
      </c>
      <c r="H424" s="450">
        <f t="shared" si="84"/>
        <v>5</v>
      </c>
      <c r="I424" s="447">
        <f t="shared" ca="1" si="85"/>
        <v>0</v>
      </c>
      <c r="J424" s="447">
        <f t="shared" ca="1" si="86"/>
        <v>0</v>
      </c>
      <c r="K424" s="373">
        <f t="shared" ca="1" si="82"/>
        <v>0</v>
      </c>
    </row>
    <row r="425" spans="1:11" s="45" customFormat="1" ht="15.75" hidden="1">
      <c r="A425" s="373" t="str">
        <f>IF(AND(COUNTIF($A$5:$A$133,R_DG!A299)=0,R_DG!R299&gt;0,ISNUMBER(R_DG!R299)),R_DG!A299,"NONE")</f>
        <v>HOPCAP50</v>
      </c>
      <c r="B425" s="85">
        <f ca="1">IF(K425&gt;0,COUNTIF(K$6:K425,"&gt;0"),B424)</f>
        <v>23</v>
      </c>
      <c r="C425" s="1084" t="str">
        <f t="shared" si="87"/>
        <v>Hộp nối cáp ngầm 24kV 3x50mm2</v>
      </c>
      <c r="D425" s="85" t="str">
        <f t="shared" si="88"/>
        <v>cái</v>
      </c>
      <c r="E425" s="448">
        <f ca="1">SUMIF(OFFSET(tongctvtdd1,0,-(COLUMN(E425)+7-(COLUMN(E425)-5)/2)),KLVT!$A425,tongctvtdd1)+SUMIF(OFFSET(tongctvtpk1,0,-(COLUMN(E425)+7-(COLUMN(E425)-5)/2)),KLVT!$A425,tongctvtpk1)</f>
        <v>0</v>
      </c>
      <c r="F425" s="449">
        <f ca="1">SUMIF(OFFSET(cttba_vlvt1_1,0,-9,-ROW(cttba_vlvt1_1)+ROW(cttba_vltb1_1)-10),KLVT!$A425,OFFSET(cttba_vlvt1_1,0,-4,-ROW(cttba_vlvt1_1)+ROW(cttba_vltb1_1)-10))</f>
        <v>0</v>
      </c>
      <c r="G425" s="451">
        <f t="shared" ca="1" si="83"/>
        <v>0</v>
      </c>
      <c r="H425" s="450">
        <f t="shared" si="84"/>
        <v>5</v>
      </c>
      <c r="I425" s="447">
        <f t="shared" ca="1" si="85"/>
        <v>0</v>
      </c>
      <c r="J425" s="447">
        <f t="shared" ca="1" si="86"/>
        <v>0</v>
      </c>
      <c r="K425" s="374">
        <f t="shared" ca="1" si="82"/>
        <v>0</v>
      </c>
    </row>
    <row r="426" spans="1:11" ht="15.75">
      <c r="A426" s="1251" t="str">
        <f>IF(AND(COUNTIF($A$5:$A$133,R_DG!A300)=0,R_DG!R300&gt;0,ISNUMBER(R_DG!R300)),R_DG!A300,"NONE")</f>
        <v>HOP9C</v>
      </c>
      <c r="B426" s="438">
        <f ca="1">IF(K426&gt;0,COUNTIF(K$6:K426,"&gt;0"),B425)</f>
        <v>24</v>
      </c>
      <c r="C426" s="1278" t="str">
        <f t="shared" si="87"/>
        <v>Hộp phân phối trực tiếp 9KH</v>
      </c>
      <c r="D426" s="438" t="str">
        <f t="shared" si="88"/>
        <v>cái</v>
      </c>
      <c r="E426" s="1276">
        <f ca="1">SUMIF(OFFSET(tongctvtdd1,0,-(COLUMN(E426)+7-(COLUMN(E426)-5)/2)),KLVT!$A426,tongctvtdd1)+SUMIF(OFFSET(tongctvtpk1,0,-(COLUMN(E426)+7-(COLUMN(E426)-5)/2)),KLVT!$A426,tongctvtpk1)</f>
        <v>10</v>
      </c>
      <c r="F426" s="1277">
        <f ca="1">SUMIF(OFFSET(cttba_vlvt1_1,0,-9,-ROW(cttba_vlvt1_1)+ROW(cttba_vltb1_1)-10),KLVT!$A426,OFFSET(cttba_vlvt1_1,0,-4,-ROW(cttba_vlvt1_1)+ROW(cttba_vltb1_1)-10))</f>
        <v>0</v>
      </c>
      <c r="G426" s="1277">
        <f t="shared" ca="1" si="83"/>
        <v>10</v>
      </c>
      <c r="H426" s="1274">
        <f t="shared" si="84"/>
        <v>2</v>
      </c>
      <c r="I426" s="1279">
        <f t="shared" ca="1" si="85"/>
        <v>20</v>
      </c>
      <c r="J426" s="1279">
        <f t="shared" ca="1" si="86"/>
        <v>0</v>
      </c>
      <c r="K426" s="1251">
        <f t="shared" ca="1" si="82"/>
        <v>1</v>
      </c>
    </row>
    <row r="427" spans="1:11" s="45" customFormat="1" ht="15.75" hidden="1">
      <c r="A427" s="373" t="str">
        <f>IF(AND(COUNTIF($A$5:$A$133,R_DG!A301)=0,R_DG!R301&gt;0,ISNUMBER(R_DG!R301)),R_DG!A301,"NONE")</f>
        <v>HOP6C</v>
      </c>
      <c r="B427" s="85">
        <f ca="1">IF(K427&gt;0,COUNTIF(K$6:K427,"&gt;0"),B426)</f>
        <v>24</v>
      </c>
      <c r="C427" s="1084" t="str">
        <f t="shared" si="87"/>
        <v>Hộp phân phối trực tiếp 6KH</v>
      </c>
      <c r="D427" s="85" t="str">
        <f t="shared" si="88"/>
        <v>cái</v>
      </c>
      <c r="E427" s="448">
        <f ca="1">SUMIF(OFFSET(tongctvtdd1,0,-(COLUMN(E427)+7-(COLUMN(E427)-5)/2)),KLVT!$A427,tongctvtdd1)+SUMIF(OFFSET(tongctvtpk1,0,-(COLUMN(E427)+7-(COLUMN(E427)-5)/2)),KLVT!$A427,tongctvtpk1)</f>
        <v>0</v>
      </c>
      <c r="F427" s="449">
        <f ca="1">SUMIF(OFFSET(cttba_vlvt1_1,0,-9,-ROW(cttba_vlvt1_1)+ROW(cttba_vltb1_1)-10),KLVT!$A427,OFFSET(cttba_vlvt1_1,0,-4,-ROW(cttba_vlvt1_1)+ROW(cttba_vltb1_1)-10))</f>
        <v>0</v>
      </c>
      <c r="G427" s="451">
        <f t="shared" ca="1" si="83"/>
        <v>0</v>
      </c>
      <c r="H427" s="450">
        <f t="shared" si="84"/>
        <v>2</v>
      </c>
      <c r="I427" s="447">
        <f t="shared" ca="1" si="85"/>
        <v>0</v>
      </c>
      <c r="J427" s="447">
        <f t="shared" ca="1" si="86"/>
        <v>0</v>
      </c>
      <c r="K427" s="374">
        <f t="shared" ca="1" si="82"/>
        <v>0</v>
      </c>
    </row>
    <row r="428" spans="1:11" s="45" customFormat="1" ht="15.75" hidden="1">
      <c r="A428" s="373" t="str">
        <f>IF(AND(COUNTIF($A$5:$A$133,R_DG!A302)=0,R_DG!R302&gt;0,ISNUMBER(R_DG!R302)),R_DG!A302,"NONE")</f>
        <v>HOPMCCB</v>
      </c>
      <c r="B428" s="85">
        <f ca="1">IF(K428&gt;0,COUNTIF(K$6:K428,"&gt;0"),B427)</f>
        <v>24</v>
      </c>
      <c r="C428" s="1084" t="str">
        <f t="shared" si="87"/>
        <v>Hộp MCCB phân đoạn</v>
      </c>
      <c r="D428" s="85" t="str">
        <f t="shared" si="88"/>
        <v>cái</v>
      </c>
      <c r="E428" s="448">
        <f ca="1">SUMIF(OFFSET(tongctvtdd1,0,-(COLUMN(E428)+7-(COLUMN(E428)-5)/2)),KLVT!$A428,tongctvtdd1)+SUMIF(OFFSET(tongctvtpk1,0,-(COLUMN(E428)+7-(COLUMN(E428)-5)/2)),KLVT!$A428,tongctvtpk1)</f>
        <v>0</v>
      </c>
      <c r="F428" s="449">
        <f ca="1">SUMIF(OFFSET(cttba_vlvt1_1,0,-9,-ROW(cttba_vlvt1_1)+ROW(cttba_vltb1_1)-10),KLVT!$A428,OFFSET(cttba_vlvt1_1,0,-4,-ROW(cttba_vlvt1_1)+ROW(cttba_vltb1_1)-10))</f>
        <v>0</v>
      </c>
      <c r="G428" s="451">
        <f t="shared" ca="1" si="83"/>
        <v>0</v>
      </c>
      <c r="H428" s="450">
        <f t="shared" si="84"/>
        <v>2</v>
      </c>
      <c r="I428" s="447">
        <f t="shared" ca="1" si="85"/>
        <v>0</v>
      </c>
      <c r="J428" s="447">
        <f t="shared" ca="1" si="86"/>
        <v>0</v>
      </c>
      <c r="K428" s="374">
        <f t="shared" ca="1" si="82"/>
        <v>0</v>
      </c>
    </row>
    <row r="429" spans="1:11" s="45" customFormat="1" ht="15.75" hidden="1">
      <c r="A429" s="373" t="str">
        <f>IF(AND(COUNTIF($A$5:$A$133,R_DG!A303)=0,R_DG!R303&gt;0,ISNUMBER(R_DG!R303)),R_DG!A303,"NONE")</f>
        <v>BTNN</v>
      </c>
      <c r="B429" s="85">
        <f ca="1">IF(K429&gt;0,COUNTIF(K$6:K429,"&gt;0"),B428)</f>
        <v>24</v>
      </c>
      <c r="C429" s="1084" t="str">
        <f t="shared" si="87"/>
        <v>Bêtông nhựa nóng hạt thô</v>
      </c>
      <c r="D429" s="85" t="str">
        <f t="shared" si="88"/>
        <v>m3</v>
      </c>
      <c r="E429" s="448">
        <f ca="1">SUMIF(OFFSET(tongctvtdd1,0,-(COLUMN(E429)+7-(COLUMN(E429)-5)/2)),KLVT!$A429,tongctvtdd1)+SUMIF(OFFSET(tongctvtpk1,0,-(COLUMN(E429)+7-(COLUMN(E429)-5)/2)),KLVT!$A429,tongctvtpk1)</f>
        <v>0</v>
      </c>
      <c r="F429" s="449">
        <f ca="1">SUMIF(OFFSET(cttba_vlvt1_1,0,-9,-ROW(cttba_vlvt1_1)+ROW(cttba_vltb1_1)-10),KLVT!$A429,OFFSET(cttba_vlvt1_1,0,-4,-ROW(cttba_vlvt1_1)+ROW(cttba_vltb1_1)-10))</f>
        <v>0</v>
      </c>
      <c r="G429" s="451">
        <f t="shared" ca="1" si="83"/>
        <v>0</v>
      </c>
      <c r="H429" s="450">
        <f t="shared" si="84"/>
        <v>1000</v>
      </c>
      <c r="I429" s="447">
        <f t="shared" ca="1" si="85"/>
        <v>0</v>
      </c>
      <c r="J429" s="447">
        <f t="shared" ca="1" si="86"/>
        <v>0</v>
      </c>
      <c r="K429" s="373">
        <f t="shared" ca="1" si="82"/>
        <v>0</v>
      </c>
    </row>
    <row r="430" spans="1:11" s="45" customFormat="1" ht="15.75" hidden="1">
      <c r="A430" s="373" t="str">
        <f>IF(AND(COUNTIF($A$5:$A$133,R_DG!A304)=0,R_DG!R304&gt;0,ISNUMBER(R_DG!R304)),R_DG!A304,"NONE")</f>
        <v>BTNN MIN</v>
      </c>
      <c r="B430" s="85">
        <f ca="1">IF(K430&gt;0,COUNTIF(K$6:K430,"&gt;0"),B429)</f>
        <v>24</v>
      </c>
      <c r="C430" s="1084" t="str">
        <f t="shared" si="87"/>
        <v>Bêtông nhựa nóng hạt mịn</v>
      </c>
      <c r="D430" s="85" t="str">
        <f t="shared" si="88"/>
        <v>m3</v>
      </c>
      <c r="E430" s="448">
        <f ca="1">SUMIF(OFFSET(tongctvtdd1,0,-(COLUMN(E430)+7-(COLUMN(E430)-5)/2)),KLVT!$A430,tongctvtdd1)+SUMIF(OFFSET(tongctvtpk1,0,-(COLUMN(E430)+7-(COLUMN(E430)-5)/2)),KLVT!$A430,tongctvtpk1)</f>
        <v>0</v>
      </c>
      <c r="F430" s="449">
        <f ca="1">SUMIF(OFFSET(cttba_vlvt1_1,0,-9,-ROW(cttba_vlvt1_1)+ROW(cttba_vltb1_1)-10),KLVT!$A430,OFFSET(cttba_vlvt1_1,0,-4,-ROW(cttba_vlvt1_1)+ROW(cttba_vltb1_1)-10))</f>
        <v>0</v>
      </c>
      <c r="G430" s="451">
        <f t="shared" ca="1" si="83"/>
        <v>0</v>
      </c>
      <c r="H430" s="450">
        <f t="shared" si="84"/>
        <v>1000</v>
      </c>
      <c r="I430" s="447">
        <f t="shared" ca="1" si="85"/>
        <v>0</v>
      </c>
      <c r="J430" s="447">
        <f t="shared" ca="1" si="86"/>
        <v>0</v>
      </c>
      <c r="K430" s="374">
        <f t="shared" ca="1" si="82"/>
        <v>0</v>
      </c>
    </row>
    <row r="431" spans="1:11" s="45" customFormat="1" ht="15.75" hidden="1">
      <c r="A431" s="373" t="str">
        <f>IF(AND(COUNTIF($A$5:$A$133,R_DG!A305)=0,R_DG!R305&gt;0,ISNUMBER(R_DG!R305)),R_DG!A305,"NONE")</f>
        <v>NONE</v>
      </c>
      <c r="B431" s="85">
        <f ca="1">IF(K431&gt;0,COUNTIF(K$6:K431,"&gt;0"),B430)</f>
        <v>24</v>
      </c>
      <c r="C431" s="1084">
        <f t="shared" si="87"/>
        <v>0</v>
      </c>
      <c r="D431" s="85">
        <f t="shared" si="88"/>
        <v>0</v>
      </c>
      <c r="E431" s="448">
        <f ca="1">SUMIF(OFFSET(tongctvtdd1,0,-(COLUMN(E431)+7-(COLUMN(E431)-5)/2)),KLVT!$A431,tongctvtdd1)+SUMIF(OFFSET(tongctvtpk1,0,-(COLUMN(E431)+7-(COLUMN(E431)-5)/2)),KLVT!$A431,tongctvtpk1)</f>
        <v>0</v>
      </c>
      <c r="F431" s="449">
        <f ca="1">SUMIF(OFFSET(cttba_vlvt1_1,0,-9,-ROW(cttba_vlvt1_1)+ROW(cttba_vltb1_1)-10),KLVT!$A431,OFFSET(cttba_vlvt1_1,0,-4,-ROW(cttba_vlvt1_1)+ROW(cttba_vltb1_1)-10))</f>
        <v>0</v>
      </c>
      <c r="G431" s="451">
        <f t="shared" ca="1" si="83"/>
        <v>0</v>
      </c>
      <c r="H431" s="450">
        <f t="shared" si="84"/>
        <v>1</v>
      </c>
      <c r="I431" s="447">
        <f t="shared" ca="1" si="85"/>
        <v>0</v>
      </c>
      <c r="J431" s="447">
        <f t="shared" ca="1" si="86"/>
        <v>0</v>
      </c>
      <c r="K431" s="373">
        <f t="shared" ca="1" si="82"/>
        <v>0</v>
      </c>
    </row>
    <row r="432" spans="1:11" s="45" customFormat="1" ht="15.75" hidden="1">
      <c r="A432" s="373" t="str">
        <f>IF(AND(COUNTIF($A$5:$A$133,R_DG!A306)=0,R_DG!R306&gt;0,ISNUMBER(R_DG!R306)),R_DG!A306,"NONE")</f>
        <v>NONE</v>
      </c>
      <c r="B432" s="85">
        <f ca="1">IF(K432&gt;0,COUNTIF(K$6:K432,"&gt;0"),B431)</f>
        <v>24</v>
      </c>
      <c r="C432" s="1084">
        <f t="shared" si="87"/>
        <v>0</v>
      </c>
      <c r="D432" s="85">
        <f t="shared" si="88"/>
        <v>0</v>
      </c>
      <c r="E432" s="448">
        <f ca="1">SUMIF(OFFSET(tongctvtdd1,0,-(COLUMN(E432)+7-(COLUMN(E432)-5)/2)),KLVT!$A432,tongctvtdd1)+SUMIF(OFFSET(tongctvtpk1,0,-(COLUMN(E432)+7-(COLUMN(E432)-5)/2)),KLVT!$A432,tongctvtpk1)</f>
        <v>0</v>
      </c>
      <c r="F432" s="449">
        <f ca="1">SUMIF(OFFSET(cttba_vlvt1_1,0,-9,-ROW(cttba_vlvt1_1)+ROW(cttba_vltb1_1)-10),KLVT!$A432,OFFSET(cttba_vlvt1_1,0,-4,-ROW(cttba_vlvt1_1)+ROW(cttba_vltb1_1)-10))</f>
        <v>0</v>
      </c>
      <c r="G432" s="451">
        <f t="shared" ca="1" si="83"/>
        <v>0</v>
      </c>
      <c r="H432" s="450">
        <f t="shared" si="84"/>
        <v>1</v>
      </c>
      <c r="I432" s="447">
        <f t="shared" ca="1" si="85"/>
        <v>0</v>
      </c>
      <c r="J432" s="447">
        <f t="shared" ca="1" si="86"/>
        <v>0</v>
      </c>
      <c r="K432" s="373">
        <f t="shared" ca="1" si="82"/>
        <v>0</v>
      </c>
    </row>
    <row r="433" spans="1:11" s="45" customFormat="1" ht="15.75" hidden="1">
      <c r="A433" s="373" t="str">
        <f>IF(AND(COUNTIF($A$5:$A$133,R_DG!A307)=0,R_DG!R307&gt;0,ISNUMBER(R_DG!R307)),R_DG!A307,"NONE")</f>
        <v>BT</v>
      </c>
      <c r="B433" s="85">
        <f ca="1">IF(K433&gt;0,COUNTIF(K$6:K433,"&gt;0"),B432)</f>
        <v>24</v>
      </c>
      <c r="C433" s="1084" t="str">
        <f t="shared" si="87"/>
        <v>Bitum</v>
      </c>
      <c r="D433" s="85" t="str">
        <f t="shared" si="88"/>
        <v>m2</v>
      </c>
      <c r="E433" s="448">
        <f ca="1">SUMIF(OFFSET(tongctvtdd1,0,-(COLUMN(E433)+7-(COLUMN(E433)-5)/2)),KLVT!$A433,tongctvtdd1)+SUMIF(OFFSET(tongctvtpk1,0,-(COLUMN(E433)+7-(COLUMN(E433)-5)/2)),KLVT!$A433,tongctvtpk1)</f>
        <v>0</v>
      </c>
      <c r="F433" s="449">
        <f ca="1">SUMIF(OFFSET(cttba_vlvt1_1,0,-9,-ROW(cttba_vlvt1_1)+ROW(cttba_vltb1_1)-10),KLVT!$A433,OFFSET(cttba_vlvt1_1,0,-4,-ROW(cttba_vlvt1_1)+ROW(cttba_vltb1_1)-10))</f>
        <v>0</v>
      </c>
      <c r="G433" s="451">
        <f t="shared" ca="1" si="83"/>
        <v>0</v>
      </c>
      <c r="H433" s="450">
        <f t="shared" si="84"/>
        <v>100</v>
      </c>
      <c r="I433" s="447">
        <f t="shared" ca="1" si="85"/>
        <v>0</v>
      </c>
      <c r="J433" s="447">
        <f t="shared" ca="1" si="86"/>
        <v>0</v>
      </c>
      <c r="K433" s="373">
        <f t="shared" ca="1" si="82"/>
        <v>0</v>
      </c>
    </row>
    <row r="434" spans="1:11" s="45" customFormat="1" ht="15.75" hidden="1">
      <c r="A434" s="373" t="str">
        <f>IF(AND(COUNTIF($A$5:$A$133,R_DG!A308)=0,R_DG!R308&gt;0,ISNUMBER(R_DG!R308)),R_DG!A308,"NONE")</f>
        <v>BIT150</v>
      </c>
      <c r="B434" s="85">
        <f ca="1">IF(K434&gt;0,COUNTIF(K$6:K434,"&gt;0"),B433)</f>
        <v>24</v>
      </c>
      <c r="C434" s="1084" t="str">
        <f t="shared" si="87"/>
        <v>Nắp bịt đầu cáp ABC150mm2</v>
      </c>
      <c r="D434" s="85" t="str">
        <f t="shared" si="88"/>
        <v>cái</v>
      </c>
      <c r="E434" s="448">
        <f ca="1">SUMIF(OFFSET(tongctvtdd1,0,-(COLUMN(E434)+7-(COLUMN(E434)-5)/2)),KLVT!$A434,tongctvtdd1)+SUMIF(OFFSET(tongctvtpk1,0,-(COLUMN(E434)+7-(COLUMN(E434)-5)/2)),KLVT!$A434,tongctvtpk1)</f>
        <v>0</v>
      </c>
      <c r="F434" s="449">
        <f ca="1">SUMIF(OFFSET(cttba_vlvt1_1,0,-9,-ROW(cttba_vlvt1_1)+ROW(cttba_vltb1_1)-10),KLVT!$A434,OFFSET(cttba_vlvt1_1,0,-4,-ROW(cttba_vlvt1_1)+ROW(cttba_vltb1_1)-10))</f>
        <v>0</v>
      </c>
      <c r="G434" s="451">
        <f t="shared" ca="1" si="83"/>
        <v>0</v>
      </c>
      <c r="H434" s="450">
        <f t="shared" si="84"/>
        <v>0.1</v>
      </c>
      <c r="I434" s="447">
        <f t="shared" ca="1" si="85"/>
        <v>0</v>
      </c>
      <c r="J434" s="447">
        <f t="shared" ca="1" si="86"/>
        <v>0</v>
      </c>
      <c r="K434" s="373">
        <f t="shared" ca="1" si="82"/>
        <v>0</v>
      </c>
    </row>
    <row r="435" spans="1:11" s="45" customFormat="1" ht="15.75" hidden="1">
      <c r="A435" s="373" t="str">
        <f>IF(AND(COUNTIF($A$5:$A$133,R_DG!A309)=0,R_DG!R309&gt;0,ISNUMBER(R_DG!R309)),R_DG!A309,"NONE")</f>
        <v>BIT120</v>
      </c>
      <c r="B435" s="85">
        <f ca="1">IF(K435&gt;0,COUNTIF(K$6:K435,"&gt;0"),B434)</f>
        <v>24</v>
      </c>
      <c r="C435" s="1084" t="str">
        <f t="shared" si="87"/>
        <v>Trụ BTLT 12m F540 dự ứng lực</v>
      </c>
      <c r="D435" s="85" t="str">
        <f t="shared" si="88"/>
        <v>trụ</v>
      </c>
      <c r="E435" s="448">
        <f ca="1">SUMIF(OFFSET(tongctvtdd1,0,-(COLUMN(E435)+7-(COLUMN(E435)-5)/2)),KLVT!$A435,tongctvtdd1)+SUMIF(OFFSET(tongctvtpk1,0,-(COLUMN(E435)+7-(COLUMN(E435)-5)/2)),KLVT!$A435,tongctvtpk1)</f>
        <v>0</v>
      </c>
      <c r="F435" s="449">
        <f ca="1">SUMIF(OFFSET(cttba_vlvt1_1,0,-9,-ROW(cttba_vlvt1_1)+ROW(cttba_vltb1_1)-10),KLVT!$A435,OFFSET(cttba_vlvt1_1,0,-4,-ROW(cttba_vlvt1_1)+ROW(cttba_vltb1_1)-10))</f>
        <v>0</v>
      </c>
      <c r="G435" s="451">
        <f t="shared" ca="1" si="83"/>
        <v>0</v>
      </c>
      <c r="H435" s="450">
        <f t="shared" si="84"/>
        <v>0.1</v>
      </c>
      <c r="I435" s="447">
        <f t="shared" ca="1" si="85"/>
        <v>0</v>
      </c>
      <c r="J435" s="447">
        <f t="shared" ca="1" si="86"/>
        <v>0</v>
      </c>
      <c r="K435" s="373">
        <f t="shared" ca="1" si="82"/>
        <v>0</v>
      </c>
    </row>
    <row r="436" spans="1:11" s="45" customFormat="1" ht="15.75" hidden="1">
      <c r="A436" s="373" t="str">
        <f>IF(AND(COUNTIF($A$5:$A$133,R_DG!A310)=0,R_DG!R310&gt;0,ISNUMBER(R_DG!R310)),R_DG!A310,"NONE")</f>
        <v>BIT95</v>
      </c>
      <c r="B436" s="85">
        <f ca="1">IF(K436&gt;0,COUNTIF(K$6:K436,"&gt;0"),B435)</f>
        <v>24</v>
      </c>
      <c r="C436" s="1084" t="str">
        <f t="shared" si="87"/>
        <v>Nắp bịt đầu cáp ABC95mm2</v>
      </c>
      <c r="D436" s="85" t="str">
        <f t="shared" si="88"/>
        <v>cái</v>
      </c>
      <c r="E436" s="448">
        <f ca="1">SUMIF(OFFSET(tongctvtdd1,0,-(COLUMN(E436)+7-(COLUMN(E436)-5)/2)),KLVT!$A436,tongctvtdd1)+SUMIF(OFFSET(tongctvtpk1,0,-(COLUMN(E436)+7-(COLUMN(E436)-5)/2)),KLVT!$A436,tongctvtpk1)</f>
        <v>0</v>
      </c>
      <c r="F436" s="449">
        <f ca="1">SUMIF(OFFSET(cttba_vlvt1_1,0,-9,-ROW(cttba_vlvt1_1)+ROW(cttba_vltb1_1)-10),KLVT!$A436,OFFSET(cttba_vlvt1_1,0,-4,-ROW(cttba_vlvt1_1)+ROW(cttba_vltb1_1)-10))</f>
        <v>0</v>
      </c>
      <c r="G436" s="451">
        <f t="shared" ca="1" si="83"/>
        <v>0</v>
      </c>
      <c r="H436" s="450">
        <f t="shared" si="84"/>
        <v>0.1</v>
      </c>
      <c r="I436" s="447">
        <f t="shared" ca="1" si="85"/>
        <v>0</v>
      </c>
      <c r="J436" s="447">
        <f t="shared" ca="1" si="86"/>
        <v>0</v>
      </c>
      <c r="K436" s="374">
        <f t="shared" ca="1" si="82"/>
        <v>0</v>
      </c>
    </row>
    <row r="437" spans="1:11" s="45" customFormat="1" ht="15.75" hidden="1">
      <c r="A437" s="373" t="str">
        <f>IF(AND(COUNTIF($A$5:$A$133,R_DG!A311)=0,R_DG!R311&gt;0,ISNUMBER(R_DG!R311)),R_DG!A311,"NONE")</f>
        <v>BIT70</v>
      </c>
      <c r="B437" s="85">
        <f ca="1">IF(K437&gt;0,COUNTIF(K$6:K437,"&gt;0"),B436)</f>
        <v>24</v>
      </c>
      <c r="C437" s="1084" t="str">
        <f t="shared" si="87"/>
        <v>Nắp bịt đầu cáp ABC70mm2</v>
      </c>
      <c r="D437" s="85" t="str">
        <f t="shared" si="88"/>
        <v>cái</v>
      </c>
      <c r="E437" s="448">
        <f ca="1">SUMIF(OFFSET(tongctvtdd1,0,-(COLUMN(E437)+7-(COLUMN(E437)-5)/2)),KLVT!$A437,tongctvtdd1)+SUMIF(OFFSET(tongctvtpk1,0,-(COLUMN(E437)+7-(COLUMN(E437)-5)/2)),KLVT!$A437,tongctvtpk1)</f>
        <v>0</v>
      </c>
      <c r="F437" s="449">
        <f ca="1">SUMIF(OFFSET(cttba_vlvt1_1,0,-9,-ROW(cttba_vlvt1_1)+ROW(cttba_vltb1_1)-10),KLVT!$A437,OFFSET(cttba_vlvt1_1,0,-4,-ROW(cttba_vlvt1_1)+ROW(cttba_vltb1_1)-10))</f>
        <v>0</v>
      </c>
      <c r="G437" s="451">
        <f t="shared" ca="1" si="83"/>
        <v>0</v>
      </c>
      <c r="H437" s="450">
        <f t="shared" si="84"/>
        <v>0.1</v>
      </c>
      <c r="I437" s="447">
        <f t="shared" ca="1" si="85"/>
        <v>0</v>
      </c>
      <c r="J437" s="447">
        <f t="shared" ca="1" si="86"/>
        <v>0</v>
      </c>
      <c r="K437" s="373">
        <f t="shared" ca="1" si="82"/>
        <v>0</v>
      </c>
    </row>
    <row r="438" spans="1:11" s="45" customFormat="1" ht="15.75" hidden="1">
      <c r="A438" s="373" t="str">
        <f>IF(AND(COUNTIF($A$5:$A$133,R_DG!A312)=0,R_DG!R312&gt;0,ISNUMBER(R_DG!R312)),R_DG!A312,"NONE")</f>
        <v>BIT50</v>
      </c>
      <c r="B438" s="85">
        <f ca="1">IF(K438&gt;0,COUNTIF(K$6:K438,"&gt;0"),B437)</f>
        <v>24</v>
      </c>
      <c r="C438" s="1084" t="str">
        <f t="shared" si="87"/>
        <v>Nắp bịt đầu cáp ABC50mm2</v>
      </c>
      <c r="D438" s="85" t="str">
        <f t="shared" si="88"/>
        <v>cái</v>
      </c>
      <c r="E438" s="448">
        <f ca="1">SUMIF(OFFSET(tongctvtdd1,0,-(COLUMN(E438)+7-(COLUMN(E438)-5)/2)),KLVT!$A438,tongctvtdd1)+SUMIF(OFFSET(tongctvtpk1,0,-(COLUMN(E438)+7-(COLUMN(E438)-5)/2)),KLVT!$A438,tongctvtpk1)</f>
        <v>0</v>
      </c>
      <c r="F438" s="449">
        <f ca="1">SUMIF(OFFSET(cttba_vlvt1_1,0,-9,-ROW(cttba_vlvt1_1)+ROW(cttba_vltb1_1)-10),KLVT!$A438,OFFSET(cttba_vlvt1_1,0,-4,-ROW(cttba_vlvt1_1)+ROW(cttba_vltb1_1)-10))</f>
        <v>0</v>
      </c>
      <c r="G438" s="451">
        <f t="shared" ca="1" si="83"/>
        <v>0</v>
      </c>
      <c r="H438" s="450">
        <f t="shared" si="84"/>
        <v>0.1</v>
      </c>
      <c r="I438" s="447">
        <f t="shared" ca="1" si="85"/>
        <v>0</v>
      </c>
      <c r="J438" s="447">
        <f t="shared" ca="1" si="86"/>
        <v>0</v>
      </c>
      <c r="K438" s="373">
        <f t="shared" ca="1" si="82"/>
        <v>0</v>
      </c>
    </row>
    <row r="439" spans="1:11" s="45" customFormat="1" hidden="1">
      <c r="A439" s="373" t="str">
        <f>IF(AND(COUNTIF($A$5:$A$133,R_DG!A313)=0,R_DG!R313&gt;0,ISNUMBER(R_DG!R313)),R_DG!A313,"NONE")</f>
        <v>KE25</v>
      </c>
      <c r="B439" s="85">
        <f ca="1">IF(K439&gt;0,COUNTIF(K$6:K439,"&gt;0"),B438)</f>
        <v>24</v>
      </c>
      <c r="C439" s="1084" t="str">
        <f t="shared" si="87"/>
        <v>Kẹp ép cỡ dây 25mm2</v>
      </c>
      <c r="D439" s="85" t="str">
        <f t="shared" si="88"/>
        <v>cái</v>
      </c>
      <c r="E439" s="448">
        <f ca="1">SUMIF(OFFSET(tongctvtdd1,0,-(COLUMN(E439)+7-(COLUMN(E439)-5)/2)),KLVT!$A439,tongctvtdd1)+SUMIF(OFFSET(tongctvtpk1,0,-(COLUMN(E439)+7-(COLUMN(E439)-5)/2)),KLVT!$A439,tongctvtpk1)</f>
        <v>0</v>
      </c>
      <c r="F439" s="449">
        <f ca="1">SUMIF(OFFSET(cttba_vlvt1_1,0,-9,-ROW(cttba_vlvt1_1)+ROW(cttba_vltb1_1)-10),KLVT!$A439,OFFSET(cttba_vlvt1_1,0,-4,-ROW(cttba_vlvt1_1)+ROW(cttba_vltb1_1)-10))</f>
        <v>0</v>
      </c>
      <c r="G439" s="451">
        <f t="shared" ca="1" si="83"/>
        <v>0</v>
      </c>
      <c r="H439" s="450">
        <f t="shared" si="84"/>
        <v>0.2</v>
      </c>
      <c r="I439" s="447">
        <f t="shared" ca="1" si="85"/>
        <v>0</v>
      </c>
      <c r="J439" s="447">
        <f t="shared" ca="1" si="86"/>
        <v>0</v>
      </c>
      <c r="K439" s="1094">
        <f t="shared" ca="1" si="82"/>
        <v>0</v>
      </c>
    </row>
    <row r="440" spans="1:11" s="45" customFormat="1" ht="15.75" hidden="1">
      <c r="A440" s="373" t="str">
        <f>IF(AND(COUNTIF($A$5:$A$133,R_DG!A314)=0,R_DG!R314&gt;0,ISNUMBER(R_DG!R314)),R_DG!A314,"NONE")</f>
        <v>KE35</v>
      </c>
      <c r="B440" s="85">
        <f ca="1">IF(K440&gt;0,COUNTIF(K$6:K440,"&gt;0"),B439)</f>
        <v>24</v>
      </c>
      <c r="C440" s="1084" t="str">
        <f t="shared" si="87"/>
        <v>Kẹp ép WR cỡ dây 35mm2</v>
      </c>
      <c r="D440" s="85" t="str">
        <f t="shared" si="88"/>
        <v>cái</v>
      </c>
      <c r="E440" s="448">
        <f ca="1">SUMIF(OFFSET(tongctvtdd1,0,-(COLUMN(E440)+7-(COLUMN(E440)-5)/2)),KLVT!$A440,tongctvtdd1)+SUMIF(OFFSET(tongctvtpk1,0,-(COLUMN(E440)+7-(COLUMN(E440)-5)/2)),KLVT!$A440,tongctvtpk1)</f>
        <v>0</v>
      </c>
      <c r="F440" s="449">
        <f ca="1">SUMIF(OFFSET(cttba_vlvt1_1,0,-9,-ROW(cttba_vlvt1_1)+ROW(cttba_vltb1_1)-10),KLVT!$A440,OFFSET(cttba_vlvt1_1,0,-4,-ROW(cttba_vlvt1_1)+ROW(cttba_vltb1_1)-10))</f>
        <v>0</v>
      </c>
      <c r="G440" s="451">
        <f t="shared" ca="1" si="83"/>
        <v>0</v>
      </c>
      <c r="H440" s="450">
        <f t="shared" si="84"/>
        <v>0.2</v>
      </c>
      <c r="I440" s="447">
        <f t="shared" ca="1" si="85"/>
        <v>0</v>
      </c>
      <c r="J440" s="447">
        <f t="shared" ca="1" si="86"/>
        <v>0</v>
      </c>
      <c r="K440" s="374">
        <f t="shared" ca="1" si="82"/>
        <v>0</v>
      </c>
    </row>
    <row r="441" spans="1:11">
      <c r="A441" s="1251" t="str">
        <f>IF(AND(COUNTIF($A$5:$A$133,R_DG!A315)=0,R_DG!R315&gt;0,ISNUMBER(R_DG!R315)),R_DG!A315,"NONE")</f>
        <v>KE50</v>
      </c>
      <c r="B441" s="438">
        <f ca="1">IF(K441&gt;0,COUNTIF(K$6:K441,"&gt;0"),B440)</f>
        <v>25</v>
      </c>
      <c r="C441" s="1278" t="str">
        <f t="shared" si="87"/>
        <v>Kẹp ép WR cỡ dây 50mm2</v>
      </c>
      <c r="D441" s="438" t="str">
        <f t="shared" si="88"/>
        <v>cái</v>
      </c>
      <c r="E441" s="1276">
        <f ca="1">SUMIF(OFFSET(tongctvtdd1,0,-(COLUMN(E441)+7-(COLUMN(E441)-5)/2)),KLVT!$A441,tongctvtdd1)+SUMIF(OFFSET(tongctvtpk1,0,-(COLUMN(E441)+7-(COLUMN(E441)-5)/2)),KLVT!$A441,tongctvtpk1)</f>
        <v>54</v>
      </c>
      <c r="F441" s="1277">
        <f ca="1">SUMIF(OFFSET(cttba_vlvt1_1,0,-9,-ROW(cttba_vlvt1_1)+ROW(cttba_vltb1_1)-10),KLVT!$A441,OFFSET(cttba_vlvt1_1,0,-4,-ROW(cttba_vlvt1_1)+ROW(cttba_vltb1_1)-10))</f>
        <v>0</v>
      </c>
      <c r="G441" s="1277">
        <f t="shared" ca="1" si="83"/>
        <v>54</v>
      </c>
      <c r="H441" s="1274">
        <f t="shared" si="84"/>
        <v>0.2</v>
      </c>
      <c r="I441" s="1279">
        <f t="shared" ca="1" si="85"/>
        <v>10.8</v>
      </c>
      <c r="J441" s="1279">
        <f t="shared" ca="1" si="86"/>
        <v>0</v>
      </c>
      <c r="K441" s="1268">
        <f t="shared" ca="1" si="82"/>
        <v>1</v>
      </c>
    </row>
    <row r="442" spans="1:11">
      <c r="A442" s="1251" t="str">
        <f>IF(AND(COUNTIF($A$5:$A$133,R_DG!A316)=0,R_DG!R316&gt;0,ISNUMBER(R_DG!R316)),R_DG!A316,"NONE")</f>
        <v>KE70</v>
      </c>
      <c r="B442" s="438">
        <f ca="1">IF(K442&gt;0,COUNTIF(K$6:K442,"&gt;0"),B441)</f>
        <v>26</v>
      </c>
      <c r="C442" s="1278" t="str">
        <f t="shared" si="87"/>
        <v>Kẹp ép WR cỡ dây 70mm2</v>
      </c>
      <c r="D442" s="438" t="str">
        <f t="shared" si="88"/>
        <v>cái</v>
      </c>
      <c r="E442" s="1276">
        <f ca="1">SUMIF(OFFSET(tongctvtdd1,0,-(COLUMN(E442)+7-(COLUMN(E442)-5)/2)),KLVT!$A442,tongctvtdd1)+SUMIF(OFFSET(tongctvtpk1,0,-(COLUMN(E442)+7-(COLUMN(E442)-5)/2)),KLVT!$A442,tongctvtpk1)</f>
        <v>35</v>
      </c>
      <c r="F442" s="1277">
        <f ca="1">SUMIF(OFFSET(cttba_vlvt1_1,0,-9,-ROW(cttba_vlvt1_1)+ROW(cttba_vltb1_1)-10),KLVT!$A442,OFFSET(cttba_vlvt1_1,0,-4,-ROW(cttba_vlvt1_1)+ROW(cttba_vltb1_1)-10))</f>
        <v>0</v>
      </c>
      <c r="G442" s="1277">
        <f t="shared" ca="1" si="83"/>
        <v>35</v>
      </c>
      <c r="H442" s="1274">
        <f t="shared" si="84"/>
        <v>0.2</v>
      </c>
      <c r="I442" s="1279">
        <f t="shared" ca="1" si="85"/>
        <v>7</v>
      </c>
      <c r="J442" s="1279">
        <f t="shared" ca="1" si="86"/>
        <v>0</v>
      </c>
      <c r="K442" s="1268">
        <f t="shared" ca="1" si="82"/>
        <v>1</v>
      </c>
    </row>
    <row r="443" spans="1:11" s="45" customFormat="1" ht="15.75" hidden="1">
      <c r="A443" s="373" t="str">
        <f>IF(AND(COUNTIF($A$5:$A$133,R_DG!A317)=0,R_DG!R317&gt;0,ISNUMBER(R_DG!R317)),R_DG!A317,"NONE")</f>
        <v>KE95</v>
      </c>
      <c r="B443" s="85">
        <f ca="1">IF(K443&gt;0,COUNTIF(K$6:K443,"&gt;0"),B442)</f>
        <v>26</v>
      </c>
      <c r="C443" s="1084" t="str">
        <f t="shared" si="87"/>
        <v>Kẹp ép WR cỡ dây 95mm2</v>
      </c>
      <c r="D443" s="85" t="str">
        <f t="shared" si="88"/>
        <v>cái</v>
      </c>
      <c r="E443" s="448">
        <f ca="1">SUMIF(OFFSET(tongctvtdd1,0,-(COLUMN(E443)+7-(COLUMN(E443)-5)/2)),KLVT!$A443,tongctvtdd1)+SUMIF(OFFSET(tongctvtpk1,0,-(COLUMN(E443)+7-(COLUMN(E443)-5)/2)),KLVT!$A443,tongctvtpk1)</f>
        <v>0</v>
      </c>
      <c r="F443" s="449">
        <f ca="1">SUMIF(OFFSET(cttba_vlvt1_1,0,-9,-ROW(cttba_vlvt1_1)+ROW(cttba_vltb1_1)-10),KLVT!$A443,OFFSET(cttba_vlvt1_1,0,-4,-ROW(cttba_vlvt1_1)+ROW(cttba_vltb1_1)-10))</f>
        <v>0</v>
      </c>
      <c r="G443" s="451">
        <f t="shared" ca="1" si="83"/>
        <v>0</v>
      </c>
      <c r="H443" s="450">
        <f t="shared" si="84"/>
        <v>0.2</v>
      </c>
      <c r="I443" s="447">
        <f t="shared" ca="1" si="85"/>
        <v>0</v>
      </c>
      <c r="J443" s="447">
        <f t="shared" ca="1" si="86"/>
        <v>0</v>
      </c>
      <c r="K443" s="374">
        <f t="shared" ca="1" si="82"/>
        <v>0</v>
      </c>
    </row>
    <row r="444" spans="1:11" s="45" customFormat="1" ht="15.75" hidden="1">
      <c r="A444" s="373" t="str">
        <f>IF(AND(COUNTIF($A$5:$A$133,R_DG!A318)=0,R_DG!R318&gt;0,ISNUMBER(R_DG!R318)),R_DG!A318,"NONE")</f>
        <v>KE120</v>
      </c>
      <c r="B444" s="85">
        <f ca="1">IF(K444&gt;0,COUNTIF(K$6:K444,"&gt;0"),B443)</f>
        <v>26</v>
      </c>
      <c r="C444" s="1084" t="str">
        <f t="shared" si="87"/>
        <v>Kẹp ép WR cỡ dây 120mm2</v>
      </c>
      <c r="D444" s="85" t="str">
        <f t="shared" si="88"/>
        <v>cái</v>
      </c>
      <c r="E444" s="448">
        <f ca="1">SUMIF(OFFSET(tongctvtdd1,0,-(COLUMN(E444)+7-(COLUMN(E444)-5)/2)),KLVT!$A444,tongctvtdd1)+SUMIF(OFFSET(tongctvtpk1,0,-(COLUMN(E444)+7-(COLUMN(E444)-5)/2)),KLVT!$A444,tongctvtpk1)</f>
        <v>0</v>
      </c>
      <c r="F444" s="449">
        <f ca="1">SUMIF(OFFSET(cttba_vlvt1_1,0,-9,-ROW(cttba_vlvt1_1)+ROW(cttba_vltb1_1)-10),KLVT!$A444,OFFSET(cttba_vlvt1_1,0,-4,-ROW(cttba_vlvt1_1)+ROW(cttba_vltb1_1)-10))</f>
        <v>0</v>
      </c>
      <c r="G444" s="451">
        <f t="shared" ca="1" si="83"/>
        <v>0</v>
      </c>
      <c r="H444" s="450">
        <f t="shared" si="84"/>
        <v>0.2</v>
      </c>
      <c r="I444" s="447">
        <f t="shared" ca="1" si="85"/>
        <v>0</v>
      </c>
      <c r="J444" s="447">
        <f t="shared" ca="1" si="86"/>
        <v>0</v>
      </c>
      <c r="K444" s="373">
        <f t="shared" ca="1" si="82"/>
        <v>0</v>
      </c>
    </row>
    <row r="445" spans="1:11" s="45" customFormat="1" ht="15.75" hidden="1">
      <c r="A445" s="373" t="str">
        <f>IF(AND(COUNTIF($A$5:$A$133,R_DG!A319)=0,R_DG!R319&gt;0,ISNUMBER(R_DG!R319)),R_DG!A319,"NONE")</f>
        <v>KE150</v>
      </c>
      <c r="B445" s="85">
        <f ca="1">IF(K445&gt;0,COUNTIF(K$6:K445,"&gt;0"),B444)</f>
        <v>26</v>
      </c>
      <c r="C445" s="1084" t="str">
        <f t="shared" si="87"/>
        <v>Kẹp ép WR cỡ dây 150mm2</v>
      </c>
      <c r="D445" s="85" t="str">
        <f t="shared" si="88"/>
        <v>cái</v>
      </c>
      <c r="E445" s="448">
        <f ca="1">SUMIF(OFFSET(tongctvtdd1,0,-(COLUMN(E445)+7-(COLUMN(E445)-5)/2)),KLVT!$A445,tongctvtdd1)+SUMIF(OFFSET(tongctvtpk1,0,-(COLUMN(E445)+7-(COLUMN(E445)-5)/2)),KLVT!$A445,tongctvtpk1)</f>
        <v>0</v>
      </c>
      <c r="F445" s="449">
        <f ca="1">SUMIF(OFFSET(cttba_vlvt1_1,0,-9,-ROW(cttba_vlvt1_1)+ROW(cttba_vltb1_1)-10),KLVT!$A445,OFFSET(cttba_vlvt1_1,0,-4,-ROW(cttba_vlvt1_1)+ROW(cttba_vltb1_1)-10))</f>
        <v>0</v>
      </c>
      <c r="G445" s="451">
        <f t="shared" ca="1" si="83"/>
        <v>0</v>
      </c>
      <c r="H445" s="450">
        <f t="shared" si="84"/>
        <v>0.2</v>
      </c>
      <c r="I445" s="447">
        <f t="shared" ca="1" si="85"/>
        <v>0</v>
      </c>
      <c r="J445" s="447">
        <f t="shared" ca="1" si="86"/>
        <v>0</v>
      </c>
      <c r="K445" s="373">
        <f t="shared" ca="1" si="82"/>
        <v>0</v>
      </c>
    </row>
    <row r="446" spans="1:11" s="45" customFormat="1" ht="15.75" hidden="1">
      <c r="A446" s="373" t="str">
        <f>IF(AND(COUNTIF($A$5:$A$133,R_DG!A320)=0,R_DG!R320&gt;0,ISNUMBER(R_DG!R320)),R_DG!A320,"NONE")</f>
        <v>KE185</v>
      </c>
      <c r="B446" s="85">
        <f ca="1">IF(K446&gt;0,COUNTIF(K$6:K446,"&gt;0"),B445)</f>
        <v>26</v>
      </c>
      <c r="C446" s="1084" t="str">
        <f t="shared" si="87"/>
        <v>Kẹp ép WR cỡ dây 185mm2</v>
      </c>
      <c r="D446" s="85" t="str">
        <f t="shared" si="88"/>
        <v>cái</v>
      </c>
      <c r="E446" s="448">
        <f ca="1">SUMIF(OFFSET(tongctvtdd1,0,-(COLUMN(E446)+7-(COLUMN(E446)-5)/2)),KLVT!$A446,tongctvtdd1)+SUMIF(OFFSET(tongctvtpk1,0,-(COLUMN(E446)+7-(COLUMN(E446)-5)/2)),KLVT!$A446,tongctvtpk1)</f>
        <v>0</v>
      </c>
      <c r="F446" s="449">
        <f ca="1">SUMIF(OFFSET(cttba_vlvt1_1,0,-9,-ROW(cttba_vlvt1_1)+ROW(cttba_vltb1_1)-10),KLVT!$A446,OFFSET(cttba_vlvt1_1,0,-4,-ROW(cttba_vlvt1_1)+ROW(cttba_vltb1_1)-10))</f>
        <v>0</v>
      </c>
      <c r="G446" s="451">
        <f t="shared" ca="1" si="83"/>
        <v>0</v>
      </c>
      <c r="H446" s="450">
        <f t="shared" si="84"/>
        <v>0.2</v>
      </c>
      <c r="I446" s="447">
        <f t="shared" ca="1" si="85"/>
        <v>0</v>
      </c>
      <c r="J446" s="447">
        <f t="shared" ca="1" si="86"/>
        <v>0</v>
      </c>
      <c r="K446" s="374">
        <f t="shared" ca="1" si="82"/>
        <v>0</v>
      </c>
    </row>
    <row r="447" spans="1:11" s="45" customFormat="1" ht="15.75" hidden="1">
      <c r="A447" s="373" t="str">
        <f>IF(AND(COUNTIF($A$5:$A$133,R_DG!A321)=0,R_DG!R321&gt;0,ISNUMBER(R_DG!R321)),R_DG!A321,"NONE")</f>
        <v>KE240</v>
      </c>
      <c r="B447" s="85">
        <f ca="1">IF(K447&gt;0,COUNTIF(K$6:K447,"&gt;0"),B446)</f>
        <v>26</v>
      </c>
      <c r="C447" s="1084" t="str">
        <f t="shared" si="87"/>
        <v>Kẹp ép WR cỡ dây 240mm2</v>
      </c>
      <c r="D447" s="85" t="str">
        <f t="shared" si="88"/>
        <v>cái</v>
      </c>
      <c r="E447" s="448">
        <f ca="1">SUMIF(OFFSET(tongctvtdd1,0,-(COLUMN(E447)+7-(COLUMN(E447)-5)/2)),KLVT!$A447,tongctvtdd1)+SUMIF(OFFSET(tongctvtpk1,0,-(COLUMN(E447)+7-(COLUMN(E447)-5)/2)),KLVT!$A447,tongctvtpk1)</f>
        <v>0</v>
      </c>
      <c r="F447" s="449">
        <f ca="1">SUMIF(OFFSET(cttba_vlvt1_1,0,-9,-ROW(cttba_vlvt1_1)+ROW(cttba_vltb1_1)-10),KLVT!$A447,OFFSET(cttba_vlvt1_1,0,-4,-ROW(cttba_vlvt1_1)+ROW(cttba_vltb1_1)-10))</f>
        <v>0</v>
      </c>
      <c r="G447" s="451">
        <f t="shared" ca="1" si="83"/>
        <v>0</v>
      </c>
      <c r="H447" s="450">
        <f t="shared" si="84"/>
        <v>0.2</v>
      </c>
      <c r="I447" s="447">
        <f t="shared" ca="1" si="85"/>
        <v>0</v>
      </c>
      <c r="J447" s="447">
        <f t="shared" ca="1" si="86"/>
        <v>0</v>
      </c>
      <c r="K447" s="373">
        <f t="shared" ref="K447:K510" ca="1" si="89">IF(G447&gt;0,1,0)</f>
        <v>0</v>
      </c>
    </row>
    <row r="448" spans="1:11" s="45" customFormat="1" hidden="1">
      <c r="A448" s="373" t="str">
        <f>IF(AND(COUNTIF($A$5:$A$133,R_DG!A322)=0,R_DG!R322&gt;0,ISNUMBER(R_DG!R322)),R_DG!A322,"NONE")</f>
        <v>KCUAL</v>
      </c>
      <c r="B448" s="85">
        <f ca="1">IF(K448&gt;0,COUNTIF(K$6:K448,"&gt;0"),B447)</f>
        <v>26</v>
      </c>
      <c r="C448" s="1084" t="str">
        <f t="shared" si="87"/>
        <v>Kẹp nối đồng-nhôm</v>
      </c>
      <c r="D448" s="85" t="str">
        <f t="shared" si="88"/>
        <v>cái</v>
      </c>
      <c r="E448" s="448">
        <f ca="1">SUMIF(OFFSET(tongctvtdd1,0,-(COLUMN(E448)+7-(COLUMN(E448)-5)/2)),KLVT!$A448,tongctvtdd1)+SUMIF(OFFSET(tongctvtpk1,0,-(COLUMN(E448)+7-(COLUMN(E448)-5)/2)),KLVT!$A448,tongctvtpk1)</f>
        <v>0</v>
      </c>
      <c r="F448" s="449">
        <f ca="1">SUMIF(OFFSET(cttba_vlvt1_1,0,-9,-ROW(cttba_vlvt1_1)+ROW(cttba_vltb1_1)-10),KLVT!$A448,OFFSET(cttba_vlvt1_1,0,-4,-ROW(cttba_vlvt1_1)+ROW(cttba_vltb1_1)-10))</f>
        <v>0</v>
      </c>
      <c r="G448" s="451">
        <f t="shared" ca="1" si="83"/>
        <v>0</v>
      </c>
      <c r="H448" s="450">
        <f t="shared" si="84"/>
        <v>0.1</v>
      </c>
      <c r="I448" s="447">
        <f t="shared" ca="1" si="85"/>
        <v>0</v>
      </c>
      <c r="J448" s="447">
        <f t="shared" ca="1" si="86"/>
        <v>0</v>
      </c>
      <c r="K448" s="1095">
        <f t="shared" ca="1" si="89"/>
        <v>0</v>
      </c>
    </row>
    <row r="449" spans="1:11" s="45" customFormat="1" ht="15.75" hidden="1">
      <c r="A449" s="373" t="str">
        <f>IF(AND(COUNTIF($A$5:$A$133,R_DG!A323)=0,R_DG!R323&gt;0,ISNUMBER(R_DG!R323)),R_DG!A323,"NONE")</f>
        <v>KCUAL60</v>
      </c>
      <c r="B449" s="85">
        <f ca="1">IF(K449&gt;0,COUNTIF(K$6:K449,"&gt;0"),B448)</f>
        <v>26</v>
      </c>
      <c r="C449" s="1084" t="str">
        <f t="shared" si="87"/>
        <v>Kẹp nối đồng-nhôm 60mm2</v>
      </c>
      <c r="D449" s="85" t="str">
        <f t="shared" si="88"/>
        <v>cái</v>
      </c>
      <c r="E449" s="448">
        <f ca="1">SUMIF(OFFSET(tongctvtdd1,0,-(COLUMN(E449)+7-(COLUMN(E449)-5)/2)),KLVT!$A449,tongctvtdd1)+SUMIF(OFFSET(tongctvtpk1,0,-(COLUMN(E449)+7-(COLUMN(E449)-5)/2)),KLVT!$A449,tongctvtpk1)</f>
        <v>0</v>
      </c>
      <c r="F449" s="449">
        <f ca="1">SUMIF(OFFSET(cttba_vlvt1_1,0,-9,-ROW(cttba_vlvt1_1)+ROW(cttba_vltb1_1)-10),KLVT!$A449,OFFSET(cttba_vlvt1_1,0,-4,-ROW(cttba_vlvt1_1)+ROW(cttba_vltb1_1)-10))</f>
        <v>0</v>
      </c>
      <c r="G449" s="451">
        <f t="shared" ca="1" si="83"/>
        <v>0</v>
      </c>
      <c r="H449" s="450">
        <f t="shared" si="84"/>
        <v>0.1</v>
      </c>
      <c r="I449" s="447">
        <f t="shared" ca="1" si="85"/>
        <v>0</v>
      </c>
      <c r="J449" s="447">
        <f t="shared" ca="1" si="86"/>
        <v>0</v>
      </c>
      <c r="K449" s="374">
        <f t="shared" ca="1" si="89"/>
        <v>0</v>
      </c>
    </row>
    <row r="450" spans="1:11" s="45" customFormat="1" hidden="1">
      <c r="A450" s="373" t="str">
        <f>IF(AND(COUNTIF($A$5:$A$133,R_DG!A324)=0,R_DG!R324&gt;0,ISNUMBER(R_DG!R324)),R_DG!A324,"NONE")</f>
        <v>KQ2/0</v>
      </c>
      <c r="B450" s="85">
        <f ca="1">IF(K450&gt;0,COUNTIF(K$6:K450,"&gt;0"),B449)</f>
        <v>26</v>
      </c>
      <c r="C450" s="1084" t="str">
        <f t="shared" si="87"/>
        <v>Kẹp quai 2/0</v>
      </c>
      <c r="D450" s="85" t="str">
        <f t="shared" si="88"/>
        <v>cái</v>
      </c>
      <c r="E450" s="448">
        <f ca="1">SUMIF(OFFSET(tongctvtdd1,0,-(COLUMN(E450)+7-(COLUMN(E450)-5)/2)),KLVT!$A450,tongctvtdd1)+SUMIF(OFFSET(tongctvtpk1,0,-(COLUMN(E450)+7-(COLUMN(E450)-5)/2)),KLVT!$A450,tongctvtpk1)</f>
        <v>0</v>
      </c>
      <c r="F450" s="449">
        <f ca="1">SUMIF(OFFSET(cttba_vlvt1_1,0,-9,-ROW(cttba_vlvt1_1)+ROW(cttba_vltb1_1)-10),KLVT!$A450,OFFSET(cttba_vlvt1_1,0,-4,-ROW(cttba_vlvt1_1)+ROW(cttba_vltb1_1)-10))</f>
        <v>0</v>
      </c>
      <c r="G450" s="451">
        <f t="shared" ca="1" si="83"/>
        <v>0</v>
      </c>
      <c r="H450" s="450">
        <f t="shared" si="84"/>
        <v>0.1</v>
      </c>
      <c r="I450" s="447">
        <f t="shared" ca="1" si="85"/>
        <v>0</v>
      </c>
      <c r="J450" s="447">
        <f t="shared" ca="1" si="86"/>
        <v>0</v>
      </c>
      <c r="K450" s="1094">
        <f t="shared" ca="1" si="89"/>
        <v>0</v>
      </c>
    </row>
    <row r="451" spans="1:11">
      <c r="A451" s="1251" t="str">
        <f>IF(AND(COUNTIF($A$5:$A$133,R_DG!A325)=0,R_DG!R325&gt;0,ISNUMBER(R_DG!R325)),R_DG!A325,"NONE")</f>
        <v>KQ4/0</v>
      </c>
      <c r="B451" s="438">
        <f ca="1">IF(K451&gt;0,COUNTIF(K$6:K451,"&gt;0"),B450)</f>
        <v>27</v>
      </c>
      <c r="C451" s="1278" t="str">
        <f t="shared" si="87"/>
        <v>Kẹp quai 4/0</v>
      </c>
      <c r="D451" s="438" t="str">
        <f t="shared" si="88"/>
        <v>cái</v>
      </c>
      <c r="E451" s="1276">
        <f ca="1">SUMIF(OFFSET(tongctvtdd1,0,-(COLUMN(E451)+7-(COLUMN(E451)-5)/2)),KLVT!$A451,tongctvtdd1)+SUMIF(OFFSET(tongctvtpk1,0,-(COLUMN(E451)+7-(COLUMN(E451)-5)/2)),KLVT!$A451,tongctvtpk1)</f>
        <v>12</v>
      </c>
      <c r="F451" s="1277">
        <f ca="1">SUMIF(OFFSET(cttba_vlvt1_1,0,-9,-ROW(cttba_vlvt1_1)+ROW(cttba_vltb1_1)-10),KLVT!$A451,OFFSET(cttba_vlvt1_1,0,-4,-ROW(cttba_vlvt1_1)+ROW(cttba_vltb1_1)-10))</f>
        <v>0</v>
      </c>
      <c r="G451" s="1277">
        <f t="shared" ca="1" si="83"/>
        <v>12</v>
      </c>
      <c r="H451" s="1274">
        <f t="shared" si="84"/>
        <v>0.1</v>
      </c>
      <c r="I451" s="1279">
        <f t="shared" ca="1" si="85"/>
        <v>1.2000000000000002</v>
      </c>
      <c r="J451" s="1279">
        <f t="shared" ca="1" si="86"/>
        <v>0</v>
      </c>
      <c r="K451" s="1268">
        <f t="shared" ca="1" si="89"/>
        <v>1</v>
      </c>
    </row>
    <row r="452" spans="1:11" s="45" customFormat="1" hidden="1">
      <c r="A452" s="373" t="str">
        <f>IF(AND(COUNTIF($A$5:$A$133,R_DG!A326)=0,R_DG!R326&gt;0,ISNUMBER(R_DG!R326)),R_DG!A326,"NONE")</f>
        <v>KH2/0</v>
      </c>
      <c r="B452" s="85">
        <f ca="1">IF(K452&gt;0,COUNTIF(K$6:K452,"&gt;0"),B451)</f>
        <v>27</v>
      </c>
      <c r="C452" s="1084" t="str">
        <f t="shared" si="87"/>
        <v>Kẹp hotline 2/0</v>
      </c>
      <c r="D452" s="85" t="str">
        <f t="shared" si="88"/>
        <v>cái</v>
      </c>
      <c r="E452" s="448">
        <f ca="1">SUMIF(OFFSET(tongctvtdd1,0,-(COLUMN(E452)+7-(COLUMN(E452)-5)/2)),KLVT!$A452,tongctvtdd1)+SUMIF(OFFSET(tongctvtpk1,0,-(COLUMN(E452)+7-(COLUMN(E452)-5)/2)),KLVT!$A452,tongctvtpk1)</f>
        <v>0</v>
      </c>
      <c r="F452" s="449">
        <f ca="1">SUMIF(OFFSET(cttba_vlvt1_1,0,-9,-ROW(cttba_vlvt1_1)+ROW(cttba_vltb1_1)-10),KLVT!$A452,OFFSET(cttba_vlvt1_1,0,-4,-ROW(cttba_vlvt1_1)+ROW(cttba_vltb1_1)-10))</f>
        <v>0</v>
      </c>
      <c r="G452" s="451">
        <f t="shared" ca="1" si="83"/>
        <v>0</v>
      </c>
      <c r="H452" s="450">
        <f t="shared" si="84"/>
        <v>0.1</v>
      </c>
      <c r="I452" s="447">
        <f t="shared" ca="1" si="85"/>
        <v>0</v>
      </c>
      <c r="J452" s="447">
        <f t="shared" ca="1" si="86"/>
        <v>0</v>
      </c>
      <c r="K452" s="1094">
        <f t="shared" ca="1" si="89"/>
        <v>0</v>
      </c>
    </row>
    <row r="453" spans="1:11">
      <c r="A453" s="1251" t="str">
        <f>IF(AND(COUNTIF($A$5:$A$133,R_DG!A327)=0,R_DG!R327&gt;0,ISNUMBER(R_DG!R327)),R_DG!A327,"NONE")</f>
        <v>KH4/0</v>
      </c>
      <c r="B453" s="438">
        <f ca="1">IF(K453&gt;0,COUNTIF(K$6:K453,"&gt;0"),B452)</f>
        <v>28</v>
      </c>
      <c r="C453" s="1278" t="str">
        <f t="shared" si="87"/>
        <v>Kẹp hotline 4/0</v>
      </c>
      <c r="D453" s="438" t="str">
        <f t="shared" si="88"/>
        <v>cái</v>
      </c>
      <c r="E453" s="1276">
        <f ca="1">SUMIF(OFFSET(tongctvtdd1,0,-(COLUMN(E453)+7-(COLUMN(E453)-5)/2)),KLVT!$A453,tongctvtdd1)+SUMIF(OFFSET(tongctvtpk1,0,-(COLUMN(E453)+7-(COLUMN(E453)-5)/2)),KLVT!$A453,tongctvtpk1)</f>
        <v>12</v>
      </c>
      <c r="F453" s="1277">
        <f ca="1">SUMIF(OFFSET(cttba_vlvt1_1,0,-9,-ROW(cttba_vlvt1_1)+ROW(cttba_vltb1_1)-10),KLVT!$A453,OFFSET(cttba_vlvt1_1,0,-4,-ROW(cttba_vlvt1_1)+ROW(cttba_vltb1_1)-10))</f>
        <v>0</v>
      </c>
      <c r="G453" s="1277">
        <f t="shared" ca="1" si="83"/>
        <v>12</v>
      </c>
      <c r="H453" s="1274">
        <f t="shared" si="84"/>
        <v>0.1</v>
      </c>
      <c r="I453" s="1279">
        <f t="shared" ca="1" si="85"/>
        <v>1.2000000000000002</v>
      </c>
      <c r="J453" s="1279">
        <f t="shared" ca="1" si="86"/>
        <v>0</v>
      </c>
      <c r="K453" s="1268">
        <f t="shared" ca="1" si="89"/>
        <v>1</v>
      </c>
    </row>
    <row r="454" spans="1:11" s="45" customFormat="1" ht="15.75" hidden="1">
      <c r="A454" s="373" t="str">
        <f>IF(AND(COUNTIF($A$5:$A$133,R_DG!A328)=0,R_DG!R328&gt;0,ISNUMBER(R_DG!R328)),R_DG!A328,"NONE")</f>
        <v>KH350M</v>
      </c>
      <c r="B454" s="85">
        <f ca="1">IF(K454&gt;0,COUNTIF(K$6:K454,"&gt;0"),B453)</f>
        <v>28</v>
      </c>
      <c r="C454" s="1084" t="str">
        <f t="shared" si="87"/>
        <v>Kẹp hotline 350MCM</v>
      </c>
      <c r="D454" s="85" t="str">
        <f t="shared" si="88"/>
        <v>cái</v>
      </c>
      <c r="E454" s="448">
        <f ca="1">SUMIF(OFFSET(tongctvtdd1,0,-(COLUMN(E454)+7-(COLUMN(E454)-5)/2)),KLVT!$A454,tongctvtdd1)+SUMIF(OFFSET(tongctvtpk1,0,-(COLUMN(E454)+7-(COLUMN(E454)-5)/2)),KLVT!$A454,tongctvtpk1)</f>
        <v>0</v>
      </c>
      <c r="F454" s="449">
        <f ca="1">SUMIF(OFFSET(cttba_vlvt1_1,0,-9,-ROW(cttba_vlvt1_1)+ROW(cttba_vltb1_1)-10),KLVT!$A454,OFFSET(cttba_vlvt1_1,0,-4,-ROW(cttba_vlvt1_1)+ROW(cttba_vltb1_1)-10))</f>
        <v>0</v>
      </c>
      <c r="G454" s="451">
        <f t="shared" ref="G454:G517" ca="1" si="90">SUM(E454:F454)</f>
        <v>0</v>
      </c>
      <c r="H454" s="450">
        <f t="shared" ref="H454:H517" si="91">VLOOKUP(A454,DONGIA,18,0)</f>
        <v>0.1</v>
      </c>
      <c r="I454" s="447">
        <f t="shared" ref="I454:I517" ca="1" si="92">E454*$H454</f>
        <v>0</v>
      </c>
      <c r="J454" s="447">
        <f t="shared" ref="J454:J517" ca="1" si="93">F454*$H454</f>
        <v>0</v>
      </c>
      <c r="K454" s="373">
        <f t="shared" ca="1" si="89"/>
        <v>0</v>
      </c>
    </row>
    <row r="455" spans="1:11" s="45" customFormat="1" ht="15.75" hidden="1">
      <c r="A455" s="373" t="str">
        <f>IF(AND(COUNTIF($A$5:$A$133,R_DG!A329)=0,R_DG!R329&gt;0,ISNUMBER(R_DG!R329)),R_DG!A329,"NONE")</f>
        <v>KEU35</v>
      </c>
      <c r="B455" s="85">
        <f ca="1">IF(K455&gt;0,COUNTIF(K$6:K455,"&gt;0"),B454)</f>
        <v>28</v>
      </c>
      <c r="C455" s="1084" t="str">
        <f t="shared" si="87"/>
        <v>Kẹp U bolt dây 35mm2</v>
      </c>
      <c r="D455" s="85" t="str">
        <f t="shared" si="88"/>
        <v>cái</v>
      </c>
      <c r="E455" s="448">
        <f ca="1">SUMIF(OFFSET(tongctvtdd1,0,-(COLUMN(E455)+7-(COLUMN(E455)-5)/2)),KLVT!$A455,tongctvtdd1)+SUMIF(OFFSET(tongctvtpk1,0,-(COLUMN(E455)+7-(COLUMN(E455)-5)/2)),KLVT!$A455,tongctvtpk1)</f>
        <v>0</v>
      </c>
      <c r="F455" s="449">
        <f ca="1">SUMIF(OFFSET(cttba_vlvt1_1,0,-9,-ROW(cttba_vlvt1_1)+ROW(cttba_vltb1_1)-10),KLVT!$A455,OFFSET(cttba_vlvt1_1,0,-4,-ROW(cttba_vlvt1_1)+ROW(cttba_vltb1_1)-10))</f>
        <v>0</v>
      </c>
      <c r="G455" s="451">
        <f t="shared" ca="1" si="90"/>
        <v>0</v>
      </c>
      <c r="H455" s="450">
        <f t="shared" si="91"/>
        <v>0.1</v>
      </c>
      <c r="I455" s="447">
        <f t="shared" ca="1" si="92"/>
        <v>0</v>
      </c>
      <c r="J455" s="447">
        <f t="shared" ca="1" si="93"/>
        <v>0</v>
      </c>
      <c r="K455" s="373">
        <f t="shared" ca="1" si="89"/>
        <v>0</v>
      </c>
    </row>
    <row r="456" spans="1:11" s="45" customFormat="1" ht="15.75" hidden="1">
      <c r="A456" s="373" t="str">
        <f>IF(AND(COUNTIF($A$5:$A$133,R_DG!A330)=0,R_DG!R330&gt;0,ISNUMBER(R_DG!R330)),R_DG!A330,"NONE")</f>
        <v>KEU50</v>
      </c>
      <c r="B456" s="85">
        <f ca="1">IF(K456&gt;0,COUNTIF(K$6:K456,"&gt;0"),B455)</f>
        <v>28</v>
      </c>
      <c r="C456" s="1084" t="str">
        <f t="shared" si="87"/>
        <v>Kẹp U bolt dây 50mm2</v>
      </c>
      <c r="D456" s="85" t="str">
        <f t="shared" si="88"/>
        <v>cái</v>
      </c>
      <c r="E456" s="448">
        <f ca="1">SUMIF(OFFSET(tongctvtdd1,0,-(COLUMN(E456)+7-(COLUMN(E456)-5)/2)),KLVT!$A456,tongctvtdd1)+SUMIF(OFFSET(tongctvtpk1,0,-(COLUMN(E456)+7-(COLUMN(E456)-5)/2)),KLVT!$A456,tongctvtpk1)</f>
        <v>0</v>
      </c>
      <c r="F456" s="449">
        <f ca="1">SUMIF(OFFSET(cttba_vlvt1_1,0,-9,-ROW(cttba_vlvt1_1)+ROW(cttba_vltb1_1)-10),KLVT!$A456,OFFSET(cttba_vlvt1_1,0,-4,-ROW(cttba_vlvt1_1)+ROW(cttba_vltb1_1)-10))</f>
        <v>0</v>
      </c>
      <c r="G456" s="451">
        <f t="shared" ca="1" si="90"/>
        <v>0</v>
      </c>
      <c r="H456" s="450">
        <f t="shared" si="91"/>
        <v>0.1</v>
      </c>
      <c r="I456" s="447">
        <f t="shared" ca="1" si="92"/>
        <v>0</v>
      </c>
      <c r="J456" s="447">
        <f t="shared" ca="1" si="93"/>
        <v>0</v>
      </c>
      <c r="K456" s="373">
        <f t="shared" ca="1" si="89"/>
        <v>0</v>
      </c>
    </row>
    <row r="457" spans="1:11" s="45" customFormat="1" ht="15.75" hidden="1">
      <c r="A457" s="373" t="str">
        <f>IF(AND(COUNTIF($A$5:$A$133,R_DG!A331)=0,R_DG!R331&gt;0,ISNUMBER(R_DG!R331)),R_DG!A331,"NONE")</f>
        <v>KEU70</v>
      </c>
      <c r="B457" s="85">
        <f ca="1">IF(K457&gt;0,COUNTIF(K$6:K457,"&gt;0"),B456)</f>
        <v>28</v>
      </c>
      <c r="C457" s="1084" t="str">
        <f t="shared" si="87"/>
        <v>Kẹp U bolt dây 70mm2</v>
      </c>
      <c r="D457" s="85" t="str">
        <f t="shared" si="88"/>
        <v>cái</v>
      </c>
      <c r="E457" s="448">
        <f ca="1">SUMIF(OFFSET(tongctvtdd1,0,-(COLUMN(E457)+7-(COLUMN(E457)-5)/2)),KLVT!$A457,tongctvtdd1)+SUMIF(OFFSET(tongctvtpk1,0,-(COLUMN(E457)+7-(COLUMN(E457)-5)/2)),KLVT!$A457,tongctvtpk1)</f>
        <v>0</v>
      </c>
      <c r="F457" s="449">
        <f ca="1">SUMIF(OFFSET(cttba_vlvt1_1,0,-9,-ROW(cttba_vlvt1_1)+ROW(cttba_vltb1_1)-10),KLVT!$A457,OFFSET(cttba_vlvt1_1,0,-4,-ROW(cttba_vlvt1_1)+ROW(cttba_vltb1_1)-10))</f>
        <v>0</v>
      </c>
      <c r="G457" s="451">
        <f t="shared" ca="1" si="90"/>
        <v>0</v>
      </c>
      <c r="H457" s="450">
        <f t="shared" si="91"/>
        <v>0.1</v>
      </c>
      <c r="I457" s="447">
        <f t="shared" ca="1" si="92"/>
        <v>0</v>
      </c>
      <c r="J457" s="447">
        <f t="shared" ca="1" si="93"/>
        <v>0</v>
      </c>
      <c r="K457" s="373">
        <f t="shared" ca="1" si="89"/>
        <v>0</v>
      </c>
    </row>
    <row r="458" spans="1:11" s="45" customFormat="1" ht="15.75" hidden="1">
      <c r="A458" s="373" t="str">
        <f>IF(AND(COUNTIF($A$5:$A$133,R_DG!A332)=0,R_DG!R332&gt;0,ISNUMBER(R_DG!R332)),R_DG!A332,"NONE")</f>
        <v>KEU95</v>
      </c>
      <c r="B458" s="85">
        <f ca="1">IF(K458&gt;0,COUNTIF(K$6:K458,"&gt;0"),B457)</f>
        <v>28</v>
      </c>
      <c r="C458" s="1084" t="str">
        <f t="shared" si="87"/>
        <v>Kẹp U bolt dây 95mm2</v>
      </c>
      <c r="D458" s="85" t="str">
        <f t="shared" si="88"/>
        <v>cái</v>
      </c>
      <c r="E458" s="448">
        <f ca="1">SUMIF(OFFSET(tongctvtdd1,0,-(COLUMN(E458)+7-(COLUMN(E458)-5)/2)),KLVT!$A458,tongctvtdd1)+SUMIF(OFFSET(tongctvtpk1,0,-(COLUMN(E458)+7-(COLUMN(E458)-5)/2)),KLVT!$A458,tongctvtpk1)</f>
        <v>0</v>
      </c>
      <c r="F458" s="449">
        <f ca="1">SUMIF(OFFSET(cttba_vlvt1_1,0,-9,-ROW(cttba_vlvt1_1)+ROW(cttba_vltb1_1)-10),KLVT!$A458,OFFSET(cttba_vlvt1_1,0,-4,-ROW(cttba_vlvt1_1)+ROW(cttba_vltb1_1)-10))</f>
        <v>0</v>
      </c>
      <c r="G458" s="451">
        <f t="shared" ca="1" si="90"/>
        <v>0</v>
      </c>
      <c r="H458" s="450">
        <f t="shared" si="91"/>
        <v>0.1</v>
      </c>
      <c r="I458" s="447">
        <f t="shared" ca="1" si="92"/>
        <v>0</v>
      </c>
      <c r="J458" s="447">
        <f t="shared" ca="1" si="93"/>
        <v>0</v>
      </c>
      <c r="K458" s="373">
        <f t="shared" ca="1" si="89"/>
        <v>0</v>
      </c>
    </row>
    <row r="459" spans="1:11" s="45" customFormat="1" ht="15.75" hidden="1">
      <c r="A459" s="373" t="str">
        <f>IF(AND(COUNTIF($A$5:$A$133,R_DG!A333)=0,R_DG!R333&gt;0,ISNUMBER(R_DG!R333)),R_DG!A333,"NONE")</f>
        <v>KD50</v>
      </c>
      <c r="B459" s="85">
        <f ca="1">IF(K459&gt;0,COUNTIF(K$6:K459,"&gt;0"),B458)</f>
        <v>28</v>
      </c>
      <c r="C459" s="1084" t="str">
        <f t="shared" si="87"/>
        <v>Khóa đỡ dây cỡ dây 50</v>
      </c>
      <c r="D459" s="85" t="str">
        <f t="shared" si="88"/>
        <v>cái</v>
      </c>
      <c r="E459" s="448">
        <f ca="1">SUMIF(OFFSET(tongctvtdd1,0,-(COLUMN(E459)+7-(COLUMN(E459)-5)/2)),KLVT!$A459,tongctvtdd1)+SUMIF(OFFSET(tongctvtpk1,0,-(COLUMN(E459)+7-(COLUMN(E459)-5)/2)),KLVT!$A459,tongctvtpk1)</f>
        <v>0</v>
      </c>
      <c r="F459" s="449">
        <f ca="1">SUMIF(OFFSET(cttba_vlvt1_1,0,-9,-ROW(cttba_vlvt1_1)+ROW(cttba_vltb1_1)-10),KLVT!$A459,OFFSET(cttba_vlvt1_1,0,-4,-ROW(cttba_vlvt1_1)+ROW(cttba_vltb1_1)-10))</f>
        <v>0</v>
      </c>
      <c r="G459" s="451">
        <f t="shared" ca="1" si="90"/>
        <v>0</v>
      </c>
      <c r="H459" s="450">
        <f t="shared" si="91"/>
        <v>0.5</v>
      </c>
      <c r="I459" s="447">
        <f t="shared" ca="1" si="92"/>
        <v>0</v>
      </c>
      <c r="J459" s="447">
        <f t="shared" ca="1" si="93"/>
        <v>0</v>
      </c>
      <c r="K459" s="374">
        <f t="shared" ca="1" si="89"/>
        <v>0</v>
      </c>
    </row>
    <row r="460" spans="1:11" s="45" customFormat="1" ht="15.75" hidden="1">
      <c r="A460" s="373" t="str">
        <f>IF(AND(COUNTIF($A$5:$A$133,R_DG!A334)=0,R_DG!R334&gt;0,ISNUMBER(R_DG!R334)),R_DG!A334,"NONE")</f>
        <v>KD70</v>
      </c>
      <c r="B460" s="85">
        <f ca="1">IF(K460&gt;0,COUNTIF(K$6:K460,"&gt;0"),B459)</f>
        <v>28</v>
      </c>
      <c r="C460" s="1084" t="str">
        <f t="shared" si="87"/>
        <v>Khóa đỡ dây cỡ dây 70</v>
      </c>
      <c r="D460" s="85" t="str">
        <f t="shared" si="88"/>
        <v>cái</v>
      </c>
      <c r="E460" s="448">
        <f ca="1">SUMIF(OFFSET(tongctvtdd1,0,-(COLUMN(E460)+7-(COLUMN(E460)-5)/2)),KLVT!$A460,tongctvtdd1)+SUMIF(OFFSET(tongctvtpk1,0,-(COLUMN(E460)+7-(COLUMN(E460)-5)/2)),KLVT!$A460,tongctvtpk1)</f>
        <v>0</v>
      </c>
      <c r="F460" s="449">
        <f ca="1">SUMIF(OFFSET(cttba_vlvt1_1,0,-9,-ROW(cttba_vlvt1_1)+ROW(cttba_vltb1_1)-10),KLVT!$A460,OFFSET(cttba_vlvt1_1,0,-4,-ROW(cttba_vlvt1_1)+ROW(cttba_vltb1_1)-10))</f>
        <v>0</v>
      </c>
      <c r="G460" s="451">
        <f t="shared" ca="1" si="90"/>
        <v>0</v>
      </c>
      <c r="H460" s="450">
        <f t="shared" si="91"/>
        <v>0.5</v>
      </c>
      <c r="I460" s="447">
        <f t="shared" ca="1" si="92"/>
        <v>0</v>
      </c>
      <c r="J460" s="447">
        <f t="shared" ca="1" si="93"/>
        <v>0</v>
      </c>
      <c r="K460" s="373">
        <f t="shared" ca="1" si="89"/>
        <v>0</v>
      </c>
    </row>
    <row r="461" spans="1:11" s="45" customFormat="1" ht="15.75" hidden="1">
      <c r="A461" s="373" t="str">
        <f>IF(AND(COUNTIF($A$5:$A$133,R_DG!A335)=0,R_DG!R335&gt;0,ISNUMBER(R_DG!R335)),R_DG!A335,"NONE")</f>
        <v>KD95</v>
      </c>
      <c r="B461" s="85">
        <f ca="1">IF(K461&gt;0,COUNTIF(K$6:K461,"&gt;0"),B460)</f>
        <v>28</v>
      </c>
      <c r="C461" s="1084" t="str">
        <f t="shared" si="87"/>
        <v>Khóa đỡ dây cỡ dây 95</v>
      </c>
      <c r="D461" s="85" t="str">
        <f t="shared" si="88"/>
        <v>cái</v>
      </c>
      <c r="E461" s="448">
        <f ca="1">SUMIF(OFFSET(tongctvtdd1,0,-(COLUMN(E461)+7-(COLUMN(E461)-5)/2)),KLVT!$A461,tongctvtdd1)+SUMIF(OFFSET(tongctvtpk1,0,-(COLUMN(E461)+7-(COLUMN(E461)-5)/2)),KLVT!$A461,tongctvtpk1)</f>
        <v>0</v>
      </c>
      <c r="F461" s="449">
        <f ca="1">SUMIF(OFFSET(cttba_vlvt1_1,0,-9,-ROW(cttba_vlvt1_1)+ROW(cttba_vltb1_1)-10),KLVT!$A461,OFFSET(cttba_vlvt1_1,0,-4,-ROW(cttba_vlvt1_1)+ROW(cttba_vltb1_1)-10))</f>
        <v>0</v>
      </c>
      <c r="G461" s="451">
        <f t="shared" ca="1" si="90"/>
        <v>0</v>
      </c>
      <c r="H461" s="450">
        <f t="shared" si="91"/>
        <v>0.5</v>
      </c>
      <c r="I461" s="447">
        <f t="shared" ca="1" si="92"/>
        <v>0</v>
      </c>
      <c r="J461" s="447">
        <f t="shared" ca="1" si="93"/>
        <v>0</v>
      </c>
      <c r="K461" s="373">
        <f t="shared" ca="1" si="89"/>
        <v>0</v>
      </c>
    </row>
    <row r="462" spans="1:11" s="45" customFormat="1" ht="15.75" hidden="1">
      <c r="A462" s="373" t="str">
        <f>IF(AND(COUNTIF($A$5:$A$133,R_DG!A336)=0,R_DG!R336&gt;0,ISNUMBER(R_DG!R336)),R_DG!A336,"NONE")</f>
        <v>KD120</v>
      </c>
      <c r="B462" s="85">
        <f ca="1">IF(K462&gt;0,COUNTIF(K$6:K462,"&gt;0"),B461)</f>
        <v>28</v>
      </c>
      <c r="C462" s="1084" t="str">
        <f t="shared" si="87"/>
        <v>Khóa đỡ dây cỡ dây 120</v>
      </c>
      <c r="D462" s="85" t="str">
        <f t="shared" si="88"/>
        <v>cái</v>
      </c>
      <c r="E462" s="448">
        <f ca="1">SUMIF(OFFSET(tongctvtdd1,0,-(COLUMN(E462)+7-(COLUMN(E462)-5)/2)),KLVT!$A462,tongctvtdd1)+SUMIF(OFFSET(tongctvtpk1,0,-(COLUMN(E462)+7-(COLUMN(E462)-5)/2)),KLVT!$A462,tongctvtpk1)</f>
        <v>0</v>
      </c>
      <c r="F462" s="449">
        <f ca="1">SUMIF(OFFSET(cttba_vlvt1_1,0,-9,-ROW(cttba_vlvt1_1)+ROW(cttba_vltb1_1)-10),KLVT!$A462,OFFSET(cttba_vlvt1_1,0,-4,-ROW(cttba_vlvt1_1)+ROW(cttba_vltb1_1)-10))</f>
        <v>0</v>
      </c>
      <c r="G462" s="451">
        <f t="shared" ca="1" si="90"/>
        <v>0</v>
      </c>
      <c r="H462" s="450">
        <f t="shared" si="91"/>
        <v>0.5</v>
      </c>
      <c r="I462" s="447">
        <f t="shared" ca="1" si="92"/>
        <v>0</v>
      </c>
      <c r="J462" s="447">
        <f t="shared" ca="1" si="93"/>
        <v>0</v>
      </c>
      <c r="K462" s="373">
        <f t="shared" ca="1" si="89"/>
        <v>0</v>
      </c>
    </row>
    <row r="463" spans="1:11" s="45" customFormat="1" ht="15.75" hidden="1">
      <c r="A463" s="373" t="str">
        <f>IF(AND(COUNTIF($A$5:$A$133,R_DG!A337)=0,R_DG!R337&gt;0,ISNUMBER(R_DG!R337)),R_DG!A337,"NONE")</f>
        <v>KD150</v>
      </c>
      <c r="B463" s="85">
        <f ca="1">IF(K463&gt;0,COUNTIF(K$6:K463,"&gt;0"),B462)</f>
        <v>28</v>
      </c>
      <c r="C463" s="1084" t="str">
        <f t="shared" si="87"/>
        <v>Khóa đỡ dây cỡ dây 150</v>
      </c>
      <c r="D463" s="85" t="str">
        <f t="shared" si="88"/>
        <v>cái</v>
      </c>
      <c r="E463" s="448">
        <f ca="1">SUMIF(OFFSET(tongctvtdd1,0,-(COLUMN(E463)+7-(COLUMN(E463)-5)/2)),KLVT!$A463,tongctvtdd1)+SUMIF(OFFSET(tongctvtpk1,0,-(COLUMN(E463)+7-(COLUMN(E463)-5)/2)),KLVT!$A463,tongctvtpk1)</f>
        <v>0</v>
      </c>
      <c r="F463" s="449">
        <f ca="1">SUMIF(OFFSET(cttba_vlvt1_1,0,-9,-ROW(cttba_vlvt1_1)+ROW(cttba_vltb1_1)-10),KLVT!$A463,OFFSET(cttba_vlvt1_1,0,-4,-ROW(cttba_vlvt1_1)+ROW(cttba_vltb1_1)-10))</f>
        <v>0</v>
      </c>
      <c r="G463" s="451">
        <f t="shared" ca="1" si="90"/>
        <v>0</v>
      </c>
      <c r="H463" s="450">
        <f t="shared" si="91"/>
        <v>0.5</v>
      </c>
      <c r="I463" s="447">
        <f t="shared" ca="1" si="92"/>
        <v>0</v>
      </c>
      <c r="J463" s="447">
        <f t="shared" ca="1" si="93"/>
        <v>0</v>
      </c>
      <c r="K463" s="374">
        <f t="shared" ca="1" si="89"/>
        <v>0</v>
      </c>
    </row>
    <row r="464" spans="1:11" s="45" customFormat="1" ht="15.75" hidden="1">
      <c r="A464" s="373" t="str">
        <f>IF(AND(COUNTIF($A$5:$A$133,R_DG!A338)=0,R_DG!R338&gt;0,ISNUMBER(R_DG!R338)),R_DG!A338,"NONE")</f>
        <v>KD185</v>
      </c>
      <c r="B464" s="85">
        <f ca="1">IF(K464&gt;0,COUNTIF(K$6:K464,"&gt;0"),B463)</f>
        <v>28</v>
      </c>
      <c r="C464" s="1084" t="str">
        <f t="shared" si="87"/>
        <v>Khóa đỡ dây cỡ dây 185</v>
      </c>
      <c r="D464" s="85" t="str">
        <f t="shared" si="88"/>
        <v>cái</v>
      </c>
      <c r="E464" s="448">
        <f ca="1">SUMIF(OFFSET(tongctvtdd1,0,-(COLUMN(E464)+7-(COLUMN(E464)-5)/2)),KLVT!$A464,tongctvtdd1)+SUMIF(OFFSET(tongctvtpk1,0,-(COLUMN(E464)+7-(COLUMN(E464)-5)/2)),KLVT!$A464,tongctvtpk1)</f>
        <v>0</v>
      </c>
      <c r="F464" s="449">
        <f ca="1">SUMIF(OFFSET(cttba_vlvt1_1,0,-9,-ROW(cttba_vlvt1_1)+ROW(cttba_vltb1_1)-10),KLVT!$A464,OFFSET(cttba_vlvt1_1,0,-4,-ROW(cttba_vlvt1_1)+ROW(cttba_vltb1_1)-10))</f>
        <v>0</v>
      </c>
      <c r="G464" s="451">
        <f t="shared" ca="1" si="90"/>
        <v>0</v>
      </c>
      <c r="H464" s="450">
        <f t="shared" si="91"/>
        <v>0.5</v>
      </c>
      <c r="I464" s="447">
        <f t="shared" ca="1" si="92"/>
        <v>0</v>
      </c>
      <c r="J464" s="447">
        <f t="shared" ca="1" si="93"/>
        <v>0</v>
      </c>
      <c r="K464" s="373">
        <f t="shared" ca="1" si="89"/>
        <v>0</v>
      </c>
    </row>
    <row r="465" spans="1:11" s="45" customFormat="1" ht="15.75" hidden="1">
      <c r="A465" s="373" t="str">
        <f>IF(AND(COUNTIF($A$5:$A$133,R_DG!A339)=0,R_DG!R339&gt;0,ISNUMBER(R_DG!R339)),R_DG!A339,"NONE")</f>
        <v>KD240</v>
      </c>
      <c r="B465" s="85">
        <f ca="1">IF(K465&gt;0,COUNTIF(K$6:K465,"&gt;0"),B464)</f>
        <v>28</v>
      </c>
      <c r="C465" s="1084" t="str">
        <f t="shared" si="87"/>
        <v>Khóa đỡ dây cỡ dây 240</v>
      </c>
      <c r="D465" s="85" t="str">
        <f t="shared" si="88"/>
        <v>cái</v>
      </c>
      <c r="E465" s="448">
        <f ca="1">SUMIF(OFFSET(tongctvtdd1,0,-(COLUMN(E465)+7-(COLUMN(E465)-5)/2)),KLVT!$A465,tongctvtdd1)+SUMIF(OFFSET(tongctvtpk1,0,-(COLUMN(E465)+7-(COLUMN(E465)-5)/2)),KLVT!$A465,tongctvtpk1)</f>
        <v>0</v>
      </c>
      <c r="F465" s="449">
        <f ca="1">SUMIF(OFFSET(cttba_vlvt1_1,0,-9,-ROW(cttba_vlvt1_1)+ROW(cttba_vltb1_1)-10),KLVT!$A465,OFFSET(cttba_vlvt1_1,0,-4,-ROW(cttba_vlvt1_1)+ROW(cttba_vltb1_1)-10))</f>
        <v>0</v>
      </c>
      <c r="G465" s="451">
        <f t="shared" ca="1" si="90"/>
        <v>0</v>
      </c>
      <c r="H465" s="450">
        <f t="shared" si="91"/>
        <v>0.5</v>
      </c>
      <c r="I465" s="447">
        <f t="shared" ca="1" si="92"/>
        <v>0</v>
      </c>
      <c r="J465" s="447">
        <f t="shared" ca="1" si="93"/>
        <v>0</v>
      </c>
      <c r="K465" s="374">
        <f t="shared" ca="1" si="89"/>
        <v>0</v>
      </c>
    </row>
    <row r="466" spans="1:11" s="45" customFormat="1" ht="15.75" hidden="1">
      <c r="A466" s="373" t="str">
        <f>IF(AND(COUNTIF($A$5:$A$133,R_DG!A340)=0,R_DG!R340&gt;0,ISNUMBER(R_DG!R340)),R_DG!A340,"NONE")</f>
        <v>KD357</v>
      </c>
      <c r="B466" s="85">
        <f ca="1">IF(K466&gt;0,COUNTIF(K$6:K466,"&gt;0"),B465)</f>
        <v>28</v>
      </c>
      <c r="C466" s="1084" t="str">
        <f t="shared" si="87"/>
        <v>Khóa đỡ Đ357</v>
      </c>
      <c r="D466" s="85" t="str">
        <f t="shared" si="88"/>
        <v>cái</v>
      </c>
      <c r="E466" s="448">
        <f ca="1">SUMIF(OFFSET(tongctvtdd1,0,-(COLUMN(E466)+7-(COLUMN(E466)-5)/2)),KLVT!$A466,tongctvtdd1)+SUMIF(OFFSET(tongctvtpk1,0,-(COLUMN(E466)+7-(COLUMN(E466)-5)/2)),KLVT!$A466,tongctvtpk1)</f>
        <v>0</v>
      </c>
      <c r="F466" s="449">
        <f ca="1">SUMIF(OFFSET(cttba_vlvt1_1,0,-9,-ROW(cttba_vlvt1_1)+ROW(cttba_vltb1_1)-10),KLVT!$A466,OFFSET(cttba_vlvt1_1,0,-4,-ROW(cttba_vlvt1_1)+ROW(cttba_vltb1_1)-10))</f>
        <v>0</v>
      </c>
      <c r="G466" s="451">
        <f t="shared" ca="1" si="90"/>
        <v>0</v>
      </c>
      <c r="H466" s="450">
        <f t="shared" si="91"/>
        <v>0.1</v>
      </c>
      <c r="I466" s="447">
        <f t="shared" ca="1" si="92"/>
        <v>0</v>
      </c>
      <c r="J466" s="447">
        <f t="shared" ca="1" si="93"/>
        <v>0</v>
      </c>
      <c r="K466" s="373">
        <f t="shared" ca="1" si="89"/>
        <v>0</v>
      </c>
    </row>
    <row r="467" spans="1:11" s="45" customFormat="1" ht="15.75" hidden="1">
      <c r="A467" s="373" t="str">
        <f>IF(AND(COUNTIF($A$5:$A$133,R_DG!A341)=0,R_DG!R341&gt;0,ISNUMBER(R_DG!R341)),R_DG!A341,"NONE")</f>
        <v>KD912</v>
      </c>
      <c r="B467" s="85">
        <f ca="1">IF(K467&gt;0,COUNTIF(K$6:K467,"&gt;0"),B466)</f>
        <v>28</v>
      </c>
      <c r="C467" s="1084" t="str">
        <f t="shared" si="87"/>
        <v>Khóa đỡ Đ912</v>
      </c>
      <c r="D467" s="85" t="str">
        <f t="shared" si="88"/>
        <v>cái</v>
      </c>
      <c r="E467" s="448">
        <f ca="1">SUMIF(OFFSET(tongctvtdd1,0,-(COLUMN(E467)+7-(COLUMN(E467)-5)/2)),KLVT!$A467,tongctvtdd1)+SUMIF(OFFSET(tongctvtpk1,0,-(COLUMN(E467)+7-(COLUMN(E467)-5)/2)),KLVT!$A467,tongctvtpk1)</f>
        <v>0</v>
      </c>
      <c r="F467" s="449">
        <f ca="1">SUMIF(OFFSET(cttba_vlvt1_1,0,-9,-ROW(cttba_vlvt1_1)+ROW(cttba_vltb1_1)-10),KLVT!$A467,OFFSET(cttba_vlvt1_1,0,-4,-ROW(cttba_vlvt1_1)+ROW(cttba_vltb1_1)-10))</f>
        <v>0</v>
      </c>
      <c r="G467" s="451">
        <f t="shared" ca="1" si="90"/>
        <v>0</v>
      </c>
      <c r="H467" s="450">
        <f t="shared" si="91"/>
        <v>0.1</v>
      </c>
      <c r="I467" s="447">
        <f t="shared" ca="1" si="92"/>
        <v>0</v>
      </c>
      <c r="J467" s="447">
        <f t="shared" ca="1" si="93"/>
        <v>0</v>
      </c>
      <c r="K467" s="373">
        <f t="shared" ca="1" si="89"/>
        <v>0</v>
      </c>
    </row>
    <row r="468" spans="1:11" s="45" customFormat="1" ht="15.75" hidden="1">
      <c r="A468" s="373" t="str">
        <f>IF(AND(COUNTIF($A$5:$A$133,R_DG!A342)=0,R_DG!R342&gt;0,ISNUMBER(R_DG!R342)),R_DG!A342,"NONE")</f>
        <v>KD158</v>
      </c>
      <c r="B468" s="85">
        <f ca="1">IF(K468&gt;0,COUNTIF(K$6:K468,"&gt;0"),B467)</f>
        <v>28</v>
      </c>
      <c r="C468" s="1084" t="str">
        <f t="shared" si="87"/>
        <v>Khóa đỡ Đ158</v>
      </c>
      <c r="D468" s="85" t="str">
        <f t="shared" si="88"/>
        <v>cái</v>
      </c>
      <c r="E468" s="448">
        <f ca="1">SUMIF(OFFSET(tongctvtdd1,0,-(COLUMN(E468)+7-(COLUMN(E468)-5)/2)),KLVT!$A468,tongctvtdd1)+SUMIF(OFFSET(tongctvtpk1,0,-(COLUMN(E468)+7-(COLUMN(E468)-5)/2)),KLVT!$A468,tongctvtpk1)</f>
        <v>0</v>
      </c>
      <c r="F468" s="449">
        <f ca="1">SUMIF(OFFSET(cttba_vlvt1_1,0,-9,-ROW(cttba_vlvt1_1)+ROW(cttba_vltb1_1)-10),KLVT!$A468,OFFSET(cttba_vlvt1_1,0,-4,-ROW(cttba_vlvt1_1)+ROW(cttba_vltb1_1)-10))</f>
        <v>0</v>
      </c>
      <c r="G468" s="451">
        <f t="shared" ca="1" si="90"/>
        <v>0</v>
      </c>
      <c r="H468" s="450">
        <f t="shared" si="91"/>
        <v>0.1</v>
      </c>
      <c r="I468" s="447">
        <f t="shared" ca="1" si="92"/>
        <v>0</v>
      </c>
      <c r="J468" s="447">
        <f t="shared" ca="1" si="93"/>
        <v>0</v>
      </c>
      <c r="K468" s="373">
        <f t="shared" ca="1" si="89"/>
        <v>0</v>
      </c>
    </row>
    <row r="469" spans="1:11" s="45" customFormat="1" ht="15.75" hidden="1">
      <c r="A469" s="373" t="str">
        <f>IF(AND(COUNTIF($A$5:$A$133,R_DG!A343)=0,R_DG!R343&gt;0,ISNUMBER(R_DG!R343)),R_DG!A343,"NONE")</f>
        <v>KN35</v>
      </c>
      <c r="B469" s="85">
        <f ca="1">IF(K469&gt;0,COUNTIF(K$6:K469,"&gt;0"),B468)</f>
        <v>28</v>
      </c>
      <c r="C469" s="1084" t="str">
        <f t="shared" si="87"/>
        <v>Khóa néo dây cỡ dây 35</v>
      </c>
      <c r="D469" s="85" t="str">
        <f t="shared" si="88"/>
        <v>cái</v>
      </c>
      <c r="E469" s="448">
        <f ca="1">SUMIF(OFFSET(tongctvtdd1,0,-(COLUMN(E469)+7-(COLUMN(E469)-5)/2)),KLVT!$A469,tongctvtdd1)+SUMIF(OFFSET(tongctvtpk1,0,-(COLUMN(E469)+7-(COLUMN(E469)-5)/2)),KLVT!$A469,tongctvtpk1)</f>
        <v>0</v>
      </c>
      <c r="F469" s="449">
        <f ca="1">SUMIF(OFFSET(cttba_vlvt1_1,0,-9,-ROW(cttba_vlvt1_1)+ROW(cttba_vltb1_1)-10),KLVT!$A469,OFFSET(cttba_vlvt1_1,0,-4,-ROW(cttba_vlvt1_1)+ROW(cttba_vltb1_1)-10))</f>
        <v>0</v>
      </c>
      <c r="G469" s="451">
        <f t="shared" ca="1" si="90"/>
        <v>0</v>
      </c>
      <c r="H469" s="450">
        <f t="shared" si="91"/>
        <v>0.5</v>
      </c>
      <c r="I469" s="447">
        <f t="shared" ca="1" si="92"/>
        <v>0</v>
      </c>
      <c r="J469" s="447">
        <f t="shared" ca="1" si="93"/>
        <v>0</v>
      </c>
      <c r="K469" s="373">
        <f t="shared" ca="1" si="89"/>
        <v>0</v>
      </c>
    </row>
    <row r="470" spans="1:11" s="45" customFormat="1" hidden="1">
      <c r="A470" s="373" t="str">
        <f>IF(AND(COUNTIF($A$5:$A$133,R_DG!A344)=0,R_DG!R344&gt;0,ISNUMBER(R_DG!R344)),R_DG!A344,"NONE")</f>
        <v>KN50</v>
      </c>
      <c r="B470" s="85">
        <f ca="1">IF(K470&gt;0,COUNTIF(K$6:K470,"&gt;0"),B469)</f>
        <v>28</v>
      </c>
      <c r="C470" s="1084" t="str">
        <f t="shared" si="87"/>
        <v>Khóa néo dây cỡ dây 50 (5U)</v>
      </c>
      <c r="D470" s="85" t="str">
        <f t="shared" si="88"/>
        <v>cái</v>
      </c>
      <c r="E470" s="448">
        <f ca="1">SUMIF(OFFSET(tongctvtdd1,0,-(COLUMN(E470)+7-(COLUMN(E470)-5)/2)),KLVT!$A470,tongctvtdd1)+SUMIF(OFFSET(tongctvtpk1,0,-(COLUMN(E470)+7-(COLUMN(E470)-5)/2)),KLVT!$A470,tongctvtpk1)</f>
        <v>0</v>
      </c>
      <c r="F470" s="449">
        <f ca="1">SUMIF(OFFSET(cttba_vlvt1_1,0,-9,-ROW(cttba_vlvt1_1)+ROW(cttba_vltb1_1)-10),KLVT!$A470,OFFSET(cttba_vlvt1_1,0,-4,-ROW(cttba_vlvt1_1)+ROW(cttba_vltb1_1)-10))</f>
        <v>0</v>
      </c>
      <c r="G470" s="451">
        <f t="shared" ca="1" si="90"/>
        <v>0</v>
      </c>
      <c r="H470" s="450">
        <f t="shared" si="91"/>
        <v>0.5</v>
      </c>
      <c r="I470" s="447">
        <f t="shared" ca="1" si="92"/>
        <v>0</v>
      </c>
      <c r="J470" s="447">
        <f t="shared" ca="1" si="93"/>
        <v>0</v>
      </c>
      <c r="K470" s="1094">
        <f t="shared" ca="1" si="89"/>
        <v>0</v>
      </c>
    </row>
    <row r="471" spans="1:11" s="45" customFormat="1" ht="15.75" hidden="1">
      <c r="A471" s="373" t="str">
        <f>IF(AND(COUNTIF($A$5:$A$133,R_DG!A345)=0,R_DG!R345&gt;0,ISNUMBER(R_DG!R345)),R_DG!A345,"NONE")</f>
        <v>KN50-3</v>
      </c>
      <c r="B471" s="85">
        <f ca="1">IF(K471&gt;0,COUNTIF(K$6:K471,"&gt;0"),B470)</f>
        <v>28</v>
      </c>
      <c r="C471" s="1084" t="str">
        <f t="shared" si="87"/>
        <v>Khóa néo dây cỡ dây 50 (3U)</v>
      </c>
      <c r="D471" s="85" t="str">
        <f t="shared" si="88"/>
        <v>cái</v>
      </c>
      <c r="E471" s="448">
        <f ca="1">SUMIF(OFFSET(tongctvtdd1,0,-(COLUMN(E471)+7-(COLUMN(E471)-5)/2)),KLVT!$A471,tongctvtdd1)+SUMIF(OFFSET(tongctvtpk1,0,-(COLUMN(E471)+7-(COLUMN(E471)-5)/2)),KLVT!$A471,tongctvtpk1)</f>
        <v>0</v>
      </c>
      <c r="F471" s="449">
        <f ca="1">SUMIF(OFFSET(cttba_vlvt1_1,0,-9,-ROW(cttba_vlvt1_1)+ROW(cttba_vltb1_1)-10),KLVT!$A471,OFFSET(cttba_vlvt1_1,0,-4,-ROW(cttba_vlvt1_1)+ROW(cttba_vltb1_1)-10))</f>
        <v>0</v>
      </c>
      <c r="G471" s="451">
        <f t="shared" ca="1" si="90"/>
        <v>0</v>
      </c>
      <c r="H471" s="450">
        <f t="shared" si="91"/>
        <v>0.5</v>
      </c>
      <c r="I471" s="447">
        <f t="shared" ca="1" si="92"/>
        <v>0</v>
      </c>
      <c r="J471" s="447">
        <f t="shared" ca="1" si="93"/>
        <v>0</v>
      </c>
      <c r="K471" s="373">
        <f t="shared" ca="1" si="89"/>
        <v>0</v>
      </c>
    </row>
    <row r="472" spans="1:11" s="45" customFormat="1" ht="15.75" hidden="1">
      <c r="A472" s="373" t="str">
        <f>IF(AND(COUNTIF($A$5:$A$133,R_DG!A346)=0,R_DG!R346&gt;0,ISNUMBER(R_DG!R346)),R_DG!A346,"NONE")</f>
        <v>KN70</v>
      </c>
      <c r="B472" s="85">
        <f ca="1">IF(K472&gt;0,COUNTIF(K$6:K472,"&gt;0"),B471)</f>
        <v>28</v>
      </c>
      <c r="C472" s="1084" t="str">
        <f t="shared" si="87"/>
        <v>Khóa néo dây cỡ dây 70</v>
      </c>
      <c r="D472" s="85" t="str">
        <f t="shared" si="88"/>
        <v>cái</v>
      </c>
      <c r="E472" s="448">
        <f ca="1">SUMIF(OFFSET(tongctvtdd1,0,-(COLUMN(E472)+7-(COLUMN(E472)-5)/2)),KLVT!$A472,tongctvtdd1)+SUMIF(OFFSET(tongctvtpk1,0,-(COLUMN(E472)+7-(COLUMN(E472)-5)/2)),KLVT!$A472,tongctvtpk1)</f>
        <v>0</v>
      </c>
      <c r="F472" s="449">
        <f ca="1">SUMIF(OFFSET(cttba_vlvt1_1,0,-9,-ROW(cttba_vlvt1_1)+ROW(cttba_vltb1_1)-10),KLVT!$A472,OFFSET(cttba_vlvt1_1,0,-4,-ROW(cttba_vlvt1_1)+ROW(cttba_vltb1_1)-10))</f>
        <v>0</v>
      </c>
      <c r="G472" s="451">
        <f t="shared" ca="1" si="90"/>
        <v>0</v>
      </c>
      <c r="H472" s="450">
        <f t="shared" si="91"/>
        <v>0.5</v>
      </c>
      <c r="I472" s="447">
        <f t="shared" ca="1" si="92"/>
        <v>0</v>
      </c>
      <c r="J472" s="447">
        <f t="shared" ca="1" si="93"/>
        <v>0</v>
      </c>
      <c r="K472" s="374">
        <f t="shared" ca="1" si="89"/>
        <v>0</v>
      </c>
    </row>
    <row r="473" spans="1:11" s="45" customFormat="1" ht="15.75" hidden="1">
      <c r="A473" s="373" t="str">
        <f>IF(AND(COUNTIF($A$5:$A$133,R_DG!A347)=0,R_DG!R347&gt;0,ISNUMBER(R_DG!R347)),R_DG!A347,"NONE")</f>
        <v>KN95</v>
      </c>
      <c r="B473" s="85">
        <f ca="1">IF(K473&gt;0,COUNTIF(K$6:K473,"&gt;0"),B472)</f>
        <v>28</v>
      </c>
      <c r="C473" s="1084" t="str">
        <f t="shared" si="87"/>
        <v>Khóa néo dây cỡ dây 95</v>
      </c>
      <c r="D473" s="85" t="str">
        <f t="shared" si="88"/>
        <v>cái</v>
      </c>
      <c r="E473" s="448">
        <f ca="1">SUMIF(OFFSET(tongctvtdd1,0,-(COLUMN(E473)+7-(COLUMN(E473)-5)/2)),KLVT!$A473,tongctvtdd1)+SUMIF(OFFSET(tongctvtpk1,0,-(COLUMN(E473)+7-(COLUMN(E473)-5)/2)),KLVT!$A473,tongctvtpk1)</f>
        <v>0</v>
      </c>
      <c r="F473" s="449">
        <f ca="1">SUMIF(OFFSET(cttba_vlvt1_1,0,-9,-ROW(cttba_vlvt1_1)+ROW(cttba_vltb1_1)-10),KLVT!$A473,OFFSET(cttba_vlvt1_1,0,-4,-ROW(cttba_vlvt1_1)+ROW(cttba_vltb1_1)-10))</f>
        <v>0</v>
      </c>
      <c r="G473" s="451">
        <f t="shared" ca="1" si="90"/>
        <v>0</v>
      </c>
      <c r="H473" s="450">
        <f t="shared" si="91"/>
        <v>0.5</v>
      </c>
      <c r="I473" s="447">
        <f t="shared" ca="1" si="92"/>
        <v>0</v>
      </c>
      <c r="J473" s="447">
        <f t="shared" ca="1" si="93"/>
        <v>0</v>
      </c>
      <c r="K473" s="374">
        <f t="shared" ca="1" si="89"/>
        <v>0</v>
      </c>
    </row>
    <row r="474" spans="1:11" s="45" customFormat="1" ht="15.75" hidden="1">
      <c r="A474" s="373" t="str">
        <f>IF(AND(COUNTIF($A$5:$A$133,R_DG!A348)=0,R_DG!R348&gt;0,ISNUMBER(R_DG!R348)),R_DG!A348,"NONE")</f>
        <v>KN120</v>
      </c>
      <c r="B474" s="85">
        <f ca="1">IF(K474&gt;0,COUNTIF(K$6:K474,"&gt;0"),B473)</f>
        <v>28</v>
      </c>
      <c r="C474" s="1084" t="str">
        <f t="shared" si="87"/>
        <v>Khóa néo dây cỡ dây 120</v>
      </c>
      <c r="D474" s="85" t="str">
        <f t="shared" si="88"/>
        <v>cái</v>
      </c>
      <c r="E474" s="448">
        <f ca="1">SUMIF(OFFSET(tongctvtdd1,0,-(COLUMN(E474)+7-(COLUMN(E474)-5)/2)),KLVT!$A474,tongctvtdd1)+SUMIF(OFFSET(tongctvtpk1,0,-(COLUMN(E474)+7-(COLUMN(E474)-5)/2)),KLVT!$A474,tongctvtpk1)</f>
        <v>0</v>
      </c>
      <c r="F474" s="449">
        <f ca="1">SUMIF(OFFSET(cttba_vlvt1_1,0,-9,-ROW(cttba_vlvt1_1)+ROW(cttba_vltb1_1)-10),KLVT!$A474,OFFSET(cttba_vlvt1_1,0,-4,-ROW(cttba_vlvt1_1)+ROW(cttba_vltb1_1)-10))</f>
        <v>0</v>
      </c>
      <c r="G474" s="451">
        <f t="shared" ca="1" si="90"/>
        <v>0</v>
      </c>
      <c r="H474" s="450">
        <f t="shared" si="91"/>
        <v>0.5</v>
      </c>
      <c r="I474" s="447">
        <f t="shared" ca="1" si="92"/>
        <v>0</v>
      </c>
      <c r="J474" s="447">
        <f t="shared" ca="1" si="93"/>
        <v>0</v>
      </c>
      <c r="K474" s="374">
        <f t="shared" ca="1" si="89"/>
        <v>0</v>
      </c>
    </row>
    <row r="475" spans="1:11" s="45" customFormat="1" ht="15.75" hidden="1">
      <c r="A475" s="373" t="str">
        <f>IF(AND(COUNTIF($A$5:$A$133,R_DG!A349)=0,R_DG!R349&gt;0,ISNUMBER(R_DG!R349)),R_DG!A349,"NONE")</f>
        <v>KN150</v>
      </c>
      <c r="B475" s="85">
        <f ca="1">IF(K475&gt;0,COUNTIF(K$6:K475,"&gt;0"),B474)</f>
        <v>28</v>
      </c>
      <c r="C475" s="1084" t="str">
        <f t="shared" si="87"/>
        <v>Khóa néo dây cỡ dây 150</v>
      </c>
      <c r="D475" s="85" t="str">
        <f t="shared" si="88"/>
        <v>cái</v>
      </c>
      <c r="E475" s="448">
        <f ca="1">SUMIF(OFFSET(tongctvtdd1,0,-(COLUMN(E475)+7-(COLUMN(E475)-5)/2)),KLVT!$A475,tongctvtdd1)+SUMIF(OFFSET(tongctvtpk1,0,-(COLUMN(E475)+7-(COLUMN(E475)-5)/2)),KLVT!$A475,tongctvtpk1)</f>
        <v>0</v>
      </c>
      <c r="F475" s="449">
        <f ca="1">SUMIF(OFFSET(cttba_vlvt1_1,0,-9,-ROW(cttba_vlvt1_1)+ROW(cttba_vltb1_1)-10),KLVT!$A475,OFFSET(cttba_vlvt1_1,0,-4,-ROW(cttba_vlvt1_1)+ROW(cttba_vltb1_1)-10))</f>
        <v>0</v>
      </c>
      <c r="G475" s="451">
        <f t="shared" ca="1" si="90"/>
        <v>0</v>
      </c>
      <c r="H475" s="450">
        <f t="shared" si="91"/>
        <v>0.5</v>
      </c>
      <c r="I475" s="447">
        <f t="shared" ca="1" si="92"/>
        <v>0</v>
      </c>
      <c r="J475" s="447">
        <f t="shared" ca="1" si="93"/>
        <v>0</v>
      </c>
      <c r="K475" s="373">
        <f t="shared" ca="1" si="89"/>
        <v>0</v>
      </c>
    </row>
    <row r="476" spans="1:11" s="45" customFormat="1" ht="15.75" hidden="1">
      <c r="A476" s="373" t="str">
        <f>IF(AND(COUNTIF($A$5:$A$133,R_DG!A350)=0,R_DG!R350&gt;0,ISNUMBER(R_DG!R350)),R_DG!A350,"NONE")</f>
        <v>KN185</v>
      </c>
      <c r="B476" s="85">
        <f ca="1">IF(K476&gt;0,COUNTIF(K$6:K476,"&gt;0"),B475)</f>
        <v>28</v>
      </c>
      <c r="C476" s="1084" t="str">
        <f t="shared" si="87"/>
        <v>Khóa néo dây cỡ dây 185</v>
      </c>
      <c r="D476" s="85" t="str">
        <f t="shared" si="88"/>
        <v>cái</v>
      </c>
      <c r="E476" s="448">
        <f ca="1">SUMIF(OFFSET(tongctvtdd1,0,-(COLUMN(E476)+7-(COLUMN(E476)-5)/2)),KLVT!$A476,tongctvtdd1)+SUMIF(OFFSET(tongctvtpk1,0,-(COLUMN(E476)+7-(COLUMN(E476)-5)/2)),KLVT!$A476,tongctvtpk1)</f>
        <v>0</v>
      </c>
      <c r="F476" s="449">
        <f ca="1">SUMIF(OFFSET(cttba_vlvt1_1,0,-9,-ROW(cttba_vlvt1_1)+ROW(cttba_vltb1_1)-10),KLVT!$A476,OFFSET(cttba_vlvt1_1,0,-4,-ROW(cttba_vlvt1_1)+ROW(cttba_vltb1_1)-10))</f>
        <v>0</v>
      </c>
      <c r="G476" s="451">
        <f t="shared" ca="1" si="90"/>
        <v>0</v>
      </c>
      <c r="H476" s="450">
        <f t="shared" si="91"/>
        <v>0.5</v>
      </c>
      <c r="I476" s="447">
        <f t="shared" ca="1" si="92"/>
        <v>0</v>
      </c>
      <c r="J476" s="447">
        <f t="shared" ca="1" si="93"/>
        <v>0</v>
      </c>
      <c r="K476" s="374">
        <f t="shared" ca="1" si="89"/>
        <v>0</v>
      </c>
    </row>
    <row r="477" spans="1:11" s="45" customFormat="1" ht="15.75" hidden="1">
      <c r="A477" s="373" t="str">
        <f>IF(AND(COUNTIF($A$5:$A$133,R_DG!A351)=0,R_DG!R351&gt;0,ISNUMBER(R_DG!R351)),R_DG!A351,"NONE")</f>
        <v>KN240</v>
      </c>
      <c r="B477" s="85">
        <f ca="1">IF(K477&gt;0,COUNTIF(K$6:K477,"&gt;0"),B476)</f>
        <v>28</v>
      </c>
      <c r="C477" s="1084" t="str">
        <f t="shared" si="87"/>
        <v>Khóa néo dây cỡ dây 240</v>
      </c>
      <c r="D477" s="85" t="str">
        <f t="shared" si="88"/>
        <v>cái</v>
      </c>
      <c r="E477" s="448">
        <f ca="1">SUMIF(OFFSET(tongctvtdd1,0,-(COLUMN(E477)+7-(COLUMN(E477)-5)/2)),KLVT!$A477,tongctvtdd1)+SUMIF(OFFSET(tongctvtpk1,0,-(COLUMN(E477)+7-(COLUMN(E477)-5)/2)),KLVT!$A477,tongctvtpk1)</f>
        <v>0</v>
      </c>
      <c r="F477" s="449">
        <f ca="1">SUMIF(OFFSET(cttba_vlvt1_1,0,-9,-ROW(cttba_vlvt1_1)+ROW(cttba_vltb1_1)-10),KLVT!$A477,OFFSET(cttba_vlvt1_1,0,-4,-ROW(cttba_vlvt1_1)+ROW(cttba_vltb1_1)-10))</f>
        <v>0</v>
      </c>
      <c r="G477" s="451">
        <f t="shared" ca="1" si="90"/>
        <v>0</v>
      </c>
      <c r="H477" s="450">
        <f t="shared" si="91"/>
        <v>0.5</v>
      </c>
      <c r="I477" s="447">
        <f t="shared" ca="1" si="92"/>
        <v>0</v>
      </c>
      <c r="J477" s="447">
        <f t="shared" ca="1" si="93"/>
        <v>0</v>
      </c>
      <c r="K477" s="373">
        <f t="shared" ca="1" si="89"/>
        <v>0</v>
      </c>
    </row>
    <row r="478" spans="1:11" s="45" customFormat="1" ht="15.75" hidden="1">
      <c r="A478" s="373" t="str">
        <f>IF(AND(COUNTIF($A$5:$A$133,R_DG!A352)=0,R_DG!R352&gt;0,ISNUMBER(R_DG!R352)),R_DG!A352,"NONE")</f>
        <v>KN158</v>
      </c>
      <c r="B478" s="85">
        <f ca="1">IF(K478&gt;0,COUNTIF(K$6:K478,"&gt;0"),B477)</f>
        <v>28</v>
      </c>
      <c r="C478" s="1084" t="str">
        <f t="shared" si="87"/>
        <v>Khóa néo N158</v>
      </c>
      <c r="D478" s="85" t="str">
        <f t="shared" si="88"/>
        <v>cái</v>
      </c>
      <c r="E478" s="448">
        <f ca="1">SUMIF(OFFSET(tongctvtdd1,0,-(COLUMN(E478)+7-(COLUMN(E478)-5)/2)),KLVT!$A478,tongctvtdd1)+SUMIF(OFFSET(tongctvtpk1,0,-(COLUMN(E478)+7-(COLUMN(E478)-5)/2)),KLVT!$A478,tongctvtpk1)</f>
        <v>0</v>
      </c>
      <c r="F478" s="449">
        <f ca="1">SUMIF(OFFSET(cttba_vlvt1_1,0,-9,-ROW(cttba_vlvt1_1)+ROW(cttba_vltb1_1)-10),KLVT!$A478,OFFSET(cttba_vlvt1_1,0,-4,-ROW(cttba_vlvt1_1)+ROW(cttba_vltb1_1)-10))</f>
        <v>0</v>
      </c>
      <c r="G478" s="451">
        <f t="shared" ca="1" si="90"/>
        <v>0</v>
      </c>
      <c r="H478" s="450">
        <f t="shared" si="91"/>
        <v>0.5</v>
      </c>
      <c r="I478" s="447">
        <f t="shared" ca="1" si="92"/>
        <v>0</v>
      </c>
      <c r="J478" s="447">
        <f t="shared" ca="1" si="93"/>
        <v>0</v>
      </c>
      <c r="K478" s="373">
        <f t="shared" ca="1" si="89"/>
        <v>0</v>
      </c>
    </row>
    <row r="479" spans="1:11" s="45" customFormat="1" ht="15.75" hidden="1">
      <c r="A479" s="373" t="str">
        <f>IF(AND(COUNTIF($A$5:$A$133,R_DG!A353)=0,R_DG!R353&gt;0,ISNUMBER(R_DG!R353)),R_DG!A353,"NONE")</f>
        <v>KN912</v>
      </c>
      <c r="B479" s="85">
        <f ca="1">IF(K479&gt;0,COUNTIF(K$6:K479,"&gt;0"),B478)</f>
        <v>28</v>
      </c>
      <c r="C479" s="1084" t="str">
        <f t="shared" si="87"/>
        <v>Khóa néo N912</v>
      </c>
      <c r="D479" s="85" t="str">
        <f t="shared" si="88"/>
        <v>cái</v>
      </c>
      <c r="E479" s="448">
        <f ca="1">SUMIF(OFFSET(tongctvtdd1,0,-(COLUMN(E479)+7-(COLUMN(E479)-5)/2)),KLVT!$A479,tongctvtdd1)+SUMIF(OFFSET(tongctvtpk1,0,-(COLUMN(E479)+7-(COLUMN(E479)-5)/2)),KLVT!$A479,tongctvtpk1)</f>
        <v>0</v>
      </c>
      <c r="F479" s="449">
        <f ca="1">SUMIF(OFFSET(cttba_vlvt1_1,0,-9,-ROW(cttba_vlvt1_1)+ROW(cttba_vltb1_1)-10),KLVT!$A479,OFFSET(cttba_vlvt1_1,0,-4,-ROW(cttba_vlvt1_1)+ROW(cttba_vltb1_1)-10))</f>
        <v>0</v>
      </c>
      <c r="G479" s="451">
        <f t="shared" ca="1" si="90"/>
        <v>0</v>
      </c>
      <c r="H479" s="450">
        <f t="shared" si="91"/>
        <v>0.5</v>
      </c>
      <c r="I479" s="447">
        <f t="shared" ca="1" si="92"/>
        <v>0</v>
      </c>
      <c r="J479" s="447">
        <f t="shared" ca="1" si="93"/>
        <v>0</v>
      </c>
      <c r="K479" s="373">
        <f t="shared" ca="1" si="89"/>
        <v>0</v>
      </c>
    </row>
    <row r="480" spans="1:11" s="45" customFormat="1" ht="15.75" hidden="1">
      <c r="A480" s="373" t="str">
        <f>IF(AND(COUNTIF($A$5:$A$133,R_DG!A354)=0,R_DG!R354&gt;0,ISNUMBER(R_DG!R354)),R_DG!A354,"NONE")</f>
        <v>KN357</v>
      </c>
      <c r="B480" s="85">
        <f ca="1">IF(K480&gt;0,COUNTIF(K$6:K480,"&gt;0"),B479)</f>
        <v>28</v>
      </c>
      <c r="C480" s="1084" t="str">
        <f t="shared" si="87"/>
        <v>Khóa néo N357</v>
      </c>
      <c r="D480" s="85" t="str">
        <f t="shared" si="88"/>
        <v>cái</v>
      </c>
      <c r="E480" s="448">
        <f ca="1">SUMIF(OFFSET(tongctvtdd1,0,-(COLUMN(E480)+7-(COLUMN(E480)-5)/2)),KLVT!$A480,tongctvtdd1)+SUMIF(OFFSET(tongctvtpk1,0,-(COLUMN(E480)+7-(COLUMN(E480)-5)/2)),KLVT!$A480,tongctvtpk1)</f>
        <v>0</v>
      </c>
      <c r="F480" s="449">
        <f ca="1">SUMIF(OFFSET(cttba_vlvt1_1,0,-9,-ROW(cttba_vlvt1_1)+ROW(cttba_vltb1_1)-10),KLVT!$A480,OFFSET(cttba_vlvt1_1,0,-4,-ROW(cttba_vlvt1_1)+ROW(cttba_vltb1_1)-10))</f>
        <v>0</v>
      </c>
      <c r="G480" s="451">
        <f t="shared" ca="1" si="90"/>
        <v>0</v>
      </c>
      <c r="H480" s="450">
        <f t="shared" si="91"/>
        <v>0.5</v>
      </c>
      <c r="I480" s="447">
        <f t="shared" ca="1" si="92"/>
        <v>0</v>
      </c>
      <c r="J480" s="447">
        <f t="shared" ca="1" si="93"/>
        <v>0</v>
      </c>
      <c r="K480" s="373">
        <f t="shared" ca="1" si="89"/>
        <v>0</v>
      </c>
    </row>
    <row r="481" spans="1:11" s="45" customFormat="1" ht="15.75" hidden="1">
      <c r="A481" s="373" t="str">
        <f>IF(AND(COUNTIF($A$5:$A$133,R_DG!A355)=0,R_DG!R355&gt;0,ISNUMBER(R_DG!R355)),R_DG!A355,"NONE")</f>
        <v>GNIU185</v>
      </c>
      <c r="B481" s="85">
        <f ca="1">IF(K481&gt;0,COUNTIF(K$6:K481,"&gt;0"),B480)</f>
        <v>28</v>
      </c>
      <c r="C481" s="1084" t="str">
        <f t="shared" ref="C481:C544" si="94">VLOOKUP(A481,DONGIA,3,0)</f>
        <v>Giáp níu dừng dây bọc 185</v>
      </c>
      <c r="D481" s="85" t="str">
        <f t="shared" ref="D481:D544" si="95">VLOOKUP(A481,DONGIA,4,0)</f>
        <v>cái</v>
      </c>
      <c r="E481" s="448">
        <f ca="1">SUMIF(OFFSET(tongctvtdd1,0,-(COLUMN(E481)+7-(COLUMN(E481)-5)/2)),KLVT!$A481,tongctvtdd1)+SUMIF(OFFSET(tongctvtpk1,0,-(COLUMN(E481)+7-(COLUMN(E481)-5)/2)),KLVT!$A481,tongctvtpk1)</f>
        <v>0</v>
      </c>
      <c r="F481" s="449">
        <f ca="1">SUMIF(OFFSET(cttba_vlvt1_1,0,-9,-ROW(cttba_vlvt1_1)+ROW(cttba_vltb1_1)-10),KLVT!$A481,OFFSET(cttba_vlvt1_1,0,-4,-ROW(cttba_vlvt1_1)+ROW(cttba_vltb1_1)-10))</f>
        <v>0</v>
      </c>
      <c r="G481" s="451">
        <f t="shared" ca="1" si="90"/>
        <v>0</v>
      </c>
      <c r="H481" s="450">
        <f t="shared" si="91"/>
        <v>1</v>
      </c>
      <c r="I481" s="447">
        <f t="shared" ca="1" si="92"/>
        <v>0</v>
      </c>
      <c r="J481" s="447">
        <f t="shared" ca="1" si="93"/>
        <v>0</v>
      </c>
      <c r="K481" s="373">
        <f t="shared" ca="1" si="89"/>
        <v>0</v>
      </c>
    </row>
    <row r="482" spans="1:11" s="45" customFormat="1" ht="15.75" hidden="1">
      <c r="A482" s="373" t="str">
        <f>IF(AND(COUNTIF($A$5:$A$133,R_DG!A356)=0,R_DG!R356&gt;0,ISNUMBER(R_DG!R356)),R_DG!A356,"NONE")</f>
        <v>GNIU150</v>
      </c>
      <c r="B482" s="85">
        <f ca="1">IF(K482&gt;0,COUNTIF(K$6:K482,"&gt;0"),B481)</f>
        <v>28</v>
      </c>
      <c r="C482" s="1084" t="str">
        <f t="shared" si="94"/>
        <v>Giáp níu dừng dây bọc 150</v>
      </c>
      <c r="D482" s="85" t="str">
        <f t="shared" si="95"/>
        <v>cái</v>
      </c>
      <c r="E482" s="448">
        <f ca="1">SUMIF(OFFSET(tongctvtdd1,0,-(COLUMN(E482)+7-(COLUMN(E482)-5)/2)),KLVT!$A482,tongctvtdd1)+SUMIF(OFFSET(tongctvtpk1,0,-(COLUMN(E482)+7-(COLUMN(E482)-5)/2)),KLVT!$A482,tongctvtpk1)</f>
        <v>0</v>
      </c>
      <c r="F482" s="449">
        <f ca="1">SUMIF(OFFSET(cttba_vlvt1_1,0,-9,-ROW(cttba_vlvt1_1)+ROW(cttba_vltb1_1)-10),KLVT!$A482,OFFSET(cttba_vlvt1_1,0,-4,-ROW(cttba_vlvt1_1)+ROW(cttba_vltb1_1)-10))</f>
        <v>0</v>
      </c>
      <c r="G482" s="451">
        <f t="shared" ca="1" si="90"/>
        <v>0</v>
      </c>
      <c r="H482" s="450">
        <f t="shared" si="91"/>
        <v>1</v>
      </c>
      <c r="I482" s="447">
        <f t="shared" ca="1" si="92"/>
        <v>0</v>
      </c>
      <c r="J482" s="447">
        <f t="shared" ca="1" si="93"/>
        <v>0</v>
      </c>
      <c r="K482" s="373">
        <f t="shared" ca="1" si="89"/>
        <v>0</v>
      </c>
    </row>
    <row r="483" spans="1:11" s="45" customFormat="1" ht="15.75" hidden="1">
      <c r="A483" s="373" t="str">
        <f>IF(AND(COUNTIF($A$5:$A$133,R_DG!A357)=0,R_DG!R357&gt;0,ISNUMBER(R_DG!R357)),R_DG!A357,"NONE")</f>
        <v>GNIU95</v>
      </c>
      <c r="B483" s="85">
        <f ca="1">IF(K483&gt;0,COUNTIF(K$6:K483,"&gt;0"),B482)</f>
        <v>28</v>
      </c>
      <c r="C483" s="1084" t="str">
        <f t="shared" si="94"/>
        <v>Giáp níu dừng dây bọc 95</v>
      </c>
      <c r="D483" s="85" t="str">
        <f t="shared" si="95"/>
        <v>cái</v>
      </c>
      <c r="E483" s="448">
        <f ca="1">SUMIF(OFFSET(tongctvtdd1,0,-(COLUMN(E483)+7-(COLUMN(E483)-5)/2)),KLVT!$A483,tongctvtdd1)+SUMIF(OFFSET(tongctvtpk1,0,-(COLUMN(E483)+7-(COLUMN(E483)-5)/2)),KLVT!$A483,tongctvtpk1)</f>
        <v>0</v>
      </c>
      <c r="F483" s="449">
        <f ca="1">SUMIF(OFFSET(cttba_vlvt1_1,0,-9,-ROW(cttba_vlvt1_1)+ROW(cttba_vltb1_1)-10),KLVT!$A483,OFFSET(cttba_vlvt1_1,0,-4,-ROW(cttba_vlvt1_1)+ROW(cttba_vltb1_1)-10))</f>
        <v>0</v>
      </c>
      <c r="G483" s="451">
        <f t="shared" ca="1" si="90"/>
        <v>0</v>
      </c>
      <c r="H483" s="450">
        <f t="shared" si="91"/>
        <v>1</v>
      </c>
      <c r="I483" s="447">
        <f t="shared" ca="1" si="92"/>
        <v>0</v>
      </c>
      <c r="J483" s="447">
        <f t="shared" ca="1" si="93"/>
        <v>0</v>
      </c>
      <c r="K483" s="374">
        <f t="shared" ca="1" si="89"/>
        <v>0</v>
      </c>
    </row>
    <row r="484" spans="1:11" s="45" customFormat="1" ht="15.75" hidden="1">
      <c r="A484" s="373" t="str">
        <f>IF(AND(COUNTIF($A$5:$A$133,R_DG!A358)=0,R_DG!R358&gt;0,ISNUMBER(R_DG!R358)),R_DG!A358,"NONE")</f>
        <v>GNIU70</v>
      </c>
      <c r="B484" s="85">
        <f ca="1">IF(K484&gt;0,COUNTIF(K$6:K484,"&gt;0"),B483)</f>
        <v>28</v>
      </c>
      <c r="C484" s="1084" t="str">
        <f t="shared" si="94"/>
        <v>Giáp níu dừng dây bọc 70</v>
      </c>
      <c r="D484" s="85" t="str">
        <f t="shared" si="95"/>
        <v>cái</v>
      </c>
      <c r="E484" s="448">
        <f ca="1">SUMIF(OFFSET(tongctvtdd1,0,-(COLUMN(E484)+7-(COLUMN(E484)-5)/2)),KLVT!$A484,tongctvtdd1)+SUMIF(OFFSET(tongctvtpk1,0,-(COLUMN(E484)+7-(COLUMN(E484)-5)/2)),KLVT!$A484,tongctvtpk1)</f>
        <v>0</v>
      </c>
      <c r="F484" s="449">
        <f ca="1">SUMIF(OFFSET(cttba_vlvt1_1,0,-9,-ROW(cttba_vlvt1_1)+ROW(cttba_vltb1_1)-10),KLVT!$A484,OFFSET(cttba_vlvt1_1,0,-4,-ROW(cttba_vlvt1_1)+ROW(cttba_vltb1_1)-10))</f>
        <v>0</v>
      </c>
      <c r="G484" s="451">
        <f t="shared" ca="1" si="90"/>
        <v>0</v>
      </c>
      <c r="H484" s="450">
        <f t="shared" si="91"/>
        <v>1</v>
      </c>
      <c r="I484" s="447">
        <f t="shared" ca="1" si="92"/>
        <v>0</v>
      </c>
      <c r="J484" s="447">
        <f t="shared" ca="1" si="93"/>
        <v>0</v>
      </c>
      <c r="K484" s="373">
        <f t="shared" ca="1" si="89"/>
        <v>0</v>
      </c>
    </row>
    <row r="485" spans="1:11">
      <c r="A485" s="1251" t="str">
        <f>IF(AND(COUNTIF($A$5:$A$133,R_DG!A359)=0,R_DG!R359&gt;0,ISNUMBER(R_DG!R359)),R_DG!A359,"NONE")</f>
        <v>GNIU50</v>
      </c>
      <c r="B485" s="438">
        <f ca="1">IF(K485&gt;0,COUNTIF(K$6:K485,"&gt;0"),B484)</f>
        <v>29</v>
      </c>
      <c r="C485" s="1278" t="str">
        <f t="shared" si="94"/>
        <v>Giáp níu dừng dây bọc 50</v>
      </c>
      <c r="D485" s="438" t="str">
        <f t="shared" si="95"/>
        <v>cái</v>
      </c>
      <c r="E485" s="1276">
        <f ca="1">SUMIF(OFFSET(tongctvtdd1,0,-(COLUMN(E485)+7-(COLUMN(E485)-5)/2)),KLVT!$A485,tongctvtdd1)+SUMIF(OFFSET(tongctvtpk1,0,-(COLUMN(E485)+7-(COLUMN(E485)-5)/2)),KLVT!$A485,tongctvtpk1)</f>
        <v>12</v>
      </c>
      <c r="F485" s="1277">
        <f ca="1">SUMIF(OFFSET(cttba_vlvt1_1,0,-9,-ROW(cttba_vlvt1_1)+ROW(cttba_vltb1_1)-10),KLVT!$A485,OFFSET(cttba_vlvt1_1,0,-4,-ROW(cttba_vlvt1_1)+ROW(cttba_vltb1_1)-10))</f>
        <v>0</v>
      </c>
      <c r="G485" s="1277">
        <f t="shared" ca="1" si="90"/>
        <v>12</v>
      </c>
      <c r="H485" s="1274">
        <f t="shared" si="91"/>
        <v>1</v>
      </c>
      <c r="I485" s="1279">
        <f t="shared" ca="1" si="92"/>
        <v>12</v>
      </c>
      <c r="J485" s="1279">
        <f t="shared" ca="1" si="93"/>
        <v>0</v>
      </c>
      <c r="K485" s="1268">
        <f t="shared" ca="1" si="89"/>
        <v>1</v>
      </c>
    </row>
    <row r="486" spans="1:11" s="45" customFormat="1" hidden="1">
      <c r="A486" s="373" t="str">
        <f>IF(AND(COUNTIF($A$5:$A$133,R_DG!A360)=0,R_DG!R360&gt;0,ISNUMBER(R_DG!R360)),R_DG!A360,"NONE")</f>
        <v>MANG</v>
      </c>
      <c r="B486" s="85">
        <f ca="1">IF(K486&gt;0,COUNTIF(K$6:K486,"&gt;0"),B485)</f>
        <v>29</v>
      </c>
      <c r="C486" s="1084" t="str">
        <f t="shared" si="94"/>
        <v>Máng che dây chằng dày 1,6x40x2000mm</v>
      </c>
      <c r="D486" s="85" t="str">
        <f t="shared" si="95"/>
        <v>cái</v>
      </c>
      <c r="E486" s="448">
        <f ca="1">SUMIF(OFFSET(tongctvtdd1,0,-(COLUMN(E486)+7-(COLUMN(E486)-5)/2)),KLVT!$A486,tongctvtdd1)+SUMIF(OFFSET(tongctvtpk1,0,-(COLUMN(E486)+7-(COLUMN(E486)-5)/2)),KLVT!$A486,tongctvtpk1)</f>
        <v>0</v>
      </c>
      <c r="F486" s="449">
        <f ca="1">SUMIF(OFFSET(cttba_vlvt1_1,0,-9,-ROW(cttba_vlvt1_1)+ROW(cttba_vltb1_1)-10),KLVT!$A486,OFFSET(cttba_vlvt1_1,0,-4,-ROW(cttba_vlvt1_1)+ROW(cttba_vltb1_1)-10))</f>
        <v>0</v>
      </c>
      <c r="G486" s="451">
        <f t="shared" ca="1" si="90"/>
        <v>0</v>
      </c>
      <c r="H486" s="450">
        <f t="shared" si="91"/>
        <v>1</v>
      </c>
      <c r="I486" s="447">
        <f t="shared" ca="1" si="92"/>
        <v>0</v>
      </c>
      <c r="J486" s="447">
        <f t="shared" ca="1" si="93"/>
        <v>0</v>
      </c>
      <c r="K486" s="1094">
        <f t="shared" ca="1" si="89"/>
        <v>0</v>
      </c>
    </row>
    <row r="487" spans="1:11" s="45" customFormat="1" ht="15.75" hidden="1">
      <c r="A487" s="373" t="str">
        <f>IF(AND(COUNTIF($A$5:$A$133,R_DG!A361)=0,R_DG!R361&gt;0,ISNUMBER(R_DG!R361)),R_DG!A361,"NONE")</f>
        <v>MND</v>
      </c>
      <c r="B487" s="85">
        <f ca="1">IF(K487&gt;0,COUNTIF(K$6:K487,"&gt;0"),B486)</f>
        <v>29</v>
      </c>
      <c r="C487" s="1084" t="str">
        <f t="shared" si="94"/>
        <v>Mắt nối đơn</v>
      </c>
      <c r="D487" s="85" t="str">
        <f t="shared" si="95"/>
        <v>cái</v>
      </c>
      <c r="E487" s="448">
        <f ca="1">SUMIF(OFFSET(tongctvtdd1,0,-(COLUMN(E487)+7-(COLUMN(E487)-5)/2)),KLVT!$A487,tongctvtdd1)+SUMIF(OFFSET(tongctvtpk1,0,-(COLUMN(E487)+7-(COLUMN(E487)-5)/2)),KLVT!$A487,tongctvtpk1)</f>
        <v>0</v>
      </c>
      <c r="F487" s="449">
        <f ca="1">SUMIF(OFFSET(cttba_vlvt1_1,0,-9,-ROW(cttba_vlvt1_1)+ROW(cttba_vltb1_1)-10),KLVT!$A487,OFFSET(cttba_vlvt1_1,0,-4,-ROW(cttba_vlvt1_1)+ROW(cttba_vltb1_1)-10))</f>
        <v>0</v>
      </c>
      <c r="G487" s="451">
        <f t="shared" ca="1" si="90"/>
        <v>0</v>
      </c>
      <c r="H487" s="450">
        <f t="shared" si="91"/>
        <v>0.5</v>
      </c>
      <c r="I487" s="447">
        <f t="shared" ca="1" si="92"/>
        <v>0</v>
      </c>
      <c r="J487" s="447">
        <f t="shared" ca="1" si="93"/>
        <v>0</v>
      </c>
      <c r="K487" s="374">
        <f t="shared" ca="1" si="89"/>
        <v>0</v>
      </c>
    </row>
    <row r="488" spans="1:11" s="45" customFormat="1" ht="15.75" hidden="1">
      <c r="A488" s="373" t="str">
        <f>IF(AND(COUNTIF($A$5:$A$133,R_DG!A362)=0,R_DG!R362&gt;0,ISNUMBER(R_DG!R362)),R_DG!A362,"NONE")</f>
        <v>MNTG</v>
      </c>
      <c r="B488" s="85">
        <f ca="1">IF(K488&gt;0,COUNTIF(K$6:K488,"&gt;0"),B487)</f>
        <v>29</v>
      </c>
      <c r="C488" s="1084" t="str">
        <f t="shared" si="94"/>
        <v xml:space="preserve">Mắt nối t/ gian </v>
      </c>
      <c r="D488" s="85" t="str">
        <f t="shared" si="95"/>
        <v>cái</v>
      </c>
      <c r="E488" s="448">
        <f ca="1">SUMIF(OFFSET(tongctvtdd1,0,-(COLUMN(E488)+7-(COLUMN(E488)-5)/2)),KLVT!$A488,tongctvtdd1)+SUMIF(OFFSET(tongctvtpk1,0,-(COLUMN(E488)+7-(COLUMN(E488)-5)/2)),KLVT!$A488,tongctvtpk1)</f>
        <v>0</v>
      </c>
      <c r="F488" s="449">
        <f ca="1">SUMIF(OFFSET(cttba_vlvt1_1,0,-9,-ROW(cttba_vlvt1_1)+ROW(cttba_vltb1_1)-10),KLVT!$A488,OFFSET(cttba_vlvt1_1,0,-4,-ROW(cttba_vlvt1_1)+ROW(cttba_vltb1_1)-10))</f>
        <v>0</v>
      </c>
      <c r="G488" s="451">
        <f t="shared" ca="1" si="90"/>
        <v>0</v>
      </c>
      <c r="H488" s="450">
        <f t="shared" si="91"/>
        <v>0.5</v>
      </c>
      <c r="I488" s="447">
        <f t="shared" ca="1" si="92"/>
        <v>0</v>
      </c>
      <c r="J488" s="447">
        <f t="shared" ca="1" si="93"/>
        <v>0</v>
      </c>
      <c r="K488" s="374">
        <f t="shared" ca="1" si="89"/>
        <v>0</v>
      </c>
    </row>
    <row r="489" spans="1:11" s="45" customFormat="1" hidden="1">
      <c r="A489" s="373" t="str">
        <f>IF(AND(COUNTIF($A$5:$A$133,R_DG!A363)=0,R_DG!R363&gt;0,ISNUMBER(R_DG!R363)),R_DG!A363,"NONE")</f>
        <v>MT</v>
      </c>
      <c r="B489" s="85">
        <f ca="1">IF(K489&gt;0,COUNTIF(K$6:K489,"&gt;0"),B488)</f>
        <v>29</v>
      </c>
      <c r="C489" s="1084" t="str">
        <f t="shared" si="94"/>
        <v xml:space="preserve">Móc treo chữ U </v>
      </c>
      <c r="D489" s="85" t="str">
        <f t="shared" si="95"/>
        <v>cái</v>
      </c>
      <c r="E489" s="448">
        <f ca="1">SUMIF(OFFSET(tongctvtdd1,0,-(COLUMN(E489)+7-(COLUMN(E489)-5)/2)),KLVT!$A489,tongctvtdd1)+SUMIF(OFFSET(tongctvtpk1,0,-(COLUMN(E489)+7-(COLUMN(E489)-5)/2)),KLVT!$A489,tongctvtpk1)</f>
        <v>0</v>
      </c>
      <c r="F489" s="449">
        <f ca="1">SUMIF(OFFSET(cttba_vlvt1_1,0,-9,-ROW(cttba_vlvt1_1)+ROW(cttba_vltb1_1)-10),KLVT!$A489,OFFSET(cttba_vlvt1_1,0,-4,-ROW(cttba_vlvt1_1)+ROW(cttba_vltb1_1)-10))</f>
        <v>0</v>
      </c>
      <c r="G489" s="451">
        <f t="shared" ca="1" si="90"/>
        <v>0</v>
      </c>
      <c r="H489" s="450">
        <f t="shared" si="91"/>
        <v>0.5</v>
      </c>
      <c r="I489" s="447">
        <f t="shared" ca="1" si="92"/>
        <v>0</v>
      </c>
      <c r="J489" s="447">
        <f t="shared" ca="1" si="93"/>
        <v>0</v>
      </c>
      <c r="K489" s="1094">
        <f t="shared" ca="1" si="89"/>
        <v>0</v>
      </c>
    </row>
    <row r="490" spans="1:11" s="45" customFormat="1" ht="15.75" hidden="1">
      <c r="A490" s="373" t="str">
        <f>IF(AND(COUNTIF($A$5:$A$133,R_DG!A364)=0,R_DG!R364&gt;0,ISNUMBER(R_DG!R364)),R_DG!A364,"NONE")</f>
        <v>MT61A</v>
      </c>
      <c r="B490" s="85">
        <f ca="1">IF(K490&gt;0,COUNTIF(K$6:K490,"&gt;0"),B489)</f>
        <v>29</v>
      </c>
      <c r="C490" s="1084" t="str">
        <f t="shared" si="94"/>
        <v>Móc treo CK61A</v>
      </c>
      <c r="D490" s="85" t="str">
        <f t="shared" si="95"/>
        <v>cái</v>
      </c>
      <c r="E490" s="448">
        <f ca="1">SUMIF(OFFSET(tongctvtdd1,0,-(COLUMN(E490)+7-(COLUMN(E490)-5)/2)),KLVT!$A490,tongctvtdd1)+SUMIF(OFFSET(tongctvtpk1,0,-(COLUMN(E490)+7-(COLUMN(E490)-5)/2)),KLVT!$A490,tongctvtpk1)</f>
        <v>0</v>
      </c>
      <c r="F490" s="449">
        <f ca="1">SUMIF(OFFSET(cttba_vlvt1_1,0,-9,-ROW(cttba_vlvt1_1)+ROW(cttba_vltb1_1)-10),KLVT!$A490,OFFSET(cttba_vlvt1_1,0,-4,-ROW(cttba_vlvt1_1)+ROW(cttba_vltb1_1)-10))</f>
        <v>0</v>
      </c>
      <c r="G490" s="451">
        <f t="shared" ca="1" si="90"/>
        <v>0</v>
      </c>
      <c r="H490" s="450">
        <f t="shared" si="91"/>
        <v>0.2</v>
      </c>
      <c r="I490" s="447">
        <f t="shared" ca="1" si="92"/>
        <v>0</v>
      </c>
      <c r="J490" s="447">
        <f t="shared" ca="1" si="93"/>
        <v>0</v>
      </c>
      <c r="K490" s="374">
        <f t="shared" ca="1" si="89"/>
        <v>0</v>
      </c>
    </row>
    <row r="491" spans="1:11" s="45" customFormat="1" ht="15.75" hidden="1">
      <c r="A491" s="373" t="str">
        <f>IF(AND(COUNTIF($A$5:$A$133,R_DG!A365)=0,R_DG!R365&gt;0,ISNUMBER(R_DG!R365)),R_DG!A365,"NONE")</f>
        <v>VT</v>
      </c>
      <c r="B491" s="85">
        <f ca="1">IF(K491&gt;0,COUNTIF(K$6:K491,"&gt;0"),B490)</f>
        <v>29</v>
      </c>
      <c r="C491" s="1084" t="str">
        <f t="shared" si="94"/>
        <v>Vòng treo đầu tròn</v>
      </c>
      <c r="D491" s="85" t="str">
        <f t="shared" si="95"/>
        <v>cái</v>
      </c>
      <c r="E491" s="448">
        <f ca="1">SUMIF(OFFSET(tongctvtdd1,0,-(COLUMN(E491)+7-(COLUMN(E491)-5)/2)),KLVT!$A491,tongctvtdd1)+SUMIF(OFFSET(tongctvtpk1,0,-(COLUMN(E491)+7-(COLUMN(E491)-5)/2)),KLVT!$A491,tongctvtpk1)</f>
        <v>0</v>
      </c>
      <c r="F491" s="449">
        <f ca="1">SUMIF(OFFSET(cttba_vlvt1_1,0,-9,-ROW(cttba_vlvt1_1)+ROW(cttba_vltb1_1)-10),KLVT!$A491,OFFSET(cttba_vlvt1_1,0,-4,-ROW(cttba_vlvt1_1)+ROW(cttba_vltb1_1)-10))</f>
        <v>0</v>
      </c>
      <c r="G491" s="451">
        <f t="shared" ca="1" si="90"/>
        <v>0</v>
      </c>
      <c r="H491" s="450">
        <f t="shared" si="91"/>
        <v>0.5</v>
      </c>
      <c r="I491" s="447">
        <f t="shared" ca="1" si="92"/>
        <v>0</v>
      </c>
      <c r="J491" s="447">
        <f t="shared" ca="1" si="93"/>
        <v>0</v>
      </c>
      <c r="K491" s="373">
        <f t="shared" ca="1" si="89"/>
        <v>0</v>
      </c>
    </row>
    <row r="492" spans="1:11" s="45" customFormat="1" ht="15.75" hidden="1">
      <c r="A492" s="373" t="str">
        <f>IF(AND(COUNTIF($A$5:$A$133,R_DG!A366)=0,R_DG!R366&gt;0,ISNUMBER(R_DG!R366)),R_DG!A366,"NONE")</f>
        <v>ON240A</v>
      </c>
      <c r="B492" s="85">
        <f ca="1">IF(K492&gt;0,COUNTIF(K$6:K492,"&gt;0"),B491)</f>
        <v>29</v>
      </c>
      <c r="C492" s="1084" t="str">
        <f t="shared" si="94"/>
        <v>Ống nối dây A-240</v>
      </c>
      <c r="D492" s="85" t="str">
        <f t="shared" si="95"/>
        <v>cái</v>
      </c>
      <c r="E492" s="448">
        <f ca="1">SUMIF(OFFSET(tongctvtdd1,0,-(COLUMN(E492)+7-(COLUMN(E492)-5)/2)),KLVT!$A492,tongctvtdd1)+SUMIF(OFFSET(tongctvtpk1,0,-(COLUMN(E492)+7-(COLUMN(E492)-5)/2)),KLVT!$A492,tongctvtpk1)</f>
        <v>0</v>
      </c>
      <c r="F492" s="449">
        <f ca="1">SUMIF(OFFSET(cttba_vlvt1_1,0,-9,-ROW(cttba_vlvt1_1)+ROW(cttba_vltb1_1)-10),KLVT!$A492,OFFSET(cttba_vlvt1_1,0,-4,-ROW(cttba_vlvt1_1)+ROW(cttba_vltb1_1)-10))</f>
        <v>0</v>
      </c>
      <c r="G492" s="451">
        <f t="shared" ca="1" si="90"/>
        <v>0</v>
      </c>
      <c r="H492" s="450">
        <f t="shared" si="91"/>
        <v>0.2</v>
      </c>
      <c r="I492" s="447">
        <f t="shared" ca="1" si="92"/>
        <v>0</v>
      </c>
      <c r="J492" s="447">
        <f t="shared" ca="1" si="93"/>
        <v>0</v>
      </c>
      <c r="K492" s="373">
        <f t="shared" ca="1" si="89"/>
        <v>0</v>
      </c>
    </row>
    <row r="493" spans="1:11" s="45" customFormat="1" ht="15.75" hidden="1">
      <c r="A493" s="373" t="str">
        <f>IF(AND(COUNTIF($A$5:$A$133,R_DG!A367)=0,R_DG!R367&gt;0,ISNUMBER(R_DG!R367)),R_DG!A367,"NONE")</f>
        <v>ON185A</v>
      </c>
      <c r="B493" s="85">
        <f ca="1">IF(K493&gt;0,COUNTIF(K$6:K493,"&gt;0"),B492)</f>
        <v>29</v>
      </c>
      <c r="C493" s="1084" t="str">
        <f t="shared" si="94"/>
        <v>Ống nối dây A-185</v>
      </c>
      <c r="D493" s="85" t="str">
        <f t="shared" si="95"/>
        <v>cái</v>
      </c>
      <c r="E493" s="448">
        <f ca="1">SUMIF(OFFSET(tongctvtdd1,0,-(COLUMN(E493)+7-(COLUMN(E493)-5)/2)),KLVT!$A493,tongctvtdd1)+SUMIF(OFFSET(tongctvtpk1,0,-(COLUMN(E493)+7-(COLUMN(E493)-5)/2)),KLVT!$A493,tongctvtpk1)</f>
        <v>0</v>
      </c>
      <c r="F493" s="449">
        <f ca="1">SUMIF(OFFSET(cttba_vlvt1_1,0,-9,-ROW(cttba_vlvt1_1)+ROW(cttba_vltb1_1)-10),KLVT!$A493,OFFSET(cttba_vlvt1_1,0,-4,-ROW(cttba_vlvt1_1)+ROW(cttba_vltb1_1)-10))</f>
        <v>0</v>
      </c>
      <c r="G493" s="451">
        <f t="shared" ca="1" si="90"/>
        <v>0</v>
      </c>
      <c r="H493" s="450">
        <f t="shared" si="91"/>
        <v>0.2</v>
      </c>
      <c r="I493" s="447">
        <f t="shared" ca="1" si="92"/>
        <v>0</v>
      </c>
      <c r="J493" s="447">
        <f t="shared" ca="1" si="93"/>
        <v>0</v>
      </c>
      <c r="K493" s="373">
        <f t="shared" ca="1" si="89"/>
        <v>0</v>
      </c>
    </row>
    <row r="494" spans="1:11" s="45" customFormat="1" ht="15.75" hidden="1">
      <c r="A494" s="373" t="str">
        <f>IF(AND(COUNTIF($A$5:$A$133,R_DG!A368)=0,R_DG!R368&gt;0,ISNUMBER(R_DG!R368)),R_DG!A368,"NONE")</f>
        <v>ON120A</v>
      </c>
      <c r="B494" s="85">
        <f ca="1">IF(K494&gt;0,COUNTIF(K$6:K494,"&gt;0"),B493)</f>
        <v>29</v>
      </c>
      <c r="C494" s="1084" t="str">
        <f t="shared" si="94"/>
        <v>Ống nối dây A-120</v>
      </c>
      <c r="D494" s="85" t="str">
        <f t="shared" si="95"/>
        <v>cái</v>
      </c>
      <c r="E494" s="448">
        <f ca="1">SUMIF(OFFSET(tongctvtdd1,0,-(COLUMN(E494)+7-(COLUMN(E494)-5)/2)),KLVT!$A494,tongctvtdd1)+SUMIF(OFFSET(tongctvtpk1,0,-(COLUMN(E494)+7-(COLUMN(E494)-5)/2)),KLVT!$A494,tongctvtpk1)</f>
        <v>0</v>
      </c>
      <c r="F494" s="449">
        <f ca="1">SUMIF(OFFSET(cttba_vlvt1_1,0,-9,-ROW(cttba_vlvt1_1)+ROW(cttba_vltb1_1)-10),KLVT!$A494,OFFSET(cttba_vlvt1_1,0,-4,-ROW(cttba_vlvt1_1)+ROW(cttba_vltb1_1)-10))</f>
        <v>0</v>
      </c>
      <c r="G494" s="451">
        <f t="shared" ca="1" si="90"/>
        <v>0</v>
      </c>
      <c r="H494" s="450">
        <f t="shared" si="91"/>
        <v>0.2</v>
      </c>
      <c r="I494" s="447">
        <f t="shared" ca="1" si="92"/>
        <v>0</v>
      </c>
      <c r="J494" s="447">
        <f t="shared" ca="1" si="93"/>
        <v>0</v>
      </c>
      <c r="K494" s="373">
        <f t="shared" ca="1" si="89"/>
        <v>0</v>
      </c>
    </row>
    <row r="495" spans="1:11" s="45" customFormat="1" ht="15.75" hidden="1">
      <c r="A495" s="373" t="str">
        <f>IF(AND(COUNTIF($A$5:$A$133,R_DG!A369)=0,R_DG!R369&gt;0,ISNUMBER(R_DG!R369)),R_DG!A369,"NONE")</f>
        <v>ON95A</v>
      </c>
      <c r="B495" s="85">
        <f ca="1">IF(K495&gt;0,COUNTIF(K$6:K495,"&gt;0"),B494)</f>
        <v>29</v>
      </c>
      <c r="C495" s="1084" t="str">
        <f t="shared" si="94"/>
        <v>Ống nối dây A-95</v>
      </c>
      <c r="D495" s="85" t="str">
        <f t="shared" si="95"/>
        <v>cái</v>
      </c>
      <c r="E495" s="448">
        <f ca="1">SUMIF(OFFSET(tongctvtdd1,0,-(COLUMN(E495)+7-(COLUMN(E495)-5)/2)),KLVT!$A495,tongctvtdd1)+SUMIF(OFFSET(tongctvtpk1,0,-(COLUMN(E495)+7-(COLUMN(E495)-5)/2)),KLVT!$A495,tongctvtpk1)</f>
        <v>0</v>
      </c>
      <c r="F495" s="449">
        <f ca="1">SUMIF(OFFSET(cttba_vlvt1_1,0,-9,-ROW(cttba_vlvt1_1)+ROW(cttba_vltb1_1)-10),KLVT!$A495,OFFSET(cttba_vlvt1_1,0,-4,-ROW(cttba_vlvt1_1)+ROW(cttba_vltb1_1)-10))</f>
        <v>0</v>
      </c>
      <c r="G495" s="451">
        <f t="shared" ca="1" si="90"/>
        <v>0</v>
      </c>
      <c r="H495" s="450">
        <f t="shared" si="91"/>
        <v>0.2</v>
      </c>
      <c r="I495" s="447">
        <f t="shared" ca="1" si="92"/>
        <v>0</v>
      </c>
      <c r="J495" s="447">
        <f t="shared" ca="1" si="93"/>
        <v>0</v>
      </c>
      <c r="K495" s="373">
        <f t="shared" ca="1" si="89"/>
        <v>0</v>
      </c>
    </row>
    <row r="496" spans="1:11" s="45" customFormat="1" ht="15.75" hidden="1">
      <c r="A496" s="373" t="str">
        <f>IF(AND(COUNTIF($A$5:$A$133,R_DG!A370)=0,R_DG!R370&gt;0,ISNUMBER(R_DG!R370)),R_DG!A370,"NONE")</f>
        <v>ON70A</v>
      </c>
      <c r="B496" s="85">
        <f ca="1">IF(K496&gt;0,COUNTIF(K$6:K496,"&gt;0"),B495)</f>
        <v>29</v>
      </c>
      <c r="C496" s="1084" t="str">
        <f t="shared" si="94"/>
        <v>Ống nối dây A-70</v>
      </c>
      <c r="D496" s="85" t="str">
        <f t="shared" si="95"/>
        <v>cái</v>
      </c>
      <c r="E496" s="448">
        <f ca="1">SUMIF(OFFSET(tongctvtdd1,0,-(COLUMN(E496)+7-(COLUMN(E496)-5)/2)),KLVT!$A496,tongctvtdd1)+SUMIF(OFFSET(tongctvtpk1,0,-(COLUMN(E496)+7-(COLUMN(E496)-5)/2)),KLVT!$A496,tongctvtpk1)</f>
        <v>0</v>
      </c>
      <c r="F496" s="449">
        <f ca="1">SUMIF(OFFSET(cttba_vlvt1_1,0,-9,-ROW(cttba_vlvt1_1)+ROW(cttba_vltb1_1)-10),KLVT!$A496,OFFSET(cttba_vlvt1_1,0,-4,-ROW(cttba_vlvt1_1)+ROW(cttba_vltb1_1)-10))</f>
        <v>0</v>
      </c>
      <c r="G496" s="451">
        <f t="shared" ca="1" si="90"/>
        <v>0</v>
      </c>
      <c r="H496" s="450">
        <f t="shared" si="91"/>
        <v>0.2</v>
      </c>
      <c r="I496" s="447">
        <f t="shared" ca="1" si="92"/>
        <v>0</v>
      </c>
      <c r="J496" s="447">
        <f t="shared" ca="1" si="93"/>
        <v>0</v>
      </c>
      <c r="K496" s="374">
        <f t="shared" ca="1" si="89"/>
        <v>0</v>
      </c>
    </row>
    <row r="497" spans="1:11" s="45" customFormat="1" ht="15.75" hidden="1">
      <c r="A497" s="373" t="str">
        <f>IF(AND(COUNTIF($A$5:$A$133,R_DG!A371)=0,R_DG!R371&gt;0,ISNUMBER(R_DG!R371)),R_DG!A371,"NONE")</f>
        <v>ON50A</v>
      </c>
      <c r="B497" s="85">
        <f ca="1">IF(K497&gt;0,COUNTIF(K$6:K497,"&gt;0"),B496)</f>
        <v>29</v>
      </c>
      <c r="C497" s="1084" t="str">
        <f t="shared" si="94"/>
        <v>Ống nối dây A-50</v>
      </c>
      <c r="D497" s="85" t="str">
        <f t="shared" si="95"/>
        <v>cái</v>
      </c>
      <c r="E497" s="448">
        <f ca="1">SUMIF(OFFSET(tongctvtdd1,0,-(COLUMN(E497)+7-(COLUMN(E497)-5)/2)),KLVT!$A497,tongctvtdd1)+SUMIF(OFFSET(tongctvtpk1,0,-(COLUMN(E497)+7-(COLUMN(E497)-5)/2)),KLVT!$A497,tongctvtpk1)</f>
        <v>0</v>
      </c>
      <c r="F497" s="449">
        <f ca="1">SUMIF(OFFSET(cttba_vlvt1_1,0,-9,-ROW(cttba_vlvt1_1)+ROW(cttba_vltb1_1)-10),KLVT!$A497,OFFSET(cttba_vlvt1_1,0,-4,-ROW(cttba_vlvt1_1)+ROW(cttba_vltb1_1)-10))</f>
        <v>0</v>
      </c>
      <c r="G497" s="451">
        <f t="shared" ca="1" si="90"/>
        <v>0</v>
      </c>
      <c r="H497" s="450">
        <f t="shared" si="91"/>
        <v>0.2</v>
      </c>
      <c r="I497" s="447">
        <f t="shared" ca="1" si="92"/>
        <v>0</v>
      </c>
      <c r="J497" s="447">
        <f t="shared" ca="1" si="93"/>
        <v>0</v>
      </c>
      <c r="K497" s="373">
        <f t="shared" ca="1" si="89"/>
        <v>0</v>
      </c>
    </row>
    <row r="498" spans="1:11" s="45" customFormat="1" ht="15.75" hidden="1">
      <c r="A498" s="373" t="str">
        <f>IF(AND(COUNTIF($A$5:$A$133,R_DG!A372)=0,R_DG!R372&gt;0,ISNUMBER(R_DG!R372)),R_DG!A372,"NONE")</f>
        <v>ON35A</v>
      </c>
      <c r="B498" s="85">
        <f ca="1">IF(K498&gt;0,COUNTIF(K$6:K498,"&gt;0"),B497)</f>
        <v>29</v>
      </c>
      <c r="C498" s="1084" t="str">
        <f t="shared" si="94"/>
        <v>Ống nối dây A-35</v>
      </c>
      <c r="D498" s="85" t="str">
        <f t="shared" si="95"/>
        <v>cái</v>
      </c>
      <c r="E498" s="448">
        <f ca="1">SUMIF(OFFSET(tongctvtdd1,0,-(COLUMN(E498)+7-(COLUMN(E498)-5)/2)),KLVT!$A498,tongctvtdd1)+SUMIF(OFFSET(tongctvtpk1,0,-(COLUMN(E498)+7-(COLUMN(E498)-5)/2)),KLVT!$A498,tongctvtpk1)</f>
        <v>0</v>
      </c>
      <c r="F498" s="449">
        <f ca="1">SUMIF(OFFSET(cttba_vlvt1_1,0,-9,-ROW(cttba_vlvt1_1)+ROW(cttba_vltb1_1)-10),KLVT!$A498,OFFSET(cttba_vlvt1_1,0,-4,-ROW(cttba_vlvt1_1)+ROW(cttba_vltb1_1)-10))</f>
        <v>0</v>
      </c>
      <c r="G498" s="451">
        <f t="shared" ca="1" si="90"/>
        <v>0</v>
      </c>
      <c r="H498" s="450">
        <f t="shared" si="91"/>
        <v>0.2</v>
      </c>
      <c r="I498" s="447">
        <f t="shared" ca="1" si="92"/>
        <v>0</v>
      </c>
      <c r="J498" s="447">
        <f t="shared" ca="1" si="93"/>
        <v>0</v>
      </c>
      <c r="K498" s="374">
        <f t="shared" ca="1" si="89"/>
        <v>0</v>
      </c>
    </row>
    <row r="499" spans="1:11" s="45" customFormat="1" ht="15.75" hidden="1">
      <c r="A499" s="373" t="str">
        <f>IF(AND(COUNTIF($A$5:$A$133,R_DG!A373)=0,R_DG!R373&gt;0,ISNUMBER(R_DG!R373)),R_DG!A373,"NONE")</f>
        <v>ON35</v>
      </c>
      <c r="B499" s="85">
        <f ca="1">IF(K499&gt;0,COUNTIF(K$6:K499,"&gt;0"),B498)</f>
        <v>29</v>
      </c>
      <c r="C499" s="1084" t="str">
        <f t="shared" si="94"/>
        <v>Ống nối dây cỡ 35mm2</v>
      </c>
      <c r="D499" s="85" t="str">
        <f t="shared" si="95"/>
        <v>cái</v>
      </c>
      <c r="E499" s="448">
        <f ca="1">SUMIF(OFFSET(tongctvtdd1,0,-(COLUMN(E499)+7-(COLUMN(E499)-5)/2)),KLVT!$A499,tongctvtdd1)+SUMIF(OFFSET(tongctvtpk1,0,-(COLUMN(E499)+7-(COLUMN(E499)-5)/2)),KLVT!$A499,tongctvtpk1)</f>
        <v>0</v>
      </c>
      <c r="F499" s="449">
        <f ca="1">SUMIF(OFFSET(cttba_vlvt1_1,0,-9,-ROW(cttba_vlvt1_1)+ROW(cttba_vltb1_1)-10),KLVT!$A499,OFFSET(cttba_vlvt1_1,0,-4,-ROW(cttba_vlvt1_1)+ROW(cttba_vltb1_1)-10))</f>
        <v>0</v>
      </c>
      <c r="G499" s="451">
        <f t="shared" ca="1" si="90"/>
        <v>0</v>
      </c>
      <c r="H499" s="450">
        <f t="shared" si="91"/>
        <v>0.2</v>
      </c>
      <c r="I499" s="447">
        <f t="shared" ca="1" si="92"/>
        <v>0</v>
      </c>
      <c r="J499" s="447">
        <f t="shared" ca="1" si="93"/>
        <v>0</v>
      </c>
      <c r="K499" s="373">
        <f t="shared" ca="1" si="89"/>
        <v>0</v>
      </c>
    </row>
    <row r="500" spans="1:11" s="45" customFormat="1" hidden="1">
      <c r="A500" s="373" t="str">
        <f>IF(AND(COUNTIF($A$5:$A$133,R_DG!A374)=0,R_DG!R374&gt;0,ISNUMBER(R_DG!R374)),R_DG!A374,"NONE")</f>
        <v>ON50</v>
      </c>
      <c r="B500" s="85">
        <f ca="1">IF(K500&gt;0,COUNTIF(K$6:K500,"&gt;0"),B499)</f>
        <v>29</v>
      </c>
      <c r="C500" s="1084" t="str">
        <f t="shared" si="94"/>
        <v>Ống nối dây cỡ 50mm2</v>
      </c>
      <c r="D500" s="85" t="str">
        <f t="shared" si="95"/>
        <v>cái</v>
      </c>
      <c r="E500" s="448">
        <f ca="1">SUMIF(OFFSET(tongctvtdd1,0,-(COLUMN(E500)+7-(COLUMN(E500)-5)/2)),KLVT!$A500,tongctvtdd1)+SUMIF(OFFSET(tongctvtpk1,0,-(COLUMN(E500)+7-(COLUMN(E500)-5)/2)),KLVT!$A500,tongctvtpk1)</f>
        <v>0</v>
      </c>
      <c r="F500" s="449">
        <f ca="1">SUMIF(OFFSET(cttba_vlvt1_1,0,-9,-ROW(cttba_vlvt1_1)+ROW(cttba_vltb1_1)-10),KLVT!$A500,OFFSET(cttba_vlvt1_1,0,-4,-ROW(cttba_vlvt1_1)+ROW(cttba_vltb1_1)-10))</f>
        <v>0</v>
      </c>
      <c r="G500" s="451">
        <f t="shared" ca="1" si="90"/>
        <v>0</v>
      </c>
      <c r="H500" s="450">
        <f t="shared" si="91"/>
        <v>0.2</v>
      </c>
      <c r="I500" s="447">
        <f t="shared" ca="1" si="92"/>
        <v>0</v>
      </c>
      <c r="J500" s="447">
        <f t="shared" ca="1" si="93"/>
        <v>0</v>
      </c>
      <c r="K500" s="1094">
        <f t="shared" ca="1" si="89"/>
        <v>0</v>
      </c>
    </row>
    <row r="501" spans="1:11" s="45" customFormat="1" ht="15.75" hidden="1">
      <c r="A501" s="373" t="str">
        <f>IF(AND(COUNTIF($A$5:$A$133,R_DG!A375)=0,R_DG!R375&gt;0,ISNUMBER(R_DG!R375)),R_DG!A375,"NONE")</f>
        <v>ON70</v>
      </c>
      <c r="B501" s="85">
        <f ca="1">IF(K501&gt;0,COUNTIF(K$6:K501,"&gt;0"),B500)</f>
        <v>29</v>
      </c>
      <c r="C501" s="1084" t="str">
        <f t="shared" si="94"/>
        <v>Ống nối dây cỡ 70mm2</v>
      </c>
      <c r="D501" s="85" t="str">
        <f t="shared" si="95"/>
        <v>cái</v>
      </c>
      <c r="E501" s="448">
        <f ca="1">SUMIF(OFFSET(tongctvtdd1,0,-(COLUMN(E501)+7-(COLUMN(E501)-5)/2)),KLVT!$A501,tongctvtdd1)+SUMIF(OFFSET(tongctvtpk1,0,-(COLUMN(E501)+7-(COLUMN(E501)-5)/2)),KLVT!$A501,tongctvtpk1)</f>
        <v>0</v>
      </c>
      <c r="F501" s="449">
        <f ca="1">SUMIF(OFFSET(cttba_vlvt1_1,0,-9,-ROW(cttba_vlvt1_1)+ROW(cttba_vltb1_1)-10),KLVT!$A501,OFFSET(cttba_vlvt1_1,0,-4,-ROW(cttba_vlvt1_1)+ROW(cttba_vltb1_1)-10))</f>
        <v>0</v>
      </c>
      <c r="G501" s="451">
        <f t="shared" ca="1" si="90"/>
        <v>0</v>
      </c>
      <c r="H501" s="450">
        <f t="shared" si="91"/>
        <v>0.2</v>
      </c>
      <c r="I501" s="447">
        <f t="shared" ca="1" si="92"/>
        <v>0</v>
      </c>
      <c r="J501" s="447">
        <f t="shared" ca="1" si="93"/>
        <v>0</v>
      </c>
      <c r="K501" s="374">
        <f t="shared" ca="1" si="89"/>
        <v>0</v>
      </c>
    </row>
    <row r="502" spans="1:11" s="45" customFormat="1" ht="15.75" hidden="1">
      <c r="A502" s="373" t="str">
        <f>IF(AND(COUNTIF($A$5:$A$133,R_DG!A376)=0,R_DG!R376&gt;0,ISNUMBER(R_DG!R376)),R_DG!A376,"NONE")</f>
        <v>ON95</v>
      </c>
      <c r="B502" s="85">
        <f ca="1">IF(K502&gt;0,COUNTIF(K$6:K502,"&gt;0"),B501)</f>
        <v>29</v>
      </c>
      <c r="C502" s="1084" t="str">
        <f t="shared" si="94"/>
        <v>Ống nối dây cỡ 95mm2</v>
      </c>
      <c r="D502" s="85" t="str">
        <f t="shared" si="95"/>
        <v>cái</v>
      </c>
      <c r="E502" s="448">
        <f ca="1">SUMIF(OFFSET(tongctvtdd1,0,-(COLUMN(E502)+7-(COLUMN(E502)-5)/2)),KLVT!$A502,tongctvtdd1)+SUMIF(OFFSET(tongctvtpk1,0,-(COLUMN(E502)+7-(COLUMN(E502)-5)/2)),KLVT!$A502,tongctvtpk1)</f>
        <v>0</v>
      </c>
      <c r="F502" s="449">
        <f ca="1">SUMIF(OFFSET(cttba_vlvt1_1,0,-9,-ROW(cttba_vlvt1_1)+ROW(cttba_vltb1_1)-10),KLVT!$A502,OFFSET(cttba_vlvt1_1,0,-4,-ROW(cttba_vlvt1_1)+ROW(cttba_vltb1_1)-10))</f>
        <v>0</v>
      </c>
      <c r="G502" s="451">
        <f t="shared" ca="1" si="90"/>
        <v>0</v>
      </c>
      <c r="H502" s="450">
        <f t="shared" si="91"/>
        <v>0.2</v>
      </c>
      <c r="I502" s="447">
        <f t="shared" ca="1" si="92"/>
        <v>0</v>
      </c>
      <c r="J502" s="447">
        <f t="shared" ca="1" si="93"/>
        <v>0</v>
      </c>
      <c r="K502" s="373">
        <f t="shared" ca="1" si="89"/>
        <v>0</v>
      </c>
    </row>
    <row r="503" spans="1:11" s="45" customFormat="1" ht="15.75" hidden="1">
      <c r="A503" s="373" t="str">
        <f>IF(AND(COUNTIF($A$5:$A$133,R_DG!A377)=0,R_DG!R377&gt;0,ISNUMBER(R_DG!R377)),R_DG!A377,"NONE")</f>
        <v>ON120</v>
      </c>
      <c r="B503" s="85">
        <f ca="1">IF(K503&gt;0,COUNTIF(K$6:K503,"&gt;0"),B502)</f>
        <v>29</v>
      </c>
      <c r="C503" s="1084" t="str">
        <f t="shared" si="94"/>
        <v>Ống nối dây cỡ 120mm2</v>
      </c>
      <c r="D503" s="85" t="str">
        <f t="shared" si="95"/>
        <v>cái</v>
      </c>
      <c r="E503" s="448">
        <f ca="1">SUMIF(OFFSET(tongctvtdd1,0,-(COLUMN(E503)+7-(COLUMN(E503)-5)/2)),KLVT!$A503,tongctvtdd1)+SUMIF(OFFSET(tongctvtpk1,0,-(COLUMN(E503)+7-(COLUMN(E503)-5)/2)),KLVT!$A503,tongctvtpk1)</f>
        <v>0</v>
      </c>
      <c r="F503" s="449">
        <f ca="1">SUMIF(OFFSET(cttba_vlvt1_1,0,-9,-ROW(cttba_vlvt1_1)+ROW(cttba_vltb1_1)-10),KLVT!$A503,OFFSET(cttba_vlvt1_1,0,-4,-ROW(cttba_vlvt1_1)+ROW(cttba_vltb1_1)-10))</f>
        <v>0</v>
      </c>
      <c r="G503" s="451">
        <f t="shared" ca="1" si="90"/>
        <v>0</v>
      </c>
      <c r="H503" s="450">
        <f t="shared" si="91"/>
        <v>0.2</v>
      </c>
      <c r="I503" s="447">
        <f t="shared" ca="1" si="92"/>
        <v>0</v>
      </c>
      <c r="J503" s="447">
        <f t="shared" ca="1" si="93"/>
        <v>0</v>
      </c>
      <c r="K503" s="373">
        <f t="shared" ca="1" si="89"/>
        <v>0</v>
      </c>
    </row>
    <row r="504" spans="1:11" s="45" customFormat="1" ht="15.75" hidden="1">
      <c r="A504" s="373" t="str">
        <f>IF(AND(COUNTIF($A$5:$A$133,R_DG!A378)=0,R_DG!R378&gt;0,ISNUMBER(R_DG!R378)),R_DG!A378,"NONE")</f>
        <v>ON150</v>
      </c>
      <c r="B504" s="85">
        <f ca="1">IF(K504&gt;0,COUNTIF(K$6:K504,"&gt;0"),B503)</f>
        <v>29</v>
      </c>
      <c r="C504" s="1084" t="str">
        <f t="shared" si="94"/>
        <v>Ống nối dây cỡ 150mm2</v>
      </c>
      <c r="D504" s="85" t="str">
        <f t="shared" si="95"/>
        <v>cái</v>
      </c>
      <c r="E504" s="448">
        <f ca="1">SUMIF(OFFSET(tongctvtdd1,0,-(COLUMN(E504)+7-(COLUMN(E504)-5)/2)),KLVT!$A504,tongctvtdd1)+SUMIF(OFFSET(tongctvtpk1,0,-(COLUMN(E504)+7-(COLUMN(E504)-5)/2)),KLVT!$A504,tongctvtpk1)</f>
        <v>0</v>
      </c>
      <c r="F504" s="449">
        <f ca="1">SUMIF(OFFSET(cttba_vlvt1_1,0,-9,-ROW(cttba_vlvt1_1)+ROW(cttba_vltb1_1)-10),KLVT!$A504,OFFSET(cttba_vlvt1_1,0,-4,-ROW(cttba_vlvt1_1)+ROW(cttba_vltb1_1)-10))</f>
        <v>0</v>
      </c>
      <c r="G504" s="451">
        <f t="shared" ca="1" si="90"/>
        <v>0</v>
      </c>
      <c r="H504" s="450">
        <f t="shared" si="91"/>
        <v>0.2</v>
      </c>
      <c r="I504" s="447">
        <f t="shared" ca="1" si="92"/>
        <v>0</v>
      </c>
      <c r="J504" s="447">
        <f t="shared" ca="1" si="93"/>
        <v>0</v>
      </c>
      <c r="K504" s="374">
        <f t="shared" ca="1" si="89"/>
        <v>0</v>
      </c>
    </row>
    <row r="505" spans="1:11" s="45" customFormat="1" ht="15.75" hidden="1">
      <c r="A505" s="373" t="str">
        <f>IF(AND(COUNTIF($A$5:$A$133,R_DG!A379)=0,R_DG!R379&gt;0,ISNUMBER(R_DG!R379)),R_DG!A379,"NONE")</f>
        <v>ON185</v>
      </c>
      <c r="B505" s="85">
        <f ca="1">IF(K505&gt;0,COUNTIF(K$6:K505,"&gt;0"),B504)</f>
        <v>29</v>
      </c>
      <c r="C505" s="1084" t="str">
        <f t="shared" si="94"/>
        <v>Ống nối dây cỡ 185mm2</v>
      </c>
      <c r="D505" s="85" t="str">
        <f t="shared" si="95"/>
        <v>cái</v>
      </c>
      <c r="E505" s="448">
        <f ca="1">SUMIF(OFFSET(tongctvtdd1,0,-(COLUMN(E505)+7-(COLUMN(E505)-5)/2)),KLVT!$A505,tongctvtdd1)+SUMIF(OFFSET(tongctvtpk1,0,-(COLUMN(E505)+7-(COLUMN(E505)-5)/2)),KLVT!$A505,tongctvtpk1)</f>
        <v>0</v>
      </c>
      <c r="F505" s="449">
        <f ca="1">SUMIF(OFFSET(cttba_vlvt1_1,0,-9,-ROW(cttba_vlvt1_1)+ROW(cttba_vltb1_1)-10),KLVT!$A505,OFFSET(cttba_vlvt1_1,0,-4,-ROW(cttba_vlvt1_1)+ROW(cttba_vltb1_1)-10))</f>
        <v>0</v>
      </c>
      <c r="G505" s="451">
        <f t="shared" ca="1" si="90"/>
        <v>0</v>
      </c>
      <c r="H505" s="450">
        <f t="shared" si="91"/>
        <v>0.2</v>
      </c>
      <c r="I505" s="447">
        <f t="shared" ca="1" si="92"/>
        <v>0</v>
      </c>
      <c r="J505" s="447">
        <f t="shared" ca="1" si="93"/>
        <v>0</v>
      </c>
      <c r="K505" s="374">
        <f t="shared" ca="1" si="89"/>
        <v>0</v>
      </c>
    </row>
    <row r="506" spans="1:11" s="45" customFormat="1" ht="15.75" hidden="1">
      <c r="A506" s="373" t="str">
        <f>IF(AND(COUNTIF($A$5:$A$133,R_DG!A380)=0,R_DG!R380&gt;0,ISNUMBER(R_DG!R380)),R_DG!A380,"NONE")</f>
        <v>ON240</v>
      </c>
      <c r="B506" s="85">
        <f ca="1">IF(K506&gt;0,COUNTIF(K$6:K506,"&gt;0"),B505)</f>
        <v>29</v>
      </c>
      <c r="C506" s="1084" t="str">
        <f t="shared" si="94"/>
        <v>Ống nối dây cỡ 240mm2</v>
      </c>
      <c r="D506" s="85" t="str">
        <f t="shared" si="95"/>
        <v>cái</v>
      </c>
      <c r="E506" s="448">
        <f ca="1">SUMIF(OFFSET(tongctvtdd1,0,-(COLUMN(E506)+7-(COLUMN(E506)-5)/2)),KLVT!$A506,tongctvtdd1)+SUMIF(OFFSET(tongctvtpk1,0,-(COLUMN(E506)+7-(COLUMN(E506)-5)/2)),KLVT!$A506,tongctvtpk1)</f>
        <v>0</v>
      </c>
      <c r="F506" s="449">
        <f ca="1">SUMIF(OFFSET(cttba_vlvt1_1,0,-9,-ROW(cttba_vlvt1_1)+ROW(cttba_vltb1_1)-10),KLVT!$A506,OFFSET(cttba_vlvt1_1,0,-4,-ROW(cttba_vlvt1_1)+ROW(cttba_vltb1_1)-10))</f>
        <v>0</v>
      </c>
      <c r="G506" s="451">
        <f t="shared" ca="1" si="90"/>
        <v>0</v>
      </c>
      <c r="H506" s="450">
        <f t="shared" si="91"/>
        <v>0.2</v>
      </c>
      <c r="I506" s="447">
        <f t="shared" ca="1" si="92"/>
        <v>0</v>
      </c>
      <c r="J506" s="447">
        <f t="shared" ca="1" si="93"/>
        <v>0</v>
      </c>
      <c r="K506" s="373">
        <f t="shared" ca="1" si="89"/>
        <v>0</v>
      </c>
    </row>
    <row r="507" spans="1:11" s="45" customFormat="1" ht="15.75" hidden="1">
      <c r="A507" s="373" t="str">
        <f>IF(AND(COUNTIF($A$5:$A$133,R_DG!A381)=0,R_DG!R381&gt;0,ISNUMBER(R_DG!R381)),R_DG!A381,"NONE")</f>
        <v>ON50B</v>
      </c>
      <c r="B507" s="85">
        <f ca="1">IF(K507&gt;0,COUNTIF(K$6:K507,"&gt;0"),B506)</f>
        <v>29</v>
      </c>
      <c r="C507" s="1084" t="str">
        <f t="shared" si="94"/>
        <v>Ống nối dây chịu sức căng cỡ 50mm2</v>
      </c>
      <c r="D507" s="85" t="str">
        <f t="shared" si="95"/>
        <v>cái</v>
      </c>
      <c r="E507" s="448">
        <f ca="1">SUMIF(OFFSET(tongctvtdd1,0,-(COLUMN(E507)+7-(COLUMN(E507)-5)/2)),KLVT!$A507,tongctvtdd1)+SUMIF(OFFSET(tongctvtpk1,0,-(COLUMN(E507)+7-(COLUMN(E507)-5)/2)),KLVT!$A507,tongctvtpk1)</f>
        <v>0</v>
      </c>
      <c r="F507" s="449">
        <f ca="1">SUMIF(OFFSET(cttba_vlvt1_1,0,-9,-ROW(cttba_vlvt1_1)+ROW(cttba_vltb1_1)-10),KLVT!$A507,OFFSET(cttba_vlvt1_1,0,-4,-ROW(cttba_vlvt1_1)+ROW(cttba_vltb1_1)-10))</f>
        <v>0</v>
      </c>
      <c r="G507" s="451">
        <f t="shared" ca="1" si="90"/>
        <v>0</v>
      </c>
      <c r="H507" s="450">
        <f t="shared" si="91"/>
        <v>0.2</v>
      </c>
      <c r="I507" s="447">
        <f t="shared" ca="1" si="92"/>
        <v>0</v>
      </c>
      <c r="J507" s="447">
        <f t="shared" ca="1" si="93"/>
        <v>0</v>
      </c>
      <c r="K507" s="373">
        <f t="shared" ca="1" si="89"/>
        <v>0</v>
      </c>
    </row>
    <row r="508" spans="1:11" s="45" customFormat="1" ht="15.75" hidden="1">
      <c r="A508" s="373" t="str">
        <f>IF(AND(COUNTIF($A$5:$A$133,R_DG!A382)=0,R_DG!R382&gt;0,ISNUMBER(R_DG!R382)),R_DG!A382,"NONE")</f>
        <v>PU</v>
      </c>
      <c r="B508" s="85">
        <f ca="1">IF(K508&gt;0,COUNTIF(K$6:K508,"&gt;0"),B507)</f>
        <v>29</v>
      </c>
      <c r="C508" s="1084" t="str">
        <f t="shared" si="94"/>
        <v>Puli</v>
      </c>
      <c r="D508" s="85" t="str">
        <f t="shared" si="95"/>
        <v>cái</v>
      </c>
      <c r="E508" s="448">
        <f ca="1">SUMIF(OFFSET(tongctvtdd1,0,-(COLUMN(E508)+7-(COLUMN(E508)-5)/2)),KLVT!$A508,tongctvtdd1)+SUMIF(OFFSET(tongctvtpk1,0,-(COLUMN(E508)+7-(COLUMN(E508)-5)/2)),KLVT!$A508,tongctvtpk1)</f>
        <v>0</v>
      </c>
      <c r="F508" s="449">
        <f ca="1">SUMIF(OFFSET(cttba_vlvt1_1,0,-9,-ROW(cttba_vlvt1_1)+ROW(cttba_vltb1_1)-10),KLVT!$A508,OFFSET(cttba_vlvt1_1,0,-4,-ROW(cttba_vlvt1_1)+ROW(cttba_vltb1_1)-10))</f>
        <v>0</v>
      </c>
      <c r="G508" s="451">
        <f t="shared" ca="1" si="90"/>
        <v>0</v>
      </c>
      <c r="H508" s="450">
        <f t="shared" si="91"/>
        <v>1</v>
      </c>
      <c r="I508" s="447">
        <f t="shared" ca="1" si="92"/>
        <v>0</v>
      </c>
      <c r="J508" s="447">
        <f t="shared" ca="1" si="93"/>
        <v>0</v>
      </c>
      <c r="K508" s="374">
        <f t="shared" ca="1" si="89"/>
        <v>0</v>
      </c>
    </row>
    <row r="509" spans="1:11" s="45" customFormat="1" hidden="1">
      <c r="A509" s="373" t="str">
        <f>IF(AND(COUNTIF($A$5:$A$133,R_DG!A383)=0,R_DG!R383&gt;0,ISNUMBER(R_DG!R383)),R_DG!A383,"NONE")</f>
        <v>R1</v>
      </c>
      <c r="B509" s="85">
        <f ca="1">IF(K509&gt;0,COUNTIF(K$6:K509,"&gt;0"),B508)</f>
        <v>29</v>
      </c>
      <c r="C509" s="1084" t="str">
        <f t="shared" si="94"/>
        <v>Uclevis</v>
      </c>
      <c r="D509" s="85" t="str">
        <f t="shared" si="95"/>
        <v>bộ</v>
      </c>
      <c r="E509" s="448">
        <f ca="1">SUMIF(OFFSET(tongctvtdd1,0,-(COLUMN(E509)+7-(COLUMN(E509)-5)/2)),KLVT!$A509,tongctvtdd1)+SUMIF(OFFSET(tongctvtpk1,0,-(COLUMN(E509)+7-(COLUMN(E509)-5)/2)),KLVT!$A509,tongctvtpk1)</f>
        <v>0</v>
      </c>
      <c r="F509" s="449">
        <f ca="1">SUMIF(OFFSET(cttba_vlvt1_1,0,-9,-ROW(cttba_vlvt1_1)+ROW(cttba_vltb1_1)-10),KLVT!$A509,OFFSET(cttba_vlvt1_1,0,-4,-ROW(cttba_vlvt1_1)+ROW(cttba_vltb1_1)-10))</f>
        <v>0</v>
      </c>
      <c r="G509" s="451">
        <f t="shared" ca="1" si="90"/>
        <v>0</v>
      </c>
      <c r="H509" s="450">
        <f t="shared" si="91"/>
        <v>2.5</v>
      </c>
      <c r="I509" s="447">
        <f t="shared" ca="1" si="92"/>
        <v>0</v>
      </c>
      <c r="J509" s="447">
        <f t="shared" ca="1" si="93"/>
        <v>0</v>
      </c>
      <c r="K509" s="1094">
        <f t="shared" ca="1" si="89"/>
        <v>0</v>
      </c>
    </row>
    <row r="510" spans="1:11" s="45" customFormat="1" ht="15.75" hidden="1">
      <c r="A510" s="373" t="str">
        <f>IF(AND(COUNTIF($A$5:$A$133,R_DG!A384)=0,R_DG!R384&gt;0,ISNUMBER(R_DG!R384)),R_DG!A384,"NONE")</f>
        <v>R2</v>
      </c>
      <c r="B510" s="85">
        <f ca="1">IF(K510&gt;0,COUNTIF(K$6:K510,"&gt;0"),B509)</f>
        <v>29</v>
      </c>
      <c r="C510" s="1084" t="str">
        <f t="shared" si="94"/>
        <v>Rack 2 sứ</v>
      </c>
      <c r="D510" s="85" t="str">
        <f t="shared" si="95"/>
        <v>bộ</v>
      </c>
      <c r="E510" s="448">
        <f ca="1">SUMIF(OFFSET(tongctvtdd1,0,-(COLUMN(E510)+7-(COLUMN(E510)-5)/2)),KLVT!$A510,tongctvtdd1)+SUMIF(OFFSET(tongctvtpk1,0,-(COLUMN(E510)+7-(COLUMN(E510)-5)/2)),KLVT!$A510,tongctvtpk1)</f>
        <v>0</v>
      </c>
      <c r="F510" s="449">
        <f ca="1">SUMIF(OFFSET(cttba_vlvt1_1,0,-9,-ROW(cttba_vlvt1_1)+ROW(cttba_vltb1_1)-10),KLVT!$A510,OFFSET(cttba_vlvt1_1,0,-4,-ROW(cttba_vlvt1_1)+ROW(cttba_vltb1_1)-10))</f>
        <v>0</v>
      </c>
      <c r="G510" s="451">
        <f t="shared" ca="1" si="90"/>
        <v>0</v>
      </c>
      <c r="H510" s="450">
        <f t="shared" si="91"/>
        <v>3</v>
      </c>
      <c r="I510" s="447">
        <f t="shared" ca="1" si="92"/>
        <v>0</v>
      </c>
      <c r="J510" s="447">
        <f t="shared" ca="1" si="93"/>
        <v>0</v>
      </c>
      <c r="K510" s="374">
        <f t="shared" ca="1" si="89"/>
        <v>0</v>
      </c>
    </row>
    <row r="511" spans="1:11" ht="15.75">
      <c r="A511" s="1251" t="str">
        <f>IF(AND(COUNTIF($A$5:$A$133,R_DG!A385)=0,R_DG!R385&gt;0,ISNUMBER(R_DG!R385)),R_DG!A385,"NONE")</f>
        <v>R3</v>
      </c>
      <c r="B511" s="438">
        <f ca="1">IF(K511&gt;0,COUNTIF(K$6:K511,"&gt;0"),B510)</f>
        <v>30</v>
      </c>
      <c r="C511" s="1278" t="str">
        <f t="shared" si="94"/>
        <v>Rack 3 sứ</v>
      </c>
      <c r="D511" s="438" t="str">
        <f t="shared" si="95"/>
        <v>bộ</v>
      </c>
      <c r="E511" s="1276">
        <f ca="1">SUMIF(OFFSET(tongctvtdd1,0,-(COLUMN(E511)+7-(COLUMN(E511)-5)/2)),KLVT!$A511,tongctvtdd1)+SUMIF(OFFSET(tongctvtpk1,0,-(COLUMN(E511)+7-(COLUMN(E511)-5)/2)),KLVT!$A511,tongctvtpk1)</f>
        <v>20</v>
      </c>
      <c r="F511" s="1277">
        <f ca="1">SUMIF(OFFSET(cttba_vlvt1_1,0,-9,-ROW(cttba_vlvt1_1)+ROW(cttba_vltb1_1)-10),KLVT!$A511,OFFSET(cttba_vlvt1_1,0,-4,-ROW(cttba_vlvt1_1)+ROW(cttba_vltb1_1)-10))</f>
        <v>0</v>
      </c>
      <c r="G511" s="1277">
        <f t="shared" ca="1" si="90"/>
        <v>20</v>
      </c>
      <c r="H511" s="1274">
        <f t="shared" si="91"/>
        <v>3.5</v>
      </c>
      <c r="I511" s="1279">
        <f t="shared" ca="1" si="92"/>
        <v>70</v>
      </c>
      <c r="J511" s="1279">
        <f t="shared" ca="1" si="93"/>
        <v>0</v>
      </c>
      <c r="K511" s="1251">
        <f t="shared" ref="K511:K574" ca="1" si="96">IF(G511&gt;0,1,0)</f>
        <v>1</v>
      </c>
    </row>
    <row r="512" spans="1:11" s="45" customFormat="1" ht="15.75" hidden="1">
      <c r="A512" s="373" t="str">
        <f>IF(AND(COUNTIF($A$5:$A$133,R_DG!A386)=0,R_DG!R386&gt;0,ISNUMBER(R_DG!R386)),R_DG!A386,"NONE")</f>
        <v>R4</v>
      </c>
      <c r="B512" s="85">
        <f ca="1">IF(K512&gt;0,COUNTIF(K$6:K512,"&gt;0"),B511)</f>
        <v>30</v>
      </c>
      <c r="C512" s="1084" t="str">
        <f t="shared" si="94"/>
        <v>Rack 4 sứ</v>
      </c>
      <c r="D512" s="85" t="str">
        <f t="shared" si="95"/>
        <v>bộ</v>
      </c>
      <c r="E512" s="448">
        <f ca="1">SUMIF(OFFSET(tongctvtdd1,0,-(COLUMN(E512)+7-(COLUMN(E512)-5)/2)),KLVT!$A512,tongctvtdd1)+SUMIF(OFFSET(tongctvtpk1,0,-(COLUMN(E512)+7-(COLUMN(E512)-5)/2)),KLVT!$A512,tongctvtpk1)</f>
        <v>0</v>
      </c>
      <c r="F512" s="449">
        <f ca="1">SUMIF(OFFSET(cttba_vlvt1_1,0,-9,-ROW(cttba_vlvt1_1)+ROW(cttba_vltb1_1)-10),KLVT!$A512,OFFSET(cttba_vlvt1_1,0,-4,-ROW(cttba_vlvt1_1)+ROW(cttba_vltb1_1)-10))</f>
        <v>0</v>
      </c>
      <c r="G512" s="451">
        <f t="shared" ca="1" si="90"/>
        <v>0</v>
      </c>
      <c r="H512" s="450">
        <f t="shared" si="91"/>
        <v>3.5</v>
      </c>
      <c r="I512" s="447">
        <f t="shared" ca="1" si="92"/>
        <v>0</v>
      </c>
      <c r="J512" s="447">
        <f t="shared" ca="1" si="93"/>
        <v>0</v>
      </c>
      <c r="K512" s="373">
        <f t="shared" ca="1" si="96"/>
        <v>0</v>
      </c>
    </row>
    <row r="513" spans="1:11" s="45" customFormat="1" hidden="1">
      <c r="A513" s="373" t="str">
        <f>IF(AND(COUNTIF($A$5:$A$133,R_DG!A387)=0,R_DG!R387&gt;0,ISNUMBER(R_DG!R387)),R_DG!A387,"NONE")</f>
        <v>SD</v>
      </c>
      <c r="B513" s="85">
        <f ca="1">IF(K513&gt;0,COUNTIF(K$6:K513,"&gt;0"),B512)</f>
        <v>30</v>
      </c>
      <c r="C513" s="1084" t="str">
        <f t="shared" si="94"/>
        <v xml:space="preserve">Sứ đứng 24KV </v>
      </c>
      <c r="D513" s="85" t="str">
        <f t="shared" si="95"/>
        <v>cái</v>
      </c>
      <c r="E513" s="448">
        <f ca="1">SUMIF(OFFSET(tongctvtdd1,0,-(COLUMN(E513)+7-(COLUMN(E513)-5)/2)),KLVT!$A513,tongctvtdd1)+SUMIF(OFFSET(tongctvtpk1,0,-(COLUMN(E513)+7-(COLUMN(E513)-5)/2)),KLVT!$A513,tongctvtpk1)</f>
        <v>0</v>
      </c>
      <c r="F513" s="449">
        <f ca="1">SUMIF(OFFSET(cttba_vlvt1_1,0,-9,-ROW(cttba_vlvt1_1)+ROW(cttba_vltb1_1)-10),KLVT!$A513,OFFSET(cttba_vlvt1_1,0,-4,-ROW(cttba_vlvt1_1)+ROW(cttba_vltb1_1)-10))</f>
        <v>0</v>
      </c>
      <c r="G513" s="451">
        <f t="shared" ca="1" si="90"/>
        <v>0</v>
      </c>
      <c r="H513" s="450">
        <f t="shared" si="91"/>
        <v>4</v>
      </c>
      <c r="I513" s="447">
        <f t="shared" ca="1" si="92"/>
        <v>0</v>
      </c>
      <c r="J513" s="447">
        <f t="shared" ca="1" si="93"/>
        <v>0</v>
      </c>
      <c r="K513" s="1094">
        <f t="shared" ca="1" si="96"/>
        <v>0</v>
      </c>
    </row>
    <row r="514" spans="1:11" s="45" customFormat="1" ht="15.75" hidden="1">
      <c r="A514" s="373" t="str">
        <f>IF(AND(COUNTIF($A$5:$A$133,R_DG!A388)=0,R_DG!R388&gt;0,ISNUMBER(R_DG!R388)),R_DG!A388,"NONE")</f>
        <v>SD35</v>
      </c>
      <c r="B514" s="85">
        <f ca="1">IF(K514&gt;0,COUNTIF(K$6:K514,"&gt;0"),B513)</f>
        <v>30</v>
      </c>
      <c r="C514" s="1084" t="str">
        <f t="shared" si="94"/>
        <v>Sứ đứng 35KV + ty</v>
      </c>
      <c r="D514" s="85" t="str">
        <f t="shared" si="95"/>
        <v>bộ</v>
      </c>
      <c r="E514" s="448">
        <f ca="1">SUMIF(OFFSET(tongctvtdd1,0,-(COLUMN(E514)+7-(COLUMN(E514)-5)/2)),KLVT!$A514,tongctvtdd1)+SUMIF(OFFSET(tongctvtpk1,0,-(COLUMN(E514)+7-(COLUMN(E514)-5)/2)),KLVT!$A514,tongctvtpk1)</f>
        <v>0</v>
      </c>
      <c r="F514" s="449">
        <f ca="1">SUMIF(OFFSET(cttba_vlvt1_1,0,-9,-ROW(cttba_vlvt1_1)+ROW(cttba_vltb1_1)-10),KLVT!$A514,OFFSET(cttba_vlvt1_1,0,-4,-ROW(cttba_vlvt1_1)+ROW(cttba_vltb1_1)-10))</f>
        <v>0</v>
      </c>
      <c r="G514" s="451">
        <f t="shared" ca="1" si="90"/>
        <v>0</v>
      </c>
      <c r="H514" s="450">
        <f t="shared" si="91"/>
        <v>4</v>
      </c>
      <c r="I514" s="447">
        <f t="shared" ca="1" si="92"/>
        <v>0</v>
      </c>
      <c r="J514" s="447">
        <f t="shared" ca="1" si="93"/>
        <v>0</v>
      </c>
      <c r="K514" s="374">
        <f t="shared" ca="1" si="96"/>
        <v>0</v>
      </c>
    </row>
    <row r="515" spans="1:11" s="45" customFormat="1" ht="15.75" hidden="1">
      <c r="A515" s="373" t="str">
        <f>IF(AND(COUNTIF($A$5:$A$133,R_DG!A389)=0,R_DG!R389&gt;0,ISNUMBER(R_DG!R389)),R_DG!A389,"NONE")</f>
        <v>SDI35</v>
      </c>
      <c r="B515" s="85">
        <f ca="1">IF(K515&gt;0,COUNTIF(K$6:K515,"&gt;0"),B514)</f>
        <v>30</v>
      </c>
      <c r="C515" s="1084" t="str">
        <f t="shared" si="94"/>
        <v>Sứ đứng 35KV + ty sứ đỉnh</v>
      </c>
      <c r="D515" s="85" t="str">
        <f t="shared" si="95"/>
        <v>bộ</v>
      </c>
      <c r="E515" s="448">
        <f ca="1">SUMIF(OFFSET(tongctvtdd1,0,-(COLUMN(E515)+7-(COLUMN(E515)-5)/2)),KLVT!$A515,tongctvtdd1)+SUMIF(OFFSET(tongctvtpk1,0,-(COLUMN(E515)+7-(COLUMN(E515)-5)/2)),KLVT!$A515,tongctvtpk1)</f>
        <v>0</v>
      </c>
      <c r="F515" s="449">
        <f ca="1">SUMIF(OFFSET(cttba_vlvt1_1,0,-9,-ROW(cttba_vlvt1_1)+ROW(cttba_vltb1_1)-10),KLVT!$A515,OFFSET(cttba_vlvt1_1,0,-4,-ROW(cttba_vlvt1_1)+ROW(cttba_vltb1_1)-10))</f>
        <v>0</v>
      </c>
      <c r="G515" s="451">
        <f t="shared" ca="1" si="90"/>
        <v>0</v>
      </c>
      <c r="H515" s="450">
        <f t="shared" si="91"/>
        <v>4</v>
      </c>
      <c r="I515" s="447">
        <f t="shared" ca="1" si="92"/>
        <v>0</v>
      </c>
      <c r="J515" s="447">
        <f t="shared" ca="1" si="93"/>
        <v>0</v>
      </c>
      <c r="K515" s="373">
        <f t="shared" ca="1" si="96"/>
        <v>0</v>
      </c>
    </row>
    <row r="516" spans="1:11" s="45" customFormat="1" ht="15.75" hidden="1">
      <c r="A516" s="373" t="str">
        <f>IF(AND(COUNTIF($A$5:$A$133,R_DG!A390)=0,R_DG!R390&gt;0,ISNUMBER(R_DG!R390)),R_DG!A390,"NONE")</f>
        <v>SDCM</v>
      </c>
      <c r="B516" s="85">
        <f ca="1">IF(K516&gt;0,COUNTIF(K$6:K516,"&gt;0"),B515)</f>
        <v>30</v>
      </c>
      <c r="C516" s="1084" t="str">
        <f t="shared" si="94"/>
        <v>Sứ đứng 24KV chống nhiễm mặn</v>
      </c>
      <c r="D516" s="85" t="str">
        <f t="shared" si="95"/>
        <v>cái</v>
      </c>
      <c r="E516" s="448">
        <f ca="1">SUMIF(OFFSET(tongctvtdd1,0,-(COLUMN(E516)+7-(COLUMN(E516)-5)/2)),KLVT!$A516,tongctvtdd1)+SUMIF(OFFSET(tongctvtpk1,0,-(COLUMN(E516)+7-(COLUMN(E516)-5)/2)),KLVT!$A516,tongctvtpk1)</f>
        <v>0</v>
      </c>
      <c r="F516" s="449">
        <f ca="1">SUMIF(OFFSET(cttba_vlvt1_1,0,-9,-ROW(cttba_vlvt1_1)+ROW(cttba_vltb1_1)-10),KLVT!$A516,OFFSET(cttba_vlvt1_1,0,-4,-ROW(cttba_vlvt1_1)+ROW(cttba_vltb1_1)-10))</f>
        <v>0</v>
      </c>
      <c r="G516" s="451">
        <f t="shared" ca="1" si="90"/>
        <v>0</v>
      </c>
      <c r="H516" s="450">
        <f t="shared" si="91"/>
        <v>4</v>
      </c>
      <c r="I516" s="447">
        <f t="shared" ca="1" si="92"/>
        <v>0</v>
      </c>
      <c r="J516" s="447">
        <f t="shared" ca="1" si="93"/>
        <v>0</v>
      </c>
      <c r="K516" s="373">
        <f t="shared" ca="1" si="96"/>
        <v>0</v>
      </c>
    </row>
    <row r="517" spans="1:11" s="45" customFormat="1" hidden="1">
      <c r="A517" s="373" t="str">
        <f>IF(AND(COUNTIF($A$5:$A$133,R_DG!A391)=0,R_DG!R391&gt;0,ISNUMBER(R_DG!R391)),R_DG!A391,"NONE")</f>
        <v>SN</v>
      </c>
      <c r="B517" s="85">
        <f ca="1">IF(K517&gt;0,COUNTIF(K$6:K517,"&gt;0"),B516)</f>
        <v>30</v>
      </c>
      <c r="C517" s="1084" t="str">
        <f t="shared" si="94"/>
        <v>Sứ chằng nhỏ</v>
      </c>
      <c r="D517" s="85" t="str">
        <f t="shared" si="95"/>
        <v>cái</v>
      </c>
      <c r="E517" s="448">
        <f ca="1">SUMIF(OFFSET(tongctvtdd1,0,-(COLUMN(E517)+7-(COLUMN(E517)-5)/2)),KLVT!$A517,tongctvtdd1)+SUMIF(OFFSET(tongctvtpk1,0,-(COLUMN(E517)+7-(COLUMN(E517)-5)/2)),KLVT!$A517,tongctvtpk1)</f>
        <v>0</v>
      </c>
      <c r="F517" s="449">
        <f ca="1">SUMIF(OFFSET(cttba_vlvt1_1,0,-9,-ROW(cttba_vlvt1_1)+ROW(cttba_vltb1_1)-10),KLVT!$A517,OFFSET(cttba_vlvt1_1,0,-4,-ROW(cttba_vlvt1_1)+ROW(cttba_vltb1_1)-10))</f>
        <v>0</v>
      </c>
      <c r="G517" s="451">
        <f t="shared" ca="1" si="90"/>
        <v>0</v>
      </c>
      <c r="H517" s="450">
        <f t="shared" si="91"/>
        <v>0.3</v>
      </c>
      <c r="I517" s="447">
        <f t="shared" ca="1" si="92"/>
        <v>0</v>
      </c>
      <c r="J517" s="447">
        <f t="shared" ca="1" si="93"/>
        <v>0</v>
      </c>
      <c r="K517" s="1094">
        <f t="shared" ca="1" si="96"/>
        <v>0</v>
      </c>
    </row>
    <row r="518" spans="1:11" s="45" customFormat="1" ht="15.75" hidden="1">
      <c r="A518" s="373" t="str">
        <f>IF(AND(COUNTIF($A$5:$A$133,R_DG!A392)=0,R_DG!R392&gt;0,ISNUMBER(R_DG!R392)),R_DG!A392,"NONE")</f>
        <v>SCL</v>
      </c>
      <c r="B518" s="85">
        <f ca="1">IF(K518&gt;0,COUNTIF(K$6:K518,"&gt;0"),B517)</f>
        <v>30</v>
      </c>
      <c r="C518" s="1084" t="str">
        <f t="shared" si="94"/>
        <v>Sứ chằng lớn</v>
      </c>
      <c r="D518" s="85" t="str">
        <f t="shared" si="95"/>
        <v>cái</v>
      </c>
      <c r="E518" s="448">
        <f ca="1">SUMIF(OFFSET(tongctvtdd1,0,-(COLUMN(E518)+7-(COLUMN(E518)-5)/2)),KLVT!$A518,tongctvtdd1)+SUMIF(OFFSET(tongctvtpk1,0,-(COLUMN(E518)+7-(COLUMN(E518)-5)/2)),KLVT!$A518,tongctvtpk1)</f>
        <v>0</v>
      </c>
      <c r="F518" s="449">
        <f ca="1">SUMIF(OFFSET(cttba_vlvt1_1,0,-9,-ROW(cttba_vlvt1_1)+ROW(cttba_vltb1_1)-10),KLVT!$A518,OFFSET(cttba_vlvt1_1,0,-4,-ROW(cttba_vlvt1_1)+ROW(cttba_vltb1_1)-10))</f>
        <v>0</v>
      </c>
      <c r="G518" s="451">
        <f t="shared" ref="G518:G581" ca="1" si="97">SUM(E518:F518)</f>
        <v>0</v>
      </c>
      <c r="H518" s="450">
        <f t="shared" ref="H518:H581" si="98">VLOOKUP(A518,DONGIA,18,0)</f>
        <v>0.3</v>
      </c>
      <c r="I518" s="447">
        <f t="shared" ref="I518:I581" ca="1" si="99">E518*$H518</f>
        <v>0</v>
      </c>
      <c r="J518" s="447">
        <f t="shared" ref="J518:J581" ca="1" si="100">F518*$H518</f>
        <v>0</v>
      </c>
      <c r="K518" s="373">
        <f t="shared" ca="1" si="96"/>
        <v>0</v>
      </c>
    </row>
    <row r="519" spans="1:11" s="45" customFormat="1" ht="15.75" hidden="1">
      <c r="A519" s="373" t="str">
        <f>IF(AND(COUNTIF($A$5:$A$133,R_DG!A393)=0,R_DG!R393&gt;0,ISNUMBER(R_DG!R393)),R_DG!A393,"NONE")</f>
        <v>SOC</v>
      </c>
      <c r="B519" s="85">
        <f ca="1">IF(K519&gt;0,COUNTIF(K$6:K519,"&gt;0"),B518)</f>
        <v>30</v>
      </c>
      <c r="C519" s="1084" t="str">
        <f t="shared" si="94"/>
        <v xml:space="preserve">Sứ ống chỉ </v>
      </c>
      <c r="D519" s="85" t="str">
        <f t="shared" si="95"/>
        <v>cái</v>
      </c>
      <c r="E519" s="448">
        <f ca="1">SUMIF(OFFSET(tongctvtdd1,0,-(COLUMN(E519)+7-(COLUMN(E519)-5)/2)),KLVT!$A519,tongctvtdd1)+SUMIF(OFFSET(tongctvtpk1,0,-(COLUMN(E519)+7-(COLUMN(E519)-5)/2)),KLVT!$A519,tongctvtpk1)</f>
        <v>0</v>
      </c>
      <c r="F519" s="449">
        <f ca="1">SUMIF(OFFSET(cttba_vlvt1_1,0,-9,-ROW(cttba_vlvt1_1)+ROW(cttba_vltb1_1)-10),KLVT!$A519,OFFSET(cttba_vlvt1_1,0,-4,-ROW(cttba_vlvt1_1)+ROW(cttba_vltb1_1)-10))</f>
        <v>0</v>
      </c>
      <c r="G519" s="451">
        <f t="shared" ca="1" si="97"/>
        <v>0</v>
      </c>
      <c r="H519" s="450">
        <f t="shared" si="98"/>
        <v>0.3</v>
      </c>
      <c r="I519" s="447">
        <f t="shared" ca="1" si="99"/>
        <v>0</v>
      </c>
      <c r="J519" s="447">
        <f t="shared" ca="1" si="100"/>
        <v>0</v>
      </c>
      <c r="K519" s="373">
        <f t="shared" ca="1" si="96"/>
        <v>0</v>
      </c>
    </row>
    <row r="520" spans="1:11" s="45" customFormat="1" ht="15.75" hidden="1">
      <c r="A520" s="373" t="str">
        <f>IF(AND(COUNTIF($A$5:$A$133,R_DG!A394)=0,R_DG!R394&gt;0,ISNUMBER(R_DG!R394)),R_DG!A394,"NONE")</f>
        <v>ST</v>
      </c>
      <c r="B520" s="85">
        <f ca="1">IF(K520&gt;0,COUNTIF(K$6:K520,"&gt;0"),B519)</f>
        <v>30</v>
      </c>
      <c r="C520" s="1084" t="str">
        <f t="shared" si="94"/>
        <v>Sứ treo loại 70kN</v>
      </c>
      <c r="D520" s="85" t="str">
        <f t="shared" si="95"/>
        <v>bát</v>
      </c>
      <c r="E520" s="448">
        <f ca="1">SUMIF(OFFSET(tongctvtdd1,0,-(COLUMN(E520)+7-(COLUMN(E520)-5)/2)),KLVT!$A520,tongctvtdd1)+SUMIF(OFFSET(tongctvtpk1,0,-(COLUMN(E520)+7-(COLUMN(E520)-5)/2)),KLVT!$A520,tongctvtpk1)</f>
        <v>0</v>
      </c>
      <c r="F520" s="449">
        <f ca="1">SUMIF(OFFSET(cttba_vlvt1_1,0,-9,-ROW(cttba_vlvt1_1)+ROW(cttba_vltb1_1)-10),KLVT!$A520,OFFSET(cttba_vlvt1_1,0,-4,-ROW(cttba_vlvt1_1)+ROW(cttba_vltb1_1)-10))</f>
        <v>0</v>
      </c>
      <c r="G520" s="451">
        <f t="shared" ca="1" si="97"/>
        <v>0</v>
      </c>
      <c r="H520" s="450">
        <f t="shared" si="98"/>
        <v>2</v>
      </c>
      <c r="I520" s="447">
        <f t="shared" ca="1" si="99"/>
        <v>0</v>
      </c>
      <c r="J520" s="447">
        <f t="shared" ca="1" si="100"/>
        <v>0</v>
      </c>
      <c r="K520" s="373">
        <f t="shared" ca="1" si="96"/>
        <v>0</v>
      </c>
    </row>
    <row r="521" spans="1:11" s="45" customFormat="1" ht="15.75" hidden="1">
      <c r="A521" s="373" t="str">
        <f>IF(AND(COUNTIF($A$5:$A$133,R_DG!A395)=0,R_DG!R395&gt;0,ISNUMBER(R_DG!R395)),R_DG!A395,"NONE")</f>
        <v>ST120</v>
      </c>
      <c r="B521" s="85">
        <f ca="1">IF(K521&gt;0,COUNTIF(K$6:K521,"&gt;0"),B520)</f>
        <v>30</v>
      </c>
      <c r="C521" s="1084" t="str">
        <f t="shared" si="94"/>
        <v>Sứ treo loại 120kN</v>
      </c>
      <c r="D521" s="85" t="str">
        <f t="shared" si="95"/>
        <v>bát</v>
      </c>
      <c r="E521" s="448">
        <f ca="1">SUMIF(OFFSET(tongctvtdd1,0,-(COLUMN(E521)+7-(COLUMN(E521)-5)/2)),KLVT!$A521,tongctvtdd1)+SUMIF(OFFSET(tongctvtpk1,0,-(COLUMN(E521)+7-(COLUMN(E521)-5)/2)),KLVT!$A521,tongctvtpk1)</f>
        <v>0</v>
      </c>
      <c r="F521" s="449">
        <f ca="1">SUMIF(OFFSET(cttba_vlvt1_1,0,-9,-ROW(cttba_vlvt1_1)+ROW(cttba_vltb1_1)-10),KLVT!$A521,OFFSET(cttba_vlvt1_1,0,-4,-ROW(cttba_vlvt1_1)+ROW(cttba_vltb1_1)-10))</f>
        <v>0</v>
      </c>
      <c r="G521" s="451">
        <f t="shared" ca="1" si="97"/>
        <v>0</v>
      </c>
      <c r="H521" s="450">
        <f t="shared" si="98"/>
        <v>2</v>
      </c>
      <c r="I521" s="447">
        <f t="shared" ca="1" si="99"/>
        <v>0</v>
      </c>
      <c r="J521" s="447">
        <f t="shared" ca="1" si="100"/>
        <v>0</v>
      </c>
      <c r="K521" s="373">
        <f t="shared" ca="1" si="96"/>
        <v>0</v>
      </c>
    </row>
    <row r="522" spans="1:11" s="45" customFormat="1" hidden="1">
      <c r="A522" s="373" t="str">
        <f>IF(AND(COUNTIF($A$5:$A$133,R_DG!A396)=0,R_DG!R396&gt;0,ISNUMBER(R_DG!R396)),R_DG!A396,"NONE")</f>
        <v>STPLY</v>
      </c>
      <c r="B522" s="85">
        <f ca="1">IF(K522&gt;0,COUNTIF(K$6:K522,"&gt;0"),B521)</f>
        <v>30</v>
      </c>
      <c r="C522" s="1084" t="str">
        <f t="shared" si="94"/>
        <v>Sứ treo polymer</v>
      </c>
      <c r="D522" s="85" t="str">
        <f t="shared" si="95"/>
        <v>chuỗi</v>
      </c>
      <c r="E522" s="448">
        <f ca="1">SUMIF(OFFSET(tongctvtdd1,0,-(COLUMN(E522)+7-(COLUMN(E522)-5)/2)),KLVT!$A522,tongctvtdd1)+SUMIF(OFFSET(tongctvtpk1,0,-(COLUMN(E522)+7-(COLUMN(E522)-5)/2)),KLVT!$A522,tongctvtpk1)</f>
        <v>0</v>
      </c>
      <c r="F522" s="449">
        <f ca="1">SUMIF(OFFSET(cttba_vlvt1_1,0,-9,-ROW(cttba_vlvt1_1)+ROW(cttba_vltb1_1)-10),KLVT!$A522,OFFSET(cttba_vlvt1_1,0,-4,-ROW(cttba_vlvt1_1)+ROW(cttba_vltb1_1)-10))</f>
        <v>0</v>
      </c>
      <c r="G522" s="451">
        <f t="shared" ca="1" si="97"/>
        <v>0</v>
      </c>
      <c r="H522" s="450">
        <f t="shared" si="98"/>
        <v>2</v>
      </c>
      <c r="I522" s="447">
        <f t="shared" ca="1" si="99"/>
        <v>0</v>
      </c>
      <c r="J522" s="447">
        <f t="shared" ca="1" si="100"/>
        <v>0</v>
      </c>
      <c r="K522" s="1094">
        <f t="shared" ca="1" si="96"/>
        <v>0</v>
      </c>
    </row>
    <row r="523" spans="1:11" s="45" customFormat="1" ht="15.75" hidden="1">
      <c r="A523" s="373" t="str">
        <f>IF(AND(COUNTIF($A$5:$A$133,R_DG!A397)=0,R_DG!R397&gt;0,ISNUMBER(R_DG!R397)),R_DG!A397,"NONE")</f>
        <v>STPLY-HT</v>
      </c>
      <c r="B523" s="85">
        <f ca="1">IF(K523&gt;0,COUNTIF(K$6:K523,"&gt;0"),B522)</f>
        <v>30</v>
      </c>
      <c r="C523" s="1084" t="str">
        <f t="shared" si="94"/>
        <v>Sứ polymer cách điện hạ thế thanh cái tủ</v>
      </c>
      <c r="D523" s="85" t="str">
        <f t="shared" si="95"/>
        <v>cái</v>
      </c>
      <c r="E523" s="448">
        <f ca="1">SUMIF(OFFSET(tongctvtdd1,0,-(COLUMN(E523)+7-(COLUMN(E523)-5)/2)),KLVT!$A523,tongctvtdd1)+SUMIF(OFFSET(tongctvtpk1,0,-(COLUMN(E523)+7-(COLUMN(E523)-5)/2)),KLVT!$A523,tongctvtpk1)</f>
        <v>0</v>
      </c>
      <c r="F523" s="449">
        <f ca="1">SUMIF(OFFSET(cttba_vlvt1_1,0,-9,-ROW(cttba_vlvt1_1)+ROW(cttba_vltb1_1)-10),KLVT!$A523,OFFSET(cttba_vlvt1_1,0,-4,-ROW(cttba_vlvt1_1)+ROW(cttba_vltb1_1)-10))</f>
        <v>0</v>
      </c>
      <c r="G523" s="451">
        <f t="shared" ca="1" si="97"/>
        <v>0</v>
      </c>
      <c r="H523" s="450">
        <f t="shared" si="98"/>
        <v>2</v>
      </c>
      <c r="I523" s="447">
        <f t="shared" ca="1" si="99"/>
        <v>0</v>
      </c>
      <c r="J523" s="447">
        <f t="shared" ca="1" si="100"/>
        <v>0</v>
      </c>
      <c r="K523" s="373">
        <f t="shared" ca="1" si="96"/>
        <v>0</v>
      </c>
    </row>
    <row r="524" spans="1:11" s="45" customFormat="1" ht="15.75" hidden="1">
      <c r="A524" s="373" t="str">
        <f>IF(AND(COUNTIF($A$5:$A$133,R_DG!A398)=0,R_DG!R398&gt;0,ISNUMBER(R_DG!R398)),R_DG!A398,"NONE")</f>
        <v>S40</v>
      </c>
      <c r="B524" s="85">
        <f ca="1">IF(K524&gt;0,COUNTIF(K$6:K524,"&gt;0"),B523)</f>
        <v>30</v>
      </c>
      <c r="C524" s="1084" t="str">
        <f t="shared" si="94"/>
        <v>Sắt dẹt 40 x 4</v>
      </c>
      <c r="D524" s="85" t="str">
        <f t="shared" si="95"/>
        <v>kg</v>
      </c>
      <c r="E524" s="448">
        <f ca="1">SUMIF(OFFSET(tongctvtdd1,0,-(COLUMN(E524)+7-(COLUMN(E524)-5)/2)),KLVT!$A524,tongctvtdd1)+SUMIF(OFFSET(tongctvtpk1,0,-(COLUMN(E524)+7-(COLUMN(E524)-5)/2)),KLVT!$A524,tongctvtpk1)</f>
        <v>0</v>
      </c>
      <c r="F524" s="449">
        <f ca="1">SUMIF(OFFSET(cttba_vlvt1_1,0,-9,-ROW(cttba_vlvt1_1)+ROW(cttba_vltb1_1)-10),KLVT!$A524,OFFSET(cttba_vlvt1_1,0,-4,-ROW(cttba_vlvt1_1)+ROW(cttba_vltb1_1)-10))</f>
        <v>0</v>
      </c>
      <c r="G524" s="451">
        <f t="shared" ca="1" si="97"/>
        <v>0</v>
      </c>
      <c r="H524" s="450">
        <f t="shared" si="98"/>
        <v>1</v>
      </c>
      <c r="I524" s="447">
        <f t="shared" ca="1" si="99"/>
        <v>0</v>
      </c>
      <c r="J524" s="447">
        <f t="shared" ca="1" si="100"/>
        <v>0</v>
      </c>
      <c r="K524" s="373">
        <f t="shared" ca="1" si="96"/>
        <v>0</v>
      </c>
    </row>
    <row r="525" spans="1:11" s="45" customFormat="1" ht="15.75" hidden="1">
      <c r="A525" s="373" t="str">
        <f>IF(AND(COUNTIF($A$5:$A$133,R_DG!A399)=0,R_DG!R399&gt;0,ISNUMBER(R_DG!R399)),R_DG!A399,"NONE")</f>
        <v>S50</v>
      </c>
      <c r="B525" s="85">
        <f ca="1">IF(K525&gt;0,COUNTIF(K$6:K525,"&gt;0"),B524)</f>
        <v>30</v>
      </c>
      <c r="C525" s="1084" t="str">
        <f t="shared" si="94"/>
        <v>Sắt dẹt 50 x 5</v>
      </c>
      <c r="D525" s="85" t="str">
        <f t="shared" si="95"/>
        <v>kg</v>
      </c>
      <c r="E525" s="448">
        <f ca="1">SUMIF(OFFSET(tongctvtdd1,0,-(COLUMN(E525)+7-(COLUMN(E525)-5)/2)),KLVT!$A525,tongctvtdd1)+SUMIF(OFFSET(tongctvtpk1,0,-(COLUMN(E525)+7-(COLUMN(E525)-5)/2)),KLVT!$A525,tongctvtpk1)</f>
        <v>0</v>
      </c>
      <c r="F525" s="449">
        <f ca="1">SUMIF(OFFSET(cttba_vlvt1_1,0,-9,-ROW(cttba_vlvt1_1)+ROW(cttba_vltb1_1)-10),KLVT!$A525,OFFSET(cttba_vlvt1_1,0,-4,-ROW(cttba_vlvt1_1)+ROW(cttba_vltb1_1)-10))</f>
        <v>0</v>
      </c>
      <c r="G525" s="451">
        <f t="shared" ca="1" si="97"/>
        <v>0</v>
      </c>
      <c r="H525" s="450">
        <f t="shared" si="98"/>
        <v>1</v>
      </c>
      <c r="I525" s="447">
        <f t="shared" ca="1" si="99"/>
        <v>0</v>
      </c>
      <c r="J525" s="447">
        <f t="shared" ca="1" si="100"/>
        <v>0</v>
      </c>
      <c r="K525" s="373">
        <f t="shared" ca="1" si="96"/>
        <v>0</v>
      </c>
    </row>
    <row r="526" spans="1:11" s="45" customFormat="1" ht="15.75" hidden="1">
      <c r="A526" s="373" t="str">
        <f>IF(AND(COUNTIF($A$5:$A$133,R_DG!A400)=0,R_DG!R400&gt;0,ISNUMBER(R_DG!R400)),R_DG!A400,"NONE")</f>
        <v>S60</v>
      </c>
      <c r="B526" s="85">
        <f ca="1">IF(K526&gt;0,COUNTIF(K$6:K526,"&gt;0"),B525)</f>
        <v>30</v>
      </c>
      <c r="C526" s="1084" t="str">
        <f t="shared" si="94"/>
        <v>Sắt dẹt 60 x 6</v>
      </c>
      <c r="D526" s="85" t="str">
        <f t="shared" si="95"/>
        <v>kg</v>
      </c>
      <c r="E526" s="448">
        <f ca="1">SUMIF(OFFSET(tongctvtdd1,0,-(COLUMN(E526)+7-(COLUMN(E526)-5)/2)),KLVT!$A526,tongctvtdd1)+SUMIF(OFFSET(tongctvtpk1,0,-(COLUMN(E526)+7-(COLUMN(E526)-5)/2)),KLVT!$A526,tongctvtpk1)</f>
        <v>0</v>
      </c>
      <c r="F526" s="449">
        <f ca="1">SUMIF(OFFSET(cttba_vlvt1_1,0,-9,-ROW(cttba_vlvt1_1)+ROW(cttba_vltb1_1)-10),KLVT!$A526,OFFSET(cttba_vlvt1_1,0,-4,-ROW(cttba_vlvt1_1)+ROW(cttba_vltb1_1)-10))</f>
        <v>0</v>
      </c>
      <c r="G526" s="451">
        <f t="shared" ca="1" si="97"/>
        <v>0</v>
      </c>
      <c r="H526" s="450">
        <f t="shared" si="98"/>
        <v>1</v>
      </c>
      <c r="I526" s="447">
        <f t="shared" ca="1" si="99"/>
        <v>0</v>
      </c>
      <c r="J526" s="447">
        <f t="shared" ca="1" si="100"/>
        <v>0</v>
      </c>
      <c r="K526" s="373">
        <f t="shared" ca="1" si="96"/>
        <v>0</v>
      </c>
    </row>
    <row r="527" spans="1:11" s="45" customFormat="1" ht="15.75" hidden="1">
      <c r="A527" s="373" t="str">
        <f>IF(AND(COUNTIF($A$5:$A$133,R_DG!A401)=0,R_DG!R401&gt;0,ISNUMBER(R_DG!R401)),R_DG!A401,"NONE")</f>
        <v>S70</v>
      </c>
      <c r="B527" s="85">
        <f ca="1">IF(K527&gt;0,COUNTIF(K$6:K527,"&gt;0"),B526)</f>
        <v>30</v>
      </c>
      <c r="C527" s="1084" t="str">
        <f t="shared" si="94"/>
        <v>Sắt dẹt 70 x 7</v>
      </c>
      <c r="D527" s="85" t="str">
        <f t="shared" si="95"/>
        <v>kg</v>
      </c>
      <c r="E527" s="448">
        <f ca="1">SUMIF(OFFSET(tongctvtdd1,0,-(COLUMN(E527)+7-(COLUMN(E527)-5)/2)),KLVT!$A527,tongctvtdd1)+SUMIF(OFFSET(tongctvtpk1,0,-(COLUMN(E527)+7-(COLUMN(E527)-5)/2)),KLVT!$A527,tongctvtpk1)</f>
        <v>0</v>
      </c>
      <c r="F527" s="449">
        <f ca="1">SUMIF(OFFSET(cttba_vlvt1_1,0,-9,-ROW(cttba_vlvt1_1)+ROW(cttba_vltb1_1)-10),KLVT!$A527,OFFSET(cttba_vlvt1_1,0,-4,-ROW(cttba_vlvt1_1)+ROW(cttba_vltb1_1)-10))</f>
        <v>0</v>
      </c>
      <c r="G527" s="451">
        <f t="shared" ca="1" si="97"/>
        <v>0</v>
      </c>
      <c r="H527" s="450">
        <f t="shared" si="98"/>
        <v>1</v>
      </c>
      <c r="I527" s="447">
        <f t="shared" ca="1" si="99"/>
        <v>0</v>
      </c>
      <c r="J527" s="447">
        <f t="shared" ca="1" si="100"/>
        <v>0</v>
      </c>
      <c r="K527" s="373">
        <f t="shared" ca="1" si="96"/>
        <v>0</v>
      </c>
    </row>
    <row r="528" spans="1:11" s="45" customFormat="1" ht="15.75" hidden="1">
      <c r="A528" s="373" t="str">
        <f>IF(AND(COUNTIF($A$5:$A$133,R_DG!A402)=0,R_DG!R402&gt;0,ISNUMBER(R_DG!R402)),R_DG!A402,"NONE")</f>
        <v>S806</v>
      </c>
      <c r="B528" s="85">
        <f ca="1">IF(K528&gt;0,COUNTIF(K$6:K528,"&gt;0"),B527)</f>
        <v>30</v>
      </c>
      <c r="C528" s="1084" t="str">
        <f t="shared" si="94"/>
        <v>Sắt dẹt 80 x 6</v>
      </c>
      <c r="D528" s="85" t="str">
        <f t="shared" si="95"/>
        <v>kg</v>
      </c>
      <c r="E528" s="448">
        <f ca="1">SUMIF(OFFSET(tongctvtdd1,0,-(COLUMN(E528)+7-(COLUMN(E528)-5)/2)),KLVT!$A528,tongctvtdd1)+SUMIF(OFFSET(tongctvtpk1,0,-(COLUMN(E528)+7-(COLUMN(E528)-5)/2)),KLVT!$A528,tongctvtpk1)</f>
        <v>0</v>
      </c>
      <c r="F528" s="449">
        <f ca="1">SUMIF(OFFSET(cttba_vlvt1_1,0,-9,-ROW(cttba_vlvt1_1)+ROW(cttba_vltb1_1)-10),KLVT!$A528,OFFSET(cttba_vlvt1_1,0,-4,-ROW(cttba_vlvt1_1)+ROW(cttba_vltb1_1)-10))</f>
        <v>0</v>
      </c>
      <c r="G528" s="451">
        <f t="shared" ca="1" si="97"/>
        <v>0</v>
      </c>
      <c r="H528" s="450">
        <f t="shared" si="98"/>
        <v>1</v>
      </c>
      <c r="I528" s="447">
        <f t="shared" ca="1" si="99"/>
        <v>0</v>
      </c>
      <c r="J528" s="447">
        <f t="shared" ca="1" si="100"/>
        <v>0</v>
      </c>
      <c r="K528" s="373">
        <f t="shared" ca="1" si="96"/>
        <v>0</v>
      </c>
    </row>
    <row r="529" spans="1:11" s="45" customFormat="1" ht="15.75" hidden="1">
      <c r="A529" s="373" t="str">
        <f>IF(AND(COUNTIF($A$5:$A$133,R_DG!A403)=0,R_DG!R403&gt;0,ISNUMBER(R_DG!R403)),R_DG!A403,"NONE")</f>
        <v>S80</v>
      </c>
      <c r="B529" s="85">
        <f ca="1">IF(K529&gt;0,COUNTIF(K$6:K529,"&gt;0"),B528)</f>
        <v>30</v>
      </c>
      <c r="C529" s="1084" t="str">
        <f t="shared" si="94"/>
        <v>Sắt dẹt 80 x 8</v>
      </c>
      <c r="D529" s="85" t="str">
        <f t="shared" si="95"/>
        <v>kg</v>
      </c>
      <c r="E529" s="448">
        <f ca="1">SUMIF(OFFSET(tongctvtdd1,0,-(COLUMN(E529)+7-(COLUMN(E529)-5)/2)),KLVT!$A529,tongctvtdd1)+SUMIF(OFFSET(tongctvtpk1,0,-(COLUMN(E529)+7-(COLUMN(E529)-5)/2)),KLVT!$A529,tongctvtpk1)</f>
        <v>0</v>
      </c>
      <c r="F529" s="449">
        <f ca="1">SUMIF(OFFSET(cttba_vlvt1_1,0,-9,-ROW(cttba_vlvt1_1)+ROW(cttba_vltb1_1)-10),KLVT!$A529,OFFSET(cttba_vlvt1_1,0,-4,-ROW(cttba_vlvt1_1)+ROW(cttba_vltb1_1)-10))</f>
        <v>0</v>
      </c>
      <c r="G529" s="451">
        <f t="shared" ca="1" si="97"/>
        <v>0</v>
      </c>
      <c r="H529" s="450">
        <f t="shared" si="98"/>
        <v>1</v>
      </c>
      <c r="I529" s="447">
        <f t="shared" ca="1" si="99"/>
        <v>0</v>
      </c>
      <c r="J529" s="447">
        <f t="shared" ca="1" si="100"/>
        <v>0</v>
      </c>
      <c r="K529" s="373">
        <f t="shared" ca="1" si="96"/>
        <v>0</v>
      </c>
    </row>
    <row r="530" spans="1:11" s="45" customFormat="1" ht="15.75" hidden="1">
      <c r="A530" s="373" t="str">
        <f>IF(AND(COUNTIF($A$5:$A$133,R_DG!A404)=0,R_DG!R404&gt;0,ISNUMBER(R_DG!R404)),R_DG!A404,"NONE")</f>
        <v>S1008</v>
      </c>
      <c r="B530" s="85">
        <f ca="1">IF(K530&gt;0,COUNTIF(K$6:K530,"&gt;0"),B529)</f>
        <v>30</v>
      </c>
      <c r="C530" s="1084" t="str">
        <f t="shared" si="94"/>
        <v>Sắt dẹt 100 x 8</v>
      </c>
      <c r="D530" s="85" t="str">
        <f t="shared" si="95"/>
        <v>kg</v>
      </c>
      <c r="E530" s="448">
        <f ca="1">SUMIF(OFFSET(tongctvtdd1,0,-(COLUMN(E530)+7-(COLUMN(E530)-5)/2)),KLVT!$A530,tongctvtdd1)+SUMIF(OFFSET(tongctvtpk1,0,-(COLUMN(E530)+7-(COLUMN(E530)-5)/2)),KLVT!$A530,tongctvtpk1)</f>
        <v>0</v>
      </c>
      <c r="F530" s="449">
        <f ca="1">SUMIF(OFFSET(cttba_vlvt1_1,0,-9,-ROW(cttba_vlvt1_1)+ROW(cttba_vltb1_1)-10),KLVT!$A530,OFFSET(cttba_vlvt1_1,0,-4,-ROW(cttba_vlvt1_1)+ROW(cttba_vltb1_1)-10))</f>
        <v>0</v>
      </c>
      <c r="G530" s="451">
        <f t="shared" ca="1" si="97"/>
        <v>0</v>
      </c>
      <c r="H530" s="450">
        <f t="shared" si="98"/>
        <v>1</v>
      </c>
      <c r="I530" s="447">
        <f t="shared" ca="1" si="99"/>
        <v>0</v>
      </c>
      <c r="J530" s="447">
        <f t="shared" ca="1" si="100"/>
        <v>0</v>
      </c>
      <c r="K530" s="373">
        <f t="shared" ca="1" si="96"/>
        <v>0</v>
      </c>
    </row>
    <row r="531" spans="1:11" s="45" customFormat="1" ht="15.75" hidden="1">
      <c r="A531" s="373" t="str">
        <f>IF(AND(COUNTIF($A$5:$A$133,R_DG!A405)=0,R_DG!R405&gt;0,ISNUMBER(R_DG!R405)),R_DG!A405,"NONE")</f>
        <v>SL32</v>
      </c>
      <c r="B531" s="85">
        <f ca="1">IF(K531&gt;0,COUNTIF(K$6:K531,"&gt;0"),B530)</f>
        <v>30</v>
      </c>
      <c r="C531" s="1084" t="str">
        <f t="shared" si="94"/>
        <v>Sắt góc L32 x 32 x 3</v>
      </c>
      <c r="D531" s="85" t="str">
        <f t="shared" si="95"/>
        <v>kg</v>
      </c>
      <c r="E531" s="448">
        <f ca="1">SUMIF(OFFSET(tongctvtdd1,0,-(COLUMN(E531)+7-(COLUMN(E531)-5)/2)),KLVT!$A531,tongctvtdd1)+SUMIF(OFFSET(tongctvtpk1,0,-(COLUMN(E531)+7-(COLUMN(E531)-5)/2)),KLVT!$A531,tongctvtpk1)</f>
        <v>0</v>
      </c>
      <c r="F531" s="449">
        <f ca="1">SUMIF(OFFSET(cttba_vlvt1_1,0,-9,-ROW(cttba_vlvt1_1)+ROW(cttba_vltb1_1)-10),KLVT!$A531,OFFSET(cttba_vlvt1_1,0,-4,-ROW(cttba_vlvt1_1)+ROW(cttba_vltb1_1)-10))</f>
        <v>0</v>
      </c>
      <c r="G531" s="451">
        <f t="shared" ca="1" si="97"/>
        <v>0</v>
      </c>
      <c r="H531" s="450">
        <f t="shared" si="98"/>
        <v>1</v>
      </c>
      <c r="I531" s="447">
        <f t="shared" ca="1" si="99"/>
        <v>0</v>
      </c>
      <c r="J531" s="447">
        <f t="shared" ca="1" si="100"/>
        <v>0</v>
      </c>
      <c r="K531" s="374">
        <f t="shared" ca="1" si="96"/>
        <v>0</v>
      </c>
    </row>
    <row r="532" spans="1:11" s="45" customFormat="1" ht="15.75" hidden="1">
      <c r="A532" s="373" t="str">
        <f>IF(AND(COUNTIF($A$5:$A$133,R_DG!A406)=0,R_DG!R406&gt;0,ISNUMBER(R_DG!R406)),R_DG!A406,"NONE")</f>
        <v>SL40</v>
      </c>
      <c r="B532" s="85">
        <f ca="1">IF(K532&gt;0,COUNTIF(K$6:K532,"&gt;0"),B531)</f>
        <v>30</v>
      </c>
      <c r="C532" s="1084" t="str">
        <f t="shared" si="94"/>
        <v>Sắt góc L40 x40 x4</v>
      </c>
      <c r="D532" s="85" t="str">
        <f t="shared" si="95"/>
        <v>kg</v>
      </c>
      <c r="E532" s="448">
        <f ca="1">SUMIF(OFFSET(tongctvtdd1,0,-(COLUMN(E532)+7-(COLUMN(E532)-5)/2)),KLVT!$A532,tongctvtdd1)+SUMIF(OFFSET(tongctvtpk1,0,-(COLUMN(E532)+7-(COLUMN(E532)-5)/2)),KLVT!$A532,tongctvtpk1)</f>
        <v>0</v>
      </c>
      <c r="F532" s="449">
        <f ca="1">SUMIF(OFFSET(cttba_vlvt1_1,0,-9,-ROW(cttba_vlvt1_1)+ROW(cttba_vltb1_1)-10),KLVT!$A532,OFFSET(cttba_vlvt1_1,0,-4,-ROW(cttba_vlvt1_1)+ROW(cttba_vltb1_1)-10))</f>
        <v>0</v>
      </c>
      <c r="G532" s="451">
        <f t="shared" ca="1" si="97"/>
        <v>0</v>
      </c>
      <c r="H532" s="450">
        <f t="shared" si="98"/>
        <v>1</v>
      </c>
      <c r="I532" s="447">
        <f t="shared" ca="1" si="99"/>
        <v>0</v>
      </c>
      <c r="J532" s="447">
        <f t="shared" ca="1" si="100"/>
        <v>0</v>
      </c>
      <c r="K532" s="373">
        <f t="shared" ca="1" si="96"/>
        <v>0</v>
      </c>
    </row>
    <row r="533" spans="1:11" s="45" customFormat="1" ht="15.75" hidden="1">
      <c r="A533" s="373" t="str">
        <f>IF(AND(COUNTIF($A$5:$A$133,R_DG!A407)=0,R_DG!R407&gt;0,ISNUMBER(R_DG!R407)),R_DG!A407,"NONE")</f>
        <v>SL45</v>
      </c>
      <c r="B533" s="85">
        <f ca="1">IF(K533&gt;0,COUNTIF(K$6:K533,"&gt;0"),B532)</f>
        <v>30</v>
      </c>
      <c r="C533" s="1084" t="str">
        <f t="shared" si="94"/>
        <v>Sắt góc L45 x45 x 4</v>
      </c>
      <c r="D533" s="85" t="str">
        <f t="shared" si="95"/>
        <v>kg</v>
      </c>
      <c r="E533" s="448">
        <f ca="1">SUMIF(OFFSET(tongctvtdd1,0,-(COLUMN(E533)+7-(COLUMN(E533)-5)/2)),KLVT!$A533,tongctvtdd1)+SUMIF(OFFSET(tongctvtpk1,0,-(COLUMN(E533)+7-(COLUMN(E533)-5)/2)),KLVT!$A533,tongctvtpk1)</f>
        <v>0</v>
      </c>
      <c r="F533" s="449">
        <f ca="1">SUMIF(OFFSET(cttba_vlvt1_1,0,-9,-ROW(cttba_vlvt1_1)+ROW(cttba_vltb1_1)-10),KLVT!$A533,OFFSET(cttba_vlvt1_1,0,-4,-ROW(cttba_vlvt1_1)+ROW(cttba_vltb1_1)-10))</f>
        <v>0</v>
      </c>
      <c r="G533" s="451">
        <f t="shared" ca="1" si="97"/>
        <v>0</v>
      </c>
      <c r="H533" s="450">
        <f t="shared" si="98"/>
        <v>1</v>
      </c>
      <c r="I533" s="447">
        <f t="shared" ca="1" si="99"/>
        <v>0</v>
      </c>
      <c r="J533" s="447">
        <f t="shared" ca="1" si="100"/>
        <v>0</v>
      </c>
      <c r="K533" s="373">
        <f t="shared" ca="1" si="96"/>
        <v>0</v>
      </c>
    </row>
    <row r="534" spans="1:11" s="45" customFormat="1" ht="15.75" hidden="1">
      <c r="A534" s="373" t="str">
        <f>IF(AND(COUNTIF($A$5:$A$133,R_DG!A408)=0,R_DG!R408&gt;0,ISNUMBER(R_DG!R408)),R_DG!A408,"NONE")</f>
        <v>SL50</v>
      </c>
      <c r="B534" s="85">
        <f ca="1">IF(K534&gt;0,COUNTIF(K$6:K534,"&gt;0"),B533)</f>
        <v>30</v>
      </c>
      <c r="C534" s="1084" t="str">
        <f t="shared" si="94"/>
        <v>Sắt góc L50 x50 x5</v>
      </c>
      <c r="D534" s="85" t="str">
        <f t="shared" si="95"/>
        <v>kg</v>
      </c>
      <c r="E534" s="448">
        <f ca="1">SUMIF(OFFSET(tongctvtdd1,0,-(COLUMN(E534)+7-(COLUMN(E534)-5)/2)),KLVT!$A534,tongctvtdd1)+SUMIF(OFFSET(tongctvtpk1,0,-(COLUMN(E534)+7-(COLUMN(E534)-5)/2)),KLVT!$A534,tongctvtpk1)</f>
        <v>0</v>
      </c>
      <c r="F534" s="449">
        <f ca="1">SUMIF(OFFSET(cttba_vlvt1_1,0,-9,-ROW(cttba_vlvt1_1)+ROW(cttba_vltb1_1)-10),KLVT!$A534,OFFSET(cttba_vlvt1_1,0,-4,-ROW(cttba_vlvt1_1)+ROW(cttba_vltb1_1)-10))</f>
        <v>0</v>
      </c>
      <c r="G534" s="451">
        <f t="shared" ca="1" si="97"/>
        <v>0</v>
      </c>
      <c r="H534" s="450">
        <f t="shared" si="98"/>
        <v>1</v>
      </c>
      <c r="I534" s="447">
        <f t="shared" ca="1" si="99"/>
        <v>0</v>
      </c>
      <c r="J534" s="447">
        <f t="shared" ca="1" si="100"/>
        <v>0</v>
      </c>
      <c r="K534" s="373">
        <f t="shared" ca="1" si="96"/>
        <v>0</v>
      </c>
    </row>
    <row r="535" spans="1:11" s="45" customFormat="1" ht="15.75" hidden="1">
      <c r="A535" s="373" t="str">
        <f>IF(AND(COUNTIF($A$5:$A$133,R_DG!A409)=0,R_DG!R409&gt;0,ISNUMBER(R_DG!R409)),R_DG!A409,"NONE")</f>
        <v>SL70</v>
      </c>
      <c r="B535" s="85">
        <f ca="1">IF(K535&gt;0,COUNTIF(K$6:K535,"&gt;0"),B534)</f>
        <v>30</v>
      </c>
      <c r="C535" s="1084" t="str">
        <f t="shared" si="94"/>
        <v>Sắt góc L70 x70 x7</v>
      </c>
      <c r="D535" s="85" t="str">
        <f t="shared" si="95"/>
        <v>kg</v>
      </c>
      <c r="E535" s="448">
        <f ca="1">SUMIF(OFFSET(tongctvtdd1,0,-(COLUMN(E535)+7-(COLUMN(E535)-5)/2)),KLVT!$A535,tongctvtdd1)+SUMIF(OFFSET(tongctvtpk1,0,-(COLUMN(E535)+7-(COLUMN(E535)-5)/2)),KLVT!$A535,tongctvtpk1)</f>
        <v>0</v>
      </c>
      <c r="F535" s="449">
        <f ca="1">SUMIF(OFFSET(cttba_vlvt1_1,0,-9,-ROW(cttba_vlvt1_1)+ROW(cttba_vltb1_1)-10),KLVT!$A535,OFFSET(cttba_vlvt1_1,0,-4,-ROW(cttba_vlvt1_1)+ROW(cttba_vltb1_1)-10))</f>
        <v>0</v>
      </c>
      <c r="G535" s="451">
        <f t="shared" ca="1" si="97"/>
        <v>0</v>
      </c>
      <c r="H535" s="450">
        <f t="shared" si="98"/>
        <v>1</v>
      </c>
      <c r="I535" s="447">
        <f t="shared" ca="1" si="99"/>
        <v>0</v>
      </c>
      <c r="J535" s="447">
        <f t="shared" ca="1" si="100"/>
        <v>0</v>
      </c>
      <c r="K535" s="374">
        <f t="shared" ca="1" si="96"/>
        <v>0</v>
      </c>
    </row>
    <row r="536" spans="1:11" s="45" customFormat="1" ht="15.75" hidden="1">
      <c r="A536" s="373" t="str">
        <f>IF(AND(COUNTIF($A$5:$A$133,R_DG!A410)=0,R_DG!R410&gt;0,ISNUMBER(R_DG!R410)),R_DG!A410,"NONE")</f>
        <v>SL75</v>
      </c>
      <c r="B536" s="85">
        <f ca="1">IF(K536&gt;0,COUNTIF(K$6:K536,"&gt;0"),B535)</f>
        <v>30</v>
      </c>
      <c r="C536" s="1084" t="str">
        <f t="shared" si="94"/>
        <v>Thép hình L75 x75 x8</v>
      </c>
      <c r="D536" s="85" t="str">
        <f t="shared" si="95"/>
        <v>kg</v>
      </c>
      <c r="E536" s="448">
        <f ca="1">SUMIF(OFFSET(tongctvtdd1,0,-(COLUMN(E536)+7-(COLUMN(E536)-5)/2)),KLVT!$A536,tongctvtdd1)+SUMIF(OFFSET(tongctvtpk1,0,-(COLUMN(E536)+7-(COLUMN(E536)-5)/2)),KLVT!$A536,tongctvtpk1)</f>
        <v>0</v>
      </c>
      <c r="F536" s="449">
        <f ca="1">SUMIF(OFFSET(cttba_vlvt1_1,0,-9,-ROW(cttba_vlvt1_1)+ROW(cttba_vltb1_1)-10),KLVT!$A536,OFFSET(cttba_vlvt1_1,0,-4,-ROW(cttba_vlvt1_1)+ROW(cttba_vltb1_1)-10))</f>
        <v>0</v>
      </c>
      <c r="G536" s="451">
        <f t="shared" ca="1" si="97"/>
        <v>0</v>
      </c>
      <c r="H536" s="450">
        <f t="shared" si="98"/>
        <v>1</v>
      </c>
      <c r="I536" s="447">
        <f t="shared" ca="1" si="99"/>
        <v>0</v>
      </c>
      <c r="J536" s="447">
        <f t="shared" ca="1" si="100"/>
        <v>0</v>
      </c>
      <c r="K536" s="374">
        <f t="shared" ca="1" si="96"/>
        <v>0</v>
      </c>
    </row>
    <row r="537" spans="1:11" s="45" customFormat="1" ht="15.75" hidden="1">
      <c r="A537" s="373" t="str">
        <f>IF(AND(COUNTIF($A$5:$A$133,R_DG!A411)=0,R_DG!R411&gt;0,ISNUMBER(R_DG!R411)),R_DG!A411,"NONE")</f>
        <v>SO6</v>
      </c>
      <c r="B537" s="85">
        <f ca="1">IF(K537&gt;0,COUNTIF(K$6:K537,"&gt;0"),B536)</f>
        <v>30</v>
      </c>
      <c r="C537" s="1084" t="str">
        <f t="shared" si="94"/>
        <v>Sắt  φ6</v>
      </c>
      <c r="D537" s="85" t="str">
        <f t="shared" si="95"/>
        <v>kg</v>
      </c>
      <c r="E537" s="448">
        <f ca="1">SUMIF(OFFSET(tongctvtdd1,0,-(COLUMN(E537)+7-(COLUMN(E537)-5)/2)),KLVT!$A537,tongctvtdd1)+SUMIF(OFFSET(tongctvtpk1,0,-(COLUMN(E537)+7-(COLUMN(E537)-5)/2)),KLVT!$A537,tongctvtpk1)</f>
        <v>0</v>
      </c>
      <c r="F537" s="449">
        <f ca="1">SUMIF(OFFSET(cttba_vlvt1_1,0,-9,-ROW(cttba_vlvt1_1)+ROW(cttba_vltb1_1)-10),KLVT!$A537,OFFSET(cttba_vlvt1_1,0,-4,-ROW(cttba_vlvt1_1)+ROW(cttba_vltb1_1)-10))</f>
        <v>0</v>
      </c>
      <c r="G537" s="451">
        <f t="shared" ca="1" si="97"/>
        <v>0</v>
      </c>
      <c r="H537" s="450">
        <f t="shared" si="98"/>
        <v>1</v>
      </c>
      <c r="I537" s="447">
        <f t="shared" ca="1" si="99"/>
        <v>0</v>
      </c>
      <c r="J537" s="447">
        <f t="shared" ca="1" si="100"/>
        <v>0</v>
      </c>
      <c r="K537" s="374">
        <f t="shared" ca="1" si="96"/>
        <v>0</v>
      </c>
    </row>
    <row r="538" spans="1:11" s="45" customFormat="1" ht="15.75" hidden="1">
      <c r="A538" s="373" t="str">
        <f>IF(AND(COUNTIF($A$5:$A$133,R_DG!A412)=0,R_DG!R412&gt;0,ISNUMBER(R_DG!R412)),R_DG!A412,"NONE")</f>
        <v>SO8</v>
      </c>
      <c r="B538" s="85">
        <f ca="1">IF(K538&gt;0,COUNTIF(K$6:K538,"&gt;0"),B537)</f>
        <v>30</v>
      </c>
      <c r="C538" s="1084" t="str">
        <f t="shared" si="94"/>
        <v>Sắt  φ8</v>
      </c>
      <c r="D538" s="85" t="str">
        <f t="shared" si="95"/>
        <v>kg</v>
      </c>
      <c r="E538" s="448">
        <f ca="1">SUMIF(OFFSET(tongctvtdd1,0,-(COLUMN(E538)+7-(COLUMN(E538)-5)/2)),KLVT!$A538,tongctvtdd1)+SUMIF(OFFSET(tongctvtpk1,0,-(COLUMN(E538)+7-(COLUMN(E538)-5)/2)),KLVT!$A538,tongctvtpk1)</f>
        <v>0</v>
      </c>
      <c r="F538" s="449">
        <f ca="1">SUMIF(OFFSET(cttba_vlvt1_1,0,-9,-ROW(cttba_vlvt1_1)+ROW(cttba_vltb1_1)-10),KLVT!$A538,OFFSET(cttba_vlvt1_1,0,-4,-ROW(cttba_vlvt1_1)+ROW(cttba_vltb1_1)-10))</f>
        <v>0</v>
      </c>
      <c r="G538" s="451">
        <f t="shared" ca="1" si="97"/>
        <v>0</v>
      </c>
      <c r="H538" s="450">
        <f t="shared" si="98"/>
        <v>1</v>
      </c>
      <c r="I538" s="447">
        <f t="shared" ca="1" si="99"/>
        <v>0</v>
      </c>
      <c r="J538" s="447">
        <f t="shared" ca="1" si="100"/>
        <v>0</v>
      </c>
      <c r="K538" s="373">
        <f t="shared" ca="1" si="96"/>
        <v>0</v>
      </c>
    </row>
    <row r="539" spans="1:11" s="45" customFormat="1" hidden="1">
      <c r="A539" s="373" t="str">
        <f>IF(AND(COUNTIF($A$5:$A$133,R_DG!A413)=0,R_DG!R413&gt;0,ISNUMBER(R_DG!R413)),R_DG!A413,"NONE")</f>
        <v>SO10</v>
      </c>
      <c r="B539" s="85">
        <f ca="1">IF(K539&gt;0,COUNTIF(K$6:K539,"&gt;0"),B538)</f>
        <v>30</v>
      </c>
      <c r="C539" s="1084" t="str">
        <f t="shared" si="94"/>
        <v>Sắt  φ10</v>
      </c>
      <c r="D539" s="85" t="str">
        <f t="shared" si="95"/>
        <v>kg</v>
      </c>
      <c r="E539" s="448">
        <f ca="1">SUMIF(OFFSET(tongctvtdd1,0,-(COLUMN(E539)+7-(COLUMN(E539)-5)/2)),KLVT!$A539,tongctvtdd1)+SUMIF(OFFSET(tongctvtpk1,0,-(COLUMN(E539)+7-(COLUMN(E539)-5)/2)),KLVT!$A539,tongctvtpk1)</f>
        <v>0</v>
      </c>
      <c r="F539" s="449">
        <f ca="1">SUMIF(OFFSET(cttba_vlvt1_1,0,-9,-ROW(cttba_vlvt1_1)+ROW(cttba_vltb1_1)-10),KLVT!$A539,OFFSET(cttba_vlvt1_1,0,-4,-ROW(cttba_vlvt1_1)+ROW(cttba_vltb1_1)-10))</f>
        <v>0</v>
      </c>
      <c r="G539" s="451">
        <f t="shared" ca="1" si="97"/>
        <v>0</v>
      </c>
      <c r="H539" s="450">
        <f t="shared" si="98"/>
        <v>1</v>
      </c>
      <c r="I539" s="447">
        <f t="shared" ca="1" si="99"/>
        <v>0</v>
      </c>
      <c r="J539" s="447">
        <f t="shared" ca="1" si="100"/>
        <v>0</v>
      </c>
      <c r="K539" s="1094">
        <f t="shared" ca="1" si="96"/>
        <v>0</v>
      </c>
    </row>
    <row r="540" spans="1:11" s="45" customFormat="1" ht="15.75" hidden="1">
      <c r="A540" s="373" t="str">
        <f>IF(AND(COUNTIF($A$5:$A$133,R_DG!A414)=0,R_DG!R414&gt;0,ISNUMBER(R_DG!R414)),R_DG!A414,"NONE")</f>
        <v>SO12</v>
      </c>
      <c r="B540" s="85">
        <f ca="1">IF(K540&gt;0,COUNTIF(K$6:K540,"&gt;0"),B539)</f>
        <v>30</v>
      </c>
      <c r="C540" s="1084" t="str">
        <f t="shared" si="94"/>
        <v>Sắt  φ12</v>
      </c>
      <c r="D540" s="85" t="str">
        <f t="shared" si="95"/>
        <v>kg</v>
      </c>
      <c r="E540" s="448">
        <f ca="1">SUMIF(OFFSET(tongctvtdd1,0,-(COLUMN(E540)+7-(COLUMN(E540)-5)/2)),KLVT!$A540,tongctvtdd1)+SUMIF(OFFSET(tongctvtpk1,0,-(COLUMN(E540)+7-(COLUMN(E540)-5)/2)),KLVT!$A540,tongctvtpk1)</f>
        <v>0</v>
      </c>
      <c r="F540" s="449">
        <f ca="1">SUMIF(OFFSET(cttba_vlvt1_1,0,-9,-ROW(cttba_vlvt1_1)+ROW(cttba_vltb1_1)-10),KLVT!$A540,OFFSET(cttba_vlvt1_1,0,-4,-ROW(cttba_vlvt1_1)+ROW(cttba_vltb1_1)-10))</f>
        <v>0</v>
      </c>
      <c r="G540" s="451">
        <f t="shared" ca="1" si="97"/>
        <v>0</v>
      </c>
      <c r="H540" s="450">
        <f t="shared" si="98"/>
        <v>1</v>
      </c>
      <c r="I540" s="447">
        <f t="shared" ca="1" si="99"/>
        <v>0</v>
      </c>
      <c r="J540" s="447">
        <f t="shared" ca="1" si="100"/>
        <v>0</v>
      </c>
      <c r="K540" s="373">
        <f t="shared" ca="1" si="96"/>
        <v>0</v>
      </c>
    </row>
    <row r="541" spans="1:11" s="45" customFormat="1" ht="15.75" hidden="1">
      <c r="A541" s="373" t="str">
        <f>IF(AND(COUNTIF($A$5:$A$133,R_DG!A415)=0,R_DG!R415&gt;0,ISNUMBER(R_DG!R415)),R_DG!A415,"NONE")</f>
        <v>SO16</v>
      </c>
      <c r="B541" s="85">
        <f ca="1">IF(K541&gt;0,COUNTIF(K$6:K541,"&gt;0"),B540)</f>
        <v>30</v>
      </c>
      <c r="C541" s="1084" t="str">
        <f t="shared" si="94"/>
        <v>Sắt  φ16</v>
      </c>
      <c r="D541" s="85" t="str">
        <f t="shared" si="95"/>
        <v>kg</v>
      </c>
      <c r="E541" s="448">
        <f ca="1">SUMIF(OFFSET(tongctvtdd1,0,-(COLUMN(E541)+7-(COLUMN(E541)-5)/2)),KLVT!$A541,tongctvtdd1)+SUMIF(OFFSET(tongctvtpk1,0,-(COLUMN(E541)+7-(COLUMN(E541)-5)/2)),KLVT!$A541,tongctvtpk1)</f>
        <v>0</v>
      </c>
      <c r="F541" s="449">
        <f ca="1">SUMIF(OFFSET(cttba_vlvt1_1,0,-9,-ROW(cttba_vlvt1_1)+ROW(cttba_vltb1_1)-10),KLVT!$A541,OFFSET(cttba_vlvt1_1,0,-4,-ROW(cttba_vlvt1_1)+ROW(cttba_vltb1_1)-10))</f>
        <v>0</v>
      </c>
      <c r="G541" s="451">
        <f t="shared" ca="1" si="97"/>
        <v>0</v>
      </c>
      <c r="H541" s="450">
        <f t="shared" si="98"/>
        <v>1</v>
      </c>
      <c r="I541" s="447">
        <f t="shared" ca="1" si="99"/>
        <v>0</v>
      </c>
      <c r="J541" s="447">
        <f t="shared" ca="1" si="100"/>
        <v>0</v>
      </c>
      <c r="K541" s="373">
        <f t="shared" ca="1" si="96"/>
        <v>0</v>
      </c>
    </row>
    <row r="542" spans="1:11" s="45" customFormat="1" ht="15.75" hidden="1">
      <c r="A542" s="373" t="str">
        <f>IF(AND(COUNTIF($A$5:$A$133,R_DG!A416)=0,R_DG!R416&gt;0,ISNUMBER(R_DG!R416)),R_DG!A416,"NONE")</f>
        <v>SO24</v>
      </c>
      <c r="B542" s="85">
        <f ca="1">IF(K542&gt;0,COUNTIF(K$6:K542,"&gt;0"),B541)</f>
        <v>30</v>
      </c>
      <c r="C542" s="1084" t="str">
        <f t="shared" si="94"/>
        <v>Sắt  φ24</v>
      </c>
      <c r="D542" s="85" t="str">
        <f t="shared" si="95"/>
        <v>kg</v>
      </c>
      <c r="E542" s="448">
        <f ca="1">SUMIF(OFFSET(tongctvtdd1,0,-(COLUMN(E542)+7-(COLUMN(E542)-5)/2)),KLVT!$A542,tongctvtdd1)+SUMIF(OFFSET(tongctvtpk1,0,-(COLUMN(E542)+7-(COLUMN(E542)-5)/2)),KLVT!$A542,tongctvtpk1)</f>
        <v>0</v>
      </c>
      <c r="F542" s="449">
        <f ca="1">SUMIF(OFFSET(cttba_vlvt1_1,0,-9,-ROW(cttba_vlvt1_1)+ROW(cttba_vltb1_1)-10),KLVT!$A542,OFFSET(cttba_vlvt1_1,0,-4,-ROW(cttba_vlvt1_1)+ROW(cttba_vltb1_1)-10))</f>
        <v>0</v>
      </c>
      <c r="G542" s="451">
        <f t="shared" ca="1" si="97"/>
        <v>0</v>
      </c>
      <c r="H542" s="450">
        <f t="shared" si="98"/>
        <v>1</v>
      </c>
      <c r="I542" s="447">
        <f t="shared" ca="1" si="99"/>
        <v>0</v>
      </c>
      <c r="J542" s="447">
        <f t="shared" ca="1" si="100"/>
        <v>0</v>
      </c>
      <c r="K542" s="374">
        <f t="shared" ca="1" si="96"/>
        <v>0</v>
      </c>
    </row>
    <row r="543" spans="1:11" s="45" customFormat="1" ht="15.75" hidden="1">
      <c r="A543" s="373" t="str">
        <f>IF(AND(COUNTIF($A$5:$A$133,R_DG!A417)=0,R_DG!R417&gt;0,ISNUMBER(R_DG!R417)),R_DG!A417,"NONE")</f>
        <v>EKE300</v>
      </c>
      <c r="B543" s="85">
        <f ca="1">IF(K543&gt;0,COUNTIF(K$6:K543,"&gt;0"),B542)</f>
        <v>30</v>
      </c>
      <c r="C543" s="1084" t="str">
        <f t="shared" si="94"/>
        <v>Ê KE 5x300x300\Zn</v>
      </c>
      <c r="D543" s="85" t="str">
        <f t="shared" si="95"/>
        <v>kg</v>
      </c>
      <c r="E543" s="448">
        <f ca="1">SUMIF(OFFSET(tongctvtdd1,0,-(COLUMN(E543)+7-(COLUMN(E543)-5)/2)),KLVT!$A543,tongctvtdd1)+SUMIF(OFFSET(tongctvtpk1,0,-(COLUMN(E543)+7-(COLUMN(E543)-5)/2)),KLVT!$A543,tongctvtpk1)</f>
        <v>0</v>
      </c>
      <c r="F543" s="449">
        <f ca="1">SUMIF(OFFSET(cttba_vlvt1_1,0,-9,-ROW(cttba_vlvt1_1)+ROW(cttba_vltb1_1)-10),KLVT!$A543,OFFSET(cttba_vlvt1_1,0,-4,-ROW(cttba_vlvt1_1)+ROW(cttba_vltb1_1)-10))</f>
        <v>0</v>
      </c>
      <c r="G543" s="451">
        <f t="shared" ca="1" si="97"/>
        <v>0</v>
      </c>
      <c r="H543" s="450">
        <f t="shared" si="98"/>
        <v>1</v>
      </c>
      <c r="I543" s="447">
        <f t="shared" ca="1" si="99"/>
        <v>0</v>
      </c>
      <c r="J543" s="447">
        <f t="shared" ca="1" si="100"/>
        <v>0</v>
      </c>
      <c r="K543" s="373">
        <f t="shared" ca="1" si="96"/>
        <v>0</v>
      </c>
    </row>
    <row r="544" spans="1:11" s="45" customFormat="1" ht="15.75" hidden="1">
      <c r="A544" s="373" t="str">
        <f>IF(AND(COUNTIF($A$5:$A$133,R_DG!A418)=0,R_DG!R418&gt;0,ISNUMBER(R_DG!R418)),R_DG!A418,"NONE")</f>
        <v>THEPT6</v>
      </c>
      <c r="B544" s="85">
        <f ca="1">IF(K544&gt;0,COUNTIF(K$6:K544,"&gt;0"),B543)</f>
        <v>30</v>
      </c>
      <c r="C544" s="1084" t="str">
        <f t="shared" si="94"/>
        <v>Thép tấm 6mm</v>
      </c>
      <c r="D544" s="85" t="str">
        <f t="shared" si="95"/>
        <v>kg</v>
      </c>
      <c r="E544" s="448">
        <f ca="1">SUMIF(OFFSET(tongctvtdd1,0,-(COLUMN(E544)+7-(COLUMN(E544)-5)/2)),KLVT!$A544,tongctvtdd1)+SUMIF(OFFSET(tongctvtpk1,0,-(COLUMN(E544)+7-(COLUMN(E544)-5)/2)),KLVT!$A544,tongctvtpk1)</f>
        <v>0</v>
      </c>
      <c r="F544" s="449">
        <f ca="1">SUMIF(OFFSET(cttba_vlvt1_1,0,-9,-ROW(cttba_vlvt1_1)+ROW(cttba_vltb1_1)-10),KLVT!$A544,OFFSET(cttba_vlvt1_1,0,-4,-ROW(cttba_vlvt1_1)+ROW(cttba_vltb1_1)-10))</f>
        <v>0</v>
      </c>
      <c r="G544" s="451">
        <f t="shared" ca="1" si="97"/>
        <v>0</v>
      </c>
      <c r="H544" s="450">
        <f t="shared" si="98"/>
        <v>1</v>
      </c>
      <c r="I544" s="447">
        <f t="shared" ca="1" si="99"/>
        <v>0</v>
      </c>
      <c r="J544" s="447">
        <f t="shared" ca="1" si="100"/>
        <v>0</v>
      </c>
      <c r="K544" s="373">
        <f t="shared" ca="1" si="96"/>
        <v>0</v>
      </c>
    </row>
    <row r="545" spans="1:11" s="45" customFormat="1" ht="15.75" hidden="1">
      <c r="A545" s="373" t="str">
        <f>IF(AND(COUNTIF($A$5:$A$133,R_DG!A419)=0,R_DG!R419&gt;0,ISNUMBER(R_DG!R419)),R_DG!A419,"NONE")</f>
        <v>THEPT5</v>
      </c>
      <c r="B545" s="85">
        <f ca="1">IF(K545&gt;0,COUNTIF(K$6:K545,"&gt;0"),B544)</f>
        <v>30</v>
      </c>
      <c r="C545" s="1084" t="str">
        <f t="shared" ref="C545:C608" si="101">VLOOKUP(A545,DONGIA,3,0)</f>
        <v>Thép tấm 5mm mạ kẽm (39.25kg/m2)</v>
      </c>
      <c r="D545" s="85" t="str">
        <f t="shared" ref="D545:D608" si="102">VLOOKUP(A545,DONGIA,4,0)</f>
        <v>kg</v>
      </c>
      <c r="E545" s="448">
        <f ca="1">SUMIF(OFFSET(tongctvtdd1,0,-(COLUMN(E545)+7-(COLUMN(E545)-5)/2)),KLVT!$A545,tongctvtdd1)+SUMIF(OFFSET(tongctvtpk1,0,-(COLUMN(E545)+7-(COLUMN(E545)-5)/2)),KLVT!$A545,tongctvtpk1)</f>
        <v>0</v>
      </c>
      <c r="F545" s="449">
        <f ca="1">SUMIF(OFFSET(cttba_vlvt1_1,0,-9,-ROW(cttba_vlvt1_1)+ROW(cttba_vltb1_1)-10),KLVT!$A545,OFFSET(cttba_vlvt1_1,0,-4,-ROW(cttba_vlvt1_1)+ROW(cttba_vltb1_1)-10))</f>
        <v>0</v>
      </c>
      <c r="G545" s="451">
        <f t="shared" ca="1" si="97"/>
        <v>0</v>
      </c>
      <c r="H545" s="450">
        <f t="shared" si="98"/>
        <v>1</v>
      </c>
      <c r="I545" s="447">
        <f t="shared" ca="1" si="99"/>
        <v>0</v>
      </c>
      <c r="J545" s="447">
        <f t="shared" ca="1" si="100"/>
        <v>0</v>
      </c>
      <c r="K545" s="373">
        <f t="shared" ca="1" si="96"/>
        <v>0</v>
      </c>
    </row>
    <row r="546" spans="1:11" s="45" customFormat="1" ht="15.75" hidden="1">
      <c r="A546" s="373" t="str">
        <f>IF(AND(COUNTIF($A$5:$A$133,R_DG!A420)=0,R_DG!R420&gt;0,ISNUMBER(R_DG!R420)),R_DG!A420,"NONE")</f>
        <v>THEPT4</v>
      </c>
      <c r="B546" s="85">
        <f ca="1">IF(K546&gt;0,COUNTIF(K$6:K546,"&gt;0"),B545)</f>
        <v>30</v>
      </c>
      <c r="C546" s="1084" t="str">
        <f t="shared" si="101"/>
        <v>Thép tấm 4mm</v>
      </c>
      <c r="D546" s="85" t="str">
        <f t="shared" si="102"/>
        <v>kg</v>
      </c>
      <c r="E546" s="448">
        <f ca="1">SUMIF(OFFSET(tongctvtdd1,0,-(COLUMN(E546)+7-(COLUMN(E546)-5)/2)),KLVT!$A546,tongctvtdd1)+SUMIF(OFFSET(tongctvtpk1,0,-(COLUMN(E546)+7-(COLUMN(E546)-5)/2)),KLVT!$A546,tongctvtpk1)</f>
        <v>0</v>
      </c>
      <c r="F546" s="449">
        <f ca="1">SUMIF(OFFSET(cttba_vlvt1_1,0,-9,-ROW(cttba_vlvt1_1)+ROW(cttba_vltb1_1)-10),KLVT!$A546,OFFSET(cttba_vlvt1_1,0,-4,-ROW(cttba_vlvt1_1)+ROW(cttba_vltb1_1)-10))</f>
        <v>0</v>
      </c>
      <c r="G546" s="451">
        <f t="shared" ca="1" si="97"/>
        <v>0</v>
      </c>
      <c r="H546" s="450">
        <f t="shared" si="98"/>
        <v>1</v>
      </c>
      <c r="I546" s="447">
        <f t="shared" ca="1" si="99"/>
        <v>0</v>
      </c>
      <c r="J546" s="447">
        <f t="shared" ca="1" si="100"/>
        <v>0</v>
      </c>
      <c r="K546" s="373">
        <f t="shared" ca="1" si="96"/>
        <v>0</v>
      </c>
    </row>
    <row r="547" spans="1:11" s="45" customFormat="1" ht="15.75" hidden="1">
      <c r="A547" s="373" t="str">
        <f>IF(AND(COUNTIF($A$5:$A$133,R_DG!A421)=0,R_DG!R421&gt;0,ISNUMBER(R_DG!R421)),R_DG!A421,"NONE")</f>
        <v>THEPT3</v>
      </c>
      <c r="B547" s="85">
        <f ca="1">IF(K547&gt;0,COUNTIF(K$6:K547,"&gt;0"),B546)</f>
        <v>30</v>
      </c>
      <c r="C547" s="1084" t="str">
        <f t="shared" si="101"/>
        <v>Thép tấm 3mm mạ kẽm (23.55kg/m2)</v>
      </c>
      <c r="D547" s="85" t="str">
        <f t="shared" si="102"/>
        <v>kg</v>
      </c>
      <c r="E547" s="448">
        <f ca="1">SUMIF(OFFSET(tongctvtdd1,0,-(COLUMN(E547)+7-(COLUMN(E547)-5)/2)),KLVT!$A547,tongctvtdd1)+SUMIF(OFFSET(tongctvtpk1,0,-(COLUMN(E547)+7-(COLUMN(E547)-5)/2)),KLVT!$A547,tongctvtpk1)</f>
        <v>0</v>
      </c>
      <c r="F547" s="449">
        <f ca="1">SUMIF(OFFSET(cttba_vlvt1_1,0,-9,-ROW(cttba_vlvt1_1)+ROW(cttba_vltb1_1)-10),KLVT!$A547,OFFSET(cttba_vlvt1_1,0,-4,-ROW(cttba_vlvt1_1)+ROW(cttba_vltb1_1)-10))</f>
        <v>0</v>
      </c>
      <c r="G547" s="451">
        <f t="shared" ca="1" si="97"/>
        <v>0</v>
      </c>
      <c r="H547" s="450">
        <f t="shared" si="98"/>
        <v>1</v>
      </c>
      <c r="I547" s="447">
        <f t="shared" ca="1" si="99"/>
        <v>0</v>
      </c>
      <c r="J547" s="447">
        <f t="shared" ca="1" si="100"/>
        <v>0</v>
      </c>
      <c r="K547" s="373">
        <f t="shared" ca="1" si="96"/>
        <v>0</v>
      </c>
    </row>
    <row r="548" spans="1:11" s="45" customFormat="1" ht="15.75" hidden="1">
      <c r="A548" s="373" t="str">
        <f>IF(AND(COUNTIF($A$5:$A$133,R_DG!A422)=0,R_DG!R422&gt;0,ISNUMBER(R_DG!R422)),R_DG!A422,"NONE")</f>
        <v>THEPT2</v>
      </c>
      <c r="B548" s="85">
        <f ca="1">IF(K548&gt;0,COUNTIF(K$6:K548,"&gt;0"),B547)</f>
        <v>30</v>
      </c>
      <c r="C548" s="1084" t="str">
        <f t="shared" si="101"/>
        <v>Thép tấm 2mm</v>
      </c>
      <c r="D548" s="85" t="str">
        <f t="shared" si="102"/>
        <v>kg</v>
      </c>
      <c r="E548" s="448">
        <f ca="1">SUMIF(OFFSET(tongctvtdd1,0,-(COLUMN(E548)+7-(COLUMN(E548)-5)/2)),KLVT!$A548,tongctvtdd1)+SUMIF(OFFSET(tongctvtpk1,0,-(COLUMN(E548)+7-(COLUMN(E548)-5)/2)),KLVT!$A548,tongctvtpk1)</f>
        <v>0</v>
      </c>
      <c r="F548" s="449">
        <f ca="1">SUMIF(OFFSET(cttba_vlvt1_1,0,-9,-ROW(cttba_vlvt1_1)+ROW(cttba_vltb1_1)-10),KLVT!$A548,OFFSET(cttba_vlvt1_1,0,-4,-ROW(cttba_vlvt1_1)+ROW(cttba_vltb1_1)-10))</f>
        <v>0</v>
      </c>
      <c r="G548" s="451">
        <f t="shared" ca="1" si="97"/>
        <v>0</v>
      </c>
      <c r="H548" s="450">
        <f t="shared" si="98"/>
        <v>1</v>
      </c>
      <c r="I548" s="447">
        <f t="shared" ca="1" si="99"/>
        <v>0</v>
      </c>
      <c r="J548" s="447">
        <f t="shared" ca="1" si="100"/>
        <v>0</v>
      </c>
      <c r="K548" s="373">
        <f t="shared" ca="1" si="96"/>
        <v>0</v>
      </c>
    </row>
    <row r="549" spans="1:11" s="45" customFormat="1" ht="15.75" hidden="1">
      <c r="A549" s="373" t="str">
        <f>IF(AND(COUNTIF($A$5:$A$133,R_DG!A423)=0,R_DG!R423&gt;0,ISNUMBER(R_DG!R423)),R_DG!A423,"NONE")</f>
        <v>CL</v>
      </c>
      <c r="B549" s="85">
        <f ca="1">IF(K549&gt;0,COUNTIF(K$6:K549,"&gt;0"),B548)</f>
        <v>30</v>
      </c>
      <c r="C549" s="1084" t="str">
        <f t="shared" si="101"/>
        <v>Bộ chống chằng hẹp φ60/56x1500+2BL12x40+BL16x250/80</v>
      </c>
      <c r="D549" s="85" t="str">
        <f t="shared" si="102"/>
        <v>bộ</v>
      </c>
      <c r="E549" s="448">
        <f ca="1">SUMIF(OFFSET(tongctvtdd1,0,-(COLUMN(E549)+7-(COLUMN(E549)-5)/2)),KLVT!$A549,tongctvtdd1)+SUMIF(OFFSET(tongctvtpk1,0,-(COLUMN(E549)+7-(COLUMN(E549)-5)/2)),KLVT!$A549,tongctvtpk1)</f>
        <v>0</v>
      </c>
      <c r="F549" s="449">
        <f ca="1">SUMIF(OFFSET(cttba_vlvt1_1,0,-9,-ROW(cttba_vlvt1_1)+ROW(cttba_vltb1_1)-10),KLVT!$A549,OFFSET(cttba_vlvt1_1,0,-4,-ROW(cttba_vlvt1_1)+ROW(cttba_vltb1_1)-10))</f>
        <v>0</v>
      </c>
      <c r="G549" s="451">
        <f t="shared" ca="1" si="97"/>
        <v>0</v>
      </c>
      <c r="H549" s="450">
        <f t="shared" si="98"/>
        <v>8</v>
      </c>
      <c r="I549" s="447">
        <f t="shared" ca="1" si="99"/>
        <v>0</v>
      </c>
      <c r="J549" s="447">
        <f t="shared" ca="1" si="100"/>
        <v>0</v>
      </c>
      <c r="K549" s="374">
        <f t="shared" ca="1" si="96"/>
        <v>0</v>
      </c>
    </row>
    <row r="550" spans="1:11" s="45" customFormat="1" ht="15.75" hidden="1">
      <c r="A550" s="373" t="str">
        <f>IF(AND(COUNTIF($A$5:$A$133,R_DG!A424)=0,R_DG!R424&gt;0,ISNUMBER(R_DG!R424)),R_DG!A424,"NONE")</f>
        <v>CLHT</v>
      </c>
      <c r="B550" s="85">
        <f ca="1">IF(K550&gt;0,COUNTIF(K$6:K550,"&gt;0"),B549)</f>
        <v>30</v>
      </c>
      <c r="C550" s="1084" t="str">
        <f t="shared" si="101"/>
        <v>Bộ chống chằng hẹp φ60/56x1200+2BL12x40+BL16x200/50</v>
      </c>
      <c r="D550" s="85" t="str">
        <f t="shared" si="102"/>
        <v>bộ</v>
      </c>
      <c r="E550" s="448">
        <f ca="1">SUMIF(OFFSET(tongctvtdd1,0,-(COLUMN(E550)+7-(COLUMN(E550)-5)/2)),KLVT!$A550,tongctvtdd1)+SUMIF(OFFSET(tongctvtpk1,0,-(COLUMN(E550)+7-(COLUMN(E550)-5)/2)),KLVT!$A550,tongctvtpk1)</f>
        <v>0</v>
      </c>
      <c r="F550" s="449">
        <f ca="1">SUMIF(OFFSET(cttba_vlvt1_1,0,-9,-ROW(cttba_vlvt1_1)+ROW(cttba_vltb1_1)-10),KLVT!$A550,OFFSET(cttba_vlvt1_1,0,-4,-ROW(cttba_vlvt1_1)+ROW(cttba_vltb1_1)-10))</f>
        <v>0</v>
      </c>
      <c r="G550" s="451">
        <f t="shared" ca="1" si="97"/>
        <v>0</v>
      </c>
      <c r="H550" s="450">
        <f t="shared" si="98"/>
        <v>8</v>
      </c>
      <c r="I550" s="447">
        <f t="shared" ca="1" si="99"/>
        <v>0</v>
      </c>
      <c r="J550" s="447">
        <f t="shared" ca="1" si="100"/>
        <v>0</v>
      </c>
      <c r="K550" s="374">
        <f t="shared" ca="1" si="96"/>
        <v>0</v>
      </c>
    </row>
    <row r="551" spans="1:11" s="45" customFormat="1" ht="15.75" hidden="1">
      <c r="A551" s="373" t="str">
        <f>IF(AND(COUNTIF($A$5:$A$133,R_DG!A425)=0,R_DG!R425&gt;0,ISNUMBER(R_DG!R425)),R_DG!A425,"NONE")</f>
        <v>TN1618</v>
      </c>
      <c r="B551" s="85">
        <f ca="1">IF(K551&gt;0,COUNTIF(K$6:K551,"&gt;0"),B550)</f>
        <v>30</v>
      </c>
      <c r="C551" s="1084" t="str">
        <f t="shared" si="101"/>
        <v>Ty neo φ16x1800</v>
      </c>
      <c r="D551" s="85" t="str">
        <f t="shared" si="102"/>
        <v>cái</v>
      </c>
      <c r="E551" s="448">
        <f ca="1">SUMIF(OFFSET(tongctvtdd1,0,-(COLUMN(E551)+7-(COLUMN(E551)-5)/2)),KLVT!$A551,tongctvtdd1)+SUMIF(OFFSET(tongctvtpk1,0,-(COLUMN(E551)+7-(COLUMN(E551)-5)/2)),KLVT!$A551,tongctvtpk1)</f>
        <v>0</v>
      </c>
      <c r="F551" s="449">
        <f ca="1">SUMIF(OFFSET(cttba_vlvt1_1,0,-9,-ROW(cttba_vlvt1_1)+ROW(cttba_vltb1_1)-10),KLVT!$A551,OFFSET(cttba_vlvt1_1,0,-4,-ROW(cttba_vlvt1_1)+ROW(cttba_vltb1_1)-10))</f>
        <v>0</v>
      </c>
      <c r="G551" s="451">
        <f t="shared" ca="1" si="97"/>
        <v>0</v>
      </c>
      <c r="H551" s="450">
        <f t="shared" si="98"/>
        <v>3.5</v>
      </c>
      <c r="I551" s="447">
        <f t="shared" ca="1" si="99"/>
        <v>0</v>
      </c>
      <c r="J551" s="447">
        <f t="shared" ca="1" si="100"/>
        <v>0</v>
      </c>
      <c r="K551" s="374">
        <f t="shared" ca="1" si="96"/>
        <v>0</v>
      </c>
    </row>
    <row r="552" spans="1:11" s="45" customFormat="1" hidden="1">
      <c r="A552" s="373" t="str">
        <f>IF(AND(COUNTIF($A$5:$A$133,R_DG!A426)=0,R_DG!R426&gt;0,ISNUMBER(R_DG!R426)),R_DG!A426,"NONE")</f>
        <v>TN1624</v>
      </c>
      <c r="B552" s="85">
        <f ca="1">IF(K552&gt;0,COUNTIF(K$6:K552,"&gt;0"),B551)</f>
        <v>30</v>
      </c>
      <c r="C552" s="1084" t="str">
        <f t="shared" si="101"/>
        <v>Ty neo φ16x2400</v>
      </c>
      <c r="D552" s="85" t="str">
        <f t="shared" si="102"/>
        <v>cái</v>
      </c>
      <c r="E552" s="448">
        <f ca="1">SUMIF(OFFSET(tongctvtdd1,0,-(COLUMN(E552)+7-(COLUMN(E552)-5)/2)),KLVT!$A552,tongctvtdd1)+SUMIF(OFFSET(tongctvtpk1,0,-(COLUMN(E552)+7-(COLUMN(E552)-5)/2)),KLVT!$A552,tongctvtpk1)</f>
        <v>0</v>
      </c>
      <c r="F552" s="449">
        <f ca="1">SUMIF(OFFSET(cttba_vlvt1_1,0,-9,-ROW(cttba_vlvt1_1)+ROW(cttba_vltb1_1)-10),KLVT!$A552,OFFSET(cttba_vlvt1_1,0,-4,-ROW(cttba_vlvt1_1)+ROW(cttba_vltb1_1)-10))</f>
        <v>0</v>
      </c>
      <c r="G552" s="451">
        <f t="shared" ca="1" si="97"/>
        <v>0</v>
      </c>
      <c r="H552" s="450">
        <f t="shared" si="98"/>
        <v>3.5</v>
      </c>
      <c r="I552" s="447">
        <f t="shared" ca="1" si="99"/>
        <v>0</v>
      </c>
      <c r="J552" s="447">
        <f t="shared" ca="1" si="100"/>
        <v>0</v>
      </c>
      <c r="K552" s="1094">
        <f t="shared" ca="1" si="96"/>
        <v>0</v>
      </c>
    </row>
    <row r="553" spans="1:11" s="45" customFormat="1" ht="15.75" hidden="1">
      <c r="A553" s="373" t="str">
        <f>IF(AND(COUNTIF($A$5:$A$133,R_DG!A427)=0,R_DG!R427&gt;0,ISNUMBER(R_DG!R427)),R_DG!A427,"NONE")</f>
        <v>TN1824</v>
      </c>
      <c r="B553" s="85">
        <f ca="1">IF(K553&gt;0,COUNTIF(K$6:K553,"&gt;0"),B552)</f>
        <v>30</v>
      </c>
      <c r="C553" s="1084" t="str">
        <f t="shared" si="101"/>
        <v>Ty neo φ18x2400</v>
      </c>
      <c r="D553" s="85" t="str">
        <f t="shared" si="102"/>
        <v>cái</v>
      </c>
      <c r="E553" s="448">
        <f ca="1">SUMIF(OFFSET(tongctvtdd1,0,-(COLUMN(E553)+7-(COLUMN(E553)-5)/2)),KLVT!$A553,tongctvtdd1)+SUMIF(OFFSET(tongctvtpk1,0,-(COLUMN(E553)+7-(COLUMN(E553)-5)/2)),KLVT!$A553,tongctvtpk1)</f>
        <v>0</v>
      </c>
      <c r="F553" s="449">
        <f ca="1">SUMIF(OFFSET(cttba_vlvt1_1,0,-9,-ROW(cttba_vlvt1_1)+ROW(cttba_vltb1_1)-10),KLVT!$A553,OFFSET(cttba_vlvt1_1,0,-4,-ROW(cttba_vlvt1_1)+ROW(cttba_vltb1_1)-10))</f>
        <v>0</v>
      </c>
      <c r="G553" s="451">
        <f t="shared" ca="1" si="97"/>
        <v>0</v>
      </c>
      <c r="H553" s="450">
        <f t="shared" si="98"/>
        <v>4</v>
      </c>
      <c r="I553" s="447">
        <f t="shared" ca="1" si="99"/>
        <v>0</v>
      </c>
      <c r="J553" s="447">
        <f t="shared" ca="1" si="100"/>
        <v>0</v>
      </c>
      <c r="K553" s="373">
        <f t="shared" ca="1" si="96"/>
        <v>0</v>
      </c>
    </row>
    <row r="554" spans="1:11" s="45" customFormat="1" hidden="1">
      <c r="A554" s="373" t="str">
        <f>IF(AND(COUNTIF($A$5:$A$133,R_DG!A428)=0,R_DG!R428&gt;0,ISNUMBER(R_DG!R428)),R_DG!A428,"NONE")</f>
        <v>TN2224</v>
      </c>
      <c r="B554" s="85">
        <f ca="1">IF(K554&gt;0,COUNTIF(K$6:K554,"&gt;0"),B553)</f>
        <v>30</v>
      </c>
      <c r="C554" s="1084" t="str">
        <f t="shared" si="101"/>
        <v>Ty neo φ22x2400</v>
      </c>
      <c r="D554" s="85" t="str">
        <f t="shared" si="102"/>
        <v>cái</v>
      </c>
      <c r="E554" s="448">
        <f ca="1">SUMIF(OFFSET(tongctvtdd1,0,-(COLUMN(E554)+7-(COLUMN(E554)-5)/2)),KLVT!$A554,tongctvtdd1)+SUMIF(OFFSET(tongctvtpk1,0,-(COLUMN(E554)+7-(COLUMN(E554)-5)/2)),KLVT!$A554,tongctvtpk1)</f>
        <v>0</v>
      </c>
      <c r="F554" s="449">
        <f ca="1">SUMIF(OFFSET(cttba_vlvt1_1,0,-9,-ROW(cttba_vlvt1_1)+ROW(cttba_vltb1_1)-10),KLVT!$A554,OFFSET(cttba_vlvt1_1,0,-4,-ROW(cttba_vlvt1_1)+ROW(cttba_vltb1_1)-10))</f>
        <v>0</v>
      </c>
      <c r="G554" s="451">
        <f t="shared" ca="1" si="97"/>
        <v>0</v>
      </c>
      <c r="H554" s="450">
        <f t="shared" si="98"/>
        <v>8</v>
      </c>
      <c r="I554" s="447">
        <f t="shared" ca="1" si="99"/>
        <v>0</v>
      </c>
      <c r="J554" s="447">
        <f t="shared" ca="1" si="100"/>
        <v>0</v>
      </c>
      <c r="K554" s="1094">
        <f t="shared" ca="1" si="96"/>
        <v>0</v>
      </c>
    </row>
    <row r="555" spans="1:11" s="45" customFormat="1" ht="15.75" hidden="1">
      <c r="A555" s="373" t="str">
        <f>IF(AND(COUNTIF($A$5:$A$133,R_DG!A429)=0,R_DG!R429&gt;0,ISNUMBER(R_DG!R429)),R_DG!A429,"NONE")</f>
        <v>TN30</v>
      </c>
      <c r="B555" s="85">
        <f ca="1">IF(K555&gt;0,COUNTIF(K$6:K555,"&gt;0"),B554)</f>
        <v>30</v>
      </c>
      <c r="C555" s="1084" t="str">
        <f t="shared" si="101"/>
        <v>Ty neo φ22x3000</v>
      </c>
      <c r="D555" s="85" t="str">
        <f t="shared" si="102"/>
        <v>cái</v>
      </c>
      <c r="E555" s="448">
        <f ca="1">SUMIF(OFFSET(tongctvtdd1,0,-(COLUMN(E555)+7-(COLUMN(E555)-5)/2)),KLVT!$A555,tongctvtdd1)+SUMIF(OFFSET(tongctvtpk1,0,-(COLUMN(E555)+7-(COLUMN(E555)-5)/2)),KLVT!$A555,tongctvtpk1)</f>
        <v>0</v>
      </c>
      <c r="F555" s="449">
        <f ca="1">SUMIF(OFFSET(cttba_vlvt1_1,0,-9,-ROW(cttba_vlvt1_1)+ROW(cttba_vltb1_1)-10),KLVT!$A555,OFFSET(cttba_vlvt1_1,0,-4,-ROW(cttba_vlvt1_1)+ROW(cttba_vltb1_1)-10))</f>
        <v>0</v>
      </c>
      <c r="G555" s="451">
        <f t="shared" ca="1" si="97"/>
        <v>0</v>
      </c>
      <c r="H555" s="450">
        <f t="shared" si="98"/>
        <v>3.5</v>
      </c>
      <c r="I555" s="447">
        <f t="shared" ca="1" si="99"/>
        <v>0</v>
      </c>
      <c r="J555" s="447">
        <f t="shared" ca="1" si="100"/>
        <v>0</v>
      </c>
      <c r="K555" s="373">
        <f t="shared" ca="1" si="96"/>
        <v>0</v>
      </c>
    </row>
    <row r="556" spans="1:11" s="45" customFormat="1" ht="15.75" hidden="1">
      <c r="A556" s="373" t="str">
        <f>IF(AND(COUNTIF($A$5:$A$133,R_DG!A430)=0,R_DG!R430&gt;0,ISNUMBER(R_DG!R430)),R_DG!A430,"NONE")</f>
        <v>TN37</v>
      </c>
      <c r="B556" s="85">
        <f ca="1">IF(K556&gt;0,COUNTIF(K$6:K556,"&gt;0"),B555)</f>
        <v>30</v>
      </c>
      <c r="C556" s="1084" t="str">
        <f t="shared" si="101"/>
        <v>Ty neo φ22x3700</v>
      </c>
      <c r="D556" s="85" t="str">
        <f t="shared" si="102"/>
        <v>cái</v>
      </c>
      <c r="E556" s="448">
        <f ca="1">SUMIF(OFFSET(tongctvtdd1,0,-(COLUMN(E556)+7-(COLUMN(E556)-5)/2)),KLVT!$A556,tongctvtdd1)+SUMIF(OFFSET(tongctvtpk1,0,-(COLUMN(E556)+7-(COLUMN(E556)-5)/2)),KLVT!$A556,tongctvtpk1)</f>
        <v>0</v>
      </c>
      <c r="F556" s="449">
        <f ca="1">SUMIF(OFFSET(cttba_vlvt1_1,0,-9,-ROW(cttba_vlvt1_1)+ROW(cttba_vltb1_1)-10),KLVT!$A556,OFFSET(cttba_vlvt1_1,0,-4,-ROW(cttba_vlvt1_1)+ROW(cttba_vltb1_1)-10))</f>
        <v>0</v>
      </c>
      <c r="G556" s="451">
        <f t="shared" ca="1" si="97"/>
        <v>0</v>
      </c>
      <c r="H556" s="450">
        <f t="shared" si="98"/>
        <v>6</v>
      </c>
      <c r="I556" s="447">
        <f t="shared" ca="1" si="99"/>
        <v>0</v>
      </c>
      <c r="J556" s="447">
        <f t="shared" ca="1" si="100"/>
        <v>0</v>
      </c>
      <c r="K556" s="373">
        <f t="shared" ca="1" si="96"/>
        <v>0</v>
      </c>
    </row>
    <row r="557" spans="1:11" s="45" customFormat="1" hidden="1">
      <c r="A557" s="373" t="str">
        <f>IF(AND(COUNTIF($A$5:$A$133,R_DG!A431)=0,R_DG!R431&gt;0,ISNUMBER(R_DG!R431)),R_DG!A431,"NONE")</f>
        <v>NX</v>
      </c>
      <c r="B557" s="85">
        <f ca="1">IF(K557&gt;0,COUNTIF(K$6:K557,"&gt;0"),B556)</f>
        <v>30</v>
      </c>
      <c r="C557" s="1084" t="str">
        <f t="shared" si="101"/>
        <v>Neo xòe 8 hướng (dày 3,2mm)</v>
      </c>
      <c r="D557" s="85" t="str">
        <f t="shared" si="102"/>
        <v>cái</v>
      </c>
      <c r="E557" s="448">
        <f ca="1">SUMIF(OFFSET(tongctvtdd1,0,-(COLUMN(E557)+7-(COLUMN(E557)-5)/2)),KLVT!$A557,tongctvtdd1)+SUMIF(OFFSET(tongctvtpk1,0,-(COLUMN(E557)+7-(COLUMN(E557)-5)/2)),KLVT!$A557,tongctvtpk1)</f>
        <v>0</v>
      </c>
      <c r="F557" s="449">
        <f ca="1">SUMIF(OFFSET(cttba_vlvt1_1,0,-9,-ROW(cttba_vlvt1_1)+ROW(cttba_vltb1_1)-10),KLVT!$A557,OFFSET(cttba_vlvt1_1,0,-4,-ROW(cttba_vlvt1_1)+ROW(cttba_vltb1_1)-10))</f>
        <v>0</v>
      </c>
      <c r="G557" s="451">
        <f t="shared" ca="1" si="97"/>
        <v>0</v>
      </c>
      <c r="H557" s="450">
        <f t="shared" si="98"/>
        <v>5</v>
      </c>
      <c r="I557" s="447">
        <f t="shared" ca="1" si="99"/>
        <v>0</v>
      </c>
      <c r="J557" s="447">
        <f t="shared" ca="1" si="100"/>
        <v>0</v>
      </c>
      <c r="K557" s="1094">
        <f t="shared" ca="1" si="96"/>
        <v>0</v>
      </c>
    </row>
    <row r="558" spans="1:11" s="45" customFormat="1" ht="15.75" hidden="1">
      <c r="A558" s="373" t="str">
        <f>IF(AND(COUNTIF($A$5:$A$133,R_DG!A432)=0,R_DG!R432&gt;0,ISNUMBER(R_DG!R432)),R_DG!A432,"NONE")</f>
        <v>CD142</v>
      </c>
      <c r="B558" s="85">
        <f ca="1">IF(K558&gt;0,COUNTIF(K$6:K558,"&gt;0"),B557)</f>
        <v>30</v>
      </c>
      <c r="C558" s="1084" t="str">
        <f t="shared" si="101"/>
        <v>Cổ dê CD.X-142</v>
      </c>
      <c r="D558" s="85" t="str">
        <f t="shared" si="102"/>
        <v>bộ</v>
      </c>
      <c r="E558" s="448">
        <f ca="1">SUMIF(OFFSET(tongctvtdd1,0,-(COLUMN(E558)+7-(COLUMN(E558)-5)/2)),KLVT!$A558,tongctvtdd1)+SUMIF(OFFSET(tongctvtpk1,0,-(COLUMN(E558)+7-(COLUMN(E558)-5)/2)),KLVT!$A558,tongctvtpk1)</f>
        <v>0</v>
      </c>
      <c r="F558" s="449">
        <f ca="1">SUMIF(OFFSET(cttba_vlvt1_1,0,-9,-ROW(cttba_vlvt1_1)+ROW(cttba_vltb1_1)-10),KLVT!$A558,OFFSET(cttba_vlvt1_1,0,-4,-ROW(cttba_vlvt1_1)+ROW(cttba_vltb1_1)-10))</f>
        <v>0</v>
      </c>
      <c r="G558" s="451">
        <f t="shared" ca="1" si="97"/>
        <v>0</v>
      </c>
      <c r="H558" s="450">
        <f t="shared" si="98"/>
        <v>2</v>
      </c>
      <c r="I558" s="447">
        <f t="shared" ca="1" si="99"/>
        <v>0</v>
      </c>
      <c r="J558" s="447">
        <f t="shared" ca="1" si="100"/>
        <v>0</v>
      </c>
      <c r="K558" s="373">
        <f t="shared" ca="1" si="96"/>
        <v>0</v>
      </c>
    </row>
    <row r="559" spans="1:11" s="45" customFormat="1" ht="15.75" hidden="1">
      <c r="A559" s="373" t="str">
        <f>IF(AND(COUNTIF($A$5:$A$133,R_DG!A433)=0,R_DG!R433&gt;0,ISNUMBER(R_DG!R433)),R_DG!A433,"NONE")</f>
        <v>CD142A</v>
      </c>
      <c r="B559" s="85">
        <f ca="1">IF(K559&gt;0,COUNTIF(K$6:K559,"&gt;0"),B558)</f>
        <v>30</v>
      </c>
      <c r="C559" s="1084" t="str">
        <f t="shared" si="101"/>
        <v>Cổ dê CD.X-142A</v>
      </c>
      <c r="D559" s="85" t="str">
        <f t="shared" si="102"/>
        <v>bộ</v>
      </c>
      <c r="E559" s="448">
        <f ca="1">SUMIF(OFFSET(tongctvtdd1,0,-(COLUMN(E559)+7-(COLUMN(E559)-5)/2)),KLVT!$A559,tongctvtdd1)+SUMIF(OFFSET(tongctvtpk1,0,-(COLUMN(E559)+7-(COLUMN(E559)-5)/2)),KLVT!$A559,tongctvtpk1)</f>
        <v>0</v>
      </c>
      <c r="F559" s="449">
        <f ca="1">SUMIF(OFFSET(cttba_vlvt1_1,0,-9,-ROW(cttba_vlvt1_1)+ROW(cttba_vltb1_1)-10),KLVT!$A559,OFFSET(cttba_vlvt1_1,0,-4,-ROW(cttba_vlvt1_1)+ROW(cttba_vltb1_1)-10))</f>
        <v>0</v>
      </c>
      <c r="G559" s="451">
        <f t="shared" ca="1" si="97"/>
        <v>0</v>
      </c>
      <c r="H559" s="450">
        <f t="shared" si="98"/>
        <v>2</v>
      </c>
      <c r="I559" s="447">
        <f t="shared" ca="1" si="99"/>
        <v>0</v>
      </c>
      <c r="J559" s="447">
        <f t="shared" ca="1" si="100"/>
        <v>0</v>
      </c>
      <c r="K559" s="374">
        <f t="shared" ca="1" si="96"/>
        <v>0</v>
      </c>
    </row>
    <row r="560" spans="1:11" s="45" customFormat="1" ht="15.75" hidden="1">
      <c r="A560" s="373" t="str">
        <f>IF(AND(COUNTIF($A$5:$A$133,R_DG!A434)=0,R_DG!R434&gt;0,ISNUMBER(R_DG!R434)),R_DG!A434,"NONE")</f>
        <v>CD146</v>
      </c>
      <c r="B560" s="85">
        <f ca="1">IF(K560&gt;0,COUNTIF(K$6:K560,"&gt;0"),B559)</f>
        <v>30</v>
      </c>
      <c r="C560" s="1084" t="str">
        <f t="shared" si="101"/>
        <v>Cổ dê CD.X-146</v>
      </c>
      <c r="D560" s="85" t="str">
        <f t="shared" si="102"/>
        <v>bộ</v>
      </c>
      <c r="E560" s="448">
        <f ca="1">SUMIF(OFFSET(tongctvtdd1,0,-(COLUMN(E560)+7-(COLUMN(E560)-5)/2)),KLVT!$A560,tongctvtdd1)+SUMIF(OFFSET(tongctvtpk1,0,-(COLUMN(E560)+7-(COLUMN(E560)-5)/2)),KLVT!$A560,tongctvtpk1)</f>
        <v>0</v>
      </c>
      <c r="F560" s="449">
        <f ca="1">SUMIF(OFFSET(cttba_vlvt1_1,0,-9,-ROW(cttba_vlvt1_1)+ROW(cttba_vltb1_1)-10),KLVT!$A560,OFFSET(cttba_vlvt1_1,0,-4,-ROW(cttba_vlvt1_1)+ROW(cttba_vltb1_1)-10))</f>
        <v>0</v>
      </c>
      <c r="G560" s="451">
        <f t="shared" ca="1" si="97"/>
        <v>0</v>
      </c>
      <c r="H560" s="450">
        <f t="shared" si="98"/>
        <v>2</v>
      </c>
      <c r="I560" s="447">
        <f t="shared" ca="1" si="99"/>
        <v>0</v>
      </c>
      <c r="J560" s="447">
        <f t="shared" ca="1" si="100"/>
        <v>0</v>
      </c>
      <c r="K560" s="373">
        <f t="shared" ca="1" si="96"/>
        <v>0</v>
      </c>
    </row>
    <row r="561" spans="1:11" s="45" customFormat="1" ht="15.75" hidden="1">
      <c r="A561" s="373" t="str">
        <f>IF(AND(COUNTIF($A$5:$A$133,R_DG!A435)=0,R_DG!R435&gt;0,ISNUMBER(R_DG!R435)),R_DG!A435,"NONE")</f>
        <v>CD146A</v>
      </c>
      <c r="B561" s="85">
        <f ca="1">IF(K561&gt;0,COUNTIF(K$6:K561,"&gt;0"),B560)</f>
        <v>30</v>
      </c>
      <c r="C561" s="1084" t="str">
        <f t="shared" si="101"/>
        <v>Cổ dê CD.X-146A</v>
      </c>
      <c r="D561" s="85" t="str">
        <f t="shared" si="102"/>
        <v>bộ</v>
      </c>
      <c r="E561" s="448">
        <f ca="1">SUMIF(OFFSET(tongctvtdd1,0,-(COLUMN(E561)+7-(COLUMN(E561)-5)/2)),KLVT!$A561,tongctvtdd1)+SUMIF(OFFSET(tongctvtpk1,0,-(COLUMN(E561)+7-(COLUMN(E561)-5)/2)),KLVT!$A561,tongctvtpk1)</f>
        <v>0</v>
      </c>
      <c r="F561" s="449">
        <f ca="1">SUMIF(OFFSET(cttba_vlvt1_1,0,-9,-ROW(cttba_vlvt1_1)+ROW(cttba_vltb1_1)-10),KLVT!$A561,OFFSET(cttba_vlvt1_1,0,-4,-ROW(cttba_vlvt1_1)+ROW(cttba_vltb1_1)-10))</f>
        <v>0</v>
      </c>
      <c r="G561" s="451">
        <f t="shared" ca="1" si="97"/>
        <v>0</v>
      </c>
      <c r="H561" s="450">
        <f t="shared" si="98"/>
        <v>2</v>
      </c>
      <c r="I561" s="447">
        <f t="shared" ca="1" si="99"/>
        <v>0</v>
      </c>
      <c r="J561" s="447">
        <f t="shared" ca="1" si="100"/>
        <v>0</v>
      </c>
      <c r="K561" s="373">
        <f t="shared" ca="1" si="96"/>
        <v>0</v>
      </c>
    </row>
    <row r="562" spans="1:11" s="45" customFormat="1" ht="15.75" hidden="1">
      <c r="A562" s="373" t="str">
        <f>IF(AND(COUNTIF($A$5:$A$133,R_DG!A436)=0,R_DG!R436&gt;0,ISNUMBER(R_DG!R436)),R_DG!A436,"NONE")</f>
        <v>CD682</v>
      </c>
      <c r="B562" s="85">
        <f ca="1">IF(K562&gt;0,COUNTIF(K$6:K562,"&gt;0"),B561)</f>
        <v>30</v>
      </c>
      <c r="C562" s="1084" t="str">
        <f t="shared" si="101"/>
        <v>Cổ dê 6,82kg</v>
      </c>
      <c r="D562" s="85" t="str">
        <f t="shared" si="102"/>
        <v>bộ</v>
      </c>
      <c r="E562" s="448">
        <f ca="1">SUMIF(OFFSET(tongctvtdd1,0,-(COLUMN(E562)+7-(COLUMN(E562)-5)/2)),KLVT!$A562,tongctvtdd1)+SUMIF(OFFSET(tongctvtpk1,0,-(COLUMN(E562)+7-(COLUMN(E562)-5)/2)),KLVT!$A562,tongctvtpk1)</f>
        <v>0</v>
      </c>
      <c r="F562" s="449">
        <f ca="1">SUMIF(OFFSET(cttba_vlvt1_1,0,-9,-ROW(cttba_vlvt1_1)+ROW(cttba_vltb1_1)-10),KLVT!$A562,OFFSET(cttba_vlvt1_1,0,-4,-ROW(cttba_vlvt1_1)+ROW(cttba_vltb1_1)-10))</f>
        <v>0</v>
      </c>
      <c r="G562" s="451">
        <f t="shared" ca="1" si="97"/>
        <v>0</v>
      </c>
      <c r="H562" s="450">
        <f t="shared" si="98"/>
        <v>2</v>
      </c>
      <c r="I562" s="447">
        <f t="shared" ca="1" si="99"/>
        <v>0</v>
      </c>
      <c r="J562" s="447">
        <f t="shared" ca="1" si="100"/>
        <v>0</v>
      </c>
      <c r="K562" s="373">
        <f t="shared" ca="1" si="96"/>
        <v>0</v>
      </c>
    </row>
    <row r="563" spans="1:11" s="45" customFormat="1" ht="15.75" hidden="1">
      <c r="A563" s="373" t="str">
        <f>IF(AND(COUNTIF($A$5:$A$133,R_DG!A437)=0,R_DG!R437&gt;0,ISNUMBER(R_DG!R437)),R_DG!A437,"NONE")</f>
        <v>NONE</v>
      </c>
      <c r="B563" s="85">
        <f ca="1">IF(K563&gt;0,COUNTIF(K$6:K563,"&gt;0"),B562)</f>
        <v>30</v>
      </c>
      <c r="C563" s="1084">
        <f t="shared" si="101"/>
        <v>0</v>
      </c>
      <c r="D563" s="85">
        <f t="shared" si="102"/>
        <v>0</v>
      </c>
      <c r="E563" s="448">
        <f ca="1">SUMIF(OFFSET(tongctvtdd1,0,-(COLUMN(E563)+7-(COLUMN(E563)-5)/2)),KLVT!$A563,tongctvtdd1)+SUMIF(OFFSET(tongctvtpk1,0,-(COLUMN(E563)+7-(COLUMN(E563)-5)/2)),KLVT!$A563,tongctvtpk1)</f>
        <v>0</v>
      </c>
      <c r="F563" s="449">
        <f ca="1">SUMIF(OFFSET(cttba_vlvt1_1,0,-9,-ROW(cttba_vlvt1_1)+ROW(cttba_vltb1_1)-10),KLVT!$A563,OFFSET(cttba_vlvt1_1,0,-4,-ROW(cttba_vlvt1_1)+ROW(cttba_vltb1_1)-10))</f>
        <v>0</v>
      </c>
      <c r="G563" s="451">
        <f t="shared" ca="1" si="97"/>
        <v>0</v>
      </c>
      <c r="H563" s="450">
        <f t="shared" si="98"/>
        <v>1</v>
      </c>
      <c r="I563" s="447">
        <f t="shared" ca="1" si="99"/>
        <v>0</v>
      </c>
      <c r="J563" s="447">
        <f t="shared" ca="1" si="100"/>
        <v>0</v>
      </c>
      <c r="K563" s="373">
        <f t="shared" ca="1" si="96"/>
        <v>0</v>
      </c>
    </row>
    <row r="564" spans="1:11" s="45" customFormat="1" ht="15.75" hidden="1">
      <c r="A564" s="373" t="str">
        <f>IF(AND(COUNTIF($A$5:$A$133,R_DG!A438)=0,R_DG!R438&gt;0,ISNUMBER(R_DG!R438)),R_DG!A438,"NONE")</f>
        <v>CD21</v>
      </c>
      <c r="B564" s="85">
        <f ca="1">IF(K564&gt;0,COUNTIF(K$6:K564,"&gt;0"),B563)</f>
        <v>30</v>
      </c>
      <c r="C564" s="1084" t="str">
        <f t="shared" si="101"/>
        <v>Cổ dê kẹp ống PVC φ 21</v>
      </c>
      <c r="D564" s="85" t="str">
        <f t="shared" si="102"/>
        <v>bộ</v>
      </c>
      <c r="E564" s="448">
        <f ca="1">SUMIF(OFFSET(tongctvtdd1,0,-(COLUMN(E564)+7-(COLUMN(E564)-5)/2)),KLVT!$A564,tongctvtdd1)+SUMIF(OFFSET(tongctvtpk1,0,-(COLUMN(E564)+7-(COLUMN(E564)-5)/2)),KLVT!$A564,tongctvtpk1)</f>
        <v>0</v>
      </c>
      <c r="F564" s="449">
        <f ca="1">SUMIF(OFFSET(cttba_vlvt1_1,0,-9,-ROW(cttba_vlvt1_1)+ROW(cttba_vltb1_1)-10),KLVT!$A564,OFFSET(cttba_vlvt1_1,0,-4,-ROW(cttba_vlvt1_1)+ROW(cttba_vltb1_1)-10))</f>
        <v>0</v>
      </c>
      <c r="G564" s="451">
        <f t="shared" ca="1" si="97"/>
        <v>0</v>
      </c>
      <c r="H564" s="450">
        <f t="shared" si="98"/>
        <v>2</v>
      </c>
      <c r="I564" s="447">
        <f t="shared" ca="1" si="99"/>
        <v>0</v>
      </c>
      <c r="J564" s="447">
        <f t="shared" ca="1" si="100"/>
        <v>0</v>
      </c>
      <c r="K564" s="373">
        <f t="shared" ca="1" si="96"/>
        <v>0</v>
      </c>
    </row>
    <row r="565" spans="1:11" s="45" customFormat="1" ht="15.75" hidden="1">
      <c r="A565" s="373" t="str">
        <f>IF(AND(COUNTIF($A$5:$A$133,R_DG!A439)=0,R_DG!R439&gt;0,ISNUMBER(R_DG!R439)),R_DG!A439,"NONE")</f>
        <v>CD60</v>
      </c>
      <c r="B565" s="85">
        <f ca="1">IF(K565&gt;0,COUNTIF(K$6:K565,"&gt;0"),B564)</f>
        <v>30</v>
      </c>
      <c r="C565" s="1084" t="str">
        <f t="shared" si="101"/>
        <v>Cổ dê kẹp ống PVC φ 60</v>
      </c>
      <c r="D565" s="85" t="str">
        <f t="shared" si="102"/>
        <v>kg</v>
      </c>
      <c r="E565" s="448">
        <f ca="1">SUMIF(OFFSET(tongctvtdd1,0,-(COLUMN(E565)+7-(COLUMN(E565)-5)/2)),KLVT!$A565,tongctvtdd1)+SUMIF(OFFSET(tongctvtpk1,0,-(COLUMN(E565)+7-(COLUMN(E565)-5)/2)),KLVT!$A565,tongctvtpk1)</f>
        <v>0</v>
      </c>
      <c r="F565" s="449">
        <f ca="1">SUMIF(OFFSET(cttba_vlvt1_1,0,-9,-ROW(cttba_vlvt1_1)+ROW(cttba_vltb1_1)-10),KLVT!$A565,OFFSET(cttba_vlvt1_1,0,-4,-ROW(cttba_vlvt1_1)+ROW(cttba_vltb1_1)-10))</f>
        <v>0</v>
      </c>
      <c r="G565" s="451">
        <f t="shared" ca="1" si="97"/>
        <v>0</v>
      </c>
      <c r="H565" s="450">
        <f t="shared" si="98"/>
        <v>1</v>
      </c>
      <c r="I565" s="447">
        <f t="shared" ca="1" si="99"/>
        <v>0</v>
      </c>
      <c r="J565" s="447">
        <f t="shared" ca="1" si="100"/>
        <v>0</v>
      </c>
      <c r="K565" s="373">
        <f t="shared" ca="1" si="96"/>
        <v>0</v>
      </c>
    </row>
    <row r="566" spans="1:11" s="45" customFormat="1" ht="15.75" hidden="1">
      <c r="A566" s="373" t="str">
        <f>IF(AND(COUNTIF($A$5:$A$133,R_DG!A440)=0,R_DG!R440&gt;0,ISNUMBER(R_DG!R440)),R_DG!A440,"NONE")</f>
        <v>CD90</v>
      </c>
      <c r="B566" s="85">
        <f ca="1">IF(K566&gt;0,COUNTIF(K$6:K566,"&gt;0"),B565)</f>
        <v>30</v>
      </c>
      <c r="C566" s="1084" t="str">
        <f t="shared" si="101"/>
        <v>Collier kẹp ống PVC φ 90</v>
      </c>
      <c r="D566" s="85" t="str">
        <f t="shared" si="102"/>
        <v>bộ</v>
      </c>
      <c r="E566" s="448">
        <f ca="1">SUMIF(OFFSET(tongctvtdd1,0,-(COLUMN(E566)+7-(COLUMN(E566)-5)/2)),KLVT!$A566,tongctvtdd1)+SUMIF(OFFSET(tongctvtpk1,0,-(COLUMN(E566)+7-(COLUMN(E566)-5)/2)),KLVT!$A566,tongctvtpk1)</f>
        <v>0</v>
      </c>
      <c r="F566" s="449">
        <f ca="1">SUMIF(OFFSET(cttba_vlvt1_1,0,-9,-ROW(cttba_vlvt1_1)+ROW(cttba_vltb1_1)-10),KLVT!$A566,OFFSET(cttba_vlvt1_1,0,-4,-ROW(cttba_vlvt1_1)+ROW(cttba_vltb1_1)-10))</f>
        <v>0</v>
      </c>
      <c r="G566" s="451">
        <f t="shared" ca="1" si="97"/>
        <v>0</v>
      </c>
      <c r="H566" s="450">
        <f t="shared" si="98"/>
        <v>2</v>
      </c>
      <c r="I566" s="447">
        <f t="shared" ca="1" si="99"/>
        <v>0</v>
      </c>
      <c r="J566" s="447">
        <f t="shared" ca="1" si="100"/>
        <v>0</v>
      </c>
      <c r="K566" s="374">
        <f t="shared" ca="1" si="96"/>
        <v>0</v>
      </c>
    </row>
    <row r="567" spans="1:11">
      <c r="A567" s="1251" t="str">
        <f>IF(AND(COUNTIF($A$5:$A$133,R_DG!A441)=0,R_DG!R441&gt;0,ISNUMBER(R_DG!R441)),R_DG!A441,"NONE")</f>
        <v>CD114</v>
      </c>
      <c r="B567" s="438">
        <f ca="1">IF(K567&gt;0,COUNTIF(K$6:K567,"&gt;0"),B566)</f>
        <v>31</v>
      </c>
      <c r="C567" s="1278" t="str">
        <f t="shared" si="101"/>
        <v>Collier kẹp ống PVC φ 114</v>
      </c>
      <c r="D567" s="438" t="str">
        <f t="shared" si="102"/>
        <v>bộ</v>
      </c>
      <c r="E567" s="1276">
        <f ca="1">SUMIF(OFFSET(tongctvtdd1,0,-(COLUMN(E567)+7-(COLUMN(E567)-5)/2)),KLVT!$A567,tongctvtdd1)+SUMIF(OFFSET(tongctvtpk1,0,-(COLUMN(E567)+7-(COLUMN(E567)-5)/2)),KLVT!$A567,tongctvtpk1)</f>
        <v>4</v>
      </c>
      <c r="F567" s="1277">
        <f ca="1">SUMIF(OFFSET(cttba_vlvt1_1,0,-9,-ROW(cttba_vlvt1_1)+ROW(cttba_vltb1_1)-10),KLVT!$A567,OFFSET(cttba_vlvt1_1,0,-4,-ROW(cttba_vlvt1_1)+ROW(cttba_vltb1_1)-10))</f>
        <v>0</v>
      </c>
      <c r="G567" s="1277">
        <f t="shared" ca="1" si="97"/>
        <v>4</v>
      </c>
      <c r="H567" s="1274">
        <f t="shared" si="98"/>
        <v>2</v>
      </c>
      <c r="I567" s="1279">
        <f t="shared" ca="1" si="99"/>
        <v>8</v>
      </c>
      <c r="J567" s="1279">
        <f t="shared" ca="1" si="100"/>
        <v>0</v>
      </c>
      <c r="K567" s="1268">
        <f t="shared" ca="1" si="96"/>
        <v>1</v>
      </c>
    </row>
    <row r="568" spans="1:11" s="45" customFormat="1" ht="15.75" hidden="1">
      <c r="A568" s="373" t="str">
        <f>IF(AND(COUNTIF($A$5:$A$133,R_DG!A442)=0,R_DG!R442&gt;0,ISNUMBER(R_DG!R442)),R_DG!A442,"NONE")</f>
        <v>CD140</v>
      </c>
      <c r="B568" s="85">
        <f ca="1">IF(K568&gt;0,COUNTIF(K$6:K568,"&gt;0"),B567)</f>
        <v>31</v>
      </c>
      <c r="C568" s="1084" t="str">
        <f t="shared" si="101"/>
        <v>Collier kẹp ống PVC φ 140</v>
      </c>
      <c r="D568" s="85" t="str">
        <f t="shared" si="102"/>
        <v>bộ</v>
      </c>
      <c r="E568" s="448">
        <f ca="1">SUMIF(OFFSET(tongctvtdd1,0,-(COLUMN(E568)+7-(COLUMN(E568)-5)/2)),KLVT!$A568,tongctvtdd1)+SUMIF(OFFSET(tongctvtpk1,0,-(COLUMN(E568)+7-(COLUMN(E568)-5)/2)),KLVT!$A568,tongctvtpk1)</f>
        <v>0</v>
      </c>
      <c r="F568" s="449">
        <f ca="1">SUMIF(OFFSET(cttba_vlvt1_1,0,-9,-ROW(cttba_vlvt1_1)+ROW(cttba_vltb1_1)-10),KLVT!$A568,OFFSET(cttba_vlvt1_1,0,-4,-ROW(cttba_vlvt1_1)+ROW(cttba_vltb1_1)-10))</f>
        <v>0</v>
      </c>
      <c r="G568" s="451">
        <f t="shared" ca="1" si="97"/>
        <v>0</v>
      </c>
      <c r="H568" s="450">
        <f t="shared" si="98"/>
        <v>2</v>
      </c>
      <c r="I568" s="447">
        <f t="shared" ca="1" si="99"/>
        <v>0</v>
      </c>
      <c r="J568" s="447">
        <f t="shared" ca="1" si="100"/>
        <v>0</v>
      </c>
      <c r="K568" s="373">
        <f t="shared" ca="1" si="96"/>
        <v>0</v>
      </c>
    </row>
    <row r="569" spans="1:11" s="45" customFormat="1" ht="15.75" hidden="1">
      <c r="A569" s="373" t="str">
        <f>IF(AND(COUNTIF($A$5:$A$133,R_DG!A443)=0,R_DG!R443&gt;0,ISNUMBER(R_DG!R443)),R_DG!A443,"NONE")</f>
        <v>CD140TK</v>
      </c>
      <c r="B569" s="85">
        <f ca="1">IF(K569&gt;0,COUNTIF(K$6:K569,"&gt;0"),B568)</f>
        <v>31</v>
      </c>
      <c r="C569" s="1084" t="str">
        <f t="shared" si="101"/>
        <v>Collier kẹp ống sắt φ 140</v>
      </c>
      <c r="D569" s="85" t="str">
        <f t="shared" si="102"/>
        <v>bộ</v>
      </c>
      <c r="E569" s="448">
        <f ca="1">SUMIF(OFFSET(tongctvtdd1,0,-(COLUMN(E569)+7-(COLUMN(E569)-5)/2)),KLVT!$A569,tongctvtdd1)+SUMIF(OFFSET(tongctvtpk1,0,-(COLUMN(E569)+7-(COLUMN(E569)-5)/2)),KLVT!$A569,tongctvtpk1)</f>
        <v>0</v>
      </c>
      <c r="F569" s="449">
        <f ca="1">SUMIF(OFFSET(cttba_vlvt1_1,0,-9,-ROW(cttba_vlvt1_1)+ROW(cttba_vltb1_1)-10),KLVT!$A569,OFFSET(cttba_vlvt1_1,0,-4,-ROW(cttba_vlvt1_1)+ROW(cttba_vltb1_1)-10))</f>
        <v>0</v>
      </c>
      <c r="G569" s="451">
        <f t="shared" ca="1" si="97"/>
        <v>0</v>
      </c>
      <c r="H569" s="450">
        <f t="shared" si="98"/>
        <v>2</v>
      </c>
      <c r="I569" s="447">
        <f t="shared" ca="1" si="99"/>
        <v>0</v>
      </c>
      <c r="J569" s="447">
        <f t="shared" ca="1" si="100"/>
        <v>0</v>
      </c>
      <c r="K569" s="373">
        <f t="shared" ca="1" si="96"/>
        <v>0</v>
      </c>
    </row>
    <row r="570" spans="1:11" s="45" customFormat="1" ht="15.75" hidden="1">
      <c r="A570" s="373" t="str">
        <f>IF(AND(COUNTIF($A$5:$A$133,R_DG!A444)=0,R_DG!R444&gt;0,ISNUMBER(R_DG!R444)),R_DG!A444,"NONE")</f>
        <v>CD195</v>
      </c>
      <c r="B570" s="85">
        <f ca="1">IF(K570&gt;0,COUNTIF(K$6:K570,"&gt;0"),B569)</f>
        <v>31</v>
      </c>
      <c r="C570" s="1084" t="str">
        <f t="shared" si="101"/>
        <v>Collier φ 195 nẹp trụ</v>
      </c>
      <c r="D570" s="85" t="str">
        <f t="shared" si="102"/>
        <v>Kg</v>
      </c>
      <c r="E570" s="448">
        <f ca="1">SUMIF(OFFSET(tongctvtdd1,0,-(COLUMN(E570)+7-(COLUMN(E570)-5)/2)),KLVT!$A570,tongctvtdd1)+SUMIF(OFFSET(tongctvtpk1,0,-(COLUMN(E570)+7-(COLUMN(E570)-5)/2)),KLVT!$A570,tongctvtpk1)</f>
        <v>0</v>
      </c>
      <c r="F570" s="449">
        <f ca="1">SUMIF(OFFSET(cttba_vlvt1_1,0,-9,-ROW(cttba_vlvt1_1)+ROW(cttba_vltb1_1)-10),KLVT!$A570,OFFSET(cttba_vlvt1_1,0,-4,-ROW(cttba_vlvt1_1)+ROW(cttba_vltb1_1)-10))</f>
        <v>0</v>
      </c>
      <c r="G570" s="451">
        <f t="shared" ca="1" si="97"/>
        <v>0</v>
      </c>
      <c r="H570" s="450">
        <f t="shared" si="98"/>
        <v>1</v>
      </c>
      <c r="I570" s="447">
        <f t="shared" ca="1" si="99"/>
        <v>0</v>
      </c>
      <c r="J570" s="447">
        <f t="shared" ca="1" si="100"/>
        <v>0</v>
      </c>
      <c r="K570" s="374">
        <f t="shared" ca="1" si="96"/>
        <v>0</v>
      </c>
    </row>
    <row r="571" spans="1:11" s="45" customFormat="1" ht="15.75" hidden="1">
      <c r="A571" s="373" t="str">
        <f>IF(AND(COUNTIF($A$5:$A$133,R_DG!A445)=0,R_DG!R445&gt;0,ISNUMBER(R_DG!R445)),R_DG!A445,"NONE")</f>
        <v>CD207</v>
      </c>
      <c r="B571" s="85">
        <f ca="1">IF(K571&gt;0,COUNTIF(K$6:K571,"&gt;0"),B570)</f>
        <v>31</v>
      </c>
      <c r="C571" s="1084" t="str">
        <f t="shared" si="101"/>
        <v>Collier φ 207 nẹp trụ</v>
      </c>
      <c r="D571" s="85" t="str">
        <f t="shared" si="102"/>
        <v>Kg</v>
      </c>
      <c r="E571" s="448">
        <f ca="1">SUMIF(OFFSET(tongctvtdd1,0,-(COLUMN(E571)+7-(COLUMN(E571)-5)/2)),KLVT!$A571,tongctvtdd1)+SUMIF(OFFSET(tongctvtpk1,0,-(COLUMN(E571)+7-(COLUMN(E571)-5)/2)),KLVT!$A571,tongctvtpk1)</f>
        <v>0</v>
      </c>
      <c r="F571" s="449">
        <f ca="1">SUMIF(OFFSET(cttba_vlvt1_1,0,-9,-ROW(cttba_vlvt1_1)+ROW(cttba_vltb1_1)-10),KLVT!$A571,OFFSET(cttba_vlvt1_1,0,-4,-ROW(cttba_vlvt1_1)+ROW(cttba_vltb1_1)-10))</f>
        <v>0</v>
      </c>
      <c r="G571" s="451">
        <f t="shared" ca="1" si="97"/>
        <v>0</v>
      </c>
      <c r="H571" s="450">
        <f t="shared" si="98"/>
        <v>1</v>
      </c>
      <c r="I571" s="447">
        <f t="shared" ca="1" si="99"/>
        <v>0</v>
      </c>
      <c r="J571" s="447">
        <f t="shared" ca="1" si="100"/>
        <v>0</v>
      </c>
      <c r="K571" s="373">
        <f t="shared" ca="1" si="96"/>
        <v>0</v>
      </c>
    </row>
    <row r="572" spans="1:11" s="45" customFormat="1" ht="15.75" hidden="1">
      <c r="A572" s="373" t="str">
        <f>IF(AND(COUNTIF($A$5:$A$133,R_DG!A446)=0,R_DG!R446&gt;0,ISNUMBER(R_DG!R446)),R_DG!A446,"NONE")</f>
        <v>CD220</v>
      </c>
      <c r="B572" s="85">
        <f ca="1">IF(K572&gt;0,COUNTIF(K$6:K572,"&gt;0"),B571)</f>
        <v>31</v>
      </c>
      <c r="C572" s="1084" t="str">
        <f t="shared" si="101"/>
        <v>Collier φ 220 nẹp trụ</v>
      </c>
      <c r="D572" s="85" t="str">
        <f t="shared" si="102"/>
        <v>Kg</v>
      </c>
      <c r="E572" s="448">
        <f ca="1">SUMIF(OFFSET(tongctvtdd1,0,-(COLUMN(E572)+7-(COLUMN(E572)-5)/2)),KLVT!$A572,tongctvtdd1)+SUMIF(OFFSET(tongctvtpk1,0,-(COLUMN(E572)+7-(COLUMN(E572)-5)/2)),KLVT!$A572,tongctvtpk1)</f>
        <v>0</v>
      </c>
      <c r="F572" s="449">
        <f ca="1">SUMIF(OFFSET(cttba_vlvt1_1,0,-9,-ROW(cttba_vlvt1_1)+ROW(cttba_vltb1_1)-10),KLVT!$A572,OFFSET(cttba_vlvt1_1,0,-4,-ROW(cttba_vlvt1_1)+ROW(cttba_vltb1_1)-10))</f>
        <v>0</v>
      </c>
      <c r="G572" s="451">
        <f t="shared" ca="1" si="97"/>
        <v>0</v>
      </c>
      <c r="H572" s="450">
        <f t="shared" si="98"/>
        <v>1</v>
      </c>
      <c r="I572" s="447">
        <f t="shared" ca="1" si="99"/>
        <v>0</v>
      </c>
      <c r="J572" s="447">
        <f t="shared" ca="1" si="100"/>
        <v>0</v>
      </c>
      <c r="K572" s="373">
        <f t="shared" ca="1" si="96"/>
        <v>0</v>
      </c>
    </row>
    <row r="573" spans="1:11" s="45" customFormat="1" ht="15.75" hidden="1">
      <c r="A573" s="373" t="str">
        <f>IF(AND(COUNTIF($A$5:$A$133,R_DG!A447)=0,R_DG!R447&gt;0,ISNUMBER(R_DG!R447)),R_DG!A447,"NONE")</f>
        <v>CD240</v>
      </c>
      <c r="B573" s="85">
        <f ca="1">IF(K573&gt;0,COUNTIF(K$6:K573,"&gt;0"),B572)</f>
        <v>31</v>
      </c>
      <c r="C573" s="1084" t="str">
        <f t="shared" si="101"/>
        <v>Collier φ 240-Fe 8x100</v>
      </c>
      <c r="D573" s="85" t="str">
        <f t="shared" si="102"/>
        <v>Kg</v>
      </c>
      <c r="E573" s="448">
        <f ca="1">SUMIF(OFFSET(tongctvtdd1,0,-(COLUMN(E573)+7-(COLUMN(E573)-5)/2)),KLVT!$A573,tongctvtdd1)+SUMIF(OFFSET(tongctvtpk1,0,-(COLUMN(E573)+7-(COLUMN(E573)-5)/2)),KLVT!$A573,tongctvtpk1)</f>
        <v>0</v>
      </c>
      <c r="F573" s="449">
        <f ca="1">SUMIF(OFFSET(cttba_vlvt1_1,0,-9,-ROW(cttba_vlvt1_1)+ROW(cttba_vltb1_1)-10),KLVT!$A573,OFFSET(cttba_vlvt1_1,0,-4,-ROW(cttba_vlvt1_1)+ROW(cttba_vltb1_1)-10))</f>
        <v>0</v>
      </c>
      <c r="G573" s="451">
        <f t="shared" ca="1" si="97"/>
        <v>0</v>
      </c>
      <c r="H573" s="450">
        <f t="shared" si="98"/>
        <v>1</v>
      </c>
      <c r="I573" s="447">
        <f t="shared" ca="1" si="99"/>
        <v>0</v>
      </c>
      <c r="J573" s="447">
        <f t="shared" ca="1" si="100"/>
        <v>0</v>
      </c>
      <c r="K573" s="374">
        <f t="shared" ca="1" si="96"/>
        <v>0</v>
      </c>
    </row>
    <row r="574" spans="1:11" s="45" customFormat="1" ht="15.75" hidden="1">
      <c r="A574" s="373" t="str">
        <f>IF(AND(COUNTIF($A$5:$A$133,R_DG!A448)=0,R_DG!R448&gt;0,ISNUMBER(R_DG!R448)),R_DG!A448,"NONE")</f>
        <v>CD250</v>
      </c>
      <c r="B574" s="85">
        <f ca="1">IF(K574&gt;0,COUNTIF(K$6:K574,"&gt;0"),B573)</f>
        <v>31</v>
      </c>
      <c r="C574" s="1084" t="str">
        <f t="shared" si="101"/>
        <v>Collier φ 250-Fe 8x100</v>
      </c>
      <c r="D574" s="85" t="str">
        <f t="shared" si="102"/>
        <v>Kg</v>
      </c>
      <c r="E574" s="448">
        <f ca="1">SUMIF(OFFSET(tongctvtdd1,0,-(COLUMN(E574)+7-(COLUMN(E574)-5)/2)),KLVT!$A574,tongctvtdd1)+SUMIF(OFFSET(tongctvtpk1,0,-(COLUMN(E574)+7-(COLUMN(E574)-5)/2)),KLVT!$A574,tongctvtpk1)</f>
        <v>0</v>
      </c>
      <c r="F574" s="449">
        <f ca="1">SUMIF(OFFSET(cttba_vlvt1_1,0,-9,-ROW(cttba_vlvt1_1)+ROW(cttba_vltb1_1)-10),KLVT!$A574,OFFSET(cttba_vlvt1_1,0,-4,-ROW(cttba_vlvt1_1)+ROW(cttba_vltb1_1)-10))</f>
        <v>0</v>
      </c>
      <c r="G574" s="451">
        <f t="shared" ca="1" si="97"/>
        <v>0</v>
      </c>
      <c r="H574" s="450">
        <f t="shared" si="98"/>
        <v>1</v>
      </c>
      <c r="I574" s="447">
        <f t="shared" ca="1" si="99"/>
        <v>0</v>
      </c>
      <c r="J574" s="447">
        <f t="shared" ca="1" si="100"/>
        <v>0</v>
      </c>
      <c r="K574" s="373">
        <f t="shared" ca="1" si="96"/>
        <v>0</v>
      </c>
    </row>
    <row r="575" spans="1:11" s="45" customFormat="1" ht="15.75" hidden="1">
      <c r="A575" s="373" t="str">
        <f>IF(AND(COUNTIF($A$5:$A$133,R_DG!A449)=0,R_DG!R449&gt;0,ISNUMBER(R_DG!R449)),R_DG!A449,"NONE")</f>
        <v>CD320</v>
      </c>
      <c r="B575" s="85">
        <f ca="1">IF(K575&gt;0,COUNTIF(K$6:K575,"&gt;0"),B574)</f>
        <v>31</v>
      </c>
      <c r="C575" s="1084" t="str">
        <f t="shared" si="101"/>
        <v>Collier CDĐKĐT( bắt thùng điện kế)</v>
      </c>
      <c r="D575" s="85" t="str">
        <f t="shared" si="102"/>
        <v>cái</v>
      </c>
      <c r="E575" s="448">
        <f ca="1">SUMIF(OFFSET(tongctvtdd1,0,-(COLUMN(E575)+7-(COLUMN(E575)-5)/2)),KLVT!$A575,tongctvtdd1)+SUMIF(OFFSET(tongctvtpk1,0,-(COLUMN(E575)+7-(COLUMN(E575)-5)/2)),KLVT!$A575,tongctvtpk1)</f>
        <v>0</v>
      </c>
      <c r="F575" s="449">
        <f ca="1">SUMIF(OFFSET(cttba_vlvt1_1,0,-9,-ROW(cttba_vlvt1_1)+ROW(cttba_vltb1_1)-10),KLVT!$A575,OFFSET(cttba_vlvt1_1,0,-4,-ROW(cttba_vlvt1_1)+ROW(cttba_vltb1_1)-10))</f>
        <v>0</v>
      </c>
      <c r="G575" s="451">
        <f t="shared" ca="1" si="97"/>
        <v>0</v>
      </c>
      <c r="H575" s="450">
        <f t="shared" si="98"/>
        <v>1</v>
      </c>
      <c r="I575" s="447">
        <f t="shared" ca="1" si="99"/>
        <v>0</v>
      </c>
      <c r="J575" s="447">
        <f t="shared" ca="1" si="100"/>
        <v>0</v>
      </c>
      <c r="K575" s="374">
        <f t="shared" ref="K575:K638" ca="1" si="103">IF(G575&gt;0,1,0)</f>
        <v>0</v>
      </c>
    </row>
    <row r="576" spans="1:11" s="45" customFormat="1" ht="15.75" hidden="1">
      <c r="A576" s="373" t="str">
        <f>IF(AND(COUNTIF($A$5:$A$133,R_DG!A450)=0,R_DG!R450&gt;0,ISNUMBER(R_DG!R450)),R_DG!A450,"NONE")</f>
        <v>CDTRUDOI</v>
      </c>
      <c r="B576" s="85">
        <f ca="1">IF(K576&gt;0,COUNTIF(K$6:K576,"&gt;0"),B575)</f>
        <v>31</v>
      </c>
      <c r="C576" s="1084" t="str">
        <f t="shared" si="101"/>
        <v>Collier trụ đôi bắt sứ treo</v>
      </c>
      <c r="D576" s="85" t="str">
        <f t="shared" si="102"/>
        <v>Kg</v>
      </c>
      <c r="E576" s="448">
        <f ca="1">SUMIF(OFFSET(tongctvtdd1,0,-(COLUMN(E576)+7-(COLUMN(E576)-5)/2)),KLVT!$A576,tongctvtdd1)+SUMIF(OFFSET(tongctvtpk1,0,-(COLUMN(E576)+7-(COLUMN(E576)-5)/2)),KLVT!$A576,tongctvtpk1)</f>
        <v>0</v>
      </c>
      <c r="F576" s="449">
        <f ca="1">SUMIF(OFFSET(cttba_vlvt1_1,0,-9,-ROW(cttba_vlvt1_1)+ROW(cttba_vltb1_1)-10),KLVT!$A576,OFFSET(cttba_vlvt1_1,0,-4,-ROW(cttba_vlvt1_1)+ROW(cttba_vltb1_1)-10))</f>
        <v>0</v>
      </c>
      <c r="G576" s="451">
        <f t="shared" ca="1" si="97"/>
        <v>0</v>
      </c>
      <c r="H576" s="450">
        <f t="shared" si="98"/>
        <v>1</v>
      </c>
      <c r="I576" s="447">
        <f t="shared" ca="1" si="99"/>
        <v>0</v>
      </c>
      <c r="J576" s="447">
        <f t="shared" ca="1" si="100"/>
        <v>0</v>
      </c>
      <c r="K576" s="373">
        <f t="shared" ca="1" si="103"/>
        <v>0</v>
      </c>
    </row>
    <row r="577" spans="1:11" s="45" customFormat="1" ht="15.75" hidden="1">
      <c r="A577" s="373" t="str">
        <f>IF(AND(COUNTIF($A$5:$A$133,R_DG!A451)=0,R_DG!R451&gt;0,ISNUMBER(R_DG!R451)),R_DG!A451,"NONE")</f>
        <v>CDTRUDOIHT</v>
      </c>
      <c r="B577" s="85">
        <f ca="1">IF(K577&gt;0,COUNTIF(K$6:K577,"&gt;0"),B576)</f>
        <v>31</v>
      </c>
      <c r="C577" s="1084" t="str">
        <f t="shared" si="101"/>
        <v xml:space="preserve">Collier trụ đôi 8,4m bắt móc dừng </v>
      </c>
      <c r="D577" s="85" t="str">
        <f t="shared" si="102"/>
        <v>Kg</v>
      </c>
      <c r="E577" s="448">
        <f ca="1">SUMIF(OFFSET(tongctvtdd1,0,-(COLUMN(E577)+7-(COLUMN(E577)-5)/2)),KLVT!$A577,tongctvtdd1)+SUMIF(OFFSET(tongctvtpk1,0,-(COLUMN(E577)+7-(COLUMN(E577)-5)/2)),KLVT!$A577,tongctvtpk1)</f>
        <v>0</v>
      </c>
      <c r="F577" s="449">
        <f ca="1">SUMIF(OFFSET(cttba_vlvt1_1,0,-9,-ROW(cttba_vlvt1_1)+ROW(cttba_vltb1_1)-10),KLVT!$A577,OFFSET(cttba_vlvt1_1,0,-4,-ROW(cttba_vlvt1_1)+ROW(cttba_vltb1_1)-10))</f>
        <v>0</v>
      </c>
      <c r="G577" s="451">
        <f t="shared" ca="1" si="97"/>
        <v>0</v>
      </c>
      <c r="H577" s="450">
        <f t="shared" si="98"/>
        <v>1</v>
      </c>
      <c r="I577" s="447">
        <f t="shared" ca="1" si="99"/>
        <v>0</v>
      </c>
      <c r="J577" s="447">
        <f t="shared" ca="1" si="100"/>
        <v>0</v>
      </c>
      <c r="K577" s="373">
        <f t="shared" ca="1" si="103"/>
        <v>0</v>
      </c>
    </row>
    <row r="578" spans="1:11" s="45" customFormat="1" ht="15.75" hidden="1">
      <c r="A578" s="373" t="str">
        <f>IF(AND(COUNTIF($A$5:$A$133,R_DG!A452)=0,R_DG!R452&gt;0,ISNUMBER(R_DG!R452)),R_DG!A452,"NONE")</f>
        <v>CDEDAUCAP</v>
      </c>
      <c r="B578" s="85">
        <f ca="1">IF(K578&gt;0,COUNTIF(K$6:K578,"&gt;0"),B577)</f>
        <v>31</v>
      </c>
      <c r="C578" s="1084" t="str">
        <f t="shared" si="101"/>
        <v xml:space="preserve">Collier giữ dầu cáp+Bulon </v>
      </c>
      <c r="D578" s="85" t="str">
        <f t="shared" si="102"/>
        <v>Kg</v>
      </c>
      <c r="E578" s="448">
        <f ca="1">SUMIF(OFFSET(tongctvtdd1,0,-(COLUMN(E578)+7-(COLUMN(E578)-5)/2)),KLVT!$A578,tongctvtdd1)+SUMIF(OFFSET(tongctvtpk1,0,-(COLUMN(E578)+7-(COLUMN(E578)-5)/2)),KLVT!$A578,tongctvtpk1)</f>
        <v>0</v>
      </c>
      <c r="F578" s="449">
        <f ca="1">SUMIF(OFFSET(cttba_vlvt1_1,0,-9,-ROW(cttba_vlvt1_1)+ROW(cttba_vltb1_1)-10),KLVT!$A578,OFFSET(cttba_vlvt1_1,0,-4,-ROW(cttba_vlvt1_1)+ROW(cttba_vltb1_1)-10))</f>
        <v>0</v>
      </c>
      <c r="G578" s="451">
        <f t="shared" ca="1" si="97"/>
        <v>0</v>
      </c>
      <c r="H578" s="450">
        <f t="shared" si="98"/>
        <v>1</v>
      </c>
      <c r="I578" s="447">
        <f t="shared" ca="1" si="99"/>
        <v>0</v>
      </c>
      <c r="J578" s="447">
        <f t="shared" ca="1" si="100"/>
        <v>0</v>
      </c>
      <c r="K578" s="373">
        <f t="shared" ca="1" si="103"/>
        <v>0</v>
      </c>
    </row>
    <row r="579" spans="1:11" s="45" customFormat="1" ht="15.75" hidden="1">
      <c r="A579" s="373" t="str">
        <f>IF(AND(COUNTIF($A$5:$A$133,R_DG!A453)=0,R_DG!R453&gt;0,ISNUMBER(R_DG!R453)),R_DG!A453,"NONE")</f>
        <v>CDTRUDOI140</v>
      </c>
      <c r="B579" s="85">
        <f ca="1">IF(K579&gt;0,COUNTIF(K$6:K579,"&gt;0"),B578)</f>
        <v>31</v>
      </c>
      <c r="C579" s="1084" t="str">
        <f t="shared" si="101"/>
        <v xml:space="preserve">Collier giữ ống D140 vào trụ đôi + Bulon </v>
      </c>
      <c r="D579" s="85" t="str">
        <f t="shared" si="102"/>
        <v>Kg</v>
      </c>
      <c r="E579" s="448">
        <f ca="1">SUMIF(OFFSET(tongctvtdd1,0,-(COLUMN(E579)+7-(COLUMN(E579)-5)/2)),KLVT!$A579,tongctvtdd1)+SUMIF(OFFSET(tongctvtpk1,0,-(COLUMN(E579)+7-(COLUMN(E579)-5)/2)),KLVT!$A579,tongctvtpk1)</f>
        <v>0</v>
      </c>
      <c r="F579" s="449">
        <f ca="1">SUMIF(OFFSET(cttba_vlvt1_1,0,-9,-ROW(cttba_vlvt1_1)+ROW(cttba_vltb1_1)-10),KLVT!$A579,OFFSET(cttba_vlvt1_1,0,-4,-ROW(cttba_vlvt1_1)+ROW(cttba_vltb1_1)-10))</f>
        <v>0</v>
      </c>
      <c r="G579" s="451">
        <f t="shared" ca="1" si="97"/>
        <v>0</v>
      </c>
      <c r="H579" s="450">
        <f t="shared" si="98"/>
        <v>1</v>
      </c>
      <c r="I579" s="447">
        <f t="shared" ca="1" si="99"/>
        <v>0</v>
      </c>
      <c r="J579" s="447">
        <f t="shared" ca="1" si="100"/>
        <v>0</v>
      </c>
      <c r="K579" s="373">
        <f t="shared" ca="1" si="103"/>
        <v>0</v>
      </c>
    </row>
    <row r="580" spans="1:11" s="45" customFormat="1" ht="15.75" hidden="1">
      <c r="A580" s="373" t="str">
        <f>IF(AND(COUNTIF($A$5:$A$133,R_DG!A454)=0,R_DG!R454&gt;0,ISNUMBER(R_DG!R454)),R_DG!A454,"NONE")</f>
        <v>CDTRU140</v>
      </c>
      <c r="B580" s="85">
        <f ca="1">IF(K580&gt;0,COUNTIF(K$6:K580,"&gt;0"),B579)</f>
        <v>31</v>
      </c>
      <c r="C580" s="1084" t="str">
        <f t="shared" si="101"/>
        <v xml:space="preserve">Collier giữ ống D140 vào trụ + Bulon </v>
      </c>
      <c r="D580" s="85" t="str">
        <f t="shared" si="102"/>
        <v>Kg</v>
      </c>
      <c r="E580" s="448">
        <f ca="1">SUMIF(OFFSET(tongctvtdd1,0,-(COLUMN(E580)+7-(COLUMN(E580)-5)/2)),KLVT!$A580,tongctvtdd1)+SUMIF(OFFSET(tongctvtpk1,0,-(COLUMN(E580)+7-(COLUMN(E580)-5)/2)),KLVT!$A580,tongctvtpk1)</f>
        <v>0</v>
      </c>
      <c r="F580" s="449">
        <f ca="1">SUMIF(OFFSET(cttba_vlvt1_1,0,-9,-ROW(cttba_vlvt1_1)+ROW(cttba_vltb1_1)-10),KLVT!$A580,OFFSET(cttba_vlvt1_1,0,-4,-ROW(cttba_vlvt1_1)+ROW(cttba_vltb1_1)-10))</f>
        <v>0</v>
      </c>
      <c r="G580" s="451">
        <f t="shared" ca="1" si="97"/>
        <v>0</v>
      </c>
      <c r="H580" s="450">
        <f t="shared" si="98"/>
        <v>1</v>
      </c>
      <c r="I580" s="447">
        <f t="shared" ca="1" si="99"/>
        <v>0</v>
      </c>
      <c r="J580" s="447">
        <f t="shared" ca="1" si="100"/>
        <v>0</v>
      </c>
      <c r="K580" s="373">
        <f t="shared" ca="1" si="103"/>
        <v>0</v>
      </c>
    </row>
    <row r="581" spans="1:11" s="45" customFormat="1" ht="15.75" hidden="1">
      <c r="A581" s="373" t="str">
        <f>IF(AND(COUNTIF($A$5:$A$133,R_DG!A455)=0,R_DG!R455&gt;0,ISNUMBER(R_DG!R455)),R_DG!A455,"NONE")</f>
        <v>CDEOPTRU</v>
      </c>
      <c r="B581" s="85">
        <f ca="1">IF(K581&gt;0,COUNTIF(K$6:K581,"&gt;0"),B580)</f>
        <v>31</v>
      </c>
      <c r="C581" s="1084" t="str">
        <f t="shared" si="101"/>
        <v xml:space="preserve">Collier giữ ống PVC D168+Bulon </v>
      </c>
      <c r="D581" s="85" t="str">
        <f t="shared" si="102"/>
        <v>Kg</v>
      </c>
      <c r="E581" s="448">
        <f ca="1">SUMIF(OFFSET(tongctvtdd1,0,-(COLUMN(E581)+7-(COLUMN(E581)-5)/2)),KLVT!$A581,tongctvtdd1)+SUMIF(OFFSET(tongctvtpk1,0,-(COLUMN(E581)+7-(COLUMN(E581)-5)/2)),KLVT!$A581,tongctvtpk1)</f>
        <v>0</v>
      </c>
      <c r="F581" s="449">
        <f ca="1">SUMIF(OFFSET(cttba_vlvt1_1,0,-9,-ROW(cttba_vlvt1_1)+ROW(cttba_vltb1_1)-10),KLVT!$A581,OFFSET(cttba_vlvt1_1,0,-4,-ROW(cttba_vlvt1_1)+ROW(cttba_vltb1_1)-10))</f>
        <v>0</v>
      </c>
      <c r="G581" s="451">
        <f t="shared" ca="1" si="97"/>
        <v>0</v>
      </c>
      <c r="H581" s="450">
        <f t="shared" si="98"/>
        <v>1</v>
      </c>
      <c r="I581" s="447">
        <f t="shared" ca="1" si="99"/>
        <v>0</v>
      </c>
      <c r="J581" s="447">
        <f t="shared" ca="1" si="100"/>
        <v>0</v>
      </c>
      <c r="K581" s="374">
        <f t="shared" ca="1" si="103"/>
        <v>0</v>
      </c>
    </row>
    <row r="582" spans="1:11" s="45" customFormat="1" ht="15.75" hidden="1">
      <c r="A582" s="373" t="str">
        <f>IF(AND(COUNTIF($A$5:$A$133,R_DG!A456)=0,R_DG!R456&gt;0,ISNUMBER(R_DG!R456)),R_DG!A456,"NONE")</f>
        <v>CD BẮT XÀ</v>
      </c>
      <c r="B582" s="85">
        <f ca="1">IF(K582&gt;0,COUNTIF(K$6:K582,"&gt;0"),B581)</f>
        <v>31</v>
      </c>
      <c r="C582" s="1084" t="str">
        <f t="shared" si="101"/>
        <v>Cổ dê bắt xà + bulon</v>
      </c>
      <c r="D582" s="85" t="str">
        <f t="shared" si="102"/>
        <v>Kg</v>
      </c>
      <c r="E582" s="448">
        <f ca="1">SUMIF(OFFSET(tongctvtdd1,0,-(COLUMN(E582)+7-(COLUMN(E582)-5)/2)),KLVT!$A582,tongctvtdd1)+SUMIF(OFFSET(tongctvtpk1,0,-(COLUMN(E582)+7-(COLUMN(E582)-5)/2)),KLVT!$A582,tongctvtpk1)</f>
        <v>0</v>
      </c>
      <c r="F582" s="449">
        <f ca="1">SUMIF(OFFSET(cttba_vlvt1_1,0,-9,-ROW(cttba_vlvt1_1)+ROW(cttba_vltb1_1)-10),KLVT!$A582,OFFSET(cttba_vlvt1_1,0,-4,-ROW(cttba_vlvt1_1)+ROW(cttba_vltb1_1)-10))</f>
        <v>0</v>
      </c>
      <c r="G582" s="451">
        <f t="shared" ref="G582:G645" ca="1" si="104">SUM(E582:F582)</f>
        <v>0</v>
      </c>
      <c r="H582" s="450">
        <f t="shared" ref="H582:H645" si="105">VLOOKUP(A582,DONGIA,18,0)</f>
        <v>1</v>
      </c>
      <c r="I582" s="447">
        <f t="shared" ref="I582:I645" ca="1" si="106">E582*$H582</f>
        <v>0</v>
      </c>
      <c r="J582" s="447">
        <f t="shared" ref="J582:J645" ca="1" si="107">F582*$H582</f>
        <v>0</v>
      </c>
      <c r="K582" s="374">
        <f t="shared" ca="1" si="103"/>
        <v>0</v>
      </c>
    </row>
    <row r="583" spans="1:11" s="45" customFormat="1" ht="15.75" hidden="1">
      <c r="A583" s="373" t="str">
        <f>IF(AND(COUNTIF($A$5:$A$133,R_DG!A457)=0,R_DG!R457&gt;0,ISNUMBER(R_DG!R457)),R_DG!A457,"NONE")</f>
        <v>CD30X3</v>
      </c>
      <c r="B583" s="85">
        <f ca="1">IF(K583&gt;0,COUNTIF(K$6:K583,"&gt;0"),B582)</f>
        <v>31</v>
      </c>
      <c r="C583" s="1084" t="str">
        <f t="shared" si="101"/>
        <v>Côllier 30x3 (290-320)</v>
      </c>
      <c r="D583" s="85" t="str">
        <f t="shared" si="102"/>
        <v>Kg</v>
      </c>
      <c r="E583" s="448">
        <f ca="1">SUMIF(OFFSET(tongctvtdd1,0,-(COLUMN(E583)+7-(COLUMN(E583)-5)/2)),KLVT!$A583,tongctvtdd1)+SUMIF(OFFSET(tongctvtpk1,0,-(COLUMN(E583)+7-(COLUMN(E583)-5)/2)),KLVT!$A583,tongctvtpk1)</f>
        <v>0</v>
      </c>
      <c r="F583" s="449">
        <f ca="1">SUMIF(OFFSET(cttba_vlvt1_1,0,-9,-ROW(cttba_vlvt1_1)+ROW(cttba_vltb1_1)-10),KLVT!$A583,OFFSET(cttba_vlvt1_1,0,-4,-ROW(cttba_vlvt1_1)+ROW(cttba_vltb1_1)-10))</f>
        <v>0</v>
      </c>
      <c r="G583" s="451">
        <f t="shared" ca="1" si="104"/>
        <v>0</v>
      </c>
      <c r="H583" s="450">
        <f t="shared" si="105"/>
        <v>1</v>
      </c>
      <c r="I583" s="447">
        <f t="shared" ca="1" si="106"/>
        <v>0</v>
      </c>
      <c r="J583" s="447">
        <f t="shared" ca="1" si="107"/>
        <v>0</v>
      </c>
      <c r="K583" s="374">
        <f t="shared" ca="1" si="103"/>
        <v>0</v>
      </c>
    </row>
    <row r="584" spans="1:11" s="45" customFormat="1" ht="15.75" hidden="1">
      <c r="A584" s="373" t="str">
        <f>IF(AND(COUNTIF($A$5:$A$133,R_DG!A458)=0,R_DG!R458&gt;0,ISNUMBER(R_DG!R458)),R_DG!A458,"NONE")</f>
        <v>CD25X2</v>
      </c>
      <c r="B584" s="85">
        <f ca="1">IF(K584&gt;0,COUNTIF(K$6:K584,"&gt;0"),B583)</f>
        <v>31</v>
      </c>
      <c r="C584" s="1084" t="str">
        <f t="shared" si="101"/>
        <v>Côllier 25x2</v>
      </c>
      <c r="D584" s="85" t="str">
        <f t="shared" si="102"/>
        <v>Kg</v>
      </c>
      <c r="E584" s="448">
        <f ca="1">SUMIF(OFFSET(tongctvtdd1,0,-(COLUMN(E584)+7-(COLUMN(E584)-5)/2)),KLVT!$A584,tongctvtdd1)+SUMIF(OFFSET(tongctvtpk1,0,-(COLUMN(E584)+7-(COLUMN(E584)-5)/2)),KLVT!$A584,tongctvtpk1)</f>
        <v>0</v>
      </c>
      <c r="F584" s="449">
        <f ca="1">SUMIF(OFFSET(cttba_vlvt1_1,0,-9,-ROW(cttba_vlvt1_1)+ROW(cttba_vltb1_1)-10),KLVT!$A584,OFFSET(cttba_vlvt1_1,0,-4,-ROW(cttba_vlvt1_1)+ROW(cttba_vltb1_1)-10))</f>
        <v>0</v>
      </c>
      <c r="G584" s="451">
        <f t="shared" ca="1" si="104"/>
        <v>0</v>
      </c>
      <c r="H584" s="450">
        <f t="shared" si="105"/>
        <v>1</v>
      </c>
      <c r="I584" s="447">
        <f t="shared" ca="1" si="106"/>
        <v>0</v>
      </c>
      <c r="J584" s="447">
        <f t="shared" ca="1" si="107"/>
        <v>0</v>
      </c>
      <c r="K584" s="373">
        <f t="shared" ca="1" si="103"/>
        <v>0</v>
      </c>
    </row>
    <row r="585" spans="1:11" s="45" customFormat="1" ht="15.75" hidden="1">
      <c r="A585" s="373" t="str">
        <f>IF(AND(COUNTIF($A$5:$A$133,R_DG!A459)=0,R_DG!R459&gt;0,ISNUMBER(R_DG!R459)),R_DG!A459,"NONE")</f>
        <v>CD21T</v>
      </c>
      <c r="B585" s="85">
        <f ca="1">IF(K585&gt;0,COUNTIF(K$6:K585,"&gt;0"),B584)</f>
        <v>31</v>
      </c>
      <c r="C585" s="1084" t="str">
        <f t="shared" si="101"/>
        <v>Collier giữ ống PVC φ 21 vào tường + Bulon + long đền + tắc kê sắt</v>
      </c>
      <c r="D585" s="85" t="str">
        <f t="shared" si="102"/>
        <v>Kg</v>
      </c>
      <c r="E585" s="448">
        <f ca="1">SUMIF(OFFSET(tongctvtdd1,0,-(COLUMN(E585)+7-(COLUMN(E585)-5)/2)),KLVT!$A585,tongctvtdd1)+SUMIF(OFFSET(tongctvtpk1,0,-(COLUMN(E585)+7-(COLUMN(E585)-5)/2)),KLVT!$A585,tongctvtpk1)</f>
        <v>0</v>
      </c>
      <c r="F585" s="449">
        <f ca="1">SUMIF(OFFSET(cttba_vlvt1_1,0,-9,-ROW(cttba_vlvt1_1)+ROW(cttba_vltb1_1)-10),KLVT!$A585,OFFSET(cttba_vlvt1_1,0,-4,-ROW(cttba_vlvt1_1)+ROW(cttba_vltb1_1)-10))</f>
        <v>0</v>
      </c>
      <c r="G585" s="451">
        <f t="shared" ca="1" si="104"/>
        <v>0</v>
      </c>
      <c r="H585" s="450">
        <f t="shared" si="105"/>
        <v>1</v>
      </c>
      <c r="I585" s="447">
        <f t="shared" ca="1" si="106"/>
        <v>0</v>
      </c>
      <c r="J585" s="447">
        <f t="shared" ca="1" si="107"/>
        <v>0</v>
      </c>
      <c r="K585" s="373">
        <f t="shared" ca="1" si="103"/>
        <v>0</v>
      </c>
    </row>
    <row r="586" spans="1:11" s="45" customFormat="1" ht="15.75" hidden="1">
      <c r="A586" s="373" t="str">
        <f>IF(AND(COUNTIF($A$5:$A$133,R_DG!A460)=0,R_DG!R460&gt;0,ISNUMBER(R_DG!R460)),R_DG!A460,"NONE")</f>
        <v>CD42T</v>
      </c>
      <c r="B586" s="85">
        <f ca="1">IF(K586&gt;0,COUNTIF(K$6:K586,"&gt;0"),B585)</f>
        <v>31</v>
      </c>
      <c r="C586" s="1084" t="str">
        <f t="shared" si="101"/>
        <v>Collier giữ ống PVC D42</v>
      </c>
      <c r="D586" s="85" t="str">
        <f t="shared" si="102"/>
        <v>cái</v>
      </c>
      <c r="E586" s="448">
        <f ca="1">SUMIF(OFFSET(tongctvtdd1,0,-(COLUMN(E586)+7-(COLUMN(E586)-5)/2)),KLVT!$A586,tongctvtdd1)+SUMIF(OFFSET(tongctvtpk1,0,-(COLUMN(E586)+7-(COLUMN(E586)-5)/2)),KLVT!$A586,tongctvtpk1)</f>
        <v>0</v>
      </c>
      <c r="F586" s="449">
        <f ca="1">SUMIF(OFFSET(cttba_vlvt1_1,0,-9,-ROW(cttba_vlvt1_1)+ROW(cttba_vltb1_1)-10),KLVT!$A586,OFFSET(cttba_vlvt1_1,0,-4,-ROW(cttba_vlvt1_1)+ROW(cttba_vltb1_1)-10))</f>
        <v>0</v>
      </c>
      <c r="G586" s="451">
        <f t="shared" ca="1" si="104"/>
        <v>0</v>
      </c>
      <c r="H586" s="450">
        <f t="shared" si="105"/>
        <v>1</v>
      </c>
      <c r="I586" s="447">
        <f t="shared" ca="1" si="106"/>
        <v>0</v>
      </c>
      <c r="J586" s="447">
        <f t="shared" ca="1" si="107"/>
        <v>0</v>
      </c>
      <c r="K586" s="373">
        <f t="shared" ca="1" si="103"/>
        <v>0</v>
      </c>
    </row>
    <row r="587" spans="1:11" s="45" customFormat="1" ht="15.75" hidden="1">
      <c r="A587" s="373" t="str">
        <f>IF(AND(COUNTIF($A$5:$A$133,R_DG!A461)=0,R_DG!R461&gt;0,ISNUMBER(R_DG!R461)),R_DG!A461,"NONE")</f>
        <v>CD114T</v>
      </c>
      <c r="B587" s="85">
        <f ca="1">IF(K587&gt;0,COUNTIF(K$6:K587,"&gt;0"),B586)</f>
        <v>31</v>
      </c>
      <c r="C587" s="1084" t="str">
        <f t="shared" si="101"/>
        <v>Collier giữ 2 ống PVC D114 vào tường+Boulon+long đền+tắc ke sắt</v>
      </c>
      <c r="D587" s="85" t="str">
        <f t="shared" si="102"/>
        <v>Kg</v>
      </c>
      <c r="E587" s="448">
        <f ca="1">SUMIF(OFFSET(tongctvtdd1,0,-(COLUMN(E587)+7-(COLUMN(E587)-5)/2)),KLVT!$A587,tongctvtdd1)+SUMIF(OFFSET(tongctvtpk1,0,-(COLUMN(E587)+7-(COLUMN(E587)-5)/2)),KLVT!$A587,tongctvtpk1)</f>
        <v>0</v>
      </c>
      <c r="F587" s="449">
        <f ca="1">SUMIF(OFFSET(cttba_vlvt1_1,0,-9,-ROW(cttba_vlvt1_1)+ROW(cttba_vltb1_1)-10),KLVT!$A587,OFFSET(cttba_vlvt1_1,0,-4,-ROW(cttba_vlvt1_1)+ROW(cttba_vltb1_1)-10))</f>
        <v>0</v>
      </c>
      <c r="G587" s="451">
        <f t="shared" ca="1" si="104"/>
        <v>0</v>
      </c>
      <c r="H587" s="450">
        <f t="shared" si="105"/>
        <v>1</v>
      </c>
      <c r="I587" s="447">
        <f t="shared" ca="1" si="106"/>
        <v>0</v>
      </c>
      <c r="J587" s="447">
        <f t="shared" ca="1" si="107"/>
        <v>0</v>
      </c>
      <c r="K587" s="373">
        <f t="shared" ca="1" si="103"/>
        <v>0</v>
      </c>
    </row>
    <row r="588" spans="1:11" s="45" customFormat="1" ht="15.75" hidden="1">
      <c r="A588" s="373" t="str">
        <f>IF(AND(COUNTIF($A$5:$A$133,R_DG!A462)=0,R_DG!R462&gt;0,ISNUMBER(R_DG!R462)),R_DG!A462,"NONE")</f>
        <v>CD140T</v>
      </c>
      <c r="B588" s="85">
        <f ca="1">IF(K588&gt;0,COUNTIF(K$6:K588,"&gt;0"),B587)</f>
        <v>31</v>
      </c>
      <c r="C588" s="1084" t="str">
        <f t="shared" si="101"/>
        <v>Collier giữ ống STK D140 vào tường+Boulon+long đền+tắc ke sắt</v>
      </c>
      <c r="D588" s="85" t="str">
        <f t="shared" si="102"/>
        <v>Kg</v>
      </c>
      <c r="E588" s="448">
        <f ca="1">SUMIF(OFFSET(tongctvtdd1,0,-(COLUMN(E588)+7-(COLUMN(E588)-5)/2)),KLVT!$A588,tongctvtdd1)+SUMIF(OFFSET(tongctvtpk1,0,-(COLUMN(E588)+7-(COLUMN(E588)-5)/2)),KLVT!$A588,tongctvtpk1)</f>
        <v>0</v>
      </c>
      <c r="F588" s="449">
        <f ca="1">SUMIF(OFFSET(cttba_vlvt1_1,0,-9,-ROW(cttba_vlvt1_1)+ROW(cttba_vltb1_1)-10),KLVT!$A588,OFFSET(cttba_vlvt1_1,0,-4,-ROW(cttba_vlvt1_1)+ROW(cttba_vltb1_1)-10))</f>
        <v>0</v>
      </c>
      <c r="G588" s="451">
        <f t="shared" ca="1" si="104"/>
        <v>0</v>
      </c>
      <c r="H588" s="450">
        <f t="shared" si="105"/>
        <v>1</v>
      </c>
      <c r="I588" s="447">
        <f t="shared" ca="1" si="106"/>
        <v>0</v>
      </c>
      <c r="J588" s="447">
        <f t="shared" ca="1" si="107"/>
        <v>0</v>
      </c>
      <c r="K588" s="373">
        <f t="shared" ca="1" si="103"/>
        <v>0</v>
      </c>
    </row>
    <row r="589" spans="1:11" s="45" customFormat="1" hidden="1">
      <c r="A589" s="373" t="str">
        <f>IF(AND(COUNTIF($A$5:$A$133,R_DG!A463)=0,R_DG!R463&gt;0,ISNUMBER(R_DG!R463)),R_DG!A463,"NONE")</f>
        <v>CD5X50</v>
      </c>
      <c r="B589" s="85">
        <f ca="1">IF(K589&gt;0,COUNTIF(K$6:K589,"&gt;0"),B588)</f>
        <v>31</v>
      </c>
      <c r="C589" s="1084" t="str">
        <f t="shared" si="101"/>
        <v>Collier bắt tủ</v>
      </c>
      <c r="D589" s="85" t="str">
        <f t="shared" si="102"/>
        <v>bộ</v>
      </c>
      <c r="E589" s="448">
        <f ca="1">SUMIF(OFFSET(tongctvtdd1,0,-(COLUMN(E589)+7-(COLUMN(E589)-5)/2)),KLVT!$A589,tongctvtdd1)+SUMIF(OFFSET(tongctvtpk1,0,-(COLUMN(E589)+7-(COLUMN(E589)-5)/2)),KLVT!$A589,tongctvtpk1)</f>
        <v>0</v>
      </c>
      <c r="F589" s="449">
        <f ca="1">SUMIF(OFFSET(cttba_vlvt1_1,0,-9,-ROW(cttba_vlvt1_1)+ROW(cttba_vltb1_1)-10),KLVT!$A589,OFFSET(cttba_vlvt1_1,0,-4,-ROW(cttba_vlvt1_1)+ROW(cttba_vltb1_1)-10))</f>
        <v>0</v>
      </c>
      <c r="G589" s="451">
        <f t="shared" ca="1" si="104"/>
        <v>0</v>
      </c>
      <c r="H589" s="450">
        <f t="shared" si="105"/>
        <v>4</v>
      </c>
      <c r="I589" s="447">
        <f t="shared" ca="1" si="106"/>
        <v>0</v>
      </c>
      <c r="J589" s="447">
        <f t="shared" ca="1" si="107"/>
        <v>0</v>
      </c>
      <c r="K589" s="1094">
        <f t="shared" ca="1" si="103"/>
        <v>0</v>
      </c>
    </row>
    <row r="590" spans="1:11" s="45" customFormat="1" ht="15.75" hidden="1">
      <c r="A590" s="373" t="str">
        <f>IF(AND(COUNTIF($A$5:$A$133,R_DG!A464)=0,R_DG!R464&gt;0,ISNUMBER(R_DG!R464)),R_DG!A464,"NONE")</f>
        <v>CDXA</v>
      </c>
      <c r="B590" s="85">
        <f ca="1">IF(K590&gt;0,COUNTIF(K$6:K590,"&gt;0"),B589)</f>
        <v>31</v>
      </c>
      <c r="C590" s="1084" t="str">
        <f t="shared" si="101"/>
        <v xml:space="preserve">Cổ dê chống lắc 8x80x800 </v>
      </c>
      <c r="D590" s="85" t="str">
        <f t="shared" si="102"/>
        <v>Kg</v>
      </c>
      <c r="E590" s="448">
        <f ca="1">SUMIF(OFFSET(tongctvtdd1,0,-(COLUMN(E590)+7-(COLUMN(E590)-5)/2)),KLVT!$A590,tongctvtdd1)+SUMIF(OFFSET(tongctvtpk1,0,-(COLUMN(E590)+7-(COLUMN(E590)-5)/2)),KLVT!$A590,tongctvtpk1)</f>
        <v>0</v>
      </c>
      <c r="F590" s="449">
        <f ca="1">SUMIF(OFFSET(cttba_vlvt1_1,0,-9,-ROW(cttba_vlvt1_1)+ROW(cttba_vltb1_1)-10),KLVT!$A590,OFFSET(cttba_vlvt1_1,0,-4,-ROW(cttba_vlvt1_1)+ROW(cttba_vltb1_1)-10))</f>
        <v>0</v>
      </c>
      <c r="G590" s="451">
        <f t="shared" ca="1" si="104"/>
        <v>0</v>
      </c>
      <c r="H590" s="450">
        <f t="shared" si="105"/>
        <v>1</v>
      </c>
      <c r="I590" s="447">
        <f t="shared" ca="1" si="106"/>
        <v>0</v>
      </c>
      <c r="J590" s="447">
        <f t="shared" ca="1" si="107"/>
        <v>0</v>
      </c>
      <c r="K590" s="373">
        <f t="shared" ca="1" si="103"/>
        <v>0</v>
      </c>
    </row>
    <row r="591" spans="1:11" s="45" customFormat="1" ht="15.75" hidden="1">
      <c r="A591" s="373" t="str">
        <f>IF(AND(COUNTIF($A$5:$A$133,R_DG!A465)=0,R_DG!R465&gt;0,ISNUMBER(R_DG!R465)),R_DG!A465,"NONE")</f>
        <v>NONE</v>
      </c>
      <c r="B591" s="85">
        <f ca="1">IF(K591&gt;0,COUNTIF(K$6:K591,"&gt;0"),B590)</f>
        <v>31</v>
      </c>
      <c r="C591" s="1084">
        <f t="shared" si="101"/>
        <v>0</v>
      </c>
      <c r="D591" s="85">
        <f t="shared" si="102"/>
        <v>0</v>
      </c>
      <c r="E591" s="448">
        <f ca="1">SUMIF(OFFSET(tongctvtdd1,0,-(COLUMN(E591)+7-(COLUMN(E591)-5)/2)),KLVT!$A591,tongctvtdd1)+SUMIF(OFFSET(tongctvtpk1,0,-(COLUMN(E591)+7-(COLUMN(E591)-5)/2)),KLVT!$A591,tongctvtpk1)</f>
        <v>0</v>
      </c>
      <c r="F591" s="449">
        <f ca="1">SUMIF(OFFSET(cttba_vlvt1_1,0,-9,-ROW(cttba_vlvt1_1)+ROW(cttba_vltb1_1)-10),KLVT!$A591,OFFSET(cttba_vlvt1_1,0,-4,-ROW(cttba_vlvt1_1)+ROW(cttba_vltb1_1)-10))</f>
        <v>0</v>
      </c>
      <c r="G591" s="451">
        <f t="shared" ca="1" si="104"/>
        <v>0</v>
      </c>
      <c r="H591" s="450">
        <f t="shared" si="105"/>
        <v>1</v>
      </c>
      <c r="I591" s="447">
        <f t="shared" ca="1" si="106"/>
        <v>0</v>
      </c>
      <c r="J591" s="447">
        <f t="shared" ca="1" si="107"/>
        <v>0</v>
      </c>
      <c r="K591" s="374">
        <f t="shared" ca="1" si="103"/>
        <v>0</v>
      </c>
    </row>
    <row r="592" spans="1:11" s="45" customFormat="1" ht="15.75" hidden="1">
      <c r="A592" s="373" t="str">
        <f>IF(AND(COUNTIF($A$5:$A$133,R_DG!A466)=0,R_DG!R466&gt;0,ISNUMBER(R_DG!R466)),R_DG!A466,"NONE")</f>
        <v>NONE</v>
      </c>
      <c r="B592" s="85">
        <f ca="1">IF(K592&gt;0,COUNTIF(K$6:K592,"&gt;0"),B591)</f>
        <v>31</v>
      </c>
      <c r="C592" s="1084">
        <f t="shared" si="101"/>
        <v>0</v>
      </c>
      <c r="D592" s="85">
        <f t="shared" si="102"/>
        <v>0</v>
      </c>
      <c r="E592" s="448">
        <f ca="1">SUMIF(OFFSET(tongctvtdd1,0,-(COLUMN(E592)+7-(COLUMN(E592)-5)/2)),KLVT!$A592,tongctvtdd1)+SUMIF(OFFSET(tongctvtpk1,0,-(COLUMN(E592)+7-(COLUMN(E592)-5)/2)),KLVT!$A592,tongctvtpk1)</f>
        <v>0</v>
      </c>
      <c r="F592" s="449">
        <f ca="1">SUMIF(OFFSET(cttba_vlvt1_1,0,-9,-ROW(cttba_vlvt1_1)+ROW(cttba_vltb1_1)-10),KLVT!$A592,OFFSET(cttba_vlvt1_1,0,-4,-ROW(cttba_vlvt1_1)+ROW(cttba_vltb1_1)-10))</f>
        <v>0</v>
      </c>
      <c r="G592" s="451">
        <f t="shared" ca="1" si="104"/>
        <v>0</v>
      </c>
      <c r="H592" s="450">
        <f t="shared" si="105"/>
        <v>1</v>
      </c>
      <c r="I592" s="447">
        <f t="shared" ca="1" si="106"/>
        <v>0</v>
      </c>
      <c r="J592" s="447">
        <f t="shared" ca="1" si="107"/>
        <v>0</v>
      </c>
      <c r="K592" s="374">
        <f t="shared" ca="1" si="103"/>
        <v>0</v>
      </c>
    </row>
    <row r="593" spans="1:12" s="45" customFormat="1" ht="15.75" hidden="1">
      <c r="A593" s="373" t="str">
        <f>IF(AND(COUNTIF($A$5:$A$133,R_DG!A467)=0,R_DG!R467&gt;0,ISNUMBER(R_DG!R467)),R_DG!A467,"NONE")</f>
        <v>NONE</v>
      </c>
      <c r="B593" s="85">
        <f ca="1">IF(K593&gt;0,COUNTIF(K$6:K593,"&gt;0"),B592)</f>
        <v>31</v>
      </c>
      <c r="C593" s="1084">
        <f t="shared" si="101"/>
        <v>0</v>
      </c>
      <c r="D593" s="85">
        <f t="shared" si="102"/>
        <v>0</v>
      </c>
      <c r="E593" s="448">
        <f ca="1">SUMIF(OFFSET(tongctvtdd1,0,-(COLUMN(E593)+7-(COLUMN(E593)-5)/2)),KLVT!$A593,tongctvtdd1)+SUMIF(OFFSET(tongctvtpk1,0,-(COLUMN(E593)+7-(COLUMN(E593)-5)/2)),KLVT!$A593,tongctvtpk1)</f>
        <v>0</v>
      </c>
      <c r="F593" s="449">
        <f ca="1">SUMIF(OFFSET(cttba_vlvt1_1,0,-9,-ROW(cttba_vlvt1_1)+ROW(cttba_vltb1_1)-10),KLVT!$A593,OFFSET(cttba_vlvt1_1,0,-4,-ROW(cttba_vlvt1_1)+ROW(cttba_vltb1_1)-10))</f>
        <v>0</v>
      </c>
      <c r="G593" s="451">
        <f t="shared" ca="1" si="104"/>
        <v>0</v>
      </c>
      <c r="H593" s="450">
        <f t="shared" si="105"/>
        <v>1</v>
      </c>
      <c r="I593" s="447">
        <f t="shared" ca="1" si="106"/>
        <v>0</v>
      </c>
      <c r="J593" s="447">
        <f t="shared" ca="1" si="107"/>
        <v>0</v>
      </c>
      <c r="K593" s="374">
        <f t="shared" ca="1" si="103"/>
        <v>0</v>
      </c>
    </row>
    <row r="594" spans="1:12" s="45" customFormat="1" ht="15.75" hidden="1">
      <c r="A594" s="373" t="str">
        <f>IF(AND(COUNTIF($A$5:$A$133,R_DG!A468)=0,R_DG!R468&gt;0,ISNUMBER(R_DG!R468)),R_DG!A468,"NONE")</f>
        <v>NONE</v>
      </c>
      <c r="B594" s="85">
        <f ca="1">IF(K594&gt;0,COUNTIF(K$6:K594,"&gt;0"),B593)</f>
        <v>31</v>
      </c>
      <c r="C594" s="1084">
        <f t="shared" si="101"/>
        <v>0</v>
      </c>
      <c r="D594" s="85">
        <f t="shared" si="102"/>
        <v>0</v>
      </c>
      <c r="E594" s="448">
        <f ca="1">SUMIF(OFFSET(tongctvtdd1,0,-(COLUMN(E594)+7-(COLUMN(E594)-5)/2)),KLVT!$A594,tongctvtdd1)+SUMIF(OFFSET(tongctvtpk1,0,-(COLUMN(E594)+7-(COLUMN(E594)-5)/2)),KLVT!$A594,tongctvtpk1)</f>
        <v>0</v>
      </c>
      <c r="F594" s="449">
        <f ca="1">SUMIF(OFFSET(cttba_vlvt1_1,0,-9,-ROW(cttba_vlvt1_1)+ROW(cttba_vltb1_1)-10),KLVT!$A594,OFFSET(cttba_vlvt1_1,0,-4,-ROW(cttba_vlvt1_1)+ROW(cttba_vltb1_1)-10))</f>
        <v>0</v>
      </c>
      <c r="G594" s="451">
        <f t="shared" ca="1" si="104"/>
        <v>0</v>
      </c>
      <c r="H594" s="450">
        <f t="shared" si="105"/>
        <v>1</v>
      </c>
      <c r="I594" s="447">
        <f t="shared" ca="1" si="106"/>
        <v>0</v>
      </c>
      <c r="J594" s="447">
        <f t="shared" ca="1" si="107"/>
        <v>0</v>
      </c>
      <c r="K594" s="373">
        <f t="shared" ca="1" si="103"/>
        <v>0</v>
      </c>
    </row>
    <row r="595" spans="1:12" s="45" customFormat="1" ht="15.75" hidden="1">
      <c r="A595" s="373" t="str">
        <f>IF(AND(COUNTIF($A$5:$A$133,R_DG!A469)=0,R_DG!R469&gt;0,ISNUMBER(R_DG!R469)),R_DG!A469,"NONE")</f>
        <v>NONE</v>
      </c>
      <c r="B595" s="85">
        <f ca="1">IF(K595&gt;0,COUNTIF(K$6:K595,"&gt;0"),B594)</f>
        <v>31</v>
      </c>
      <c r="C595" s="1084">
        <f t="shared" si="101"/>
        <v>0</v>
      </c>
      <c r="D595" s="85">
        <f t="shared" si="102"/>
        <v>0</v>
      </c>
      <c r="E595" s="448">
        <f ca="1">SUMIF(OFFSET(tongctvtdd1,0,-(COLUMN(E595)+7-(COLUMN(E595)-5)/2)),KLVT!$A595,tongctvtdd1)+SUMIF(OFFSET(tongctvtpk1,0,-(COLUMN(E595)+7-(COLUMN(E595)-5)/2)),KLVT!$A595,tongctvtpk1)</f>
        <v>0</v>
      </c>
      <c r="F595" s="449">
        <f ca="1">SUMIF(OFFSET(cttba_vlvt1_1,0,-9,-ROW(cttba_vlvt1_1)+ROW(cttba_vltb1_1)-10),KLVT!$A595,OFFSET(cttba_vlvt1_1,0,-4,-ROW(cttba_vlvt1_1)+ROW(cttba_vltb1_1)-10))</f>
        <v>0</v>
      </c>
      <c r="G595" s="451">
        <f t="shared" ca="1" si="104"/>
        <v>0</v>
      </c>
      <c r="H595" s="450">
        <f t="shared" si="105"/>
        <v>1</v>
      </c>
      <c r="I595" s="447">
        <f t="shared" ca="1" si="106"/>
        <v>0</v>
      </c>
      <c r="J595" s="447">
        <f t="shared" ca="1" si="107"/>
        <v>0</v>
      </c>
      <c r="K595" s="373">
        <f t="shared" ca="1" si="103"/>
        <v>0</v>
      </c>
    </row>
    <row r="596" spans="1:12" s="45" customFormat="1" ht="15.75" hidden="1">
      <c r="A596" s="373" t="str">
        <f>IF(AND(COUNTIF($A$5:$A$133,R_DG!A470)=0,R_DG!R470&gt;0,ISNUMBER(R_DG!R470)),R_DG!A470,"NONE")</f>
        <v>NONE</v>
      </c>
      <c r="B596" s="85">
        <f ca="1">IF(K596&gt;0,COUNTIF(K$6:K596,"&gt;0"),B595)</f>
        <v>31</v>
      </c>
      <c r="C596" s="1084">
        <f t="shared" si="101"/>
        <v>0</v>
      </c>
      <c r="D596" s="85">
        <f t="shared" si="102"/>
        <v>0</v>
      </c>
      <c r="E596" s="448">
        <f ca="1">SUMIF(OFFSET(tongctvtdd1,0,-(COLUMN(E596)+7-(COLUMN(E596)-5)/2)),KLVT!$A596,tongctvtdd1)+SUMIF(OFFSET(tongctvtpk1,0,-(COLUMN(E596)+7-(COLUMN(E596)-5)/2)),KLVT!$A596,tongctvtpk1)</f>
        <v>0</v>
      </c>
      <c r="F596" s="449">
        <f ca="1">SUMIF(OFFSET(cttba_vlvt1_1,0,-9,-ROW(cttba_vlvt1_1)+ROW(cttba_vltb1_1)-10),KLVT!$A596,OFFSET(cttba_vlvt1_1,0,-4,-ROW(cttba_vlvt1_1)+ROW(cttba_vltb1_1)-10))</f>
        <v>0</v>
      </c>
      <c r="G596" s="451">
        <f t="shared" ca="1" si="104"/>
        <v>0</v>
      </c>
      <c r="H596" s="450">
        <f t="shared" si="105"/>
        <v>1</v>
      </c>
      <c r="I596" s="447">
        <f t="shared" ca="1" si="106"/>
        <v>0</v>
      </c>
      <c r="J596" s="447">
        <f t="shared" ca="1" si="107"/>
        <v>0</v>
      </c>
      <c r="K596" s="374">
        <f t="shared" ca="1" si="103"/>
        <v>0</v>
      </c>
    </row>
    <row r="597" spans="1:12" s="45" customFormat="1" ht="15.75" hidden="1">
      <c r="A597" s="373" t="str">
        <f>IF(AND(COUNTIF($A$5:$A$133,R_DG!A471)=0,R_DG!R471&gt;0,ISNUMBER(R_DG!R471)),R_DG!A471,"NONE")</f>
        <v>NONE</v>
      </c>
      <c r="B597" s="85">
        <f ca="1">IF(K597&gt;0,COUNTIF(K$6:K597,"&gt;0"),B596)</f>
        <v>31</v>
      </c>
      <c r="C597" s="1084">
        <f t="shared" si="101"/>
        <v>0</v>
      </c>
      <c r="D597" s="85">
        <f t="shared" si="102"/>
        <v>0</v>
      </c>
      <c r="E597" s="448">
        <f ca="1">SUMIF(OFFSET(tongctvtdd1,0,-(COLUMN(E597)+7-(COLUMN(E597)-5)/2)),KLVT!$A597,tongctvtdd1)+SUMIF(OFFSET(tongctvtpk1,0,-(COLUMN(E597)+7-(COLUMN(E597)-5)/2)),KLVT!$A597,tongctvtpk1)</f>
        <v>0</v>
      </c>
      <c r="F597" s="449">
        <f ca="1">SUMIF(OFFSET(cttba_vlvt1_1,0,-9,-ROW(cttba_vlvt1_1)+ROW(cttba_vltb1_1)-10),KLVT!$A597,OFFSET(cttba_vlvt1_1,0,-4,-ROW(cttba_vlvt1_1)+ROW(cttba_vltb1_1)-10))</f>
        <v>0</v>
      </c>
      <c r="G597" s="451">
        <f t="shared" ca="1" si="104"/>
        <v>0</v>
      </c>
      <c r="H597" s="450">
        <f t="shared" si="105"/>
        <v>1</v>
      </c>
      <c r="I597" s="447">
        <f t="shared" ca="1" si="106"/>
        <v>0</v>
      </c>
      <c r="J597" s="447">
        <f t="shared" ca="1" si="107"/>
        <v>0</v>
      </c>
      <c r="K597" s="374">
        <f t="shared" ca="1" si="103"/>
        <v>0</v>
      </c>
    </row>
    <row r="598" spans="1:12" s="45" customFormat="1" ht="15.75" hidden="1">
      <c r="A598" s="373" t="str">
        <f>IF(AND(COUNTIF($A$5:$A$133,R_DG!A472)=0,R_DG!R472&gt;0,ISNUMBER(R_DG!R472)),R_DG!A472,"NONE")</f>
        <v>NONE</v>
      </c>
      <c r="B598" s="85">
        <f ca="1">IF(K598&gt;0,COUNTIF(K$6:K598,"&gt;0"),B597)</f>
        <v>31</v>
      </c>
      <c r="C598" s="1084">
        <f t="shared" si="101"/>
        <v>0</v>
      </c>
      <c r="D598" s="85">
        <f t="shared" si="102"/>
        <v>0</v>
      </c>
      <c r="E598" s="448">
        <f ca="1">SUMIF(OFFSET(tongctvtdd1,0,-(COLUMN(E598)+7-(COLUMN(E598)-5)/2)),KLVT!$A598,tongctvtdd1)+SUMIF(OFFSET(tongctvtpk1,0,-(COLUMN(E598)+7-(COLUMN(E598)-5)/2)),KLVT!$A598,tongctvtpk1)</f>
        <v>0</v>
      </c>
      <c r="F598" s="449">
        <f ca="1">SUMIF(OFFSET(cttba_vlvt1_1,0,-9,-ROW(cttba_vlvt1_1)+ROW(cttba_vltb1_1)-10),KLVT!$A598,OFFSET(cttba_vlvt1_1,0,-4,-ROW(cttba_vlvt1_1)+ROW(cttba_vltb1_1)-10))</f>
        <v>0</v>
      </c>
      <c r="G598" s="451">
        <f t="shared" ca="1" si="104"/>
        <v>0</v>
      </c>
      <c r="H598" s="450">
        <f t="shared" si="105"/>
        <v>1</v>
      </c>
      <c r="I598" s="447">
        <f t="shared" ca="1" si="106"/>
        <v>0</v>
      </c>
      <c r="J598" s="447">
        <f t="shared" ca="1" si="107"/>
        <v>0</v>
      </c>
      <c r="K598" s="374">
        <f t="shared" ca="1" si="103"/>
        <v>0</v>
      </c>
    </row>
    <row r="599" spans="1:12" s="45" customFormat="1" ht="15.75" hidden="1">
      <c r="A599" s="373" t="str">
        <f>IF(AND(COUNTIF($A$5:$A$133,R_DG!A473)=0,R_DG!R473&gt;0,ISNUMBER(R_DG!R473)),R_DG!A473,"NONE")</f>
        <v>NONE</v>
      </c>
      <c r="B599" s="85">
        <f ca="1">IF(K599&gt;0,COUNTIF(K$6:K599,"&gt;0"),B598)</f>
        <v>31</v>
      </c>
      <c r="C599" s="1084">
        <f t="shared" si="101"/>
        <v>0</v>
      </c>
      <c r="D599" s="85">
        <f t="shared" si="102"/>
        <v>0</v>
      </c>
      <c r="E599" s="448">
        <f ca="1">SUMIF(OFFSET(tongctvtdd1,0,-(COLUMN(E599)+7-(COLUMN(E599)-5)/2)),KLVT!$A599,tongctvtdd1)+SUMIF(OFFSET(tongctvtpk1,0,-(COLUMN(E599)+7-(COLUMN(E599)-5)/2)),KLVT!$A599,tongctvtpk1)</f>
        <v>0</v>
      </c>
      <c r="F599" s="449">
        <f ca="1">SUMIF(OFFSET(cttba_vlvt1_1,0,-9,-ROW(cttba_vlvt1_1)+ROW(cttba_vltb1_1)-10),KLVT!$A599,OFFSET(cttba_vlvt1_1,0,-4,-ROW(cttba_vlvt1_1)+ROW(cttba_vltb1_1)-10))</f>
        <v>0</v>
      </c>
      <c r="G599" s="451">
        <f t="shared" ca="1" si="104"/>
        <v>0</v>
      </c>
      <c r="H599" s="450">
        <f t="shared" si="105"/>
        <v>1</v>
      </c>
      <c r="I599" s="447">
        <f t="shared" ca="1" si="106"/>
        <v>0</v>
      </c>
      <c r="J599" s="447">
        <f t="shared" ca="1" si="107"/>
        <v>0</v>
      </c>
      <c r="K599" s="373">
        <f t="shared" ca="1" si="103"/>
        <v>0</v>
      </c>
    </row>
    <row r="600" spans="1:12" s="45" customFormat="1" ht="15.75" hidden="1">
      <c r="A600" s="373" t="str">
        <f>IF(AND(COUNTIF($A$5:$A$133,R_DG!A474)=0,R_DG!R474&gt;0,ISNUMBER(R_DG!R474)),R_DG!A474,"NONE")</f>
        <v>SON</v>
      </c>
      <c r="B600" s="85">
        <f ca="1">IF(K600&gt;0,COUNTIF(K$6:K600,"&gt;0"),B599)</f>
        <v>31</v>
      </c>
      <c r="C600" s="1084" t="str">
        <f t="shared" si="101"/>
        <v>Sơn màu</v>
      </c>
      <c r="D600" s="85" t="str">
        <f t="shared" si="102"/>
        <v>kg</v>
      </c>
      <c r="E600" s="448">
        <f ca="1">SUMIF(OFFSET(tongctvtdd1,0,-(COLUMN(E600)+7-(COLUMN(E600)-5)/2)),KLVT!$A600,tongctvtdd1)+SUMIF(OFFSET(tongctvtpk1,0,-(COLUMN(E600)+7-(COLUMN(E600)-5)/2)),KLVT!$A600,tongctvtpk1)</f>
        <v>0</v>
      </c>
      <c r="F600" s="449">
        <f ca="1">SUMIF(OFFSET(cttba_vlvt1_1,0,-9,-ROW(cttba_vlvt1_1)+ROW(cttba_vltb1_1)-10),KLVT!$A600,OFFSET(cttba_vlvt1_1,0,-4,-ROW(cttba_vlvt1_1)+ROW(cttba_vltb1_1)-10))</f>
        <v>0</v>
      </c>
      <c r="G600" s="451">
        <f t="shared" ca="1" si="104"/>
        <v>0</v>
      </c>
      <c r="H600" s="450">
        <f t="shared" si="105"/>
        <v>1</v>
      </c>
      <c r="I600" s="447">
        <f t="shared" ca="1" si="106"/>
        <v>0</v>
      </c>
      <c r="J600" s="447">
        <f t="shared" ca="1" si="107"/>
        <v>0</v>
      </c>
      <c r="K600" s="373">
        <f t="shared" ca="1" si="103"/>
        <v>0</v>
      </c>
    </row>
    <row r="601" spans="1:12" s="45" customFormat="1" ht="15.75" hidden="1">
      <c r="A601" s="373" t="str">
        <f>IF(AND(COUNTIF($A$5:$A$133,R_DG!A475)=0,R_DG!R475&gt;0,ISNUMBER(R_DG!R475)),R_DG!A475,"NONE")</f>
        <v>SONCR</v>
      </c>
      <c r="B601" s="85">
        <f ca="1">IF(K601&gt;0,COUNTIF(K$6:K601,"&gt;0"),B600)</f>
        <v>31</v>
      </c>
      <c r="C601" s="1084" t="str">
        <f t="shared" si="101"/>
        <v>Sơn chống rỉ</v>
      </c>
      <c r="D601" s="85" t="str">
        <f t="shared" si="102"/>
        <v>kg</v>
      </c>
      <c r="E601" s="448">
        <f ca="1">SUMIF(OFFSET(tongctvtdd1,0,-(COLUMN(E601)+7-(COLUMN(E601)-5)/2)),KLVT!$A601,tongctvtdd1)+SUMIF(OFFSET(tongctvtpk1,0,-(COLUMN(E601)+7-(COLUMN(E601)-5)/2)),KLVT!$A601,tongctvtpk1)</f>
        <v>0</v>
      </c>
      <c r="F601" s="449">
        <f ca="1">SUMIF(OFFSET(cttba_vlvt1_1,0,-9,-ROW(cttba_vlvt1_1)+ROW(cttba_vltb1_1)-10),KLVT!$A601,OFFSET(cttba_vlvt1_1,0,-4,-ROW(cttba_vlvt1_1)+ROW(cttba_vltb1_1)-10))</f>
        <v>0</v>
      </c>
      <c r="G601" s="451">
        <f t="shared" ca="1" si="104"/>
        <v>0</v>
      </c>
      <c r="H601" s="450">
        <f t="shared" si="105"/>
        <v>1</v>
      </c>
      <c r="I601" s="447">
        <f t="shared" ca="1" si="106"/>
        <v>0</v>
      </c>
      <c r="J601" s="447">
        <f t="shared" ca="1" si="107"/>
        <v>0</v>
      </c>
      <c r="K601" s="373">
        <f t="shared" ca="1" si="103"/>
        <v>0</v>
      </c>
    </row>
    <row r="602" spans="1:12" s="45" customFormat="1" ht="15.75" hidden="1">
      <c r="A602" s="373" t="str">
        <f>IF(AND(COUNTIF($A$5:$A$133,R_DG!A476)=0,R_DG!R476&gt;0,ISNUMBER(R_DG!R476)),R_DG!A476,"NONE")</f>
        <v>NU</v>
      </c>
      <c r="B602" s="85">
        <f ca="1">IF(K602&gt;0,COUNTIF(K$6:K602,"&gt;0"),B601)</f>
        <v>31</v>
      </c>
      <c r="C602" s="1084" t="str">
        <f t="shared" si="101"/>
        <v>Nước đổ bê tông</v>
      </c>
      <c r="D602" s="85" t="str">
        <f t="shared" si="102"/>
        <v>m3</v>
      </c>
      <c r="E602" s="448">
        <f ca="1">SUMIF(OFFSET(tongctvtdd1,0,-(COLUMN(E602)+7-(COLUMN(E602)-5)/2)),KLVT!$A602,tongctvtdd1)+SUMIF(OFFSET(tongctvtpk1,0,-(COLUMN(E602)+7-(COLUMN(E602)-5)/2)),KLVT!$A602,tongctvtpk1)</f>
        <v>0</v>
      </c>
      <c r="F602" s="449">
        <f ca="1">SUMIF(OFFSET(cttba_vlvt1_1,0,-9,-ROW(cttba_vlvt1_1)+ROW(cttba_vltb1_1)-10),KLVT!$A602,OFFSET(cttba_vlvt1_1,0,-4,-ROW(cttba_vlvt1_1)+ROW(cttba_vltb1_1)-10))</f>
        <v>0</v>
      </c>
      <c r="G602" s="451">
        <f t="shared" ca="1" si="104"/>
        <v>0</v>
      </c>
      <c r="H602" s="450">
        <f t="shared" si="105"/>
        <v>1000</v>
      </c>
      <c r="I602" s="447">
        <f t="shared" ca="1" si="106"/>
        <v>0</v>
      </c>
      <c r="J602" s="447">
        <f t="shared" ca="1" si="107"/>
        <v>0</v>
      </c>
      <c r="K602" s="374">
        <f t="shared" ca="1" si="103"/>
        <v>0</v>
      </c>
    </row>
    <row r="603" spans="1:12" s="45" customFormat="1" ht="15.75" hidden="1">
      <c r="A603" s="373" t="str">
        <f>IF(AND(COUNTIF($A$5:$A$133,R_DG!A477)=0,R_DG!R477&gt;0,ISNUMBER(R_DG!R477)),R_DG!A477,"NONE")</f>
        <v>GO</v>
      </c>
      <c r="B603" s="85">
        <f ca="1">IF(K603&gt;0,COUNTIF(K$6:K603,"&gt;0"),B602)</f>
        <v>31</v>
      </c>
      <c r="C603" s="1084" t="str">
        <f t="shared" si="101"/>
        <v>Gỗ ván khuôn</v>
      </c>
      <c r="D603" s="85" t="str">
        <f t="shared" si="102"/>
        <v>m3</v>
      </c>
      <c r="E603" s="448">
        <f ca="1">SUMIF(OFFSET(tongctvtdd1,0,-(COLUMN(E603)+7-(COLUMN(E603)-5)/2)),KLVT!$A603,tongctvtdd1)+SUMIF(OFFSET(tongctvtpk1,0,-(COLUMN(E603)+7-(COLUMN(E603)-5)/2)),KLVT!$A603,tongctvtpk1)</f>
        <v>0</v>
      </c>
      <c r="F603" s="449">
        <f ca="1">SUMIF(OFFSET(cttba_vlvt1_1,0,-9,-ROW(cttba_vlvt1_1)+ROW(cttba_vltb1_1)-10),KLVT!$A603,OFFSET(cttba_vlvt1_1,0,-4,-ROW(cttba_vlvt1_1)+ROW(cttba_vltb1_1)-10))</f>
        <v>0</v>
      </c>
      <c r="G603" s="451">
        <f t="shared" ca="1" si="104"/>
        <v>0</v>
      </c>
      <c r="H603" s="450">
        <f t="shared" si="105"/>
        <v>1000</v>
      </c>
      <c r="I603" s="447">
        <f t="shared" ca="1" si="106"/>
        <v>0</v>
      </c>
      <c r="J603" s="447">
        <f t="shared" ca="1" si="107"/>
        <v>0</v>
      </c>
      <c r="K603" s="373">
        <f t="shared" ca="1" si="103"/>
        <v>0</v>
      </c>
    </row>
    <row r="604" spans="1:12" s="45" customFormat="1" ht="15.75" hidden="1">
      <c r="A604" s="373" t="str">
        <f>IF(AND(COUNTIF($A$5:$A$133,R_DG!A478)=0,R_DG!R478&gt;0,ISNUMBER(R_DG!R478)),R_DG!A478,"NONE")</f>
        <v>DINH</v>
      </c>
      <c r="B604" s="85">
        <f ca="1">IF(K604&gt;0,COUNTIF(K$6:K604,"&gt;0"),B603)</f>
        <v>31</v>
      </c>
      <c r="C604" s="1084" t="str">
        <f t="shared" si="101"/>
        <v>Đinh các loại</v>
      </c>
      <c r="D604" s="85" t="str">
        <f t="shared" si="102"/>
        <v>kg</v>
      </c>
      <c r="E604" s="448">
        <f ca="1">SUMIF(OFFSET(tongctvtdd1,0,-(COLUMN(E604)+7-(COLUMN(E604)-5)/2)),KLVT!$A604,tongctvtdd1)+SUMIF(OFFSET(tongctvtpk1,0,-(COLUMN(E604)+7-(COLUMN(E604)-5)/2)),KLVT!$A604,tongctvtpk1)</f>
        <v>0</v>
      </c>
      <c r="F604" s="449">
        <f ca="1">SUMIF(OFFSET(cttba_vlvt1_1,0,-9,-ROW(cttba_vlvt1_1)+ROW(cttba_vltb1_1)-10),KLVT!$A604,OFFSET(cttba_vlvt1_1,0,-4,-ROW(cttba_vlvt1_1)+ROW(cttba_vltb1_1)-10))</f>
        <v>0</v>
      </c>
      <c r="G604" s="451">
        <f t="shared" ca="1" si="104"/>
        <v>0</v>
      </c>
      <c r="H604" s="450">
        <f t="shared" si="105"/>
        <v>1</v>
      </c>
      <c r="I604" s="447">
        <f t="shared" ca="1" si="106"/>
        <v>0</v>
      </c>
      <c r="J604" s="447">
        <f t="shared" ca="1" si="107"/>
        <v>0</v>
      </c>
      <c r="K604" s="373">
        <f t="shared" ca="1" si="103"/>
        <v>0</v>
      </c>
    </row>
    <row r="605" spans="1:12">
      <c r="A605" s="1251" t="str">
        <f>IF(AND(COUNTIF($A$5:$A$133,R_DG!A479)=0,R_DG!R479&gt;0,ISNUMBER(R_DG!R479)),R_DG!A479,"NONE")</f>
        <v>D1X2</v>
      </c>
      <c r="B605" s="438">
        <f ca="1">IF(K605&gt;0,COUNTIF(K$6:K605,"&gt;0"),B604)</f>
        <v>32</v>
      </c>
      <c r="C605" s="1278" t="str">
        <f t="shared" si="101"/>
        <v>Đá 1x2</v>
      </c>
      <c r="D605" s="438" t="str">
        <f t="shared" si="102"/>
        <v>m3</v>
      </c>
      <c r="E605" s="1276">
        <f ca="1">SUMIF(OFFSET(tongctvtdd1,0,-(COLUMN(E605)+7-(COLUMN(E605)-5)/2)),KLVT!$A605,tongctvtdd1)+SUMIF(OFFSET(tongctvtpk1,0,-(COLUMN(E605)+7-(COLUMN(E605)-5)/2)),KLVT!$A605,tongctvtpk1)</f>
        <v>6.6579999999999995</v>
      </c>
      <c r="F605" s="1277">
        <f ca="1">SUMIF(OFFSET(cttba_vlvt1_1,0,-9,-ROW(cttba_vlvt1_1)+ROW(cttba_vltb1_1)-10),KLVT!$A605,OFFSET(cttba_vlvt1_1,0,-4,-ROW(cttba_vlvt1_1)+ROW(cttba_vltb1_1)-10))</f>
        <v>0</v>
      </c>
      <c r="G605" s="1277">
        <f t="shared" ca="1" si="104"/>
        <v>6.6579999999999995</v>
      </c>
      <c r="H605" s="1274"/>
      <c r="I605" s="1279">
        <f t="shared" ca="1" si="106"/>
        <v>0</v>
      </c>
      <c r="J605" s="1279">
        <f t="shared" ca="1" si="107"/>
        <v>0</v>
      </c>
      <c r="K605" s="1268">
        <f t="shared" ca="1" si="103"/>
        <v>1</v>
      </c>
      <c r="L605" s="1251" t="s">
        <v>4955</v>
      </c>
    </row>
    <row r="606" spans="1:12" s="45" customFormat="1" ht="15.75" hidden="1">
      <c r="A606" s="373" t="str">
        <f>IF(AND(COUNTIF($A$5:$A$133,R_DG!A480)=0,R_DG!R480&gt;0,ISNUMBER(R_DG!R480)),R_DG!A480,"NONE")</f>
        <v>D0X4</v>
      </c>
      <c r="B606" s="85">
        <f ca="1">IF(K606&gt;0,COUNTIF(K$6:K606,"&gt;0"),B605)</f>
        <v>32</v>
      </c>
      <c r="C606" s="1084" t="str">
        <f t="shared" si="101"/>
        <v>Đá 0x4</v>
      </c>
      <c r="D606" s="85" t="str">
        <f t="shared" si="102"/>
        <v>m3</v>
      </c>
      <c r="E606" s="448">
        <f ca="1">SUMIF(OFFSET(tongctvtdd1,0,-(COLUMN(E606)+7-(COLUMN(E606)-5)/2)),KLVT!$A606,tongctvtdd1)+SUMIF(OFFSET(tongctvtpk1,0,-(COLUMN(E606)+7-(COLUMN(E606)-5)/2)),KLVT!$A606,tongctvtpk1)</f>
        <v>0</v>
      </c>
      <c r="F606" s="449">
        <f ca="1">SUMIF(OFFSET(cttba_vlvt1_1,0,-9,-ROW(cttba_vlvt1_1)+ROW(cttba_vltb1_1)-10),KLVT!$A606,OFFSET(cttba_vlvt1_1,0,-4,-ROW(cttba_vlvt1_1)+ROW(cttba_vltb1_1)-10))</f>
        <v>0</v>
      </c>
      <c r="G606" s="451">
        <f t="shared" ca="1" si="104"/>
        <v>0</v>
      </c>
      <c r="H606" s="450">
        <f t="shared" si="105"/>
        <v>1500</v>
      </c>
      <c r="I606" s="447">
        <f t="shared" ca="1" si="106"/>
        <v>0</v>
      </c>
      <c r="J606" s="447">
        <f t="shared" ca="1" si="107"/>
        <v>0</v>
      </c>
      <c r="K606" s="374">
        <f t="shared" ca="1" si="103"/>
        <v>0</v>
      </c>
    </row>
    <row r="607" spans="1:12" s="45" customFormat="1" ht="15.75" hidden="1">
      <c r="A607" s="373" t="str">
        <f>IF(AND(COUNTIF($A$5:$A$133,R_DG!A481)=0,R_DG!R481&gt;0,ISNUMBER(R_DG!R481)),R_DG!A481,"NONE")</f>
        <v>D2X4</v>
      </c>
      <c r="B607" s="85">
        <f ca="1">IF(K607&gt;0,COUNTIF(K$6:K607,"&gt;0"),B606)</f>
        <v>32</v>
      </c>
      <c r="C607" s="1084" t="str">
        <f t="shared" si="101"/>
        <v>Đá 2x4</v>
      </c>
      <c r="D607" s="85" t="str">
        <f t="shared" si="102"/>
        <v>m3</v>
      </c>
      <c r="E607" s="448">
        <f ca="1">SUMIF(OFFSET(tongctvtdd1,0,-(COLUMN(E607)+7-(COLUMN(E607)-5)/2)),KLVT!$A607,tongctvtdd1)+SUMIF(OFFSET(tongctvtpk1,0,-(COLUMN(E607)+7-(COLUMN(E607)-5)/2)),KLVT!$A607,tongctvtpk1)</f>
        <v>0</v>
      </c>
      <c r="F607" s="449">
        <f ca="1">SUMIF(OFFSET(cttba_vlvt1_1,0,-9,-ROW(cttba_vlvt1_1)+ROW(cttba_vltb1_1)-10),KLVT!$A607,OFFSET(cttba_vlvt1_1,0,-4,-ROW(cttba_vlvt1_1)+ROW(cttba_vltb1_1)-10))</f>
        <v>0</v>
      </c>
      <c r="G607" s="451">
        <f t="shared" ca="1" si="104"/>
        <v>0</v>
      </c>
      <c r="H607" s="450"/>
      <c r="I607" s="447">
        <f t="shared" ca="1" si="106"/>
        <v>0</v>
      </c>
      <c r="J607" s="447">
        <f t="shared" ca="1" si="107"/>
        <v>0</v>
      </c>
      <c r="K607" s="374">
        <f t="shared" ca="1" si="103"/>
        <v>0</v>
      </c>
      <c r="L607" s="373" t="s">
        <v>4955</v>
      </c>
    </row>
    <row r="608" spans="1:12" s="45" customFormat="1" ht="15.75" hidden="1">
      <c r="A608" s="373" t="str">
        <f>IF(AND(COUNTIF($A$5:$A$133,R_DG!A482)=0,R_DG!R482&gt;0,ISNUMBER(R_DG!R482)),R_DG!A482,"NONE")</f>
        <v>D4X6</v>
      </c>
      <c r="B608" s="85">
        <f ca="1">IF(K608&gt;0,COUNTIF(K$6:K608,"&gt;0"),B607)</f>
        <v>32</v>
      </c>
      <c r="C608" s="1084" t="str">
        <f t="shared" si="101"/>
        <v>Đá 4x6</v>
      </c>
      <c r="D608" s="85" t="str">
        <f t="shared" si="102"/>
        <v>m3</v>
      </c>
      <c r="E608" s="448">
        <f ca="1">SUMIF(OFFSET(tongctvtdd1,0,-(COLUMN(E608)+7-(COLUMN(E608)-5)/2)),KLVT!$A608,tongctvtdd1)+SUMIF(OFFSET(tongctvtpk1,0,-(COLUMN(E608)+7-(COLUMN(E608)-5)/2)),KLVT!$A608,tongctvtpk1)</f>
        <v>0</v>
      </c>
      <c r="F608" s="449">
        <f ca="1">SUMIF(OFFSET(cttba_vlvt1_1,0,-9,-ROW(cttba_vlvt1_1)+ROW(cttba_vltb1_1)-10),KLVT!$A608,OFFSET(cttba_vlvt1_1,0,-4,-ROW(cttba_vlvt1_1)+ROW(cttba_vltb1_1)-10))</f>
        <v>0</v>
      </c>
      <c r="G608" s="451">
        <f t="shared" ca="1" si="104"/>
        <v>0</v>
      </c>
      <c r="H608" s="450"/>
      <c r="I608" s="447">
        <f t="shared" ca="1" si="106"/>
        <v>0</v>
      </c>
      <c r="J608" s="447">
        <f t="shared" ca="1" si="107"/>
        <v>0</v>
      </c>
      <c r="K608" s="373">
        <f t="shared" ca="1" si="103"/>
        <v>0</v>
      </c>
      <c r="L608" s="373" t="s">
        <v>4955</v>
      </c>
    </row>
    <row r="609" spans="1:12">
      <c r="A609" s="1251" t="str">
        <f>IF(AND(COUNTIF($A$5:$A$133,R_DG!A483)=0,R_DG!R483&gt;0,ISNUMBER(R_DG!R483)),R_DG!A483,"NONE")</f>
        <v>CV</v>
      </c>
      <c r="B609" s="438">
        <f ca="1">IF(K609&gt;0,COUNTIF(K$6:K609,"&gt;0"),B608)</f>
        <v>33</v>
      </c>
      <c r="C609" s="1278" t="str">
        <f t="shared" ref="C609:C632" si="108">VLOOKUP(A609,DONGIA,3,0)</f>
        <v>Cát vàng</v>
      </c>
      <c r="D609" s="438" t="str">
        <f t="shared" ref="D609:D632" si="109">VLOOKUP(A609,DONGIA,4,0)</f>
        <v>m3</v>
      </c>
      <c r="E609" s="1276">
        <f ca="1">SUMIF(OFFSET(tongctvtdd1,0,-(COLUMN(E609)+7-(COLUMN(E609)-5)/2)),KLVT!$A609,tongctvtdd1)+SUMIF(OFFSET(tongctvtpk1,0,-(COLUMN(E609)+7-(COLUMN(E609)-5)/2)),KLVT!$A609,tongctvtpk1)</f>
        <v>3.1319999999999997</v>
      </c>
      <c r="F609" s="1277">
        <f ca="1">SUMIF(OFFSET(cttba_vlvt1_1,0,-9,-ROW(cttba_vlvt1_1)+ROW(cttba_vltb1_1)-10),KLVT!$A609,OFFSET(cttba_vlvt1_1,0,-4,-ROW(cttba_vlvt1_1)+ROW(cttba_vltb1_1)-10))</f>
        <v>0</v>
      </c>
      <c r="G609" s="1277">
        <f t="shared" ca="1" si="104"/>
        <v>3.1319999999999997</v>
      </c>
      <c r="H609" s="1274"/>
      <c r="I609" s="1279">
        <f t="shared" ca="1" si="106"/>
        <v>0</v>
      </c>
      <c r="J609" s="1279">
        <f t="shared" ca="1" si="107"/>
        <v>0</v>
      </c>
      <c r="K609" s="1268">
        <f t="shared" ca="1" si="103"/>
        <v>1</v>
      </c>
      <c r="L609" s="1251" t="s">
        <v>4955</v>
      </c>
    </row>
    <row r="610" spans="1:12" s="45" customFormat="1" ht="15.75" hidden="1">
      <c r="A610" s="373" t="str">
        <f>IF(AND(COUNTIF($A$5:$A$133,R_DG!A484)=0,R_DG!R484&gt;0,ISNUMBER(R_DG!R484)),R_DG!A484,"NONE")</f>
        <v>GACHONG</v>
      </c>
      <c r="B610" s="85">
        <f ca="1">IF(K610&gt;0,COUNTIF(K$6:K610,"&gt;0"),B609)</f>
        <v>33</v>
      </c>
      <c r="C610" s="1084" t="str">
        <f t="shared" si="108"/>
        <v>Gạch ống</v>
      </c>
      <c r="D610" s="85" t="str">
        <f t="shared" si="109"/>
        <v>viên</v>
      </c>
      <c r="E610" s="448">
        <f ca="1">SUMIF(OFFSET(tongctvtdd1,0,-(COLUMN(E610)+7-(COLUMN(E610)-5)/2)),KLVT!$A610,tongctvtdd1)+SUMIF(OFFSET(tongctvtpk1,0,-(COLUMN(E610)+7-(COLUMN(E610)-5)/2)),KLVT!$A610,tongctvtpk1)</f>
        <v>0</v>
      </c>
      <c r="F610" s="449">
        <f ca="1">SUMIF(OFFSET(cttba_vlvt1_1,0,-9,-ROW(cttba_vlvt1_1)+ROW(cttba_vltb1_1)-10),KLVT!$A610,OFFSET(cttba_vlvt1_1,0,-4,-ROW(cttba_vlvt1_1)+ROW(cttba_vltb1_1)-10))</f>
        <v>0</v>
      </c>
      <c r="G610" s="451">
        <f t="shared" ca="1" si="104"/>
        <v>0</v>
      </c>
      <c r="H610" s="450">
        <f t="shared" si="105"/>
        <v>0.5</v>
      </c>
      <c r="I610" s="447">
        <f t="shared" ca="1" si="106"/>
        <v>0</v>
      </c>
      <c r="J610" s="447">
        <f t="shared" ca="1" si="107"/>
        <v>0</v>
      </c>
      <c r="K610" s="374">
        <f t="shared" ca="1" si="103"/>
        <v>0</v>
      </c>
    </row>
    <row r="611" spans="1:12" s="45" customFormat="1" ht="15.75" hidden="1">
      <c r="A611" s="373" t="str">
        <f>IF(AND(COUNTIF($A$5:$A$133,R_DG!A485)=0,R_DG!R485&gt;0,ISNUMBER(R_DG!R485)),R_DG!A485,"NONE")</f>
        <v>GACHTAU</v>
      </c>
      <c r="B611" s="85">
        <f ca="1">IF(K611&gt;0,COUNTIF(K$6:K611,"&gt;0"),B610)</f>
        <v>33</v>
      </c>
      <c r="C611" s="1084" t="str">
        <f t="shared" si="108"/>
        <v>Gạch tàu (30x30x30)</v>
      </c>
      <c r="D611" s="85" t="str">
        <f t="shared" si="109"/>
        <v>viên</v>
      </c>
      <c r="E611" s="448">
        <f ca="1">SUMIF(OFFSET(tongctvtdd1,0,-(COLUMN(E611)+7-(COLUMN(E611)-5)/2)),KLVT!$A611,tongctvtdd1)+SUMIF(OFFSET(tongctvtpk1,0,-(COLUMN(E611)+7-(COLUMN(E611)-5)/2)),KLVT!$A611,tongctvtpk1)</f>
        <v>0</v>
      </c>
      <c r="F611" s="449">
        <f ca="1">SUMIF(OFFSET(cttba_vlvt1_1,0,-9,-ROW(cttba_vlvt1_1)+ROW(cttba_vltb1_1)-10),KLVT!$A611,OFFSET(cttba_vlvt1_1,0,-4,-ROW(cttba_vlvt1_1)+ROW(cttba_vltb1_1)-10))</f>
        <v>0</v>
      </c>
      <c r="G611" s="451">
        <f t="shared" ca="1" si="104"/>
        <v>0</v>
      </c>
      <c r="H611" s="450">
        <f t="shared" si="105"/>
        <v>0.2</v>
      </c>
      <c r="I611" s="447">
        <f t="shared" ca="1" si="106"/>
        <v>0</v>
      </c>
      <c r="J611" s="447">
        <f t="shared" ca="1" si="107"/>
        <v>0</v>
      </c>
      <c r="K611" s="374">
        <f t="shared" ca="1" si="103"/>
        <v>0</v>
      </c>
    </row>
    <row r="612" spans="1:12" s="45" customFormat="1" ht="15.75" hidden="1">
      <c r="A612" s="373" t="str">
        <f>IF(AND(COUNTIF($A$5:$A$133,R_DG!A486)=0,R_DG!R486&gt;0,ISNUMBER(R_DG!R486)),R_DG!A486,"NONE")</f>
        <v>GACHTHE</v>
      </c>
      <c r="B612" s="85">
        <f ca="1">IF(K612&gt;0,COUNTIF(K$6:K612,"&gt;0"),B611)</f>
        <v>33</v>
      </c>
      <c r="C612" s="1084" t="str">
        <f t="shared" si="108"/>
        <v>Gạch thẻ 4x8x19</v>
      </c>
      <c r="D612" s="85" t="str">
        <f t="shared" si="109"/>
        <v>viên</v>
      </c>
      <c r="E612" s="448">
        <f ca="1">SUMIF(OFFSET(tongctvtdd1,0,-(COLUMN(E612)+7-(COLUMN(E612)-5)/2)),KLVT!$A612,tongctvtdd1)+SUMIF(OFFSET(tongctvtpk1,0,-(COLUMN(E612)+7-(COLUMN(E612)-5)/2)),KLVT!$A612,tongctvtpk1)</f>
        <v>0</v>
      </c>
      <c r="F612" s="449">
        <f ca="1">SUMIF(OFFSET(cttba_vlvt1_1,0,-9,-ROW(cttba_vlvt1_1)+ROW(cttba_vltb1_1)-10),KLVT!$A612,OFFSET(cttba_vlvt1_1,0,-4,-ROW(cttba_vlvt1_1)+ROW(cttba_vltb1_1)-10))</f>
        <v>0</v>
      </c>
      <c r="G612" s="451">
        <f t="shared" ca="1" si="104"/>
        <v>0</v>
      </c>
      <c r="H612" s="450">
        <f t="shared" si="105"/>
        <v>0.5</v>
      </c>
      <c r="I612" s="447">
        <f t="shared" ca="1" si="106"/>
        <v>0</v>
      </c>
      <c r="J612" s="447">
        <f t="shared" ca="1" si="107"/>
        <v>0</v>
      </c>
      <c r="K612" s="373">
        <f t="shared" ca="1" si="103"/>
        <v>0</v>
      </c>
    </row>
    <row r="613" spans="1:12">
      <c r="A613" s="1251" t="str">
        <f>IF(AND(COUNTIF($A$5:$A$133,R_DG!A487)=0,R_DG!R487&gt;0,ISNUMBER(R_DG!R487)),R_DG!A487,"NONE")</f>
        <v>XM</v>
      </c>
      <c r="B613" s="438">
        <f ca="1">IF(K613&gt;0,COUNTIF(K$6:K613,"&gt;0"),B612)</f>
        <v>34</v>
      </c>
      <c r="C613" s="1278" t="str">
        <f t="shared" si="108"/>
        <v>Ximăng</v>
      </c>
      <c r="D613" s="438" t="str">
        <f t="shared" si="109"/>
        <v>kg</v>
      </c>
      <c r="E613" s="1276">
        <f ca="1">SUMIF(OFFSET(tongctvtdd1,0,-(COLUMN(E613)+7-(COLUMN(E613)-5)/2)),KLVT!$A613,tongctvtdd1)+SUMIF(OFFSET(tongctvtpk1,0,-(COLUMN(E613)+7-(COLUMN(E613)-5)/2)),KLVT!$A613,tongctvtpk1)</f>
        <v>2236.6</v>
      </c>
      <c r="F613" s="1277">
        <f ca="1">SUMIF(OFFSET(cttba_vlvt1_1,0,-9,-ROW(cttba_vlvt1_1)+ROW(cttba_vltb1_1)-10),KLVT!$A613,OFFSET(cttba_vlvt1_1,0,-4,-ROW(cttba_vlvt1_1)+ROW(cttba_vltb1_1)-10))</f>
        <v>0</v>
      </c>
      <c r="G613" s="1277">
        <f t="shared" ca="1" si="104"/>
        <v>2236.6</v>
      </c>
      <c r="H613" s="1274"/>
      <c r="I613" s="1279">
        <f t="shared" ca="1" si="106"/>
        <v>0</v>
      </c>
      <c r="J613" s="1279">
        <f t="shared" ca="1" si="107"/>
        <v>0</v>
      </c>
      <c r="K613" s="1268">
        <f t="shared" ca="1" si="103"/>
        <v>1</v>
      </c>
      <c r="L613" s="1251" t="s">
        <v>4955</v>
      </c>
    </row>
    <row r="614" spans="1:12" s="45" customFormat="1" ht="15.75" hidden="1">
      <c r="A614" s="373" t="str">
        <f>IF(AND(COUNTIF($A$5:$A$133,R_DG!A488)=0,R_DG!R488&gt;0,ISNUMBER(R_DG!R488)),R_DG!A488,"NONE")</f>
        <v>QHAN</v>
      </c>
      <c r="B614" s="85">
        <f ca="1">IF(K614&gt;0,COUNTIF(K$6:K614,"&gt;0"),B613)</f>
        <v>34</v>
      </c>
      <c r="C614" s="1084" t="str">
        <f t="shared" si="108"/>
        <v>Que hàn điện 2,5mm</v>
      </c>
      <c r="D614" s="85" t="str">
        <f t="shared" si="109"/>
        <v>kg</v>
      </c>
      <c r="E614" s="448">
        <f ca="1">SUMIF(OFFSET(tongctvtdd1,0,-(COLUMN(E614)+7-(COLUMN(E614)-5)/2)),KLVT!$A614,tongctvtdd1)+SUMIF(OFFSET(tongctvtpk1,0,-(COLUMN(E614)+7-(COLUMN(E614)-5)/2)),KLVT!$A614,tongctvtpk1)</f>
        <v>0</v>
      </c>
      <c r="F614" s="449">
        <f ca="1">SUMIF(OFFSET(cttba_vlvt1_1,0,-9,-ROW(cttba_vlvt1_1)+ROW(cttba_vltb1_1)-10),KLVT!$A614,OFFSET(cttba_vlvt1_1,0,-4,-ROW(cttba_vlvt1_1)+ROW(cttba_vltb1_1)-10))</f>
        <v>0</v>
      </c>
      <c r="G614" s="451">
        <f t="shared" ca="1" si="104"/>
        <v>0</v>
      </c>
      <c r="H614" s="450">
        <f t="shared" si="105"/>
        <v>1</v>
      </c>
      <c r="I614" s="447">
        <f t="shared" ca="1" si="106"/>
        <v>0</v>
      </c>
      <c r="J614" s="447">
        <f t="shared" ca="1" si="107"/>
        <v>0</v>
      </c>
      <c r="K614" s="373">
        <f t="shared" ca="1" si="103"/>
        <v>0</v>
      </c>
    </row>
    <row r="615" spans="1:12" s="45" customFormat="1" ht="15.75" hidden="1">
      <c r="A615" s="373" t="str">
        <f>IF(AND(COUNTIF($A$5:$A$133,R_DG!A489)=0,R_DG!R489&gt;0,ISNUMBER(R_DG!R489)),R_DG!A489,"NONE")</f>
        <v>COSON</v>
      </c>
      <c r="B615" s="85">
        <f ca="1">IF(K615&gt;0,COUNTIF(K$6:K615,"&gt;0"),B614)</f>
        <v>34</v>
      </c>
      <c r="C615" s="1084" t="str">
        <f t="shared" si="108"/>
        <v>Cọ sơn</v>
      </c>
      <c r="D615" s="85" t="str">
        <f t="shared" si="109"/>
        <v>cái</v>
      </c>
      <c r="E615" s="448">
        <f ca="1">SUMIF(OFFSET(tongctvtdd1,0,-(COLUMN(E615)+7-(COLUMN(E615)-5)/2)),KLVT!$A615,tongctvtdd1)+SUMIF(OFFSET(tongctvtpk1,0,-(COLUMN(E615)+7-(COLUMN(E615)-5)/2)),KLVT!$A615,tongctvtpk1)</f>
        <v>0</v>
      </c>
      <c r="F615" s="449">
        <f ca="1">SUMIF(OFFSET(cttba_vlvt1_1,0,-9,-ROW(cttba_vlvt1_1)+ROW(cttba_vltb1_1)-10),KLVT!$A615,OFFSET(cttba_vlvt1_1,0,-4,-ROW(cttba_vlvt1_1)+ROW(cttba_vltb1_1)-10))</f>
        <v>0</v>
      </c>
      <c r="G615" s="451">
        <f t="shared" ca="1" si="104"/>
        <v>0</v>
      </c>
      <c r="H615" s="450">
        <f t="shared" si="105"/>
        <v>0.1</v>
      </c>
      <c r="I615" s="447">
        <f t="shared" ca="1" si="106"/>
        <v>0</v>
      </c>
      <c r="J615" s="447">
        <f t="shared" ca="1" si="107"/>
        <v>0</v>
      </c>
      <c r="K615" s="373">
        <f t="shared" ca="1" si="103"/>
        <v>0</v>
      </c>
    </row>
    <row r="616" spans="1:12" s="45" customFormat="1" ht="15.75" hidden="1">
      <c r="A616" s="373" t="str">
        <f>IF(AND(COUNTIF($A$5:$A$133,R_DG!A490)=0,R_DG!R490&gt;0,ISNUMBER(R_DG!R490)),R_DG!A490,"NONE")</f>
        <v>NILONG</v>
      </c>
      <c r="B616" s="85">
        <f ca="1">IF(K616&gt;0,COUNTIF(K$6:K616,"&gt;0"),B615)</f>
        <v>34</v>
      </c>
      <c r="C616" s="1084" t="str">
        <f t="shared" si="108"/>
        <v>Tấm nilông màu cảnh báo</v>
      </c>
      <c r="D616" s="85" t="str">
        <f t="shared" si="109"/>
        <v>m2</v>
      </c>
      <c r="E616" s="448">
        <f ca="1">SUMIF(OFFSET(tongctvtdd1,0,-(COLUMN(E616)+7-(COLUMN(E616)-5)/2)),KLVT!$A616,tongctvtdd1)+SUMIF(OFFSET(tongctvtpk1,0,-(COLUMN(E616)+7-(COLUMN(E616)-5)/2)),KLVT!$A616,tongctvtpk1)</f>
        <v>0</v>
      </c>
      <c r="F616" s="449">
        <f ca="1">SUMIF(OFFSET(cttba_vlvt1_1,0,-9,-ROW(cttba_vlvt1_1)+ROW(cttba_vltb1_1)-10),KLVT!$A616,OFFSET(cttba_vlvt1_1,0,-4,-ROW(cttba_vlvt1_1)+ROW(cttba_vltb1_1)-10))</f>
        <v>0</v>
      </c>
      <c r="G616" s="451">
        <f t="shared" ca="1" si="104"/>
        <v>0</v>
      </c>
      <c r="H616" s="450">
        <f t="shared" si="105"/>
        <v>0.1</v>
      </c>
      <c r="I616" s="447">
        <f t="shared" ca="1" si="106"/>
        <v>0</v>
      </c>
      <c r="J616" s="447">
        <f t="shared" ca="1" si="107"/>
        <v>0</v>
      </c>
      <c r="K616" s="374">
        <f t="shared" ca="1" si="103"/>
        <v>0</v>
      </c>
    </row>
    <row r="617" spans="1:12" s="45" customFormat="1" ht="15.75" hidden="1">
      <c r="A617" s="373" t="str">
        <f>IF(AND(COUNTIF($A$5:$A$133,R_DG!A491)=0,R_DG!R491&gt;0,ISNUMBER(R_DG!R491)),R_DG!A491,"NONE")</f>
        <v>NLON</v>
      </c>
      <c r="B617" s="85">
        <f ca="1">IF(K617&gt;0,COUNTIF(K$6:K617,"&gt;0"),B616)</f>
        <v>34</v>
      </c>
      <c r="C617" s="1084" t="str">
        <f t="shared" si="108"/>
        <v>Nylon làm dấu khổ 0.6m</v>
      </c>
      <c r="D617" s="85" t="str">
        <f t="shared" si="109"/>
        <v>m</v>
      </c>
      <c r="E617" s="448">
        <f ca="1">SUMIF(OFFSET(tongctvtdd1,0,-(COLUMN(E617)+7-(COLUMN(E617)-5)/2)),KLVT!$A617,tongctvtdd1)+SUMIF(OFFSET(tongctvtpk1,0,-(COLUMN(E617)+7-(COLUMN(E617)-5)/2)),KLVT!$A617,tongctvtpk1)</f>
        <v>0</v>
      </c>
      <c r="F617" s="449">
        <f ca="1">SUMIF(OFFSET(cttba_vlvt1_1,0,-9,-ROW(cttba_vlvt1_1)+ROW(cttba_vltb1_1)-10),KLVT!$A617,OFFSET(cttba_vlvt1_1,0,-4,-ROW(cttba_vlvt1_1)+ROW(cttba_vltb1_1)-10))</f>
        <v>0</v>
      </c>
      <c r="G617" s="451">
        <f t="shared" ca="1" si="104"/>
        <v>0</v>
      </c>
      <c r="H617" s="450">
        <f t="shared" si="105"/>
        <v>0.1</v>
      </c>
      <c r="I617" s="447">
        <f t="shared" ca="1" si="106"/>
        <v>0</v>
      </c>
      <c r="J617" s="447">
        <f t="shared" ca="1" si="107"/>
        <v>0</v>
      </c>
      <c r="K617" s="373">
        <f t="shared" ca="1" si="103"/>
        <v>0</v>
      </c>
    </row>
    <row r="618" spans="1:12" s="45" customFormat="1" ht="15.75" hidden="1">
      <c r="A618" s="373" t="str">
        <f>IF(AND(COUNTIF($A$5:$A$133,R_DG!A492)=0,R_DG!R492&gt;0,ISNUMBER(R_DG!R492)),R_DG!A492,"NONE")</f>
        <v>THEPB</v>
      </c>
      <c r="B618" s="85">
        <f ca="1">IF(K618&gt;0,COUNTIF(K$6:K618,"&gt;0"),B617)</f>
        <v>34</v>
      </c>
      <c r="C618" s="1084" t="str">
        <f t="shared" si="108"/>
        <v>Dây thép buộc</v>
      </c>
      <c r="D618" s="85" t="str">
        <f t="shared" si="109"/>
        <v>kg</v>
      </c>
      <c r="E618" s="448">
        <f ca="1">SUMIF(OFFSET(tongctvtdd1,0,-(COLUMN(E618)+7-(COLUMN(E618)-5)/2)),KLVT!$A618,tongctvtdd1)+SUMIF(OFFSET(tongctvtpk1,0,-(COLUMN(E618)+7-(COLUMN(E618)-5)/2)),KLVT!$A618,tongctvtpk1)</f>
        <v>0</v>
      </c>
      <c r="F618" s="449">
        <f ca="1">SUMIF(OFFSET(cttba_vlvt1_1,0,-9,-ROW(cttba_vlvt1_1)+ROW(cttba_vltb1_1)-10),KLVT!$A618,OFFSET(cttba_vlvt1_1,0,-4,-ROW(cttba_vlvt1_1)+ROW(cttba_vltb1_1)-10))</f>
        <v>0</v>
      </c>
      <c r="G618" s="451">
        <f t="shared" ca="1" si="104"/>
        <v>0</v>
      </c>
      <c r="H618" s="450">
        <f t="shared" si="105"/>
        <v>1</v>
      </c>
      <c r="I618" s="447">
        <f t="shared" ca="1" si="106"/>
        <v>0</v>
      </c>
      <c r="J618" s="447">
        <f t="shared" ca="1" si="107"/>
        <v>0</v>
      </c>
      <c r="K618" s="373">
        <f t="shared" ca="1" si="103"/>
        <v>0</v>
      </c>
    </row>
    <row r="619" spans="1:12" s="45" customFormat="1" ht="15.75" hidden="1">
      <c r="A619" s="373" t="str">
        <f>IF(AND(COUNTIF($A$5:$A$133,R_DG!A493)=0,R_DG!R493&gt;0,ISNUMBER(R_DG!R493)),R_DG!A493,"NONE")</f>
        <v>DAUCAP50</v>
      </c>
      <c r="B619" s="85">
        <f ca="1">IF(K619&gt;0,COUNTIF(K$6:K619,"&gt;0"),B618)</f>
        <v>34</v>
      </c>
      <c r="C619" s="1084" t="str">
        <f t="shared" si="108"/>
        <v>Đầu cáp ngầm 24kV 3x50mm2 outdoor</v>
      </c>
      <c r="D619" s="85" t="str">
        <f t="shared" si="109"/>
        <v>cái</v>
      </c>
      <c r="E619" s="448">
        <f ca="1">SUMIF(OFFSET(tongctvtdd1,0,-(COLUMN(E619)+7-(COLUMN(E619)-5)/2)),KLVT!$A619,tongctvtdd1)+SUMIF(OFFSET(tongctvtpk1,0,-(COLUMN(E619)+7-(COLUMN(E619)-5)/2)),KLVT!$A619,tongctvtpk1)</f>
        <v>0</v>
      </c>
      <c r="F619" s="449">
        <f ca="1">SUMIF(OFFSET(cttba_vlvt1_1,0,-9,-ROW(cttba_vlvt1_1)+ROW(cttba_vltb1_1)-10),KLVT!$A619,OFFSET(cttba_vlvt1_1,0,-4,-ROW(cttba_vlvt1_1)+ROW(cttba_vltb1_1)-10))</f>
        <v>0</v>
      </c>
      <c r="G619" s="451">
        <f t="shared" ca="1" si="104"/>
        <v>0</v>
      </c>
      <c r="H619" s="450">
        <f t="shared" si="105"/>
        <v>5</v>
      </c>
      <c r="I619" s="447">
        <f t="shared" ca="1" si="106"/>
        <v>0</v>
      </c>
      <c r="J619" s="447">
        <f t="shared" ca="1" si="107"/>
        <v>0</v>
      </c>
      <c r="K619" s="373">
        <f t="shared" ca="1" si="103"/>
        <v>0</v>
      </c>
    </row>
    <row r="620" spans="1:12" s="45" customFormat="1" ht="15.75" hidden="1">
      <c r="A620" s="373" t="str">
        <f>IF(AND(COUNTIF($A$5:$A$133,R_DG!A494)=0,R_DG!R494&gt;0,ISNUMBER(R_DG!R494)),R_DG!A494,"NONE")</f>
        <v>DAUCAP70</v>
      </c>
      <c r="B620" s="85">
        <f ca="1">IF(K620&gt;0,COUNTIF(K$6:K620,"&gt;0"),B619)</f>
        <v>34</v>
      </c>
      <c r="C620" s="1084" t="str">
        <f t="shared" si="108"/>
        <v>Đầu cáp ngầm 24kV 3x70mm2 outdoor</v>
      </c>
      <c r="D620" s="85" t="str">
        <f t="shared" si="109"/>
        <v>cái</v>
      </c>
      <c r="E620" s="448">
        <f ca="1">SUMIF(OFFSET(tongctvtdd1,0,-(COLUMN(E620)+7-(COLUMN(E620)-5)/2)),KLVT!$A620,tongctvtdd1)+SUMIF(OFFSET(tongctvtpk1,0,-(COLUMN(E620)+7-(COLUMN(E620)-5)/2)),KLVT!$A620,tongctvtpk1)</f>
        <v>0</v>
      </c>
      <c r="F620" s="449">
        <f ca="1">SUMIF(OFFSET(cttba_vlvt1_1,0,-9,-ROW(cttba_vlvt1_1)+ROW(cttba_vltb1_1)-10),KLVT!$A620,OFFSET(cttba_vlvt1_1,0,-4,-ROW(cttba_vlvt1_1)+ROW(cttba_vltb1_1)-10))</f>
        <v>0</v>
      </c>
      <c r="G620" s="451">
        <f t="shared" ca="1" si="104"/>
        <v>0</v>
      </c>
      <c r="H620" s="450">
        <f t="shared" si="105"/>
        <v>5</v>
      </c>
      <c r="I620" s="447">
        <f t="shared" ca="1" si="106"/>
        <v>0</v>
      </c>
      <c r="J620" s="447">
        <f t="shared" ca="1" si="107"/>
        <v>0</v>
      </c>
      <c r="K620" s="373">
        <f t="shared" ca="1" si="103"/>
        <v>0</v>
      </c>
    </row>
    <row r="621" spans="1:12" s="45" customFormat="1" ht="15.75" hidden="1">
      <c r="A621" s="373" t="str">
        <f>IF(AND(COUNTIF($A$5:$A$133,R_DG!A495)=0,R_DG!R495&gt;0,ISNUMBER(R_DG!R495)),R_DG!A495,"NONE")</f>
        <v>DAUCAP95</v>
      </c>
      <c r="B621" s="85">
        <f ca="1">IF(K621&gt;0,COUNTIF(K$6:K621,"&gt;0"),B620)</f>
        <v>34</v>
      </c>
      <c r="C621" s="1084" t="str">
        <f t="shared" si="108"/>
        <v>Đầu cáp ngầm 24kV 3x95mm2 outdoor</v>
      </c>
      <c r="D621" s="85" t="str">
        <f t="shared" si="109"/>
        <v>cái</v>
      </c>
      <c r="E621" s="448">
        <f ca="1">SUMIF(OFFSET(tongctvtdd1,0,-(COLUMN(E621)+7-(COLUMN(E621)-5)/2)),KLVT!$A621,tongctvtdd1)+SUMIF(OFFSET(tongctvtpk1,0,-(COLUMN(E621)+7-(COLUMN(E621)-5)/2)),KLVT!$A621,tongctvtpk1)</f>
        <v>0</v>
      </c>
      <c r="F621" s="449">
        <f ca="1">SUMIF(OFFSET(cttba_vlvt1_1,0,-9,-ROW(cttba_vlvt1_1)+ROW(cttba_vltb1_1)-10),KLVT!$A621,OFFSET(cttba_vlvt1_1,0,-4,-ROW(cttba_vlvt1_1)+ROW(cttba_vltb1_1)-10))</f>
        <v>0</v>
      </c>
      <c r="G621" s="451">
        <f t="shared" ca="1" si="104"/>
        <v>0</v>
      </c>
      <c r="H621" s="450">
        <f t="shared" si="105"/>
        <v>5</v>
      </c>
      <c r="I621" s="447">
        <f t="shared" ca="1" si="106"/>
        <v>0</v>
      </c>
      <c r="J621" s="447">
        <f t="shared" ca="1" si="107"/>
        <v>0</v>
      </c>
      <c r="K621" s="373">
        <f t="shared" ca="1" si="103"/>
        <v>0</v>
      </c>
    </row>
    <row r="622" spans="1:12" s="45" customFormat="1" ht="15.75" hidden="1">
      <c r="A622" s="373" t="str">
        <f>IF(AND(COUNTIF($A$5:$A$133,R_DG!A496)=0,R_DG!R496&gt;0,ISNUMBER(R_DG!R496)),R_DG!A496,"NONE")</f>
        <v>DAUCAP120</v>
      </c>
      <c r="B622" s="85">
        <f ca="1">IF(K622&gt;0,COUNTIF(K$6:K622,"&gt;0"),B621)</f>
        <v>34</v>
      </c>
      <c r="C622" s="1084" t="str">
        <f t="shared" si="108"/>
        <v>Đầu cáp ngầm 24kV 3x120mm2 outdoor</v>
      </c>
      <c r="D622" s="85" t="str">
        <f t="shared" si="109"/>
        <v>cái</v>
      </c>
      <c r="E622" s="448">
        <f ca="1">SUMIF(OFFSET(tongctvtdd1,0,-(COLUMN(E622)+7-(COLUMN(E622)-5)/2)),KLVT!$A622,tongctvtdd1)+SUMIF(OFFSET(tongctvtpk1,0,-(COLUMN(E622)+7-(COLUMN(E622)-5)/2)),KLVT!$A622,tongctvtpk1)</f>
        <v>0</v>
      </c>
      <c r="F622" s="449">
        <f ca="1">SUMIF(OFFSET(cttba_vlvt1_1,0,-9,-ROW(cttba_vlvt1_1)+ROW(cttba_vltb1_1)-10),KLVT!$A622,OFFSET(cttba_vlvt1_1,0,-4,-ROW(cttba_vlvt1_1)+ROW(cttba_vltb1_1)-10))</f>
        <v>0</v>
      </c>
      <c r="G622" s="451">
        <f t="shared" ca="1" si="104"/>
        <v>0</v>
      </c>
      <c r="H622" s="450">
        <f t="shared" si="105"/>
        <v>5</v>
      </c>
      <c r="I622" s="447">
        <f t="shared" ca="1" si="106"/>
        <v>0</v>
      </c>
      <c r="J622" s="447">
        <f t="shared" ca="1" si="107"/>
        <v>0</v>
      </c>
      <c r="K622" s="373">
        <f t="shared" ca="1" si="103"/>
        <v>0</v>
      </c>
    </row>
    <row r="623" spans="1:12" s="45" customFormat="1" ht="15.75" hidden="1">
      <c r="A623" s="373" t="str">
        <f>IF(AND(COUNTIF($A$5:$A$133,R_DG!A497)=0,R_DG!R497&gt;0,ISNUMBER(R_DG!R497)),R_DG!A497,"NONE")</f>
        <v>DAUCAP150</v>
      </c>
      <c r="B623" s="85">
        <f ca="1">IF(K623&gt;0,COUNTIF(K$6:K623,"&gt;0"),B622)</f>
        <v>34</v>
      </c>
      <c r="C623" s="1084" t="str">
        <f t="shared" si="108"/>
        <v>Đầu cáp ngầm 24kV 3x150mm2 outdoor</v>
      </c>
      <c r="D623" s="85" t="str">
        <f t="shared" si="109"/>
        <v>cái</v>
      </c>
      <c r="E623" s="448">
        <f ca="1">SUMIF(OFFSET(tongctvtdd1,0,-(COLUMN(E623)+7-(COLUMN(E623)-5)/2)),KLVT!$A623,tongctvtdd1)+SUMIF(OFFSET(tongctvtpk1,0,-(COLUMN(E623)+7-(COLUMN(E623)-5)/2)),KLVT!$A623,tongctvtpk1)</f>
        <v>0</v>
      </c>
      <c r="F623" s="449">
        <f ca="1">SUMIF(OFFSET(cttba_vlvt1_1,0,-9,-ROW(cttba_vlvt1_1)+ROW(cttba_vltb1_1)-10),KLVT!$A623,OFFSET(cttba_vlvt1_1,0,-4,-ROW(cttba_vlvt1_1)+ROW(cttba_vltb1_1)-10))</f>
        <v>0</v>
      </c>
      <c r="G623" s="451">
        <f t="shared" ca="1" si="104"/>
        <v>0</v>
      </c>
      <c r="H623" s="450">
        <f t="shared" si="105"/>
        <v>5</v>
      </c>
      <c r="I623" s="447">
        <f t="shared" ca="1" si="106"/>
        <v>0</v>
      </c>
      <c r="J623" s="447">
        <f t="shared" ca="1" si="107"/>
        <v>0</v>
      </c>
      <c r="K623" s="373">
        <f t="shared" ca="1" si="103"/>
        <v>0</v>
      </c>
    </row>
    <row r="624" spans="1:12" s="45" customFormat="1" ht="15.75" hidden="1">
      <c r="A624" s="373" t="str">
        <f>IF(AND(COUNTIF($A$5:$A$133,R_DG!A498)=0,R_DG!R498&gt;0,ISNUMBER(R_DG!R498)),R_DG!A498,"NONE")</f>
        <v>DAUCAP185</v>
      </c>
      <c r="B624" s="85">
        <f ca="1">IF(K624&gt;0,COUNTIF(K$6:K624,"&gt;0"),B623)</f>
        <v>34</v>
      </c>
      <c r="C624" s="1084" t="str">
        <f t="shared" si="108"/>
        <v>Đầu cáp ngầm 24kV 3x185mm2 outdoor</v>
      </c>
      <c r="D624" s="85" t="str">
        <f t="shared" si="109"/>
        <v>cái</v>
      </c>
      <c r="E624" s="448">
        <f ca="1">SUMIF(OFFSET(tongctvtdd1,0,-(COLUMN(E624)+7-(COLUMN(E624)-5)/2)),KLVT!$A624,tongctvtdd1)+SUMIF(OFFSET(tongctvtpk1,0,-(COLUMN(E624)+7-(COLUMN(E624)-5)/2)),KLVT!$A624,tongctvtpk1)</f>
        <v>0</v>
      </c>
      <c r="F624" s="449">
        <f ca="1">SUMIF(OFFSET(cttba_vlvt1_1,0,-9,-ROW(cttba_vlvt1_1)+ROW(cttba_vltb1_1)-10),KLVT!$A624,OFFSET(cttba_vlvt1_1,0,-4,-ROW(cttba_vlvt1_1)+ROW(cttba_vltb1_1)-10))</f>
        <v>0</v>
      </c>
      <c r="G624" s="451">
        <f t="shared" ca="1" si="104"/>
        <v>0</v>
      </c>
      <c r="H624" s="450">
        <f t="shared" si="105"/>
        <v>5</v>
      </c>
      <c r="I624" s="447">
        <f t="shared" ca="1" si="106"/>
        <v>0</v>
      </c>
      <c r="J624" s="447">
        <f t="shared" ca="1" si="107"/>
        <v>0</v>
      </c>
      <c r="K624" s="373">
        <f t="shared" ca="1" si="103"/>
        <v>0</v>
      </c>
    </row>
    <row r="625" spans="1:11" s="45" customFormat="1" ht="15.75" hidden="1">
      <c r="A625" s="373" t="str">
        <f>IF(AND(COUNTIF($A$5:$A$133,R_DG!A499)=0,R_DG!R499&gt;0,ISNUMBER(R_DG!R499)),R_DG!A499,"NONE")</f>
        <v>DAUCAP240</v>
      </c>
      <c r="B625" s="85">
        <f ca="1">IF(K625&gt;0,COUNTIF(K$6:K625,"&gt;0"),B624)</f>
        <v>34</v>
      </c>
      <c r="C625" s="1084" t="str">
        <f t="shared" si="108"/>
        <v>Đầu cáp ngầm 24kV 3x240mm2 outdoor</v>
      </c>
      <c r="D625" s="85" t="str">
        <f t="shared" si="109"/>
        <v>cái</v>
      </c>
      <c r="E625" s="448">
        <f ca="1">SUMIF(OFFSET(tongctvtdd1,0,-(COLUMN(E625)+7-(COLUMN(E625)-5)/2)),KLVT!$A625,tongctvtdd1)+SUMIF(OFFSET(tongctvtpk1,0,-(COLUMN(E625)+7-(COLUMN(E625)-5)/2)),KLVT!$A625,tongctvtpk1)</f>
        <v>0</v>
      </c>
      <c r="F625" s="449">
        <f ca="1">SUMIF(OFFSET(cttba_vlvt1_1,0,-9,-ROW(cttba_vlvt1_1)+ROW(cttba_vltb1_1)-10),KLVT!$A625,OFFSET(cttba_vlvt1_1,0,-4,-ROW(cttba_vlvt1_1)+ROW(cttba_vltb1_1)-10))</f>
        <v>0</v>
      </c>
      <c r="G625" s="451">
        <f t="shared" ca="1" si="104"/>
        <v>0</v>
      </c>
      <c r="H625" s="450">
        <f t="shared" si="105"/>
        <v>5</v>
      </c>
      <c r="I625" s="447">
        <f t="shared" ca="1" si="106"/>
        <v>0</v>
      </c>
      <c r="J625" s="447">
        <f t="shared" ca="1" si="107"/>
        <v>0</v>
      </c>
      <c r="K625" s="374">
        <f t="shared" ca="1" si="103"/>
        <v>0</v>
      </c>
    </row>
    <row r="626" spans="1:11" s="45" customFormat="1" ht="15.75" hidden="1">
      <c r="A626" s="373" t="str">
        <f>IF(AND(COUNTIF($A$5:$A$133,R_DG!A500)=0,R_DG!R500&gt;0,ISNUMBER(R_DG!R500)),R_DG!A500,"NONE")</f>
        <v>DAUCAP50IN</v>
      </c>
      <c r="B626" s="85">
        <f ca="1">IF(K626&gt;0,COUNTIF(K$6:K626,"&gt;0"),B625)</f>
        <v>34</v>
      </c>
      <c r="C626" s="1084" t="str">
        <f t="shared" si="108"/>
        <v>Đầu cáp ngầm 24kV 3x50mm2 indoor</v>
      </c>
      <c r="D626" s="85" t="str">
        <f t="shared" si="109"/>
        <v>cái</v>
      </c>
      <c r="E626" s="448">
        <f ca="1">SUMIF(OFFSET(tongctvtdd1,0,-(COLUMN(E626)+7-(COLUMN(E626)-5)/2)),KLVT!$A626,tongctvtdd1)+SUMIF(OFFSET(tongctvtpk1,0,-(COLUMN(E626)+7-(COLUMN(E626)-5)/2)),KLVT!$A626,tongctvtpk1)</f>
        <v>0</v>
      </c>
      <c r="F626" s="449">
        <f ca="1">SUMIF(OFFSET(cttba_vlvt1_1,0,-9,-ROW(cttba_vlvt1_1)+ROW(cttba_vltb1_1)-10),KLVT!$A626,OFFSET(cttba_vlvt1_1,0,-4,-ROW(cttba_vlvt1_1)+ROW(cttba_vltb1_1)-10))</f>
        <v>0</v>
      </c>
      <c r="G626" s="451">
        <f t="shared" ca="1" si="104"/>
        <v>0</v>
      </c>
      <c r="H626" s="450">
        <f t="shared" si="105"/>
        <v>5</v>
      </c>
      <c r="I626" s="447">
        <f t="shared" ca="1" si="106"/>
        <v>0</v>
      </c>
      <c r="J626" s="447">
        <f t="shared" ca="1" si="107"/>
        <v>0</v>
      </c>
      <c r="K626" s="373">
        <f t="shared" ca="1" si="103"/>
        <v>0</v>
      </c>
    </row>
    <row r="627" spans="1:11" s="45" customFormat="1" ht="15.75" hidden="1">
      <c r="A627" s="373" t="str">
        <f>IF(AND(COUNTIF($A$5:$A$133,R_DG!A501)=0,R_DG!R501&gt;0,ISNUMBER(R_DG!R501)),R_DG!A501,"NONE")</f>
        <v>DAUCAP70IN</v>
      </c>
      <c r="B627" s="85">
        <f ca="1">IF(K627&gt;0,COUNTIF(K$6:K627,"&gt;0"),B626)</f>
        <v>34</v>
      </c>
      <c r="C627" s="1084" t="str">
        <f t="shared" si="108"/>
        <v>Đầu cáp ngầm 24kV 3x70mm2 indoor</v>
      </c>
      <c r="D627" s="85" t="str">
        <f t="shared" si="109"/>
        <v>cái</v>
      </c>
      <c r="E627" s="448">
        <f ca="1">SUMIF(OFFSET(tongctvtdd1,0,-(COLUMN(E627)+7-(COLUMN(E627)-5)/2)),KLVT!$A627,tongctvtdd1)+SUMIF(OFFSET(tongctvtpk1,0,-(COLUMN(E627)+7-(COLUMN(E627)-5)/2)),KLVT!$A627,tongctvtpk1)</f>
        <v>0</v>
      </c>
      <c r="F627" s="449">
        <f ca="1">SUMIF(OFFSET(cttba_vlvt1_1,0,-9,-ROW(cttba_vlvt1_1)+ROW(cttba_vltb1_1)-10),KLVT!$A627,OFFSET(cttba_vlvt1_1,0,-4,-ROW(cttba_vlvt1_1)+ROW(cttba_vltb1_1)-10))</f>
        <v>0</v>
      </c>
      <c r="G627" s="451">
        <f t="shared" ca="1" si="104"/>
        <v>0</v>
      </c>
      <c r="H627" s="450">
        <f t="shared" si="105"/>
        <v>5</v>
      </c>
      <c r="I627" s="447">
        <f t="shared" ca="1" si="106"/>
        <v>0</v>
      </c>
      <c r="J627" s="447">
        <f t="shared" ca="1" si="107"/>
        <v>0</v>
      </c>
      <c r="K627" s="373">
        <f t="shared" ca="1" si="103"/>
        <v>0</v>
      </c>
    </row>
    <row r="628" spans="1:11" s="45" customFormat="1" ht="15.75" hidden="1">
      <c r="A628" s="373" t="str">
        <f>IF(AND(COUNTIF($A$5:$A$133,R_DG!A502)=0,R_DG!R502&gt;0,ISNUMBER(R_DG!R502)),R_DG!A502,"NONE")</f>
        <v>DAUCAP95IN</v>
      </c>
      <c r="B628" s="85">
        <f ca="1">IF(K628&gt;0,COUNTIF(K$6:K628,"&gt;0"),B627)</f>
        <v>34</v>
      </c>
      <c r="C628" s="1084" t="str">
        <f t="shared" si="108"/>
        <v>Đầu cáp ngầm 24kV 3x95mm2 indoor</v>
      </c>
      <c r="D628" s="85" t="str">
        <f t="shared" si="109"/>
        <v>cái</v>
      </c>
      <c r="E628" s="448">
        <f ca="1">SUMIF(OFFSET(tongctvtdd1,0,-(COLUMN(E628)+7-(COLUMN(E628)-5)/2)),KLVT!$A628,tongctvtdd1)+SUMIF(OFFSET(tongctvtpk1,0,-(COLUMN(E628)+7-(COLUMN(E628)-5)/2)),KLVT!$A628,tongctvtpk1)</f>
        <v>0</v>
      </c>
      <c r="F628" s="449">
        <f ca="1">SUMIF(OFFSET(cttba_vlvt1_1,0,-9,-ROW(cttba_vlvt1_1)+ROW(cttba_vltb1_1)-10),KLVT!$A628,OFFSET(cttba_vlvt1_1,0,-4,-ROW(cttba_vlvt1_1)+ROW(cttba_vltb1_1)-10))</f>
        <v>0</v>
      </c>
      <c r="G628" s="451">
        <f t="shared" ca="1" si="104"/>
        <v>0</v>
      </c>
      <c r="H628" s="450">
        <f t="shared" si="105"/>
        <v>5</v>
      </c>
      <c r="I628" s="447">
        <f t="shared" ca="1" si="106"/>
        <v>0</v>
      </c>
      <c r="J628" s="447">
        <f t="shared" ca="1" si="107"/>
        <v>0</v>
      </c>
      <c r="K628" s="373">
        <f t="shared" ca="1" si="103"/>
        <v>0</v>
      </c>
    </row>
    <row r="629" spans="1:11" s="45" customFormat="1" ht="15.75" hidden="1">
      <c r="A629" s="373" t="str">
        <f>IF(AND(COUNTIF($A$5:$A$133,R_DG!A503)=0,R_DG!R503&gt;0,ISNUMBER(R_DG!R503)),R_DG!A503,"NONE")</f>
        <v>DAUCAP120IN</v>
      </c>
      <c r="B629" s="85">
        <f ca="1">IF(K629&gt;0,COUNTIF(K$6:K629,"&gt;0"),B628)</f>
        <v>34</v>
      </c>
      <c r="C629" s="1084" t="str">
        <f t="shared" si="108"/>
        <v>Đầu cáp ngầm 24kV 3x120mm2 indoor</v>
      </c>
      <c r="D629" s="85" t="str">
        <f t="shared" si="109"/>
        <v>cái</v>
      </c>
      <c r="E629" s="448">
        <f ca="1">SUMIF(OFFSET(tongctvtdd1,0,-(COLUMN(E629)+7-(COLUMN(E629)-5)/2)),KLVT!$A629,tongctvtdd1)+SUMIF(OFFSET(tongctvtpk1,0,-(COLUMN(E629)+7-(COLUMN(E629)-5)/2)),KLVT!$A629,tongctvtpk1)</f>
        <v>0</v>
      </c>
      <c r="F629" s="449">
        <f ca="1">SUMIF(OFFSET(cttba_vlvt1_1,0,-9,-ROW(cttba_vlvt1_1)+ROW(cttba_vltb1_1)-10),KLVT!$A629,OFFSET(cttba_vlvt1_1,0,-4,-ROW(cttba_vlvt1_1)+ROW(cttba_vltb1_1)-10))</f>
        <v>0</v>
      </c>
      <c r="G629" s="451">
        <f t="shared" ca="1" si="104"/>
        <v>0</v>
      </c>
      <c r="H629" s="450">
        <f t="shared" si="105"/>
        <v>5</v>
      </c>
      <c r="I629" s="447">
        <f t="shared" ca="1" si="106"/>
        <v>0</v>
      </c>
      <c r="J629" s="447">
        <f t="shared" ca="1" si="107"/>
        <v>0</v>
      </c>
      <c r="K629" s="373">
        <f t="shared" ca="1" si="103"/>
        <v>0</v>
      </c>
    </row>
    <row r="630" spans="1:11" s="45" customFormat="1" ht="15.75" hidden="1">
      <c r="A630" s="373" t="str">
        <f>IF(AND(COUNTIF($A$5:$A$133,R_DG!A504)=0,R_DG!R504&gt;0,ISNUMBER(R_DG!R504)),R_DG!A504,"NONE")</f>
        <v>DAUCAP150IN</v>
      </c>
      <c r="B630" s="85">
        <f ca="1">IF(K630&gt;0,COUNTIF(K$6:K630,"&gt;0"),B629)</f>
        <v>34</v>
      </c>
      <c r="C630" s="1084" t="str">
        <f t="shared" si="108"/>
        <v>Đầu cáp ngầm 24kV 3x150mm2 indoor</v>
      </c>
      <c r="D630" s="85" t="str">
        <f t="shared" si="109"/>
        <v>cái</v>
      </c>
      <c r="E630" s="448">
        <f ca="1">SUMIF(OFFSET(tongctvtdd1,0,-(COLUMN(E630)+7-(COLUMN(E630)-5)/2)),KLVT!$A630,tongctvtdd1)+SUMIF(OFFSET(tongctvtpk1,0,-(COLUMN(E630)+7-(COLUMN(E630)-5)/2)),KLVT!$A630,tongctvtpk1)</f>
        <v>0</v>
      </c>
      <c r="F630" s="449">
        <f ca="1">SUMIF(OFFSET(cttba_vlvt1_1,0,-9,-ROW(cttba_vlvt1_1)+ROW(cttba_vltb1_1)-10),KLVT!$A630,OFFSET(cttba_vlvt1_1,0,-4,-ROW(cttba_vlvt1_1)+ROW(cttba_vltb1_1)-10))</f>
        <v>0</v>
      </c>
      <c r="G630" s="451">
        <f t="shared" ca="1" si="104"/>
        <v>0</v>
      </c>
      <c r="H630" s="450">
        <f t="shared" si="105"/>
        <v>5</v>
      </c>
      <c r="I630" s="447">
        <f t="shared" ca="1" si="106"/>
        <v>0</v>
      </c>
      <c r="J630" s="447">
        <f t="shared" ca="1" si="107"/>
        <v>0</v>
      </c>
      <c r="K630" s="373">
        <f t="shared" ca="1" si="103"/>
        <v>0</v>
      </c>
    </row>
    <row r="631" spans="1:11" s="45" customFormat="1" ht="15.75" hidden="1">
      <c r="A631" s="373" t="str">
        <f>IF(AND(COUNTIF($A$5:$A$133,R_DG!A505)=0,R_DG!R505&gt;0,ISNUMBER(R_DG!R505)),R_DG!A505,"NONE")</f>
        <v>DAUCAP185IN</v>
      </c>
      <c r="B631" s="85">
        <f ca="1">IF(K631&gt;0,COUNTIF(K$6:K631,"&gt;0"),B630)</f>
        <v>34</v>
      </c>
      <c r="C631" s="1084" t="str">
        <f t="shared" si="108"/>
        <v>Đầu cáp ngầm 24kV 3x185mm2 indoor</v>
      </c>
      <c r="D631" s="85" t="str">
        <f t="shared" si="109"/>
        <v>cái</v>
      </c>
      <c r="E631" s="448">
        <f ca="1">SUMIF(OFFSET(tongctvtdd1,0,-(COLUMN(E631)+7-(COLUMN(E631)-5)/2)),KLVT!$A631,tongctvtdd1)+SUMIF(OFFSET(tongctvtpk1,0,-(COLUMN(E631)+7-(COLUMN(E631)-5)/2)),KLVT!$A631,tongctvtpk1)</f>
        <v>0</v>
      </c>
      <c r="F631" s="449">
        <f ca="1">SUMIF(OFFSET(cttba_vlvt1_1,0,-9,-ROW(cttba_vlvt1_1)+ROW(cttba_vltb1_1)-10),KLVT!$A631,OFFSET(cttba_vlvt1_1,0,-4,-ROW(cttba_vlvt1_1)+ROW(cttba_vltb1_1)-10))</f>
        <v>0</v>
      </c>
      <c r="G631" s="451">
        <f t="shared" ca="1" si="104"/>
        <v>0</v>
      </c>
      <c r="H631" s="450">
        <f t="shared" si="105"/>
        <v>5</v>
      </c>
      <c r="I631" s="447">
        <f t="shared" ca="1" si="106"/>
        <v>0</v>
      </c>
      <c r="J631" s="447">
        <f t="shared" ca="1" si="107"/>
        <v>0</v>
      </c>
      <c r="K631" s="373">
        <f t="shared" ca="1" si="103"/>
        <v>0</v>
      </c>
    </row>
    <row r="632" spans="1:11" s="45" customFormat="1" ht="15.75" hidden="1">
      <c r="A632" s="373" t="str">
        <f>IF(AND(COUNTIF($A$5:$A$133,R_DG!A506)=0,R_DG!R506&gt;0,ISNUMBER(R_DG!R506)),R_DG!A506,"NONE")</f>
        <v>DAUCAP240IN</v>
      </c>
      <c r="B632" s="85">
        <f ca="1">IF(K632&gt;0,COUNTIF(K$6:K632,"&gt;0"),B631)</f>
        <v>34</v>
      </c>
      <c r="C632" s="1084" t="str">
        <f t="shared" si="108"/>
        <v>Đầu cáp ngầm 24kV 3x240mm2 indoor</v>
      </c>
      <c r="D632" s="85" t="str">
        <f t="shared" si="109"/>
        <v>cái</v>
      </c>
      <c r="E632" s="448">
        <f ca="1">SUMIF(OFFSET(tongctvtdd1,0,-(COLUMN(E632)+7-(COLUMN(E632)-5)/2)),KLVT!$A632,tongctvtdd1)+SUMIF(OFFSET(tongctvtpk1,0,-(COLUMN(E632)+7-(COLUMN(E632)-5)/2)),KLVT!$A632,tongctvtpk1)</f>
        <v>0</v>
      </c>
      <c r="F632" s="449">
        <f ca="1">SUMIF(OFFSET(cttba_vlvt1_1,0,-9,-ROW(cttba_vlvt1_1)+ROW(cttba_vltb1_1)-10),KLVT!$A632,OFFSET(cttba_vlvt1_1,0,-4,-ROW(cttba_vlvt1_1)+ROW(cttba_vltb1_1)-10))</f>
        <v>0</v>
      </c>
      <c r="G632" s="451">
        <f t="shared" ca="1" si="104"/>
        <v>0</v>
      </c>
      <c r="H632" s="450">
        <f t="shared" si="105"/>
        <v>5</v>
      </c>
      <c r="I632" s="447">
        <f t="shared" ca="1" si="106"/>
        <v>0</v>
      </c>
      <c r="J632" s="447">
        <f t="shared" ca="1" si="107"/>
        <v>0</v>
      </c>
      <c r="K632" s="374">
        <f t="shared" ca="1" si="103"/>
        <v>0</v>
      </c>
    </row>
    <row r="633" spans="1:11" s="45" customFormat="1" ht="15.75" hidden="1">
      <c r="A633" s="373" t="str">
        <f>IF(AND(COUNTIF($A$5:$A$133,R_DG!A507)=0,R_DG!R507&gt;0,ISNUMBER(R_DG!R507)),R_DG!A507,"NONE")</f>
        <v>DCAPHT3185</v>
      </c>
      <c r="B633" s="85">
        <f ca="1">IF(K633&gt;0,COUNTIF(K$6:K633,"&gt;0"),B632)</f>
        <v>34</v>
      </c>
      <c r="C633" s="1084" t="str">
        <f t="shared" ref="C633:C695" si="110">VLOOKUP(A633,DONGIA,3,0)</f>
        <v>Đầu cáp ngầm hạ thế 3x185+120mm2</v>
      </c>
      <c r="D633" s="85" t="str">
        <f t="shared" ref="D633:D695" si="111">VLOOKUP(A633,DONGIA,4,0)</f>
        <v>cái</v>
      </c>
      <c r="E633" s="448">
        <f ca="1">SUMIF(OFFSET(tongctvtdd1,0,-(COLUMN(E633)+7-(COLUMN(E633)-5)/2)),KLVT!$A633,tongctvtdd1)+SUMIF(OFFSET(tongctvtpk1,0,-(COLUMN(E633)+7-(COLUMN(E633)-5)/2)),KLVT!$A633,tongctvtpk1)</f>
        <v>0</v>
      </c>
      <c r="F633" s="449">
        <f ca="1">SUMIF(OFFSET(cttba_vlvt1_1,0,-9,-ROW(cttba_vlvt1_1)+ROW(cttba_vltb1_1)-10),KLVT!$A633,OFFSET(cttba_vlvt1_1,0,-4,-ROW(cttba_vlvt1_1)+ROW(cttba_vltb1_1)-10))</f>
        <v>0</v>
      </c>
      <c r="G633" s="451">
        <f t="shared" ca="1" si="104"/>
        <v>0</v>
      </c>
      <c r="H633" s="450">
        <f t="shared" si="105"/>
        <v>5</v>
      </c>
      <c r="I633" s="447">
        <f t="shared" ca="1" si="106"/>
        <v>0</v>
      </c>
      <c r="J633" s="447">
        <f t="shared" ca="1" si="107"/>
        <v>0</v>
      </c>
      <c r="K633" s="373">
        <f t="shared" ca="1" si="103"/>
        <v>0</v>
      </c>
    </row>
    <row r="634" spans="1:11" s="45" customFormat="1" ht="15.75" hidden="1">
      <c r="A634" s="373" t="str">
        <f>IF(AND(COUNTIF($A$5:$A$133,R_DG!A508)=0,R_DG!R508&gt;0,ISNUMBER(R_DG!R508)),R_DG!A508,"NONE")</f>
        <v>DCAPHT3120</v>
      </c>
      <c r="B634" s="85">
        <f ca="1">IF(K634&gt;0,COUNTIF(K$6:K634,"&gt;0"),B633)</f>
        <v>34</v>
      </c>
      <c r="C634" s="1084" t="str">
        <f t="shared" si="110"/>
        <v>Đầu cáp ngầm hạ thế 3x120+70mm2</v>
      </c>
      <c r="D634" s="85" t="str">
        <f t="shared" si="111"/>
        <v>cái</v>
      </c>
      <c r="E634" s="448">
        <f ca="1">SUMIF(OFFSET(tongctvtdd1,0,-(COLUMN(E634)+7-(COLUMN(E634)-5)/2)),KLVT!$A634,tongctvtdd1)+SUMIF(OFFSET(tongctvtpk1,0,-(COLUMN(E634)+7-(COLUMN(E634)-5)/2)),KLVT!$A634,tongctvtpk1)</f>
        <v>0</v>
      </c>
      <c r="F634" s="449">
        <f ca="1">SUMIF(OFFSET(cttba_vlvt1_1,0,-9,-ROW(cttba_vlvt1_1)+ROW(cttba_vltb1_1)-10),KLVT!$A634,OFFSET(cttba_vlvt1_1,0,-4,-ROW(cttba_vlvt1_1)+ROW(cttba_vltb1_1)-10))</f>
        <v>0</v>
      </c>
      <c r="G634" s="451">
        <f t="shared" ca="1" si="104"/>
        <v>0</v>
      </c>
      <c r="H634" s="450">
        <f t="shared" si="105"/>
        <v>5</v>
      </c>
      <c r="I634" s="447">
        <f t="shared" ca="1" si="106"/>
        <v>0</v>
      </c>
      <c r="J634" s="447">
        <f t="shared" ca="1" si="107"/>
        <v>0</v>
      </c>
      <c r="K634" s="373">
        <f t="shared" ca="1" si="103"/>
        <v>0</v>
      </c>
    </row>
    <row r="635" spans="1:11" s="45" customFormat="1" ht="15.75" hidden="1">
      <c r="A635" s="373" t="str">
        <f>IF(AND(COUNTIF($A$5:$A$133,R_DG!A509)=0,R_DG!R509&gt;0,ISNUMBER(R_DG!R509)),R_DG!A509,"NONE")</f>
        <v>DCAPHT395</v>
      </c>
      <c r="B635" s="85">
        <f ca="1">IF(K635&gt;0,COUNTIF(K$6:K635,"&gt;0"),B634)</f>
        <v>34</v>
      </c>
      <c r="C635" s="1084" t="str">
        <f t="shared" si="110"/>
        <v>Đầu cáp ngầm hạ thế 3x95+50mm2</v>
      </c>
      <c r="D635" s="85" t="str">
        <f t="shared" si="111"/>
        <v>cái</v>
      </c>
      <c r="E635" s="448">
        <f ca="1">SUMIF(OFFSET(tongctvtdd1,0,-(COLUMN(E635)+7-(COLUMN(E635)-5)/2)),KLVT!$A635,tongctvtdd1)+SUMIF(OFFSET(tongctvtpk1,0,-(COLUMN(E635)+7-(COLUMN(E635)-5)/2)),KLVT!$A635,tongctvtpk1)</f>
        <v>0</v>
      </c>
      <c r="F635" s="449">
        <f ca="1">SUMIF(OFFSET(cttba_vlvt1_1,0,-9,-ROW(cttba_vlvt1_1)+ROW(cttba_vltb1_1)-10),KLVT!$A635,OFFSET(cttba_vlvt1_1,0,-4,-ROW(cttba_vlvt1_1)+ROW(cttba_vltb1_1)-10))</f>
        <v>0</v>
      </c>
      <c r="G635" s="451">
        <f t="shared" ca="1" si="104"/>
        <v>0</v>
      </c>
      <c r="H635" s="450">
        <f t="shared" si="105"/>
        <v>5</v>
      </c>
      <c r="I635" s="447">
        <f t="shared" ca="1" si="106"/>
        <v>0</v>
      </c>
      <c r="J635" s="447">
        <f t="shared" ca="1" si="107"/>
        <v>0</v>
      </c>
      <c r="K635" s="373">
        <f t="shared" ca="1" si="103"/>
        <v>0</v>
      </c>
    </row>
    <row r="636" spans="1:11" s="45" customFormat="1" ht="15.75" hidden="1">
      <c r="A636" s="373" t="str">
        <f>IF(AND(COUNTIF($A$5:$A$133,R_DG!A510)=0,R_DG!R510&gt;0,ISNUMBER(R_DG!R510)),R_DG!A510,"NONE")</f>
        <v>DCAPHT370</v>
      </c>
      <c r="B636" s="85">
        <f ca="1">IF(K636&gt;0,COUNTIF(K$6:K636,"&gt;0"),B635)</f>
        <v>34</v>
      </c>
      <c r="C636" s="1084" t="str">
        <f t="shared" si="110"/>
        <v>Đầu cáp ngầm hạ thế 3x70+50mm2</v>
      </c>
      <c r="D636" s="85" t="str">
        <f t="shared" si="111"/>
        <v>cái</v>
      </c>
      <c r="E636" s="448">
        <f ca="1">SUMIF(OFFSET(tongctvtdd1,0,-(COLUMN(E636)+7-(COLUMN(E636)-5)/2)),KLVT!$A636,tongctvtdd1)+SUMIF(OFFSET(tongctvtpk1,0,-(COLUMN(E636)+7-(COLUMN(E636)-5)/2)),KLVT!$A636,tongctvtpk1)</f>
        <v>0</v>
      </c>
      <c r="F636" s="449">
        <f ca="1">SUMIF(OFFSET(cttba_vlvt1_1,0,-9,-ROW(cttba_vlvt1_1)+ROW(cttba_vltb1_1)-10),KLVT!$A636,OFFSET(cttba_vlvt1_1,0,-4,-ROW(cttba_vlvt1_1)+ROW(cttba_vltb1_1)-10))</f>
        <v>0</v>
      </c>
      <c r="G636" s="451">
        <f t="shared" ca="1" si="104"/>
        <v>0</v>
      </c>
      <c r="H636" s="450">
        <f t="shared" si="105"/>
        <v>5</v>
      </c>
      <c r="I636" s="447">
        <f t="shared" ca="1" si="106"/>
        <v>0</v>
      </c>
      <c r="J636" s="447">
        <f t="shared" ca="1" si="107"/>
        <v>0</v>
      </c>
      <c r="K636" s="373">
        <f t="shared" ca="1" si="103"/>
        <v>0</v>
      </c>
    </row>
    <row r="637" spans="1:11" s="45" customFormat="1" ht="15.75" hidden="1">
      <c r="A637" s="373" t="str">
        <f>IF(AND(COUNTIF($A$5:$A$133,R_DG!A511)=0,R_DG!R511&gt;0,ISNUMBER(R_DG!R511)),R_DG!A511,"NONE")</f>
        <v>DCAPHT350</v>
      </c>
      <c r="B637" s="85">
        <f ca="1">IF(K637&gt;0,COUNTIF(K$6:K637,"&gt;0"),B636)</f>
        <v>34</v>
      </c>
      <c r="C637" s="1084" t="str">
        <f t="shared" si="110"/>
        <v>Đầu cáp ngầm hạ thế 3x50+35mm2</v>
      </c>
      <c r="D637" s="85" t="str">
        <f t="shared" si="111"/>
        <v>cái</v>
      </c>
      <c r="E637" s="448">
        <f ca="1">SUMIF(OFFSET(tongctvtdd1,0,-(COLUMN(E637)+7-(COLUMN(E637)-5)/2)),KLVT!$A637,tongctvtdd1)+SUMIF(OFFSET(tongctvtpk1,0,-(COLUMN(E637)+7-(COLUMN(E637)-5)/2)),KLVT!$A637,tongctvtpk1)</f>
        <v>0</v>
      </c>
      <c r="F637" s="449">
        <f ca="1">SUMIF(OFFSET(cttba_vlvt1_1,0,-9,-ROW(cttba_vlvt1_1)+ROW(cttba_vltb1_1)-10),KLVT!$A637,OFFSET(cttba_vlvt1_1,0,-4,-ROW(cttba_vlvt1_1)+ROW(cttba_vltb1_1)-10))</f>
        <v>0</v>
      </c>
      <c r="G637" s="451">
        <f t="shared" ca="1" si="104"/>
        <v>0</v>
      </c>
      <c r="H637" s="450">
        <f t="shared" si="105"/>
        <v>5</v>
      </c>
      <c r="I637" s="447">
        <f t="shared" ca="1" si="106"/>
        <v>0</v>
      </c>
      <c r="J637" s="447">
        <f t="shared" ca="1" si="107"/>
        <v>0</v>
      </c>
      <c r="K637" s="373">
        <f t="shared" ca="1" si="103"/>
        <v>0</v>
      </c>
    </row>
    <row r="638" spans="1:11" s="45" customFormat="1" ht="15.75" hidden="1">
      <c r="A638" s="373" t="str">
        <f>IF(AND(COUNTIF($A$5:$A$133,R_DG!A512)=0,R_DG!R512&gt;0,ISNUMBER(R_DG!R512)),R_DG!A512,"NONE")</f>
        <v>DCAPHT4120</v>
      </c>
      <c r="B638" s="85">
        <f ca="1">IF(K638&gt;0,COUNTIF(K$6:K638,"&gt;0"),B637)</f>
        <v>34</v>
      </c>
      <c r="C638" s="1084" t="str">
        <f t="shared" si="110"/>
        <v>Đầu cáp ngầm hạ thế 4x120mm2</v>
      </c>
      <c r="D638" s="85" t="str">
        <f t="shared" si="111"/>
        <v>cái</v>
      </c>
      <c r="E638" s="448">
        <f ca="1">SUMIF(OFFSET(tongctvtdd1,0,-(COLUMN(E638)+7-(COLUMN(E638)-5)/2)),KLVT!$A638,tongctvtdd1)+SUMIF(OFFSET(tongctvtpk1,0,-(COLUMN(E638)+7-(COLUMN(E638)-5)/2)),KLVT!$A638,tongctvtpk1)</f>
        <v>0</v>
      </c>
      <c r="F638" s="449">
        <f ca="1">SUMIF(OFFSET(cttba_vlvt1_1,0,-9,-ROW(cttba_vlvt1_1)+ROW(cttba_vltb1_1)-10),KLVT!$A638,OFFSET(cttba_vlvt1_1,0,-4,-ROW(cttba_vlvt1_1)+ROW(cttba_vltb1_1)-10))</f>
        <v>0</v>
      </c>
      <c r="G638" s="451">
        <f t="shared" ca="1" si="104"/>
        <v>0</v>
      </c>
      <c r="H638" s="450">
        <f t="shared" si="105"/>
        <v>5</v>
      </c>
      <c r="I638" s="447">
        <f t="shared" ca="1" si="106"/>
        <v>0</v>
      </c>
      <c r="J638" s="447">
        <f t="shared" ca="1" si="107"/>
        <v>0</v>
      </c>
      <c r="K638" s="373">
        <f t="shared" ca="1" si="103"/>
        <v>0</v>
      </c>
    </row>
    <row r="639" spans="1:11" s="45" customFormat="1" ht="15.75" hidden="1">
      <c r="A639" s="373" t="str">
        <f>IF(AND(COUNTIF($A$5:$A$133,R_DG!A513)=0,R_DG!R513&gt;0,ISNUMBER(R_DG!R513)),R_DG!A513,"NONE")</f>
        <v>STK42</v>
      </c>
      <c r="B639" s="85">
        <f ca="1">IF(K639&gt;0,COUNTIF(K$6:K639,"&gt;0"),B638)</f>
        <v>34</v>
      </c>
      <c r="C639" s="1084" t="str">
        <f t="shared" si="110"/>
        <v>Ống sắt tráng kẽm D42</v>
      </c>
      <c r="D639" s="85" t="str">
        <f t="shared" si="111"/>
        <v>mét</v>
      </c>
      <c r="E639" s="448">
        <f ca="1">SUMIF(OFFSET(tongctvtdd1,0,-(COLUMN(E639)+7-(COLUMN(E639)-5)/2)),KLVT!$A639,tongctvtdd1)+SUMIF(OFFSET(tongctvtpk1,0,-(COLUMN(E639)+7-(COLUMN(E639)-5)/2)),KLVT!$A639,tongctvtpk1)</f>
        <v>0</v>
      </c>
      <c r="F639" s="449">
        <f ca="1">SUMIF(OFFSET(cttba_vlvt1_1,0,-9,-ROW(cttba_vlvt1_1)+ROW(cttba_vltb1_1)-10),KLVT!$A639,OFFSET(cttba_vlvt1_1,0,-4,-ROW(cttba_vlvt1_1)+ROW(cttba_vltb1_1)-10))</f>
        <v>0</v>
      </c>
      <c r="G639" s="451">
        <f t="shared" ca="1" si="104"/>
        <v>0</v>
      </c>
      <c r="H639" s="450">
        <f t="shared" si="105"/>
        <v>1</v>
      </c>
      <c r="I639" s="447">
        <f t="shared" ca="1" si="106"/>
        <v>0</v>
      </c>
      <c r="J639" s="447">
        <f t="shared" ca="1" si="107"/>
        <v>0</v>
      </c>
      <c r="K639" s="374">
        <f t="shared" ref="K639:K701" ca="1" si="112">IF(G639&gt;0,1,0)</f>
        <v>0</v>
      </c>
    </row>
    <row r="640" spans="1:11" s="45" customFormat="1" ht="15.75" hidden="1">
      <c r="A640" s="373" t="str">
        <f>IF(AND(COUNTIF($A$5:$A$133,R_DG!A514)=0,R_DG!R514&gt;0,ISNUMBER(R_DG!R514)),R_DG!A514,"NONE")</f>
        <v>STK60</v>
      </c>
      <c r="B640" s="85">
        <f ca="1">IF(K640&gt;0,COUNTIF(K$6:K640,"&gt;0"),B639)</f>
        <v>34</v>
      </c>
      <c r="C640" s="1084" t="str">
        <f t="shared" si="110"/>
        <v>Ống sắt tráng kẽm D60</v>
      </c>
      <c r="D640" s="85" t="str">
        <f t="shared" si="111"/>
        <v>mét</v>
      </c>
      <c r="E640" s="448">
        <f ca="1">SUMIF(OFFSET(tongctvtdd1,0,-(COLUMN(E640)+7-(COLUMN(E640)-5)/2)),KLVT!$A640,tongctvtdd1)+SUMIF(OFFSET(tongctvtpk1,0,-(COLUMN(E640)+7-(COLUMN(E640)-5)/2)),KLVT!$A640,tongctvtpk1)</f>
        <v>0</v>
      </c>
      <c r="F640" s="449">
        <f ca="1">SUMIF(OFFSET(cttba_vlvt1_1,0,-9,-ROW(cttba_vlvt1_1)+ROW(cttba_vltb1_1)-10),KLVT!$A640,OFFSET(cttba_vlvt1_1,0,-4,-ROW(cttba_vlvt1_1)+ROW(cttba_vltb1_1)-10))</f>
        <v>0</v>
      </c>
      <c r="G640" s="451">
        <f t="shared" ca="1" si="104"/>
        <v>0</v>
      </c>
      <c r="H640" s="450">
        <f t="shared" si="105"/>
        <v>1</v>
      </c>
      <c r="I640" s="447">
        <f t="shared" ca="1" si="106"/>
        <v>0</v>
      </c>
      <c r="J640" s="447">
        <f t="shared" ca="1" si="107"/>
        <v>0</v>
      </c>
      <c r="K640" s="373">
        <f t="shared" ca="1" si="112"/>
        <v>0</v>
      </c>
    </row>
    <row r="641" spans="1:11" s="45" customFormat="1" ht="15.75" hidden="1">
      <c r="A641" s="373" t="str">
        <f>IF(AND(COUNTIF($A$5:$A$133,R_DG!A515)=0,R_DG!R515&gt;0,ISNUMBER(R_DG!R515)),R_DG!A515,"NONE")</f>
        <v>STK90</v>
      </c>
      <c r="B641" s="85">
        <f ca="1">IF(K641&gt;0,COUNTIF(K$6:K641,"&gt;0"),B640)</f>
        <v>34</v>
      </c>
      <c r="C641" s="1084" t="str">
        <f t="shared" si="110"/>
        <v>Ống sắt tráng kẽm D90</v>
      </c>
      <c r="D641" s="85" t="str">
        <f t="shared" si="111"/>
        <v>mét</v>
      </c>
      <c r="E641" s="448">
        <f ca="1">SUMIF(OFFSET(tongctvtdd1,0,-(COLUMN(E641)+7-(COLUMN(E641)-5)/2)),KLVT!$A641,tongctvtdd1)+SUMIF(OFFSET(tongctvtpk1,0,-(COLUMN(E641)+7-(COLUMN(E641)-5)/2)),KLVT!$A641,tongctvtpk1)</f>
        <v>0</v>
      </c>
      <c r="F641" s="449">
        <f ca="1">SUMIF(OFFSET(cttba_vlvt1_1,0,-9,-ROW(cttba_vlvt1_1)+ROW(cttba_vltb1_1)-10),KLVT!$A641,OFFSET(cttba_vlvt1_1,0,-4,-ROW(cttba_vlvt1_1)+ROW(cttba_vltb1_1)-10))</f>
        <v>0</v>
      </c>
      <c r="G641" s="451">
        <f t="shared" ca="1" si="104"/>
        <v>0</v>
      </c>
      <c r="H641" s="450">
        <f t="shared" si="105"/>
        <v>1</v>
      </c>
      <c r="I641" s="447">
        <f t="shared" ca="1" si="106"/>
        <v>0</v>
      </c>
      <c r="J641" s="447">
        <f t="shared" ca="1" si="107"/>
        <v>0</v>
      </c>
      <c r="K641" s="373">
        <f t="shared" ca="1" si="112"/>
        <v>0</v>
      </c>
    </row>
    <row r="642" spans="1:11" s="45" customFormat="1" ht="15.75" hidden="1">
      <c r="A642" s="373" t="str">
        <f>IF(AND(COUNTIF($A$5:$A$133,R_DG!A516)=0,R_DG!R516&gt;0,ISNUMBER(R_DG!R516)),R_DG!A516,"NONE")</f>
        <v>STK114</v>
      </c>
      <c r="B642" s="85">
        <f ca="1">IF(K642&gt;0,COUNTIF(K$6:K642,"&gt;0"),B641)</f>
        <v>34</v>
      </c>
      <c r="C642" s="1084" t="str">
        <f t="shared" si="110"/>
        <v>Ống sắt tráng kẽm D114</v>
      </c>
      <c r="D642" s="85" t="str">
        <f t="shared" si="111"/>
        <v>mét</v>
      </c>
      <c r="E642" s="448">
        <f ca="1">SUMIF(OFFSET(tongctvtdd1,0,-(COLUMN(E642)+7-(COLUMN(E642)-5)/2)),KLVT!$A642,tongctvtdd1)+SUMIF(OFFSET(tongctvtpk1,0,-(COLUMN(E642)+7-(COLUMN(E642)-5)/2)),KLVT!$A642,tongctvtpk1)</f>
        <v>0</v>
      </c>
      <c r="F642" s="449">
        <f ca="1">SUMIF(OFFSET(cttba_vlvt1_1,0,-9,-ROW(cttba_vlvt1_1)+ROW(cttba_vltb1_1)-10),KLVT!$A642,OFFSET(cttba_vlvt1_1,0,-4,-ROW(cttba_vlvt1_1)+ROW(cttba_vltb1_1)-10))</f>
        <v>0</v>
      </c>
      <c r="G642" s="451">
        <f t="shared" ca="1" si="104"/>
        <v>0</v>
      </c>
      <c r="H642" s="450">
        <f t="shared" si="105"/>
        <v>1</v>
      </c>
      <c r="I642" s="447">
        <f t="shared" ca="1" si="106"/>
        <v>0</v>
      </c>
      <c r="J642" s="447">
        <f t="shared" ca="1" si="107"/>
        <v>0</v>
      </c>
      <c r="K642" s="373">
        <f t="shared" ca="1" si="112"/>
        <v>0</v>
      </c>
    </row>
    <row r="643" spans="1:11" s="45" customFormat="1" ht="15.75" hidden="1">
      <c r="A643" s="373" t="str">
        <f>IF(AND(COUNTIF($A$5:$A$133,R_DG!A517)=0,R_DG!R517&gt;0,ISNUMBER(R_DG!R517)),R_DG!A517,"NONE")</f>
        <v>STK140</v>
      </c>
      <c r="B643" s="85">
        <f ca="1">IF(K643&gt;0,COUNTIF(K$6:K643,"&gt;0"),B642)</f>
        <v>34</v>
      </c>
      <c r="C643" s="1084" t="str">
        <f t="shared" si="110"/>
        <v>Ống sắt tráng kẽm D140</v>
      </c>
      <c r="D643" s="85" t="str">
        <f t="shared" si="111"/>
        <v>mét</v>
      </c>
      <c r="E643" s="448">
        <f ca="1">SUMIF(OFFSET(tongctvtdd1,0,-(COLUMN(E643)+7-(COLUMN(E643)-5)/2)),KLVT!$A643,tongctvtdd1)+SUMIF(OFFSET(tongctvtpk1,0,-(COLUMN(E643)+7-(COLUMN(E643)-5)/2)),KLVT!$A643,tongctvtpk1)</f>
        <v>0</v>
      </c>
      <c r="F643" s="449">
        <f ca="1">SUMIF(OFFSET(cttba_vlvt1_1,0,-9,-ROW(cttba_vlvt1_1)+ROW(cttba_vltb1_1)-10),KLVT!$A643,OFFSET(cttba_vlvt1_1,0,-4,-ROW(cttba_vlvt1_1)+ROW(cttba_vltb1_1)-10))</f>
        <v>0</v>
      </c>
      <c r="G643" s="451">
        <f t="shared" ca="1" si="104"/>
        <v>0</v>
      </c>
      <c r="H643" s="450">
        <f t="shared" si="105"/>
        <v>1</v>
      </c>
      <c r="I643" s="447">
        <f t="shared" ca="1" si="106"/>
        <v>0</v>
      </c>
      <c r="J643" s="447">
        <f t="shared" ca="1" si="107"/>
        <v>0</v>
      </c>
      <c r="K643" s="374">
        <f t="shared" ca="1" si="112"/>
        <v>0</v>
      </c>
    </row>
    <row r="644" spans="1:11" s="45" customFormat="1" ht="15.75" hidden="1">
      <c r="A644" s="373" t="str">
        <f>IF(AND(COUNTIF($A$5:$A$133,R_DG!A518)=0,R_DG!R518&gt;0,ISNUMBER(R_DG!R518)),R_DG!A518,"NONE")</f>
        <v>STK160</v>
      </c>
      <c r="B644" s="85">
        <f ca="1">IF(K644&gt;0,COUNTIF(K$6:K644,"&gt;0"),B643)</f>
        <v>34</v>
      </c>
      <c r="C644" s="1084" t="str">
        <f t="shared" si="110"/>
        <v>Ống sắt tráng kẽm D160</v>
      </c>
      <c r="D644" s="85" t="str">
        <f t="shared" si="111"/>
        <v>mét</v>
      </c>
      <c r="E644" s="448">
        <f ca="1">SUMIF(OFFSET(tongctvtdd1,0,-(COLUMN(E644)+7-(COLUMN(E644)-5)/2)),KLVT!$A644,tongctvtdd1)+SUMIF(OFFSET(tongctvtpk1,0,-(COLUMN(E644)+7-(COLUMN(E644)-5)/2)),KLVT!$A644,tongctvtpk1)</f>
        <v>0</v>
      </c>
      <c r="F644" s="449">
        <f ca="1">SUMIF(OFFSET(cttba_vlvt1_1,0,-9,-ROW(cttba_vlvt1_1)+ROW(cttba_vltb1_1)-10),KLVT!$A644,OFFSET(cttba_vlvt1_1,0,-4,-ROW(cttba_vlvt1_1)+ROW(cttba_vltb1_1)-10))</f>
        <v>0</v>
      </c>
      <c r="G644" s="451">
        <f t="shared" ca="1" si="104"/>
        <v>0</v>
      </c>
      <c r="H644" s="450">
        <f t="shared" si="105"/>
        <v>1</v>
      </c>
      <c r="I644" s="447">
        <f t="shared" ca="1" si="106"/>
        <v>0</v>
      </c>
      <c r="J644" s="447">
        <f t="shared" ca="1" si="107"/>
        <v>0</v>
      </c>
      <c r="K644" s="374">
        <f t="shared" ca="1" si="112"/>
        <v>0</v>
      </c>
    </row>
    <row r="645" spans="1:11" s="45" customFormat="1" ht="15.75" hidden="1">
      <c r="A645" s="373" t="str">
        <f>IF(AND(COUNTIF($A$5:$A$133,R_DG!A519)=0,R_DG!R519&gt;0,ISNUMBER(R_DG!R519)),R_DG!A519,"NONE")</f>
        <v>STK168</v>
      </c>
      <c r="B645" s="85">
        <f ca="1">IF(K645&gt;0,COUNTIF(K$6:K645,"&gt;0"),B644)</f>
        <v>34</v>
      </c>
      <c r="C645" s="1084" t="str">
        <f t="shared" si="110"/>
        <v>Ống sắt tráng kẽm D168</v>
      </c>
      <c r="D645" s="85" t="str">
        <f t="shared" si="111"/>
        <v>mét</v>
      </c>
      <c r="E645" s="448">
        <f ca="1">SUMIF(OFFSET(tongctvtdd1,0,-(COLUMN(E645)+7-(COLUMN(E645)-5)/2)),KLVT!$A645,tongctvtdd1)+SUMIF(OFFSET(tongctvtpk1,0,-(COLUMN(E645)+7-(COLUMN(E645)-5)/2)),KLVT!$A645,tongctvtpk1)</f>
        <v>0</v>
      </c>
      <c r="F645" s="449">
        <f ca="1">SUMIF(OFFSET(cttba_vlvt1_1,0,-9,-ROW(cttba_vlvt1_1)+ROW(cttba_vltb1_1)-10),KLVT!$A645,OFFSET(cttba_vlvt1_1,0,-4,-ROW(cttba_vlvt1_1)+ROW(cttba_vltb1_1)-10))</f>
        <v>0</v>
      </c>
      <c r="G645" s="451">
        <f t="shared" ca="1" si="104"/>
        <v>0</v>
      </c>
      <c r="H645" s="450">
        <f t="shared" si="105"/>
        <v>1</v>
      </c>
      <c r="I645" s="447">
        <f t="shared" ca="1" si="106"/>
        <v>0</v>
      </c>
      <c r="J645" s="447">
        <f t="shared" ca="1" si="107"/>
        <v>0</v>
      </c>
      <c r="K645" s="374">
        <f t="shared" ca="1" si="112"/>
        <v>0</v>
      </c>
    </row>
    <row r="646" spans="1:11" s="45" customFormat="1" ht="15.75" hidden="1">
      <c r="A646" s="373" t="str">
        <f>IF(AND(COUNTIF($A$5:$A$133,R_DG!A520)=0,R_DG!R520&gt;0,ISNUMBER(R_DG!R520)),R_DG!A520,"NONE")</f>
        <v>COSTK114</v>
      </c>
      <c r="B646" s="85">
        <f ca="1">IF(K646&gt;0,COUNTIF(K$6:K646,"&gt;0"),B645)</f>
        <v>34</v>
      </c>
      <c r="C646" s="1084" t="str">
        <f t="shared" si="110"/>
        <v>Măng sông STK 114</v>
      </c>
      <c r="D646" s="85" t="str">
        <f t="shared" si="111"/>
        <v>cái</v>
      </c>
      <c r="E646" s="448">
        <f ca="1">SUMIF(OFFSET(tongctvtdd1,0,-(COLUMN(E646)+7-(COLUMN(E646)-5)/2)),KLVT!$A646,tongctvtdd1)+SUMIF(OFFSET(tongctvtpk1,0,-(COLUMN(E646)+7-(COLUMN(E646)-5)/2)),KLVT!$A646,tongctvtpk1)</f>
        <v>0</v>
      </c>
      <c r="F646" s="449">
        <f ca="1">SUMIF(OFFSET(cttba_vlvt1_1,0,-9,-ROW(cttba_vlvt1_1)+ROW(cttba_vltb1_1)-10),KLVT!$A646,OFFSET(cttba_vlvt1_1,0,-4,-ROW(cttba_vlvt1_1)+ROW(cttba_vltb1_1)-10))</f>
        <v>0</v>
      </c>
      <c r="G646" s="451">
        <f t="shared" ref="G646:G709" ca="1" si="113">SUM(E646:F646)</f>
        <v>0</v>
      </c>
      <c r="H646" s="450">
        <f t="shared" ref="H646:H709" si="114">VLOOKUP(A646,DONGIA,18,0)</f>
        <v>1</v>
      </c>
      <c r="I646" s="447">
        <f t="shared" ref="I646:I709" ca="1" si="115">E646*$H646</f>
        <v>0</v>
      </c>
      <c r="J646" s="447">
        <f t="shared" ref="J646:J709" ca="1" si="116">F646*$H646</f>
        <v>0</v>
      </c>
      <c r="K646" s="374">
        <f t="shared" ca="1" si="112"/>
        <v>0</v>
      </c>
    </row>
    <row r="647" spans="1:11" s="45" customFormat="1" ht="15.75" hidden="1">
      <c r="A647" s="373" t="str">
        <f>IF(AND(COUNTIF($A$5:$A$133,R_DG!A521)=0,R_DG!R521&gt;0,ISNUMBER(R_DG!R521)),R_DG!A521,"NONE")</f>
        <v>COSTK90</v>
      </c>
      <c r="B647" s="85">
        <f ca="1">IF(K647&gt;0,COUNTIF(K$6:K647,"&gt;0"),B646)</f>
        <v>34</v>
      </c>
      <c r="C647" s="1084" t="str">
        <f t="shared" si="110"/>
        <v>Măng sông STK 90</v>
      </c>
      <c r="D647" s="85" t="str">
        <f t="shared" si="111"/>
        <v>cái</v>
      </c>
      <c r="E647" s="448">
        <f ca="1">SUMIF(OFFSET(tongctvtdd1,0,-(COLUMN(E647)+7-(COLUMN(E647)-5)/2)),KLVT!$A647,tongctvtdd1)+SUMIF(OFFSET(tongctvtpk1,0,-(COLUMN(E647)+7-(COLUMN(E647)-5)/2)),KLVT!$A647,tongctvtpk1)</f>
        <v>0</v>
      </c>
      <c r="F647" s="449">
        <f ca="1">SUMIF(OFFSET(cttba_vlvt1_1,0,-9,-ROW(cttba_vlvt1_1)+ROW(cttba_vltb1_1)-10),KLVT!$A647,OFFSET(cttba_vlvt1_1,0,-4,-ROW(cttba_vlvt1_1)+ROW(cttba_vltb1_1)-10))</f>
        <v>0</v>
      </c>
      <c r="G647" s="451">
        <f t="shared" ca="1" si="113"/>
        <v>0</v>
      </c>
      <c r="H647" s="450">
        <f t="shared" si="114"/>
        <v>1</v>
      </c>
      <c r="I647" s="447">
        <f t="shared" ca="1" si="115"/>
        <v>0</v>
      </c>
      <c r="J647" s="447">
        <f t="shared" ca="1" si="116"/>
        <v>0</v>
      </c>
      <c r="K647" s="374">
        <f t="shared" ca="1" si="112"/>
        <v>0</v>
      </c>
    </row>
    <row r="648" spans="1:11" s="45" customFormat="1" hidden="1">
      <c r="A648" s="373" t="str">
        <f>IF(AND(COUNTIF($A$5:$A$133,R_DG!A522)=0,R_DG!R522&gt;0,ISNUMBER(R_DG!R522)),R_DG!A522,"NONE")</f>
        <v>YC</v>
      </c>
      <c r="B648" s="85">
        <f ca="1">IF(K648&gt;0,COUNTIF(K$6:K648,"&gt;0"),B647)</f>
        <v>34</v>
      </c>
      <c r="C648" s="1084" t="str">
        <f t="shared" si="110"/>
        <v>Yếm cáp dày 2mm</v>
      </c>
      <c r="D648" s="85" t="str">
        <f t="shared" si="111"/>
        <v>cái</v>
      </c>
      <c r="E648" s="448">
        <f ca="1">SUMIF(OFFSET(tongctvtdd1,0,-(COLUMN(E648)+7-(COLUMN(E648)-5)/2)),KLVT!$A648,tongctvtdd1)+SUMIF(OFFSET(tongctvtpk1,0,-(COLUMN(E648)+7-(COLUMN(E648)-5)/2)),KLVT!$A648,tongctvtpk1)</f>
        <v>0</v>
      </c>
      <c r="F648" s="449">
        <f ca="1">SUMIF(OFFSET(cttba_vlvt1_1,0,-9,-ROW(cttba_vlvt1_1)+ROW(cttba_vltb1_1)-10),KLVT!$A648,OFFSET(cttba_vlvt1_1,0,-4,-ROW(cttba_vlvt1_1)+ROW(cttba_vltb1_1)-10))</f>
        <v>0</v>
      </c>
      <c r="G648" s="451">
        <f t="shared" ca="1" si="113"/>
        <v>0</v>
      </c>
      <c r="H648" s="450">
        <f t="shared" si="114"/>
        <v>0.3</v>
      </c>
      <c r="I648" s="447">
        <f t="shared" ca="1" si="115"/>
        <v>0</v>
      </c>
      <c r="J648" s="447">
        <f t="shared" ca="1" si="116"/>
        <v>0</v>
      </c>
      <c r="K648" s="1094">
        <f t="shared" ca="1" si="112"/>
        <v>0</v>
      </c>
    </row>
    <row r="649" spans="1:11" s="45" customFormat="1" ht="15.75" hidden="1">
      <c r="A649" s="373" t="str">
        <f>IF(AND(COUNTIF($A$5:$A$133,R_DG!A523)=0,R_DG!R523&gt;0,ISNUMBER(R_DG!R523)),R_DG!A523,"NONE")</f>
        <v>BASSB40</v>
      </c>
      <c r="B649" s="85">
        <f ca="1">IF(K649&gt;0,COUNTIF(K$6:K649,"&gt;0"),B648)</f>
        <v>34</v>
      </c>
      <c r="C649" s="1084" t="str">
        <f t="shared" si="110"/>
        <v>Bass bắt khung rào thép mạ kẽm 5mm</v>
      </c>
      <c r="D649" s="85" t="str">
        <f t="shared" si="111"/>
        <v>cái</v>
      </c>
      <c r="E649" s="448">
        <f ca="1">SUMIF(OFFSET(tongctvtdd1,0,-(COLUMN(E649)+7-(COLUMN(E649)-5)/2)),KLVT!$A649,tongctvtdd1)+SUMIF(OFFSET(tongctvtpk1,0,-(COLUMN(E649)+7-(COLUMN(E649)-5)/2)),KLVT!$A649,tongctvtpk1)</f>
        <v>0</v>
      </c>
      <c r="F649" s="449">
        <f ca="1">SUMIF(OFFSET(cttba_vlvt1_1,0,-9,-ROW(cttba_vlvt1_1)+ROW(cttba_vltb1_1)-10),KLVT!$A649,OFFSET(cttba_vlvt1_1,0,-4,-ROW(cttba_vlvt1_1)+ROW(cttba_vltb1_1)-10))</f>
        <v>0</v>
      </c>
      <c r="G649" s="451">
        <f t="shared" ca="1" si="113"/>
        <v>0</v>
      </c>
      <c r="H649" s="450">
        <f t="shared" si="114"/>
        <v>0.3</v>
      </c>
      <c r="I649" s="447">
        <f t="shared" ca="1" si="115"/>
        <v>0</v>
      </c>
      <c r="J649" s="447">
        <f t="shared" ca="1" si="116"/>
        <v>0</v>
      </c>
      <c r="K649" s="373">
        <f t="shared" ca="1" si="112"/>
        <v>0</v>
      </c>
    </row>
    <row r="650" spans="1:11" s="45" customFormat="1" ht="15.75" hidden="1">
      <c r="A650" s="373" t="str">
        <f>IF(AND(COUNTIF($A$5:$A$133,R_DG!A524)=0,R_DG!R524&gt;0,ISNUMBER(R_DG!R524)),R_DG!A524,"NONE")</f>
        <v>NONE</v>
      </c>
      <c r="B650" s="85">
        <f ca="1">IF(K650&gt;0,COUNTIF(K$6:K650,"&gt;0"),B649)</f>
        <v>34</v>
      </c>
      <c r="C650" s="1084">
        <f t="shared" si="110"/>
        <v>0</v>
      </c>
      <c r="D650" s="85">
        <f t="shared" si="111"/>
        <v>0</v>
      </c>
      <c r="E650" s="448">
        <f ca="1">SUMIF(OFFSET(tongctvtdd1,0,-(COLUMN(E650)+7-(COLUMN(E650)-5)/2)),KLVT!$A650,tongctvtdd1)+SUMIF(OFFSET(tongctvtpk1,0,-(COLUMN(E650)+7-(COLUMN(E650)-5)/2)),KLVT!$A650,tongctvtpk1)</f>
        <v>0</v>
      </c>
      <c r="F650" s="449">
        <f ca="1">SUMIF(OFFSET(cttba_vlvt1_1,0,-9,-ROW(cttba_vlvt1_1)+ROW(cttba_vltb1_1)-10),KLVT!$A650,OFFSET(cttba_vlvt1_1,0,-4,-ROW(cttba_vlvt1_1)+ROW(cttba_vltb1_1)-10))</f>
        <v>0</v>
      </c>
      <c r="G650" s="451">
        <f t="shared" ca="1" si="113"/>
        <v>0</v>
      </c>
      <c r="H650" s="450">
        <f t="shared" si="114"/>
        <v>1</v>
      </c>
      <c r="I650" s="447">
        <f t="shared" ca="1" si="115"/>
        <v>0</v>
      </c>
      <c r="J650" s="447">
        <f t="shared" ca="1" si="116"/>
        <v>0</v>
      </c>
      <c r="K650" s="373">
        <f t="shared" ca="1" si="112"/>
        <v>0</v>
      </c>
    </row>
    <row r="651" spans="1:11" s="45" customFormat="1" ht="15.75" hidden="1">
      <c r="A651" s="373" t="str">
        <f>IF(AND(COUNTIF($A$5:$A$133,R_DG!A525)=0,R_DG!R525&gt;0,ISNUMBER(R_DG!R525)),R_DG!A525,"NONE")</f>
        <v>NONE</v>
      </c>
      <c r="B651" s="85">
        <f ca="1">IF(K651&gt;0,COUNTIF(K$6:K651,"&gt;0"),B650)</f>
        <v>34</v>
      </c>
      <c r="C651" s="1084">
        <f t="shared" si="110"/>
        <v>0</v>
      </c>
      <c r="D651" s="85">
        <f t="shared" si="111"/>
        <v>0</v>
      </c>
      <c r="E651" s="448">
        <f ca="1">SUMIF(OFFSET(tongctvtdd1,0,-(COLUMN(E651)+7-(COLUMN(E651)-5)/2)),KLVT!$A651,tongctvtdd1)+SUMIF(OFFSET(tongctvtpk1,0,-(COLUMN(E651)+7-(COLUMN(E651)-5)/2)),KLVT!$A651,tongctvtpk1)</f>
        <v>0</v>
      </c>
      <c r="F651" s="449">
        <f ca="1">SUMIF(OFFSET(cttba_vlvt1_1,0,-9,-ROW(cttba_vlvt1_1)+ROW(cttba_vltb1_1)-10),KLVT!$A651,OFFSET(cttba_vlvt1_1,0,-4,-ROW(cttba_vlvt1_1)+ROW(cttba_vltb1_1)-10))</f>
        <v>0</v>
      </c>
      <c r="G651" s="451">
        <f t="shared" ca="1" si="113"/>
        <v>0</v>
      </c>
      <c r="H651" s="450">
        <f t="shared" si="114"/>
        <v>1</v>
      </c>
      <c r="I651" s="447">
        <f t="shared" ca="1" si="115"/>
        <v>0</v>
      </c>
      <c r="J651" s="447">
        <f t="shared" ca="1" si="116"/>
        <v>0</v>
      </c>
      <c r="K651" s="373">
        <f t="shared" ca="1" si="112"/>
        <v>0</v>
      </c>
    </row>
    <row r="652" spans="1:11" s="45" customFormat="1" ht="15.75" hidden="1">
      <c r="A652" s="373" t="str">
        <f>IF(AND(COUNTIF($A$5:$A$133,R_DG!A526)=0,R_DG!R526&gt;0,ISNUMBER(R_DG!R526)),R_DG!A526,"NONE")</f>
        <v>NONE</v>
      </c>
      <c r="B652" s="85">
        <f ca="1">IF(K652&gt;0,COUNTIF(K$6:K652,"&gt;0"),B651)</f>
        <v>34</v>
      </c>
      <c r="C652" s="1084">
        <f t="shared" si="110"/>
        <v>0</v>
      </c>
      <c r="D652" s="85">
        <f t="shared" si="111"/>
        <v>0</v>
      </c>
      <c r="E652" s="448">
        <f ca="1">SUMIF(OFFSET(tongctvtdd1,0,-(COLUMN(E652)+7-(COLUMN(E652)-5)/2)),KLVT!$A652,tongctvtdd1)+SUMIF(OFFSET(tongctvtpk1,0,-(COLUMN(E652)+7-(COLUMN(E652)-5)/2)),KLVT!$A652,tongctvtpk1)</f>
        <v>0</v>
      </c>
      <c r="F652" s="449">
        <f ca="1">SUMIF(OFFSET(cttba_vlvt1_1,0,-9,-ROW(cttba_vlvt1_1)+ROW(cttba_vltb1_1)-10),KLVT!$A652,OFFSET(cttba_vlvt1_1,0,-4,-ROW(cttba_vlvt1_1)+ROW(cttba_vltb1_1)-10))</f>
        <v>0</v>
      </c>
      <c r="G652" s="451">
        <f t="shared" ca="1" si="113"/>
        <v>0</v>
      </c>
      <c r="H652" s="450">
        <f t="shared" si="114"/>
        <v>1</v>
      </c>
      <c r="I652" s="447">
        <f t="shared" ca="1" si="115"/>
        <v>0</v>
      </c>
      <c r="J652" s="447">
        <f t="shared" ca="1" si="116"/>
        <v>0</v>
      </c>
      <c r="K652" s="373">
        <f t="shared" ca="1" si="112"/>
        <v>0</v>
      </c>
    </row>
    <row r="653" spans="1:11" s="45" customFormat="1" ht="15.75" hidden="1">
      <c r="A653" s="373" t="str">
        <f>IF(AND(COUNTIF($A$5:$A$133,R_DG!A527)=0,R_DG!R527&gt;0,ISNUMBER(R_DG!R527)),R_DG!A527,"NONE")</f>
        <v>NONE</v>
      </c>
      <c r="B653" s="85">
        <f ca="1">IF(K653&gt;0,COUNTIF(K$6:K653,"&gt;0"),B652)</f>
        <v>34</v>
      </c>
      <c r="C653" s="1084">
        <f t="shared" si="110"/>
        <v>0</v>
      </c>
      <c r="D653" s="85">
        <f t="shared" si="111"/>
        <v>0</v>
      </c>
      <c r="E653" s="448">
        <f ca="1">SUMIF(OFFSET(tongctvtdd1,0,-(COLUMN(E653)+7-(COLUMN(E653)-5)/2)),KLVT!$A653,tongctvtdd1)+SUMIF(OFFSET(tongctvtpk1,0,-(COLUMN(E653)+7-(COLUMN(E653)-5)/2)),KLVT!$A653,tongctvtpk1)</f>
        <v>0</v>
      </c>
      <c r="F653" s="449">
        <f ca="1">SUMIF(OFFSET(cttba_vlvt1_1,0,-9,-ROW(cttba_vlvt1_1)+ROW(cttba_vltb1_1)-10),KLVT!$A653,OFFSET(cttba_vlvt1_1,0,-4,-ROW(cttba_vlvt1_1)+ROW(cttba_vltb1_1)-10))</f>
        <v>0</v>
      </c>
      <c r="G653" s="451">
        <f t="shared" ca="1" si="113"/>
        <v>0</v>
      </c>
      <c r="H653" s="450">
        <f t="shared" si="114"/>
        <v>1</v>
      </c>
      <c r="I653" s="447">
        <f t="shared" ca="1" si="115"/>
        <v>0</v>
      </c>
      <c r="J653" s="447">
        <f t="shared" ca="1" si="116"/>
        <v>0</v>
      </c>
      <c r="K653" s="373">
        <f t="shared" ca="1" si="112"/>
        <v>0</v>
      </c>
    </row>
    <row r="654" spans="1:11" s="45" customFormat="1" ht="15.75" hidden="1">
      <c r="A654" s="373" t="str">
        <f>IF(AND(COUNTIF($A$5:$A$133,R_DG!A528)=0,R_DG!R528&gt;0,ISNUMBER(R_DG!R528)),R_DG!A528,"NONE")</f>
        <v>NONE</v>
      </c>
      <c r="B654" s="85">
        <f ca="1">IF(K654&gt;0,COUNTIF(K$6:K654,"&gt;0"),B653)</f>
        <v>34</v>
      </c>
      <c r="C654" s="1084">
        <f t="shared" si="110"/>
        <v>0</v>
      </c>
      <c r="D654" s="85">
        <f t="shared" si="111"/>
        <v>0</v>
      </c>
      <c r="E654" s="448">
        <f ca="1">SUMIF(OFFSET(tongctvtdd1,0,-(COLUMN(E654)+7-(COLUMN(E654)-5)/2)),KLVT!$A654,tongctvtdd1)+SUMIF(OFFSET(tongctvtpk1,0,-(COLUMN(E654)+7-(COLUMN(E654)-5)/2)),KLVT!$A654,tongctvtpk1)</f>
        <v>0</v>
      </c>
      <c r="F654" s="449">
        <f ca="1">SUMIF(OFFSET(cttba_vlvt1_1,0,-9,-ROW(cttba_vlvt1_1)+ROW(cttba_vltb1_1)-10),KLVT!$A654,OFFSET(cttba_vlvt1_1,0,-4,-ROW(cttba_vlvt1_1)+ROW(cttba_vltb1_1)-10))</f>
        <v>0</v>
      </c>
      <c r="G654" s="451">
        <f t="shared" ca="1" si="113"/>
        <v>0</v>
      </c>
      <c r="H654" s="450">
        <f t="shared" si="114"/>
        <v>1</v>
      </c>
      <c r="I654" s="447">
        <f t="shared" ca="1" si="115"/>
        <v>0</v>
      </c>
      <c r="J654" s="447">
        <f t="shared" ca="1" si="116"/>
        <v>0</v>
      </c>
      <c r="K654" s="373">
        <f t="shared" ca="1" si="112"/>
        <v>0</v>
      </c>
    </row>
    <row r="655" spans="1:11" s="45" customFormat="1" ht="15.75" hidden="1">
      <c r="A655" s="373" t="str">
        <f>IF(AND(COUNTIF($A$5:$A$133,R_DG!A529)=0,R_DG!R529&gt;0,ISNUMBER(R_DG!R529)),R_DG!A529,"NONE")</f>
        <v>NONE</v>
      </c>
      <c r="B655" s="85">
        <f ca="1">IF(K655&gt;0,COUNTIF(K$6:K655,"&gt;0"),B654)</f>
        <v>34</v>
      </c>
      <c r="C655" s="1084">
        <f t="shared" si="110"/>
        <v>0</v>
      </c>
      <c r="D655" s="85">
        <f t="shared" si="111"/>
        <v>0</v>
      </c>
      <c r="E655" s="448">
        <f ca="1">SUMIF(OFFSET(tongctvtdd1,0,-(COLUMN(E655)+7-(COLUMN(E655)-5)/2)),KLVT!$A655,tongctvtdd1)+SUMIF(OFFSET(tongctvtpk1,0,-(COLUMN(E655)+7-(COLUMN(E655)-5)/2)),KLVT!$A655,tongctvtpk1)</f>
        <v>0</v>
      </c>
      <c r="F655" s="449">
        <f ca="1">SUMIF(OFFSET(cttba_vlvt1_1,0,-9,-ROW(cttba_vlvt1_1)+ROW(cttba_vltb1_1)-10),KLVT!$A655,OFFSET(cttba_vlvt1_1,0,-4,-ROW(cttba_vlvt1_1)+ROW(cttba_vltb1_1)-10))</f>
        <v>0</v>
      </c>
      <c r="G655" s="451">
        <f t="shared" ca="1" si="113"/>
        <v>0</v>
      </c>
      <c r="H655" s="450">
        <f t="shared" si="114"/>
        <v>1</v>
      </c>
      <c r="I655" s="447">
        <f t="shared" ca="1" si="115"/>
        <v>0</v>
      </c>
      <c r="J655" s="447">
        <f t="shared" ca="1" si="116"/>
        <v>0</v>
      </c>
      <c r="K655" s="373">
        <f t="shared" ca="1" si="112"/>
        <v>0</v>
      </c>
    </row>
    <row r="656" spans="1:11" s="45" customFormat="1" ht="15.75" hidden="1">
      <c r="A656" s="373" t="str">
        <f>IF(AND(COUNTIF($A$5:$A$133,R_DG!A530)=0,R_DG!R530&gt;0,ISNUMBER(R_DG!R530)),R_DG!A530,"NONE")</f>
        <v>NONE</v>
      </c>
      <c r="B656" s="85">
        <f ca="1">IF(K656&gt;0,COUNTIF(K$6:K656,"&gt;0"),B655)</f>
        <v>34</v>
      </c>
      <c r="C656" s="1084">
        <f t="shared" si="110"/>
        <v>0</v>
      </c>
      <c r="D656" s="85">
        <f t="shared" si="111"/>
        <v>0</v>
      </c>
      <c r="E656" s="448">
        <f ca="1">SUMIF(OFFSET(tongctvtdd1,0,-(COLUMN(E656)+7-(COLUMN(E656)-5)/2)),KLVT!$A656,tongctvtdd1)+SUMIF(OFFSET(tongctvtpk1,0,-(COLUMN(E656)+7-(COLUMN(E656)-5)/2)),KLVT!$A656,tongctvtpk1)</f>
        <v>0</v>
      </c>
      <c r="F656" s="449">
        <f ca="1">SUMIF(OFFSET(cttba_vlvt1_1,0,-9,-ROW(cttba_vlvt1_1)+ROW(cttba_vltb1_1)-10),KLVT!$A656,OFFSET(cttba_vlvt1_1,0,-4,-ROW(cttba_vlvt1_1)+ROW(cttba_vltb1_1)-10))</f>
        <v>0</v>
      </c>
      <c r="G656" s="451">
        <f t="shared" ca="1" si="113"/>
        <v>0</v>
      </c>
      <c r="H656" s="450">
        <f t="shared" si="114"/>
        <v>1</v>
      </c>
      <c r="I656" s="447">
        <f t="shared" ca="1" si="115"/>
        <v>0</v>
      </c>
      <c r="J656" s="447">
        <f t="shared" ca="1" si="116"/>
        <v>0</v>
      </c>
      <c r="K656" s="373">
        <f t="shared" ca="1" si="112"/>
        <v>0</v>
      </c>
    </row>
    <row r="657" spans="1:11" s="45" customFormat="1" ht="15.75" hidden="1">
      <c r="A657" s="373" t="str">
        <f>IF(AND(COUNTIF($A$5:$A$133,R_DG!A531)=0,R_DG!R531&gt;0,ISNUMBER(R_DG!R531)),R_DG!A531,"NONE")</f>
        <v>NONE</v>
      </c>
      <c r="B657" s="85">
        <f ca="1">IF(K657&gt;0,COUNTIF(K$6:K657,"&gt;0"),B656)</f>
        <v>34</v>
      </c>
      <c r="C657" s="1084">
        <f t="shared" si="110"/>
        <v>0</v>
      </c>
      <c r="D657" s="85">
        <f t="shared" si="111"/>
        <v>0</v>
      </c>
      <c r="E657" s="448">
        <f ca="1">SUMIF(OFFSET(tongctvtdd1,0,-(COLUMN(E657)+7-(COLUMN(E657)-5)/2)),KLVT!$A657,tongctvtdd1)+SUMIF(OFFSET(tongctvtpk1,0,-(COLUMN(E657)+7-(COLUMN(E657)-5)/2)),KLVT!$A657,tongctvtpk1)</f>
        <v>0</v>
      </c>
      <c r="F657" s="449">
        <f ca="1">SUMIF(OFFSET(cttba_vlvt1_1,0,-9,-ROW(cttba_vlvt1_1)+ROW(cttba_vltb1_1)-10),KLVT!$A657,OFFSET(cttba_vlvt1_1,0,-4,-ROW(cttba_vlvt1_1)+ROW(cttba_vltb1_1)-10))</f>
        <v>0</v>
      </c>
      <c r="G657" s="451">
        <f t="shared" ca="1" si="113"/>
        <v>0</v>
      </c>
      <c r="H657" s="450">
        <f t="shared" si="114"/>
        <v>1</v>
      </c>
      <c r="I657" s="447">
        <f t="shared" ca="1" si="115"/>
        <v>0</v>
      </c>
      <c r="J657" s="447">
        <f t="shared" ca="1" si="116"/>
        <v>0</v>
      </c>
      <c r="K657" s="374">
        <f t="shared" ca="1" si="112"/>
        <v>0</v>
      </c>
    </row>
    <row r="658" spans="1:11" s="45" customFormat="1" ht="15.75" hidden="1">
      <c r="A658" s="373" t="str">
        <f>IF(AND(COUNTIF($A$5:$A$133,R_DG!A532)=0,R_DG!R532&gt;0,ISNUMBER(R_DG!R532)),R_DG!A532,"NONE")</f>
        <v>NONE</v>
      </c>
      <c r="B658" s="85">
        <f ca="1">IF(K658&gt;0,COUNTIF(K$6:K658,"&gt;0"),B657)</f>
        <v>34</v>
      </c>
      <c r="C658" s="1084">
        <f t="shared" si="110"/>
        <v>0</v>
      </c>
      <c r="D658" s="85">
        <f t="shared" si="111"/>
        <v>0</v>
      </c>
      <c r="E658" s="448">
        <f ca="1">SUMIF(OFFSET(tongctvtdd1,0,-(COLUMN(E658)+7-(COLUMN(E658)-5)/2)),KLVT!$A658,tongctvtdd1)+SUMIF(OFFSET(tongctvtpk1,0,-(COLUMN(E658)+7-(COLUMN(E658)-5)/2)),KLVT!$A658,tongctvtpk1)</f>
        <v>0</v>
      </c>
      <c r="F658" s="449">
        <f ca="1">SUMIF(OFFSET(cttba_vlvt1_1,0,-9,-ROW(cttba_vlvt1_1)+ROW(cttba_vltb1_1)-10),KLVT!$A658,OFFSET(cttba_vlvt1_1,0,-4,-ROW(cttba_vlvt1_1)+ROW(cttba_vltb1_1)-10))</f>
        <v>0</v>
      </c>
      <c r="G658" s="451">
        <f t="shared" ca="1" si="113"/>
        <v>0</v>
      </c>
      <c r="H658" s="450">
        <f t="shared" si="114"/>
        <v>1</v>
      </c>
      <c r="I658" s="447">
        <f t="shared" ca="1" si="115"/>
        <v>0</v>
      </c>
      <c r="J658" s="447">
        <f t="shared" ca="1" si="116"/>
        <v>0</v>
      </c>
      <c r="K658" s="373">
        <f t="shared" ca="1" si="112"/>
        <v>0</v>
      </c>
    </row>
    <row r="659" spans="1:11" s="45" customFormat="1" ht="15.75" hidden="1">
      <c r="A659" s="373" t="str">
        <f>IF(AND(COUNTIF($A$5:$A$133,R_DG!A533)=0,R_DG!R533&gt;0,ISNUMBER(R_DG!R533)),R_DG!A533,"NONE")</f>
        <v>NONE</v>
      </c>
      <c r="B659" s="85">
        <f ca="1">IF(K659&gt;0,COUNTIF(K$6:K659,"&gt;0"),B658)</f>
        <v>34</v>
      </c>
      <c r="C659" s="1084">
        <f t="shared" si="110"/>
        <v>0</v>
      </c>
      <c r="D659" s="85">
        <f t="shared" si="111"/>
        <v>0</v>
      </c>
      <c r="E659" s="448">
        <f ca="1">SUMIF(OFFSET(tongctvtdd1,0,-(COLUMN(E659)+7-(COLUMN(E659)-5)/2)),KLVT!$A659,tongctvtdd1)+SUMIF(OFFSET(tongctvtpk1,0,-(COLUMN(E659)+7-(COLUMN(E659)-5)/2)),KLVT!$A659,tongctvtpk1)</f>
        <v>0</v>
      </c>
      <c r="F659" s="449">
        <f ca="1">SUMIF(OFFSET(cttba_vlvt1_1,0,-9,-ROW(cttba_vlvt1_1)+ROW(cttba_vltb1_1)-10),KLVT!$A659,OFFSET(cttba_vlvt1_1,0,-4,-ROW(cttba_vlvt1_1)+ROW(cttba_vltb1_1)-10))</f>
        <v>0</v>
      </c>
      <c r="G659" s="451">
        <f t="shared" ca="1" si="113"/>
        <v>0</v>
      </c>
      <c r="H659" s="450">
        <f t="shared" si="114"/>
        <v>1</v>
      </c>
      <c r="I659" s="447">
        <f t="shared" ca="1" si="115"/>
        <v>0</v>
      </c>
      <c r="J659" s="447">
        <f t="shared" ca="1" si="116"/>
        <v>0</v>
      </c>
      <c r="K659" s="374">
        <f t="shared" ca="1" si="112"/>
        <v>0</v>
      </c>
    </row>
    <row r="660" spans="1:11" s="45" customFormat="1" ht="15.75" hidden="1">
      <c r="A660" s="373" t="str">
        <f>IF(AND(COUNTIF($A$5:$A$133,R_DG!A534)=0,R_DG!R534&gt;0,ISNUMBER(R_DG!R534)),R_DG!A534,"NONE")</f>
        <v>NONE</v>
      </c>
      <c r="B660" s="85">
        <f ca="1">IF(K660&gt;0,COUNTIF(K$6:K660,"&gt;0"),B659)</f>
        <v>34</v>
      </c>
      <c r="C660" s="1084">
        <f t="shared" si="110"/>
        <v>0</v>
      </c>
      <c r="D660" s="85">
        <f t="shared" si="111"/>
        <v>0</v>
      </c>
      <c r="E660" s="448">
        <f ca="1">SUMIF(OFFSET(tongctvtdd1,0,-(COLUMN(E660)+7-(COLUMN(E660)-5)/2)),KLVT!$A660,tongctvtdd1)+SUMIF(OFFSET(tongctvtpk1,0,-(COLUMN(E660)+7-(COLUMN(E660)-5)/2)),KLVT!$A660,tongctvtpk1)</f>
        <v>0</v>
      </c>
      <c r="F660" s="449">
        <f ca="1">SUMIF(OFFSET(cttba_vlvt1_1,0,-9,-ROW(cttba_vlvt1_1)+ROW(cttba_vltb1_1)-10),KLVT!$A660,OFFSET(cttba_vlvt1_1,0,-4,-ROW(cttba_vlvt1_1)+ROW(cttba_vltb1_1)-10))</f>
        <v>0</v>
      </c>
      <c r="G660" s="451">
        <f t="shared" ca="1" si="113"/>
        <v>0</v>
      </c>
      <c r="H660" s="450">
        <f t="shared" si="114"/>
        <v>1</v>
      </c>
      <c r="I660" s="447">
        <f t="shared" ca="1" si="115"/>
        <v>0</v>
      </c>
      <c r="J660" s="447">
        <f t="shared" ca="1" si="116"/>
        <v>0</v>
      </c>
      <c r="K660" s="374">
        <f t="shared" ca="1" si="112"/>
        <v>0</v>
      </c>
    </row>
    <row r="661" spans="1:11" s="45" customFormat="1" ht="15.75" hidden="1">
      <c r="A661" s="373" t="str">
        <f>IF(AND(COUNTIF($A$5:$A$133,R_DG!A535)=0,R_DG!R535&gt;0,ISNUMBER(R_DG!R535)),R_DG!A535,"NONE")</f>
        <v>NONE</v>
      </c>
      <c r="B661" s="85">
        <f ca="1">IF(K661&gt;0,COUNTIF(K$6:K661,"&gt;0"),B660)</f>
        <v>34</v>
      </c>
      <c r="C661" s="1084">
        <f t="shared" si="110"/>
        <v>0</v>
      </c>
      <c r="D661" s="85">
        <f t="shared" si="111"/>
        <v>0</v>
      </c>
      <c r="E661" s="448">
        <f ca="1">SUMIF(OFFSET(tongctvtdd1,0,-(COLUMN(E661)+7-(COLUMN(E661)-5)/2)),KLVT!$A661,tongctvtdd1)+SUMIF(OFFSET(tongctvtpk1,0,-(COLUMN(E661)+7-(COLUMN(E661)-5)/2)),KLVT!$A661,tongctvtpk1)</f>
        <v>0</v>
      </c>
      <c r="F661" s="449">
        <f ca="1">SUMIF(OFFSET(cttba_vlvt1_1,0,-9,-ROW(cttba_vlvt1_1)+ROW(cttba_vltb1_1)-10),KLVT!$A661,OFFSET(cttba_vlvt1_1,0,-4,-ROW(cttba_vlvt1_1)+ROW(cttba_vltb1_1)-10))</f>
        <v>0</v>
      </c>
      <c r="G661" s="451">
        <f t="shared" ca="1" si="113"/>
        <v>0</v>
      </c>
      <c r="H661" s="450">
        <f t="shared" si="114"/>
        <v>1</v>
      </c>
      <c r="I661" s="447">
        <f t="shared" ca="1" si="115"/>
        <v>0</v>
      </c>
      <c r="J661" s="447">
        <f t="shared" ca="1" si="116"/>
        <v>0</v>
      </c>
      <c r="K661" s="373">
        <f t="shared" ca="1" si="112"/>
        <v>0</v>
      </c>
    </row>
    <row r="662" spans="1:11" s="45" customFormat="1" ht="15.75" hidden="1">
      <c r="A662" s="373" t="str">
        <f>IF(AND(COUNTIF($A$5:$A$133,R_DG!A536)=0,R_DG!R536&gt;0,ISNUMBER(R_DG!R536)),R_DG!A536,"NONE")</f>
        <v>NONE</v>
      </c>
      <c r="B662" s="85">
        <f ca="1">IF(K662&gt;0,COUNTIF(K$6:K662,"&gt;0"),B661)</f>
        <v>34</v>
      </c>
      <c r="C662" s="1084">
        <f t="shared" si="110"/>
        <v>0</v>
      </c>
      <c r="D662" s="85">
        <f t="shared" si="111"/>
        <v>0</v>
      </c>
      <c r="E662" s="448">
        <f ca="1">SUMIF(OFFSET(tongctvtdd1,0,-(COLUMN(E662)+7-(COLUMN(E662)-5)/2)),KLVT!$A662,tongctvtdd1)+SUMIF(OFFSET(tongctvtpk1,0,-(COLUMN(E662)+7-(COLUMN(E662)-5)/2)),KLVT!$A662,tongctvtpk1)</f>
        <v>0</v>
      </c>
      <c r="F662" s="449">
        <f ca="1">SUMIF(OFFSET(cttba_vlvt1_1,0,-9,-ROW(cttba_vlvt1_1)+ROW(cttba_vltb1_1)-10),KLVT!$A662,OFFSET(cttba_vlvt1_1,0,-4,-ROW(cttba_vlvt1_1)+ROW(cttba_vltb1_1)-10))</f>
        <v>0</v>
      </c>
      <c r="G662" s="451">
        <f t="shared" ca="1" si="113"/>
        <v>0</v>
      </c>
      <c r="H662" s="450">
        <f t="shared" si="114"/>
        <v>1</v>
      </c>
      <c r="I662" s="447">
        <f t="shared" ca="1" si="115"/>
        <v>0</v>
      </c>
      <c r="J662" s="447">
        <f t="shared" ca="1" si="116"/>
        <v>0</v>
      </c>
      <c r="K662" s="373">
        <f t="shared" ca="1" si="112"/>
        <v>0</v>
      </c>
    </row>
    <row r="663" spans="1:11" s="45" customFormat="1" ht="15.75" hidden="1">
      <c r="A663" s="373" t="str">
        <f>IF(AND(COUNTIF($A$5:$A$133,R_DG!A537)=0,R_DG!R537&gt;0,ISNUMBER(R_DG!R537)),R_DG!A537,"NONE")</f>
        <v>NONE</v>
      </c>
      <c r="B663" s="85">
        <f ca="1">IF(K663&gt;0,COUNTIF(K$6:K663,"&gt;0"),B662)</f>
        <v>34</v>
      </c>
      <c r="C663" s="1084">
        <f t="shared" si="110"/>
        <v>0</v>
      </c>
      <c r="D663" s="85">
        <f t="shared" si="111"/>
        <v>0</v>
      </c>
      <c r="E663" s="448">
        <f ca="1">SUMIF(OFFSET(tongctvtdd1,0,-(COLUMN(E663)+7-(COLUMN(E663)-5)/2)),KLVT!$A663,tongctvtdd1)+SUMIF(OFFSET(tongctvtpk1,0,-(COLUMN(E663)+7-(COLUMN(E663)-5)/2)),KLVT!$A663,tongctvtpk1)</f>
        <v>0</v>
      </c>
      <c r="F663" s="449">
        <f ca="1">SUMIF(OFFSET(cttba_vlvt1_1,0,-9,-ROW(cttba_vlvt1_1)+ROW(cttba_vltb1_1)-10),KLVT!$A663,OFFSET(cttba_vlvt1_1,0,-4,-ROW(cttba_vlvt1_1)+ROW(cttba_vltb1_1)-10))</f>
        <v>0</v>
      </c>
      <c r="G663" s="451">
        <f t="shared" ca="1" si="113"/>
        <v>0</v>
      </c>
      <c r="H663" s="450">
        <f t="shared" si="114"/>
        <v>1</v>
      </c>
      <c r="I663" s="447">
        <f t="shared" ca="1" si="115"/>
        <v>0</v>
      </c>
      <c r="J663" s="447">
        <f t="shared" ca="1" si="116"/>
        <v>0</v>
      </c>
      <c r="K663" s="373">
        <f t="shared" ca="1" si="112"/>
        <v>0</v>
      </c>
    </row>
    <row r="664" spans="1:11" s="45" customFormat="1" ht="15.75" hidden="1">
      <c r="A664" s="373" t="str">
        <f>IF(AND(COUNTIF($A$5:$A$133,R_DG!A538)=0,R_DG!R538&gt;0,ISNUMBER(R_DG!R538)),R_DG!A538,"NONE")</f>
        <v>NONE</v>
      </c>
      <c r="B664" s="85">
        <f ca="1">IF(K664&gt;0,COUNTIF(K$6:K664,"&gt;0"),B663)</f>
        <v>34</v>
      </c>
      <c r="C664" s="1084">
        <f t="shared" si="110"/>
        <v>0</v>
      </c>
      <c r="D664" s="85">
        <f t="shared" si="111"/>
        <v>0</v>
      </c>
      <c r="E664" s="448">
        <f ca="1">SUMIF(OFFSET(tongctvtdd1,0,-(COLUMN(E664)+7-(COLUMN(E664)-5)/2)),KLVT!$A664,tongctvtdd1)+SUMIF(OFFSET(tongctvtpk1,0,-(COLUMN(E664)+7-(COLUMN(E664)-5)/2)),KLVT!$A664,tongctvtpk1)</f>
        <v>0</v>
      </c>
      <c r="F664" s="449">
        <f ca="1">SUMIF(OFFSET(cttba_vlvt1_1,0,-9,-ROW(cttba_vlvt1_1)+ROW(cttba_vltb1_1)-10),KLVT!$A664,OFFSET(cttba_vlvt1_1,0,-4,-ROW(cttba_vlvt1_1)+ROW(cttba_vltb1_1)-10))</f>
        <v>0</v>
      </c>
      <c r="G664" s="451">
        <f t="shared" ca="1" si="113"/>
        <v>0</v>
      </c>
      <c r="H664" s="450">
        <f t="shared" si="114"/>
        <v>1</v>
      </c>
      <c r="I664" s="447">
        <f t="shared" ca="1" si="115"/>
        <v>0</v>
      </c>
      <c r="J664" s="447">
        <f t="shared" ca="1" si="116"/>
        <v>0</v>
      </c>
      <c r="K664" s="374">
        <f t="shared" ca="1" si="112"/>
        <v>0</v>
      </c>
    </row>
    <row r="665" spans="1:11" s="45" customFormat="1" ht="15.75" hidden="1">
      <c r="A665" s="373" t="str">
        <f>IF(AND(COUNTIF($A$5:$A$133,R_DG!A539)=0,R_DG!R539&gt;0,ISNUMBER(R_DG!R539)),R_DG!A539,"NONE")</f>
        <v>NONE</v>
      </c>
      <c r="B665" s="85">
        <f ca="1">IF(K665&gt;0,COUNTIF(K$6:K665,"&gt;0"),B664)</f>
        <v>34</v>
      </c>
      <c r="C665" s="1084">
        <f t="shared" si="110"/>
        <v>0</v>
      </c>
      <c r="D665" s="85">
        <f t="shared" si="111"/>
        <v>0</v>
      </c>
      <c r="E665" s="448">
        <f ca="1">SUMIF(OFFSET(tongctvtdd1,0,-(COLUMN(E665)+7-(COLUMN(E665)-5)/2)),KLVT!$A665,tongctvtdd1)+SUMIF(OFFSET(tongctvtpk1,0,-(COLUMN(E665)+7-(COLUMN(E665)-5)/2)),KLVT!$A665,tongctvtpk1)</f>
        <v>0</v>
      </c>
      <c r="F665" s="449">
        <f ca="1">SUMIF(OFFSET(cttba_vlvt1_1,0,-9,-ROW(cttba_vlvt1_1)+ROW(cttba_vltb1_1)-10),KLVT!$A665,OFFSET(cttba_vlvt1_1,0,-4,-ROW(cttba_vlvt1_1)+ROW(cttba_vltb1_1)-10))</f>
        <v>0</v>
      </c>
      <c r="G665" s="451">
        <f t="shared" ca="1" si="113"/>
        <v>0</v>
      </c>
      <c r="H665" s="450">
        <f t="shared" si="114"/>
        <v>1</v>
      </c>
      <c r="I665" s="447">
        <f t="shared" ca="1" si="115"/>
        <v>0</v>
      </c>
      <c r="J665" s="447">
        <f t="shared" ca="1" si="116"/>
        <v>0</v>
      </c>
      <c r="K665" s="373">
        <f t="shared" ca="1" si="112"/>
        <v>0</v>
      </c>
    </row>
    <row r="666" spans="1:11" s="45" customFormat="1" ht="15.75" hidden="1">
      <c r="A666" s="373" t="str">
        <f>IF(AND(COUNTIF($A$5:$A$133,R_DG!A540)=0,R_DG!R540&gt;0,ISNUMBER(R_DG!R540)),R_DG!A540,"NONE")</f>
        <v>NONE</v>
      </c>
      <c r="B666" s="85">
        <f ca="1">IF(K666&gt;0,COUNTIF(K$6:K666,"&gt;0"),B665)</f>
        <v>34</v>
      </c>
      <c r="C666" s="1084">
        <f t="shared" si="110"/>
        <v>0</v>
      </c>
      <c r="D666" s="85">
        <f t="shared" si="111"/>
        <v>0</v>
      </c>
      <c r="E666" s="448">
        <f ca="1">SUMIF(OFFSET(tongctvtdd1,0,-(COLUMN(E666)+7-(COLUMN(E666)-5)/2)),KLVT!$A666,tongctvtdd1)+SUMIF(OFFSET(tongctvtpk1,0,-(COLUMN(E666)+7-(COLUMN(E666)-5)/2)),KLVT!$A666,tongctvtpk1)</f>
        <v>0</v>
      </c>
      <c r="F666" s="449">
        <f ca="1">SUMIF(OFFSET(cttba_vlvt1_1,0,-9,-ROW(cttba_vlvt1_1)+ROW(cttba_vltb1_1)-10),KLVT!$A666,OFFSET(cttba_vlvt1_1,0,-4,-ROW(cttba_vlvt1_1)+ROW(cttba_vltb1_1)-10))</f>
        <v>0</v>
      </c>
      <c r="G666" s="451">
        <f t="shared" ca="1" si="113"/>
        <v>0</v>
      </c>
      <c r="H666" s="450">
        <f t="shared" si="114"/>
        <v>1</v>
      </c>
      <c r="I666" s="447">
        <f t="shared" ca="1" si="115"/>
        <v>0</v>
      </c>
      <c r="J666" s="447">
        <f t="shared" ca="1" si="116"/>
        <v>0</v>
      </c>
      <c r="K666" s="373">
        <f t="shared" ca="1" si="112"/>
        <v>0</v>
      </c>
    </row>
    <row r="667" spans="1:11" s="45" customFormat="1" ht="15.75" hidden="1">
      <c r="A667" s="373" t="str">
        <f>IF(AND(COUNTIF($A$5:$A$133,R_DG!A541)=0,R_DG!R541&gt;0,ISNUMBER(R_DG!R541)),R_DG!A541,"NONE")</f>
        <v>NONE</v>
      </c>
      <c r="B667" s="85">
        <f ca="1">IF(K667&gt;0,COUNTIF(K$6:K667,"&gt;0"),B666)</f>
        <v>34</v>
      </c>
      <c r="C667" s="1084">
        <f t="shared" si="110"/>
        <v>0</v>
      </c>
      <c r="D667" s="85">
        <f t="shared" si="111"/>
        <v>0</v>
      </c>
      <c r="E667" s="448">
        <f ca="1">SUMIF(OFFSET(tongctvtdd1,0,-(COLUMN(E667)+7-(COLUMN(E667)-5)/2)),KLVT!$A667,tongctvtdd1)+SUMIF(OFFSET(tongctvtpk1,0,-(COLUMN(E667)+7-(COLUMN(E667)-5)/2)),KLVT!$A667,tongctvtpk1)</f>
        <v>0</v>
      </c>
      <c r="F667" s="449">
        <f ca="1">SUMIF(OFFSET(cttba_vlvt1_1,0,-9,-ROW(cttba_vlvt1_1)+ROW(cttba_vltb1_1)-10),KLVT!$A667,OFFSET(cttba_vlvt1_1,0,-4,-ROW(cttba_vlvt1_1)+ROW(cttba_vltb1_1)-10))</f>
        <v>0</v>
      </c>
      <c r="G667" s="451">
        <f t="shared" ca="1" si="113"/>
        <v>0</v>
      </c>
      <c r="H667" s="450">
        <f t="shared" si="114"/>
        <v>1</v>
      </c>
      <c r="I667" s="447">
        <f t="shared" ca="1" si="115"/>
        <v>0</v>
      </c>
      <c r="J667" s="447">
        <f t="shared" ca="1" si="116"/>
        <v>0</v>
      </c>
      <c r="K667" s="373">
        <f t="shared" ca="1" si="112"/>
        <v>0</v>
      </c>
    </row>
    <row r="668" spans="1:11" s="45" customFormat="1" ht="15.75" hidden="1">
      <c r="A668" s="373" t="str">
        <f>IF(AND(COUNTIF($A$5:$A$133,R_DG!A542)=0,R_DG!R542&gt;0,ISNUMBER(R_DG!R542)),R_DG!A542,"NONE")</f>
        <v>NONE</v>
      </c>
      <c r="B668" s="85">
        <f ca="1">IF(K668&gt;0,COUNTIF(K$6:K668,"&gt;0"),B667)</f>
        <v>34</v>
      </c>
      <c r="C668" s="1084">
        <f t="shared" si="110"/>
        <v>0</v>
      </c>
      <c r="D668" s="85">
        <f t="shared" si="111"/>
        <v>0</v>
      </c>
      <c r="E668" s="448">
        <f ca="1">SUMIF(OFFSET(tongctvtdd1,0,-(COLUMN(E668)+7-(COLUMN(E668)-5)/2)),KLVT!$A668,tongctvtdd1)+SUMIF(OFFSET(tongctvtpk1,0,-(COLUMN(E668)+7-(COLUMN(E668)-5)/2)),KLVT!$A668,tongctvtpk1)</f>
        <v>0</v>
      </c>
      <c r="F668" s="449">
        <f ca="1">SUMIF(OFFSET(cttba_vlvt1_1,0,-9,-ROW(cttba_vlvt1_1)+ROW(cttba_vltb1_1)-10),KLVT!$A668,OFFSET(cttba_vlvt1_1,0,-4,-ROW(cttba_vlvt1_1)+ROW(cttba_vltb1_1)-10))</f>
        <v>0</v>
      </c>
      <c r="G668" s="451">
        <f t="shared" ca="1" si="113"/>
        <v>0</v>
      </c>
      <c r="H668" s="450">
        <f t="shared" si="114"/>
        <v>1</v>
      </c>
      <c r="I668" s="447">
        <f t="shared" ca="1" si="115"/>
        <v>0</v>
      </c>
      <c r="J668" s="447">
        <f t="shared" ca="1" si="116"/>
        <v>0</v>
      </c>
      <c r="K668" s="373">
        <f t="shared" ca="1" si="112"/>
        <v>0</v>
      </c>
    </row>
    <row r="669" spans="1:11" s="45" customFormat="1" ht="15.75" hidden="1">
      <c r="A669" s="373" t="str">
        <f>IF(AND(COUNTIF($A$5:$A$133,R_DG!A543)=0,R_DG!R543&gt;0,ISNUMBER(R_DG!R543)),R_DG!A543,"NONE")</f>
        <v>NONE</v>
      </c>
      <c r="B669" s="85">
        <f ca="1">IF(K669&gt;0,COUNTIF(K$6:K669,"&gt;0"),B668)</f>
        <v>34</v>
      </c>
      <c r="C669" s="1084">
        <f t="shared" si="110"/>
        <v>0</v>
      </c>
      <c r="D669" s="85">
        <f t="shared" si="111"/>
        <v>0</v>
      </c>
      <c r="E669" s="448">
        <f ca="1">SUMIF(OFFSET(tongctvtdd1,0,-(COLUMN(E669)+7-(COLUMN(E669)-5)/2)),KLVT!$A669,tongctvtdd1)+SUMIF(OFFSET(tongctvtpk1,0,-(COLUMN(E669)+7-(COLUMN(E669)-5)/2)),KLVT!$A669,tongctvtpk1)</f>
        <v>0</v>
      </c>
      <c r="F669" s="449">
        <f ca="1">SUMIF(OFFSET(cttba_vlvt1_1,0,-9,-ROW(cttba_vlvt1_1)+ROW(cttba_vltb1_1)-10),KLVT!$A669,OFFSET(cttba_vlvt1_1,0,-4,-ROW(cttba_vlvt1_1)+ROW(cttba_vltb1_1)-10))</f>
        <v>0</v>
      </c>
      <c r="G669" s="451">
        <f t="shared" ca="1" si="113"/>
        <v>0</v>
      </c>
      <c r="H669" s="450">
        <f t="shared" si="114"/>
        <v>1</v>
      </c>
      <c r="I669" s="447">
        <f t="shared" ca="1" si="115"/>
        <v>0</v>
      </c>
      <c r="J669" s="447">
        <f t="shared" ca="1" si="116"/>
        <v>0</v>
      </c>
      <c r="K669" s="373">
        <f t="shared" ca="1" si="112"/>
        <v>0</v>
      </c>
    </row>
    <row r="670" spans="1:11" s="45" customFormat="1" ht="15.75" hidden="1">
      <c r="A670" s="373" t="str">
        <f>IF(AND(COUNTIF($A$5:$A$133,R_DG!A544)=0,R_DG!R544&gt;0,ISNUMBER(R_DG!R544)),R_DG!A544,"NONE")</f>
        <v>NONE</v>
      </c>
      <c r="B670" s="85">
        <f ca="1">IF(K670&gt;0,COUNTIF(K$6:K670,"&gt;0"),B669)</f>
        <v>34</v>
      </c>
      <c r="C670" s="1084">
        <f t="shared" si="110"/>
        <v>0</v>
      </c>
      <c r="D670" s="85">
        <f t="shared" si="111"/>
        <v>0</v>
      </c>
      <c r="E670" s="448">
        <f ca="1">SUMIF(OFFSET(tongctvtdd1,0,-(COLUMN(E670)+7-(COLUMN(E670)-5)/2)),KLVT!$A670,tongctvtdd1)+SUMIF(OFFSET(tongctvtpk1,0,-(COLUMN(E670)+7-(COLUMN(E670)-5)/2)),KLVT!$A670,tongctvtpk1)</f>
        <v>0</v>
      </c>
      <c r="F670" s="449">
        <f ca="1">SUMIF(OFFSET(cttba_vlvt1_1,0,-9,-ROW(cttba_vlvt1_1)+ROW(cttba_vltb1_1)-10),KLVT!$A670,OFFSET(cttba_vlvt1_1,0,-4,-ROW(cttba_vlvt1_1)+ROW(cttba_vltb1_1)-10))</f>
        <v>0</v>
      </c>
      <c r="G670" s="451">
        <f t="shared" ca="1" si="113"/>
        <v>0</v>
      </c>
      <c r="H670" s="450">
        <f t="shared" si="114"/>
        <v>1</v>
      </c>
      <c r="I670" s="447">
        <f t="shared" ca="1" si="115"/>
        <v>0</v>
      </c>
      <c r="J670" s="447">
        <f t="shared" ca="1" si="116"/>
        <v>0</v>
      </c>
      <c r="K670" s="373">
        <f t="shared" ca="1" si="112"/>
        <v>0</v>
      </c>
    </row>
    <row r="671" spans="1:11" s="45" customFormat="1" ht="15.75" hidden="1">
      <c r="A671" s="373" t="str">
        <f>IF(AND(COUNTIF($A$5:$A$133,R_DG!A545)=0,R_DG!R545&gt;0,ISNUMBER(R_DG!R545)),R_DG!A545,"NONE")</f>
        <v>NONE</v>
      </c>
      <c r="B671" s="85">
        <f ca="1">IF(K671&gt;0,COUNTIF(K$6:K671,"&gt;0"),B670)</f>
        <v>34</v>
      </c>
      <c r="C671" s="1084">
        <f t="shared" si="110"/>
        <v>0</v>
      </c>
      <c r="D671" s="85">
        <f t="shared" si="111"/>
        <v>0</v>
      </c>
      <c r="E671" s="448">
        <f ca="1">SUMIF(OFFSET(tongctvtdd1,0,-(COLUMN(E671)+7-(COLUMN(E671)-5)/2)),KLVT!$A671,tongctvtdd1)+SUMIF(OFFSET(tongctvtpk1,0,-(COLUMN(E671)+7-(COLUMN(E671)-5)/2)),KLVT!$A671,tongctvtpk1)</f>
        <v>0</v>
      </c>
      <c r="F671" s="449">
        <f ca="1">SUMIF(OFFSET(cttba_vlvt1_1,0,-9,-ROW(cttba_vlvt1_1)+ROW(cttba_vltb1_1)-10),KLVT!$A671,OFFSET(cttba_vlvt1_1,0,-4,-ROW(cttba_vlvt1_1)+ROW(cttba_vltb1_1)-10))</f>
        <v>0</v>
      </c>
      <c r="G671" s="451">
        <f t="shared" ca="1" si="113"/>
        <v>0</v>
      </c>
      <c r="H671" s="450">
        <f t="shared" si="114"/>
        <v>1</v>
      </c>
      <c r="I671" s="447">
        <f t="shared" ca="1" si="115"/>
        <v>0</v>
      </c>
      <c r="J671" s="447">
        <f t="shared" ca="1" si="116"/>
        <v>0</v>
      </c>
      <c r="K671" s="373">
        <f t="shared" ca="1" si="112"/>
        <v>0</v>
      </c>
    </row>
    <row r="672" spans="1:11" s="45" customFormat="1" ht="15.75" hidden="1">
      <c r="A672" s="373" t="str">
        <f>IF(AND(COUNTIF($A$5:$A$133,R_DG!A546)=0,R_DG!R546&gt;0,ISNUMBER(R_DG!R546)),R_DG!A546,"NONE")</f>
        <v>NONE</v>
      </c>
      <c r="B672" s="85">
        <f ca="1">IF(K672&gt;0,COUNTIF(K$6:K672,"&gt;0"),B671)</f>
        <v>34</v>
      </c>
      <c r="C672" s="1084">
        <f t="shared" si="110"/>
        <v>0</v>
      </c>
      <c r="D672" s="85">
        <f t="shared" si="111"/>
        <v>0</v>
      </c>
      <c r="E672" s="448">
        <f ca="1">SUMIF(OFFSET(tongctvtdd1,0,-(COLUMN(E672)+7-(COLUMN(E672)-5)/2)),KLVT!$A672,tongctvtdd1)+SUMIF(OFFSET(tongctvtpk1,0,-(COLUMN(E672)+7-(COLUMN(E672)-5)/2)),KLVT!$A672,tongctvtpk1)</f>
        <v>0</v>
      </c>
      <c r="F672" s="449">
        <f ca="1">SUMIF(OFFSET(cttba_vlvt1_1,0,-9,-ROW(cttba_vlvt1_1)+ROW(cttba_vltb1_1)-10),KLVT!$A672,OFFSET(cttba_vlvt1_1,0,-4,-ROW(cttba_vlvt1_1)+ROW(cttba_vltb1_1)-10))</f>
        <v>0</v>
      </c>
      <c r="G672" s="451">
        <f t="shared" ca="1" si="113"/>
        <v>0</v>
      </c>
      <c r="H672" s="450">
        <f t="shared" si="114"/>
        <v>1</v>
      </c>
      <c r="I672" s="447">
        <f t="shared" ca="1" si="115"/>
        <v>0</v>
      </c>
      <c r="J672" s="447">
        <f t="shared" ca="1" si="116"/>
        <v>0</v>
      </c>
      <c r="K672" s="373">
        <f t="shared" ca="1" si="112"/>
        <v>0</v>
      </c>
    </row>
    <row r="673" spans="1:11" s="45" customFormat="1" ht="15.75" hidden="1">
      <c r="A673" s="373" t="str">
        <f>IF(AND(COUNTIF($A$5:$A$133,R_DG!A547)=0,R_DG!R547&gt;0,ISNUMBER(R_DG!R547)),R_DG!A547,"NONE")</f>
        <v>NONE</v>
      </c>
      <c r="B673" s="85">
        <f ca="1">IF(K673&gt;0,COUNTIF(K$6:K673,"&gt;0"),B672)</f>
        <v>34</v>
      </c>
      <c r="C673" s="1084">
        <f t="shared" si="110"/>
        <v>0</v>
      </c>
      <c r="D673" s="85">
        <f t="shared" si="111"/>
        <v>0</v>
      </c>
      <c r="E673" s="448">
        <f ca="1">SUMIF(OFFSET(tongctvtdd1,0,-(COLUMN(E673)+7-(COLUMN(E673)-5)/2)),KLVT!$A673,tongctvtdd1)+SUMIF(OFFSET(tongctvtpk1,0,-(COLUMN(E673)+7-(COLUMN(E673)-5)/2)),KLVT!$A673,tongctvtpk1)</f>
        <v>0</v>
      </c>
      <c r="F673" s="449">
        <f ca="1">SUMIF(OFFSET(cttba_vlvt1_1,0,-9,-ROW(cttba_vlvt1_1)+ROW(cttba_vltb1_1)-10),KLVT!$A673,OFFSET(cttba_vlvt1_1,0,-4,-ROW(cttba_vlvt1_1)+ROW(cttba_vltb1_1)-10))</f>
        <v>0</v>
      </c>
      <c r="G673" s="451">
        <f t="shared" ca="1" si="113"/>
        <v>0</v>
      </c>
      <c r="H673" s="450">
        <f t="shared" si="114"/>
        <v>1</v>
      </c>
      <c r="I673" s="447">
        <f t="shared" ca="1" si="115"/>
        <v>0</v>
      </c>
      <c r="J673" s="447">
        <f t="shared" ca="1" si="116"/>
        <v>0</v>
      </c>
      <c r="K673" s="373">
        <f t="shared" ca="1" si="112"/>
        <v>0</v>
      </c>
    </row>
    <row r="674" spans="1:11" s="45" customFormat="1" ht="15.75" hidden="1">
      <c r="A674" s="373" t="str">
        <f>IF(AND(COUNTIF($A$5:$A$133,R_DG!A548)=0,R_DG!R548&gt;0,ISNUMBER(R_DG!R548)),R_DG!A548,"NONE")</f>
        <v>NONE</v>
      </c>
      <c r="B674" s="85">
        <f ca="1">IF(K674&gt;0,COUNTIF(K$6:K674,"&gt;0"),B673)</f>
        <v>34</v>
      </c>
      <c r="C674" s="1084">
        <f t="shared" si="110"/>
        <v>0</v>
      </c>
      <c r="D674" s="85">
        <f t="shared" si="111"/>
        <v>0</v>
      </c>
      <c r="E674" s="448">
        <f ca="1">SUMIF(OFFSET(tongctvtdd1,0,-(COLUMN(E674)+7-(COLUMN(E674)-5)/2)),KLVT!$A674,tongctvtdd1)+SUMIF(OFFSET(tongctvtpk1,0,-(COLUMN(E674)+7-(COLUMN(E674)-5)/2)),KLVT!$A674,tongctvtpk1)</f>
        <v>0</v>
      </c>
      <c r="F674" s="449">
        <f ca="1">SUMIF(OFFSET(cttba_vlvt1_1,0,-9,-ROW(cttba_vlvt1_1)+ROW(cttba_vltb1_1)-10),KLVT!$A674,OFFSET(cttba_vlvt1_1,0,-4,-ROW(cttba_vlvt1_1)+ROW(cttba_vltb1_1)-10))</f>
        <v>0</v>
      </c>
      <c r="G674" s="451">
        <f t="shared" ca="1" si="113"/>
        <v>0</v>
      </c>
      <c r="H674" s="450">
        <f t="shared" si="114"/>
        <v>1</v>
      </c>
      <c r="I674" s="447">
        <f t="shared" ca="1" si="115"/>
        <v>0</v>
      </c>
      <c r="J674" s="447">
        <f t="shared" ca="1" si="116"/>
        <v>0</v>
      </c>
      <c r="K674" s="373">
        <f t="shared" ca="1" si="112"/>
        <v>0</v>
      </c>
    </row>
    <row r="675" spans="1:11" s="45" customFormat="1" ht="15.75" hidden="1">
      <c r="A675" s="373" t="str">
        <f>IF(AND(COUNTIF($A$5:$A$133,R_DG!A549)=0,R_DG!R549&gt;0,ISNUMBER(R_DG!R549)),R_DG!A549,"NONE")</f>
        <v>NONE</v>
      </c>
      <c r="B675" s="85">
        <f ca="1">IF(K675&gt;0,COUNTIF(K$6:K675,"&gt;0"),B674)</f>
        <v>34</v>
      </c>
      <c r="C675" s="1084">
        <f t="shared" si="110"/>
        <v>0</v>
      </c>
      <c r="D675" s="85">
        <f t="shared" si="111"/>
        <v>0</v>
      </c>
      <c r="E675" s="448">
        <f ca="1">SUMIF(OFFSET(tongctvtdd1,0,-(COLUMN(E675)+7-(COLUMN(E675)-5)/2)),KLVT!$A675,tongctvtdd1)+SUMIF(OFFSET(tongctvtpk1,0,-(COLUMN(E675)+7-(COLUMN(E675)-5)/2)),KLVT!$A675,tongctvtpk1)</f>
        <v>0</v>
      </c>
      <c r="F675" s="449">
        <f ca="1">SUMIF(OFFSET(cttba_vlvt1_1,0,-9,-ROW(cttba_vlvt1_1)+ROW(cttba_vltb1_1)-10),KLVT!$A675,OFFSET(cttba_vlvt1_1,0,-4,-ROW(cttba_vlvt1_1)+ROW(cttba_vltb1_1)-10))</f>
        <v>0</v>
      </c>
      <c r="G675" s="451">
        <f t="shared" ca="1" si="113"/>
        <v>0</v>
      </c>
      <c r="H675" s="450">
        <f t="shared" si="114"/>
        <v>1</v>
      </c>
      <c r="I675" s="447">
        <f t="shared" ca="1" si="115"/>
        <v>0</v>
      </c>
      <c r="J675" s="447">
        <f t="shared" ca="1" si="116"/>
        <v>0</v>
      </c>
      <c r="K675" s="373">
        <f t="shared" ca="1" si="112"/>
        <v>0</v>
      </c>
    </row>
    <row r="676" spans="1:11" s="45" customFormat="1" ht="15.75" hidden="1">
      <c r="A676" s="373" t="str">
        <f>IF(AND(COUNTIF($A$5:$A$133,R_DG!A550)=0,R_DG!R550&gt;0,ISNUMBER(R_DG!R550)),R_DG!A550,"NONE")</f>
        <v>NONE</v>
      </c>
      <c r="B676" s="85">
        <f ca="1">IF(K676&gt;0,COUNTIF(K$6:K676,"&gt;0"),B675)</f>
        <v>34</v>
      </c>
      <c r="C676" s="1084">
        <f t="shared" si="110"/>
        <v>0</v>
      </c>
      <c r="D676" s="85">
        <f t="shared" si="111"/>
        <v>0</v>
      </c>
      <c r="E676" s="448">
        <f ca="1">SUMIF(OFFSET(tongctvtdd1,0,-(COLUMN(E676)+7-(COLUMN(E676)-5)/2)),KLVT!$A676,tongctvtdd1)+SUMIF(OFFSET(tongctvtpk1,0,-(COLUMN(E676)+7-(COLUMN(E676)-5)/2)),KLVT!$A676,tongctvtpk1)</f>
        <v>0</v>
      </c>
      <c r="F676" s="449">
        <f ca="1">SUMIF(OFFSET(cttba_vlvt1_1,0,-9,-ROW(cttba_vlvt1_1)+ROW(cttba_vltb1_1)-10),KLVT!$A676,OFFSET(cttba_vlvt1_1,0,-4,-ROW(cttba_vlvt1_1)+ROW(cttba_vltb1_1)-10))</f>
        <v>0</v>
      </c>
      <c r="G676" s="451">
        <f t="shared" ca="1" si="113"/>
        <v>0</v>
      </c>
      <c r="H676" s="450">
        <f t="shared" si="114"/>
        <v>1</v>
      </c>
      <c r="I676" s="447">
        <f t="shared" ca="1" si="115"/>
        <v>0</v>
      </c>
      <c r="J676" s="447">
        <f t="shared" ca="1" si="116"/>
        <v>0</v>
      </c>
      <c r="K676" s="373">
        <f t="shared" ca="1" si="112"/>
        <v>0</v>
      </c>
    </row>
    <row r="677" spans="1:11" s="45" customFormat="1" ht="15.75" hidden="1">
      <c r="A677" s="373" t="str">
        <f>IF(AND(COUNTIF($A$5:$A$133,R_DG!A551)=0,R_DG!R551&gt;0,ISNUMBER(R_DG!R551)),R_DG!A551,"NONE")</f>
        <v>NONE</v>
      </c>
      <c r="B677" s="85">
        <f ca="1">IF(K677&gt;0,COUNTIF(K$6:K677,"&gt;0"),B676)</f>
        <v>34</v>
      </c>
      <c r="C677" s="1084">
        <f t="shared" si="110"/>
        <v>0</v>
      </c>
      <c r="D677" s="85">
        <f t="shared" si="111"/>
        <v>0</v>
      </c>
      <c r="E677" s="448">
        <f ca="1">SUMIF(OFFSET(tongctvtdd1,0,-(COLUMN(E677)+7-(COLUMN(E677)-5)/2)),KLVT!$A677,tongctvtdd1)+SUMIF(OFFSET(tongctvtpk1,0,-(COLUMN(E677)+7-(COLUMN(E677)-5)/2)),KLVT!$A677,tongctvtpk1)</f>
        <v>0</v>
      </c>
      <c r="F677" s="449">
        <f ca="1">SUMIF(OFFSET(cttba_vlvt1_1,0,-9,-ROW(cttba_vlvt1_1)+ROW(cttba_vltb1_1)-10),KLVT!$A677,OFFSET(cttba_vlvt1_1,0,-4,-ROW(cttba_vlvt1_1)+ROW(cttba_vltb1_1)-10))</f>
        <v>0</v>
      </c>
      <c r="G677" s="451">
        <f t="shared" ca="1" si="113"/>
        <v>0</v>
      </c>
      <c r="H677" s="450">
        <f t="shared" si="114"/>
        <v>1</v>
      </c>
      <c r="I677" s="447">
        <f t="shared" ca="1" si="115"/>
        <v>0</v>
      </c>
      <c r="J677" s="447">
        <f t="shared" ca="1" si="116"/>
        <v>0</v>
      </c>
      <c r="K677" s="373">
        <f t="shared" ca="1" si="112"/>
        <v>0</v>
      </c>
    </row>
    <row r="678" spans="1:11" s="45" customFormat="1" ht="15.75" hidden="1">
      <c r="A678" s="373" t="str">
        <f>IF(AND(COUNTIF($A$5:$A$133,R_DG!A552)=0,R_DG!R552&gt;0,ISNUMBER(R_DG!R552)),R_DG!A552,"NONE")</f>
        <v>NONE</v>
      </c>
      <c r="B678" s="85">
        <f ca="1">IF(K678&gt;0,COUNTIF(K$6:K678,"&gt;0"),B677)</f>
        <v>34</v>
      </c>
      <c r="C678" s="1084">
        <f t="shared" si="110"/>
        <v>0</v>
      </c>
      <c r="D678" s="85">
        <f t="shared" si="111"/>
        <v>0</v>
      </c>
      <c r="E678" s="448">
        <f ca="1">SUMIF(OFFSET(tongctvtdd1,0,-(COLUMN(E678)+7-(COLUMN(E678)-5)/2)),KLVT!$A678,tongctvtdd1)+SUMIF(OFFSET(tongctvtpk1,0,-(COLUMN(E678)+7-(COLUMN(E678)-5)/2)),KLVT!$A678,tongctvtpk1)</f>
        <v>0</v>
      </c>
      <c r="F678" s="449">
        <f ca="1">SUMIF(OFFSET(cttba_vlvt1_1,0,-9,-ROW(cttba_vlvt1_1)+ROW(cttba_vltb1_1)-10),KLVT!$A678,OFFSET(cttba_vlvt1_1,0,-4,-ROW(cttba_vlvt1_1)+ROW(cttba_vltb1_1)-10))</f>
        <v>0</v>
      </c>
      <c r="G678" s="451">
        <f t="shared" ca="1" si="113"/>
        <v>0</v>
      </c>
      <c r="H678" s="450">
        <f t="shared" si="114"/>
        <v>1</v>
      </c>
      <c r="I678" s="447">
        <f t="shared" ca="1" si="115"/>
        <v>0</v>
      </c>
      <c r="J678" s="447">
        <f t="shared" ca="1" si="116"/>
        <v>0</v>
      </c>
      <c r="K678" s="373">
        <f t="shared" ca="1" si="112"/>
        <v>0</v>
      </c>
    </row>
    <row r="679" spans="1:11" s="45" customFormat="1" ht="15.75" hidden="1">
      <c r="A679" s="373" t="str">
        <f>IF(AND(COUNTIF($A$5:$A$133,R_DG!A553)=0,R_DG!R553&gt;0,ISNUMBER(R_DG!R553)),R_DG!A553,"NONE")</f>
        <v>NONE</v>
      </c>
      <c r="B679" s="85">
        <f ca="1">IF(K679&gt;0,COUNTIF(K$6:K679,"&gt;0"),B678)</f>
        <v>34</v>
      </c>
      <c r="C679" s="1084">
        <f t="shared" si="110"/>
        <v>0</v>
      </c>
      <c r="D679" s="85">
        <f t="shared" si="111"/>
        <v>0</v>
      </c>
      <c r="E679" s="448">
        <f ca="1">SUMIF(OFFSET(tongctvtdd1,0,-(COLUMN(E679)+7-(COLUMN(E679)-5)/2)),KLVT!$A679,tongctvtdd1)+SUMIF(OFFSET(tongctvtpk1,0,-(COLUMN(E679)+7-(COLUMN(E679)-5)/2)),KLVT!$A679,tongctvtpk1)</f>
        <v>0</v>
      </c>
      <c r="F679" s="449">
        <f ca="1">SUMIF(OFFSET(cttba_vlvt1_1,0,-9,-ROW(cttba_vlvt1_1)+ROW(cttba_vltb1_1)-10),KLVT!$A679,OFFSET(cttba_vlvt1_1,0,-4,-ROW(cttba_vlvt1_1)+ROW(cttba_vltb1_1)-10))</f>
        <v>0</v>
      </c>
      <c r="G679" s="451">
        <f t="shared" ca="1" si="113"/>
        <v>0</v>
      </c>
      <c r="H679" s="450">
        <f t="shared" si="114"/>
        <v>1</v>
      </c>
      <c r="I679" s="447">
        <f t="shared" ca="1" si="115"/>
        <v>0</v>
      </c>
      <c r="J679" s="447">
        <f t="shared" ca="1" si="116"/>
        <v>0</v>
      </c>
      <c r="K679" s="373">
        <f t="shared" ca="1" si="112"/>
        <v>0</v>
      </c>
    </row>
    <row r="680" spans="1:11" s="45" customFormat="1" ht="15.75" hidden="1">
      <c r="A680" s="373" t="str">
        <f>IF(AND(COUNTIF($A$5:$A$133,R_DG!A554)=0,R_DG!R554&gt;0,ISNUMBER(R_DG!R554)),R_DG!A554,"NONE")</f>
        <v>NONE</v>
      </c>
      <c r="B680" s="85">
        <f ca="1">IF(K680&gt;0,COUNTIF(K$6:K680,"&gt;0"),B679)</f>
        <v>34</v>
      </c>
      <c r="C680" s="1084">
        <f t="shared" si="110"/>
        <v>0</v>
      </c>
      <c r="D680" s="85">
        <f t="shared" si="111"/>
        <v>0</v>
      </c>
      <c r="E680" s="448">
        <f ca="1">SUMIF(OFFSET(tongctvtdd1,0,-(COLUMN(E680)+7-(COLUMN(E680)-5)/2)),KLVT!$A680,tongctvtdd1)+SUMIF(OFFSET(tongctvtpk1,0,-(COLUMN(E680)+7-(COLUMN(E680)-5)/2)),KLVT!$A680,tongctvtpk1)</f>
        <v>0</v>
      </c>
      <c r="F680" s="449">
        <f ca="1">SUMIF(OFFSET(cttba_vlvt1_1,0,-9,-ROW(cttba_vlvt1_1)+ROW(cttba_vltb1_1)-10),KLVT!$A680,OFFSET(cttba_vlvt1_1,0,-4,-ROW(cttba_vlvt1_1)+ROW(cttba_vltb1_1)-10))</f>
        <v>0</v>
      </c>
      <c r="G680" s="451">
        <f t="shared" ca="1" si="113"/>
        <v>0</v>
      </c>
      <c r="H680" s="450">
        <f t="shared" si="114"/>
        <v>1</v>
      </c>
      <c r="I680" s="447">
        <f t="shared" ca="1" si="115"/>
        <v>0</v>
      </c>
      <c r="J680" s="447">
        <f t="shared" ca="1" si="116"/>
        <v>0</v>
      </c>
      <c r="K680" s="373">
        <f t="shared" ca="1" si="112"/>
        <v>0</v>
      </c>
    </row>
    <row r="681" spans="1:11" s="45" customFormat="1" ht="15.75" hidden="1">
      <c r="A681" s="373" t="str">
        <f>IF(AND(COUNTIF($A$5:$A$133,R_DG!A555)=0,R_DG!R555&gt;0,ISNUMBER(R_DG!R555)),R_DG!A555,"NONE")</f>
        <v>NONE</v>
      </c>
      <c r="B681" s="85">
        <f ca="1">IF(K681&gt;0,COUNTIF(K$6:K681,"&gt;0"),B680)</f>
        <v>34</v>
      </c>
      <c r="C681" s="1084">
        <f t="shared" si="110"/>
        <v>0</v>
      </c>
      <c r="D681" s="85">
        <f t="shared" si="111"/>
        <v>0</v>
      </c>
      <c r="E681" s="448">
        <f ca="1">SUMIF(OFFSET(tongctvtdd1,0,-(COLUMN(E681)+7-(COLUMN(E681)-5)/2)),KLVT!$A681,tongctvtdd1)+SUMIF(OFFSET(tongctvtpk1,0,-(COLUMN(E681)+7-(COLUMN(E681)-5)/2)),KLVT!$A681,tongctvtpk1)</f>
        <v>0</v>
      </c>
      <c r="F681" s="449">
        <f ca="1">SUMIF(OFFSET(cttba_vlvt1_1,0,-9,-ROW(cttba_vlvt1_1)+ROW(cttba_vltb1_1)-10),KLVT!$A681,OFFSET(cttba_vlvt1_1,0,-4,-ROW(cttba_vlvt1_1)+ROW(cttba_vltb1_1)-10))</f>
        <v>0</v>
      </c>
      <c r="G681" s="451">
        <f t="shared" ca="1" si="113"/>
        <v>0</v>
      </c>
      <c r="H681" s="450">
        <f t="shared" si="114"/>
        <v>1</v>
      </c>
      <c r="I681" s="447">
        <f t="shared" ca="1" si="115"/>
        <v>0</v>
      </c>
      <c r="J681" s="447">
        <f t="shared" ca="1" si="116"/>
        <v>0</v>
      </c>
      <c r="K681" s="373">
        <f t="shared" ca="1" si="112"/>
        <v>0</v>
      </c>
    </row>
    <row r="682" spans="1:11" s="45" customFormat="1" ht="15.75" hidden="1">
      <c r="A682" s="373" t="str">
        <f>IF(AND(COUNTIF($A$5:$A$133,R_DG!A556)=0,R_DG!R556&gt;0,ISNUMBER(R_DG!R556)),R_DG!A556,"NONE")</f>
        <v>NONE</v>
      </c>
      <c r="B682" s="85">
        <f ca="1">IF(K682&gt;0,COUNTIF(K$6:K682,"&gt;0"),B681)</f>
        <v>34</v>
      </c>
      <c r="C682" s="1084">
        <f t="shared" si="110"/>
        <v>0</v>
      </c>
      <c r="D682" s="85">
        <f t="shared" si="111"/>
        <v>0</v>
      </c>
      <c r="E682" s="448">
        <f ca="1">SUMIF(OFFSET(tongctvtdd1,0,-(COLUMN(E682)+7-(COLUMN(E682)-5)/2)),KLVT!$A682,tongctvtdd1)+SUMIF(OFFSET(tongctvtpk1,0,-(COLUMN(E682)+7-(COLUMN(E682)-5)/2)),KLVT!$A682,tongctvtpk1)</f>
        <v>0</v>
      </c>
      <c r="F682" s="449">
        <f ca="1">SUMIF(OFFSET(cttba_vlvt1_1,0,-9,-ROW(cttba_vlvt1_1)+ROW(cttba_vltb1_1)-10),KLVT!$A682,OFFSET(cttba_vlvt1_1,0,-4,-ROW(cttba_vlvt1_1)+ROW(cttba_vltb1_1)-10))</f>
        <v>0</v>
      </c>
      <c r="G682" s="451">
        <f t="shared" ca="1" si="113"/>
        <v>0</v>
      </c>
      <c r="H682" s="450">
        <f t="shared" si="114"/>
        <v>1</v>
      </c>
      <c r="I682" s="447">
        <f t="shared" ca="1" si="115"/>
        <v>0</v>
      </c>
      <c r="J682" s="447">
        <f t="shared" ca="1" si="116"/>
        <v>0</v>
      </c>
      <c r="K682" s="373">
        <f t="shared" ca="1" si="112"/>
        <v>0</v>
      </c>
    </row>
    <row r="683" spans="1:11" s="45" customFormat="1" ht="15.75" hidden="1">
      <c r="A683" s="373" t="str">
        <f>IF(AND(COUNTIF($A$5:$A$133,R_DG!A557)=0,R_DG!R557&gt;0,ISNUMBER(R_DG!R557)),R_DG!A557,"NONE")</f>
        <v>NONE</v>
      </c>
      <c r="B683" s="85">
        <f ca="1">IF(K683&gt;0,COUNTIF(K$6:K683,"&gt;0"),B682)</f>
        <v>34</v>
      </c>
      <c r="C683" s="1084">
        <f t="shared" si="110"/>
        <v>0</v>
      </c>
      <c r="D683" s="85">
        <f t="shared" si="111"/>
        <v>0</v>
      </c>
      <c r="E683" s="448">
        <f ca="1">SUMIF(OFFSET(tongctvtdd1,0,-(COLUMN(E683)+7-(COLUMN(E683)-5)/2)),KLVT!$A683,tongctvtdd1)+SUMIF(OFFSET(tongctvtpk1,0,-(COLUMN(E683)+7-(COLUMN(E683)-5)/2)),KLVT!$A683,tongctvtpk1)</f>
        <v>0</v>
      </c>
      <c r="F683" s="449">
        <f ca="1">SUMIF(OFFSET(cttba_vlvt1_1,0,-9,-ROW(cttba_vlvt1_1)+ROW(cttba_vltb1_1)-10),KLVT!$A683,OFFSET(cttba_vlvt1_1,0,-4,-ROW(cttba_vlvt1_1)+ROW(cttba_vltb1_1)-10))</f>
        <v>0</v>
      </c>
      <c r="G683" s="451">
        <f t="shared" ca="1" si="113"/>
        <v>0</v>
      </c>
      <c r="H683" s="450">
        <f t="shared" si="114"/>
        <v>1</v>
      </c>
      <c r="I683" s="447">
        <f t="shared" ca="1" si="115"/>
        <v>0</v>
      </c>
      <c r="J683" s="447">
        <f t="shared" ca="1" si="116"/>
        <v>0</v>
      </c>
      <c r="K683" s="373">
        <f t="shared" ca="1" si="112"/>
        <v>0</v>
      </c>
    </row>
    <row r="684" spans="1:11" s="45" customFormat="1" ht="15.75" hidden="1">
      <c r="A684" s="373" t="str">
        <f>IF(AND(COUNTIF($A$5:$A$133,R_DG!A558)=0,R_DG!R558&gt;0,ISNUMBER(R_DG!R558)),R_DG!A558,"NONE")</f>
        <v>NONE</v>
      </c>
      <c r="B684" s="85">
        <f ca="1">IF(K684&gt;0,COUNTIF(K$6:K684,"&gt;0"),B683)</f>
        <v>34</v>
      </c>
      <c r="C684" s="1084">
        <f t="shared" si="110"/>
        <v>0</v>
      </c>
      <c r="D684" s="85">
        <f t="shared" si="111"/>
        <v>0</v>
      </c>
      <c r="E684" s="448">
        <f ca="1">SUMIF(OFFSET(tongctvtdd1,0,-(COLUMN(E684)+7-(COLUMN(E684)-5)/2)),KLVT!$A684,tongctvtdd1)+SUMIF(OFFSET(tongctvtpk1,0,-(COLUMN(E684)+7-(COLUMN(E684)-5)/2)),KLVT!$A684,tongctvtpk1)</f>
        <v>0</v>
      </c>
      <c r="F684" s="449">
        <f ca="1">SUMIF(OFFSET(cttba_vlvt1_1,0,-9,-ROW(cttba_vlvt1_1)+ROW(cttba_vltb1_1)-10),KLVT!$A684,OFFSET(cttba_vlvt1_1,0,-4,-ROW(cttba_vlvt1_1)+ROW(cttba_vltb1_1)-10))</f>
        <v>0</v>
      </c>
      <c r="G684" s="451">
        <f t="shared" ca="1" si="113"/>
        <v>0</v>
      </c>
      <c r="H684" s="450">
        <f t="shared" si="114"/>
        <v>1</v>
      </c>
      <c r="I684" s="447">
        <f t="shared" ca="1" si="115"/>
        <v>0</v>
      </c>
      <c r="J684" s="447">
        <f t="shared" ca="1" si="116"/>
        <v>0</v>
      </c>
      <c r="K684" s="373">
        <f t="shared" ca="1" si="112"/>
        <v>0</v>
      </c>
    </row>
    <row r="685" spans="1:11" s="45" customFormat="1" ht="15.75" hidden="1">
      <c r="A685" s="373" t="str">
        <f>IF(AND(COUNTIF($A$5:$A$133,R_DG!A559)=0,R_DG!R559&gt;0,ISNUMBER(R_DG!R559)),R_DG!A559,"NONE")</f>
        <v>NONE</v>
      </c>
      <c r="B685" s="85">
        <f ca="1">IF(K685&gt;0,COUNTIF(K$6:K685,"&gt;0"),B684)</f>
        <v>34</v>
      </c>
      <c r="C685" s="1084">
        <f t="shared" si="110"/>
        <v>0</v>
      </c>
      <c r="D685" s="85">
        <f t="shared" si="111"/>
        <v>0</v>
      </c>
      <c r="E685" s="448">
        <f ca="1">SUMIF(OFFSET(tongctvtdd1,0,-(COLUMN(E685)+7-(COLUMN(E685)-5)/2)),KLVT!$A685,tongctvtdd1)+SUMIF(OFFSET(tongctvtpk1,0,-(COLUMN(E685)+7-(COLUMN(E685)-5)/2)),KLVT!$A685,tongctvtpk1)</f>
        <v>0</v>
      </c>
      <c r="F685" s="449">
        <f ca="1">SUMIF(OFFSET(cttba_vlvt1_1,0,-9,-ROW(cttba_vlvt1_1)+ROW(cttba_vltb1_1)-10),KLVT!$A685,OFFSET(cttba_vlvt1_1,0,-4,-ROW(cttba_vlvt1_1)+ROW(cttba_vltb1_1)-10))</f>
        <v>0</v>
      </c>
      <c r="G685" s="451">
        <f t="shared" ca="1" si="113"/>
        <v>0</v>
      </c>
      <c r="H685" s="450">
        <f t="shared" si="114"/>
        <v>1</v>
      </c>
      <c r="I685" s="447">
        <f t="shared" ca="1" si="115"/>
        <v>0</v>
      </c>
      <c r="J685" s="447">
        <f t="shared" ca="1" si="116"/>
        <v>0</v>
      </c>
      <c r="K685" s="373">
        <f t="shared" ca="1" si="112"/>
        <v>0</v>
      </c>
    </row>
    <row r="686" spans="1:11" s="45" customFormat="1" ht="15.75" hidden="1">
      <c r="A686" s="373" t="str">
        <f>IF(AND(COUNTIF($A$5:$A$133,R_DG!A560)=0,R_DG!R560&gt;0,ISNUMBER(R_DG!R560)),R_DG!A560,"NONE")</f>
        <v>NONE</v>
      </c>
      <c r="B686" s="85">
        <f ca="1">IF(K686&gt;0,COUNTIF(K$6:K686,"&gt;0"),B685)</f>
        <v>34</v>
      </c>
      <c r="C686" s="1084">
        <f t="shared" si="110"/>
        <v>0</v>
      </c>
      <c r="D686" s="85">
        <f t="shared" si="111"/>
        <v>0</v>
      </c>
      <c r="E686" s="448">
        <f ca="1">SUMIF(OFFSET(tongctvtdd1,0,-(COLUMN(E686)+7-(COLUMN(E686)-5)/2)),KLVT!$A686,tongctvtdd1)+SUMIF(OFFSET(tongctvtpk1,0,-(COLUMN(E686)+7-(COLUMN(E686)-5)/2)),KLVT!$A686,tongctvtpk1)</f>
        <v>0</v>
      </c>
      <c r="F686" s="449">
        <f ca="1">SUMIF(OFFSET(cttba_vlvt1_1,0,-9,-ROW(cttba_vlvt1_1)+ROW(cttba_vltb1_1)-10),KLVT!$A686,OFFSET(cttba_vlvt1_1,0,-4,-ROW(cttba_vlvt1_1)+ROW(cttba_vltb1_1)-10))</f>
        <v>0</v>
      </c>
      <c r="G686" s="451">
        <f t="shared" ca="1" si="113"/>
        <v>0</v>
      </c>
      <c r="H686" s="450">
        <f t="shared" si="114"/>
        <v>1</v>
      </c>
      <c r="I686" s="447">
        <f t="shared" ca="1" si="115"/>
        <v>0</v>
      </c>
      <c r="J686" s="447">
        <f t="shared" ca="1" si="116"/>
        <v>0</v>
      </c>
      <c r="K686" s="373">
        <f t="shared" ca="1" si="112"/>
        <v>0</v>
      </c>
    </row>
    <row r="687" spans="1:11" s="45" customFormat="1" ht="15.75" hidden="1">
      <c r="A687" s="373" t="str">
        <f>IF(AND(COUNTIF($A$5:$A$133,R_DG!A561)=0,R_DG!R561&gt;0,ISNUMBER(R_DG!R561)),R_DG!A561,"NONE")</f>
        <v>NONE</v>
      </c>
      <c r="B687" s="85">
        <f ca="1">IF(K687&gt;0,COUNTIF(K$6:K687,"&gt;0"),B686)</f>
        <v>34</v>
      </c>
      <c r="C687" s="1084">
        <f t="shared" si="110"/>
        <v>0</v>
      </c>
      <c r="D687" s="85">
        <f t="shared" si="111"/>
        <v>0</v>
      </c>
      <c r="E687" s="448">
        <f ca="1">SUMIF(OFFSET(tongctvtdd1,0,-(COLUMN(E687)+7-(COLUMN(E687)-5)/2)),KLVT!$A687,tongctvtdd1)+SUMIF(OFFSET(tongctvtpk1,0,-(COLUMN(E687)+7-(COLUMN(E687)-5)/2)),KLVT!$A687,tongctvtpk1)</f>
        <v>0</v>
      </c>
      <c r="F687" s="449">
        <f ca="1">SUMIF(OFFSET(cttba_vlvt1_1,0,-9,-ROW(cttba_vlvt1_1)+ROW(cttba_vltb1_1)-10),KLVT!$A687,OFFSET(cttba_vlvt1_1,0,-4,-ROW(cttba_vlvt1_1)+ROW(cttba_vltb1_1)-10))</f>
        <v>0</v>
      </c>
      <c r="G687" s="451">
        <f t="shared" ca="1" si="113"/>
        <v>0</v>
      </c>
      <c r="H687" s="450">
        <f t="shared" si="114"/>
        <v>1</v>
      </c>
      <c r="I687" s="447">
        <f t="shared" ca="1" si="115"/>
        <v>0</v>
      </c>
      <c r="J687" s="447">
        <f t="shared" ca="1" si="116"/>
        <v>0</v>
      </c>
      <c r="K687" s="373">
        <f t="shared" ca="1" si="112"/>
        <v>0</v>
      </c>
    </row>
    <row r="688" spans="1:11" s="45" customFormat="1" ht="15.75" hidden="1">
      <c r="A688" s="373" t="str">
        <f>IF(AND(COUNTIF($A$5:$A$133,R_DG!A562)=0,R_DG!R562&gt;0,ISNUMBER(R_DG!R562)),R_DG!A562,"NONE")</f>
        <v>NONE</v>
      </c>
      <c r="B688" s="85">
        <f ca="1">IF(K688&gt;0,COUNTIF(K$6:K688,"&gt;0"),B687)</f>
        <v>34</v>
      </c>
      <c r="C688" s="1084">
        <f t="shared" si="110"/>
        <v>0</v>
      </c>
      <c r="D688" s="85">
        <f t="shared" si="111"/>
        <v>0</v>
      </c>
      <c r="E688" s="448">
        <f ca="1">SUMIF(OFFSET(tongctvtdd1,0,-(COLUMN(E688)+7-(COLUMN(E688)-5)/2)),KLVT!$A688,tongctvtdd1)+SUMIF(OFFSET(tongctvtpk1,0,-(COLUMN(E688)+7-(COLUMN(E688)-5)/2)),KLVT!$A688,tongctvtpk1)</f>
        <v>0</v>
      </c>
      <c r="F688" s="449">
        <f ca="1">SUMIF(OFFSET(cttba_vlvt1_1,0,-9,-ROW(cttba_vlvt1_1)+ROW(cttba_vltb1_1)-10),KLVT!$A688,OFFSET(cttba_vlvt1_1,0,-4,-ROW(cttba_vlvt1_1)+ROW(cttba_vltb1_1)-10))</f>
        <v>0</v>
      </c>
      <c r="G688" s="451">
        <f t="shared" ca="1" si="113"/>
        <v>0</v>
      </c>
      <c r="H688" s="450">
        <f t="shared" si="114"/>
        <v>1</v>
      </c>
      <c r="I688" s="447">
        <f t="shared" ca="1" si="115"/>
        <v>0</v>
      </c>
      <c r="J688" s="447">
        <f t="shared" ca="1" si="116"/>
        <v>0</v>
      </c>
      <c r="K688" s="374">
        <f t="shared" ca="1" si="112"/>
        <v>0</v>
      </c>
    </row>
    <row r="689" spans="1:11" s="45" customFormat="1" ht="15.75" hidden="1">
      <c r="A689" s="373" t="str">
        <f>IF(AND(COUNTIF($A$5:$A$133,R_DG!A563)=0,R_DG!R563&gt;0,ISNUMBER(R_DG!R563)),R_DG!A563,"NONE")</f>
        <v>NONE</v>
      </c>
      <c r="B689" s="85">
        <f ca="1">IF(K689&gt;0,COUNTIF(K$6:K689,"&gt;0"),B688)</f>
        <v>34</v>
      </c>
      <c r="C689" s="1084">
        <f t="shared" si="110"/>
        <v>0</v>
      </c>
      <c r="D689" s="85">
        <f t="shared" si="111"/>
        <v>0</v>
      </c>
      <c r="E689" s="448">
        <f ca="1">SUMIF(OFFSET(tongctvtdd1,0,-(COLUMN(E689)+7-(COLUMN(E689)-5)/2)),KLVT!$A689,tongctvtdd1)+SUMIF(OFFSET(tongctvtpk1,0,-(COLUMN(E689)+7-(COLUMN(E689)-5)/2)),KLVT!$A689,tongctvtpk1)</f>
        <v>0</v>
      </c>
      <c r="F689" s="449">
        <f ca="1">SUMIF(OFFSET(cttba_vlvt1_1,0,-9,-ROW(cttba_vlvt1_1)+ROW(cttba_vltb1_1)-10),KLVT!$A689,OFFSET(cttba_vlvt1_1,0,-4,-ROW(cttba_vlvt1_1)+ROW(cttba_vltb1_1)-10))</f>
        <v>0</v>
      </c>
      <c r="G689" s="451">
        <f t="shared" ca="1" si="113"/>
        <v>0</v>
      </c>
      <c r="H689" s="450">
        <f t="shared" si="114"/>
        <v>1</v>
      </c>
      <c r="I689" s="447">
        <f t="shared" ca="1" si="115"/>
        <v>0</v>
      </c>
      <c r="J689" s="447">
        <f t="shared" ca="1" si="116"/>
        <v>0</v>
      </c>
      <c r="K689" s="374">
        <f t="shared" ca="1" si="112"/>
        <v>0</v>
      </c>
    </row>
    <row r="690" spans="1:11" s="45" customFormat="1" ht="15.75" hidden="1">
      <c r="A690" s="373" t="str">
        <f>IF(AND(COUNTIF($A$5:$A$133,R_DG!A564)=0,R_DG!R564&gt;0,ISNUMBER(R_DG!R564)),R_DG!A564,"NONE")</f>
        <v>NONE</v>
      </c>
      <c r="B690" s="85">
        <f ca="1">IF(K690&gt;0,COUNTIF(K$6:K690,"&gt;0"),B689)</f>
        <v>34</v>
      </c>
      <c r="C690" s="1084">
        <f t="shared" si="110"/>
        <v>0</v>
      </c>
      <c r="D690" s="85">
        <f t="shared" si="111"/>
        <v>0</v>
      </c>
      <c r="E690" s="448">
        <f ca="1">SUMIF(OFFSET(tongctvtdd1,0,-(COLUMN(E690)+7-(COLUMN(E690)-5)/2)),KLVT!$A690,tongctvtdd1)+SUMIF(OFFSET(tongctvtpk1,0,-(COLUMN(E690)+7-(COLUMN(E690)-5)/2)),KLVT!$A690,tongctvtpk1)</f>
        <v>0</v>
      </c>
      <c r="F690" s="449">
        <f ca="1">SUMIF(OFFSET(cttba_vlvt1_1,0,-9,-ROW(cttba_vlvt1_1)+ROW(cttba_vltb1_1)-10),KLVT!$A690,OFFSET(cttba_vlvt1_1,0,-4,-ROW(cttba_vlvt1_1)+ROW(cttba_vltb1_1)-10))</f>
        <v>0</v>
      </c>
      <c r="G690" s="451">
        <f t="shared" ca="1" si="113"/>
        <v>0</v>
      </c>
      <c r="H690" s="450">
        <f t="shared" si="114"/>
        <v>1</v>
      </c>
      <c r="I690" s="447">
        <f t="shared" ca="1" si="115"/>
        <v>0</v>
      </c>
      <c r="J690" s="447">
        <f t="shared" ca="1" si="116"/>
        <v>0</v>
      </c>
      <c r="K690" s="373">
        <f t="shared" ca="1" si="112"/>
        <v>0</v>
      </c>
    </row>
    <row r="691" spans="1:11" s="45" customFormat="1" ht="15.75" hidden="1">
      <c r="A691" s="373" t="str">
        <f>IF(AND(COUNTIF($A$5:$A$133,R_DG!A565)=0,R_DG!R565&gt;0,ISNUMBER(R_DG!R565)),R_DG!A565,"NONE")</f>
        <v>NONE</v>
      </c>
      <c r="B691" s="85">
        <f ca="1">IF(K691&gt;0,COUNTIF(K$6:K691,"&gt;0"),B690)</f>
        <v>34</v>
      </c>
      <c r="C691" s="1084">
        <f t="shared" si="110"/>
        <v>0</v>
      </c>
      <c r="D691" s="85">
        <f t="shared" si="111"/>
        <v>0</v>
      </c>
      <c r="E691" s="448">
        <f ca="1">SUMIF(OFFSET(tongctvtdd1,0,-(COLUMN(E691)+7-(COLUMN(E691)-5)/2)),KLVT!$A691,tongctvtdd1)+SUMIF(OFFSET(tongctvtpk1,0,-(COLUMN(E691)+7-(COLUMN(E691)-5)/2)),KLVT!$A691,tongctvtpk1)</f>
        <v>0</v>
      </c>
      <c r="F691" s="449">
        <f ca="1">SUMIF(OFFSET(cttba_vlvt1_1,0,-9,-ROW(cttba_vlvt1_1)+ROW(cttba_vltb1_1)-10),KLVT!$A691,OFFSET(cttba_vlvt1_1,0,-4,-ROW(cttba_vlvt1_1)+ROW(cttba_vltb1_1)-10))</f>
        <v>0</v>
      </c>
      <c r="G691" s="451">
        <f t="shared" ca="1" si="113"/>
        <v>0</v>
      </c>
      <c r="H691" s="450">
        <f t="shared" si="114"/>
        <v>1</v>
      </c>
      <c r="I691" s="447">
        <f t="shared" ca="1" si="115"/>
        <v>0</v>
      </c>
      <c r="J691" s="447">
        <f t="shared" ca="1" si="116"/>
        <v>0</v>
      </c>
      <c r="K691" s="373">
        <f t="shared" ca="1" si="112"/>
        <v>0</v>
      </c>
    </row>
    <row r="692" spans="1:11" s="45" customFormat="1" ht="15.75" hidden="1">
      <c r="A692" s="373" t="str">
        <f>IF(AND(COUNTIF($A$5:$A$133,R_DG!A566)=0,R_DG!R566&gt;0,ISNUMBER(R_DG!R566)),R_DG!A566,"NONE")</f>
        <v>NONE</v>
      </c>
      <c r="B692" s="85">
        <f ca="1">IF(K692&gt;0,COUNTIF(K$6:K692,"&gt;0"),B691)</f>
        <v>34</v>
      </c>
      <c r="C692" s="1084">
        <f t="shared" si="110"/>
        <v>0</v>
      </c>
      <c r="D692" s="85">
        <f t="shared" si="111"/>
        <v>0</v>
      </c>
      <c r="E692" s="448">
        <f ca="1">SUMIF(OFFSET(tongctvtdd1,0,-(COLUMN(E692)+7-(COLUMN(E692)-5)/2)),KLVT!$A692,tongctvtdd1)+SUMIF(OFFSET(tongctvtpk1,0,-(COLUMN(E692)+7-(COLUMN(E692)-5)/2)),KLVT!$A692,tongctvtpk1)</f>
        <v>0</v>
      </c>
      <c r="F692" s="449">
        <f ca="1">SUMIF(OFFSET(cttba_vlvt1_1,0,-9,-ROW(cttba_vlvt1_1)+ROW(cttba_vltb1_1)-10),KLVT!$A692,OFFSET(cttba_vlvt1_1,0,-4,-ROW(cttba_vlvt1_1)+ROW(cttba_vltb1_1)-10))</f>
        <v>0</v>
      </c>
      <c r="G692" s="451">
        <f t="shared" ca="1" si="113"/>
        <v>0</v>
      </c>
      <c r="H692" s="450">
        <f t="shared" si="114"/>
        <v>1</v>
      </c>
      <c r="I692" s="447">
        <f t="shared" ca="1" si="115"/>
        <v>0</v>
      </c>
      <c r="J692" s="447">
        <f t="shared" ca="1" si="116"/>
        <v>0</v>
      </c>
      <c r="K692" s="373">
        <f t="shared" ca="1" si="112"/>
        <v>0</v>
      </c>
    </row>
    <row r="693" spans="1:11" s="45" customFormat="1" ht="15.75" hidden="1">
      <c r="A693" s="373" t="str">
        <f>IF(AND(COUNTIF($A$5:$A$133,R_DG!A567)=0,R_DG!R567&gt;0,ISNUMBER(R_DG!R567)),R_DG!A567,"NONE")</f>
        <v>NONE</v>
      </c>
      <c r="B693" s="85">
        <f ca="1">IF(K693&gt;0,COUNTIF(K$6:K693,"&gt;0"),B692)</f>
        <v>34</v>
      </c>
      <c r="C693" s="1084">
        <f t="shared" si="110"/>
        <v>0</v>
      </c>
      <c r="D693" s="85">
        <f t="shared" si="111"/>
        <v>0</v>
      </c>
      <c r="E693" s="448">
        <f ca="1">SUMIF(OFFSET(tongctvtdd1,0,-(COLUMN(E693)+7-(COLUMN(E693)-5)/2)),KLVT!$A693,tongctvtdd1)+SUMIF(OFFSET(tongctvtpk1,0,-(COLUMN(E693)+7-(COLUMN(E693)-5)/2)),KLVT!$A693,tongctvtpk1)</f>
        <v>0</v>
      </c>
      <c r="F693" s="449">
        <f ca="1">SUMIF(OFFSET(cttba_vlvt1_1,0,-9,-ROW(cttba_vlvt1_1)+ROW(cttba_vltb1_1)-10),KLVT!$A693,OFFSET(cttba_vlvt1_1,0,-4,-ROW(cttba_vlvt1_1)+ROW(cttba_vltb1_1)-10))</f>
        <v>0</v>
      </c>
      <c r="G693" s="451">
        <f t="shared" ca="1" si="113"/>
        <v>0</v>
      </c>
      <c r="H693" s="450">
        <f t="shared" si="114"/>
        <v>1</v>
      </c>
      <c r="I693" s="447">
        <f t="shared" ca="1" si="115"/>
        <v>0</v>
      </c>
      <c r="J693" s="447">
        <f t="shared" ca="1" si="116"/>
        <v>0</v>
      </c>
      <c r="K693" s="374">
        <f t="shared" ca="1" si="112"/>
        <v>0</v>
      </c>
    </row>
    <row r="694" spans="1:11" s="45" customFormat="1" ht="15.75" hidden="1">
      <c r="A694" s="373" t="str">
        <f>IF(AND(COUNTIF($A$5:$A$133,R_DG!A568)=0,R_DG!R568&gt;0,ISNUMBER(R_DG!R568)),R_DG!A568,"NONE")</f>
        <v>NONE</v>
      </c>
      <c r="B694" s="85">
        <f ca="1">IF(K694&gt;0,COUNTIF(K$6:K694,"&gt;0"),B693)</f>
        <v>34</v>
      </c>
      <c r="C694" s="1084">
        <f t="shared" si="110"/>
        <v>0</v>
      </c>
      <c r="D694" s="85">
        <f t="shared" si="111"/>
        <v>0</v>
      </c>
      <c r="E694" s="448">
        <f ca="1">SUMIF(OFFSET(tongctvtdd1,0,-(COLUMN(E694)+7-(COLUMN(E694)-5)/2)),KLVT!$A694,tongctvtdd1)+SUMIF(OFFSET(tongctvtpk1,0,-(COLUMN(E694)+7-(COLUMN(E694)-5)/2)),KLVT!$A694,tongctvtpk1)</f>
        <v>0</v>
      </c>
      <c r="F694" s="449">
        <f ca="1">SUMIF(OFFSET(cttba_vlvt1_1,0,-9,-ROW(cttba_vlvt1_1)+ROW(cttba_vltb1_1)-10),KLVT!$A694,OFFSET(cttba_vlvt1_1,0,-4,-ROW(cttba_vlvt1_1)+ROW(cttba_vltb1_1)-10))</f>
        <v>0</v>
      </c>
      <c r="G694" s="451">
        <f t="shared" ca="1" si="113"/>
        <v>0</v>
      </c>
      <c r="H694" s="450">
        <f t="shared" si="114"/>
        <v>1</v>
      </c>
      <c r="I694" s="447">
        <f t="shared" ca="1" si="115"/>
        <v>0</v>
      </c>
      <c r="J694" s="447">
        <f t="shared" ca="1" si="116"/>
        <v>0</v>
      </c>
      <c r="K694" s="373">
        <f t="shared" ca="1" si="112"/>
        <v>0</v>
      </c>
    </row>
    <row r="695" spans="1:11" s="45" customFormat="1" ht="15.75" hidden="1">
      <c r="A695" s="373" t="str">
        <f>IF(AND(COUNTIF($A$5:$A$133,R_DG!A569)=0,R_DG!R569&gt;0,ISNUMBER(R_DG!R569)),R_DG!A569,"NONE")</f>
        <v>NONE</v>
      </c>
      <c r="B695" s="85">
        <f ca="1">IF(K695&gt;0,COUNTIF(K$6:K695,"&gt;0"),B694)</f>
        <v>34</v>
      </c>
      <c r="C695" s="1084">
        <f t="shared" si="110"/>
        <v>0</v>
      </c>
      <c r="D695" s="85">
        <f t="shared" si="111"/>
        <v>0</v>
      </c>
      <c r="E695" s="448">
        <f ca="1">SUMIF(OFFSET(tongctvtdd1,0,-(COLUMN(E695)+7-(COLUMN(E695)-5)/2)),KLVT!$A695,tongctvtdd1)+SUMIF(OFFSET(tongctvtpk1,0,-(COLUMN(E695)+7-(COLUMN(E695)-5)/2)),KLVT!$A695,tongctvtpk1)</f>
        <v>0</v>
      </c>
      <c r="F695" s="449">
        <f ca="1">SUMIF(OFFSET(cttba_vlvt1_1,0,-9,-ROW(cttba_vlvt1_1)+ROW(cttba_vltb1_1)-10),KLVT!$A695,OFFSET(cttba_vlvt1_1,0,-4,-ROW(cttba_vlvt1_1)+ROW(cttba_vltb1_1)-10))</f>
        <v>0</v>
      </c>
      <c r="G695" s="451">
        <f t="shared" ca="1" si="113"/>
        <v>0</v>
      </c>
      <c r="H695" s="450">
        <f t="shared" si="114"/>
        <v>1</v>
      </c>
      <c r="I695" s="447">
        <f t="shared" ca="1" si="115"/>
        <v>0</v>
      </c>
      <c r="J695" s="447">
        <f t="shared" ca="1" si="116"/>
        <v>0</v>
      </c>
      <c r="K695" s="373">
        <f t="shared" ca="1" si="112"/>
        <v>0</v>
      </c>
    </row>
    <row r="696" spans="1:11" s="45" customFormat="1" ht="15.75" hidden="1">
      <c r="A696" s="373" t="str">
        <f>IF(AND(COUNTIF($A$5:$A$133,R_DG!A570)=0,R_DG!R570&gt;0,ISNUMBER(R_DG!R570)),R_DG!A570,"NONE")</f>
        <v>NONE</v>
      </c>
      <c r="B696" s="85">
        <f ca="1">IF(K696&gt;0,COUNTIF(K$6:K696,"&gt;0"),B695)</f>
        <v>34</v>
      </c>
      <c r="C696" s="1084">
        <f t="shared" ref="C696:C729" si="117">VLOOKUP(A696,DONGIA,3,0)</f>
        <v>0</v>
      </c>
      <c r="D696" s="85">
        <f t="shared" ref="D696:D729" si="118">VLOOKUP(A696,DONGIA,4,0)</f>
        <v>0</v>
      </c>
      <c r="E696" s="448">
        <f ca="1">SUMIF(OFFSET(tongctvtdd1,0,-(COLUMN(E696)+7-(COLUMN(E696)-5)/2)),KLVT!$A696,tongctvtdd1)+SUMIF(OFFSET(tongctvtpk1,0,-(COLUMN(E696)+7-(COLUMN(E696)-5)/2)),KLVT!$A696,tongctvtpk1)</f>
        <v>0</v>
      </c>
      <c r="F696" s="449">
        <f ca="1">SUMIF(OFFSET(cttba_vlvt1_1,0,-9,-ROW(cttba_vlvt1_1)+ROW(cttba_vltb1_1)-10),KLVT!$A696,OFFSET(cttba_vlvt1_1,0,-4,-ROW(cttba_vlvt1_1)+ROW(cttba_vltb1_1)-10))</f>
        <v>0</v>
      </c>
      <c r="G696" s="451">
        <f t="shared" ca="1" si="113"/>
        <v>0</v>
      </c>
      <c r="H696" s="450">
        <f t="shared" si="114"/>
        <v>1</v>
      </c>
      <c r="I696" s="447">
        <f t="shared" ca="1" si="115"/>
        <v>0</v>
      </c>
      <c r="J696" s="447">
        <f t="shared" ca="1" si="116"/>
        <v>0</v>
      </c>
      <c r="K696" s="373">
        <f t="shared" ca="1" si="112"/>
        <v>0</v>
      </c>
    </row>
    <row r="697" spans="1:11" s="45" customFormat="1" ht="15.75" hidden="1">
      <c r="A697" s="373" t="str">
        <f>IF(AND(COUNTIF($A$5:$A$133,R_DG!A571)=0,R_DG!R571&gt;0,ISNUMBER(R_DG!R571)),R_DG!A571,"NONE")</f>
        <v>NONE</v>
      </c>
      <c r="B697" s="85">
        <f ca="1">IF(K697&gt;0,COUNTIF(K$6:K697,"&gt;0"),B696)</f>
        <v>34</v>
      </c>
      <c r="C697" s="1084">
        <f t="shared" si="117"/>
        <v>0</v>
      </c>
      <c r="D697" s="85">
        <f t="shared" si="118"/>
        <v>0</v>
      </c>
      <c r="E697" s="448">
        <f ca="1">SUMIF(OFFSET(tongctvtdd1,0,-(COLUMN(E697)+7-(COLUMN(E697)-5)/2)),KLVT!$A697,tongctvtdd1)+SUMIF(OFFSET(tongctvtpk1,0,-(COLUMN(E697)+7-(COLUMN(E697)-5)/2)),KLVT!$A697,tongctvtpk1)</f>
        <v>0</v>
      </c>
      <c r="F697" s="449">
        <f ca="1">SUMIF(OFFSET(cttba_vlvt1_1,0,-9,-ROW(cttba_vlvt1_1)+ROW(cttba_vltb1_1)-10),KLVT!$A697,OFFSET(cttba_vlvt1_1,0,-4,-ROW(cttba_vlvt1_1)+ROW(cttba_vltb1_1)-10))</f>
        <v>0</v>
      </c>
      <c r="G697" s="451">
        <f t="shared" ca="1" si="113"/>
        <v>0</v>
      </c>
      <c r="H697" s="450">
        <f t="shared" si="114"/>
        <v>1</v>
      </c>
      <c r="I697" s="447">
        <f t="shared" ca="1" si="115"/>
        <v>0</v>
      </c>
      <c r="J697" s="447">
        <f t="shared" ca="1" si="116"/>
        <v>0</v>
      </c>
      <c r="K697" s="373">
        <f t="shared" ca="1" si="112"/>
        <v>0</v>
      </c>
    </row>
    <row r="698" spans="1:11" s="45" customFormat="1" ht="15.75" hidden="1">
      <c r="A698" s="373" t="str">
        <f>IF(AND(COUNTIF($A$5:$A$133,R_DG!A572)=0,R_DG!R572&gt;0,ISNUMBER(R_DG!R572)),R_DG!A572,"NONE")</f>
        <v>NONE</v>
      </c>
      <c r="B698" s="85">
        <f ca="1">IF(K698&gt;0,COUNTIF(K$6:K698,"&gt;0"),B697)</f>
        <v>34</v>
      </c>
      <c r="C698" s="1084">
        <f t="shared" si="117"/>
        <v>0</v>
      </c>
      <c r="D698" s="85">
        <f t="shared" si="118"/>
        <v>0</v>
      </c>
      <c r="E698" s="448">
        <f ca="1">SUMIF(OFFSET(tongctvtdd1,0,-(COLUMN(E698)+7-(COLUMN(E698)-5)/2)),KLVT!$A698,tongctvtdd1)+SUMIF(OFFSET(tongctvtpk1,0,-(COLUMN(E698)+7-(COLUMN(E698)-5)/2)),KLVT!$A698,tongctvtpk1)</f>
        <v>0</v>
      </c>
      <c r="F698" s="449">
        <f ca="1">SUMIF(OFFSET(cttba_vlvt1_1,0,-9,-ROW(cttba_vlvt1_1)+ROW(cttba_vltb1_1)-10),KLVT!$A698,OFFSET(cttba_vlvt1_1,0,-4,-ROW(cttba_vlvt1_1)+ROW(cttba_vltb1_1)-10))</f>
        <v>0</v>
      </c>
      <c r="G698" s="451">
        <f t="shared" ca="1" si="113"/>
        <v>0</v>
      </c>
      <c r="H698" s="450">
        <f t="shared" si="114"/>
        <v>1</v>
      </c>
      <c r="I698" s="447">
        <f t="shared" ca="1" si="115"/>
        <v>0</v>
      </c>
      <c r="J698" s="447">
        <f t="shared" ca="1" si="116"/>
        <v>0</v>
      </c>
      <c r="K698" s="373">
        <f t="shared" ca="1" si="112"/>
        <v>0</v>
      </c>
    </row>
    <row r="699" spans="1:11" s="45" customFormat="1" ht="15.75" hidden="1">
      <c r="A699" s="373" t="str">
        <f>IF(AND(COUNTIF($A$5:$A$133,R_DG!A573)=0,R_DG!R573&gt;0,ISNUMBER(R_DG!R573)),R_DG!A573,"NONE")</f>
        <v>NONE</v>
      </c>
      <c r="B699" s="85">
        <f ca="1">IF(K699&gt;0,COUNTIF(K$6:K699,"&gt;0"),B698)</f>
        <v>34</v>
      </c>
      <c r="C699" s="1084">
        <f t="shared" si="117"/>
        <v>0</v>
      </c>
      <c r="D699" s="85">
        <f t="shared" si="118"/>
        <v>0</v>
      </c>
      <c r="E699" s="448">
        <f ca="1">SUMIF(OFFSET(tongctvtdd1,0,-(COLUMN(E699)+7-(COLUMN(E699)-5)/2)),KLVT!$A699,tongctvtdd1)+SUMIF(OFFSET(tongctvtpk1,0,-(COLUMN(E699)+7-(COLUMN(E699)-5)/2)),KLVT!$A699,tongctvtpk1)</f>
        <v>0</v>
      </c>
      <c r="F699" s="449">
        <f ca="1">SUMIF(OFFSET(cttba_vlvt1_1,0,-9,-ROW(cttba_vlvt1_1)+ROW(cttba_vltb1_1)-10),KLVT!$A699,OFFSET(cttba_vlvt1_1,0,-4,-ROW(cttba_vlvt1_1)+ROW(cttba_vltb1_1)-10))</f>
        <v>0</v>
      </c>
      <c r="G699" s="451">
        <f t="shared" ca="1" si="113"/>
        <v>0</v>
      </c>
      <c r="H699" s="450">
        <f t="shared" si="114"/>
        <v>1</v>
      </c>
      <c r="I699" s="447">
        <f t="shared" ca="1" si="115"/>
        <v>0</v>
      </c>
      <c r="J699" s="447">
        <f t="shared" ca="1" si="116"/>
        <v>0</v>
      </c>
      <c r="K699" s="373">
        <f t="shared" ca="1" si="112"/>
        <v>0</v>
      </c>
    </row>
    <row r="700" spans="1:11" s="45" customFormat="1" ht="15.75" hidden="1">
      <c r="A700" s="373" t="str">
        <f>IF(AND(COUNTIF($A$5:$A$133,R_DG!A574)=0,R_DG!R574&gt;0,ISNUMBER(R_DG!R574)),R_DG!A574,"NONE")</f>
        <v>NONE</v>
      </c>
      <c r="B700" s="85">
        <f ca="1">IF(K700&gt;0,COUNTIF(K$6:K700,"&gt;0"),B699)</f>
        <v>34</v>
      </c>
      <c r="C700" s="1084">
        <f t="shared" si="117"/>
        <v>0</v>
      </c>
      <c r="D700" s="85">
        <f t="shared" si="118"/>
        <v>0</v>
      </c>
      <c r="E700" s="448">
        <f ca="1">SUMIF(OFFSET(tongctvtdd1,0,-(COLUMN(E700)+7-(COLUMN(E700)-5)/2)),KLVT!$A700,tongctvtdd1)+SUMIF(OFFSET(tongctvtpk1,0,-(COLUMN(E700)+7-(COLUMN(E700)-5)/2)),KLVT!$A700,tongctvtpk1)</f>
        <v>0</v>
      </c>
      <c r="F700" s="449">
        <f ca="1">SUMIF(OFFSET(cttba_vlvt1_1,0,-9,-ROW(cttba_vlvt1_1)+ROW(cttba_vltb1_1)-10),KLVT!$A700,OFFSET(cttba_vlvt1_1,0,-4,-ROW(cttba_vlvt1_1)+ROW(cttba_vltb1_1)-10))</f>
        <v>0</v>
      </c>
      <c r="G700" s="451">
        <f t="shared" ca="1" si="113"/>
        <v>0</v>
      </c>
      <c r="H700" s="450">
        <f t="shared" si="114"/>
        <v>1</v>
      </c>
      <c r="I700" s="447">
        <f t="shared" ca="1" si="115"/>
        <v>0</v>
      </c>
      <c r="J700" s="447">
        <f t="shared" ca="1" si="116"/>
        <v>0</v>
      </c>
      <c r="K700" s="373">
        <f t="shared" ca="1" si="112"/>
        <v>0</v>
      </c>
    </row>
    <row r="701" spans="1:11" s="45" customFormat="1" ht="15.75" hidden="1">
      <c r="A701" s="373" t="str">
        <f>IF(AND(COUNTIF($A$5:$A$133,R_DG!A575)=0,R_DG!R575&gt;0,ISNUMBER(R_DG!R575)),R_DG!A575,"NONE")</f>
        <v>NONE</v>
      </c>
      <c r="B701" s="85">
        <f ca="1">IF(K701&gt;0,COUNTIF(K$6:K701,"&gt;0"),B700)</f>
        <v>34</v>
      </c>
      <c r="C701" s="1084">
        <f t="shared" si="117"/>
        <v>0</v>
      </c>
      <c r="D701" s="85">
        <f t="shared" si="118"/>
        <v>0</v>
      </c>
      <c r="E701" s="448">
        <f ca="1">SUMIF(OFFSET(tongctvtdd1,0,-(COLUMN(E701)+7-(COLUMN(E701)-5)/2)),KLVT!$A701,tongctvtdd1)+SUMIF(OFFSET(tongctvtpk1,0,-(COLUMN(E701)+7-(COLUMN(E701)-5)/2)),KLVT!$A701,tongctvtpk1)</f>
        <v>0</v>
      </c>
      <c r="F701" s="449">
        <f ca="1">SUMIF(OFFSET(cttba_vlvt1_1,0,-9,-ROW(cttba_vlvt1_1)+ROW(cttba_vltb1_1)-10),KLVT!$A701,OFFSET(cttba_vlvt1_1,0,-4,-ROW(cttba_vlvt1_1)+ROW(cttba_vltb1_1)-10))</f>
        <v>0</v>
      </c>
      <c r="G701" s="451">
        <f t="shared" ca="1" si="113"/>
        <v>0</v>
      </c>
      <c r="H701" s="450">
        <f t="shared" si="114"/>
        <v>1</v>
      </c>
      <c r="I701" s="447">
        <f t="shared" ca="1" si="115"/>
        <v>0</v>
      </c>
      <c r="J701" s="447">
        <f t="shared" ca="1" si="116"/>
        <v>0</v>
      </c>
      <c r="K701" s="373">
        <f t="shared" ca="1" si="112"/>
        <v>0</v>
      </c>
    </row>
    <row r="702" spans="1:11" s="45" customFormat="1" ht="15.75" hidden="1">
      <c r="A702" s="373" t="str">
        <f>IF(AND(COUNTIF($A$5:$A$133,R_DG!A576)=0,R_DG!R576&gt;0,ISNUMBER(R_DG!R576)),R_DG!A576,"NONE")</f>
        <v>NONE</v>
      </c>
      <c r="B702" s="85">
        <f ca="1">IF(K702&gt;0,COUNTIF(K$6:K702,"&gt;0"),B701)</f>
        <v>34</v>
      </c>
      <c r="C702" s="1084">
        <f t="shared" si="117"/>
        <v>0</v>
      </c>
      <c r="D702" s="85">
        <f t="shared" si="118"/>
        <v>0</v>
      </c>
      <c r="E702" s="448">
        <f ca="1">SUMIF(OFFSET(tongctvtdd1,0,-(COLUMN(E702)+7-(COLUMN(E702)-5)/2)),KLVT!$A702,tongctvtdd1)+SUMIF(OFFSET(tongctvtpk1,0,-(COLUMN(E702)+7-(COLUMN(E702)-5)/2)),KLVT!$A702,tongctvtpk1)</f>
        <v>0</v>
      </c>
      <c r="F702" s="449">
        <f ca="1">SUMIF(OFFSET(cttba_vlvt1_1,0,-9,-ROW(cttba_vlvt1_1)+ROW(cttba_vltb1_1)-10),KLVT!$A702,OFFSET(cttba_vlvt1_1,0,-4,-ROW(cttba_vlvt1_1)+ROW(cttba_vltb1_1)-10))</f>
        <v>0</v>
      </c>
      <c r="G702" s="451">
        <f t="shared" ca="1" si="113"/>
        <v>0</v>
      </c>
      <c r="H702" s="450">
        <f t="shared" si="114"/>
        <v>1</v>
      </c>
      <c r="I702" s="447">
        <f t="shared" ca="1" si="115"/>
        <v>0</v>
      </c>
      <c r="J702" s="447">
        <f t="shared" ca="1" si="116"/>
        <v>0</v>
      </c>
      <c r="K702" s="373">
        <f t="shared" ref="K702:K764" ca="1" si="119">IF(G702&gt;0,1,0)</f>
        <v>0</v>
      </c>
    </row>
    <row r="703" spans="1:11" s="45" customFormat="1" ht="15.75" hidden="1">
      <c r="A703" s="373" t="str">
        <f>IF(AND(COUNTIF($A$5:$A$133,R_DG!A577)=0,R_DG!R577&gt;0,ISNUMBER(R_DG!R577)),R_DG!A577,"NONE")</f>
        <v>NONE</v>
      </c>
      <c r="B703" s="85">
        <f ca="1">IF(K703&gt;0,COUNTIF(K$6:K703,"&gt;0"),B702)</f>
        <v>34</v>
      </c>
      <c r="C703" s="1084">
        <f t="shared" si="117"/>
        <v>0</v>
      </c>
      <c r="D703" s="85">
        <f t="shared" si="118"/>
        <v>0</v>
      </c>
      <c r="E703" s="448">
        <f ca="1">SUMIF(OFFSET(tongctvtdd1,0,-(COLUMN(E703)+7-(COLUMN(E703)-5)/2)),KLVT!$A703,tongctvtdd1)+SUMIF(OFFSET(tongctvtpk1,0,-(COLUMN(E703)+7-(COLUMN(E703)-5)/2)),KLVT!$A703,tongctvtpk1)</f>
        <v>0</v>
      </c>
      <c r="F703" s="449">
        <f ca="1">SUMIF(OFFSET(cttba_vlvt1_1,0,-9,-ROW(cttba_vlvt1_1)+ROW(cttba_vltb1_1)-10),KLVT!$A703,OFFSET(cttba_vlvt1_1,0,-4,-ROW(cttba_vlvt1_1)+ROW(cttba_vltb1_1)-10))</f>
        <v>0</v>
      </c>
      <c r="G703" s="451">
        <f t="shared" ca="1" si="113"/>
        <v>0</v>
      </c>
      <c r="H703" s="450">
        <f t="shared" si="114"/>
        <v>1</v>
      </c>
      <c r="I703" s="447">
        <f t="shared" ca="1" si="115"/>
        <v>0</v>
      </c>
      <c r="J703" s="447">
        <f t="shared" ca="1" si="116"/>
        <v>0</v>
      </c>
      <c r="K703" s="373">
        <f t="shared" ca="1" si="119"/>
        <v>0</v>
      </c>
    </row>
    <row r="704" spans="1:11" s="45" customFormat="1" ht="15.75" hidden="1">
      <c r="A704" s="373" t="str">
        <f>IF(AND(COUNTIF($A$5:$A$133,R_DG!A578)=0,R_DG!R578&gt;0,ISNUMBER(R_DG!R578)),R_DG!A578,"NONE")</f>
        <v>NONE</v>
      </c>
      <c r="B704" s="85">
        <f ca="1">IF(K704&gt;0,COUNTIF(K$6:K704,"&gt;0"),B703)</f>
        <v>34</v>
      </c>
      <c r="C704" s="1084">
        <f t="shared" si="117"/>
        <v>0</v>
      </c>
      <c r="D704" s="85">
        <f t="shared" si="118"/>
        <v>0</v>
      </c>
      <c r="E704" s="448">
        <f ca="1">SUMIF(OFFSET(tongctvtdd1,0,-(COLUMN(E704)+7-(COLUMN(E704)-5)/2)),KLVT!$A704,tongctvtdd1)+SUMIF(OFFSET(tongctvtpk1,0,-(COLUMN(E704)+7-(COLUMN(E704)-5)/2)),KLVT!$A704,tongctvtpk1)</f>
        <v>0</v>
      </c>
      <c r="F704" s="449">
        <f ca="1">SUMIF(OFFSET(cttba_vlvt1_1,0,-9,-ROW(cttba_vlvt1_1)+ROW(cttba_vltb1_1)-10),KLVT!$A704,OFFSET(cttba_vlvt1_1,0,-4,-ROW(cttba_vlvt1_1)+ROW(cttba_vltb1_1)-10))</f>
        <v>0</v>
      </c>
      <c r="G704" s="451">
        <f t="shared" ca="1" si="113"/>
        <v>0</v>
      </c>
      <c r="H704" s="450">
        <f t="shared" si="114"/>
        <v>1</v>
      </c>
      <c r="I704" s="447">
        <f t="shared" ca="1" si="115"/>
        <v>0</v>
      </c>
      <c r="J704" s="447">
        <f t="shared" ca="1" si="116"/>
        <v>0</v>
      </c>
      <c r="K704" s="373">
        <f t="shared" ca="1" si="119"/>
        <v>0</v>
      </c>
    </row>
    <row r="705" spans="1:11" s="45" customFormat="1" ht="15.75" hidden="1">
      <c r="A705" s="373" t="str">
        <f>IF(AND(COUNTIF($A$5:$A$133,R_DG!A579)=0,R_DG!R579&gt;0,ISNUMBER(R_DG!R579)),R_DG!A579,"NONE")</f>
        <v>NONE</v>
      </c>
      <c r="B705" s="85">
        <f ca="1">IF(K705&gt;0,COUNTIF(K$6:K705,"&gt;0"),B704)</f>
        <v>34</v>
      </c>
      <c r="C705" s="1084">
        <f t="shared" si="117"/>
        <v>0</v>
      </c>
      <c r="D705" s="85">
        <f t="shared" si="118"/>
        <v>0</v>
      </c>
      <c r="E705" s="448">
        <f ca="1">SUMIF(OFFSET(tongctvtdd1,0,-(COLUMN(E705)+7-(COLUMN(E705)-5)/2)),KLVT!$A705,tongctvtdd1)+SUMIF(OFFSET(tongctvtpk1,0,-(COLUMN(E705)+7-(COLUMN(E705)-5)/2)),KLVT!$A705,tongctvtpk1)</f>
        <v>0</v>
      </c>
      <c r="F705" s="449">
        <f ca="1">SUMIF(OFFSET(cttba_vlvt1_1,0,-9,-ROW(cttba_vlvt1_1)+ROW(cttba_vltb1_1)-10),KLVT!$A705,OFFSET(cttba_vlvt1_1,0,-4,-ROW(cttba_vlvt1_1)+ROW(cttba_vltb1_1)-10))</f>
        <v>0</v>
      </c>
      <c r="G705" s="451">
        <f t="shared" ca="1" si="113"/>
        <v>0</v>
      </c>
      <c r="H705" s="450">
        <f t="shared" si="114"/>
        <v>1</v>
      </c>
      <c r="I705" s="447">
        <f t="shared" ca="1" si="115"/>
        <v>0</v>
      </c>
      <c r="J705" s="447">
        <f t="shared" ca="1" si="116"/>
        <v>0</v>
      </c>
      <c r="K705" s="373">
        <f t="shared" ca="1" si="119"/>
        <v>0</v>
      </c>
    </row>
    <row r="706" spans="1:11" s="45" customFormat="1" ht="15.75" hidden="1">
      <c r="A706" s="373" t="str">
        <f>IF(AND(COUNTIF($A$5:$A$133,R_DG!A580)=0,R_DG!R580&gt;0,ISNUMBER(R_DG!R580)),R_DG!A580,"NONE")</f>
        <v>NONE</v>
      </c>
      <c r="B706" s="85">
        <f ca="1">IF(K706&gt;0,COUNTIF(K$6:K706,"&gt;0"),B705)</f>
        <v>34</v>
      </c>
      <c r="C706" s="1084">
        <f t="shared" si="117"/>
        <v>0</v>
      </c>
      <c r="D706" s="85">
        <f t="shared" si="118"/>
        <v>0</v>
      </c>
      <c r="E706" s="448">
        <f ca="1">SUMIF(OFFSET(tongctvtdd1,0,-(COLUMN(E706)+7-(COLUMN(E706)-5)/2)),KLVT!$A706,tongctvtdd1)+SUMIF(OFFSET(tongctvtpk1,0,-(COLUMN(E706)+7-(COLUMN(E706)-5)/2)),KLVT!$A706,tongctvtpk1)</f>
        <v>0</v>
      </c>
      <c r="F706" s="449">
        <f ca="1">SUMIF(OFFSET(cttba_vlvt1_1,0,-9,-ROW(cttba_vlvt1_1)+ROW(cttba_vltb1_1)-10),KLVT!$A706,OFFSET(cttba_vlvt1_1,0,-4,-ROW(cttba_vlvt1_1)+ROW(cttba_vltb1_1)-10))</f>
        <v>0</v>
      </c>
      <c r="G706" s="451">
        <f t="shared" ca="1" si="113"/>
        <v>0</v>
      </c>
      <c r="H706" s="450">
        <f t="shared" si="114"/>
        <v>1</v>
      </c>
      <c r="I706" s="447">
        <f t="shared" ca="1" si="115"/>
        <v>0</v>
      </c>
      <c r="J706" s="447">
        <f t="shared" ca="1" si="116"/>
        <v>0</v>
      </c>
      <c r="K706" s="373">
        <f t="shared" ca="1" si="119"/>
        <v>0</v>
      </c>
    </row>
    <row r="707" spans="1:11" s="45" customFormat="1" ht="15.75" hidden="1">
      <c r="A707" s="373" t="str">
        <f>IF(AND(COUNTIF($A$5:$A$133,R_DG!A581)=0,R_DG!R581&gt;0,ISNUMBER(R_DG!R581)),R_DG!A581,"NONE")</f>
        <v>NONE</v>
      </c>
      <c r="B707" s="85">
        <f ca="1">IF(K707&gt;0,COUNTIF(K$6:K707,"&gt;0"),B706)</f>
        <v>34</v>
      </c>
      <c r="C707" s="1084">
        <f t="shared" si="117"/>
        <v>0</v>
      </c>
      <c r="D707" s="85">
        <f t="shared" si="118"/>
        <v>0</v>
      </c>
      <c r="E707" s="448">
        <f ca="1">SUMIF(OFFSET(tongctvtdd1,0,-(COLUMN(E707)+7-(COLUMN(E707)-5)/2)),KLVT!$A707,tongctvtdd1)+SUMIF(OFFSET(tongctvtpk1,0,-(COLUMN(E707)+7-(COLUMN(E707)-5)/2)),KLVT!$A707,tongctvtpk1)</f>
        <v>0</v>
      </c>
      <c r="F707" s="449">
        <f ca="1">SUMIF(OFFSET(cttba_vlvt1_1,0,-9,-ROW(cttba_vlvt1_1)+ROW(cttba_vltb1_1)-10),KLVT!$A707,OFFSET(cttba_vlvt1_1,0,-4,-ROW(cttba_vlvt1_1)+ROW(cttba_vltb1_1)-10))</f>
        <v>0</v>
      </c>
      <c r="G707" s="451">
        <f t="shared" ca="1" si="113"/>
        <v>0</v>
      </c>
      <c r="H707" s="450">
        <f t="shared" si="114"/>
        <v>1</v>
      </c>
      <c r="I707" s="447">
        <f t="shared" ca="1" si="115"/>
        <v>0</v>
      </c>
      <c r="J707" s="447">
        <f t="shared" ca="1" si="116"/>
        <v>0</v>
      </c>
      <c r="K707" s="373">
        <f t="shared" ca="1" si="119"/>
        <v>0</v>
      </c>
    </row>
    <row r="708" spans="1:11" s="45" customFormat="1" ht="15.75" hidden="1">
      <c r="A708" s="373" t="str">
        <f>IF(AND(COUNTIF($A$5:$A$133,R_DG!A582)=0,R_DG!R582&gt;0,ISNUMBER(R_DG!R582)),R_DG!A582,"NONE")</f>
        <v>NONE</v>
      </c>
      <c r="B708" s="85">
        <f ca="1">IF(K708&gt;0,COUNTIF(K$6:K708,"&gt;0"),B707)</f>
        <v>34</v>
      </c>
      <c r="C708" s="1084">
        <f t="shared" si="117"/>
        <v>0</v>
      </c>
      <c r="D708" s="85">
        <f t="shared" si="118"/>
        <v>0</v>
      </c>
      <c r="E708" s="448">
        <f ca="1">SUMIF(OFFSET(tongctvtdd1,0,-(COLUMN(E708)+7-(COLUMN(E708)-5)/2)),KLVT!$A708,tongctvtdd1)+SUMIF(OFFSET(tongctvtpk1,0,-(COLUMN(E708)+7-(COLUMN(E708)-5)/2)),KLVT!$A708,tongctvtpk1)</f>
        <v>0</v>
      </c>
      <c r="F708" s="449">
        <f ca="1">SUMIF(OFFSET(cttba_vlvt1_1,0,-9,-ROW(cttba_vlvt1_1)+ROW(cttba_vltb1_1)-10),KLVT!$A708,OFFSET(cttba_vlvt1_1,0,-4,-ROW(cttba_vlvt1_1)+ROW(cttba_vltb1_1)-10))</f>
        <v>0</v>
      </c>
      <c r="G708" s="451">
        <f t="shared" ca="1" si="113"/>
        <v>0</v>
      </c>
      <c r="H708" s="450">
        <f t="shared" si="114"/>
        <v>1</v>
      </c>
      <c r="I708" s="447">
        <f t="shared" ca="1" si="115"/>
        <v>0</v>
      </c>
      <c r="J708" s="447">
        <f t="shared" ca="1" si="116"/>
        <v>0</v>
      </c>
      <c r="K708" s="373">
        <f t="shared" ca="1" si="119"/>
        <v>0</v>
      </c>
    </row>
    <row r="709" spans="1:11" s="45" customFormat="1" ht="15.75" hidden="1">
      <c r="A709" s="373" t="str">
        <f>IF(AND(COUNTIF($A$5:$A$133,R_DG!A583)=0,R_DG!R583&gt;0,ISNUMBER(R_DG!R583)),R_DG!A583,"NONE")</f>
        <v>NONE</v>
      </c>
      <c r="B709" s="85">
        <f ca="1">IF(K709&gt;0,COUNTIF(K$6:K709,"&gt;0"),B708)</f>
        <v>34</v>
      </c>
      <c r="C709" s="1084">
        <f t="shared" si="117"/>
        <v>0</v>
      </c>
      <c r="D709" s="85">
        <f t="shared" si="118"/>
        <v>0</v>
      </c>
      <c r="E709" s="448">
        <f ca="1">SUMIF(OFFSET(tongctvtdd1,0,-(COLUMN(E709)+7-(COLUMN(E709)-5)/2)),KLVT!$A709,tongctvtdd1)+SUMIF(OFFSET(tongctvtpk1,0,-(COLUMN(E709)+7-(COLUMN(E709)-5)/2)),KLVT!$A709,tongctvtpk1)</f>
        <v>0</v>
      </c>
      <c r="F709" s="449">
        <f ca="1">SUMIF(OFFSET(cttba_vlvt1_1,0,-9,-ROW(cttba_vlvt1_1)+ROW(cttba_vltb1_1)-10),KLVT!$A709,OFFSET(cttba_vlvt1_1,0,-4,-ROW(cttba_vlvt1_1)+ROW(cttba_vltb1_1)-10))</f>
        <v>0</v>
      </c>
      <c r="G709" s="451">
        <f t="shared" ca="1" si="113"/>
        <v>0</v>
      </c>
      <c r="H709" s="450">
        <f t="shared" si="114"/>
        <v>1</v>
      </c>
      <c r="I709" s="447">
        <f t="shared" ca="1" si="115"/>
        <v>0</v>
      </c>
      <c r="J709" s="447">
        <f t="shared" ca="1" si="116"/>
        <v>0</v>
      </c>
      <c r="K709" s="373">
        <f t="shared" ca="1" si="119"/>
        <v>0</v>
      </c>
    </row>
    <row r="710" spans="1:11" s="45" customFormat="1" ht="15.75" hidden="1">
      <c r="A710" s="373" t="str">
        <f>IF(AND(COUNTIF($A$5:$A$133,R_DG!A584)=0,R_DG!R584&gt;0,ISNUMBER(R_DG!R584)),R_DG!A584,"NONE")</f>
        <v>NONE</v>
      </c>
      <c r="B710" s="85">
        <f ca="1">IF(K710&gt;0,COUNTIF(K$6:K710,"&gt;0"),B709)</f>
        <v>34</v>
      </c>
      <c r="C710" s="1084">
        <f t="shared" si="117"/>
        <v>0</v>
      </c>
      <c r="D710" s="85">
        <f t="shared" si="118"/>
        <v>0</v>
      </c>
      <c r="E710" s="448">
        <f ca="1">SUMIF(OFFSET(tongctvtdd1,0,-(COLUMN(E710)+7-(COLUMN(E710)-5)/2)),KLVT!$A710,tongctvtdd1)+SUMIF(OFFSET(tongctvtpk1,0,-(COLUMN(E710)+7-(COLUMN(E710)-5)/2)),KLVT!$A710,tongctvtpk1)</f>
        <v>0</v>
      </c>
      <c r="F710" s="449">
        <f ca="1">SUMIF(OFFSET(cttba_vlvt1_1,0,-9,-ROW(cttba_vlvt1_1)+ROW(cttba_vltb1_1)-10),KLVT!$A710,OFFSET(cttba_vlvt1_1,0,-4,-ROW(cttba_vlvt1_1)+ROW(cttba_vltb1_1)-10))</f>
        <v>0</v>
      </c>
      <c r="G710" s="451">
        <f t="shared" ref="G710:G773" ca="1" si="120">SUM(E710:F710)</f>
        <v>0</v>
      </c>
      <c r="H710" s="450">
        <f t="shared" ref="H710:H773" si="121">VLOOKUP(A710,DONGIA,18,0)</f>
        <v>1</v>
      </c>
      <c r="I710" s="447">
        <f t="shared" ref="I710:I773" ca="1" si="122">E710*$H710</f>
        <v>0</v>
      </c>
      <c r="J710" s="447">
        <f t="shared" ref="J710:J773" ca="1" si="123">F710*$H710</f>
        <v>0</v>
      </c>
      <c r="K710" s="373">
        <f t="shared" ca="1" si="119"/>
        <v>0</v>
      </c>
    </row>
    <row r="711" spans="1:11" s="45" customFormat="1" ht="15.75" hidden="1">
      <c r="A711" s="373" t="str">
        <f>IF(AND(COUNTIF($A$5:$A$133,R_DG!A585)=0,R_DG!R585&gt;0,ISNUMBER(R_DG!R585)),R_DG!A585,"NONE")</f>
        <v>NONE</v>
      </c>
      <c r="B711" s="85">
        <f ca="1">IF(K711&gt;0,COUNTIF(K$6:K711,"&gt;0"),B710)</f>
        <v>34</v>
      </c>
      <c r="C711" s="1084">
        <f t="shared" si="117"/>
        <v>0</v>
      </c>
      <c r="D711" s="85">
        <f t="shared" si="118"/>
        <v>0</v>
      </c>
      <c r="E711" s="448">
        <f ca="1">SUMIF(OFFSET(tongctvtdd1,0,-(COLUMN(E711)+7-(COLUMN(E711)-5)/2)),KLVT!$A711,tongctvtdd1)+SUMIF(OFFSET(tongctvtpk1,0,-(COLUMN(E711)+7-(COLUMN(E711)-5)/2)),KLVT!$A711,tongctvtpk1)</f>
        <v>0</v>
      </c>
      <c r="F711" s="449">
        <f ca="1">SUMIF(OFFSET(cttba_vlvt1_1,0,-9,-ROW(cttba_vlvt1_1)+ROW(cttba_vltb1_1)-10),KLVT!$A711,OFFSET(cttba_vlvt1_1,0,-4,-ROW(cttba_vlvt1_1)+ROW(cttba_vltb1_1)-10))</f>
        <v>0</v>
      </c>
      <c r="G711" s="451">
        <f t="shared" ca="1" si="120"/>
        <v>0</v>
      </c>
      <c r="H711" s="450">
        <f t="shared" si="121"/>
        <v>1</v>
      </c>
      <c r="I711" s="447">
        <f t="shared" ca="1" si="122"/>
        <v>0</v>
      </c>
      <c r="J711" s="447">
        <f t="shared" ca="1" si="123"/>
        <v>0</v>
      </c>
      <c r="K711" s="374">
        <f t="shared" ca="1" si="119"/>
        <v>0</v>
      </c>
    </row>
    <row r="712" spans="1:11" s="45" customFormat="1" ht="15.75" hidden="1">
      <c r="A712" s="373" t="str">
        <f>IF(AND(COUNTIF($A$5:$A$133,R_DG!A586)=0,R_DG!R586&gt;0,ISNUMBER(R_DG!R586)),R_DG!A586,"NONE")</f>
        <v>NONE</v>
      </c>
      <c r="B712" s="85">
        <f ca="1">IF(K712&gt;0,COUNTIF(K$6:K712,"&gt;0"),B711)</f>
        <v>34</v>
      </c>
      <c r="C712" s="1084">
        <f t="shared" si="117"/>
        <v>0</v>
      </c>
      <c r="D712" s="85">
        <f t="shared" si="118"/>
        <v>0</v>
      </c>
      <c r="E712" s="448">
        <f ca="1">SUMIF(OFFSET(tongctvtdd1,0,-(COLUMN(E712)+7-(COLUMN(E712)-5)/2)),KLVT!$A712,tongctvtdd1)+SUMIF(OFFSET(tongctvtpk1,0,-(COLUMN(E712)+7-(COLUMN(E712)-5)/2)),KLVT!$A712,tongctvtpk1)</f>
        <v>0</v>
      </c>
      <c r="F712" s="449">
        <f ca="1">SUMIF(OFFSET(cttba_vlvt1_1,0,-9,-ROW(cttba_vlvt1_1)+ROW(cttba_vltb1_1)-10),KLVT!$A712,OFFSET(cttba_vlvt1_1,0,-4,-ROW(cttba_vlvt1_1)+ROW(cttba_vltb1_1)-10))</f>
        <v>0</v>
      </c>
      <c r="G712" s="451">
        <f t="shared" ca="1" si="120"/>
        <v>0</v>
      </c>
      <c r="H712" s="450">
        <f t="shared" si="121"/>
        <v>1</v>
      </c>
      <c r="I712" s="447">
        <f t="shared" ca="1" si="122"/>
        <v>0</v>
      </c>
      <c r="J712" s="447">
        <f t="shared" ca="1" si="123"/>
        <v>0</v>
      </c>
      <c r="K712" s="374">
        <f t="shared" ca="1" si="119"/>
        <v>0</v>
      </c>
    </row>
    <row r="713" spans="1:11" s="45" customFormat="1" ht="15.75" hidden="1">
      <c r="A713" s="373" t="str">
        <f>IF(AND(COUNTIF($A$5:$A$133,R_DG!A587)=0,R_DG!R587&gt;0,ISNUMBER(R_DG!R587)),R_DG!A587,"NONE")</f>
        <v>NONE</v>
      </c>
      <c r="B713" s="85">
        <f ca="1">IF(K713&gt;0,COUNTIF(K$6:K713,"&gt;0"),B712)</f>
        <v>34</v>
      </c>
      <c r="C713" s="1084">
        <f t="shared" si="117"/>
        <v>0</v>
      </c>
      <c r="D713" s="85">
        <f t="shared" si="118"/>
        <v>0</v>
      </c>
      <c r="E713" s="448">
        <f ca="1">SUMIF(OFFSET(tongctvtdd1,0,-(COLUMN(E713)+7-(COLUMN(E713)-5)/2)),KLVT!$A713,tongctvtdd1)+SUMIF(OFFSET(tongctvtpk1,0,-(COLUMN(E713)+7-(COLUMN(E713)-5)/2)),KLVT!$A713,tongctvtpk1)</f>
        <v>0</v>
      </c>
      <c r="F713" s="449">
        <f ca="1">SUMIF(OFFSET(cttba_vlvt1_1,0,-9,-ROW(cttba_vlvt1_1)+ROW(cttba_vltb1_1)-10),KLVT!$A713,OFFSET(cttba_vlvt1_1,0,-4,-ROW(cttba_vlvt1_1)+ROW(cttba_vltb1_1)-10))</f>
        <v>0</v>
      </c>
      <c r="G713" s="451">
        <f t="shared" ca="1" si="120"/>
        <v>0</v>
      </c>
      <c r="H713" s="450">
        <f t="shared" si="121"/>
        <v>1</v>
      </c>
      <c r="I713" s="447">
        <f t="shared" ca="1" si="122"/>
        <v>0</v>
      </c>
      <c r="J713" s="447">
        <f t="shared" ca="1" si="123"/>
        <v>0</v>
      </c>
      <c r="K713" s="374">
        <f t="shared" ca="1" si="119"/>
        <v>0</v>
      </c>
    </row>
    <row r="714" spans="1:11" s="45" customFormat="1" ht="15.75" hidden="1">
      <c r="A714" s="373" t="str">
        <f>IF(AND(COUNTIF($A$5:$A$133,R_DG!A588)=0,R_DG!R588&gt;0,ISNUMBER(R_DG!R588)),R_DG!A588,"NONE")</f>
        <v>NONE</v>
      </c>
      <c r="B714" s="85">
        <f ca="1">IF(K714&gt;0,COUNTIF(K$6:K714,"&gt;0"),B713)</f>
        <v>34</v>
      </c>
      <c r="C714" s="1084">
        <f t="shared" si="117"/>
        <v>0</v>
      </c>
      <c r="D714" s="85">
        <f t="shared" si="118"/>
        <v>0</v>
      </c>
      <c r="E714" s="448">
        <f ca="1">SUMIF(OFFSET(tongctvtdd1,0,-(COLUMN(E714)+7-(COLUMN(E714)-5)/2)),KLVT!$A714,tongctvtdd1)+SUMIF(OFFSET(tongctvtpk1,0,-(COLUMN(E714)+7-(COLUMN(E714)-5)/2)),KLVT!$A714,tongctvtpk1)</f>
        <v>0</v>
      </c>
      <c r="F714" s="449">
        <f ca="1">SUMIF(OFFSET(cttba_vlvt1_1,0,-9,-ROW(cttba_vlvt1_1)+ROW(cttba_vltb1_1)-10),KLVT!$A714,OFFSET(cttba_vlvt1_1,0,-4,-ROW(cttba_vlvt1_1)+ROW(cttba_vltb1_1)-10))</f>
        <v>0</v>
      </c>
      <c r="G714" s="451">
        <f t="shared" ca="1" si="120"/>
        <v>0</v>
      </c>
      <c r="H714" s="450">
        <f t="shared" si="121"/>
        <v>1</v>
      </c>
      <c r="I714" s="447">
        <f t="shared" ca="1" si="122"/>
        <v>0</v>
      </c>
      <c r="J714" s="447">
        <f t="shared" ca="1" si="123"/>
        <v>0</v>
      </c>
      <c r="K714" s="374">
        <f t="shared" ca="1" si="119"/>
        <v>0</v>
      </c>
    </row>
    <row r="715" spans="1:11" s="45" customFormat="1" ht="15.75" hidden="1">
      <c r="A715" s="373" t="str">
        <f>IF(AND(COUNTIF($A$5:$A$133,R_DG!A589)=0,R_DG!R589&gt;0,ISNUMBER(R_DG!R589)),R_DG!A589,"NONE")</f>
        <v>NONE</v>
      </c>
      <c r="B715" s="85">
        <f ca="1">IF(K715&gt;0,COUNTIF(K$6:K715,"&gt;0"),B714)</f>
        <v>34</v>
      </c>
      <c r="C715" s="1084">
        <f t="shared" si="117"/>
        <v>0</v>
      </c>
      <c r="D715" s="85">
        <f t="shared" si="118"/>
        <v>0</v>
      </c>
      <c r="E715" s="448">
        <f ca="1">SUMIF(OFFSET(tongctvtdd1,0,-(COLUMN(E715)+7-(COLUMN(E715)-5)/2)),KLVT!$A715,tongctvtdd1)+SUMIF(OFFSET(tongctvtpk1,0,-(COLUMN(E715)+7-(COLUMN(E715)-5)/2)),KLVT!$A715,tongctvtpk1)</f>
        <v>0</v>
      </c>
      <c r="F715" s="449">
        <f ca="1">SUMIF(OFFSET(cttba_vlvt1_1,0,-9,-ROW(cttba_vlvt1_1)+ROW(cttba_vltb1_1)-10),KLVT!$A715,OFFSET(cttba_vlvt1_1,0,-4,-ROW(cttba_vlvt1_1)+ROW(cttba_vltb1_1)-10))</f>
        <v>0</v>
      </c>
      <c r="G715" s="451">
        <f t="shared" ca="1" si="120"/>
        <v>0</v>
      </c>
      <c r="H715" s="450">
        <f t="shared" si="121"/>
        <v>1</v>
      </c>
      <c r="I715" s="447">
        <f t="shared" ca="1" si="122"/>
        <v>0</v>
      </c>
      <c r="J715" s="447">
        <f t="shared" ca="1" si="123"/>
        <v>0</v>
      </c>
      <c r="K715" s="374">
        <f t="shared" ca="1" si="119"/>
        <v>0</v>
      </c>
    </row>
    <row r="716" spans="1:11" s="45" customFormat="1" ht="15.75" hidden="1">
      <c r="A716" s="373" t="str">
        <f>IF(AND(COUNTIF($A$5:$A$133,R_DG!A590)=0,R_DG!R590&gt;0,ISNUMBER(R_DG!R590)),R_DG!A590,"NONE")</f>
        <v>NONE</v>
      </c>
      <c r="B716" s="85">
        <f ca="1">IF(K716&gt;0,COUNTIF(K$6:K716,"&gt;0"),B715)</f>
        <v>34</v>
      </c>
      <c r="C716" s="1084">
        <f t="shared" si="117"/>
        <v>0</v>
      </c>
      <c r="D716" s="85">
        <f t="shared" si="118"/>
        <v>0</v>
      </c>
      <c r="E716" s="448">
        <f ca="1">SUMIF(OFFSET(tongctvtdd1,0,-(COLUMN(E716)+7-(COLUMN(E716)-5)/2)),KLVT!$A716,tongctvtdd1)+SUMIF(OFFSET(tongctvtpk1,0,-(COLUMN(E716)+7-(COLUMN(E716)-5)/2)),KLVT!$A716,tongctvtpk1)</f>
        <v>0</v>
      </c>
      <c r="F716" s="449">
        <f ca="1">SUMIF(OFFSET(cttba_vlvt1_1,0,-9,-ROW(cttba_vlvt1_1)+ROW(cttba_vltb1_1)-10),KLVT!$A716,OFFSET(cttba_vlvt1_1,0,-4,-ROW(cttba_vlvt1_1)+ROW(cttba_vltb1_1)-10))</f>
        <v>0</v>
      </c>
      <c r="G716" s="451">
        <f t="shared" ca="1" si="120"/>
        <v>0</v>
      </c>
      <c r="H716" s="450">
        <f t="shared" si="121"/>
        <v>1</v>
      </c>
      <c r="I716" s="447">
        <f t="shared" ca="1" si="122"/>
        <v>0</v>
      </c>
      <c r="J716" s="447">
        <f t="shared" ca="1" si="123"/>
        <v>0</v>
      </c>
      <c r="K716" s="374">
        <f t="shared" ca="1" si="119"/>
        <v>0</v>
      </c>
    </row>
    <row r="717" spans="1:11" s="45" customFormat="1" ht="15.75" hidden="1">
      <c r="A717" s="373" t="str">
        <f>IF(AND(COUNTIF($A$5:$A$133,R_DG!A591)=0,R_DG!R591&gt;0,ISNUMBER(R_DG!R591)),R_DG!A591,"NONE")</f>
        <v>NONE</v>
      </c>
      <c r="B717" s="85">
        <f ca="1">IF(K717&gt;0,COUNTIF(K$6:K717,"&gt;0"),B716)</f>
        <v>34</v>
      </c>
      <c r="C717" s="1084">
        <f t="shared" si="117"/>
        <v>0</v>
      </c>
      <c r="D717" s="85">
        <f t="shared" si="118"/>
        <v>0</v>
      </c>
      <c r="E717" s="448">
        <f ca="1">SUMIF(OFFSET(tongctvtdd1,0,-(COLUMN(E717)+7-(COLUMN(E717)-5)/2)),KLVT!$A717,tongctvtdd1)+SUMIF(OFFSET(tongctvtpk1,0,-(COLUMN(E717)+7-(COLUMN(E717)-5)/2)),KLVT!$A717,tongctvtpk1)</f>
        <v>0</v>
      </c>
      <c r="F717" s="449">
        <f ca="1">SUMIF(OFFSET(cttba_vlvt1_1,0,-9,-ROW(cttba_vlvt1_1)+ROW(cttba_vltb1_1)-10),KLVT!$A717,OFFSET(cttba_vlvt1_1,0,-4,-ROW(cttba_vlvt1_1)+ROW(cttba_vltb1_1)-10))</f>
        <v>0</v>
      </c>
      <c r="G717" s="451">
        <f t="shared" ca="1" si="120"/>
        <v>0</v>
      </c>
      <c r="H717" s="450">
        <f t="shared" si="121"/>
        <v>1</v>
      </c>
      <c r="I717" s="447">
        <f t="shared" ca="1" si="122"/>
        <v>0</v>
      </c>
      <c r="J717" s="447">
        <f t="shared" ca="1" si="123"/>
        <v>0</v>
      </c>
      <c r="K717" s="374">
        <f t="shared" ca="1" si="119"/>
        <v>0</v>
      </c>
    </row>
    <row r="718" spans="1:11" s="45" customFormat="1" ht="15.75" hidden="1">
      <c r="A718" s="373" t="str">
        <f>IF(AND(COUNTIF($A$5:$A$133,R_DG!A592)=0,R_DG!R592&gt;0,ISNUMBER(R_DG!R592)),R_DG!A592,"NONE")</f>
        <v>NONE</v>
      </c>
      <c r="B718" s="85">
        <f ca="1">IF(K718&gt;0,COUNTIF(K$6:K718,"&gt;0"),B717)</f>
        <v>34</v>
      </c>
      <c r="C718" s="1084">
        <f t="shared" si="117"/>
        <v>0</v>
      </c>
      <c r="D718" s="85">
        <f t="shared" si="118"/>
        <v>0</v>
      </c>
      <c r="E718" s="448">
        <f ca="1">SUMIF(OFFSET(tongctvtdd1,0,-(COLUMN(E718)+7-(COLUMN(E718)-5)/2)),KLVT!$A718,tongctvtdd1)+SUMIF(OFFSET(tongctvtpk1,0,-(COLUMN(E718)+7-(COLUMN(E718)-5)/2)),KLVT!$A718,tongctvtpk1)</f>
        <v>0</v>
      </c>
      <c r="F718" s="449">
        <f ca="1">SUMIF(OFFSET(cttba_vlvt1_1,0,-9,-ROW(cttba_vlvt1_1)+ROW(cttba_vltb1_1)-10),KLVT!$A718,OFFSET(cttba_vlvt1_1,0,-4,-ROW(cttba_vlvt1_1)+ROW(cttba_vltb1_1)-10))</f>
        <v>0</v>
      </c>
      <c r="G718" s="451">
        <f t="shared" ca="1" si="120"/>
        <v>0</v>
      </c>
      <c r="H718" s="450">
        <f t="shared" si="121"/>
        <v>1</v>
      </c>
      <c r="I718" s="447">
        <f t="shared" ca="1" si="122"/>
        <v>0</v>
      </c>
      <c r="J718" s="447">
        <f t="shared" ca="1" si="123"/>
        <v>0</v>
      </c>
      <c r="K718" s="374">
        <f t="shared" ca="1" si="119"/>
        <v>0</v>
      </c>
    </row>
    <row r="719" spans="1:11" s="45" customFormat="1" ht="15.75" hidden="1">
      <c r="A719" s="373" t="str">
        <f>IF(AND(COUNTIF($A$5:$A$133,R_DG!A593)=0,R_DG!R593&gt;0,ISNUMBER(R_DG!R593)),R_DG!A593,"NONE")</f>
        <v>NONE</v>
      </c>
      <c r="B719" s="85">
        <f ca="1">IF(K719&gt;0,COUNTIF(K$6:K719,"&gt;0"),B718)</f>
        <v>34</v>
      </c>
      <c r="C719" s="1084">
        <f t="shared" si="117"/>
        <v>0</v>
      </c>
      <c r="D719" s="85">
        <f t="shared" si="118"/>
        <v>0</v>
      </c>
      <c r="E719" s="448">
        <f ca="1">SUMIF(OFFSET(tongctvtdd1,0,-(COLUMN(E719)+7-(COLUMN(E719)-5)/2)),KLVT!$A719,tongctvtdd1)+SUMIF(OFFSET(tongctvtpk1,0,-(COLUMN(E719)+7-(COLUMN(E719)-5)/2)),KLVT!$A719,tongctvtpk1)</f>
        <v>0</v>
      </c>
      <c r="F719" s="449">
        <f ca="1">SUMIF(OFFSET(cttba_vlvt1_1,0,-9,-ROW(cttba_vlvt1_1)+ROW(cttba_vltb1_1)-10),KLVT!$A719,OFFSET(cttba_vlvt1_1,0,-4,-ROW(cttba_vlvt1_1)+ROW(cttba_vltb1_1)-10))</f>
        <v>0</v>
      </c>
      <c r="G719" s="451">
        <f t="shared" ca="1" si="120"/>
        <v>0</v>
      </c>
      <c r="H719" s="450">
        <f t="shared" si="121"/>
        <v>1</v>
      </c>
      <c r="I719" s="447">
        <f t="shared" ca="1" si="122"/>
        <v>0</v>
      </c>
      <c r="J719" s="447">
        <f t="shared" ca="1" si="123"/>
        <v>0</v>
      </c>
      <c r="K719" s="373">
        <f t="shared" ca="1" si="119"/>
        <v>0</v>
      </c>
    </row>
    <row r="720" spans="1:11" s="45" customFormat="1" ht="15.75" hidden="1">
      <c r="A720" s="373" t="str">
        <f>IF(AND(COUNTIF($A$5:$A$133,R_DG!A594)=0,R_DG!R594&gt;0,ISNUMBER(R_DG!R594)),R_DG!A594,"NONE")</f>
        <v>NONE</v>
      </c>
      <c r="B720" s="85">
        <f ca="1">IF(K720&gt;0,COUNTIF(K$6:K720,"&gt;0"),B719)</f>
        <v>34</v>
      </c>
      <c r="C720" s="1084">
        <f t="shared" si="117"/>
        <v>0</v>
      </c>
      <c r="D720" s="85">
        <f t="shared" si="118"/>
        <v>0</v>
      </c>
      <c r="E720" s="448">
        <f ca="1">SUMIF(OFFSET(tongctvtdd1,0,-(COLUMN(E720)+7-(COLUMN(E720)-5)/2)),KLVT!$A720,tongctvtdd1)+SUMIF(OFFSET(tongctvtpk1,0,-(COLUMN(E720)+7-(COLUMN(E720)-5)/2)),KLVT!$A720,tongctvtpk1)</f>
        <v>0</v>
      </c>
      <c r="F720" s="449">
        <f ca="1">SUMIF(OFFSET(cttba_vlvt1_1,0,-9,-ROW(cttba_vlvt1_1)+ROW(cttba_vltb1_1)-10),KLVT!$A720,OFFSET(cttba_vlvt1_1,0,-4,-ROW(cttba_vlvt1_1)+ROW(cttba_vltb1_1)-10))</f>
        <v>0</v>
      </c>
      <c r="G720" s="451">
        <f t="shared" ca="1" si="120"/>
        <v>0</v>
      </c>
      <c r="H720" s="450">
        <f t="shared" si="121"/>
        <v>1</v>
      </c>
      <c r="I720" s="447">
        <f t="shared" ca="1" si="122"/>
        <v>0</v>
      </c>
      <c r="J720" s="447">
        <f t="shared" ca="1" si="123"/>
        <v>0</v>
      </c>
      <c r="K720" s="373">
        <f t="shared" ca="1" si="119"/>
        <v>0</v>
      </c>
    </row>
    <row r="721" spans="1:11" s="45" customFormat="1" ht="15.75" hidden="1">
      <c r="A721" s="373" t="str">
        <f>IF(AND(COUNTIF($A$5:$A$133,R_DG!A595)=0,R_DG!R595&gt;0,ISNUMBER(R_DG!R595)),R_DG!A595,"NONE")</f>
        <v>NONE</v>
      </c>
      <c r="B721" s="85">
        <f ca="1">IF(K721&gt;0,COUNTIF(K$6:K721,"&gt;0"),B720)</f>
        <v>34</v>
      </c>
      <c r="C721" s="1084">
        <f t="shared" si="117"/>
        <v>0</v>
      </c>
      <c r="D721" s="85">
        <f t="shared" si="118"/>
        <v>0</v>
      </c>
      <c r="E721" s="448">
        <f ca="1">SUMIF(OFFSET(tongctvtdd1,0,-(COLUMN(E721)+7-(COLUMN(E721)-5)/2)),KLVT!$A721,tongctvtdd1)+SUMIF(OFFSET(tongctvtpk1,0,-(COLUMN(E721)+7-(COLUMN(E721)-5)/2)),KLVT!$A721,tongctvtpk1)</f>
        <v>0</v>
      </c>
      <c r="F721" s="449">
        <f ca="1">SUMIF(OFFSET(cttba_vlvt1_1,0,-9,-ROW(cttba_vlvt1_1)+ROW(cttba_vltb1_1)-10),KLVT!$A721,OFFSET(cttba_vlvt1_1,0,-4,-ROW(cttba_vlvt1_1)+ROW(cttba_vltb1_1)-10))</f>
        <v>0</v>
      </c>
      <c r="G721" s="451">
        <f t="shared" ca="1" si="120"/>
        <v>0</v>
      </c>
      <c r="H721" s="450">
        <f t="shared" si="121"/>
        <v>1</v>
      </c>
      <c r="I721" s="447">
        <f t="shared" ca="1" si="122"/>
        <v>0</v>
      </c>
      <c r="J721" s="447">
        <f t="shared" ca="1" si="123"/>
        <v>0</v>
      </c>
      <c r="K721" s="373">
        <f t="shared" ca="1" si="119"/>
        <v>0</v>
      </c>
    </row>
    <row r="722" spans="1:11" s="45" customFormat="1" ht="15.75" hidden="1">
      <c r="A722" s="373" t="str">
        <f>IF(AND(COUNTIF($A$5:$A$133,R_DG!A596)=0,R_DG!R596&gt;0,ISNUMBER(R_DG!R596)),R_DG!A596,"NONE")</f>
        <v>NONE</v>
      </c>
      <c r="B722" s="85">
        <f ca="1">IF(K722&gt;0,COUNTIF(K$6:K722,"&gt;0"),B721)</f>
        <v>34</v>
      </c>
      <c r="C722" s="1084">
        <f t="shared" si="117"/>
        <v>0</v>
      </c>
      <c r="D722" s="85">
        <f t="shared" si="118"/>
        <v>0</v>
      </c>
      <c r="E722" s="448">
        <f ca="1">SUMIF(OFFSET(tongctvtdd1,0,-(COLUMN(E722)+7-(COLUMN(E722)-5)/2)),KLVT!$A722,tongctvtdd1)+SUMIF(OFFSET(tongctvtpk1,0,-(COLUMN(E722)+7-(COLUMN(E722)-5)/2)),KLVT!$A722,tongctvtpk1)</f>
        <v>0</v>
      </c>
      <c r="F722" s="449">
        <f ca="1">SUMIF(OFFSET(cttba_vlvt1_1,0,-9,-ROW(cttba_vlvt1_1)+ROW(cttba_vltb1_1)-10),KLVT!$A722,OFFSET(cttba_vlvt1_1,0,-4,-ROW(cttba_vlvt1_1)+ROW(cttba_vltb1_1)-10))</f>
        <v>0</v>
      </c>
      <c r="G722" s="451">
        <f t="shared" ca="1" si="120"/>
        <v>0</v>
      </c>
      <c r="H722" s="450">
        <f t="shared" si="121"/>
        <v>1</v>
      </c>
      <c r="I722" s="447">
        <f t="shared" ca="1" si="122"/>
        <v>0</v>
      </c>
      <c r="J722" s="447">
        <f t="shared" ca="1" si="123"/>
        <v>0</v>
      </c>
      <c r="K722" s="373">
        <f t="shared" ca="1" si="119"/>
        <v>0</v>
      </c>
    </row>
    <row r="723" spans="1:11" s="45" customFormat="1" ht="15.75" hidden="1">
      <c r="A723" s="373" t="str">
        <f>IF(AND(COUNTIF($A$5:$A$133,R_DG!A597)=0,R_DG!R597&gt;0,ISNUMBER(R_DG!R597)),R_DG!A597,"NONE")</f>
        <v>NONE</v>
      </c>
      <c r="B723" s="85">
        <f ca="1">IF(K723&gt;0,COUNTIF(K$6:K723,"&gt;0"),B722)</f>
        <v>34</v>
      </c>
      <c r="C723" s="1084">
        <f t="shared" si="117"/>
        <v>0</v>
      </c>
      <c r="D723" s="85">
        <f t="shared" si="118"/>
        <v>0</v>
      </c>
      <c r="E723" s="448">
        <f ca="1">SUMIF(OFFSET(tongctvtdd1,0,-(COLUMN(E723)+7-(COLUMN(E723)-5)/2)),KLVT!$A723,tongctvtdd1)+SUMIF(OFFSET(tongctvtpk1,0,-(COLUMN(E723)+7-(COLUMN(E723)-5)/2)),KLVT!$A723,tongctvtpk1)</f>
        <v>0</v>
      </c>
      <c r="F723" s="449">
        <f ca="1">SUMIF(OFFSET(cttba_vlvt1_1,0,-9,-ROW(cttba_vlvt1_1)+ROW(cttba_vltb1_1)-10),KLVT!$A723,OFFSET(cttba_vlvt1_1,0,-4,-ROW(cttba_vlvt1_1)+ROW(cttba_vltb1_1)-10))</f>
        <v>0</v>
      </c>
      <c r="G723" s="451">
        <f t="shared" ca="1" si="120"/>
        <v>0</v>
      </c>
      <c r="H723" s="450">
        <f t="shared" si="121"/>
        <v>1</v>
      </c>
      <c r="I723" s="447">
        <f t="shared" ca="1" si="122"/>
        <v>0</v>
      </c>
      <c r="J723" s="447">
        <f t="shared" ca="1" si="123"/>
        <v>0</v>
      </c>
      <c r="K723" s="373">
        <f t="shared" ca="1" si="119"/>
        <v>0</v>
      </c>
    </row>
    <row r="724" spans="1:11" s="45" customFormat="1" ht="15.75" hidden="1">
      <c r="A724" s="373" t="str">
        <f>IF(AND(COUNTIF($A$5:$A$133,R_DG!A598)=0,R_DG!R598&gt;0,ISNUMBER(R_DG!R598)),R_DG!A598,"NONE")</f>
        <v>NONE</v>
      </c>
      <c r="B724" s="85">
        <f ca="1">IF(K724&gt;0,COUNTIF(K$6:K724,"&gt;0"),B723)</f>
        <v>34</v>
      </c>
      <c r="C724" s="1084">
        <f t="shared" si="117"/>
        <v>0</v>
      </c>
      <c r="D724" s="85">
        <f t="shared" si="118"/>
        <v>0</v>
      </c>
      <c r="E724" s="448">
        <f ca="1">SUMIF(OFFSET(tongctvtdd1,0,-(COLUMN(E724)+7-(COLUMN(E724)-5)/2)),KLVT!$A724,tongctvtdd1)+SUMIF(OFFSET(tongctvtpk1,0,-(COLUMN(E724)+7-(COLUMN(E724)-5)/2)),KLVT!$A724,tongctvtpk1)</f>
        <v>0</v>
      </c>
      <c r="F724" s="449">
        <f ca="1">SUMIF(OFFSET(cttba_vlvt1_1,0,-9,-ROW(cttba_vlvt1_1)+ROW(cttba_vltb1_1)-10),KLVT!$A724,OFFSET(cttba_vlvt1_1,0,-4,-ROW(cttba_vlvt1_1)+ROW(cttba_vltb1_1)-10))</f>
        <v>0</v>
      </c>
      <c r="G724" s="451">
        <f t="shared" ca="1" si="120"/>
        <v>0</v>
      </c>
      <c r="H724" s="450">
        <f t="shared" si="121"/>
        <v>1</v>
      </c>
      <c r="I724" s="447">
        <f t="shared" ca="1" si="122"/>
        <v>0</v>
      </c>
      <c r="J724" s="447">
        <f t="shared" ca="1" si="123"/>
        <v>0</v>
      </c>
      <c r="K724" s="373">
        <f t="shared" ca="1" si="119"/>
        <v>0</v>
      </c>
    </row>
    <row r="725" spans="1:11" s="45" customFormat="1" ht="15.75" hidden="1">
      <c r="A725" s="373" t="str">
        <f>IF(AND(COUNTIF($A$5:$A$133,R_DG!A599)=0,R_DG!R599&gt;0,ISNUMBER(R_DG!R599)),R_DG!A599,"NONE")</f>
        <v>NONE</v>
      </c>
      <c r="B725" s="85">
        <f ca="1">IF(K725&gt;0,COUNTIF(K$6:K725,"&gt;0"),B724)</f>
        <v>34</v>
      </c>
      <c r="C725" s="1084">
        <f t="shared" si="117"/>
        <v>0</v>
      </c>
      <c r="D725" s="85">
        <f t="shared" si="118"/>
        <v>0</v>
      </c>
      <c r="E725" s="448">
        <f ca="1">SUMIF(OFFSET(tongctvtdd1,0,-(COLUMN(E725)+7-(COLUMN(E725)-5)/2)),KLVT!$A725,tongctvtdd1)+SUMIF(OFFSET(tongctvtpk1,0,-(COLUMN(E725)+7-(COLUMN(E725)-5)/2)),KLVT!$A725,tongctvtpk1)</f>
        <v>0</v>
      </c>
      <c r="F725" s="449">
        <f ca="1">SUMIF(OFFSET(cttba_vlvt1_1,0,-9,-ROW(cttba_vlvt1_1)+ROW(cttba_vltb1_1)-10),KLVT!$A725,OFFSET(cttba_vlvt1_1,0,-4,-ROW(cttba_vlvt1_1)+ROW(cttba_vltb1_1)-10))</f>
        <v>0</v>
      </c>
      <c r="G725" s="451">
        <f t="shared" ca="1" si="120"/>
        <v>0</v>
      </c>
      <c r="H725" s="450">
        <f t="shared" si="121"/>
        <v>1</v>
      </c>
      <c r="I725" s="447">
        <f t="shared" ca="1" si="122"/>
        <v>0</v>
      </c>
      <c r="J725" s="447">
        <f t="shared" ca="1" si="123"/>
        <v>0</v>
      </c>
      <c r="K725" s="374">
        <f t="shared" ca="1" si="119"/>
        <v>0</v>
      </c>
    </row>
    <row r="726" spans="1:11" s="45" customFormat="1" ht="15.75" hidden="1">
      <c r="A726" s="373" t="str">
        <f>IF(AND(COUNTIF($A$5:$A$133,R_DG!A600)=0,R_DG!R600&gt;0,ISNUMBER(R_DG!R600)),R_DG!A600,"NONE")</f>
        <v>NONE</v>
      </c>
      <c r="B726" s="85">
        <f ca="1">IF(K726&gt;0,COUNTIF(K$6:K726,"&gt;0"),B725)</f>
        <v>34</v>
      </c>
      <c r="C726" s="1084">
        <f t="shared" si="117"/>
        <v>0</v>
      </c>
      <c r="D726" s="85">
        <f t="shared" si="118"/>
        <v>0</v>
      </c>
      <c r="E726" s="448">
        <f ca="1">SUMIF(OFFSET(tongctvtdd1,0,-(COLUMN(E726)+7-(COLUMN(E726)-5)/2)),KLVT!$A726,tongctvtdd1)+SUMIF(OFFSET(tongctvtpk1,0,-(COLUMN(E726)+7-(COLUMN(E726)-5)/2)),KLVT!$A726,tongctvtpk1)</f>
        <v>0</v>
      </c>
      <c r="F726" s="449">
        <f ca="1">SUMIF(OFFSET(cttba_vlvt1_1,0,-9,-ROW(cttba_vlvt1_1)+ROW(cttba_vltb1_1)-10),KLVT!$A726,OFFSET(cttba_vlvt1_1,0,-4,-ROW(cttba_vlvt1_1)+ROW(cttba_vltb1_1)-10))</f>
        <v>0</v>
      </c>
      <c r="G726" s="451">
        <f t="shared" ca="1" si="120"/>
        <v>0</v>
      </c>
      <c r="H726" s="450">
        <f t="shared" si="121"/>
        <v>1</v>
      </c>
      <c r="I726" s="447">
        <f t="shared" ca="1" si="122"/>
        <v>0</v>
      </c>
      <c r="J726" s="447">
        <f t="shared" ca="1" si="123"/>
        <v>0</v>
      </c>
      <c r="K726" s="374">
        <f t="shared" ca="1" si="119"/>
        <v>0</v>
      </c>
    </row>
    <row r="727" spans="1:11" s="45" customFormat="1" ht="15.75" hidden="1">
      <c r="A727" s="373" t="str">
        <f>IF(AND(COUNTIF($A$5:$A$133,R_DG!A601)=0,R_DG!R601&gt;0,ISNUMBER(R_DG!R601)),R_DG!A601,"NONE")</f>
        <v>NONE</v>
      </c>
      <c r="B727" s="85">
        <f ca="1">IF(K727&gt;0,COUNTIF(K$6:K727,"&gt;0"),B726)</f>
        <v>34</v>
      </c>
      <c r="C727" s="1084">
        <f t="shared" si="117"/>
        <v>0</v>
      </c>
      <c r="D727" s="85">
        <f t="shared" si="118"/>
        <v>0</v>
      </c>
      <c r="E727" s="448">
        <f ca="1">SUMIF(OFFSET(tongctvtdd1,0,-(COLUMN(E727)+7-(COLUMN(E727)-5)/2)),KLVT!$A727,tongctvtdd1)+SUMIF(OFFSET(tongctvtpk1,0,-(COLUMN(E727)+7-(COLUMN(E727)-5)/2)),KLVT!$A727,tongctvtpk1)</f>
        <v>0</v>
      </c>
      <c r="F727" s="449">
        <f ca="1">SUMIF(OFFSET(cttba_vlvt1_1,0,-9,-ROW(cttba_vlvt1_1)+ROW(cttba_vltb1_1)-10),KLVT!$A727,OFFSET(cttba_vlvt1_1,0,-4,-ROW(cttba_vlvt1_1)+ROW(cttba_vltb1_1)-10))</f>
        <v>0</v>
      </c>
      <c r="G727" s="451">
        <f t="shared" ca="1" si="120"/>
        <v>0</v>
      </c>
      <c r="H727" s="450">
        <f t="shared" si="121"/>
        <v>1</v>
      </c>
      <c r="I727" s="447">
        <f t="shared" ca="1" si="122"/>
        <v>0</v>
      </c>
      <c r="J727" s="447">
        <f t="shared" ca="1" si="123"/>
        <v>0</v>
      </c>
      <c r="K727" s="374">
        <f t="shared" ca="1" si="119"/>
        <v>0</v>
      </c>
    </row>
    <row r="728" spans="1:11" s="45" customFormat="1" ht="15.75" hidden="1">
      <c r="A728" s="373" t="str">
        <f>IF(AND(COUNTIF($A$5:$A$133,R_DG!A602)=0,R_DG!R602&gt;0,ISNUMBER(R_DG!R602)),R_DG!A602,"NONE")</f>
        <v>NONE</v>
      </c>
      <c r="B728" s="85">
        <f ca="1">IF(K728&gt;0,COUNTIF(K$6:K728,"&gt;0"),B727)</f>
        <v>34</v>
      </c>
      <c r="C728" s="1084">
        <f t="shared" si="117"/>
        <v>0</v>
      </c>
      <c r="D728" s="85">
        <f t="shared" si="118"/>
        <v>0</v>
      </c>
      <c r="E728" s="448">
        <f ca="1">SUMIF(OFFSET(tongctvtdd1,0,-(COLUMN(E728)+7-(COLUMN(E728)-5)/2)),KLVT!$A728,tongctvtdd1)+SUMIF(OFFSET(tongctvtpk1,0,-(COLUMN(E728)+7-(COLUMN(E728)-5)/2)),KLVT!$A728,tongctvtpk1)</f>
        <v>0</v>
      </c>
      <c r="F728" s="449">
        <f ca="1">SUMIF(OFFSET(cttba_vlvt1_1,0,-9,-ROW(cttba_vlvt1_1)+ROW(cttba_vltb1_1)-10),KLVT!$A728,OFFSET(cttba_vlvt1_1,0,-4,-ROW(cttba_vlvt1_1)+ROW(cttba_vltb1_1)-10))</f>
        <v>0</v>
      </c>
      <c r="G728" s="451">
        <f t="shared" ca="1" si="120"/>
        <v>0</v>
      </c>
      <c r="H728" s="450">
        <f t="shared" si="121"/>
        <v>1</v>
      </c>
      <c r="I728" s="447">
        <f t="shared" ca="1" si="122"/>
        <v>0</v>
      </c>
      <c r="J728" s="447">
        <f t="shared" ca="1" si="123"/>
        <v>0</v>
      </c>
      <c r="K728" s="374">
        <f t="shared" ca="1" si="119"/>
        <v>0</v>
      </c>
    </row>
    <row r="729" spans="1:11" s="45" customFormat="1" ht="15.75" hidden="1">
      <c r="A729" s="373" t="str">
        <f>IF(AND(COUNTIF($A$5:$A$133,R_DG!A603)=0,R_DG!R603&gt;0,ISNUMBER(R_DG!R603)),R_DG!A603,"NONE")</f>
        <v>NONE</v>
      </c>
      <c r="B729" s="85">
        <f ca="1">IF(K729&gt;0,COUNTIF(K$6:K729,"&gt;0"),B728)</f>
        <v>34</v>
      </c>
      <c r="C729" s="1084">
        <f t="shared" si="117"/>
        <v>0</v>
      </c>
      <c r="D729" s="85">
        <f t="shared" si="118"/>
        <v>0</v>
      </c>
      <c r="E729" s="448">
        <f ca="1">SUMIF(OFFSET(tongctvtdd1,0,-(COLUMN(E729)+7-(COLUMN(E729)-5)/2)),KLVT!$A729,tongctvtdd1)+SUMIF(OFFSET(tongctvtpk1,0,-(COLUMN(E729)+7-(COLUMN(E729)-5)/2)),KLVT!$A729,tongctvtpk1)</f>
        <v>0</v>
      </c>
      <c r="F729" s="449">
        <f ca="1">SUMIF(OFFSET(cttba_vlvt1_1,0,-9,-ROW(cttba_vlvt1_1)+ROW(cttba_vltb1_1)-10),KLVT!$A729,OFFSET(cttba_vlvt1_1,0,-4,-ROW(cttba_vlvt1_1)+ROW(cttba_vltb1_1)-10))</f>
        <v>0</v>
      </c>
      <c r="G729" s="451">
        <f t="shared" ca="1" si="120"/>
        <v>0</v>
      </c>
      <c r="H729" s="450">
        <f t="shared" si="121"/>
        <v>1</v>
      </c>
      <c r="I729" s="447">
        <f t="shared" ca="1" si="122"/>
        <v>0</v>
      </c>
      <c r="J729" s="447">
        <f t="shared" ca="1" si="123"/>
        <v>0</v>
      </c>
      <c r="K729" s="374">
        <f t="shared" ca="1" si="119"/>
        <v>0</v>
      </c>
    </row>
    <row r="730" spans="1:11" s="45" customFormat="1" ht="15.75" hidden="1">
      <c r="A730" s="373" t="str">
        <f>IF(AND(COUNTIF($A$5:$A$133,R_DG!A604)=0,R_DG!R604&gt;0,ISNUMBER(R_DG!R604)),R_DG!A604,"NONE")</f>
        <v>NONE</v>
      </c>
      <c r="B730" s="85">
        <f ca="1">IF(K730&gt;0,COUNTIF(K$6:K730,"&gt;0"),B729)</f>
        <v>34</v>
      </c>
      <c r="C730" s="1084">
        <f t="shared" ref="C730:C793" si="124">VLOOKUP(A730,DONGIA,3,0)</f>
        <v>0</v>
      </c>
      <c r="D730" s="85">
        <f t="shared" ref="D730:D793" si="125">VLOOKUP(A730,DONGIA,4,0)</f>
        <v>0</v>
      </c>
      <c r="E730" s="448">
        <f ca="1">SUMIF(OFFSET(tongctvtdd1,0,-(COLUMN(E730)+7-(COLUMN(E730)-5)/2)),KLVT!$A730,tongctvtdd1)+SUMIF(OFFSET(tongctvtpk1,0,-(COLUMN(E730)+7-(COLUMN(E730)-5)/2)),KLVT!$A730,tongctvtpk1)</f>
        <v>0</v>
      </c>
      <c r="F730" s="449">
        <f ca="1">SUMIF(OFFSET(cttba_vlvt1_1,0,-9,-ROW(cttba_vlvt1_1)+ROW(cttba_vltb1_1)-10),KLVT!$A730,OFFSET(cttba_vlvt1_1,0,-4,-ROW(cttba_vlvt1_1)+ROW(cttba_vltb1_1)-10))</f>
        <v>0</v>
      </c>
      <c r="G730" s="451">
        <f t="shared" ca="1" si="120"/>
        <v>0</v>
      </c>
      <c r="H730" s="450">
        <f t="shared" si="121"/>
        <v>1</v>
      </c>
      <c r="I730" s="447">
        <f t="shared" ca="1" si="122"/>
        <v>0</v>
      </c>
      <c r="J730" s="447">
        <f t="shared" ca="1" si="123"/>
        <v>0</v>
      </c>
      <c r="K730" s="374">
        <f t="shared" ca="1" si="119"/>
        <v>0</v>
      </c>
    </row>
    <row r="731" spans="1:11" s="45" customFormat="1" ht="15.75" hidden="1">
      <c r="A731" s="373" t="str">
        <f>IF(AND(COUNTIF($A$5:$A$133,R_DG!A605)=0,R_DG!R605&gt;0,ISNUMBER(R_DG!R605)),R_DG!A605,"NONE")</f>
        <v>NONE</v>
      </c>
      <c r="B731" s="85">
        <f ca="1">IF(K731&gt;0,COUNTIF(K$6:K731,"&gt;0"),B730)</f>
        <v>34</v>
      </c>
      <c r="C731" s="1084">
        <f t="shared" si="124"/>
        <v>0</v>
      </c>
      <c r="D731" s="85">
        <f t="shared" si="125"/>
        <v>0</v>
      </c>
      <c r="E731" s="448">
        <f ca="1">SUMIF(OFFSET(tongctvtdd1,0,-(COLUMN(E731)+7-(COLUMN(E731)-5)/2)),KLVT!$A731,tongctvtdd1)+SUMIF(OFFSET(tongctvtpk1,0,-(COLUMN(E731)+7-(COLUMN(E731)-5)/2)),KLVT!$A731,tongctvtpk1)</f>
        <v>0</v>
      </c>
      <c r="F731" s="449">
        <f ca="1">SUMIF(OFFSET(cttba_vlvt1_1,0,-9,-ROW(cttba_vlvt1_1)+ROW(cttba_vltb1_1)-10),KLVT!$A731,OFFSET(cttba_vlvt1_1,0,-4,-ROW(cttba_vlvt1_1)+ROW(cttba_vltb1_1)-10))</f>
        <v>0</v>
      </c>
      <c r="G731" s="451">
        <f t="shared" ca="1" si="120"/>
        <v>0</v>
      </c>
      <c r="H731" s="450">
        <f t="shared" si="121"/>
        <v>1</v>
      </c>
      <c r="I731" s="447">
        <f t="shared" ca="1" si="122"/>
        <v>0</v>
      </c>
      <c r="J731" s="447">
        <f t="shared" ca="1" si="123"/>
        <v>0</v>
      </c>
      <c r="K731" s="374">
        <f t="shared" ca="1" si="119"/>
        <v>0</v>
      </c>
    </row>
    <row r="732" spans="1:11" s="45" customFormat="1" ht="15.75" hidden="1">
      <c r="A732" s="373" t="str">
        <f>IF(AND(COUNTIF($A$5:$A$133,R_DG!A606)=0,R_DG!R606&gt;0,ISNUMBER(R_DG!R606)),R_DG!A606,"NONE")</f>
        <v>NONE</v>
      </c>
      <c r="B732" s="85">
        <f ca="1">IF(K732&gt;0,COUNTIF(K$6:K732,"&gt;0"),B731)</f>
        <v>34</v>
      </c>
      <c r="C732" s="1084">
        <f t="shared" si="124"/>
        <v>0</v>
      </c>
      <c r="D732" s="85">
        <f t="shared" si="125"/>
        <v>0</v>
      </c>
      <c r="E732" s="448">
        <f ca="1">SUMIF(OFFSET(tongctvtdd1,0,-(COLUMN(E732)+7-(COLUMN(E732)-5)/2)),KLVT!$A732,tongctvtdd1)+SUMIF(OFFSET(tongctvtpk1,0,-(COLUMN(E732)+7-(COLUMN(E732)-5)/2)),KLVT!$A732,tongctvtpk1)</f>
        <v>0</v>
      </c>
      <c r="F732" s="449">
        <f ca="1">SUMIF(OFFSET(cttba_vlvt1_1,0,-9,-ROW(cttba_vlvt1_1)+ROW(cttba_vltb1_1)-10),KLVT!$A732,OFFSET(cttba_vlvt1_1,0,-4,-ROW(cttba_vlvt1_1)+ROW(cttba_vltb1_1)-10))</f>
        <v>0</v>
      </c>
      <c r="G732" s="451">
        <f t="shared" ca="1" si="120"/>
        <v>0</v>
      </c>
      <c r="H732" s="450">
        <f t="shared" si="121"/>
        <v>1</v>
      </c>
      <c r="I732" s="447">
        <f t="shared" ca="1" si="122"/>
        <v>0</v>
      </c>
      <c r="J732" s="447">
        <f t="shared" ca="1" si="123"/>
        <v>0</v>
      </c>
      <c r="K732" s="374">
        <f t="shared" ca="1" si="119"/>
        <v>0</v>
      </c>
    </row>
    <row r="733" spans="1:11" s="45" customFormat="1" ht="15.75" hidden="1">
      <c r="A733" s="373" t="str">
        <f>IF(AND(COUNTIF($A$5:$A$133,R_DG!A607)=0,R_DG!R607&gt;0,ISNUMBER(R_DG!R607)),R_DG!A607,"NONE")</f>
        <v>NONE</v>
      </c>
      <c r="B733" s="85">
        <f ca="1">IF(K733&gt;0,COUNTIF(K$6:K733,"&gt;0"),B732)</f>
        <v>34</v>
      </c>
      <c r="C733" s="1084">
        <f t="shared" si="124"/>
        <v>0</v>
      </c>
      <c r="D733" s="85">
        <f t="shared" si="125"/>
        <v>0</v>
      </c>
      <c r="E733" s="448">
        <f ca="1">SUMIF(OFFSET(tongctvtdd1,0,-(COLUMN(E733)+7-(COLUMN(E733)-5)/2)),KLVT!$A733,tongctvtdd1)+SUMIF(OFFSET(tongctvtpk1,0,-(COLUMN(E733)+7-(COLUMN(E733)-5)/2)),KLVT!$A733,tongctvtpk1)</f>
        <v>0</v>
      </c>
      <c r="F733" s="449">
        <f ca="1">SUMIF(OFFSET(cttba_vlvt1_1,0,-9,-ROW(cttba_vlvt1_1)+ROW(cttba_vltb1_1)-10),KLVT!$A733,OFFSET(cttba_vlvt1_1,0,-4,-ROW(cttba_vlvt1_1)+ROW(cttba_vltb1_1)-10))</f>
        <v>0</v>
      </c>
      <c r="G733" s="451">
        <f t="shared" ca="1" si="120"/>
        <v>0</v>
      </c>
      <c r="H733" s="450">
        <f t="shared" si="121"/>
        <v>1</v>
      </c>
      <c r="I733" s="447">
        <f t="shared" ca="1" si="122"/>
        <v>0</v>
      </c>
      <c r="J733" s="447">
        <f t="shared" ca="1" si="123"/>
        <v>0</v>
      </c>
      <c r="K733" s="373">
        <f t="shared" ca="1" si="119"/>
        <v>0</v>
      </c>
    </row>
    <row r="734" spans="1:11" s="45" customFormat="1" ht="15.75" hidden="1">
      <c r="A734" s="373" t="str">
        <f>IF(AND(COUNTIF($A$5:$A$133,R_DG!A608)=0,R_DG!R608&gt;0,ISNUMBER(R_DG!R608)),R_DG!A608,"NONE")</f>
        <v>NONE</v>
      </c>
      <c r="B734" s="85">
        <f ca="1">IF(K734&gt;0,COUNTIF(K$6:K734,"&gt;0"),B733)</f>
        <v>34</v>
      </c>
      <c r="C734" s="1084">
        <f t="shared" si="124"/>
        <v>0</v>
      </c>
      <c r="D734" s="85">
        <f t="shared" si="125"/>
        <v>0</v>
      </c>
      <c r="E734" s="448">
        <f ca="1">SUMIF(OFFSET(tongctvtdd1,0,-(COLUMN(E734)+7-(COLUMN(E734)-5)/2)),KLVT!$A734,tongctvtdd1)+SUMIF(OFFSET(tongctvtpk1,0,-(COLUMN(E734)+7-(COLUMN(E734)-5)/2)),KLVT!$A734,tongctvtpk1)</f>
        <v>0</v>
      </c>
      <c r="F734" s="449">
        <f ca="1">SUMIF(OFFSET(cttba_vlvt1_1,0,-9,-ROW(cttba_vlvt1_1)+ROW(cttba_vltb1_1)-10),KLVT!$A734,OFFSET(cttba_vlvt1_1,0,-4,-ROW(cttba_vlvt1_1)+ROW(cttba_vltb1_1)-10))</f>
        <v>0</v>
      </c>
      <c r="G734" s="451">
        <f t="shared" ca="1" si="120"/>
        <v>0</v>
      </c>
      <c r="H734" s="450">
        <f t="shared" si="121"/>
        <v>1</v>
      </c>
      <c r="I734" s="447">
        <f t="shared" ca="1" si="122"/>
        <v>0</v>
      </c>
      <c r="J734" s="447">
        <f t="shared" ca="1" si="123"/>
        <v>0</v>
      </c>
      <c r="K734" s="373">
        <f t="shared" ca="1" si="119"/>
        <v>0</v>
      </c>
    </row>
    <row r="735" spans="1:11" s="45" customFormat="1" ht="15.75" hidden="1">
      <c r="A735" s="373" t="str">
        <f>IF(AND(COUNTIF($A$5:$A$133,R_DG!A609)=0,R_DG!R609&gt;0,ISNUMBER(R_DG!R609)),R_DG!A609,"NONE")</f>
        <v>NONE</v>
      </c>
      <c r="B735" s="85">
        <f ca="1">IF(K735&gt;0,COUNTIF(K$6:K735,"&gt;0"),B734)</f>
        <v>34</v>
      </c>
      <c r="C735" s="1084">
        <f t="shared" si="124"/>
        <v>0</v>
      </c>
      <c r="D735" s="85">
        <f t="shared" si="125"/>
        <v>0</v>
      </c>
      <c r="E735" s="448">
        <f ca="1">SUMIF(OFFSET(tongctvtdd1,0,-(COLUMN(E735)+7-(COLUMN(E735)-5)/2)),KLVT!$A735,tongctvtdd1)+SUMIF(OFFSET(tongctvtpk1,0,-(COLUMN(E735)+7-(COLUMN(E735)-5)/2)),KLVT!$A735,tongctvtpk1)</f>
        <v>0</v>
      </c>
      <c r="F735" s="449">
        <f ca="1">SUMIF(OFFSET(cttba_vlvt1_1,0,-9,-ROW(cttba_vlvt1_1)+ROW(cttba_vltb1_1)-10),KLVT!$A735,OFFSET(cttba_vlvt1_1,0,-4,-ROW(cttba_vlvt1_1)+ROW(cttba_vltb1_1)-10))</f>
        <v>0</v>
      </c>
      <c r="G735" s="451">
        <f t="shared" ca="1" si="120"/>
        <v>0</v>
      </c>
      <c r="H735" s="450">
        <f t="shared" si="121"/>
        <v>1</v>
      </c>
      <c r="I735" s="447">
        <f t="shared" ca="1" si="122"/>
        <v>0</v>
      </c>
      <c r="J735" s="447">
        <f t="shared" ca="1" si="123"/>
        <v>0</v>
      </c>
      <c r="K735" s="373">
        <f t="shared" ca="1" si="119"/>
        <v>0</v>
      </c>
    </row>
    <row r="736" spans="1:11" s="45" customFormat="1" ht="15.75" hidden="1">
      <c r="A736" s="373" t="str">
        <f>IF(AND(COUNTIF($A$5:$A$133,R_DG!A610)=0,R_DG!R610&gt;0,ISNUMBER(R_DG!R610)),R_DG!A610,"NONE")</f>
        <v>NONE</v>
      </c>
      <c r="B736" s="85">
        <f ca="1">IF(K736&gt;0,COUNTIF(K$6:K736,"&gt;0"),B735)</f>
        <v>34</v>
      </c>
      <c r="C736" s="1084">
        <f t="shared" si="124"/>
        <v>0</v>
      </c>
      <c r="D736" s="85">
        <f t="shared" si="125"/>
        <v>0</v>
      </c>
      <c r="E736" s="448">
        <f ca="1">SUMIF(OFFSET(tongctvtdd1,0,-(COLUMN(E736)+7-(COLUMN(E736)-5)/2)),KLVT!$A736,tongctvtdd1)+SUMIF(OFFSET(tongctvtpk1,0,-(COLUMN(E736)+7-(COLUMN(E736)-5)/2)),KLVT!$A736,tongctvtpk1)</f>
        <v>0</v>
      </c>
      <c r="F736" s="449">
        <f ca="1">SUMIF(OFFSET(cttba_vlvt1_1,0,-9,-ROW(cttba_vlvt1_1)+ROW(cttba_vltb1_1)-10),KLVT!$A736,OFFSET(cttba_vlvt1_1,0,-4,-ROW(cttba_vlvt1_1)+ROW(cttba_vltb1_1)-10))</f>
        <v>0</v>
      </c>
      <c r="G736" s="451">
        <f t="shared" ca="1" si="120"/>
        <v>0</v>
      </c>
      <c r="H736" s="450">
        <f t="shared" si="121"/>
        <v>1</v>
      </c>
      <c r="I736" s="447">
        <f t="shared" ca="1" si="122"/>
        <v>0</v>
      </c>
      <c r="J736" s="447">
        <f t="shared" ca="1" si="123"/>
        <v>0</v>
      </c>
      <c r="K736" s="373">
        <f t="shared" ca="1" si="119"/>
        <v>0</v>
      </c>
    </row>
    <row r="737" spans="1:11" s="45" customFormat="1" ht="15.75" hidden="1">
      <c r="A737" s="373" t="str">
        <f>IF(AND(COUNTIF($A$5:$A$133,R_DG!A611)=0,R_DG!R611&gt;0,ISNUMBER(R_DG!R611)),R_DG!A611,"NONE")</f>
        <v>NONE</v>
      </c>
      <c r="B737" s="85">
        <f ca="1">IF(K737&gt;0,COUNTIF(K$6:K737,"&gt;0"),B736)</f>
        <v>34</v>
      </c>
      <c r="C737" s="1084">
        <f t="shared" si="124"/>
        <v>0</v>
      </c>
      <c r="D737" s="85">
        <f t="shared" si="125"/>
        <v>0</v>
      </c>
      <c r="E737" s="448">
        <f ca="1">SUMIF(OFFSET(tongctvtdd1,0,-(COLUMN(E737)+7-(COLUMN(E737)-5)/2)),KLVT!$A737,tongctvtdd1)+SUMIF(OFFSET(tongctvtpk1,0,-(COLUMN(E737)+7-(COLUMN(E737)-5)/2)),KLVT!$A737,tongctvtpk1)</f>
        <v>0</v>
      </c>
      <c r="F737" s="449">
        <f ca="1">SUMIF(OFFSET(cttba_vlvt1_1,0,-9,-ROW(cttba_vlvt1_1)+ROW(cttba_vltb1_1)-10),KLVT!$A737,OFFSET(cttba_vlvt1_1,0,-4,-ROW(cttba_vlvt1_1)+ROW(cttba_vltb1_1)-10))</f>
        <v>0</v>
      </c>
      <c r="G737" s="451">
        <f t="shared" ca="1" si="120"/>
        <v>0</v>
      </c>
      <c r="H737" s="450">
        <f t="shared" si="121"/>
        <v>1</v>
      </c>
      <c r="I737" s="447">
        <f t="shared" ca="1" si="122"/>
        <v>0</v>
      </c>
      <c r="J737" s="447">
        <f t="shared" ca="1" si="123"/>
        <v>0</v>
      </c>
      <c r="K737" s="374">
        <f t="shared" ca="1" si="119"/>
        <v>0</v>
      </c>
    </row>
    <row r="738" spans="1:11" s="45" customFormat="1" ht="15.75" hidden="1">
      <c r="A738" s="373" t="str">
        <f>IF(AND(COUNTIF($A$5:$A$133,R_DG!A612)=0,R_DG!R612&gt;0,ISNUMBER(R_DG!R612)),R_DG!A612,"NONE")</f>
        <v>NONE</v>
      </c>
      <c r="B738" s="85">
        <f ca="1">IF(K738&gt;0,COUNTIF(K$6:K738,"&gt;0"),B737)</f>
        <v>34</v>
      </c>
      <c r="C738" s="1084">
        <f t="shared" si="124"/>
        <v>0</v>
      </c>
      <c r="D738" s="85">
        <f t="shared" si="125"/>
        <v>0</v>
      </c>
      <c r="E738" s="448">
        <f ca="1">SUMIF(OFFSET(tongctvtdd1,0,-(COLUMN(E738)+7-(COLUMN(E738)-5)/2)),KLVT!$A738,tongctvtdd1)+SUMIF(OFFSET(tongctvtpk1,0,-(COLUMN(E738)+7-(COLUMN(E738)-5)/2)),KLVT!$A738,tongctvtpk1)</f>
        <v>0</v>
      </c>
      <c r="F738" s="449">
        <f ca="1">SUMIF(OFFSET(cttba_vlvt1_1,0,-9,-ROW(cttba_vlvt1_1)+ROW(cttba_vltb1_1)-10),KLVT!$A738,OFFSET(cttba_vlvt1_1,0,-4,-ROW(cttba_vlvt1_1)+ROW(cttba_vltb1_1)-10))</f>
        <v>0</v>
      </c>
      <c r="G738" s="451">
        <f t="shared" ca="1" si="120"/>
        <v>0</v>
      </c>
      <c r="H738" s="450">
        <f t="shared" si="121"/>
        <v>1</v>
      </c>
      <c r="I738" s="447">
        <f t="shared" ca="1" si="122"/>
        <v>0</v>
      </c>
      <c r="J738" s="447">
        <f t="shared" ca="1" si="123"/>
        <v>0</v>
      </c>
      <c r="K738" s="373">
        <f t="shared" ca="1" si="119"/>
        <v>0</v>
      </c>
    </row>
    <row r="739" spans="1:11" s="45" customFormat="1" ht="15.75" hidden="1">
      <c r="A739" s="373" t="str">
        <f>IF(AND(COUNTIF($A$5:$A$133,R_DG!A613)=0,R_DG!R613&gt;0,ISNUMBER(R_DG!R613)),R_DG!A613,"NONE")</f>
        <v>NONE</v>
      </c>
      <c r="B739" s="85">
        <f ca="1">IF(K739&gt;0,COUNTIF(K$6:K739,"&gt;0"),B738)</f>
        <v>34</v>
      </c>
      <c r="C739" s="1084">
        <f t="shared" si="124"/>
        <v>0</v>
      </c>
      <c r="D739" s="85">
        <f t="shared" si="125"/>
        <v>0</v>
      </c>
      <c r="E739" s="448">
        <f ca="1">SUMIF(OFFSET(tongctvtdd1,0,-(COLUMN(E739)+7-(COLUMN(E739)-5)/2)),KLVT!$A739,tongctvtdd1)+SUMIF(OFFSET(tongctvtpk1,0,-(COLUMN(E739)+7-(COLUMN(E739)-5)/2)),KLVT!$A739,tongctvtpk1)</f>
        <v>0</v>
      </c>
      <c r="F739" s="449">
        <f ca="1">SUMIF(OFFSET(cttba_vlvt1_1,0,-9,-ROW(cttba_vlvt1_1)+ROW(cttba_vltb1_1)-10),KLVT!$A739,OFFSET(cttba_vlvt1_1,0,-4,-ROW(cttba_vlvt1_1)+ROW(cttba_vltb1_1)-10))</f>
        <v>0</v>
      </c>
      <c r="G739" s="451">
        <f t="shared" ca="1" si="120"/>
        <v>0</v>
      </c>
      <c r="H739" s="450">
        <f t="shared" si="121"/>
        <v>1</v>
      </c>
      <c r="I739" s="447">
        <f t="shared" ca="1" si="122"/>
        <v>0</v>
      </c>
      <c r="J739" s="447">
        <f t="shared" ca="1" si="123"/>
        <v>0</v>
      </c>
      <c r="K739" s="373">
        <f t="shared" ca="1" si="119"/>
        <v>0</v>
      </c>
    </row>
    <row r="740" spans="1:11" s="45" customFormat="1" ht="15.75" hidden="1">
      <c r="A740" s="373" t="str">
        <f>IF(AND(COUNTIF($A$5:$A$133,R_DG!A614)=0,R_DG!R614&gt;0,ISNUMBER(R_DG!R614)),R_DG!A614,"NONE")</f>
        <v>NONE</v>
      </c>
      <c r="B740" s="85">
        <f ca="1">IF(K740&gt;0,COUNTIF(K$6:K740,"&gt;0"),B739)</f>
        <v>34</v>
      </c>
      <c r="C740" s="1084">
        <f t="shared" si="124"/>
        <v>0</v>
      </c>
      <c r="D740" s="85">
        <f t="shared" si="125"/>
        <v>0</v>
      </c>
      <c r="E740" s="448">
        <f ca="1">SUMIF(OFFSET(tongctvtdd1,0,-(COLUMN(E740)+7-(COLUMN(E740)-5)/2)),KLVT!$A740,tongctvtdd1)+SUMIF(OFFSET(tongctvtpk1,0,-(COLUMN(E740)+7-(COLUMN(E740)-5)/2)),KLVT!$A740,tongctvtpk1)</f>
        <v>0</v>
      </c>
      <c r="F740" s="449">
        <f ca="1">SUMIF(OFFSET(cttba_vlvt1_1,0,-9,-ROW(cttba_vlvt1_1)+ROW(cttba_vltb1_1)-10),KLVT!$A740,OFFSET(cttba_vlvt1_1,0,-4,-ROW(cttba_vlvt1_1)+ROW(cttba_vltb1_1)-10))</f>
        <v>0</v>
      </c>
      <c r="G740" s="451">
        <f t="shared" ca="1" si="120"/>
        <v>0</v>
      </c>
      <c r="H740" s="450">
        <f t="shared" si="121"/>
        <v>1</v>
      </c>
      <c r="I740" s="447">
        <f t="shared" ca="1" si="122"/>
        <v>0</v>
      </c>
      <c r="J740" s="447">
        <f t="shared" ca="1" si="123"/>
        <v>0</v>
      </c>
      <c r="K740" s="373">
        <f t="shared" ca="1" si="119"/>
        <v>0</v>
      </c>
    </row>
    <row r="741" spans="1:11" s="45" customFormat="1" ht="15.75" hidden="1">
      <c r="A741" s="373" t="str">
        <f>IF(AND(COUNTIF($A$5:$A$133,R_DG!A615)=0,R_DG!R615&gt;0,ISNUMBER(R_DG!R615)),R_DG!A615,"NONE")</f>
        <v>NONE</v>
      </c>
      <c r="B741" s="85">
        <f ca="1">IF(K741&gt;0,COUNTIF(K$6:K741,"&gt;0"),B740)</f>
        <v>34</v>
      </c>
      <c r="C741" s="1084">
        <f t="shared" si="124"/>
        <v>0</v>
      </c>
      <c r="D741" s="85">
        <f t="shared" si="125"/>
        <v>0</v>
      </c>
      <c r="E741" s="448">
        <f ca="1">SUMIF(OFFSET(tongctvtdd1,0,-(COLUMN(E741)+7-(COLUMN(E741)-5)/2)),KLVT!$A741,tongctvtdd1)+SUMIF(OFFSET(tongctvtpk1,0,-(COLUMN(E741)+7-(COLUMN(E741)-5)/2)),KLVT!$A741,tongctvtpk1)</f>
        <v>0</v>
      </c>
      <c r="F741" s="449">
        <f ca="1">SUMIF(OFFSET(cttba_vlvt1_1,0,-9,-ROW(cttba_vlvt1_1)+ROW(cttba_vltb1_1)-10),KLVT!$A741,OFFSET(cttba_vlvt1_1,0,-4,-ROW(cttba_vlvt1_1)+ROW(cttba_vltb1_1)-10))</f>
        <v>0</v>
      </c>
      <c r="G741" s="451">
        <f t="shared" ca="1" si="120"/>
        <v>0</v>
      </c>
      <c r="H741" s="450">
        <f t="shared" si="121"/>
        <v>1</v>
      </c>
      <c r="I741" s="447">
        <f t="shared" ca="1" si="122"/>
        <v>0</v>
      </c>
      <c r="J741" s="447">
        <f t="shared" ca="1" si="123"/>
        <v>0</v>
      </c>
      <c r="K741" s="373">
        <f t="shared" ca="1" si="119"/>
        <v>0</v>
      </c>
    </row>
    <row r="742" spans="1:11" s="45" customFormat="1" ht="15.75" hidden="1">
      <c r="A742" s="373" t="str">
        <f>IF(AND(COUNTIF($A$5:$A$133,R_DG!A616)=0,R_DG!R616&gt;0,ISNUMBER(R_DG!R616)),R_DG!A616,"NONE")</f>
        <v>NONE</v>
      </c>
      <c r="B742" s="85">
        <f ca="1">IF(K742&gt;0,COUNTIF(K$6:K742,"&gt;0"),B741)</f>
        <v>34</v>
      </c>
      <c r="C742" s="1084">
        <f t="shared" si="124"/>
        <v>0</v>
      </c>
      <c r="D742" s="85">
        <f t="shared" si="125"/>
        <v>0</v>
      </c>
      <c r="E742" s="448">
        <f ca="1">SUMIF(OFFSET(tongctvtdd1,0,-(COLUMN(E742)+7-(COLUMN(E742)-5)/2)),KLVT!$A742,tongctvtdd1)+SUMIF(OFFSET(tongctvtpk1,0,-(COLUMN(E742)+7-(COLUMN(E742)-5)/2)),KLVT!$A742,tongctvtpk1)</f>
        <v>0</v>
      </c>
      <c r="F742" s="449">
        <f ca="1">SUMIF(OFFSET(cttba_vlvt1_1,0,-9,-ROW(cttba_vlvt1_1)+ROW(cttba_vltb1_1)-10),KLVT!$A742,OFFSET(cttba_vlvt1_1,0,-4,-ROW(cttba_vlvt1_1)+ROW(cttba_vltb1_1)-10))</f>
        <v>0</v>
      </c>
      <c r="G742" s="451">
        <f t="shared" ca="1" si="120"/>
        <v>0</v>
      </c>
      <c r="H742" s="450">
        <f t="shared" si="121"/>
        <v>1</v>
      </c>
      <c r="I742" s="447">
        <f t="shared" ca="1" si="122"/>
        <v>0</v>
      </c>
      <c r="J742" s="447">
        <f t="shared" ca="1" si="123"/>
        <v>0</v>
      </c>
      <c r="K742" s="373">
        <f t="shared" ca="1" si="119"/>
        <v>0</v>
      </c>
    </row>
    <row r="743" spans="1:11" s="45" customFormat="1" ht="15.75" hidden="1">
      <c r="A743" s="373" t="str">
        <f>IF(AND(COUNTIF($A$5:$A$133,R_DG!A617)=0,R_DG!R617&gt;0,ISNUMBER(R_DG!R617)),R_DG!A617,"NONE")</f>
        <v>NONE</v>
      </c>
      <c r="B743" s="85">
        <f ca="1">IF(K743&gt;0,COUNTIF(K$6:K743,"&gt;0"),B742)</f>
        <v>34</v>
      </c>
      <c r="C743" s="1084">
        <f t="shared" si="124"/>
        <v>0</v>
      </c>
      <c r="D743" s="85">
        <f t="shared" si="125"/>
        <v>0</v>
      </c>
      <c r="E743" s="448">
        <f ca="1">SUMIF(OFFSET(tongctvtdd1,0,-(COLUMN(E743)+7-(COLUMN(E743)-5)/2)),KLVT!$A743,tongctvtdd1)+SUMIF(OFFSET(tongctvtpk1,0,-(COLUMN(E743)+7-(COLUMN(E743)-5)/2)),KLVT!$A743,tongctvtpk1)</f>
        <v>0</v>
      </c>
      <c r="F743" s="449">
        <f ca="1">SUMIF(OFFSET(cttba_vlvt1_1,0,-9,-ROW(cttba_vlvt1_1)+ROW(cttba_vltb1_1)-10),KLVT!$A743,OFFSET(cttba_vlvt1_1,0,-4,-ROW(cttba_vlvt1_1)+ROW(cttba_vltb1_1)-10))</f>
        <v>0</v>
      </c>
      <c r="G743" s="451">
        <f t="shared" ca="1" si="120"/>
        <v>0</v>
      </c>
      <c r="H743" s="450">
        <f t="shared" si="121"/>
        <v>1</v>
      </c>
      <c r="I743" s="447">
        <f t="shared" ca="1" si="122"/>
        <v>0</v>
      </c>
      <c r="J743" s="447">
        <f t="shared" ca="1" si="123"/>
        <v>0</v>
      </c>
      <c r="K743" s="373">
        <f t="shared" ca="1" si="119"/>
        <v>0</v>
      </c>
    </row>
    <row r="744" spans="1:11" s="45" customFormat="1" ht="15.75" hidden="1">
      <c r="A744" s="373" t="str">
        <f>IF(AND(COUNTIF($A$5:$A$133,R_DG!A618)=0,R_DG!R618&gt;0,ISNUMBER(R_DG!R618)),R_DG!A618,"NONE")</f>
        <v>NONE</v>
      </c>
      <c r="B744" s="85">
        <f ca="1">IF(K744&gt;0,COUNTIF(K$6:K744,"&gt;0"),B743)</f>
        <v>34</v>
      </c>
      <c r="C744" s="1084">
        <f t="shared" si="124"/>
        <v>0</v>
      </c>
      <c r="D744" s="85">
        <f t="shared" si="125"/>
        <v>0</v>
      </c>
      <c r="E744" s="448">
        <f ca="1">SUMIF(OFFSET(tongctvtdd1,0,-(COLUMN(E744)+7-(COLUMN(E744)-5)/2)),KLVT!$A744,tongctvtdd1)+SUMIF(OFFSET(tongctvtpk1,0,-(COLUMN(E744)+7-(COLUMN(E744)-5)/2)),KLVT!$A744,tongctvtpk1)</f>
        <v>0</v>
      </c>
      <c r="F744" s="449">
        <f ca="1">SUMIF(OFFSET(cttba_vlvt1_1,0,-9,-ROW(cttba_vlvt1_1)+ROW(cttba_vltb1_1)-10),KLVT!$A744,OFFSET(cttba_vlvt1_1,0,-4,-ROW(cttba_vlvt1_1)+ROW(cttba_vltb1_1)-10))</f>
        <v>0</v>
      </c>
      <c r="G744" s="451">
        <f t="shared" ca="1" si="120"/>
        <v>0</v>
      </c>
      <c r="H744" s="450">
        <f t="shared" si="121"/>
        <v>1</v>
      </c>
      <c r="I744" s="447">
        <f t="shared" ca="1" si="122"/>
        <v>0</v>
      </c>
      <c r="J744" s="447">
        <f t="shared" ca="1" si="123"/>
        <v>0</v>
      </c>
      <c r="K744" s="373">
        <f t="shared" ca="1" si="119"/>
        <v>0</v>
      </c>
    </row>
    <row r="745" spans="1:11" s="45" customFormat="1" ht="15.75" hidden="1">
      <c r="A745" s="373" t="str">
        <f>IF(AND(COUNTIF($A$5:$A$133,R_DG!A619)=0,R_DG!R619&gt;0,ISNUMBER(R_DG!R619)),R_DG!A619,"NONE")</f>
        <v>NONE</v>
      </c>
      <c r="B745" s="85">
        <f ca="1">IF(K745&gt;0,COUNTIF(K$6:K745,"&gt;0"),B744)</f>
        <v>34</v>
      </c>
      <c r="C745" s="1084">
        <f t="shared" si="124"/>
        <v>0</v>
      </c>
      <c r="D745" s="85">
        <f t="shared" si="125"/>
        <v>0</v>
      </c>
      <c r="E745" s="448">
        <f ca="1">SUMIF(OFFSET(tongctvtdd1,0,-(COLUMN(E745)+7-(COLUMN(E745)-5)/2)),KLVT!$A745,tongctvtdd1)+SUMIF(OFFSET(tongctvtpk1,0,-(COLUMN(E745)+7-(COLUMN(E745)-5)/2)),KLVT!$A745,tongctvtpk1)</f>
        <v>0</v>
      </c>
      <c r="F745" s="449">
        <f ca="1">SUMIF(OFFSET(cttba_vlvt1_1,0,-9,-ROW(cttba_vlvt1_1)+ROW(cttba_vltb1_1)-10),KLVT!$A745,OFFSET(cttba_vlvt1_1,0,-4,-ROW(cttba_vlvt1_1)+ROW(cttba_vltb1_1)-10))</f>
        <v>0</v>
      </c>
      <c r="G745" s="451">
        <f t="shared" ca="1" si="120"/>
        <v>0</v>
      </c>
      <c r="H745" s="450">
        <f t="shared" si="121"/>
        <v>1</v>
      </c>
      <c r="I745" s="447">
        <f t="shared" ca="1" si="122"/>
        <v>0</v>
      </c>
      <c r="J745" s="447">
        <f t="shared" ca="1" si="123"/>
        <v>0</v>
      </c>
      <c r="K745" s="373">
        <f t="shared" ca="1" si="119"/>
        <v>0</v>
      </c>
    </row>
    <row r="746" spans="1:11" s="45" customFormat="1" ht="15.75" hidden="1">
      <c r="A746" s="373" t="str">
        <f>IF(AND(COUNTIF($A$5:$A$133,R_DG!A620)=0,R_DG!R620&gt;0,ISNUMBER(R_DG!R620)),R_DG!A620,"NONE")</f>
        <v>NONE</v>
      </c>
      <c r="B746" s="85">
        <f ca="1">IF(K746&gt;0,COUNTIF(K$6:K746,"&gt;0"),B745)</f>
        <v>34</v>
      </c>
      <c r="C746" s="1084">
        <f t="shared" si="124"/>
        <v>0</v>
      </c>
      <c r="D746" s="85">
        <f t="shared" si="125"/>
        <v>0</v>
      </c>
      <c r="E746" s="448">
        <f ca="1">SUMIF(OFFSET(tongctvtdd1,0,-(COLUMN(E746)+7-(COLUMN(E746)-5)/2)),KLVT!$A746,tongctvtdd1)+SUMIF(OFFSET(tongctvtpk1,0,-(COLUMN(E746)+7-(COLUMN(E746)-5)/2)),KLVT!$A746,tongctvtpk1)</f>
        <v>0</v>
      </c>
      <c r="F746" s="449">
        <f ca="1">SUMIF(OFFSET(cttba_vlvt1_1,0,-9,-ROW(cttba_vlvt1_1)+ROW(cttba_vltb1_1)-10),KLVT!$A746,OFFSET(cttba_vlvt1_1,0,-4,-ROW(cttba_vlvt1_1)+ROW(cttba_vltb1_1)-10))</f>
        <v>0</v>
      </c>
      <c r="G746" s="451">
        <f t="shared" ca="1" si="120"/>
        <v>0</v>
      </c>
      <c r="H746" s="450">
        <f t="shared" si="121"/>
        <v>1</v>
      </c>
      <c r="I746" s="447">
        <f t="shared" ca="1" si="122"/>
        <v>0</v>
      </c>
      <c r="J746" s="447">
        <f t="shared" ca="1" si="123"/>
        <v>0</v>
      </c>
      <c r="K746" s="373">
        <f t="shared" ca="1" si="119"/>
        <v>0</v>
      </c>
    </row>
    <row r="747" spans="1:11" s="45" customFormat="1" ht="15.75" hidden="1">
      <c r="A747" s="373" t="str">
        <f>IF(AND(COUNTIF($A$5:$A$133,R_DG!A621)=0,R_DG!R621&gt;0,ISNUMBER(R_DG!R621)),R_DG!A621,"NONE")</f>
        <v>NONE</v>
      </c>
      <c r="B747" s="85">
        <f ca="1">IF(K747&gt;0,COUNTIF(K$6:K747,"&gt;0"),B746)</f>
        <v>34</v>
      </c>
      <c r="C747" s="1084">
        <f t="shared" si="124"/>
        <v>0</v>
      </c>
      <c r="D747" s="85">
        <f t="shared" si="125"/>
        <v>0</v>
      </c>
      <c r="E747" s="448">
        <f ca="1">SUMIF(OFFSET(tongctvtdd1,0,-(COLUMN(E747)+7-(COLUMN(E747)-5)/2)),KLVT!$A747,tongctvtdd1)+SUMIF(OFFSET(tongctvtpk1,0,-(COLUMN(E747)+7-(COLUMN(E747)-5)/2)),KLVT!$A747,tongctvtpk1)</f>
        <v>0</v>
      </c>
      <c r="F747" s="449">
        <f ca="1">SUMIF(OFFSET(cttba_vlvt1_1,0,-9,-ROW(cttba_vlvt1_1)+ROW(cttba_vltb1_1)-10),KLVT!$A747,OFFSET(cttba_vlvt1_1,0,-4,-ROW(cttba_vlvt1_1)+ROW(cttba_vltb1_1)-10))</f>
        <v>0</v>
      </c>
      <c r="G747" s="451">
        <f t="shared" ca="1" si="120"/>
        <v>0</v>
      </c>
      <c r="H747" s="450">
        <f t="shared" si="121"/>
        <v>1</v>
      </c>
      <c r="I747" s="447">
        <f t="shared" ca="1" si="122"/>
        <v>0</v>
      </c>
      <c r="J747" s="447">
        <f t="shared" ca="1" si="123"/>
        <v>0</v>
      </c>
      <c r="K747" s="373">
        <f t="shared" ca="1" si="119"/>
        <v>0</v>
      </c>
    </row>
    <row r="748" spans="1:11" s="45" customFormat="1" ht="15.75" hidden="1">
      <c r="A748" s="373" t="str">
        <f>IF(AND(COUNTIF($A$5:$A$133,R_DG!A622)=0,R_DG!R622&gt;0,ISNUMBER(R_DG!R622)),R_DG!A622,"NONE")</f>
        <v>NONE</v>
      </c>
      <c r="B748" s="85">
        <f ca="1">IF(K748&gt;0,COUNTIF(K$6:K748,"&gt;0"),B747)</f>
        <v>34</v>
      </c>
      <c r="C748" s="1084">
        <f t="shared" si="124"/>
        <v>0</v>
      </c>
      <c r="D748" s="85">
        <f t="shared" si="125"/>
        <v>0</v>
      </c>
      <c r="E748" s="448">
        <f ca="1">SUMIF(OFFSET(tongctvtdd1,0,-(COLUMN(E748)+7-(COLUMN(E748)-5)/2)),KLVT!$A748,tongctvtdd1)+SUMIF(OFFSET(tongctvtpk1,0,-(COLUMN(E748)+7-(COLUMN(E748)-5)/2)),KLVT!$A748,tongctvtpk1)</f>
        <v>0</v>
      </c>
      <c r="F748" s="449">
        <f ca="1">SUMIF(OFFSET(cttba_vlvt1_1,0,-9,-ROW(cttba_vlvt1_1)+ROW(cttba_vltb1_1)-10),KLVT!$A748,OFFSET(cttba_vlvt1_1,0,-4,-ROW(cttba_vlvt1_1)+ROW(cttba_vltb1_1)-10))</f>
        <v>0</v>
      </c>
      <c r="G748" s="451">
        <f t="shared" ca="1" si="120"/>
        <v>0</v>
      </c>
      <c r="H748" s="450">
        <f t="shared" si="121"/>
        <v>1</v>
      </c>
      <c r="I748" s="447">
        <f t="shared" ca="1" si="122"/>
        <v>0</v>
      </c>
      <c r="J748" s="447">
        <f t="shared" ca="1" si="123"/>
        <v>0</v>
      </c>
      <c r="K748" s="373">
        <f t="shared" ca="1" si="119"/>
        <v>0</v>
      </c>
    </row>
    <row r="749" spans="1:11" s="45" customFormat="1" ht="15.75" hidden="1">
      <c r="A749" s="373" t="str">
        <f>IF(AND(COUNTIF($A$5:$A$133,R_DG!A623)=0,R_DG!R623&gt;0,ISNUMBER(R_DG!R623)),R_DG!A623,"NONE")</f>
        <v>NONE</v>
      </c>
      <c r="B749" s="85">
        <f ca="1">IF(K749&gt;0,COUNTIF(K$6:K749,"&gt;0"),B748)</f>
        <v>34</v>
      </c>
      <c r="C749" s="1084">
        <f t="shared" si="124"/>
        <v>0</v>
      </c>
      <c r="D749" s="85">
        <f t="shared" si="125"/>
        <v>0</v>
      </c>
      <c r="E749" s="448">
        <f ca="1">SUMIF(OFFSET(tongctvtdd1,0,-(COLUMN(E749)+7-(COLUMN(E749)-5)/2)),KLVT!$A749,tongctvtdd1)+SUMIF(OFFSET(tongctvtpk1,0,-(COLUMN(E749)+7-(COLUMN(E749)-5)/2)),KLVT!$A749,tongctvtpk1)</f>
        <v>0</v>
      </c>
      <c r="F749" s="449">
        <f ca="1">SUMIF(OFFSET(cttba_vlvt1_1,0,-9,-ROW(cttba_vlvt1_1)+ROW(cttba_vltb1_1)-10),KLVT!$A749,OFFSET(cttba_vlvt1_1,0,-4,-ROW(cttba_vlvt1_1)+ROW(cttba_vltb1_1)-10))</f>
        <v>0</v>
      </c>
      <c r="G749" s="451">
        <f t="shared" ca="1" si="120"/>
        <v>0</v>
      </c>
      <c r="H749" s="450">
        <f t="shared" si="121"/>
        <v>1</v>
      </c>
      <c r="I749" s="447">
        <f t="shared" ca="1" si="122"/>
        <v>0</v>
      </c>
      <c r="J749" s="447">
        <f t="shared" ca="1" si="123"/>
        <v>0</v>
      </c>
      <c r="K749" s="373">
        <f t="shared" ca="1" si="119"/>
        <v>0</v>
      </c>
    </row>
    <row r="750" spans="1:11" s="45" customFormat="1" ht="15.75" hidden="1">
      <c r="A750" s="373" t="str">
        <f>IF(AND(COUNTIF($A$5:$A$133,R_DG!A624)=0,R_DG!R624&gt;0,ISNUMBER(R_DG!R624)),R_DG!A624,"NONE")</f>
        <v>NONE</v>
      </c>
      <c r="B750" s="85">
        <f ca="1">IF(K750&gt;0,COUNTIF(K$6:K750,"&gt;0"),B749)</f>
        <v>34</v>
      </c>
      <c r="C750" s="1084">
        <f t="shared" si="124"/>
        <v>0</v>
      </c>
      <c r="D750" s="85">
        <f t="shared" si="125"/>
        <v>0</v>
      </c>
      <c r="E750" s="448">
        <f ca="1">SUMIF(OFFSET(tongctvtdd1,0,-(COLUMN(E750)+7-(COLUMN(E750)-5)/2)),KLVT!$A750,tongctvtdd1)+SUMIF(OFFSET(tongctvtpk1,0,-(COLUMN(E750)+7-(COLUMN(E750)-5)/2)),KLVT!$A750,tongctvtpk1)</f>
        <v>0</v>
      </c>
      <c r="F750" s="449">
        <f ca="1">SUMIF(OFFSET(cttba_vlvt1_1,0,-9,-ROW(cttba_vlvt1_1)+ROW(cttba_vltb1_1)-10),KLVT!$A750,OFFSET(cttba_vlvt1_1,0,-4,-ROW(cttba_vlvt1_1)+ROW(cttba_vltb1_1)-10))</f>
        <v>0</v>
      </c>
      <c r="G750" s="451">
        <f t="shared" ca="1" si="120"/>
        <v>0</v>
      </c>
      <c r="H750" s="450">
        <f t="shared" si="121"/>
        <v>1</v>
      </c>
      <c r="I750" s="447">
        <f t="shared" ca="1" si="122"/>
        <v>0</v>
      </c>
      <c r="J750" s="447">
        <f t="shared" ca="1" si="123"/>
        <v>0</v>
      </c>
      <c r="K750" s="373">
        <f t="shared" ca="1" si="119"/>
        <v>0</v>
      </c>
    </row>
    <row r="751" spans="1:11" s="45" customFormat="1" ht="15.75" hidden="1">
      <c r="A751" s="373" t="str">
        <f>IF(AND(COUNTIF($A$5:$A$133,R_DG!A625)=0,R_DG!R625&gt;0,ISNUMBER(R_DG!R625)),R_DG!A625,"NONE")</f>
        <v>NONE</v>
      </c>
      <c r="B751" s="85">
        <f ca="1">IF(K751&gt;0,COUNTIF(K$6:K751,"&gt;0"),B750)</f>
        <v>34</v>
      </c>
      <c r="C751" s="1084">
        <f t="shared" si="124"/>
        <v>0</v>
      </c>
      <c r="D751" s="85">
        <f t="shared" si="125"/>
        <v>0</v>
      </c>
      <c r="E751" s="448">
        <f ca="1">SUMIF(OFFSET(tongctvtdd1,0,-(COLUMN(E751)+7-(COLUMN(E751)-5)/2)),KLVT!$A751,tongctvtdd1)+SUMIF(OFFSET(tongctvtpk1,0,-(COLUMN(E751)+7-(COLUMN(E751)-5)/2)),KLVT!$A751,tongctvtpk1)</f>
        <v>0</v>
      </c>
      <c r="F751" s="449">
        <f ca="1">SUMIF(OFFSET(cttba_vlvt1_1,0,-9,-ROW(cttba_vlvt1_1)+ROW(cttba_vltb1_1)-10),KLVT!$A751,OFFSET(cttba_vlvt1_1,0,-4,-ROW(cttba_vlvt1_1)+ROW(cttba_vltb1_1)-10))</f>
        <v>0</v>
      </c>
      <c r="G751" s="451">
        <f t="shared" ca="1" si="120"/>
        <v>0</v>
      </c>
      <c r="H751" s="450">
        <f t="shared" si="121"/>
        <v>1</v>
      </c>
      <c r="I751" s="447">
        <f t="shared" ca="1" si="122"/>
        <v>0</v>
      </c>
      <c r="J751" s="447">
        <f t="shared" ca="1" si="123"/>
        <v>0</v>
      </c>
      <c r="K751" s="373">
        <f t="shared" ca="1" si="119"/>
        <v>0</v>
      </c>
    </row>
    <row r="752" spans="1:11" s="45" customFormat="1" ht="15.75" hidden="1">
      <c r="A752" s="373" t="str">
        <f>IF(AND(COUNTIF($A$5:$A$133,R_DG!A626)=0,R_DG!R626&gt;0,ISNUMBER(R_DG!R626)),R_DG!A626,"NONE")</f>
        <v>NONE</v>
      </c>
      <c r="B752" s="85">
        <f ca="1">IF(K752&gt;0,COUNTIF(K$6:K752,"&gt;0"),B751)</f>
        <v>34</v>
      </c>
      <c r="C752" s="1084">
        <f t="shared" si="124"/>
        <v>0</v>
      </c>
      <c r="D752" s="85">
        <f t="shared" si="125"/>
        <v>0</v>
      </c>
      <c r="E752" s="448">
        <f ca="1">SUMIF(OFFSET(tongctvtdd1,0,-(COLUMN(E752)+7-(COLUMN(E752)-5)/2)),KLVT!$A752,tongctvtdd1)+SUMIF(OFFSET(tongctvtpk1,0,-(COLUMN(E752)+7-(COLUMN(E752)-5)/2)),KLVT!$A752,tongctvtpk1)</f>
        <v>0</v>
      </c>
      <c r="F752" s="449">
        <f ca="1">SUMIF(OFFSET(cttba_vlvt1_1,0,-9,-ROW(cttba_vlvt1_1)+ROW(cttba_vltb1_1)-10),KLVT!$A752,OFFSET(cttba_vlvt1_1,0,-4,-ROW(cttba_vlvt1_1)+ROW(cttba_vltb1_1)-10))</f>
        <v>0</v>
      </c>
      <c r="G752" s="451">
        <f t="shared" ca="1" si="120"/>
        <v>0</v>
      </c>
      <c r="H752" s="450">
        <f t="shared" si="121"/>
        <v>1</v>
      </c>
      <c r="I752" s="447">
        <f t="shared" ca="1" si="122"/>
        <v>0</v>
      </c>
      <c r="J752" s="447">
        <f t="shared" ca="1" si="123"/>
        <v>0</v>
      </c>
      <c r="K752" s="374">
        <f t="shared" ca="1" si="119"/>
        <v>0</v>
      </c>
    </row>
    <row r="753" spans="1:11" s="45" customFormat="1" ht="15.75" hidden="1">
      <c r="A753" s="373" t="str">
        <f>IF(AND(COUNTIF($A$5:$A$133,R_DG!A627)=0,R_DG!R627&gt;0,ISNUMBER(R_DG!R627)),R_DG!A627,"NONE")</f>
        <v>NONE</v>
      </c>
      <c r="B753" s="85">
        <f ca="1">IF(K753&gt;0,COUNTIF(K$6:K753,"&gt;0"),B752)</f>
        <v>34</v>
      </c>
      <c r="C753" s="1084">
        <f t="shared" si="124"/>
        <v>0</v>
      </c>
      <c r="D753" s="85">
        <f t="shared" si="125"/>
        <v>0</v>
      </c>
      <c r="E753" s="448">
        <f ca="1">SUMIF(OFFSET(tongctvtdd1,0,-(COLUMN(E753)+7-(COLUMN(E753)-5)/2)),KLVT!$A753,tongctvtdd1)+SUMIF(OFFSET(tongctvtpk1,0,-(COLUMN(E753)+7-(COLUMN(E753)-5)/2)),KLVT!$A753,tongctvtpk1)</f>
        <v>0</v>
      </c>
      <c r="F753" s="449">
        <f ca="1">SUMIF(OFFSET(cttba_vlvt1_1,0,-9,-ROW(cttba_vlvt1_1)+ROW(cttba_vltb1_1)-10),KLVT!$A753,OFFSET(cttba_vlvt1_1,0,-4,-ROW(cttba_vlvt1_1)+ROW(cttba_vltb1_1)-10))</f>
        <v>0</v>
      </c>
      <c r="G753" s="451">
        <f t="shared" ca="1" si="120"/>
        <v>0</v>
      </c>
      <c r="H753" s="450">
        <f t="shared" si="121"/>
        <v>1</v>
      </c>
      <c r="I753" s="447">
        <f t="shared" ca="1" si="122"/>
        <v>0</v>
      </c>
      <c r="J753" s="447">
        <f t="shared" ca="1" si="123"/>
        <v>0</v>
      </c>
      <c r="K753" s="374">
        <f t="shared" ca="1" si="119"/>
        <v>0</v>
      </c>
    </row>
    <row r="754" spans="1:11" s="45" customFormat="1" ht="15.75" hidden="1">
      <c r="A754" s="373" t="str">
        <f>IF(AND(COUNTIF($A$5:$A$133,R_DG!A628)=0,R_DG!R628&gt;0,ISNUMBER(R_DG!R628)),R_DG!A628,"NONE")</f>
        <v>NONE</v>
      </c>
      <c r="B754" s="85">
        <f ca="1">IF(K754&gt;0,COUNTIF(K$6:K754,"&gt;0"),B753)</f>
        <v>34</v>
      </c>
      <c r="C754" s="1084">
        <f t="shared" si="124"/>
        <v>0</v>
      </c>
      <c r="D754" s="85">
        <f t="shared" si="125"/>
        <v>0</v>
      </c>
      <c r="E754" s="448">
        <f ca="1">SUMIF(OFFSET(tongctvtdd1,0,-(COLUMN(E754)+7-(COLUMN(E754)-5)/2)),KLVT!$A754,tongctvtdd1)+SUMIF(OFFSET(tongctvtpk1,0,-(COLUMN(E754)+7-(COLUMN(E754)-5)/2)),KLVT!$A754,tongctvtpk1)</f>
        <v>0</v>
      </c>
      <c r="F754" s="449">
        <f ca="1">SUMIF(OFFSET(cttba_vlvt1_1,0,-9,-ROW(cttba_vlvt1_1)+ROW(cttba_vltb1_1)-10),KLVT!$A754,OFFSET(cttba_vlvt1_1,0,-4,-ROW(cttba_vlvt1_1)+ROW(cttba_vltb1_1)-10))</f>
        <v>0</v>
      </c>
      <c r="G754" s="451">
        <f t="shared" ca="1" si="120"/>
        <v>0</v>
      </c>
      <c r="H754" s="450">
        <f t="shared" si="121"/>
        <v>1</v>
      </c>
      <c r="I754" s="447">
        <f t="shared" ca="1" si="122"/>
        <v>0</v>
      </c>
      <c r="J754" s="447">
        <f t="shared" ca="1" si="123"/>
        <v>0</v>
      </c>
      <c r="K754" s="373">
        <f t="shared" ca="1" si="119"/>
        <v>0</v>
      </c>
    </row>
    <row r="755" spans="1:11" s="45" customFormat="1" ht="15.75" hidden="1">
      <c r="A755" s="373" t="str">
        <f>IF(AND(COUNTIF($A$5:$A$133,R_DG!A629)=0,R_DG!R629&gt;0,ISNUMBER(R_DG!R629)),R_DG!A629,"NONE")</f>
        <v>NONE</v>
      </c>
      <c r="B755" s="85">
        <f ca="1">IF(K755&gt;0,COUNTIF(K$6:K755,"&gt;0"),B754)</f>
        <v>34</v>
      </c>
      <c r="C755" s="1084">
        <f t="shared" si="124"/>
        <v>0</v>
      </c>
      <c r="D755" s="85">
        <f t="shared" si="125"/>
        <v>0</v>
      </c>
      <c r="E755" s="448">
        <f ca="1">SUMIF(OFFSET(tongctvtdd1,0,-(COLUMN(E755)+7-(COLUMN(E755)-5)/2)),KLVT!$A755,tongctvtdd1)+SUMIF(OFFSET(tongctvtpk1,0,-(COLUMN(E755)+7-(COLUMN(E755)-5)/2)),KLVT!$A755,tongctvtpk1)</f>
        <v>0</v>
      </c>
      <c r="F755" s="449">
        <f ca="1">SUMIF(OFFSET(cttba_vlvt1_1,0,-9,-ROW(cttba_vlvt1_1)+ROW(cttba_vltb1_1)-10),KLVT!$A755,OFFSET(cttba_vlvt1_1,0,-4,-ROW(cttba_vlvt1_1)+ROW(cttba_vltb1_1)-10))</f>
        <v>0</v>
      </c>
      <c r="G755" s="451">
        <f t="shared" ca="1" si="120"/>
        <v>0</v>
      </c>
      <c r="H755" s="450">
        <f t="shared" si="121"/>
        <v>1</v>
      </c>
      <c r="I755" s="447">
        <f t="shared" ca="1" si="122"/>
        <v>0</v>
      </c>
      <c r="J755" s="447">
        <f t="shared" ca="1" si="123"/>
        <v>0</v>
      </c>
      <c r="K755" s="373">
        <f t="shared" ca="1" si="119"/>
        <v>0</v>
      </c>
    </row>
    <row r="756" spans="1:11" s="45" customFormat="1" ht="15.75" hidden="1">
      <c r="A756" s="373" t="str">
        <f>IF(AND(COUNTIF($A$5:$A$133,R_DG!A630)=0,R_DG!R630&gt;0,ISNUMBER(R_DG!R630)),R_DG!A630,"NONE")</f>
        <v>NONE</v>
      </c>
      <c r="B756" s="85">
        <f ca="1">IF(K756&gt;0,COUNTIF(K$6:K756,"&gt;0"),B755)</f>
        <v>34</v>
      </c>
      <c r="C756" s="1084">
        <f t="shared" si="124"/>
        <v>0</v>
      </c>
      <c r="D756" s="85">
        <f t="shared" si="125"/>
        <v>0</v>
      </c>
      <c r="E756" s="448">
        <f ca="1">SUMIF(OFFSET(tongctvtdd1,0,-(COLUMN(E756)+7-(COLUMN(E756)-5)/2)),KLVT!$A756,tongctvtdd1)+SUMIF(OFFSET(tongctvtpk1,0,-(COLUMN(E756)+7-(COLUMN(E756)-5)/2)),KLVT!$A756,tongctvtpk1)</f>
        <v>0</v>
      </c>
      <c r="F756" s="449">
        <f ca="1">SUMIF(OFFSET(cttba_vlvt1_1,0,-9,-ROW(cttba_vlvt1_1)+ROW(cttba_vltb1_1)-10),KLVT!$A756,OFFSET(cttba_vlvt1_1,0,-4,-ROW(cttba_vlvt1_1)+ROW(cttba_vltb1_1)-10))</f>
        <v>0</v>
      </c>
      <c r="G756" s="451">
        <f t="shared" ca="1" si="120"/>
        <v>0</v>
      </c>
      <c r="H756" s="450">
        <f t="shared" si="121"/>
        <v>1</v>
      </c>
      <c r="I756" s="447">
        <f t="shared" ca="1" si="122"/>
        <v>0</v>
      </c>
      <c r="J756" s="447">
        <f t="shared" ca="1" si="123"/>
        <v>0</v>
      </c>
      <c r="K756" s="374">
        <f t="shared" ca="1" si="119"/>
        <v>0</v>
      </c>
    </row>
    <row r="757" spans="1:11" s="45" customFormat="1" ht="15.75" hidden="1">
      <c r="A757" s="373" t="str">
        <f>IF(AND(COUNTIF($A$5:$A$133,R_DG!A631)=0,R_DG!R631&gt;0,ISNUMBER(R_DG!R631)),R_DG!A631,"NONE")</f>
        <v>NONE</v>
      </c>
      <c r="B757" s="85">
        <f ca="1">IF(K757&gt;0,COUNTIF(K$6:K757,"&gt;0"),B756)</f>
        <v>34</v>
      </c>
      <c r="C757" s="1084">
        <f t="shared" si="124"/>
        <v>0</v>
      </c>
      <c r="D757" s="85">
        <f t="shared" si="125"/>
        <v>0</v>
      </c>
      <c r="E757" s="448">
        <f ca="1">SUMIF(OFFSET(tongctvtdd1,0,-(COLUMN(E757)+7-(COLUMN(E757)-5)/2)),KLVT!$A757,tongctvtdd1)+SUMIF(OFFSET(tongctvtpk1,0,-(COLUMN(E757)+7-(COLUMN(E757)-5)/2)),KLVT!$A757,tongctvtpk1)</f>
        <v>0</v>
      </c>
      <c r="F757" s="449">
        <f ca="1">SUMIF(OFFSET(cttba_vlvt1_1,0,-9,-ROW(cttba_vlvt1_1)+ROW(cttba_vltb1_1)-10),KLVT!$A757,OFFSET(cttba_vlvt1_1,0,-4,-ROW(cttba_vlvt1_1)+ROW(cttba_vltb1_1)-10))</f>
        <v>0</v>
      </c>
      <c r="G757" s="451">
        <f t="shared" ca="1" si="120"/>
        <v>0</v>
      </c>
      <c r="H757" s="450">
        <f t="shared" si="121"/>
        <v>1</v>
      </c>
      <c r="I757" s="447">
        <f t="shared" ca="1" si="122"/>
        <v>0</v>
      </c>
      <c r="J757" s="447">
        <f t="shared" ca="1" si="123"/>
        <v>0</v>
      </c>
      <c r="K757" s="374">
        <f t="shared" ca="1" si="119"/>
        <v>0</v>
      </c>
    </row>
    <row r="758" spans="1:11" s="45" customFormat="1" ht="15.75" hidden="1">
      <c r="A758" s="373" t="str">
        <f>IF(AND(COUNTIF($A$5:$A$133,R_DG!A632)=0,R_DG!R632&gt;0,ISNUMBER(R_DG!R632)),R_DG!A632,"NONE")</f>
        <v>NONE</v>
      </c>
      <c r="B758" s="85">
        <f ca="1">IF(K758&gt;0,COUNTIF(K$6:K758,"&gt;0"),B757)</f>
        <v>34</v>
      </c>
      <c r="C758" s="1084">
        <f t="shared" si="124"/>
        <v>0</v>
      </c>
      <c r="D758" s="85">
        <f t="shared" si="125"/>
        <v>0</v>
      </c>
      <c r="E758" s="448">
        <f ca="1">SUMIF(OFFSET(tongctvtdd1,0,-(COLUMN(E758)+7-(COLUMN(E758)-5)/2)),KLVT!$A758,tongctvtdd1)+SUMIF(OFFSET(tongctvtpk1,0,-(COLUMN(E758)+7-(COLUMN(E758)-5)/2)),KLVT!$A758,tongctvtpk1)</f>
        <v>0</v>
      </c>
      <c r="F758" s="449">
        <f ca="1">SUMIF(OFFSET(cttba_vlvt1_1,0,-9,-ROW(cttba_vlvt1_1)+ROW(cttba_vltb1_1)-10),KLVT!$A758,OFFSET(cttba_vlvt1_1,0,-4,-ROW(cttba_vlvt1_1)+ROW(cttba_vltb1_1)-10))</f>
        <v>0</v>
      </c>
      <c r="G758" s="451">
        <f t="shared" ca="1" si="120"/>
        <v>0</v>
      </c>
      <c r="H758" s="450">
        <f t="shared" si="121"/>
        <v>1</v>
      </c>
      <c r="I758" s="447">
        <f t="shared" ca="1" si="122"/>
        <v>0</v>
      </c>
      <c r="J758" s="447">
        <f t="shared" ca="1" si="123"/>
        <v>0</v>
      </c>
      <c r="K758" s="373">
        <f t="shared" ca="1" si="119"/>
        <v>0</v>
      </c>
    </row>
    <row r="759" spans="1:11" s="45" customFormat="1" ht="15.75" hidden="1">
      <c r="A759" s="373" t="str">
        <f>IF(AND(COUNTIF($A$5:$A$133,R_DG!A633)=0,R_DG!R633&gt;0,ISNUMBER(R_DG!R633)),R_DG!A633,"NONE")</f>
        <v>NONE</v>
      </c>
      <c r="B759" s="85">
        <f ca="1">IF(K759&gt;0,COUNTIF(K$6:K759,"&gt;0"),B758)</f>
        <v>34</v>
      </c>
      <c r="C759" s="1084">
        <f t="shared" si="124"/>
        <v>0</v>
      </c>
      <c r="D759" s="85">
        <f t="shared" si="125"/>
        <v>0</v>
      </c>
      <c r="E759" s="448">
        <f ca="1">SUMIF(OFFSET(tongctvtdd1,0,-(COLUMN(E759)+7-(COLUMN(E759)-5)/2)),KLVT!$A759,tongctvtdd1)+SUMIF(OFFSET(tongctvtpk1,0,-(COLUMN(E759)+7-(COLUMN(E759)-5)/2)),KLVT!$A759,tongctvtpk1)</f>
        <v>0</v>
      </c>
      <c r="F759" s="449">
        <f ca="1">SUMIF(OFFSET(cttba_vlvt1_1,0,-9,-ROW(cttba_vlvt1_1)+ROW(cttba_vltb1_1)-10),KLVT!$A759,OFFSET(cttba_vlvt1_1,0,-4,-ROW(cttba_vlvt1_1)+ROW(cttba_vltb1_1)-10))</f>
        <v>0</v>
      </c>
      <c r="G759" s="451">
        <f t="shared" ca="1" si="120"/>
        <v>0</v>
      </c>
      <c r="H759" s="450">
        <f t="shared" si="121"/>
        <v>1</v>
      </c>
      <c r="I759" s="447">
        <f t="shared" ca="1" si="122"/>
        <v>0</v>
      </c>
      <c r="J759" s="447">
        <f t="shared" ca="1" si="123"/>
        <v>0</v>
      </c>
      <c r="K759" s="373">
        <f t="shared" ca="1" si="119"/>
        <v>0</v>
      </c>
    </row>
    <row r="760" spans="1:11" s="45" customFormat="1" ht="15.75" hidden="1">
      <c r="A760" s="373" t="str">
        <f>IF(AND(COUNTIF($A$5:$A$133,R_DG!A634)=0,R_DG!R634&gt;0,ISNUMBER(R_DG!R634)),R_DG!A634,"NONE")</f>
        <v>NONE</v>
      </c>
      <c r="B760" s="85">
        <f ca="1">IF(K760&gt;0,COUNTIF(K$6:K760,"&gt;0"),B759)</f>
        <v>34</v>
      </c>
      <c r="C760" s="1084">
        <f t="shared" si="124"/>
        <v>0</v>
      </c>
      <c r="D760" s="85">
        <f t="shared" si="125"/>
        <v>0</v>
      </c>
      <c r="E760" s="448">
        <f ca="1">SUMIF(OFFSET(tongctvtdd1,0,-(COLUMN(E760)+7-(COLUMN(E760)-5)/2)),KLVT!$A760,tongctvtdd1)+SUMIF(OFFSET(tongctvtpk1,0,-(COLUMN(E760)+7-(COLUMN(E760)-5)/2)),KLVT!$A760,tongctvtpk1)</f>
        <v>0</v>
      </c>
      <c r="F760" s="449">
        <f ca="1">SUMIF(OFFSET(cttba_vlvt1_1,0,-9,-ROW(cttba_vlvt1_1)+ROW(cttba_vltb1_1)-10),KLVT!$A760,OFFSET(cttba_vlvt1_1,0,-4,-ROW(cttba_vlvt1_1)+ROW(cttba_vltb1_1)-10))</f>
        <v>0</v>
      </c>
      <c r="G760" s="451">
        <f t="shared" ca="1" si="120"/>
        <v>0</v>
      </c>
      <c r="H760" s="450">
        <f t="shared" si="121"/>
        <v>1</v>
      </c>
      <c r="I760" s="447">
        <f t="shared" ca="1" si="122"/>
        <v>0</v>
      </c>
      <c r="J760" s="447">
        <f t="shared" ca="1" si="123"/>
        <v>0</v>
      </c>
      <c r="K760" s="373">
        <f t="shared" ca="1" si="119"/>
        <v>0</v>
      </c>
    </row>
    <row r="761" spans="1:11" s="45" customFormat="1" ht="15.75" hidden="1">
      <c r="A761" s="373" t="str">
        <f>IF(AND(COUNTIF($A$5:$A$133,R_DG!A635)=0,R_DG!R635&gt;0,ISNUMBER(R_DG!R635)),R_DG!A635,"NONE")</f>
        <v>NONE</v>
      </c>
      <c r="B761" s="85">
        <f ca="1">IF(K761&gt;0,COUNTIF(K$6:K761,"&gt;0"),B760)</f>
        <v>34</v>
      </c>
      <c r="C761" s="1084">
        <f t="shared" si="124"/>
        <v>0</v>
      </c>
      <c r="D761" s="85">
        <f t="shared" si="125"/>
        <v>0</v>
      </c>
      <c r="E761" s="448">
        <f ca="1">SUMIF(OFFSET(tongctvtdd1,0,-(COLUMN(E761)+7-(COLUMN(E761)-5)/2)),KLVT!$A761,tongctvtdd1)+SUMIF(OFFSET(tongctvtpk1,0,-(COLUMN(E761)+7-(COLUMN(E761)-5)/2)),KLVT!$A761,tongctvtpk1)</f>
        <v>0</v>
      </c>
      <c r="F761" s="449">
        <f ca="1">SUMIF(OFFSET(cttba_vlvt1_1,0,-9,-ROW(cttba_vlvt1_1)+ROW(cttba_vltb1_1)-10),KLVT!$A761,OFFSET(cttba_vlvt1_1,0,-4,-ROW(cttba_vlvt1_1)+ROW(cttba_vltb1_1)-10))</f>
        <v>0</v>
      </c>
      <c r="G761" s="451">
        <f t="shared" ca="1" si="120"/>
        <v>0</v>
      </c>
      <c r="H761" s="450">
        <f t="shared" si="121"/>
        <v>1</v>
      </c>
      <c r="I761" s="447">
        <f t="shared" ca="1" si="122"/>
        <v>0</v>
      </c>
      <c r="J761" s="447">
        <f t="shared" ca="1" si="123"/>
        <v>0</v>
      </c>
      <c r="K761" s="373">
        <f t="shared" ca="1" si="119"/>
        <v>0</v>
      </c>
    </row>
    <row r="762" spans="1:11" s="45" customFormat="1" ht="15.75" hidden="1">
      <c r="A762" s="373" t="str">
        <f>IF(AND(COUNTIF($A$5:$A$133,R_DG!A636)=0,R_DG!R636&gt;0,ISNUMBER(R_DG!R636)),R_DG!A636,"NONE")</f>
        <v>NONE</v>
      </c>
      <c r="B762" s="85">
        <f ca="1">IF(K762&gt;0,COUNTIF(K$6:K762,"&gt;0"),B761)</f>
        <v>34</v>
      </c>
      <c r="C762" s="1084">
        <f t="shared" si="124"/>
        <v>0</v>
      </c>
      <c r="D762" s="85">
        <f t="shared" si="125"/>
        <v>0</v>
      </c>
      <c r="E762" s="448">
        <f ca="1">SUMIF(OFFSET(tongctvtdd1,0,-(COLUMN(E762)+7-(COLUMN(E762)-5)/2)),KLVT!$A762,tongctvtdd1)+SUMIF(OFFSET(tongctvtpk1,0,-(COLUMN(E762)+7-(COLUMN(E762)-5)/2)),KLVT!$A762,tongctvtpk1)</f>
        <v>0</v>
      </c>
      <c r="F762" s="449">
        <f ca="1">SUMIF(OFFSET(cttba_vlvt1_1,0,-9,-ROW(cttba_vlvt1_1)+ROW(cttba_vltb1_1)-10),KLVT!$A762,OFFSET(cttba_vlvt1_1,0,-4,-ROW(cttba_vlvt1_1)+ROW(cttba_vltb1_1)-10))</f>
        <v>0</v>
      </c>
      <c r="G762" s="451">
        <f t="shared" ca="1" si="120"/>
        <v>0</v>
      </c>
      <c r="H762" s="450">
        <f t="shared" si="121"/>
        <v>1</v>
      </c>
      <c r="I762" s="447">
        <f t="shared" ca="1" si="122"/>
        <v>0</v>
      </c>
      <c r="J762" s="447">
        <f t="shared" ca="1" si="123"/>
        <v>0</v>
      </c>
      <c r="K762" s="373">
        <f t="shared" ca="1" si="119"/>
        <v>0</v>
      </c>
    </row>
    <row r="763" spans="1:11" s="45" customFormat="1" ht="15.75" hidden="1">
      <c r="A763" s="373" t="str">
        <f>IF(AND(COUNTIF($A$5:$A$133,R_DG!A637)=0,R_DG!R637&gt;0,ISNUMBER(R_DG!R637)),R_DG!A637,"NONE")</f>
        <v>NONE</v>
      </c>
      <c r="B763" s="85">
        <f ca="1">IF(K763&gt;0,COUNTIF(K$6:K763,"&gt;0"),B762)</f>
        <v>34</v>
      </c>
      <c r="C763" s="1084">
        <f t="shared" si="124"/>
        <v>0</v>
      </c>
      <c r="D763" s="85">
        <f t="shared" si="125"/>
        <v>0</v>
      </c>
      <c r="E763" s="448">
        <f ca="1">SUMIF(OFFSET(tongctvtdd1,0,-(COLUMN(E763)+7-(COLUMN(E763)-5)/2)),KLVT!$A763,tongctvtdd1)+SUMIF(OFFSET(tongctvtpk1,0,-(COLUMN(E763)+7-(COLUMN(E763)-5)/2)),KLVT!$A763,tongctvtpk1)</f>
        <v>0</v>
      </c>
      <c r="F763" s="449">
        <f ca="1">SUMIF(OFFSET(cttba_vlvt1_1,0,-9,-ROW(cttba_vlvt1_1)+ROW(cttba_vltb1_1)-10),KLVT!$A763,OFFSET(cttba_vlvt1_1,0,-4,-ROW(cttba_vlvt1_1)+ROW(cttba_vltb1_1)-10))</f>
        <v>0</v>
      </c>
      <c r="G763" s="451">
        <f t="shared" ca="1" si="120"/>
        <v>0</v>
      </c>
      <c r="H763" s="450">
        <f t="shared" si="121"/>
        <v>1</v>
      </c>
      <c r="I763" s="447">
        <f t="shared" ca="1" si="122"/>
        <v>0</v>
      </c>
      <c r="J763" s="447">
        <f t="shared" ca="1" si="123"/>
        <v>0</v>
      </c>
      <c r="K763" s="373">
        <f t="shared" ca="1" si="119"/>
        <v>0</v>
      </c>
    </row>
    <row r="764" spans="1:11" s="45" customFormat="1" ht="15.75" hidden="1">
      <c r="A764" s="373" t="str">
        <f>IF(AND(COUNTIF($A$5:$A$133,R_DG!A638)=0,R_DG!R638&gt;0,ISNUMBER(R_DG!R638)),R_DG!A638,"NONE")</f>
        <v>NONE</v>
      </c>
      <c r="B764" s="85">
        <f ca="1">IF(K764&gt;0,COUNTIF(K$6:K764,"&gt;0"),B763)</f>
        <v>34</v>
      </c>
      <c r="C764" s="1084">
        <f t="shared" si="124"/>
        <v>0</v>
      </c>
      <c r="D764" s="85">
        <f t="shared" si="125"/>
        <v>0</v>
      </c>
      <c r="E764" s="448">
        <f ca="1">SUMIF(OFFSET(tongctvtdd1,0,-(COLUMN(E764)+7-(COLUMN(E764)-5)/2)),KLVT!$A764,tongctvtdd1)+SUMIF(OFFSET(tongctvtpk1,0,-(COLUMN(E764)+7-(COLUMN(E764)-5)/2)),KLVT!$A764,tongctvtpk1)</f>
        <v>0</v>
      </c>
      <c r="F764" s="449">
        <f ca="1">SUMIF(OFFSET(cttba_vlvt1_1,0,-9,-ROW(cttba_vlvt1_1)+ROW(cttba_vltb1_1)-10),KLVT!$A764,OFFSET(cttba_vlvt1_1,0,-4,-ROW(cttba_vlvt1_1)+ROW(cttba_vltb1_1)-10))</f>
        <v>0</v>
      </c>
      <c r="G764" s="451">
        <f t="shared" ca="1" si="120"/>
        <v>0</v>
      </c>
      <c r="H764" s="450">
        <f t="shared" si="121"/>
        <v>1</v>
      </c>
      <c r="I764" s="447">
        <f t="shared" ca="1" si="122"/>
        <v>0</v>
      </c>
      <c r="J764" s="447">
        <f t="shared" ca="1" si="123"/>
        <v>0</v>
      </c>
      <c r="K764" s="374">
        <f t="shared" ca="1" si="119"/>
        <v>0</v>
      </c>
    </row>
    <row r="765" spans="1:11" s="45" customFormat="1" ht="15.75" hidden="1">
      <c r="A765" s="373" t="str">
        <f>IF(AND(COUNTIF($A$5:$A$133,R_DG!A639)=0,R_DG!R639&gt;0,ISNUMBER(R_DG!R639)),R_DG!A639,"NONE")</f>
        <v>NONE</v>
      </c>
      <c r="B765" s="85">
        <f ca="1">IF(K765&gt;0,COUNTIF(K$6:K765,"&gt;0"),B764)</f>
        <v>34</v>
      </c>
      <c r="C765" s="1084">
        <f t="shared" si="124"/>
        <v>0</v>
      </c>
      <c r="D765" s="85">
        <f t="shared" si="125"/>
        <v>0</v>
      </c>
      <c r="E765" s="448">
        <f ca="1">SUMIF(OFFSET(tongctvtdd1,0,-(COLUMN(E765)+7-(COLUMN(E765)-5)/2)),KLVT!$A765,tongctvtdd1)+SUMIF(OFFSET(tongctvtpk1,0,-(COLUMN(E765)+7-(COLUMN(E765)-5)/2)),KLVT!$A765,tongctvtpk1)</f>
        <v>0</v>
      </c>
      <c r="F765" s="449">
        <f ca="1">SUMIF(OFFSET(cttba_vlvt1_1,0,-9,-ROW(cttba_vlvt1_1)+ROW(cttba_vltb1_1)-10),KLVT!$A765,OFFSET(cttba_vlvt1_1,0,-4,-ROW(cttba_vlvt1_1)+ROW(cttba_vltb1_1)-10))</f>
        <v>0</v>
      </c>
      <c r="G765" s="451">
        <f t="shared" ca="1" si="120"/>
        <v>0</v>
      </c>
      <c r="H765" s="450">
        <f t="shared" si="121"/>
        <v>1</v>
      </c>
      <c r="I765" s="447">
        <f t="shared" ca="1" si="122"/>
        <v>0</v>
      </c>
      <c r="J765" s="447">
        <f t="shared" ca="1" si="123"/>
        <v>0</v>
      </c>
      <c r="K765" s="374">
        <f t="shared" ref="K765:K828" ca="1" si="126">IF(G765&gt;0,1,0)</f>
        <v>0</v>
      </c>
    </row>
    <row r="766" spans="1:11" s="45" customFormat="1" ht="15.75" hidden="1">
      <c r="A766" s="373" t="str">
        <f>IF(AND(COUNTIF($A$5:$A$133,R_DG!A640)=0,R_DG!R640&gt;0,ISNUMBER(R_DG!R640)),R_DG!A640,"NONE")</f>
        <v>NONE</v>
      </c>
      <c r="B766" s="85">
        <f ca="1">IF(K766&gt;0,COUNTIF(K$6:K766,"&gt;0"),B765)</f>
        <v>34</v>
      </c>
      <c r="C766" s="1084">
        <f t="shared" si="124"/>
        <v>0</v>
      </c>
      <c r="D766" s="85">
        <f t="shared" si="125"/>
        <v>0</v>
      </c>
      <c r="E766" s="448">
        <f ca="1">SUMIF(OFFSET(tongctvtdd1,0,-(COLUMN(E766)+7-(COLUMN(E766)-5)/2)),KLVT!$A766,tongctvtdd1)+SUMIF(OFFSET(tongctvtpk1,0,-(COLUMN(E766)+7-(COLUMN(E766)-5)/2)),KLVT!$A766,tongctvtpk1)</f>
        <v>0</v>
      </c>
      <c r="F766" s="449">
        <f ca="1">SUMIF(OFFSET(cttba_vlvt1_1,0,-9,-ROW(cttba_vlvt1_1)+ROW(cttba_vltb1_1)-10),KLVT!$A766,OFFSET(cttba_vlvt1_1,0,-4,-ROW(cttba_vlvt1_1)+ROW(cttba_vltb1_1)-10))</f>
        <v>0</v>
      </c>
      <c r="G766" s="451">
        <f t="shared" ca="1" si="120"/>
        <v>0</v>
      </c>
      <c r="H766" s="450">
        <f t="shared" si="121"/>
        <v>1</v>
      </c>
      <c r="I766" s="447">
        <f t="shared" ca="1" si="122"/>
        <v>0</v>
      </c>
      <c r="J766" s="447">
        <f t="shared" ca="1" si="123"/>
        <v>0</v>
      </c>
      <c r="K766" s="373">
        <f t="shared" ca="1" si="126"/>
        <v>0</v>
      </c>
    </row>
    <row r="767" spans="1:11" s="45" customFormat="1" ht="15.75" hidden="1">
      <c r="A767" s="373" t="str">
        <f>IF(AND(COUNTIF($A$5:$A$133,R_DG!A641)=0,R_DG!R641&gt;0,ISNUMBER(R_DG!R641)),R_DG!A641,"NONE")</f>
        <v>NONE</v>
      </c>
      <c r="B767" s="85">
        <f ca="1">IF(K767&gt;0,COUNTIF(K$6:K767,"&gt;0"),B766)</f>
        <v>34</v>
      </c>
      <c r="C767" s="1084">
        <f t="shared" si="124"/>
        <v>0</v>
      </c>
      <c r="D767" s="85">
        <f t="shared" si="125"/>
        <v>0</v>
      </c>
      <c r="E767" s="448">
        <f ca="1">SUMIF(OFFSET(tongctvtdd1,0,-(COLUMN(E767)+7-(COLUMN(E767)-5)/2)),KLVT!$A767,tongctvtdd1)+SUMIF(OFFSET(tongctvtpk1,0,-(COLUMN(E767)+7-(COLUMN(E767)-5)/2)),KLVT!$A767,tongctvtpk1)</f>
        <v>0</v>
      </c>
      <c r="F767" s="449">
        <f ca="1">SUMIF(OFFSET(cttba_vlvt1_1,0,-9,-ROW(cttba_vlvt1_1)+ROW(cttba_vltb1_1)-10),KLVT!$A767,OFFSET(cttba_vlvt1_1,0,-4,-ROW(cttba_vlvt1_1)+ROW(cttba_vltb1_1)-10))</f>
        <v>0</v>
      </c>
      <c r="G767" s="451">
        <f t="shared" ca="1" si="120"/>
        <v>0</v>
      </c>
      <c r="H767" s="450">
        <f t="shared" si="121"/>
        <v>1</v>
      </c>
      <c r="I767" s="447">
        <f t="shared" ca="1" si="122"/>
        <v>0</v>
      </c>
      <c r="J767" s="447">
        <f t="shared" ca="1" si="123"/>
        <v>0</v>
      </c>
      <c r="K767" s="373">
        <f t="shared" ca="1" si="126"/>
        <v>0</v>
      </c>
    </row>
    <row r="768" spans="1:11" s="45" customFormat="1" ht="15.75" hidden="1">
      <c r="A768" s="373" t="str">
        <f>IF(AND(COUNTIF($A$5:$A$133,R_DG!A642)=0,R_DG!R642&gt;0,ISNUMBER(R_DG!R642)),R_DG!A642,"NONE")</f>
        <v>NONE</v>
      </c>
      <c r="B768" s="85">
        <f ca="1">IF(K768&gt;0,COUNTIF(K$6:K768,"&gt;0"),B767)</f>
        <v>34</v>
      </c>
      <c r="C768" s="1084">
        <f t="shared" si="124"/>
        <v>0</v>
      </c>
      <c r="D768" s="85">
        <f t="shared" si="125"/>
        <v>0</v>
      </c>
      <c r="E768" s="448">
        <f ca="1">SUMIF(OFFSET(tongctvtdd1,0,-(COLUMN(E768)+7-(COLUMN(E768)-5)/2)),KLVT!$A768,tongctvtdd1)+SUMIF(OFFSET(tongctvtpk1,0,-(COLUMN(E768)+7-(COLUMN(E768)-5)/2)),KLVT!$A768,tongctvtpk1)</f>
        <v>0</v>
      </c>
      <c r="F768" s="449">
        <f ca="1">SUMIF(OFFSET(cttba_vlvt1_1,0,-9,-ROW(cttba_vlvt1_1)+ROW(cttba_vltb1_1)-10),KLVT!$A768,OFFSET(cttba_vlvt1_1,0,-4,-ROW(cttba_vlvt1_1)+ROW(cttba_vltb1_1)-10))</f>
        <v>0</v>
      </c>
      <c r="G768" s="451">
        <f t="shared" ca="1" si="120"/>
        <v>0</v>
      </c>
      <c r="H768" s="450">
        <f t="shared" si="121"/>
        <v>1</v>
      </c>
      <c r="I768" s="447">
        <f t="shared" ca="1" si="122"/>
        <v>0</v>
      </c>
      <c r="J768" s="447">
        <f t="shared" ca="1" si="123"/>
        <v>0</v>
      </c>
      <c r="K768" s="373">
        <f t="shared" ca="1" si="126"/>
        <v>0</v>
      </c>
    </row>
    <row r="769" spans="1:11" s="45" customFormat="1" ht="15.75" hidden="1">
      <c r="A769" s="373" t="str">
        <f>IF(AND(COUNTIF($A$5:$A$133,R_DG!A643)=0,R_DG!R643&gt;0,ISNUMBER(R_DG!R643)),R_DG!A643,"NONE")</f>
        <v>NONE</v>
      </c>
      <c r="B769" s="85">
        <f ca="1">IF(K769&gt;0,COUNTIF(K$6:K769,"&gt;0"),B768)</f>
        <v>34</v>
      </c>
      <c r="C769" s="1084">
        <f t="shared" si="124"/>
        <v>0</v>
      </c>
      <c r="D769" s="85">
        <f t="shared" si="125"/>
        <v>0</v>
      </c>
      <c r="E769" s="448">
        <f ca="1">SUMIF(OFFSET(tongctvtdd1,0,-(COLUMN(E769)+7-(COLUMN(E769)-5)/2)),KLVT!$A769,tongctvtdd1)+SUMIF(OFFSET(tongctvtpk1,0,-(COLUMN(E769)+7-(COLUMN(E769)-5)/2)),KLVT!$A769,tongctvtpk1)</f>
        <v>0</v>
      </c>
      <c r="F769" s="449">
        <f ca="1">SUMIF(OFFSET(cttba_vlvt1_1,0,-9,-ROW(cttba_vlvt1_1)+ROW(cttba_vltb1_1)-10),KLVT!$A769,OFFSET(cttba_vlvt1_1,0,-4,-ROW(cttba_vlvt1_1)+ROW(cttba_vltb1_1)-10))</f>
        <v>0</v>
      </c>
      <c r="G769" s="451">
        <f t="shared" ca="1" si="120"/>
        <v>0</v>
      </c>
      <c r="H769" s="450">
        <f t="shared" si="121"/>
        <v>1</v>
      </c>
      <c r="I769" s="447">
        <f t="shared" ca="1" si="122"/>
        <v>0</v>
      </c>
      <c r="J769" s="447">
        <f t="shared" ca="1" si="123"/>
        <v>0</v>
      </c>
      <c r="K769" s="374">
        <f t="shared" ca="1" si="126"/>
        <v>0</v>
      </c>
    </row>
    <row r="770" spans="1:11" s="45" customFormat="1" ht="15.75" hidden="1">
      <c r="A770" s="373" t="str">
        <f>IF(AND(COUNTIF($A$5:$A$133,R_DG!A644)=0,R_DG!R644&gt;0,ISNUMBER(R_DG!R644)),R_DG!A644,"NONE")</f>
        <v>NONE</v>
      </c>
      <c r="B770" s="85">
        <f ca="1">IF(K770&gt;0,COUNTIF(K$6:K770,"&gt;0"),B769)</f>
        <v>34</v>
      </c>
      <c r="C770" s="1084">
        <f t="shared" si="124"/>
        <v>0</v>
      </c>
      <c r="D770" s="85">
        <f t="shared" si="125"/>
        <v>0</v>
      </c>
      <c r="E770" s="448">
        <f ca="1">SUMIF(OFFSET(tongctvtdd1,0,-(COLUMN(E770)+7-(COLUMN(E770)-5)/2)),KLVT!$A770,tongctvtdd1)+SUMIF(OFFSET(tongctvtpk1,0,-(COLUMN(E770)+7-(COLUMN(E770)-5)/2)),KLVT!$A770,tongctvtpk1)</f>
        <v>0</v>
      </c>
      <c r="F770" s="449">
        <f ca="1">SUMIF(OFFSET(cttba_vlvt1_1,0,-9,-ROW(cttba_vlvt1_1)+ROW(cttba_vltb1_1)-10),KLVT!$A770,OFFSET(cttba_vlvt1_1,0,-4,-ROW(cttba_vlvt1_1)+ROW(cttba_vltb1_1)-10))</f>
        <v>0</v>
      </c>
      <c r="G770" s="451">
        <f t="shared" ca="1" si="120"/>
        <v>0</v>
      </c>
      <c r="H770" s="450">
        <f t="shared" si="121"/>
        <v>1</v>
      </c>
      <c r="I770" s="447">
        <f t="shared" ca="1" si="122"/>
        <v>0</v>
      </c>
      <c r="J770" s="447">
        <f t="shared" ca="1" si="123"/>
        <v>0</v>
      </c>
      <c r="K770" s="374">
        <f t="shared" ca="1" si="126"/>
        <v>0</v>
      </c>
    </row>
    <row r="771" spans="1:11" s="45" customFormat="1" ht="15.75" hidden="1">
      <c r="A771" s="373" t="str">
        <f>IF(AND(COUNTIF($A$5:$A$133,R_DG!A645)=0,R_DG!R645&gt;0,ISNUMBER(R_DG!R645)),R_DG!A645,"NONE")</f>
        <v>NONE</v>
      </c>
      <c r="B771" s="85">
        <f ca="1">IF(K771&gt;0,COUNTIF(K$6:K771,"&gt;0"),B770)</f>
        <v>34</v>
      </c>
      <c r="C771" s="1084">
        <f t="shared" si="124"/>
        <v>0</v>
      </c>
      <c r="D771" s="85">
        <f t="shared" si="125"/>
        <v>0</v>
      </c>
      <c r="E771" s="448">
        <f ca="1">SUMIF(OFFSET(tongctvtdd1,0,-(COLUMN(E771)+7-(COLUMN(E771)-5)/2)),KLVT!$A771,tongctvtdd1)+SUMIF(OFFSET(tongctvtpk1,0,-(COLUMN(E771)+7-(COLUMN(E771)-5)/2)),KLVT!$A771,tongctvtpk1)</f>
        <v>0</v>
      </c>
      <c r="F771" s="449">
        <f ca="1">SUMIF(OFFSET(cttba_vlvt1_1,0,-9,-ROW(cttba_vlvt1_1)+ROW(cttba_vltb1_1)-10),KLVT!$A771,OFFSET(cttba_vlvt1_1,0,-4,-ROW(cttba_vlvt1_1)+ROW(cttba_vltb1_1)-10))</f>
        <v>0</v>
      </c>
      <c r="G771" s="451">
        <f t="shared" ca="1" si="120"/>
        <v>0</v>
      </c>
      <c r="H771" s="450">
        <f t="shared" si="121"/>
        <v>1</v>
      </c>
      <c r="I771" s="447">
        <f t="shared" ca="1" si="122"/>
        <v>0</v>
      </c>
      <c r="J771" s="447">
        <f t="shared" ca="1" si="123"/>
        <v>0</v>
      </c>
      <c r="K771" s="374">
        <f t="shared" ca="1" si="126"/>
        <v>0</v>
      </c>
    </row>
    <row r="772" spans="1:11" s="45" customFormat="1" ht="15.75" hidden="1">
      <c r="A772" s="373" t="str">
        <f>IF(AND(COUNTIF($A$5:$A$133,R_DG!A646)=0,R_DG!R646&gt;0,ISNUMBER(R_DG!R646)),R_DG!A646,"NONE")</f>
        <v>NONE</v>
      </c>
      <c r="B772" s="85">
        <f ca="1">IF(K772&gt;0,COUNTIF(K$6:K772,"&gt;0"),B771)</f>
        <v>34</v>
      </c>
      <c r="C772" s="1084">
        <f t="shared" si="124"/>
        <v>0</v>
      </c>
      <c r="D772" s="85">
        <f t="shared" si="125"/>
        <v>0</v>
      </c>
      <c r="E772" s="448">
        <f ca="1">SUMIF(OFFSET(tongctvtdd1,0,-(COLUMN(E772)+7-(COLUMN(E772)-5)/2)),KLVT!$A772,tongctvtdd1)+SUMIF(OFFSET(tongctvtpk1,0,-(COLUMN(E772)+7-(COLUMN(E772)-5)/2)),KLVT!$A772,tongctvtpk1)</f>
        <v>0</v>
      </c>
      <c r="F772" s="449">
        <f ca="1">SUMIF(OFFSET(cttba_vlvt1_1,0,-9,-ROW(cttba_vlvt1_1)+ROW(cttba_vltb1_1)-10),KLVT!$A772,OFFSET(cttba_vlvt1_1,0,-4,-ROW(cttba_vlvt1_1)+ROW(cttba_vltb1_1)-10))</f>
        <v>0</v>
      </c>
      <c r="G772" s="451">
        <f t="shared" ca="1" si="120"/>
        <v>0</v>
      </c>
      <c r="H772" s="450">
        <f t="shared" si="121"/>
        <v>1</v>
      </c>
      <c r="I772" s="447">
        <f t="shared" ca="1" si="122"/>
        <v>0</v>
      </c>
      <c r="J772" s="447">
        <f t="shared" ca="1" si="123"/>
        <v>0</v>
      </c>
      <c r="K772" s="374">
        <f t="shared" ca="1" si="126"/>
        <v>0</v>
      </c>
    </row>
    <row r="773" spans="1:11" s="45" customFormat="1" ht="15.75" hidden="1">
      <c r="A773" s="373" t="str">
        <f>IF(AND(COUNTIF($A$5:$A$133,R_DG!A647)=0,R_DG!R647&gt;0,ISNUMBER(R_DG!R647)),R_DG!A647,"NONE")</f>
        <v>NONE</v>
      </c>
      <c r="B773" s="85">
        <f ca="1">IF(K773&gt;0,COUNTIF(K$6:K773,"&gt;0"),B772)</f>
        <v>34</v>
      </c>
      <c r="C773" s="1084">
        <f t="shared" si="124"/>
        <v>0</v>
      </c>
      <c r="D773" s="85">
        <f t="shared" si="125"/>
        <v>0</v>
      </c>
      <c r="E773" s="448">
        <f ca="1">SUMIF(OFFSET(tongctvtdd1,0,-(COLUMN(E773)+7-(COLUMN(E773)-5)/2)),KLVT!$A773,tongctvtdd1)+SUMIF(OFFSET(tongctvtpk1,0,-(COLUMN(E773)+7-(COLUMN(E773)-5)/2)),KLVT!$A773,tongctvtpk1)</f>
        <v>0</v>
      </c>
      <c r="F773" s="449">
        <f ca="1">SUMIF(OFFSET(cttba_vlvt1_1,0,-9,-ROW(cttba_vlvt1_1)+ROW(cttba_vltb1_1)-10),KLVT!$A773,OFFSET(cttba_vlvt1_1,0,-4,-ROW(cttba_vlvt1_1)+ROW(cttba_vltb1_1)-10))</f>
        <v>0</v>
      </c>
      <c r="G773" s="451">
        <f t="shared" ca="1" si="120"/>
        <v>0</v>
      </c>
      <c r="H773" s="450">
        <f t="shared" si="121"/>
        <v>1</v>
      </c>
      <c r="I773" s="447">
        <f t="shared" ca="1" si="122"/>
        <v>0</v>
      </c>
      <c r="J773" s="447">
        <f t="shared" ca="1" si="123"/>
        <v>0</v>
      </c>
      <c r="K773" s="374">
        <f t="shared" ca="1" si="126"/>
        <v>0</v>
      </c>
    </row>
    <row r="774" spans="1:11" s="45" customFormat="1" ht="15.75" hidden="1">
      <c r="A774" s="373" t="str">
        <f>IF(AND(COUNTIF($A$5:$A$133,R_DG!A648)=0,R_DG!R648&gt;0,ISNUMBER(R_DG!R648)),R_DG!A648,"NONE")</f>
        <v>NONE</v>
      </c>
      <c r="B774" s="85">
        <f ca="1">IF(K774&gt;0,COUNTIF(K$6:K774,"&gt;0"),B773)</f>
        <v>34</v>
      </c>
      <c r="C774" s="1084">
        <f t="shared" si="124"/>
        <v>0</v>
      </c>
      <c r="D774" s="85">
        <f t="shared" si="125"/>
        <v>0</v>
      </c>
      <c r="E774" s="448">
        <f ca="1">SUMIF(OFFSET(tongctvtdd1,0,-(COLUMN(E774)+7-(COLUMN(E774)-5)/2)),KLVT!$A774,tongctvtdd1)+SUMIF(OFFSET(tongctvtpk1,0,-(COLUMN(E774)+7-(COLUMN(E774)-5)/2)),KLVT!$A774,tongctvtpk1)</f>
        <v>0</v>
      </c>
      <c r="F774" s="449">
        <f ca="1">SUMIF(OFFSET(cttba_vlvt1_1,0,-9,-ROW(cttba_vlvt1_1)+ROW(cttba_vltb1_1)-10),KLVT!$A774,OFFSET(cttba_vlvt1_1,0,-4,-ROW(cttba_vlvt1_1)+ROW(cttba_vltb1_1)-10))</f>
        <v>0</v>
      </c>
      <c r="G774" s="451">
        <f t="shared" ref="G774:G837" ca="1" si="127">SUM(E774:F774)</f>
        <v>0</v>
      </c>
      <c r="H774" s="450">
        <f t="shared" ref="H774:H837" si="128">VLOOKUP(A774,DONGIA,18,0)</f>
        <v>1</v>
      </c>
      <c r="I774" s="447">
        <f t="shared" ref="I774:I837" ca="1" si="129">E774*$H774</f>
        <v>0</v>
      </c>
      <c r="J774" s="447">
        <f t="shared" ref="J774:J837" ca="1" si="130">F774*$H774</f>
        <v>0</v>
      </c>
      <c r="K774" s="373">
        <f t="shared" ca="1" si="126"/>
        <v>0</v>
      </c>
    </row>
    <row r="775" spans="1:11" s="45" customFormat="1" ht="15.75" hidden="1">
      <c r="A775" s="373" t="str">
        <f>IF(AND(COUNTIF($A$5:$A$133,R_DG!A649)=0,R_DG!R649&gt;0,ISNUMBER(R_DG!R649)),R_DG!A649,"NONE")</f>
        <v>NONE</v>
      </c>
      <c r="B775" s="85">
        <f ca="1">IF(K775&gt;0,COUNTIF(K$6:K775,"&gt;0"),B774)</f>
        <v>34</v>
      </c>
      <c r="C775" s="1084">
        <f t="shared" si="124"/>
        <v>0</v>
      </c>
      <c r="D775" s="85">
        <f t="shared" si="125"/>
        <v>0</v>
      </c>
      <c r="E775" s="448">
        <f ca="1">SUMIF(OFFSET(tongctvtdd1,0,-(COLUMN(E775)+7-(COLUMN(E775)-5)/2)),KLVT!$A775,tongctvtdd1)+SUMIF(OFFSET(tongctvtpk1,0,-(COLUMN(E775)+7-(COLUMN(E775)-5)/2)),KLVT!$A775,tongctvtpk1)</f>
        <v>0</v>
      </c>
      <c r="F775" s="449">
        <f ca="1">SUMIF(OFFSET(cttba_vlvt1_1,0,-9,-ROW(cttba_vlvt1_1)+ROW(cttba_vltb1_1)-10),KLVT!$A775,OFFSET(cttba_vlvt1_1,0,-4,-ROW(cttba_vlvt1_1)+ROW(cttba_vltb1_1)-10))</f>
        <v>0</v>
      </c>
      <c r="G775" s="451">
        <f t="shared" ca="1" si="127"/>
        <v>0</v>
      </c>
      <c r="H775" s="450">
        <f t="shared" si="128"/>
        <v>1</v>
      </c>
      <c r="I775" s="447">
        <f t="shared" ca="1" si="129"/>
        <v>0</v>
      </c>
      <c r="J775" s="447">
        <f t="shared" ca="1" si="130"/>
        <v>0</v>
      </c>
      <c r="K775" s="373">
        <f t="shared" ca="1" si="126"/>
        <v>0</v>
      </c>
    </row>
    <row r="776" spans="1:11" s="45" customFormat="1" ht="15.75" hidden="1">
      <c r="A776" s="373" t="str">
        <f>IF(AND(COUNTIF($A$5:$A$133,R_DG!A650)=0,R_DG!R650&gt;0,ISNUMBER(R_DG!R650)),R_DG!A650,"NONE")</f>
        <v>NONE</v>
      </c>
      <c r="B776" s="85">
        <f ca="1">IF(K776&gt;0,COUNTIF(K$6:K776,"&gt;0"),B775)</f>
        <v>34</v>
      </c>
      <c r="C776" s="1084">
        <f t="shared" si="124"/>
        <v>0</v>
      </c>
      <c r="D776" s="85">
        <f t="shared" si="125"/>
        <v>0</v>
      </c>
      <c r="E776" s="448">
        <f ca="1">SUMIF(OFFSET(tongctvtdd1,0,-(COLUMN(E776)+7-(COLUMN(E776)-5)/2)),KLVT!$A776,tongctvtdd1)+SUMIF(OFFSET(tongctvtpk1,0,-(COLUMN(E776)+7-(COLUMN(E776)-5)/2)),KLVT!$A776,tongctvtpk1)</f>
        <v>0</v>
      </c>
      <c r="F776" s="449">
        <f ca="1">SUMIF(OFFSET(cttba_vlvt1_1,0,-9,-ROW(cttba_vlvt1_1)+ROW(cttba_vltb1_1)-10),KLVT!$A776,OFFSET(cttba_vlvt1_1,0,-4,-ROW(cttba_vlvt1_1)+ROW(cttba_vltb1_1)-10))</f>
        <v>0</v>
      </c>
      <c r="G776" s="451">
        <f t="shared" ca="1" si="127"/>
        <v>0</v>
      </c>
      <c r="H776" s="450">
        <f t="shared" si="128"/>
        <v>1</v>
      </c>
      <c r="I776" s="447">
        <f t="shared" ca="1" si="129"/>
        <v>0</v>
      </c>
      <c r="J776" s="447">
        <f t="shared" ca="1" si="130"/>
        <v>0</v>
      </c>
      <c r="K776" s="373">
        <f t="shared" ca="1" si="126"/>
        <v>0</v>
      </c>
    </row>
    <row r="777" spans="1:11" s="45" customFormat="1" ht="15.75" hidden="1">
      <c r="A777" s="373" t="str">
        <f>IF(AND(COUNTIF($A$5:$A$133,R_DG!A651)=0,R_DG!R651&gt;0,ISNUMBER(R_DG!R651)),R_DG!A651,"NONE")</f>
        <v>NONE</v>
      </c>
      <c r="B777" s="85">
        <f ca="1">IF(K777&gt;0,COUNTIF(K$6:K777,"&gt;0"),B776)</f>
        <v>34</v>
      </c>
      <c r="C777" s="1084">
        <f t="shared" si="124"/>
        <v>0</v>
      </c>
      <c r="D777" s="85">
        <f t="shared" si="125"/>
        <v>0</v>
      </c>
      <c r="E777" s="448">
        <f ca="1">SUMIF(OFFSET(tongctvtdd1,0,-(COLUMN(E777)+7-(COLUMN(E777)-5)/2)),KLVT!$A777,tongctvtdd1)+SUMIF(OFFSET(tongctvtpk1,0,-(COLUMN(E777)+7-(COLUMN(E777)-5)/2)),KLVT!$A777,tongctvtpk1)</f>
        <v>0</v>
      </c>
      <c r="F777" s="449">
        <f ca="1">SUMIF(OFFSET(cttba_vlvt1_1,0,-9,-ROW(cttba_vlvt1_1)+ROW(cttba_vltb1_1)-10),KLVT!$A777,OFFSET(cttba_vlvt1_1,0,-4,-ROW(cttba_vlvt1_1)+ROW(cttba_vltb1_1)-10))</f>
        <v>0</v>
      </c>
      <c r="G777" s="451">
        <f t="shared" ca="1" si="127"/>
        <v>0</v>
      </c>
      <c r="H777" s="450">
        <f t="shared" si="128"/>
        <v>1</v>
      </c>
      <c r="I777" s="447">
        <f t="shared" ca="1" si="129"/>
        <v>0</v>
      </c>
      <c r="J777" s="447">
        <f t="shared" ca="1" si="130"/>
        <v>0</v>
      </c>
      <c r="K777" s="373">
        <f t="shared" ca="1" si="126"/>
        <v>0</v>
      </c>
    </row>
    <row r="778" spans="1:11" s="45" customFormat="1" ht="15.75" hidden="1">
      <c r="A778" s="373" t="str">
        <f>IF(AND(COUNTIF($A$5:$A$133,R_DG!A652)=0,R_DG!R652&gt;0,ISNUMBER(R_DG!R652)),R_DG!A652,"NONE")</f>
        <v>NONE</v>
      </c>
      <c r="B778" s="85">
        <f ca="1">IF(K778&gt;0,COUNTIF(K$6:K778,"&gt;0"),B777)</f>
        <v>34</v>
      </c>
      <c r="C778" s="1084">
        <f t="shared" si="124"/>
        <v>0</v>
      </c>
      <c r="D778" s="85">
        <f t="shared" si="125"/>
        <v>0</v>
      </c>
      <c r="E778" s="448">
        <f ca="1">SUMIF(OFFSET(tongctvtdd1,0,-(COLUMN(E778)+7-(COLUMN(E778)-5)/2)),KLVT!$A778,tongctvtdd1)+SUMIF(OFFSET(tongctvtpk1,0,-(COLUMN(E778)+7-(COLUMN(E778)-5)/2)),KLVT!$A778,tongctvtpk1)</f>
        <v>0</v>
      </c>
      <c r="F778" s="449">
        <f ca="1">SUMIF(OFFSET(cttba_vlvt1_1,0,-9,-ROW(cttba_vlvt1_1)+ROW(cttba_vltb1_1)-10),KLVT!$A778,OFFSET(cttba_vlvt1_1,0,-4,-ROW(cttba_vlvt1_1)+ROW(cttba_vltb1_1)-10))</f>
        <v>0</v>
      </c>
      <c r="G778" s="451">
        <f t="shared" ca="1" si="127"/>
        <v>0</v>
      </c>
      <c r="H778" s="450">
        <f t="shared" si="128"/>
        <v>1</v>
      </c>
      <c r="I778" s="447">
        <f t="shared" ca="1" si="129"/>
        <v>0</v>
      </c>
      <c r="J778" s="447">
        <f t="shared" ca="1" si="130"/>
        <v>0</v>
      </c>
      <c r="K778" s="374">
        <f t="shared" ca="1" si="126"/>
        <v>0</v>
      </c>
    </row>
    <row r="779" spans="1:11" s="45" customFormat="1" ht="15.75" hidden="1">
      <c r="A779" s="373" t="str">
        <f>IF(AND(COUNTIF($A$5:$A$133,R_DG!A653)=0,R_DG!R653&gt;0,ISNUMBER(R_DG!R653)),R_DG!A653,"NONE")</f>
        <v>NONE</v>
      </c>
      <c r="B779" s="85">
        <f ca="1">IF(K779&gt;0,COUNTIF(K$6:K779,"&gt;0"),B778)</f>
        <v>34</v>
      </c>
      <c r="C779" s="1084">
        <f t="shared" si="124"/>
        <v>0</v>
      </c>
      <c r="D779" s="85">
        <f t="shared" si="125"/>
        <v>0</v>
      </c>
      <c r="E779" s="448">
        <f ca="1">SUMIF(OFFSET(tongctvtdd1,0,-(COLUMN(E779)+7-(COLUMN(E779)-5)/2)),KLVT!$A779,tongctvtdd1)+SUMIF(OFFSET(tongctvtpk1,0,-(COLUMN(E779)+7-(COLUMN(E779)-5)/2)),KLVT!$A779,tongctvtpk1)</f>
        <v>0</v>
      </c>
      <c r="F779" s="449">
        <f ca="1">SUMIF(OFFSET(cttba_vlvt1_1,0,-9,-ROW(cttba_vlvt1_1)+ROW(cttba_vltb1_1)-10),KLVT!$A779,OFFSET(cttba_vlvt1_1,0,-4,-ROW(cttba_vlvt1_1)+ROW(cttba_vltb1_1)-10))</f>
        <v>0</v>
      </c>
      <c r="G779" s="451">
        <f t="shared" ca="1" si="127"/>
        <v>0</v>
      </c>
      <c r="H779" s="450">
        <f t="shared" si="128"/>
        <v>1</v>
      </c>
      <c r="I779" s="447">
        <f t="shared" ca="1" si="129"/>
        <v>0</v>
      </c>
      <c r="J779" s="447">
        <f t="shared" ca="1" si="130"/>
        <v>0</v>
      </c>
      <c r="K779" s="374">
        <f t="shared" ca="1" si="126"/>
        <v>0</v>
      </c>
    </row>
    <row r="780" spans="1:11" s="45" customFormat="1" ht="15.75" hidden="1">
      <c r="A780" s="373" t="str">
        <f>IF(AND(COUNTIF($A$5:$A$133,R_DG!A654)=0,R_DG!R654&gt;0,ISNUMBER(R_DG!R654)),R_DG!A654,"NONE")</f>
        <v>NONE</v>
      </c>
      <c r="B780" s="85">
        <f ca="1">IF(K780&gt;0,COUNTIF(K$6:K780,"&gt;0"),B779)</f>
        <v>34</v>
      </c>
      <c r="C780" s="1084">
        <f t="shared" si="124"/>
        <v>0</v>
      </c>
      <c r="D780" s="85">
        <f t="shared" si="125"/>
        <v>0</v>
      </c>
      <c r="E780" s="448">
        <f ca="1">SUMIF(OFFSET(tongctvtdd1,0,-(COLUMN(E780)+7-(COLUMN(E780)-5)/2)),KLVT!$A780,tongctvtdd1)+SUMIF(OFFSET(tongctvtpk1,0,-(COLUMN(E780)+7-(COLUMN(E780)-5)/2)),KLVT!$A780,tongctvtpk1)</f>
        <v>0</v>
      </c>
      <c r="F780" s="449">
        <f ca="1">SUMIF(OFFSET(cttba_vlvt1_1,0,-9,-ROW(cttba_vlvt1_1)+ROW(cttba_vltb1_1)-10),KLVT!$A780,OFFSET(cttba_vlvt1_1,0,-4,-ROW(cttba_vlvt1_1)+ROW(cttba_vltb1_1)-10))</f>
        <v>0</v>
      </c>
      <c r="G780" s="451">
        <f t="shared" ca="1" si="127"/>
        <v>0</v>
      </c>
      <c r="H780" s="450">
        <f t="shared" si="128"/>
        <v>1</v>
      </c>
      <c r="I780" s="447">
        <f t="shared" ca="1" si="129"/>
        <v>0</v>
      </c>
      <c r="J780" s="447">
        <f t="shared" ca="1" si="130"/>
        <v>0</v>
      </c>
      <c r="K780" s="374">
        <f t="shared" ca="1" si="126"/>
        <v>0</v>
      </c>
    </row>
    <row r="781" spans="1:11" s="45" customFormat="1" ht="15.75" hidden="1">
      <c r="A781" s="373" t="str">
        <f>IF(AND(COUNTIF($A$5:$A$133,R_DG!A655)=0,R_DG!R655&gt;0,ISNUMBER(R_DG!R655)),R_DG!A655,"NONE")</f>
        <v>NONE</v>
      </c>
      <c r="B781" s="85">
        <f ca="1">IF(K781&gt;0,COUNTIF(K$6:K781,"&gt;0"),B780)</f>
        <v>34</v>
      </c>
      <c r="C781" s="1084">
        <f t="shared" si="124"/>
        <v>0</v>
      </c>
      <c r="D781" s="85">
        <f t="shared" si="125"/>
        <v>0</v>
      </c>
      <c r="E781" s="448">
        <f ca="1">SUMIF(OFFSET(tongctvtdd1,0,-(COLUMN(E781)+7-(COLUMN(E781)-5)/2)),KLVT!$A781,tongctvtdd1)+SUMIF(OFFSET(tongctvtpk1,0,-(COLUMN(E781)+7-(COLUMN(E781)-5)/2)),KLVT!$A781,tongctvtpk1)</f>
        <v>0</v>
      </c>
      <c r="F781" s="449">
        <f ca="1">SUMIF(OFFSET(cttba_vlvt1_1,0,-9,-ROW(cttba_vlvt1_1)+ROW(cttba_vltb1_1)-10),KLVT!$A781,OFFSET(cttba_vlvt1_1,0,-4,-ROW(cttba_vlvt1_1)+ROW(cttba_vltb1_1)-10))</f>
        <v>0</v>
      </c>
      <c r="G781" s="451">
        <f t="shared" ca="1" si="127"/>
        <v>0</v>
      </c>
      <c r="H781" s="450">
        <f t="shared" si="128"/>
        <v>1</v>
      </c>
      <c r="I781" s="447">
        <f t="shared" ca="1" si="129"/>
        <v>0</v>
      </c>
      <c r="J781" s="447">
        <f t="shared" ca="1" si="130"/>
        <v>0</v>
      </c>
      <c r="K781" s="373">
        <f t="shared" ca="1" si="126"/>
        <v>0</v>
      </c>
    </row>
    <row r="782" spans="1:11" s="45" customFormat="1" ht="15.75" hidden="1">
      <c r="A782" s="373" t="str">
        <f>IF(AND(COUNTIF($A$5:$A$133,R_DG!A656)=0,R_DG!R656&gt;0,ISNUMBER(R_DG!R656)),R_DG!A656,"NONE")</f>
        <v>NONE</v>
      </c>
      <c r="B782" s="85">
        <f ca="1">IF(K782&gt;0,COUNTIF(K$6:K782,"&gt;0"),B781)</f>
        <v>34</v>
      </c>
      <c r="C782" s="1084">
        <f t="shared" si="124"/>
        <v>0</v>
      </c>
      <c r="D782" s="85">
        <f t="shared" si="125"/>
        <v>0</v>
      </c>
      <c r="E782" s="448">
        <f ca="1">SUMIF(OFFSET(tongctvtdd1,0,-(COLUMN(E782)+7-(COLUMN(E782)-5)/2)),KLVT!$A782,tongctvtdd1)+SUMIF(OFFSET(tongctvtpk1,0,-(COLUMN(E782)+7-(COLUMN(E782)-5)/2)),KLVT!$A782,tongctvtpk1)</f>
        <v>0</v>
      </c>
      <c r="F782" s="449">
        <f ca="1">SUMIF(OFFSET(cttba_vlvt1_1,0,-9,-ROW(cttba_vlvt1_1)+ROW(cttba_vltb1_1)-10),KLVT!$A782,OFFSET(cttba_vlvt1_1,0,-4,-ROW(cttba_vlvt1_1)+ROW(cttba_vltb1_1)-10))</f>
        <v>0</v>
      </c>
      <c r="G782" s="451">
        <f t="shared" ca="1" si="127"/>
        <v>0</v>
      </c>
      <c r="H782" s="450">
        <f t="shared" si="128"/>
        <v>1</v>
      </c>
      <c r="I782" s="447">
        <f t="shared" ca="1" si="129"/>
        <v>0</v>
      </c>
      <c r="J782" s="447">
        <f t="shared" ca="1" si="130"/>
        <v>0</v>
      </c>
      <c r="K782" s="373">
        <f t="shared" ca="1" si="126"/>
        <v>0</v>
      </c>
    </row>
    <row r="783" spans="1:11" s="45" customFormat="1" ht="15.75" hidden="1">
      <c r="A783" s="373" t="str">
        <f>IF(AND(COUNTIF($A$5:$A$133,R_DG!A657)=0,R_DG!R657&gt;0,ISNUMBER(R_DG!R657)),R_DG!A657,"NONE")</f>
        <v>NONE</v>
      </c>
      <c r="B783" s="85">
        <f ca="1">IF(K783&gt;0,COUNTIF(K$6:K783,"&gt;0"),B782)</f>
        <v>34</v>
      </c>
      <c r="C783" s="1084">
        <f t="shared" si="124"/>
        <v>0</v>
      </c>
      <c r="D783" s="85">
        <f t="shared" si="125"/>
        <v>0</v>
      </c>
      <c r="E783" s="448">
        <f ca="1">SUMIF(OFFSET(tongctvtdd1,0,-(COLUMN(E783)+7-(COLUMN(E783)-5)/2)),KLVT!$A783,tongctvtdd1)+SUMIF(OFFSET(tongctvtpk1,0,-(COLUMN(E783)+7-(COLUMN(E783)-5)/2)),KLVT!$A783,tongctvtpk1)</f>
        <v>0</v>
      </c>
      <c r="F783" s="449">
        <f ca="1">SUMIF(OFFSET(cttba_vlvt1_1,0,-9,-ROW(cttba_vlvt1_1)+ROW(cttba_vltb1_1)-10),KLVT!$A783,OFFSET(cttba_vlvt1_1,0,-4,-ROW(cttba_vlvt1_1)+ROW(cttba_vltb1_1)-10))</f>
        <v>0</v>
      </c>
      <c r="G783" s="451">
        <f t="shared" ca="1" si="127"/>
        <v>0</v>
      </c>
      <c r="H783" s="450">
        <f t="shared" si="128"/>
        <v>1</v>
      </c>
      <c r="I783" s="447">
        <f t="shared" ca="1" si="129"/>
        <v>0</v>
      </c>
      <c r="J783" s="447">
        <f t="shared" ca="1" si="130"/>
        <v>0</v>
      </c>
      <c r="K783" s="373">
        <f t="shared" ca="1" si="126"/>
        <v>0</v>
      </c>
    </row>
    <row r="784" spans="1:11" s="45" customFormat="1" ht="15.75" hidden="1">
      <c r="A784" s="373" t="str">
        <f>IF(AND(COUNTIF($A$5:$A$133,R_DG!A658)=0,R_DG!R658&gt;0,ISNUMBER(R_DG!R658)),R_DG!A658,"NONE")</f>
        <v>NONE</v>
      </c>
      <c r="B784" s="85">
        <f ca="1">IF(K784&gt;0,COUNTIF(K$6:K784,"&gt;0"),B783)</f>
        <v>34</v>
      </c>
      <c r="C784" s="1084">
        <f t="shared" si="124"/>
        <v>0</v>
      </c>
      <c r="D784" s="85">
        <f t="shared" si="125"/>
        <v>0</v>
      </c>
      <c r="E784" s="448">
        <f ca="1">SUMIF(OFFSET(tongctvtdd1,0,-(COLUMN(E784)+7-(COLUMN(E784)-5)/2)),KLVT!$A784,tongctvtdd1)+SUMIF(OFFSET(tongctvtpk1,0,-(COLUMN(E784)+7-(COLUMN(E784)-5)/2)),KLVT!$A784,tongctvtpk1)</f>
        <v>0</v>
      </c>
      <c r="F784" s="449">
        <f ca="1">SUMIF(OFFSET(cttba_vlvt1_1,0,-9,-ROW(cttba_vlvt1_1)+ROW(cttba_vltb1_1)-10),KLVT!$A784,OFFSET(cttba_vlvt1_1,0,-4,-ROW(cttba_vlvt1_1)+ROW(cttba_vltb1_1)-10))</f>
        <v>0</v>
      </c>
      <c r="G784" s="451">
        <f t="shared" ca="1" si="127"/>
        <v>0</v>
      </c>
      <c r="H784" s="450">
        <f t="shared" si="128"/>
        <v>1</v>
      </c>
      <c r="I784" s="447">
        <f t="shared" ca="1" si="129"/>
        <v>0</v>
      </c>
      <c r="J784" s="447">
        <f t="shared" ca="1" si="130"/>
        <v>0</v>
      </c>
      <c r="K784" s="374">
        <f t="shared" ca="1" si="126"/>
        <v>0</v>
      </c>
    </row>
    <row r="785" spans="1:11" s="45" customFormat="1" ht="15.75" hidden="1">
      <c r="A785" s="373" t="str">
        <f>IF(AND(COUNTIF($A$5:$A$133,R_DG!A659)=0,R_DG!R659&gt;0,ISNUMBER(R_DG!R659)),R_DG!A659,"NONE")</f>
        <v>NONE</v>
      </c>
      <c r="B785" s="85">
        <f ca="1">IF(K785&gt;0,COUNTIF(K$6:K785,"&gt;0"),B784)</f>
        <v>34</v>
      </c>
      <c r="C785" s="1084">
        <f t="shared" si="124"/>
        <v>0</v>
      </c>
      <c r="D785" s="85">
        <f t="shared" si="125"/>
        <v>0</v>
      </c>
      <c r="E785" s="448">
        <f ca="1">SUMIF(OFFSET(tongctvtdd1,0,-(COLUMN(E785)+7-(COLUMN(E785)-5)/2)),KLVT!$A785,tongctvtdd1)+SUMIF(OFFSET(tongctvtpk1,0,-(COLUMN(E785)+7-(COLUMN(E785)-5)/2)),KLVT!$A785,tongctvtpk1)</f>
        <v>0</v>
      </c>
      <c r="F785" s="449">
        <f ca="1">SUMIF(OFFSET(cttba_vlvt1_1,0,-9,-ROW(cttba_vlvt1_1)+ROW(cttba_vltb1_1)-10),KLVT!$A785,OFFSET(cttba_vlvt1_1,0,-4,-ROW(cttba_vlvt1_1)+ROW(cttba_vltb1_1)-10))</f>
        <v>0</v>
      </c>
      <c r="G785" s="451">
        <f t="shared" ca="1" si="127"/>
        <v>0</v>
      </c>
      <c r="H785" s="450">
        <f t="shared" si="128"/>
        <v>1</v>
      </c>
      <c r="I785" s="447">
        <f t="shared" ca="1" si="129"/>
        <v>0</v>
      </c>
      <c r="J785" s="447">
        <f t="shared" ca="1" si="130"/>
        <v>0</v>
      </c>
      <c r="K785" s="373">
        <f t="shared" ca="1" si="126"/>
        <v>0</v>
      </c>
    </row>
    <row r="786" spans="1:11" s="45" customFormat="1" ht="15.75" hidden="1">
      <c r="A786" s="373" t="str">
        <f>IF(AND(COUNTIF($A$5:$A$133,R_DG!A660)=0,R_DG!R660&gt;0,ISNUMBER(R_DG!R660)),R_DG!A660,"NONE")</f>
        <v>NONE</v>
      </c>
      <c r="B786" s="85">
        <f ca="1">IF(K786&gt;0,COUNTIF(K$6:K786,"&gt;0"),B785)</f>
        <v>34</v>
      </c>
      <c r="C786" s="1084">
        <f t="shared" si="124"/>
        <v>0</v>
      </c>
      <c r="D786" s="85">
        <f t="shared" si="125"/>
        <v>0</v>
      </c>
      <c r="E786" s="448">
        <f ca="1">SUMIF(OFFSET(tongctvtdd1,0,-(COLUMN(E786)+7-(COLUMN(E786)-5)/2)),KLVT!$A786,tongctvtdd1)+SUMIF(OFFSET(tongctvtpk1,0,-(COLUMN(E786)+7-(COLUMN(E786)-5)/2)),KLVT!$A786,tongctvtpk1)</f>
        <v>0</v>
      </c>
      <c r="F786" s="449">
        <f ca="1">SUMIF(OFFSET(cttba_vlvt1_1,0,-9,-ROW(cttba_vlvt1_1)+ROW(cttba_vltb1_1)-10),KLVT!$A786,OFFSET(cttba_vlvt1_1,0,-4,-ROW(cttba_vlvt1_1)+ROW(cttba_vltb1_1)-10))</f>
        <v>0</v>
      </c>
      <c r="G786" s="451">
        <f t="shared" ca="1" si="127"/>
        <v>0</v>
      </c>
      <c r="H786" s="450">
        <f t="shared" si="128"/>
        <v>1</v>
      </c>
      <c r="I786" s="447">
        <f t="shared" ca="1" si="129"/>
        <v>0</v>
      </c>
      <c r="J786" s="447">
        <f t="shared" ca="1" si="130"/>
        <v>0</v>
      </c>
      <c r="K786" s="373">
        <f t="shared" ca="1" si="126"/>
        <v>0</v>
      </c>
    </row>
    <row r="787" spans="1:11" s="45" customFormat="1" ht="15.75" hidden="1">
      <c r="A787" s="373" t="str">
        <f>IF(AND(COUNTIF($A$5:$A$133,R_DG!A661)=0,R_DG!R661&gt;0,ISNUMBER(R_DG!R661)),R_DG!A661,"NONE")</f>
        <v>NONE</v>
      </c>
      <c r="B787" s="85">
        <f ca="1">IF(K787&gt;0,COUNTIF(K$6:K787,"&gt;0"),B786)</f>
        <v>34</v>
      </c>
      <c r="C787" s="1084">
        <f t="shared" si="124"/>
        <v>0</v>
      </c>
      <c r="D787" s="85">
        <f t="shared" si="125"/>
        <v>0</v>
      </c>
      <c r="E787" s="448">
        <f ca="1">SUMIF(OFFSET(tongctvtdd1,0,-(COLUMN(E787)+7-(COLUMN(E787)-5)/2)),KLVT!$A787,tongctvtdd1)+SUMIF(OFFSET(tongctvtpk1,0,-(COLUMN(E787)+7-(COLUMN(E787)-5)/2)),KLVT!$A787,tongctvtpk1)</f>
        <v>0</v>
      </c>
      <c r="F787" s="449">
        <f ca="1">SUMIF(OFFSET(cttba_vlvt1_1,0,-9,-ROW(cttba_vlvt1_1)+ROW(cttba_vltb1_1)-10),KLVT!$A787,OFFSET(cttba_vlvt1_1,0,-4,-ROW(cttba_vlvt1_1)+ROW(cttba_vltb1_1)-10))</f>
        <v>0</v>
      </c>
      <c r="G787" s="451">
        <f t="shared" ca="1" si="127"/>
        <v>0</v>
      </c>
      <c r="H787" s="450">
        <f t="shared" si="128"/>
        <v>1</v>
      </c>
      <c r="I787" s="447">
        <f t="shared" ca="1" si="129"/>
        <v>0</v>
      </c>
      <c r="J787" s="447">
        <f t="shared" ca="1" si="130"/>
        <v>0</v>
      </c>
      <c r="K787" s="373">
        <f t="shared" ca="1" si="126"/>
        <v>0</v>
      </c>
    </row>
    <row r="788" spans="1:11" s="45" customFormat="1" ht="15.75" hidden="1">
      <c r="A788" s="373" t="str">
        <f>IF(AND(COUNTIF($A$5:$A$133,R_DG!A662)=0,R_DG!R662&gt;0,ISNUMBER(R_DG!R662)),R_DG!A662,"NONE")</f>
        <v>NONE</v>
      </c>
      <c r="B788" s="85">
        <f ca="1">IF(K788&gt;0,COUNTIF(K$6:K788,"&gt;0"),B787)</f>
        <v>34</v>
      </c>
      <c r="C788" s="1084">
        <f t="shared" si="124"/>
        <v>0</v>
      </c>
      <c r="D788" s="85">
        <f t="shared" si="125"/>
        <v>0</v>
      </c>
      <c r="E788" s="448">
        <f ca="1">SUMIF(OFFSET(tongctvtdd1,0,-(COLUMN(E788)+7-(COLUMN(E788)-5)/2)),KLVT!$A788,tongctvtdd1)+SUMIF(OFFSET(tongctvtpk1,0,-(COLUMN(E788)+7-(COLUMN(E788)-5)/2)),KLVT!$A788,tongctvtpk1)</f>
        <v>0</v>
      </c>
      <c r="F788" s="449">
        <f ca="1">SUMIF(OFFSET(cttba_vlvt1_1,0,-9,-ROW(cttba_vlvt1_1)+ROW(cttba_vltb1_1)-10),KLVT!$A788,OFFSET(cttba_vlvt1_1,0,-4,-ROW(cttba_vlvt1_1)+ROW(cttba_vltb1_1)-10))</f>
        <v>0</v>
      </c>
      <c r="G788" s="451">
        <f t="shared" ca="1" si="127"/>
        <v>0</v>
      </c>
      <c r="H788" s="450">
        <f t="shared" si="128"/>
        <v>1</v>
      </c>
      <c r="I788" s="447">
        <f t="shared" ca="1" si="129"/>
        <v>0</v>
      </c>
      <c r="J788" s="447">
        <f t="shared" ca="1" si="130"/>
        <v>0</v>
      </c>
      <c r="K788" s="373">
        <f t="shared" ca="1" si="126"/>
        <v>0</v>
      </c>
    </row>
    <row r="789" spans="1:11" s="45" customFormat="1" ht="15.75" hidden="1">
      <c r="A789" s="373" t="str">
        <f>IF(AND(COUNTIF($A$5:$A$133,R_DG!A663)=0,R_DG!R663&gt;0,ISNUMBER(R_DG!R663)),R_DG!A663,"NONE")</f>
        <v>NONE</v>
      </c>
      <c r="B789" s="85">
        <f ca="1">IF(K789&gt;0,COUNTIF(K$6:K789,"&gt;0"),B788)</f>
        <v>34</v>
      </c>
      <c r="C789" s="1084">
        <f t="shared" si="124"/>
        <v>0</v>
      </c>
      <c r="D789" s="85">
        <f t="shared" si="125"/>
        <v>0</v>
      </c>
      <c r="E789" s="448">
        <f ca="1">SUMIF(OFFSET(tongctvtdd1,0,-(COLUMN(E789)+7-(COLUMN(E789)-5)/2)),KLVT!$A789,tongctvtdd1)+SUMIF(OFFSET(tongctvtpk1,0,-(COLUMN(E789)+7-(COLUMN(E789)-5)/2)),KLVT!$A789,tongctvtpk1)</f>
        <v>0</v>
      </c>
      <c r="F789" s="449">
        <f ca="1">SUMIF(OFFSET(cttba_vlvt1_1,0,-9,-ROW(cttba_vlvt1_1)+ROW(cttba_vltb1_1)-10),KLVT!$A789,OFFSET(cttba_vlvt1_1,0,-4,-ROW(cttba_vlvt1_1)+ROW(cttba_vltb1_1)-10))</f>
        <v>0</v>
      </c>
      <c r="G789" s="451">
        <f t="shared" ca="1" si="127"/>
        <v>0</v>
      </c>
      <c r="H789" s="450">
        <f t="shared" si="128"/>
        <v>1</v>
      </c>
      <c r="I789" s="447">
        <f t="shared" ca="1" si="129"/>
        <v>0</v>
      </c>
      <c r="J789" s="447">
        <f t="shared" ca="1" si="130"/>
        <v>0</v>
      </c>
      <c r="K789" s="374">
        <f t="shared" ca="1" si="126"/>
        <v>0</v>
      </c>
    </row>
    <row r="790" spans="1:11" s="45" customFormat="1" ht="15.75" hidden="1">
      <c r="A790" s="373" t="str">
        <f>IF(AND(COUNTIF($A$5:$A$133,R_DG!A664)=0,R_DG!R664&gt;0,ISNUMBER(R_DG!R664)),R_DG!A664,"NONE")</f>
        <v>NONE</v>
      </c>
      <c r="B790" s="85">
        <f ca="1">IF(K790&gt;0,COUNTIF(K$6:K790,"&gt;0"),B789)</f>
        <v>34</v>
      </c>
      <c r="C790" s="1084">
        <f t="shared" si="124"/>
        <v>0</v>
      </c>
      <c r="D790" s="85">
        <f t="shared" si="125"/>
        <v>0</v>
      </c>
      <c r="E790" s="448">
        <f ca="1">SUMIF(OFFSET(tongctvtdd1,0,-(COLUMN(E790)+7-(COLUMN(E790)-5)/2)),KLVT!$A790,tongctvtdd1)+SUMIF(OFFSET(tongctvtpk1,0,-(COLUMN(E790)+7-(COLUMN(E790)-5)/2)),KLVT!$A790,tongctvtpk1)</f>
        <v>0</v>
      </c>
      <c r="F790" s="449">
        <f ca="1">SUMIF(OFFSET(cttba_vlvt1_1,0,-9,-ROW(cttba_vlvt1_1)+ROW(cttba_vltb1_1)-10),KLVT!$A790,OFFSET(cttba_vlvt1_1,0,-4,-ROW(cttba_vlvt1_1)+ROW(cttba_vltb1_1)-10))</f>
        <v>0</v>
      </c>
      <c r="G790" s="451">
        <f t="shared" ca="1" si="127"/>
        <v>0</v>
      </c>
      <c r="H790" s="450">
        <f t="shared" si="128"/>
        <v>1</v>
      </c>
      <c r="I790" s="447">
        <f t="shared" ca="1" si="129"/>
        <v>0</v>
      </c>
      <c r="J790" s="447">
        <f t="shared" ca="1" si="130"/>
        <v>0</v>
      </c>
      <c r="K790" s="374">
        <f t="shared" ca="1" si="126"/>
        <v>0</v>
      </c>
    </row>
    <row r="791" spans="1:11" s="45" customFormat="1" ht="15.75" hidden="1">
      <c r="A791" s="373" t="str">
        <f>IF(AND(COUNTIF($A$5:$A$133,R_DG!A665)=0,R_DG!R665&gt;0,ISNUMBER(R_DG!R665)),R_DG!A665,"NONE")</f>
        <v>NONE</v>
      </c>
      <c r="B791" s="85">
        <f ca="1">IF(K791&gt;0,COUNTIF(K$6:K791,"&gt;0"),B790)</f>
        <v>34</v>
      </c>
      <c r="C791" s="1084">
        <f t="shared" si="124"/>
        <v>0</v>
      </c>
      <c r="D791" s="85">
        <f t="shared" si="125"/>
        <v>0</v>
      </c>
      <c r="E791" s="448">
        <f ca="1">SUMIF(OFFSET(tongctvtdd1,0,-(COLUMN(E791)+7-(COLUMN(E791)-5)/2)),KLVT!$A791,tongctvtdd1)+SUMIF(OFFSET(tongctvtpk1,0,-(COLUMN(E791)+7-(COLUMN(E791)-5)/2)),KLVT!$A791,tongctvtpk1)</f>
        <v>0</v>
      </c>
      <c r="F791" s="449">
        <f ca="1">SUMIF(OFFSET(cttba_vlvt1_1,0,-9,-ROW(cttba_vlvt1_1)+ROW(cttba_vltb1_1)-10),KLVT!$A791,OFFSET(cttba_vlvt1_1,0,-4,-ROW(cttba_vlvt1_1)+ROW(cttba_vltb1_1)-10))</f>
        <v>0</v>
      </c>
      <c r="G791" s="451">
        <f t="shared" ca="1" si="127"/>
        <v>0</v>
      </c>
      <c r="H791" s="450">
        <f t="shared" si="128"/>
        <v>1</v>
      </c>
      <c r="I791" s="447">
        <f t="shared" ca="1" si="129"/>
        <v>0</v>
      </c>
      <c r="J791" s="447">
        <f t="shared" ca="1" si="130"/>
        <v>0</v>
      </c>
      <c r="K791" s="374">
        <f t="shared" ca="1" si="126"/>
        <v>0</v>
      </c>
    </row>
    <row r="792" spans="1:11" s="45" customFormat="1" ht="15.75" hidden="1">
      <c r="A792" s="373" t="str">
        <f>IF(AND(COUNTIF($A$5:$A$133,R_DG!A666)=0,R_DG!R666&gt;0,ISNUMBER(R_DG!R666)),R_DG!A666,"NONE")</f>
        <v>NONE</v>
      </c>
      <c r="B792" s="85">
        <f ca="1">IF(K792&gt;0,COUNTIF(K$6:K792,"&gt;0"),B791)</f>
        <v>34</v>
      </c>
      <c r="C792" s="1084">
        <f t="shared" si="124"/>
        <v>0</v>
      </c>
      <c r="D792" s="85">
        <f t="shared" si="125"/>
        <v>0</v>
      </c>
      <c r="E792" s="448">
        <f ca="1">SUMIF(OFFSET(tongctvtdd1,0,-(COLUMN(E792)+7-(COLUMN(E792)-5)/2)),KLVT!$A792,tongctvtdd1)+SUMIF(OFFSET(tongctvtpk1,0,-(COLUMN(E792)+7-(COLUMN(E792)-5)/2)),KLVT!$A792,tongctvtpk1)</f>
        <v>0</v>
      </c>
      <c r="F792" s="449">
        <f ca="1">SUMIF(OFFSET(cttba_vlvt1_1,0,-9,-ROW(cttba_vlvt1_1)+ROW(cttba_vltb1_1)-10),KLVT!$A792,OFFSET(cttba_vlvt1_1,0,-4,-ROW(cttba_vlvt1_1)+ROW(cttba_vltb1_1)-10))</f>
        <v>0</v>
      </c>
      <c r="G792" s="451">
        <f t="shared" ca="1" si="127"/>
        <v>0</v>
      </c>
      <c r="H792" s="450">
        <f t="shared" si="128"/>
        <v>1</v>
      </c>
      <c r="I792" s="447">
        <f t="shared" ca="1" si="129"/>
        <v>0</v>
      </c>
      <c r="J792" s="447">
        <f t="shared" ca="1" si="130"/>
        <v>0</v>
      </c>
      <c r="K792" s="374">
        <f t="shared" ca="1" si="126"/>
        <v>0</v>
      </c>
    </row>
    <row r="793" spans="1:11" s="45" customFormat="1" ht="15.75" hidden="1">
      <c r="A793" s="373" t="str">
        <f>IF(AND(COUNTIF($A$5:$A$133,R_DG!A667)=0,R_DG!R667&gt;0,ISNUMBER(R_DG!R667)),R_DG!A667,"NONE")</f>
        <v>NONE</v>
      </c>
      <c r="B793" s="85">
        <f ca="1">IF(K793&gt;0,COUNTIF(K$6:K793,"&gt;0"),B792)</f>
        <v>34</v>
      </c>
      <c r="C793" s="1084">
        <f t="shared" si="124"/>
        <v>0</v>
      </c>
      <c r="D793" s="85">
        <f t="shared" si="125"/>
        <v>0</v>
      </c>
      <c r="E793" s="448">
        <f ca="1">SUMIF(OFFSET(tongctvtdd1,0,-(COLUMN(E793)+7-(COLUMN(E793)-5)/2)),KLVT!$A793,tongctvtdd1)+SUMIF(OFFSET(tongctvtpk1,0,-(COLUMN(E793)+7-(COLUMN(E793)-5)/2)),KLVT!$A793,tongctvtpk1)</f>
        <v>0</v>
      </c>
      <c r="F793" s="449">
        <f ca="1">SUMIF(OFFSET(cttba_vlvt1_1,0,-9,-ROW(cttba_vlvt1_1)+ROW(cttba_vltb1_1)-10),KLVT!$A793,OFFSET(cttba_vlvt1_1,0,-4,-ROW(cttba_vlvt1_1)+ROW(cttba_vltb1_1)-10))</f>
        <v>0</v>
      </c>
      <c r="G793" s="451">
        <f t="shared" ca="1" si="127"/>
        <v>0</v>
      </c>
      <c r="H793" s="450">
        <f t="shared" si="128"/>
        <v>1</v>
      </c>
      <c r="I793" s="447">
        <f t="shared" ca="1" si="129"/>
        <v>0</v>
      </c>
      <c r="J793" s="447">
        <f t="shared" ca="1" si="130"/>
        <v>0</v>
      </c>
      <c r="K793" s="374">
        <f t="shared" ca="1" si="126"/>
        <v>0</v>
      </c>
    </row>
    <row r="794" spans="1:11" s="45" customFormat="1" ht="15.75" hidden="1">
      <c r="A794" s="373" t="str">
        <f>IF(AND(COUNTIF($A$5:$A$133,R_DG!A668)=0,R_DG!R668&gt;0,ISNUMBER(R_DG!R668)),R_DG!A668,"NONE")</f>
        <v>NONE</v>
      </c>
      <c r="B794" s="85">
        <f ca="1">IF(K794&gt;0,COUNTIF(K$6:K794,"&gt;0"),B793)</f>
        <v>34</v>
      </c>
      <c r="C794" s="1084">
        <f t="shared" ref="C794:C857" si="131">VLOOKUP(A794,DONGIA,3,0)</f>
        <v>0</v>
      </c>
      <c r="D794" s="85">
        <f t="shared" ref="D794:D857" si="132">VLOOKUP(A794,DONGIA,4,0)</f>
        <v>0</v>
      </c>
      <c r="E794" s="448">
        <f ca="1">SUMIF(OFFSET(tongctvtdd1,0,-(COLUMN(E794)+7-(COLUMN(E794)-5)/2)),KLVT!$A794,tongctvtdd1)+SUMIF(OFFSET(tongctvtpk1,0,-(COLUMN(E794)+7-(COLUMN(E794)-5)/2)),KLVT!$A794,tongctvtpk1)</f>
        <v>0</v>
      </c>
      <c r="F794" s="449">
        <f ca="1">SUMIF(OFFSET(cttba_vlvt1_1,0,-9,-ROW(cttba_vlvt1_1)+ROW(cttba_vltb1_1)-10),KLVT!$A794,OFFSET(cttba_vlvt1_1,0,-4,-ROW(cttba_vlvt1_1)+ROW(cttba_vltb1_1)-10))</f>
        <v>0</v>
      </c>
      <c r="G794" s="451">
        <f t="shared" ca="1" si="127"/>
        <v>0</v>
      </c>
      <c r="H794" s="450">
        <f t="shared" si="128"/>
        <v>1</v>
      </c>
      <c r="I794" s="447">
        <f t="shared" ca="1" si="129"/>
        <v>0</v>
      </c>
      <c r="J794" s="447">
        <f t="shared" ca="1" si="130"/>
        <v>0</v>
      </c>
      <c r="K794" s="374">
        <f t="shared" ca="1" si="126"/>
        <v>0</v>
      </c>
    </row>
    <row r="795" spans="1:11" s="45" customFormat="1" ht="15.75" hidden="1">
      <c r="A795" s="373" t="str">
        <f>IF(AND(COUNTIF($A$5:$A$133,R_DG!A669)=0,R_DG!R669&gt;0,ISNUMBER(R_DG!R669)),R_DG!A669,"NONE")</f>
        <v>NONE</v>
      </c>
      <c r="B795" s="85">
        <f ca="1">IF(K795&gt;0,COUNTIF(K$6:K795,"&gt;0"),B794)</f>
        <v>34</v>
      </c>
      <c r="C795" s="1084">
        <f t="shared" si="131"/>
        <v>0</v>
      </c>
      <c r="D795" s="85">
        <f t="shared" si="132"/>
        <v>0</v>
      </c>
      <c r="E795" s="448">
        <f ca="1">SUMIF(OFFSET(tongctvtdd1,0,-(COLUMN(E795)+7-(COLUMN(E795)-5)/2)),KLVT!$A795,tongctvtdd1)+SUMIF(OFFSET(tongctvtpk1,0,-(COLUMN(E795)+7-(COLUMN(E795)-5)/2)),KLVT!$A795,tongctvtpk1)</f>
        <v>0</v>
      </c>
      <c r="F795" s="449">
        <f ca="1">SUMIF(OFFSET(cttba_vlvt1_1,0,-9,-ROW(cttba_vlvt1_1)+ROW(cttba_vltb1_1)-10),KLVT!$A795,OFFSET(cttba_vlvt1_1,0,-4,-ROW(cttba_vlvt1_1)+ROW(cttba_vltb1_1)-10))</f>
        <v>0</v>
      </c>
      <c r="G795" s="451">
        <f t="shared" ca="1" si="127"/>
        <v>0</v>
      </c>
      <c r="H795" s="450">
        <f t="shared" si="128"/>
        <v>1</v>
      </c>
      <c r="I795" s="447">
        <f t="shared" ca="1" si="129"/>
        <v>0</v>
      </c>
      <c r="J795" s="447">
        <f t="shared" ca="1" si="130"/>
        <v>0</v>
      </c>
      <c r="K795" s="373">
        <f t="shared" ca="1" si="126"/>
        <v>0</v>
      </c>
    </row>
    <row r="796" spans="1:11" s="45" customFormat="1" ht="15.75" hidden="1">
      <c r="A796" s="373" t="str">
        <f>IF(AND(COUNTIF($A$5:$A$133,R_DG!A670)=0,R_DG!R670&gt;0,ISNUMBER(R_DG!R670)),R_DG!A670,"NONE")</f>
        <v>NONE</v>
      </c>
      <c r="B796" s="85">
        <f ca="1">IF(K796&gt;0,COUNTIF(K$6:K796,"&gt;0"),B795)</f>
        <v>34</v>
      </c>
      <c r="C796" s="1084">
        <f t="shared" si="131"/>
        <v>0</v>
      </c>
      <c r="D796" s="85">
        <f t="shared" si="132"/>
        <v>0</v>
      </c>
      <c r="E796" s="448">
        <f ca="1">SUMIF(OFFSET(tongctvtdd1,0,-(COLUMN(E796)+7-(COLUMN(E796)-5)/2)),KLVT!$A796,tongctvtdd1)+SUMIF(OFFSET(tongctvtpk1,0,-(COLUMN(E796)+7-(COLUMN(E796)-5)/2)),KLVT!$A796,tongctvtpk1)</f>
        <v>0</v>
      </c>
      <c r="F796" s="449">
        <f ca="1">SUMIF(OFFSET(cttba_vlvt1_1,0,-9,-ROW(cttba_vlvt1_1)+ROW(cttba_vltb1_1)-10),KLVT!$A796,OFFSET(cttba_vlvt1_1,0,-4,-ROW(cttba_vlvt1_1)+ROW(cttba_vltb1_1)-10))</f>
        <v>0</v>
      </c>
      <c r="G796" s="451">
        <f t="shared" ca="1" si="127"/>
        <v>0</v>
      </c>
      <c r="H796" s="450">
        <f t="shared" si="128"/>
        <v>1</v>
      </c>
      <c r="I796" s="447">
        <f t="shared" ca="1" si="129"/>
        <v>0</v>
      </c>
      <c r="J796" s="447">
        <f t="shared" ca="1" si="130"/>
        <v>0</v>
      </c>
      <c r="K796" s="373">
        <f t="shared" ca="1" si="126"/>
        <v>0</v>
      </c>
    </row>
    <row r="797" spans="1:11" s="45" customFormat="1" ht="15.75" hidden="1">
      <c r="A797" s="373" t="str">
        <f>IF(AND(COUNTIF($A$5:$A$133,R_DG!A671)=0,R_DG!R671&gt;0,ISNUMBER(R_DG!R671)),R_DG!A671,"NONE")</f>
        <v>NONE</v>
      </c>
      <c r="B797" s="85">
        <f ca="1">IF(K797&gt;0,COUNTIF(K$6:K797,"&gt;0"),B796)</f>
        <v>34</v>
      </c>
      <c r="C797" s="1084">
        <f t="shared" si="131"/>
        <v>0</v>
      </c>
      <c r="D797" s="85">
        <f t="shared" si="132"/>
        <v>0</v>
      </c>
      <c r="E797" s="448">
        <f ca="1">SUMIF(OFFSET(tongctvtdd1,0,-(COLUMN(E797)+7-(COLUMN(E797)-5)/2)),KLVT!$A797,tongctvtdd1)+SUMIF(OFFSET(tongctvtpk1,0,-(COLUMN(E797)+7-(COLUMN(E797)-5)/2)),KLVT!$A797,tongctvtpk1)</f>
        <v>0</v>
      </c>
      <c r="F797" s="449">
        <f ca="1">SUMIF(OFFSET(cttba_vlvt1_1,0,-9,-ROW(cttba_vlvt1_1)+ROW(cttba_vltb1_1)-10),KLVT!$A797,OFFSET(cttba_vlvt1_1,0,-4,-ROW(cttba_vlvt1_1)+ROW(cttba_vltb1_1)-10))</f>
        <v>0</v>
      </c>
      <c r="G797" s="451">
        <f t="shared" ca="1" si="127"/>
        <v>0</v>
      </c>
      <c r="H797" s="450">
        <f t="shared" si="128"/>
        <v>1</v>
      </c>
      <c r="I797" s="447">
        <f t="shared" ca="1" si="129"/>
        <v>0</v>
      </c>
      <c r="J797" s="447">
        <f t="shared" ca="1" si="130"/>
        <v>0</v>
      </c>
      <c r="K797" s="373">
        <f t="shared" ca="1" si="126"/>
        <v>0</v>
      </c>
    </row>
    <row r="798" spans="1:11" s="45" customFormat="1" ht="15.75" hidden="1">
      <c r="A798" s="373" t="str">
        <f>IF(AND(COUNTIF($A$5:$A$133,R_DG!A672)=0,R_DG!R672&gt;0,ISNUMBER(R_DG!R672)),R_DG!A672,"NONE")</f>
        <v>NONE</v>
      </c>
      <c r="B798" s="85">
        <f ca="1">IF(K798&gt;0,COUNTIF(K$6:K798,"&gt;0"),B797)</f>
        <v>34</v>
      </c>
      <c r="C798" s="1084">
        <f t="shared" si="131"/>
        <v>0</v>
      </c>
      <c r="D798" s="85">
        <f t="shared" si="132"/>
        <v>0</v>
      </c>
      <c r="E798" s="448">
        <f ca="1">SUMIF(OFFSET(tongctvtdd1,0,-(COLUMN(E798)+7-(COLUMN(E798)-5)/2)),KLVT!$A798,tongctvtdd1)+SUMIF(OFFSET(tongctvtpk1,0,-(COLUMN(E798)+7-(COLUMN(E798)-5)/2)),KLVT!$A798,tongctvtpk1)</f>
        <v>0</v>
      </c>
      <c r="F798" s="449">
        <f ca="1">SUMIF(OFFSET(cttba_vlvt1_1,0,-9,-ROW(cttba_vlvt1_1)+ROW(cttba_vltb1_1)-10),KLVT!$A798,OFFSET(cttba_vlvt1_1,0,-4,-ROW(cttba_vlvt1_1)+ROW(cttba_vltb1_1)-10))</f>
        <v>0</v>
      </c>
      <c r="G798" s="451">
        <f t="shared" ca="1" si="127"/>
        <v>0</v>
      </c>
      <c r="H798" s="450">
        <f t="shared" si="128"/>
        <v>1</v>
      </c>
      <c r="I798" s="447">
        <f t="shared" ca="1" si="129"/>
        <v>0</v>
      </c>
      <c r="J798" s="447">
        <f t="shared" ca="1" si="130"/>
        <v>0</v>
      </c>
      <c r="K798" s="374">
        <f t="shared" ca="1" si="126"/>
        <v>0</v>
      </c>
    </row>
    <row r="799" spans="1:11" s="45" customFormat="1" ht="15.75" hidden="1">
      <c r="A799" s="373" t="str">
        <f>IF(AND(COUNTIF($A$5:$A$133,R_DG!A673)=0,R_DG!R673&gt;0,ISNUMBER(R_DG!R673)),R_DG!A673,"NONE")</f>
        <v>NONE</v>
      </c>
      <c r="B799" s="85">
        <f ca="1">IF(K799&gt;0,COUNTIF(K$6:K799,"&gt;0"),B798)</f>
        <v>34</v>
      </c>
      <c r="C799" s="1084">
        <f t="shared" si="131"/>
        <v>0</v>
      </c>
      <c r="D799" s="85">
        <f t="shared" si="132"/>
        <v>0</v>
      </c>
      <c r="E799" s="448">
        <f ca="1">SUMIF(OFFSET(tongctvtdd1,0,-(COLUMN(E799)+7-(COLUMN(E799)-5)/2)),KLVT!$A799,tongctvtdd1)+SUMIF(OFFSET(tongctvtpk1,0,-(COLUMN(E799)+7-(COLUMN(E799)-5)/2)),KLVT!$A799,tongctvtpk1)</f>
        <v>0</v>
      </c>
      <c r="F799" s="449">
        <f ca="1">SUMIF(OFFSET(cttba_vlvt1_1,0,-9,-ROW(cttba_vlvt1_1)+ROW(cttba_vltb1_1)-10),KLVT!$A799,OFFSET(cttba_vlvt1_1,0,-4,-ROW(cttba_vlvt1_1)+ROW(cttba_vltb1_1)-10))</f>
        <v>0</v>
      </c>
      <c r="G799" s="451">
        <f t="shared" ca="1" si="127"/>
        <v>0</v>
      </c>
      <c r="H799" s="450">
        <f t="shared" si="128"/>
        <v>1</v>
      </c>
      <c r="I799" s="447">
        <f t="shared" ca="1" si="129"/>
        <v>0</v>
      </c>
      <c r="J799" s="447">
        <f t="shared" ca="1" si="130"/>
        <v>0</v>
      </c>
      <c r="K799" s="373">
        <f t="shared" ca="1" si="126"/>
        <v>0</v>
      </c>
    </row>
    <row r="800" spans="1:11" s="45" customFormat="1" ht="15.75" hidden="1">
      <c r="A800" s="373" t="str">
        <f>IF(AND(COUNTIF($A$5:$A$133,R_DG!A674)=0,R_DG!R674&gt;0,ISNUMBER(R_DG!R674)),R_DG!A674,"NONE")</f>
        <v>NONE</v>
      </c>
      <c r="B800" s="85">
        <f ca="1">IF(K800&gt;0,COUNTIF(K$6:K800,"&gt;0"),B799)</f>
        <v>34</v>
      </c>
      <c r="C800" s="1084">
        <f t="shared" si="131"/>
        <v>0</v>
      </c>
      <c r="D800" s="85">
        <f t="shared" si="132"/>
        <v>0</v>
      </c>
      <c r="E800" s="448">
        <f ca="1">SUMIF(OFFSET(tongctvtdd1,0,-(COLUMN(E800)+7-(COLUMN(E800)-5)/2)),KLVT!$A800,tongctvtdd1)+SUMIF(OFFSET(tongctvtpk1,0,-(COLUMN(E800)+7-(COLUMN(E800)-5)/2)),KLVT!$A800,tongctvtpk1)</f>
        <v>0</v>
      </c>
      <c r="F800" s="449">
        <f ca="1">SUMIF(OFFSET(cttba_vlvt1_1,0,-9,-ROW(cttba_vlvt1_1)+ROW(cttba_vltb1_1)-10),KLVT!$A800,OFFSET(cttba_vlvt1_1,0,-4,-ROW(cttba_vlvt1_1)+ROW(cttba_vltb1_1)-10))</f>
        <v>0</v>
      </c>
      <c r="G800" s="451">
        <f t="shared" ca="1" si="127"/>
        <v>0</v>
      </c>
      <c r="H800" s="450">
        <f t="shared" si="128"/>
        <v>1</v>
      </c>
      <c r="I800" s="447">
        <f t="shared" ca="1" si="129"/>
        <v>0</v>
      </c>
      <c r="J800" s="447">
        <f t="shared" ca="1" si="130"/>
        <v>0</v>
      </c>
      <c r="K800" s="373">
        <f t="shared" ca="1" si="126"/>
        <v>0</v>
      </c>
    </row>
    <row r="801" spans="1:11" s="45" customFormat="1" ht="15.75" hidden="1">
      <c r="A801" s="373" t="str">
        <f>IF(AND(COUNTIF($A$5:$A$133,R_DG!A675)=0,R_DG!R675&gt;0,ISNUMBER(R_DG!R675)),R_DG!A675,"NONE")</f>
        <v>NONE</v>
      </c>
      <c r="B801" s="85">
        <f ca="1">IF(K801&gt;0,COUNTIF(K$6:K801,"&gt;0"),B800)</f>
        <v>34</v>
      </c>
      <c r="C801" s="1084">
        <f t="shared" si="131"/>
        <v>0</v>
      </c>
      <c r="D801" s="85">
        <f t="shared" si="132"/>
        <v>0</v>
      </c>
      <c r="E801" s="448">
        <f ca="1">SUMIF(OFFSET(tongctvtdd1,0,-(COLUMN(E801)+7-(COLUMN(E801)-5)/2)),KLVT!$A801,tongctvtdd1)+SUMIF(OFFSET(tongctvtpk1,0,-(COLUMN(E801)+7-(COLUMN(E801)-5)/2)),KLVT!$A801,tongctvtpk1)</f>
        <v>0</v>
      </c>
      <c r="F801" s="449">
        <f ca="1">SUMIF(OFFSET(cttba_vlvt1_1,0,-9,-ROW(cttba_vlvt1_1)+ROW(cttba_vltb1_1)-10),KLVT!$A801,OFFSET(cttba_vlvt1_1,0,-4,-ROW(cttba_vlvt1_1)+ROW(cttba_vltb1_1)-10))</f>
        <v>0</v>
      </c>
      <c r="G801" s="451">
        <f t="shared" ca="1" si="127"/>
        <v>0</v>
      </c>
      <c r="H801" s="450">
        <f t="shared" si="128"/>
        <v>1</v>
      </c>
      <c r="I801" s="447">
        <f t="shared" ca="1" si="129"/>
        <v>0</v>
      </c>
      <c r="J801" s="447">
        <f t="shared" ca="1" si="130"/>
        <v>0</v>
      </c>
      <c r="K801" s="373">
        <f t="shared" ca="1" si="126"/>
        <v>0</v>
      </c>
    </row>
    <row r="802" spans="1:11" s="45" customFormat="1" ht="15.75" hidden="1">
      <c r="A802" s="373" t="str">
        <f>IF(AND(COUNTIF($A$5:$A$133,R_DG!A676)=0,R_DG!R676&gt;0,ISNUMBER(R_DG!R676)),R_DG!A676,"NONE")</f>
        <v>NONE</v>
      </c>
      <c r="B802" s="85">
        <f ca="1">IF(K802&gt;0,COUNTIF(K$6:K802,"&gt;0"),B801)</f>
        <v>34</v>
      </c>
      <c r="C802" s="1084">
        <f t="shared" si="131"/>
        <v>0</v>
      </c>
      <c r="D802" s="85">
        <f t="shared" si="132"/>
        <v>0</v>
      </c>
      <c r="E802" s="448">
        <f ca="1">SUMIF(OFFSET(tongctvtdd1,0,-(COLUMN(E802)+7-(COLUMN(E802)-5)/2)),KLVT!$A802,tongctvtdd1)+SUMIF(OFFSET(tongctvtpk1,0,-(COLUMN(E802)+7-(COLUMN(E802)-5)/2)),KLVT!$A802,tongctvtpk1)</f>
        <v>0</v>
      </c>
      <c r="F802" s="449">
        <f ca="1">SUMIF(OFFSET(cttba_vlvt1_1,0,-9,-ROW(cttba_vlvt1_1)+ROW(cttba_vltb1_1)-10),KLVT!$A802,OFFSET(cttba_vlvt1_1,0,-4,-ROW(cttba_vlvt1_1)+ROW(cttba_vltb1_1)-10))</f>
        <v>0</v>
      </c>
      <c r="G802" s="451">
        <f t="shared" ca="1" si="127"/>
        <v>0</v>
      </c>
      <c r="H802" s="450">
        <f t="shared" si="128"/>
        <v>1</v>
      </c>
      <c r="I802" s="447">
        <f t="shared" ca="1" si="129"/>
        <v>0</v>
      </c>
      <c r="J802" s="447">
        <f t="shared" ca="1" si="130"/>
        <v>0</v>
      </c>
      <c r="K802" s="373">
        <f t="shared" ca="1" si="126"/>
        <v>0</v>
      </c>
    </row>
    <row r="803" spans="1:11" s="45" customFormat="1" ht="15.75" hidden="1">
      <c r="A803" s="373" t="str">
        <f>IF(AND(COUNTIF($A$5:$A$133,R_DG!A677)=0,R_DG!R677&gt;0,ISNUMBER(R_DG!R677)),R_DG!A677,"NONE")</f>
        <v>NONE</v>
      </c>
      <c r="B803" s="85">
        <f ca="1">IF(K803&gt;0,COUNTIF(K$6:K803,"&gt;0"),B802)</f>
        <v>34</v>
      </c>
      <c r="C803" s="1084">
        <f t="shared" si="131"/>
        <v>0</v>
      </c>
      <c r="D803" s="85">
        <f t="shared" si="132"/>
        <v>0</v>
      </c>
      <c r="E803" s="448">
        <f ca="1">SUMIF(OFFSET(tongctvtdd1,0,-(COLUMN(E803)+7-(COLUMN(E803)-5)/2)),KLVT!$A803,tongctvtdd1)+SUMIF(OFFSET(tongctvtpk1,0,-(COLUMN(E803)+7-(COLUMN(E803)-5)/2)),KLVT!$A803,tongctvtpk1)</f>
        <v>0</v>
      </c>
      <c r="F803" s="449">
        <f ca="1">SUMIF(OFFSET(cttba_vlvt1_1,0,-9,-ROW(cttba_vlvt1_1)+ROW(cttba_vltb1_1)-10),KLVT!$A803,OFFSET(cttba_vlvt1_1,0,-4,-ROW(cttba_vlvt1_1)+ROW(cttba_vltb1_1)-10))</f>
        <v>0</v>
      </c>
      <c r="G803" s="451">
        <f t="shared" ca="1" si="127"/>
        <v>0</v>
      </c>
      <c r="H803" s="450">
        <f t="shared" si="128"/>
        <v>1</v>
      </c>
      <c r="I803" s="447">
        <f t="shared" ca="1" si="129"/>
        <v>0</v>
      </c>
      <c r="J803" s="447">
        <f t="shared" ca="1" si="130"/>
        <v>0</v>
      </c>
      <c r="K803" s="373">
        <f t="shared" ca="1" si="126"/>
        <v>0</v>
      </c>
    </row>
    <row r="804" spans="1:11" s="45" customFormat="1" ht="15.75" hidden="1">
      <c r="A804" s="373" t="str">
        <f>IF(AND(COUNTIF($A$5:$A$133,R_DG!A678)=0,R_DG!R678&gt;0,ISNUMBER(R_DG!R678)),R_DG!A678,"NONE")</f>
        <v>NONE</v>
      </c>
      <c r="B804" s="85">
        <f ca="1">IF(K804&gt;0,COUNTIF(K$6:K804,"&gt;0"),B803)</f>
        <v>34</v>
      </c>
      <c r="C804" s="1084">
        <f t="shared" si="131"/>
        <v>0</v>
      </c>
      <c r="D804" s="85">
        <f t="shared" si="132"/>
        <v>0</v>
      </c>
      <c r="E804" s="448">
        <f ca="1">SUMIF(OFFSET(tongctvtdd1,0,-(COLUMN(E804)+7-(COLUMN(E804)-5)/2)),KLVT!$A804,tongctvtdd1)+SUMIF(OFFSET(tongctvtpk1,0,-(COLUMN(E804)+7-(COLUMN(E804)-5)/2)),KLVT!$A804,tongctvtpk1)</f>
        <v>0</v>
      </c>
      <c r="F804" s="449">
        <f ca="1">SUMIF(OFFSET(cttba_vlvt1_1,0,-9,-ROW(cttba_vlvt1_1)+ROW(cttba_vltb1_1)-10),KLVT!$A804,OFFSET(cttba_vlvt1_1,0,-4,-ROW(cttba_vlvt1_1)+ROW(cttba_vltb1_1)-10))</f>
        <v>0</v>
      </c>
      <c r="G804" s="451">
        <f t="shared" ca="1" si="127"/>
        <v>0</v>
      </c>
      <c r="H804" s="450">
        <f t="shared" si="128"/>
        <v>1</v>
      </c>
      <c r="I804" s="447">
        <f t="shared" ca="1" si="129"/>
        <v>0</v>
      </c>
      <c r="J804" s="447">
        <f t="shared" ca="1" si="130"/>
        <v>0</v>
      </c>
      <c r="K804" s="373">
        <f t="shared" ca="1" si="126"/>
        <v>0</v>
      </c>
    </row>
    <row r="805" spans="1:11" s="45" customFormat="1" ht="15.75" hidden="1">
      <c r="A805" s="373" t="str">
        <f>IF(AND(COUNTIF($A$5:$A$133,R_DG!A679)=0,R_DG!R679&gt;0,ISNUMBER(R_DG!R679)),R_DG!A679,"NONE")</f>
        <v>NONE</v>
      </c>
      <c r="B805" s="85">
        <f ca="1">IF(K805&gt;0,COUNTIF(K$6:K805,"&gt;0"),B804)</f>
        <v>34</v>
      </c>
      <c r="C805" s="1084">
        <f t="shared" si="131"/>
        <v>0</v>
      </c>
      <c r="D805" s="85">
        <f t="shared" si="132"/>
        <v>0</v>
      </c>
      <c r="E805" s="448">
        <f ca="1">SUMIF(OFFSET(tongctvtdd1,0,-(COLUMN(E805)+7-(COLUMN(E805)-5)/2)),KLVT!$A805,tongctvtdd1)+SUMIF(OFFSET(tongctvtpk1,0,-(COLUMN(E805)+7-(COLUMN(E805)-5)/2)),KLVT!$A805,tongctvtpk1)</f>
        <v>0</v>
      </c>
      <c r="F805" s="449">
        <f ca="1">SUMIF(OFFSET(cttba_vlvt1_1,0,-9,-ROW(cttba_vlvt1_1)+ROW(cttba_vltb1_1)-10),KLVT!$A805,OFFSET(cttba_vlvt1_1,0,-4,-ROW(cttba_vlvt1_1)+ROW(cttba_vltb1_1)-10))</f>
        <v>0</v>
      </c>
      <c r="G805" s="451">
        <f t="shared" ca="1" si="127"/>
        <v>0</v>
      </c>
      <c r="H805" s="450">
        <f t="shared" si="128"/>
        <v>1</v>
      </c>
      <c r="I805" s="447">
        <f t="shared" ca="1" si="129"/>
        <v>0</v>
      </c>
      <c r="J805" s="447">
        <f t="shared" ca="1" si="130"/>
        <v>0</v>
      </c>
      <c r="K805" s="373">
        <f t="shared" ca="1" si="126"/>
        <v>0</v>
      </c>
    </row>
    <row r="806" spans="1:11" s="45" customFormat="1" ht="15.75" hidden="1">
      <c r="A806" s="373" t="str">
        <f>IF(AND(COUNTIF($A$5:$A$133,R_DG!A680)=0,R_DG!R680&gt;0,ISNUMBER(R_DG!R680)),R_DG!A680,"NONE")</f>
        <v>NONE</v>
      </c>
      <c r="B806" s="85">
        <f ca="1">IF(K806&gt;0,COUNTIF(K$6:K806,"&gt;0"),B805)</f>
        <v>34</v>
      </c>
      <c r="C806" s="1084">
        <f t="shared" si="131"/>
        <v>0</v>
      </c>
      <c r="D806" s="85">
        <f t="shared" si="132"/>
        <v>0</v>
      </c>
      <c r="E806" s="448">
        <f ca="1">SUMIF(OFFSET(tongctvtdd1,0,-(COLUMN(E806)+7-(COLUMN(E806)-5)/2)),KLVT!$A806,tongctvtdd1)+SUMIF(OFFSET(tongctvtpk1,0,-(COLUMN(E806)+7-(COLUMN(E806)-5)/2)),KLVT!$A806,tongctvtpk1)</f>
        <v>0</v>
      </c>
      <c r="F806" s="449">
        <f ca="1">SUMIF(OFFSET(cttba_vlvt1_1,0,-9,-ROW(cttba_vlvt1_1)+ROW(cttba_vltb1_1)-10),KLVT!$A806,OFFSET(cttba_vlvt1_1,0,-4,-ROW(cttba_vlvt1_1)+ROW(cttba_vltb1_1)-10))</f>
        <v>0</v>
      </c>
      <c r="G806" s="451">
        <f t="shared" ca="1" si="127"/>
        <v>0</v>
      </c>
      <c r="H806" s="450">
        <f t="shared" si="128"/>
        <v>1</v>
      </c>
      <c r="I806" s="447">
        <f t="shared" ca="1" si="129"/>
        <v>0</v>
      </c>
      <c r="J806" s="447">
        <f t="shared" ca="1" si="130"/>
        <v>0</v>
      </c>
      <c r="K806" s="373">
        <f t="shared" ca="1" si="126"/>
        <v>0</v>
      </c>
    </row>
    <row r="807" spans="1:11" s="45" customFormat="1" ht="15.75" hidden="1">
      <c r="A807" s="373" t="str">
        <f>IF(AND(COUNTIF($A$5:$A$133,R_DG!A681)=0,R_DG!R681&gt;0,ISNUMBER(R_DG!R681)),R_DG!A681,"NONE")</f>
        <v>NONE</v>
      </c>
      <c r="B807" s="85">
        <f ca="1">IF(K807&gt;0,COUNTIF(K$6:K807,"&gt;0"),B806)</f>
        <v>34</v>
      </c>
      <c r="C807" s="1084">
        <f t="shared" si="131"/>
        <v>0</v>
      </c>
      <c r="D807" s="85">
        <f t="shared" si="132"/>
        <v>0</v>
      </c>
      <c r="E807" s="448">
        <f ca="1">SUMIF(OFFSET(tongctvtdd1,0,-(COLUMN(E807)+7-(COLUMN(E807)-5)/2)),KLVT!$A807,tongctvtdd1)+SUMIF(OFFSET(tongctvtpk1,0,-(COLUMN(E807)+7-(COLUMN(E807)-5)/2)),KLVT!$A807,tongctvtpk1)</f>
        <v>0</v>
      </c>
      <c r="F807" s="449">
        <f ca="1">SUMIF(OFFSET(cttba_vlvt1_1,0,-9,-ROW(cttba_vlvt1_1)+ROW(cttba_vltb1_1)-10),KLVT!$A807,OFFSET(cttba_vlvt1_1,0,-4,-ROW(cttba_vlvt1_1)+ROW(cttba_vltb1_1)-10))</f>
        <v>0</v>
      </c>
      <c r="G807" s="451">
        <f t="shared" ca="1" si="127"/>
        <v>0</v>
      </c>
      <c r="H807" s="450">
        <f t="shared" si="128"/>
        <v>1</v>
      </c>
      <c r="I807" s="447">
        <f t="shared" ca="1" si="129"/>
        <v>0</v>
      </c>
      <c r="J807" s="447">
        <f t="shared" ca="1" si="130"/>
        <v>0</v>
      </c>
      <c r="K807" s="374">
        <f t="shared" ca="1" si="126"/>
        <v>0</v>
      </c>
    </row>
    <row r="808" spans="1:11" s="45" customFormat="1" ht="15.75" hidden="1">
      <c r="A808" s="373" t="str">
        <f>IF(AND(COUNTIF($A$5:$A$133,R_DG!A682)=0,R_DG!R682&gt;0,ISNUMBER(R_DG!R682)),R_DG!A682,"NONE")</f>
        <v>NONE</v>
      </c>
      <c r="B808" s="85">
        <f ca="1">IF(K808&gt;0,COUNTIF(K$6:K808,"&gt;0"),B807)</f>
        <v>34</v>
      </c>
      <c r="C808" s="1084">
        <f t="shared" si="131"/>
        <v>0</v>
      </c>
      <c r="D808" s="85">
        <f t="shared" si="132"/>
        <v>0</v>
      </c>
      <c r="E808" s="448">
        <f ca="1">SUMIF(OFFSET(tongctvtdd1,0,-(COLUMN(E808)+7-(COLUMN(E808)-5)/2)),KLVT!$A808,tongctvtdd1)+SUMIF(OFFSET(tongctvtpk1,0,-(COLUMN(E808)+7-(COLUMN(E808)-5)/2)),KLVT!$A808,tongctvtpk1)</f>
        <v>0</v>
      </c>
      <c r="F808" s="449">
        <f ca="1">SUMIF(OFFSET(cttba_vlvt1_1,0,-9,-ROW(cttba_vlvt1_1)+ROW(cttba_vltb1_1)-10),KLVT!$A808,OFFSET(cttba_vlvt1_1,0,-4,-ROW(cttba_vlvt1_1)+ROW(cttba_vltb1_1)-10))</f>
        <v>0</v>
      </c>
      <c r="G808" s="451">
        <f t="shared" ca="1" si="127"/>
        <v>0</v>
      </c>
      <c r="H808" s="450">
        <f t="shared" si="128"/>
        <v>1</v>
      </c>
      <c r="I808" s="447">
        <f t="shared" ca="1" si="129"/>
        <v>0</v>
      </c>
      <c r="J808" s="447">
        <f t="shared" ca="1" si="130"/>
        <v>0</v>
      </c>
      <c r="K808" s="373">
        <f t="shared" ca="1" si="126"/>
        <v>0</v>
      </c>
    </row>
    <row r="809" spans="1:11" s="45" customFormat="1" ht="15.75" hidden="1">
      <c r="A809" s="373" t="str">
        <f>IF(AND(COUNTIF($A$5:$A$133,R_DG!A683)=0,R_DG!R683&gt;0,ISNUMBER(R_DG!R683)),R_DG!A683,"NONE")</f>
        <v>NONE</v>
      </c>
      <c r="B809" s="85">
        <f ca="1">IF(K809&gt;0,COUNTIF(K$6:K809,"&gt;0"),B808)</f>
        <v>34</v>
      </c>
      <c r="C809" s="1084">
        <f t="shared" si="131"/>
        <v>0</v>
      </c>
      <c r="D809" s="85">
        <f t="shared" si="132"/>
        <v>0</v>
      </c>
      <c r="E809" s="448">
        <f ca="1">SUMIF(OFFSET(tongctvtdd1,0,-(COLUMN(E809)+7-(COLUMN(E809)-5)/2)),KLVT!$A809,tongctvtdd1)+SUMIF(OFFSET(tongctvtpk1,0,-(COLUMN(E809)+7-(COLUMN(E809)-5)/2)),KLVT!$A809,tongctvtpk1)</f>
        <v>0</v>
      </c>
      <c r="F809" s="449">
        <f ca="1">SUMIF(OFFSET(cttba_vlvt1_1,0,-9,-ROW(cttba_vlvt1_1)+ROW(cttba_vltb1_1)-10),KLVT!$A809,OFFSET(cttba_vlvt1_1,0,-4,-ROW(cttba_vlvt1_1)+ROW(cttba_vltb1_1)-10))</f>
        <v>0</v>
      </c>
      <c r="G809" s="451">
        <f t="shared" ca="1" si="127"/>
        <v>0</v>
      </c>
      <c r="H809" s="450">
        <f t="shared" si="128"/>
        <v>1</v>
      </c>
      <c r="I809" s="447">
        <f t="shared" ca="1" si="129"/>
        <v>0</v>
      </c>
      <c r="J809" s="447">
        <f t="shared" ca="1" si="130"/>
        <v>0</v>
      </c>
      <c r="K809" s="373">
        <f t="shared" ca="1" si="126"/>
        <v>0</v>
      </c>
    </row>
    <row r="810" spans="1:11" s="45" customFormat="1" ht="15.75" hidden="1">
      <c r="A810" s="373" t="str">
        <f>IF(AND(COUNTIF($A$5:$A$133,R_DG!A684)=0,R_DG!R684&gt;0,ISNUMBER(R_DG!R684)),R_DG!A684,"NONE")</f>
        <v>NONE</v>
      </c>
      <c r="B810" s="85">
        <f ca="1">IF(K810&gt;0,COUNTIF(K$6:K810,"&gt;0"),B809)</f>
        <v>34</v>
      </c>
      <c r="C810" s="1084">
        <f t="shared" si="131"/>
        <v>0</v>
      </c>
      <c r="D810" s="85">
        <f t="shared" si="132"/>
        <v>0</v>
      </c>
      <c r="E810" s="448">
        <f ca="1">SUMIF(OFFSET(tongctvtdd1,0,-(COLUMN(E810)+7-(COLUMN(E810)-5)/2)),KLVT!$A810,tongctvtdd1)+SUMIF(OFFSET(tongctvtpk1,0,-(COLUMN(E810)+7-(COLUMN(E810)-5)/2)),KLVT!$A810,tongctvtpk1)</f>
        <v>0</v>
      </c>
      <c r="F810" s="449">
        <f ca="1">SUMIF(OFFSET(cttba_vlvt1_1,0,-9,-ROW(cttba_vlvt1_1)+ROW(cttba_vltb1_1)-10),KLVT!$A810,OFFSET(cttba_vlvt1_1,0,-4,-ROW(cttba_vlvt1_1)+ROW(cttba_vltb1_1)-10))</f>
        <v>0</v>
      </c>
      <c r="G810" s="451">
        <f t="shared" ca="1" si="127"/>
        <v>0</v>
      </c>
      <c r="H810" s="450">
        <f t="shared" si="128"/>
        <v>1</v>
      </c>
      <c r="I810" s="447">
        <f t="shared" ca="1" si="129"/>
        <v>0</v>
      </c>
      <c r="J810" s="447">
        <f t="shared" ca="1" si="130"/>
        <v>0</v>
      </c>
      <c r="K810" s="373">
        <f t="shared" ca="1" si="126"/>
        <v>0</v>
      </c>
    </row>
    <row r="811" spans="1:11" s="45" customFormat="1" ht="15.75" hidden="1">
      <c r="A811" s="373" t="str">
        <f>IF(AND(COUNTIF($A$5:$A$133,R_DG!A685)=0,R_DG!R685&gt;0,ISNUMBER(R_DG!R685)),R_DG!A685,"NONE")</f>
        <v>NONE</v>
      </c>
      <c r="B811" s="85">
        <f ca="1">IF(K811&gt;0,COUNTIF(K$6:K811,"&gt;0"),B810)</f>
        <v>34</v>
      </c>
      <c r="C811" s="1084">
        <f t="shared" si="131"/>
        <v>0</v>
      </c>
      <c r="D811" s="85">
        <f t="shared" si="132"/>
        <v>0</v>
      </c>
      <c r="E811" s="448">
        <f ca="1">SUMIF(OFFSET(tongctvtdd1,0,-(COLUMN(E811)+7-(COLUMN(E811)-5)/2)),KLVT!$A811,tongctvtdd1)+SUMIF(OFFSET(tongctvtpk1,0,-(COLUMN(E811)+7-(COLUMN(E811)-5)/2)),KLVT!$A811,tongctvtpk1)</f>
        <v>0</v>
      </c>
      <c r="F811" s="449">
        <f ca="1">SUMIF(OFFSET(cttba_vlvt1_1,0,-9,-ROW(cttba_vlvt1_1)+ROW(cttba_vltb1_1)-10),KLVT!$A811,OFFSET(cttba_vlvt1_1,0,-4,-ROW(cttba_vlvt1_1)+ROW(cttba_vltb1_1)-10))</f>
        <v>0</v>
      </c>
      <c r="G811" s="451">
        <f t="shared" ca="1" si="127"/>
        <v>0</v>
      </c>
      <c r="H811" s="450">
        <f t="shared" si="128"/>
        <v>1</v>
      </c>
      <c r="I811" s="447">
        <f t="shared" ca="1" si="129"/>
        <v>0</v>
      </c>
      <c r="J811" s="447">
        <f t="shared" ca="1" si="130"/>
        <v>0</v>
      </c>
      <c r="K811" s="373">
        <f t="shared" ca="1" si="126"/>
        <v>0</v>
      </c>
    </row>
    <row r="812" spans="1:11" s="45" customFormat="1" ht="15.75" hidden="1">
      <c r="A812" s="373" t="str">
        <f>IF(AND(COUNTIF($A$5:$A$133,R_DG!A686)=0,R_DG!R686&gt;0,ISNUMBER(R_DG!R686)),R_DG!A686,"NONE")</f>
        <v>NONE</v>
      </c>
      <c r="B812" s="85">
        <f ca="1">IF(K812&gt;0,COUNTIF(K$6:K812,"&gt;0"),B811)</f>
        <v>34</v>
      </c>
      <c r="C812" s="1084">
        <f t="shared" si="131"/>
        <v>0</v>
      </c>
      <c r="D812" s="85">
        <f t="shared" si="132"/>
        <v>0</v>
      </c>
      <c r="E812" s="448">
        <f ca="1">SUMIF(OFFSET(tongctvtdd1,0,-(COLUMN(E812)+7-(COLUMN(E812)-5)/2)),KLVT!$A812,tongctvtdd1)+SUMIF(OFFSET(tongctvtpk1,0,-(COLUMN(E812)+7-(COLUMN(E812)-5)/2)),KLVT!$A812,tongctvtpk1)</f>
        <v>0</v>
      </c>
      <c r="F812" s="449">
        <f ca="1">SUMIF(OFFSET(cttba_vlvt1_1,0,-9,-ROW(cttba_vlvt1_1)+ROW(cttba_vltb1_1)-10),KLVT!$A812,OFFSET(cttba_vlvt1_1,0,-4,-ROW(cttba_vlvt1_1)+ROW(cttba_vltb1_1)-10))</f>
        <v>0</v>
      </c>
      <c r="G812" s="451">
        <f t="shared" ca="1" si="127"/>
        <v>0</v>
      </c>
      <c r="H812" s="450">
        <f t="shared" si="128"/>
        <v>1</v>
      </c>
      <c r="I812" s="447">
        <f t="shared" ca="1" si="129"/>
        <v>0</v>
      </c>
      <c r="J812" s="447">
        <f t="shared" ca="1" si="130"/>
        <v>0</v>
      </c>
      <c r="K812" s="373">
        <f t="shared" ca="1" si="126"/>
        <v>0</v>
      </c>
    </row>
    <row r="813" spans="1:11" s="45" customFormat="1" ht="15.75" hidden="1">
      <c r="A813" s="373" t="str">
        <f>IF(AND(COUNTIF($A$5:$A$133,R_DG!A687)=0,R_DG!R687&gt;0,ISNUMBER(R_DG!R687)),R_DG!A687,"NONE")</f>
        <v>NONE</v>
      </c>
      <c r="B813" s="85">
        <f ca="1">IF(K813&gt;0,COUNTIF(K$6:K813,"&gt;0"),B812)</f>
        <v>34</v>
      </c>
      <c r="C813" s="1084">
        <f t="shared" si="131"/>
        <v>0</v>
      </c>
      <c r="D813" s="85">
        <f t="shared" si="132"/>
        <v>0</v>
      </c>
      <c r="E813" s="448">
        <f ca="1">SUMIF(OFFSET(tongctvtdd1,0,-(COLUMN(E813)+7-(COLUMN(E813)-5)/2)),KLVT!$A813,tongctvtdd1)+SUMIF(OFFSET(tongctvtpk1,0,-(COLUMN(E813)+7-(COLUMN(E813)-5)/2)),KLVT!$A813,tongctvtpk1)</f>
        <v>0</v>
      </c>
      <c r="F813" s="449">
        <f ca="1">SUMIF(OFFSET(cttba_vlvt1_1,0,-9,-ROW(cttba_vlvt1_1)+ROW(cttba_vltb1_1)-10),KLVT!$A813,OFFSET(cttba_vlvt1_1,0,-4,-ROW(cttba_vlvt1_1)+ROW(cttba_vltb1_1)-10))</f>
        <v>0</v>
      </c>
      <c r="G813" s="451">
        <f t="shared" ca="1" si="127"/>
        <v>0</v>
      </c>
      <c r="H813" s="450">
        <f t="shared" si="128"/>
        <v>1</v>
      </c>
      <c r="I813" s="447">
        <f t="shared" ca="1" si="129"/>
        <v>0</v>
      </c>
      <c r="J813" s="447">
        <f t="shared" ca="1" si="130"/>
        <v>0</v>
      </c>
      <c r="K813" s="373">
        <f t="shared" ca="1" si="126"/>
        <v>0</v>
      </c>
    </row>
    <row r="814" spans="1:11" s="45" customFormat="1" ht="15.75" hidden="1">
      <c r="A814" s="373" t="str">
        <f>IF(AND(COUNTIF($A$5:$A$133,R_DG!A688)=0,R_DG!R688&gt;0,ISNUMBER(R_DG!R688)),R_DG!A688,"NONE")</f>
        <v>NONE</v>
      </c>
      <c r="B814" s="85">
        <f ca="1">IF(K814&gt;0,COUNTIF(K$6:K814,"&gt;0"),B813)</f>
        <v>34</v>
      </c>
      <c r="C814" s="1084">
        <f t="shared" si="131"/>
        <v>0</v>
      </c>
      <c r="D814" s="85">
        <f t="shared" si="132"/>
        <v>0</v>
      </c>
      <c r="E814" s="448">
        <f ca="1">SUMIF(OFFSET(tongctvtdd1,0,-(COLUMN(E814)+7-(COLUMN(E814)-5)/2)),KLVT!$A814,tongctvtdd1)+SUMIF(OFFSET(tongctvtpk1,0,-(COLUMN(E814)+7-(COLUMN(E814)-5)/2)),KLVT!$A814,tongctvtpk1)</f>
        <v>0</v>
      </c>
      <c r="F814" s="449">
        <f ca="1">SUMIF(OFFSET(cttba_vlvt1_1,0,-9,-ROW(cttba_vlvt1_1)+ROW(cttba_vltb1_1)-10),KLVT!$A814,OFFSET(cttba_vlvt1_1,0,-4,-ROW(cttba_vlvt1_1)+ROW(cttba_vltb1_1)-10))</f>
        <v>0</v>
      </c>
      <c r="G814" s="451">
        <f t="shared" ca="1" si="127"/>
        <v>0</v>
      </c>
      <c r="H814" s="450">
        <f t="shared" si="128"/>
        <v>1</v>
      </c>
      <c r="I814" s="447">
        <f t="shared" ca="1" si="129"/>
        <v>0</v>
      </c>
      <c r="J814" s="447">
        <f t="shared" ca="1" si="130"/>
        <v>0</v>
      </c>
      <c r="K814" s="373">
        <f t="shared" ca="1" si="126"/>
        <v>0</v>
      </c>
    </row>
    <row r="815" spans="1:11" s="45" customFormat="1" ht="15.75" hidden="1">
      <c r="A815" s="373" t="str">
        <f>IF(AND(COUNTIF($A$5:$A$133,R_DG!A689)=0,R_DG!R689&gt;0,ISNUMBER(R_DG!R689)),R_DG!A689,"NONE")</f>
        <v>NONE</v>
      </c>
      <c r="B815" s="85">
        <f ca="1">IF(K815&gt;0,COUNTIF(K$6:K815,"&gt;0"),B814)</f>
        <v>34</v>
      </c>
      <c r="C815" s="1084">
        <f t="shared" si="131"/>
        <v>0</v>
      </c>
      <c r="D815" s="85">
        <f t="shared" si="132"/>
        <v>0</v>
      </c>
      <c r="E815" s="448">
        <f ca="1">SUMIF(OFFSET(tongctvtdd1,0,-(COLUMN(E815)+7-(COLUMN(E815)-5)/2)),KLVT!$A815,tongctvtdd1)+SUMIF(OFFSET(tongctvtpk1,0,-(COLUMN(E815)+7-(COLUMN(E815)-5)/2)),KLVT!$A815,tongctvtpk1)</f>
        <v>0</v>
      </c>
      <c r="F815" s="449">
        <f ca="1">SUMIF(OFFSET(cttba_vlvt1_1,0,-9,-ROW(cttba_vlvt1_1)+ROW(cttba_vltb1_1)-10),KLVT!$A815,OFFSET(cttba_vlvt1_1,0,-4,-ROW(cttba_vlvt1_1)+ROW(cttba_vltb1_1)-10))</f>
        <v>0</v>
      </c>
      <c r="G815" s="451">
        <f t="shared" ca="1" si="127"/>
        <v>0</v>
      </c>
      <c r="H815" s="450">
        <f t="shared" si="128"/>
        <v>1</v>
      </c>
      <c r="I815" s="447">
        <f t="shared" ca="1" si="129"/>
        <v>0</v>
      </c>
      <c r="J815" s="447">
        <f t="shared" ca="1" si="130"/>
        <v>0</v>
      </c>
      <c r="K815" s="373">
        <f t="shared" ca="1" si="126"/>
        <v>0</v>
      </c>
    </row>
    <row r="816" spans="1:11" s="45" customFormat="1" ht="15.75" hidden="1">
      <c r="A816" s="373" t="str">
        <f>IF(AND(COUNTIF($A$5:$A$133,R_DG!A690)=0,R_DG!R690&gt;0,ISNUMBER(R_DG!R690)),R_DG!A690,"NONE")</f>
        <v>NONE</v>
      </c>
      <c r="B816" s="85">
        <f ca="1">IF(K816&gt;0,COUNTIF(K$6:K816,"&gt;0"),B815)</f>
        <v>34</v>
      </c>
      <c r="C816" s="1084">
        <f t="shared" si="131"/>
        <v>0</v>
      </c>
      <c r="D816" s="85">
        <f t="shared" si="132"/>
        <v>0</v>
      </c>
      <c r="E816" s="448">
        <f ca="1">SUMIF(OFFSET(tongctvtdd1,0,-(COLUMN(E816)+7-(COLUMN(E816)-5)/2)),KLVT!$A816,tongctvtdd1)+SUMIF(OFFSET(tongctvtpk1,0,-(COLUMN(E816)+7-(COLUMN(E816)-5)/2)),KLVT!$A816,tongctvtpk1)</f>
        <v>0</v>
      </c>
      <c r="F816" s="449">
        <f ca="1">SUMIF(OFFSET(cttba_vlvt1_1,0,-9,-ROW(cttba_vlvt1_1)+ROW(cttba_vltb1_1)-10),KLVT!$A816,OFFSET(cttba_vlvt1_1,0,-4,-ROW(cttba_vlvt1_1)+ROW(cttba_vltb1_1)-10))</f>
        <v>0</v>
      </c>
      <c r="G816" s="451">
        <f t="shared" ca="1" si="127"/>
        <v>0</v>
      </c>
      <c r="H816" s="450">
        <f t="shared" si="128"/>
        <v>1</v>
      </c>
      <c r="I816" s="447">
        <f t="shared" ca="1" si="129"/>
        <v>0</v>
      </c>
      <c r="J816" s="447">
        <f t="shared" ca="1" si="130"/>
        <v>0</v>
      </c>
      <c r="K816" s="373">
        <f t="shared" ca="1" si="126"/>
        <v>0</v>
      </c>
    </row>
    <row r="817" spans="1:11" s="45" customFormat="1" ht="15.75" hidden="1">
      <c r="A817" s="373" t="str">
        <f>IF(AND(COUNTIF($A$5:$A$133,R_DG!A691)=0,R_DG!R691&gt;0,ISNUMBER(R_DG!R691)),R_DG!A691,"NONE")</f>
        <v>NONE</v>
      </c>
      <c r="B817" s="85">
        <f ca="1">IF(K817&gt;0,COUNTIF(K$6:K817,"&gt;0"),B816)</f>
        <v>34</v>
      </c>
      <c r="C817" s="1084">
        <f t="shared" si="131"/>
        <v>0</v>
      </c>
      <c r="D817" s="85">
        <f t="shared" si="132"/>
        <v>0</v>
      </c>
      <c r="E817" s="448">
        <f ca="1">SUMIF(OFFSET(tongctvtdd1,0,-(COLUMN(E817)+7-(COLUMN(E817)-5)/2)),KLVT!$A817,tongctvtdd1)+SUMIF(OFFSET(tongctvtpk1,0,-(COLUMN(E817)+7-(COLUMN(E817)-5)/2)),KLVT!$A817,tongctvtpk1)</f>
        <v>0</v>
      </c>
      <c r="F817" s="449">
        <f ca="1">SUMIF(OFFSET(cttba_vlvt1_1,0,-9,-ROW(cttba_vlvt1_1)+ROW(cttba_vltb1_1)-10),KLVT!$A817,OFFSET(cttba_vlvt1_1,0,-4,-ROW(cttba_vlvt1_1)+ROW(cttba_vltb1_1)-10))</f>
        <v>0</v>
      </c>
      <c r="G817" s="451">
        <f t="shared" ca="1" si="127"/>
        <v>0</v>
      </c>
      <c r="H817" s="450">
        <f t="shared" si="128"/>
        <v>1</v>
      </c>
      <c r="I817" s="447">
        <f t="shared" ca="1" si="129"/>
        <v>0</v>
      </c>
      <c r="J817" s="447">
        <f t="shared" ca="1" si="130"/>
        <v>0</v>
      </c>
      <c r="K817" s="373">
        <f t="shared" ca="1" si="126"/>
        <v>0</v>
      </c>
    </row>
    <row r="818" spans="1:11" s="45" customFormat="1" ht="15.75" hidden="1">
      <c r="A818" s="373" t="str">
        <f>IF(AND(COUNTIF($A$5:$A$133,R_DG!A692)=0,R_DG!R692&gt;0,ISNUMBER(R_DG!R692)),R_DG!A692,"NONE")</f>
        <v>NONE</v>
      </c>
      <c r="B818" s="85">
        <f ca="1">IF(K818&gt;0,COUNTIF(K$6:K818,"&gt;0"),B817)</f>
        <v>34</v>
      </c>
      <c r="C818" s="1084">
        <f t="shared" si="131"/>
        <v>0</v>
      </c>
      <c r="D818" s="85">
        <f t="shared" si="132"/>
        <v>0</v>
      </c>
      <c r="E818" s="448">
        <f ca="1">SUMIF(OFFSET(tongctvtdd1,0,-(COLUMN(E818)+7-(COLUMN(E818)-5)/2)),KLVT!$A818,tongctvtdd1)+SUMIF(OFFSET(tongctvtpk1,0,-(COLUMN(E818)+7-(COLUMN(E818)-5)/2)),KLVT!$A818,tongctvtpk1)</f>
        <v>0</v>
      </c>
      <c r="F818" s="449">
        <f ca="1">SUMIF(OFFSET(cttba_vlvt1_1,0,-9,-ROW(cttba_vlvt1_1)+ROW(cttba_vltb1_1)-10),KLVT!$A818,OFFSET(cttba_vlvt1_1,0,-4,-ROW(cttba_vlvt1_1)+ROW(cttba_vltb1_1)-10))</f>
        <v>0</v>
      </c>
      <c r="G818" s="451">
        <f t="shared" ca="1" si="127"/>
        <v>0</v>
      </c>
      <c r="H818" s="450">
        <f t="shared" si="128"/>
        <v>1</v>
      </c>
      <c r="I818" s="447">
        <f t="shared" ca="1" si="129"/>
        <v>0</v>
      </c>
      <c r="J818" s="447">
        <f t="shared" ca="1" si="130"/>
        <v>0</v>
      </c>
      <c r="K818" s="373">
        <f t="shared" ca="1" si="126"/>
        <v>0</v>
      </c>
    </row>
    <row r="819" spans="1:11" s="45" customFormat="1" ht="15.75" hidden="1">
      <c r="A819" s="373" t="str">
        <f>IF(AND(COUNTIF($A$5:$A$133,R_DG!A693)=0,R_DG!R693&gt;0,ISNUMBER(R_DG!R693)),R_DG!A693,"NONE")</f>
        <v>NONE</v>
      </c>
      <c r="B819" s="85">
        <f ca="1">IF(K819&gt;0,COUNTIF(K$6:K819,"&gt;0"),B818)</f>
        <v>34</v>
      </c>
      <c r="C819" s="1084">
        <f t="shared" si="131"/>
        <v>0</v>
      </c>
      <c r="D819" s="85">
        <f t="shared" si="132"/>
        <v>0</v>
      </c>
      <c r="E819" s="448">
        <f ca="1">SUMIF(OFFSET(tongctvtdd1,0,-(COLUMN(E819)+7-(COLUMN(E819)-5)/2)),KLVT!$A819,tongctvtdd1)+SUMIF(OFFSET(tongctvtpk1,0,-(COLUMN(E819)+7-(COLUMN(E819)-5)/2)),KLVT!$A819,tongctvtpk1)</f>
        <v>0</v>
      </c>
      <c r="F819" s="449">
        <f ca="1">SUMIF(OFFSET(cttba_vlvt1_1,0,-9,-ROW(cttba_vlvt1_1)+ROW(cttba_vltb1_1)-10),KLVT!$A819,OFFSET(cttba_vlvt1_1,0,-4,-ROW(cttba_vlvt1_1)+ROW(cttba_vltb1_1)-10))</f>
        <v>0</v>
      </c>
      <c r="G819" s="451">
        <f t="shared" ca="1" si="127"/>
        <v>0</v>
      </c>
      <c r="H819" s="450">
        <f t="shared" si="128"/>
        <v>1</v>
      </c>
      <c r="I819" s="447">
        <f t="shared" ca="1" si="129"/>
        <v>0</v>
      </c>
      <c r="J819" s="447">
        <f t="shared" ca="1" si="130"/>
        <v>0</v>
      </c>
      <c r="K819" s="373">
        <f t="shared" ca="1" si="126"/>
        <v>0</v>
      </c>
    </row>
    <row r="820" spans="1:11" s="45" customFormat="1" ht="15.75" hidden="1">
      <c r="A820" s="373" t="str">
        <f>IF(AND(COUNTIF($A$5:$A$133,R_DG!A694)=0,R_DG!R694&gt;0,ISNUMBER(R_DG!R694)),R_DG!A694,"NONE")</f>
        <v>NONE</v>
      </c>
      <c r="B820" s="85">
        <f ca="1">IF(K820&gt;0,COUNTIF(K$6:K820,"&gt;0"),B819)</f>
        <v>34</v>
      </c>
      <c r="C820" s="1084">
        <f t="shared" si="131"/>
        <v>0</v>
      </c>
      <c r="D820" s="85">
        <f t="shared" si="132"/>
        <v>0</v>
      </c>
      <c r="E820" s="448">
        <f ca="1">SUMIF(OFFSET(tongctvtdd1,0,-(COLUMN(E820)+7-(COLUMN(E820)-5)/2)),KLVT!$A820,tongctvtdd1)+SUMIF(OFFSET(tongctvtpk1,0,-(COLUMN(E820)+7-(COLUMN(E820)-5)/2)),KLVT!$A820,tongctvtpk1)</f>
        <v>0</v>
      </c>
      <c r="F820" s="449">
        <f ca="1">SUMIF(OFFSET(cttba_vlvt1_1,0,-9,-ROW(cttba_vlvt1_1)+ROW(cttba_vltb1_1)-10),KLVT!$A820,OFFSET(cttba_vlvt1_1,0,-4,-ROW(cttba_vlvt1_1)+ROW(cttba_vltb1_1)-10))</f>
        <v>0</v>
      </c>
      <c r="G820" s="451">
        <f t="shared" ca="1" si="127"/>
        <v>0</v>
      </c>
      <c r="H820" s="450">
        <f t="shared" si="128"/>
        <v>1</v>
      </c>
      <c r="I820" s="447">
        <f t="shared" ca="1" si="129"/>
        <v>0</v>
      </c>
      <c r="J820" s="447">
        <f t="shared" ca="1" si="130"/>
        <v>0</v>
      </c>
      <c r="K820" s="373">
        <f t="shared" ca="1" si="126"/>
        <v>0</v>
      </c>
    </row>
    <row r="821" spans="1:11" s="45" customFormat="1" ht="15.75" hidden="1">
      <c r="A821" s="373" t="str">
        <f>IF(AND(COUNTIF($A$5:$A$133,R_DG!A695)=0,R_DG!R695&gt;0,ISNUMBER(R_DG!R695)),R_DG!A695,"NONE")</f>
        <v>NONE</v>
      </c>
      <c r="B821" s="85">
        <f ca="1">IF(K821&gt;0,COUNTIF(K$6:K821,"&gt;0"),B820)</f>
        <v>34</v>
      </c>
      <c r="C821" s="1084">
        <f t="shared" si="131"/>
        <v>0</v>
      </c>
      <c r="D821" s="85">
        <f t="shared" si="132"/>
        <v>0</v>
      </c>
      <c r="E821" s="448">
        <f ca="1">SUMIF(OFFSET(tongctvtdd1,0,-(COLUMN(E821)+7-(COLUMN(E821)-5)/2)),KLVT!$A821,tongctvtdd1)+SUMIF(OFFSET(tongctvtpk1,0,-(COLUMN(E821)+7-(COLUMN(E821)-5)/2)),KLVT!$A821,tongctvtpk1)</f>
        <v>0</v>
      </c>
      <c r="F821" s="449">
        <f ca="1">SUMIF(OFFSET(cttba_vlvt1_1,0,-9,-ROW(cttba_vlvt1_1)+ROW(cttba_vltb1_1)-10),KLVT!$A821,OFFSET(cttba_vlvt1_1,0,-4,-ROW(cttba_vlvt1_1)+ROW(cttba_vltb1_1)-10))</f>
        <v>0</v>
      </c>
      <c r="G821" s="451">
        <f t="shared" ca="1" si="127"/>
        <v>0</v>
      </c>
      <c r="H821" s="450">
        <f t="shared" si="128"/>
        <v>1</v>
      </c>
      <c r="I821" s="447">
        <f t="shared" ca="1" si="129"/>
        <v>0</v>
      </c>
      <c r="J821" s="447">
        <f t="shared" ca="1" si="130"/>
        <v>0</v>
      </c>
      <c r="K821" s="374">
        <f t="shared" ca="1" si="126"/>
        <v>0</v>
      </c>
    </row>
    <row r="822" spans="1:11" s="45" customFormat="1" ht="15.75" hidden="1">
      <c r="A822" s="373" t="str">
        <f>IF(AND(COUNTIF($A$5:$A$133,R_DG!A696)=0,R_DG!R696&gt;0,ISNUMBER(R_DG!R696)),R_DG!A696,"NONE")</f>
        <v>NONE</v>
      </c>
      <c r="B822" s="85">
        <f ca="1">IF(K822&gt;0,COUNTIF(K$6:K822,"&gt;0"),B821)</f>
        <v>34</v>
      </c>
      <c r="C822" s="1084">
        <f t="shared" si="131"/>
        <v>0</v>
      </c>
      <c r="D822" s="85">
        <f t="shared" si="132"/>
        <v>0</v>
      </c>
      <c r="E822" s="448">
        <f ca="1">SUMIF(OFFSET(tongctvtdd1,0,-(COLUMN(E822)+7-(COLUMN(E822)-5)/2)),KLVT!$A822,tongctvtdd1)+SUMIF(OFFSET(tongctvtpk1,0,-(COLUMN(E822)+7-(COLUMN(E822)-5)/2)),KLVT!$A822,tongctvtpk1)</f>
        <v>0</v>
      </c>
      <c r="F822" s="449">
        <f ca="1">SUMIF(OFFSET(cttba_vlvt1_1,0,-9,-ROW(cttba_vlvt1_1)+ROW(cttba_vltb1_1)-10),KLVT!$A822,OFFSET(cttba_vlvt1_1,0,-4,-ROW(cttba_vlvt1_1)+ROW(cttba_vltb1_1)-10))</f>
        <v>0</v>
      </c>
      <c r="G822" s="451">
        <f t="shared" ca="1" si="127"/>
        <v>0</v>
      </c>
      <c r="H822" s="450">
        <f t="shared" si="128"/>
        <v>1</v>
      </c>
      <c r="I822" s="447">
        <f t="shared" ca="1" si="129"/>
        <v>0</v>
      </c>
      <c r="J822" s="447">
        <f t="shared" ca="1" si="130"/>
        <v>0</v>
      </c>
      <c r="K822" s="374">
        <f t="shared" ca="1" si="126"/>
        <v>0</v>
      </c>
    </row>
    <row r="823" spans="1:11" s="45" customFormat="1" ht="15.75" hidden="1">
      <c r="A823" s="373" t="str">
        <f>IF(AND(COUNTIF($A$5:$A$133,R_DG!A697)=0,R_DG!R697&gt;0,ISNUMBER(R_DG!R697)),R_DG!A697,"NONE")</f>
        <v>NONE</v>
      </c>
      <c r="B823" s="85">
        <f ca="1">IF(K823&gt;0,COUNTIF(K$6:K823,"&gt;0"),B822)</f>
        <v>34</v>
      </c>
      <c r="C823" s="1084">
        <f t="shared" si="131"/>
        <v>0</v>
      </c>
      <c r="D823" s="85">
        <f t="shared" si="132"/>
        <v>0</v>
      </c>
      <c r="E823" s="448">
        <f ca="1">SUMIF(OFFSET(tongctvtdd1,0,-(COLUMN(E823)+7-(COLUMN(E823)-5)/2)),KLVT!$A823,tongctvtdd1)+SUMIF(OFFSET(tongctvtpk1,0,-(COLUMN(E823)+7-(COLUMN(E823)-5)/2)),KLVT!$A823,tongctvtpk1)</f>
        <v>0</v>
      </c>
      <c r="F823" s="449">
        <f ca="1">SUMIF(OFFSET(cttba_vlvt1_1,0,-9,-ROW(cttba_vlvt1_1)+ROW(cttba_vltb1_1)-10),KLVT!$A823,OFFSET(cttba_vlvt1_1,0,-4,-ROW(cttba_vlvt1_1)+ROW(cttba_vltb1_1)-10))</f>
        <v>0</v>
      </c>
      <c r="G823" s="451">
        <f t="shared" ca="1" si="127"/>
        <v>0</v>
      </c>
      <c r="H823" s="450">
        <f t="shared" si="128"/>
        <v>1</v>
      </c>
      <c r="I823" s="447">
        <f t="shared" ca="1" si="129"/>
        <v>0</v>
      </c>
      <c r="J823" s="447">
        <f t="shared" ca="1" si="130"/>
        <v>0</v>
      </c>
      <c r="K823" s="373">
        <f t="shared" ca="1" si="126"/>
        <v>0</v>
      </c>
    </row>
    <row r="824" spans="1:11" s="45" customFormat="1" ht="15.75" hidden="1">
      <c r="A824" s="373" t="str">
        <f>IF(AND(COUNTIF($A$5:$A$133,R_DG!A698)=0,R_DG!R698&gt;0,ISNUMBER(R_DG!R698)),R_DG!A698,"NONE")</f>
        <v>NONE</v>
      </c>
      <c r="B824" s="85">
        <f ca="1">IF(K824&gt;0,COUNTIF(K$6:K824,"&gt;0"),B823)</f>
        <v>34</v>
      </c>
      <c r="C824" s="1084">
        <f t="shared" si="131"/>
        <v>0</v>
      </c>
      <c r="D824" s="85">
        <f t="shared" si="132"/>
        <v>0</v>
      </c>
      <c r="E824" s="448">
        <f ca="1">SUMIF(OFFSET(tongctvtdd1,0,-(COLUMN(E824)+7-(COLUMN(E824)-5)/2)),KLVT!$A824,tongctvtdd1)+SUMIF(OFFSET(tongctvtpk1,0,-(COLUMN(E824)+7-(COLUMN(E824)-5)/2)),KLVT!$A824,tongctvtpk1)</f>
        <v>0</v>
      </c>
      <c r="F824" s="449">
        <f ca="1">SUMIF(OFFSET(cttba_vlvt1_1,0,-9,-ROW(cttba_vlvt1_1)+ROW(cttba_vltb1_1)-10),KLVT!$A824,OFFSET(cttba_vlvt1_1,0,-4,-ROW(cttba_vlvt1_1)+ROW(cttba_vltb1_1)-10))</f>
        <v>0</v>
      </c>
      <c r="G824" s="451">
        <f t="shared" ca="1" si="127"/>
        <v>0</v>
      </c>
      <c r="H824" s="450">
        <f t="shared" si="128"/>
        <v>1</v>
      </c>
      <c r="I824" s="447">
        <f t="shared" ca="1" si="129"/>
        <v>0</v>
      </c>
      <c r="J824" s="447">
        <f t="shared" ca="1" si="130"/>
        <v>0</v>
      </c>
      <c r="K824" s="374">
        <f t="shared" ca="1" si="126"/>
        <v>0</v>
      </c>
    </row>
    <row r="825" spans="1:11" s="45" customFormat="1" ht="15.75" hidden="1">
      <c r="A825" s="373" t="str">
        <f>IF(AND(COUNTIF($A$5:$A$133,R_DG!A699)=0,R_DG!R699&gt;0,ISNUMBER(R_DG!R699)),R_DG!A699,"NONE")</f>
        <v>NONE</v>
      </c>
      <c r="B825" s="85">
        <f ca="1">IF(K825&gt;0,COUNTIF(K$6:K825,"&gt;0"),B824)</f>
        <v>34</v>
      </c>
      <c r="C825" s="1084">
        <f t="shared" si="131"/>
        <v>0</v>
      </c>
      <c r="D825" s="85">
        <f t="shared" si="132"/>
        <v>0</v>
      </c>
      <c r="E825" s="448">
        <f ca="1">SUMIF(OFFSET(tongctvtdd1,0,-(COLUMN(E825)+7-(COLUMN(E825)-5)/2)),KLVT!$A825,tongctvtdd1)+SUMIF(OFFSET(tongctvtpk1,0,-(COLUMN(E825)+7-(COLUMN(E825)-5)/2)),KLVT!$A825,tongctvtpk1)</f>
        <v>0</v>
      </c>
      <c r="F825" s="449">
        <f ca="1">SUMIF(OFFSET(cttba_vlvt1_1,0,-9,-ROW(cttba_vlvt1_1)+ROW(cttba_vltb1_1)-10),KLVT!$A825,OFFSET(cttba_vlvt1_1,0,-4,-ROW(cttba_vlvt1_1)+ROW(cttba_vltb1_1)-10))</f>
        <v>0</v>
      </c>
      <c r="G825" s="451">
        <f t="shared" ca="1" si="127"/>
        <v>0</v>
      </c>
      <c r="H825" s="450">
        <f t="shared" si="128"/>
        <v>1</v>
      </c>
      <c r="I825" s="447">
        <f t="shared" ca="1" si="129"/>
        <v>0</v>
      </c>
      <c r="J825" s="447">
        <f t="shared" ca="1" si="130"/>
        <v>0</v>
      </c>
      <c r="K825" s="373">
        <f t="shared" ca="1" si="126"/>
        <v>0</v>
      </c>
    </row>
    <row r="826" spans="1:11" s="45" customFormat="1" ht="15.75" hidden="1">
      <c r="A826" s="373" t="str">
        <f>IF(AND(COUNTIF($A$5:$A$133,R_DG!A700)=0,R_DG!R700&gt;0,ISNUMBER(R_DG!R700)),R_DG!A700,"NONE")</f>
        <v>NONE</v>
      </c>
      <c r="B826" s="85">
        <f ca="1">IF(K826&gt;0,COUNTIF(K$6:K826,"&gt;0"),B825)</f>
        <v>34</v>
      </c>
      <c r="C826" s="1084">
        <f t="shared" si="131"/>
        <v>0</v>
      </c>
      <c r="D826" s="85">
        <f t="shared" si="132"/>
        <v>0</v>
      </c>
      <c r="E826" s="448">
        <f ca="1">SUMIF(OFFSET(tongctvtdd1,0,-(COLUMN(E826)+7-(COLUMN(E826)-5)/2)),KLVT!$A826,tongctvtdd1)+SUMIF(OFFSET(tongctvtpk1,0,-(COLUMN(E826)+7-(COLUMN(E826)-5)/2)),KLVT!$A826,tongctvtpk1)</f>
        <v>0</v>
      </c>
      <c r="F826" s="449">
        <f ca="1">SUMIF(OFFSET(cttba_vlvt1_1,0,-9,-ROW(cttba_vlvt1_1)+ROW(cttba_vltb1_1)-10),KLVT!$A826,OFFSET(cttba_vlvt1_1,0,-4,-ROW(cttba_vlvt1_1)+ROW(cttba_vltb1_1)-10))</f>
        <v>0</v>
      </c>
      <c r="G826" s="451">
        <f t="shared" ca="1" si="127"/>
        <v>0</v>
      </c>
      <c r="H826" s="450">
        <f t="shared" si="128"/>
        <v>1</v>
      </c>
      <c r="I826" s="447">
        <f t="shared" ca="1" si="129"/>
        <v>0</v>
      </c>
      <c r="J826" s="447">
        <f t="shared" ca="1" si="130"/>
        <v>0</v>
      </c>
      <c r="K826" s="374">
        <f t="shared" ca="1" si="126"/>
        <v>0</v>
      </c>
    </row>
    <row r="827" spans="1:11" s="45" customFormat="1" ht="15.75" hidden="1">
      <c r="A827" s="373" t="str">
        <f>IF(AND(COUNTIF($A$5:$A$133,R_DG!A701)=0,R_DG!R701&gt;0,ISNUMBER(R_DG!R701)),R_DG!A701,"NONE")</f>
        <v>NONE</v>
      </c>
      <c r="B827" s="85">
        <f ca="1">IF(K827&gt;0,COUNTIF(K$6:K827,"&gt;0"),B826)</f>
        <v>34</v>
      </c>
      <c r="C827" s="1084">
        <f t="shared" si="131"/>
        <v>0</v>
      </c>
      <c r="D827" s="85">
        <f t="shared" si="132"/>
        <v>0</v>
      </c>
      <c r="E827" s="448">
        <f ca="1">SUMIF(OFFSET(tongctvtdd1,0,-(COLUMN(E827)+7-(COLUMN(E827)-5)/2)),KLVT!$A827,tongctvtdd1)+SUMIF(OFFSET(tongctvtpk1,0,-(COLUMN(E827)+7-(COLUMN(E827)-5)/2)),KLVT!$A827,tongctvtpk1)</f>
        <v>0</v>
      </c>
      <c r="F827" s="449">
        <f ca="1">SUMIF(OFFSET(cttba_vlvt1_1,0,-9,-ROW(cttba_vlvt1_1)+ROW(cttba_vltb1_1)-10),KLVT!$A827,OFFSET(cttba_vlvt1_1,0,-4,-ROW(cttba_vlvt1_1)+ROW(cttba_vltb1_1)-10))</f>
        <v>0</v>
      </c>
      <c r="G827" s="451">
        <f t="shared" ca="1" si="127"/>
        <v>0</v>
      </c>
      <c r="H827" s="450">
        <f t="shared" si="128"/>
        <v>1</v>
      </c>
      <c r="I827" s="447">
        <f t="shared" ca="1" si="129"/>
        <v>0</v>
      </c>
      <c r="J827" s="447">
        <f t="shared" ca="1" si="130"/>
        <v>0</v>
      </c>
      <c r="K827" s="374">
        <f t="shared" ca="1" si="126"/>
        <v>0</v>
      </c>
    </row>
    <row r="828" spans="1:11" s="45" customFormat="1" ht="15.75" hidden="1">
      <c r="A828" s="373" t="str">
        <f>IF(AND(COUNTIF($A$5:$A$133,R_DG!A702)=0,R_DG!R702&gt;0,ISNUMBER(R_DG!R702)),R_DG!A702,"NONE")</f>
        <v>NONE</v>
      </c>
      <c r="B828" s="85">
        <f ca="1">IF(K828&gt;0,COUNTIF(K$6:K828,"&gt;0"),B827)</f>
        <v>34</v>
      </c>
      <c r="C828" s="1084">
        <f t="shared" si="131"/>
        <v>0</v>
      </c>
      <c r="D828" s="85">
        <f t="shared" si="132"/>
        <v>0</v>
      </c>
      <c r="E828" s="448">
        <f ca="1">SUMIF(OFFSET(tongctvtdd1,0,-(COLUMN(E828)+7-(COLUMN(E828)-5)/2)),KLVT!$A828,tongctvtdd1)+SUMIF(OFFSET(tongctvtpk1,0,-(COLUMN(E828)+7-(COLUMN(E828)-5)/2)),KLVT!$A828,tongctvtpk1)</f>
        <v>0</v>
      </c>
      <c r="F828" s="449">
        <f ca="1">SUMIF(OFFSET(cttba_vlvt1_1,0,-9,-ROW(cttba_vlvt1_1)+ROW(cttba_vltb1_1)-10),KLVT!$A828,OFFSET(cttba_vlvt1_1,0,-4,-ROW(cttba_vlvt1_1)+ROW(cttba_vltb1_1)-10))</f>
        <v>0</v>
      </c>
      <c r="G828" s="451">
        <f t="shared" ca="1" si="127"/>
        <v>0</v>
      </c>
      <c r="H828" s="450">
        <f t="shared" si="128"/>
        <v>1</v>
      </c>
      <c r="I828" s="447">
        <f t="shared" ca="1" si="129"/>
        <v>0</v>
      </c>
      <c r="J828" s="447">
        <f t="shared" ca="1" si="130"/>
        <v>0</v>
      </c>
      <c r="K828" s="374">
        <f t="shared" ca="1" si="126"/>
        <v>0</v>
      </c>
    </row>
    <row r="829" spans="1:11" s="45" customFormat="1" ht="15.75" hidden="1">
      <c r="A829" s="373" t="str">
        <f>IF(AND(COUNTIF($A$5:$A$133,R_DG!A703)=0,R_DG!R703&gt;0,ISNUMBER(R_DG!R703)),R_DG!A703,"NONE")</f>
        <v>NONE</v>
      </c>
      <c r="B829" s="85">
        <f ca="1">IF(K829&gt;0,COUNTIF(K$6:K829,"&gt;0"),B828)</f>
        <v>34</v>
      </c>
      <c r="C829" s="1084">
        <f t="shared" si="131"/>
        <v>0</v>
      </c>
      <c r="D829" s="85">
        <f t="shared" si="132"/>
        <v>0</v>
      </c>
      <c r="E829" s="448">
        <f ca="1">SUMIF(OFFSET(tongctvtdd1,0,-(COLUMN(E829)+7-(COLUMN(E829)-5)/2)),KLVT!$A829,tongctvtdd1)+SUMIF(OFFSET(tongctvtpk1,0,-(COLUMN(E829)+7-(COLUMN(E829)-5)/2)),KLVT!$A829,tongctvtpk1)</f>
        <v>0</v>
      </c>
      <c r="F829" s="449">
        <f ca="1">SUMIF(OFFSET(cttba_vlvt1_1,0,-9,-ROW(cttba_vlvt1_1)+ROW(cttba_vltb1_1)-10),KLVT!$A829,OFFSET(cttba_vlvt1_1,0,-4,-ROW(cttba_vlvt1_1)+ROW(cttba_vltb1_1)-10))</f>
        <v>0</v>
      </c>
      <c r="G829" s="451">
        <f t="shared" ca="1" si="127"/>
        <v>0</v>
      </c>
      <c r="H829" s="450">
        <f t="shared" si="128"/>
        <v>1</v>
      </c>
      <c r="I829" s="447">
        <f t="shared" ca="1" si="129"/>
        <v>0</v>
      </c>
      <c r="J829" s="447">
        <f t="shared" ca="1" si="130"/>
        <v>0</v>
      </c>
      <c r="K829" s="374">
        <f t="shared" ref="K829:K877" ca="1" si="133">IF(G829&gt;0,1,0)</f>
        <v>0</v>
      </c>
    </row>
    <row r="830" spans="1:11" s="45" customFormat="1" ht="15.75" hidden="1">
      <c r="A830" s="373" t="str">
        <f>IF(AND(COUNTIF($A$5:$A$133,R_DG!A704)=0,R_DG!R704&gt;0,ISNUMBER(R_DG!R704)),R_DG!A704,"NONE")</f>
        <v>NONE</v>
      </c>
      <c r="B830" s="85">
        <f ca="1">IF(K830&gt;0,COUNTIF(K$6:K830,"&gt;0"),B829)</f>
        <v>34</v>
      </c>
      <c r="C830" s="1084">
        <f t="shared" si="131"/>
        <v>0</v>
      </c>
      <c r="D830" s="85">
        <f t="shared" si="132"/>
        <v>0</v>
      </c>
      <c r="E830" s="448">
        <f ca="1">SUMIF(OFFSET(tongctvtdd1,0,-(COLUMN(E830)+7-(COLUMN(E830)-5)/2)),KLVT!$A830,tongctvtdd1)+SUMIF(OFFSET(tongctvtpk1,0,-(COLUMN(E830)+7-(COLUMN(E830)-5)/2)),KLVT!$A830,tongctvtpk1)</f>
        <v>0</v>
      </c>
      <c r="F830" s="449">
        <f ca="1">SUMIF(OFFSET(cttba_vlvt1_1,0,-9,-ROW(cttba_vlvt1_1)+ROW(cttba_vltb1_1)-10),KLVT!$A830,OFFSET(cttba_vlvt1_1,0,-4,-ROW(cttba_vlvt1_1)+ROW(cttba_vltb1_1)-10))</f>
        <v>0</v>
      </c>
      <c r="G830" s="451">
        <f t="shared" ca="1" si="127"/>
        <v>0</v>
      </c>
      <c r="H830" s="450">
        <f t="shared" si="128"/>
        <v>1</v>
      </c>
      <c r="I830" s="447">
        <f t="shared" ca="1" si="129"/>
        <v>0</v>
      </c>
      <c r="J830" s="447">
        <f t="shared" ca="1" si="130"/>
        <v>0</v>
      </c>
      <c r="K830" s="373">
        <f t="shared" ca="1" si="133"/>
        <v>0</v>
      </c>
    </row>
    <row r="831" spans="1:11" s="45" customFormat="1" ht="15.75" hidden="1">
      <c r="A831" s="373" t="str">
        <f>IF(AND(COUNTIF($A$5:$A$133,R_DG!A705)=0,R_DG!R705&gt;0,ISNUMBER(R_DG!R705)),R_DG!A705,"NONE")</f>
        <v>NONE</v>
      </c>
      <c r="B831" s="85">
        <f ca="1">IF(K831&gt;0,COUNTIF(K$6:K831,"&gt;0"),B830)</f>
        <v>34</v>
      </c>
      <c r="C831" s="1084">
        <f t="shared" si="131"/>
        <v>0</v>
      </c>
      <c r="D831" s="85">
        <f t="shared" si="132"/>
        <v>0</v>
      </c>
      <c r="E831" s="448">
        <f ca="1">SUMIF(OFFSET(tongctvtdd1,0,-(COLUMN(E831)+7-(COLUMN(E831)-5)/2)),KLVT!$A831,tongctvtdd1)+SUMIF(OFFSET(tongctvtpk1,0,-(COLUMN(E831)+7-(COLUMN(E831)-5)/2)),KLVT!$A831,tongctvtpk1)</f>
        <v>0</v>
      </c>
      <c r="F831" s="449">
        <f ca="1">SUMIF(OFFSET(cttba_vlvt1_1,0,-9,-ROW(cttba_vlvt1_1)+ROW(cttba_vltb1_1)-10),KLVT!$A831,OFFSET(cttba_vlvt1_1,0,-4,-ROW(cttba_vlvt1_1)+ROW(cttba_vltb1_1)-10))</f>
        <v>0</v>
      </c>
      <c r="G831" s="451">
        <f t="shared" ca="1" si="127"/>
        <v>0</v>
      </c>
      <c r="H831" s="450">
        <f t="shared" si="128"/>
        <v>1</v>
      </c>
      <c r="I831" s="447">
        <f t="shared" ca="1" si="129"/>
        <v>0</v>
      </c>
      <c r="J831" s="447">
        <f t="shared" ca="1" si="130"/>
        <v>0</v>
      </c>
      <c r="K831" s="374">
        <f t="shared" ca="1" si="133"/>
        <v>0</v>
      </c>
    </row>
    <row r="832" spans="1:11" s="45" customFormat="1" ht="15.75" hidden="1">
      <c r="A832" s="373" t="str">
        <f>IF(AND(COUNTIF($A$5:$A$133,R_DG!A706)=0,R_DG!R706&gt;0,ISNUMBER(R_DG!R706)),R_DG!A706,"NONE")</f>
        <v>NONE</v>
      </c>
      <c r="B832" s="85">
        <f ca="1">IF(K832&gt;0,COUNTIF(K$6:K832,"&gt;0"),B831)</f>
        <v>34</v>
      </c>
      <c r="C832" s="1084">
        <f t="shared" si="131"/>
        <v>0</v>
      </c>
      <c r="D832" s="85">
        <f t="shared" si="132"/>
        <v>0</v>
      </c>
      <c r="E832" s="448">
        <f ca="1">SUMIF(OFFSET(tongctvtdd1,0,-(COLUMN(E832)+7-(COLUMN(E832)-5)/2)),KLVT!$A832,tongctvtdd1)+SUMIF(OFFSET(tongctvtpk1,0,-(COLUMN(E832)+7-(COLUMN(E832)-5)/2)),KLVT!$A832,tongctvtpk1)</f>
        <v>0</v>
      </c>
      <c r="F832" s="449">
        <f ca="1">SUMIF(OFFSET(cttba_vlvt1_1,0,-9,-ROW(cttba_vlvt1_1)+ROW(cttba_vltb1_1)-10),KLVT!$A832,OFFSET(cttba_vlvt1_1,0,-4,-ROW(cttba_vlvt1_1)+ROW(cttba_vltb1_1)-10))</f>
        <v>0</v>
      </c>
      <c r="G832" s="451">
        <f t="shared" ca="1" si="127"/>
        <v>0</v>
      </c>
      <c r="H832" s="450">
        <f t="shared" si="128"/>
        <v>1</v>
      </c>
      <c r="I832" s="447">
        <f t="shared" ca="1" si="129"/>
        <v>0</v>
      </c>
      <c r="J832" s="447">
        <f t="shared" ca="1" si="130"/>
        <v>0</v>
      </c>
      <c r="K832" s="373">
        <f t="shared" ca="1" si="133"/>
        <v>0</v>
      </c>
    </row>
    <row r="833" spans="1:11" s="45" customFormat="1" ht="15.75" hidden="1">
      <c r="A833" s="373" t="str">
        <f>IF(AND(COUNTIF($A$5:$A$133,R_DG!A707)=0,R_DG!R707&gt;0,ISNUMBER(R_DG!R707)),R_DG!A707,"NONE")</f>
        <v>NONE</v>
      </c>
      <c r="B833" s="85">
        <f ca="1">IF(K833&gt;0,COUNTIF(K$6:K833,"&gt;0"),B832)</f>
        <v>34</v>
      </c>
      <c r="C833" s="1084">
        <f t="shared" si="131"/>
        <v>0</v>
      </c>
      <c r="D833" s="85">
        <f t="shared" si="132"/>
        <v>0</v>
      </c>
      <c r="E833" s="448">
        <f ca="1">SUMIF(OFFSET(tongctvtdd1,0,-(COLUMN(E833)+7-(COLUMN(E833)-5)/2)),KLVT!$A833,tongctvtdd1)+SUMIF(OFFSET(tongctvtpk1,0,-(COLUMN(E833)+7-(COLUMN(E833)-5)/2)),KLVT!$A833,tongctvtpk1)</f>
        <v>0</v>
      </c>
      <c r="F833" s="449">
        <f ca="1">SUMIF(OFFSET(cttba_vlvt1_1,0,-9,-ROW(cttba_vlvt1_1)+ROW(cttba_vltb1_1)-10),KLVT!$A833,OFFSET(cttba_vlvt1_1,0,-4,-ROW(cttba_vlvt1_1)+ROW(cttba_vltb1_1)-10))</f>
        <v>0</v>
      </c>
      <c r="G833" s="451">
        <f t="shared" ca="1" si="127"/>
        <v>0</v>
      </c>
      <c r="H833" s="450">
        <f t="shared" si="128"/>
        <v>1</v>
      </c>
      <c r="I833" s="447">
        <f t="shared" ca="1" si="129"/>
        <v>0</v>
      </c>
      <c r="J833" s="447">
        <f t="shared" ca="1" si="130"/>
        <v>0</v>
      </c>
      <c r="K833" s="374">
        <f t="shared" ca="1" si="133"/>
        <v>0</v>
      </c>
    </row>
    <row r="834" spans="1:11" s="45" customFormat="1" ht="15.75" hidden="1">
      <c r="A834" s="373" t="str">
        <f>IF(AND(COUNTIF($A$5:$A$133,R_DG!A708)=0,R_DG!R708&gt;0,ISNUMBER(R_DG!R708)),R_DG!A708,"NONE")</f>
        <v>NONE</v>
      </c>
      <c r="B834" s="85">
        <f ca="1">IF(K834&gt;0,COUNTIF(K$6:K834,"&gt;0"),B833)</f>
        <v>34</v>
      </c>
      <c r="C834" s="1084">
        <f t="shared" si="131"/>
        <v>0</v>
      </c>
      <c r="D834" s="85">
        <f t="shared" si="132"/>
        <v>0</v>
      </c>
      <c r="E834" s="448">
        <f ca="1">SUMIF(OFFSET(tongctvtdd1,0,-(COLUMN(E834)+7-(COLUMN(E834)-5)/2)),KLVT!$A834,tongctvtdd1)+SUMIF(OFFSET(tongctvtpk1,0,-(COLUMN(E834)+7-(COLUMN(E834)-5)/2)),KLVT!$A834,tongctvtpk1)</f>
        <v>0</v>
      </c>
      <c r="F834" s="449">
        <f ca="1">SUMIF(OFFSET(cttba_vlvt1_1,0,-9,-ROW(cttba_vlvt1_1)+ROW(cttba_vltb1_1)-10),KLVT!$A834,OFFSET(cttba_vlvt1_1,0,-4,-ROW(cttba_vlvt1_1)+ROW(cttba_vltb1_1)-10))</f>
        <v>0</v>
      </c>
      <c r="G834" s="451">
        <f t="shared" ca="1" si="127"/>
        <v>0</v>
      </c>
      <c r="H834" s="450">
        <f t="shared" si="128"/>
        <v>1</v>
      </c>
      <c r="I834" s="447">
        <f t="shared" ca="1" si="129"/>
        <v>0</v>
      </c>
      <c r="J834" s="447">
        <f t="shared" ca="1" si="130"/>
        <v>0</v>
      </c>
      <c r="K834" s="373">
        <f t="shared" ca="1" si="133"/>
        <v>0</v>
      </c>
    </row>
    <row r="835" spans="1:11" s="45" customFormat="1" ht="15.75" hidden="1">
      <c r="A835" s="373" t="str">
        <f>IF(AND(COUNTIF($A$5:$A$133,R_DG!A709)=0,R_DG!R709&gt;0,ISNUMBER(R_DG!R709)),R_DG!A709,"NONE")</f>
        <v>NONE</v>
      </c>
      <c r="B835" s="85">
        <f ca="1">IF(K835&gt;0,COUNTIF(K$6:K835,"&gt;0"),B834)</f>
        <v>34</v>
      </c>
      <c r="C835" s="1084">
        <f t="shared" si="131"/>
        <v>0</v>
      </c>
      <c r="D835" s="85">
        <f t="shared" si="132"/>
        <v>0</v>
      </c>
      <c r="E835" s="448">
        <f ca="1">SUMIF(OFFSET(tongctvtdd1,0,-(COLUMN(E835)+7-(COLUMN(E835)-5)/2)),KLVT!$A835,tongctvtdd1)+SUMIF(OFFSET(tongctvtpk1,0,-(COLUMN(E835)+7-(COLUMN(E835)-5)/2)),KLVT!$A835,tongctvtpk1)</f>
        <v>0</v>
      </c>
      <c r="F835" s="449">
        <f ca="1">SUMIF(OFFSET(cttba_vlvt1_1,0,-9,-ROW(cttba_vlvt1_1)+ROW(cttba_vltb1_1)-10),KLVT!$A835,OFFSET(cttba_vlvt1_1,0,-4,-ROW(cttba_vlvt1_1)+ROW(cttba_vltb1_1)-10))</f>
        <v>0</v>
      </c>
      <c r="G835" s="451">
        <f t="shared" ca="1" si="127"/>
        <v>0</v>
      </c>
      <c r="H835" s="450">
        <f t="shared" si="128"/>
        <v>1</v>
      </c>
      <c r="I835" s="447">
        <f t="shared" ca="1" si="129"/>
        <v>0</v>
      </c>
      <c r="J835" s="447">
        <f t="shared" ca="1" si="130"/>
        <v>0</v>
      </c>
      <c r="K835" s="373">
        <f t="shared" ca="1" si="133"/>
        <v>0</v>
      </c>
    </row>
    <row r="836" spans="1:11" s="45" customFormat="1" ht="15.75" hidden="1">
      <c r="A836" s="373" t="str">
        <f>IF(AND(COUNTIF($A$5:$A$133,R_DG!A710)=0,R_DG!R710&gt;0,ISNUMBER(R_DG!R710)),R_DG!A710,"NONE")</f>
        <v>NONE</v>
      </c>
      <c r="B836" s="85">
        <f ca="1">IF(K836&gt;0,COUNTIF(K$6:K836,"&gt;0"),B835)</f>
        <v>34</v>
      </c>
      <c r="C836" s="1084">
        <f t="shared" si="131"/>
        <v>0</v>
      </c>
      <c r="D836" s="85">
        <f t="shared" si="132"/>
        <v>0</v>
      </c>
      <c r="E836" s="448">
        <f ca="1">SUMIF(OFFSET(tongctvtdd1,0,-(COLUMN(E836)+7-(COLUMN(E836)-5)/2)),KLVT!$A836,tongctvtdd1)+SUMIF(OFFSET(tongctvtpk1,0,-(COLUMN(E836)+7-(COLUMN(E836)-5)/2)),KLVT!$A836,tongctvtpk1)</f>
        <v>0</v>
      </c>
      <c r="F836" s="449">
        <f ca="1">SUMIF(OFFSET(cttba_vlvt1_1,0,-9,-ROW(cttba_vlvt1_1)+ROW(cttba_vltb1_1)-10),KLVT!$A836,OFFSET(cttba_vlvt1_1,0,-4,-ROW(cttba_vlvt1_1)+ROW(cttba_vltb1_1)-10))</f>
        <v>0</v>
      </c>
      <c r="G836" s="451">
        <f t="shared" ca="1" si="127"/>
        <v>0</v>
      </c>
      <c r="H836" s="450">
        <f t="shared" si="128"/>
        <v>1</v>
      </c>
      <c r="I836" s="447">
        <f t="shared" ca="1" si="129"/>
        <v>0</v>
      </c>
      <c r="J836" s="447">
        <f t="shared" ca="1" si="130"/>
        <v>0</v>
      </c>
      <c r="K836" s="373">
        <f t="shared" ca="1" si="133"/>
        <v>0</v>
      </c>
    </row>
    <row r="837" spans="1:11" s="45" customFormat="1" ht="15.75" hidden="1">
      <c r="A837" s="373" t="str">
        <f>IF(AND(COUNTIF($A$5:$A$133,R_DG!A711)=0,R_DG!R711&gt;0,ISNUMBER(R_DG!R711)),R_DG!A711,"NONE")</f>
        <v>NONE</v>
      </c>
      <c r="B837" s="85">
        <f ca="1">IF(K837&gt;0,COUNTIF(K$6:K837,"&gt;0"),B836)</f>
        <v>34</v>
      </c>
      <c r="C837" s="1084">
        <f t="shared" si="131"/>
        <v>0</v>
      </c>
      <c r="D837" s="85">
        <f t="shared" si="132"/>
        <v>0</v>
      </c>
      <c r="E837" s="448">
        <f ca="1">SUMIF(OFFSET(tongctvtdd1,0,-(COLUMN(E837)+7-(COLUMN(E837)-5)/2)),KLVT!$A837,tongctvtdd1)+SUMIF(OFFSET(tongctvtpk1,0,-(COLUMN(E837)+7-(COLUMN(E837)-5)/2)),KLVT!$A837,tongctvtpk1)</f>
        <v>0</v>
      </c>
      <c r="F837" s="449">
        <f ca="1">SUMIF(OFFSET(cttba_vlvt1_1,0,-9,-ROW(cttba_vlvt1_1)+ROW(cttba_vltb1_1)-10),KLVT!$A837,OFFSET(cttba_vlvt1_1,0,-4,-ROW(cttba_vlvt1_1)+ROW(cttba_vltb1_1)-10))</f>
        <v>0</v>
      </c>
      <c r="G837" s="451">
        <f t="shared" ca="1" si="127"/>
        <v>0</v>
      </c>
      <c r="H837" s="450">
        <f t="shared" si="128"/>
        <v>1</v>
      </c>
      <c r="I837" s="447">
        <f t="shared" ca="1" si="129"/>
        <v>0</v>
      </c>
      <c r="J837" s="447">
        <f t="shared" ca="1" si="130"/>
        <v>0</v>
      </c>
      <c r="K837" s="373">
        <f t="shared" ca="1" si="133"/>
        <v>0</v>
      </c>
    </row>
    <row r="838" spans="1:11" s="45" customFormat="1" ht="15.75" hidden="1">
      <c r="A838" s="373" t="str">
        <f>IF(AND(COUNTIF($A$5:$A$133,R_DG!A712)=0,R_DG!R712&gt;0,ISNUMBER(R_DG!R712)),R_DG!A712,"NONE")</f>
        <v>NONE</v>
      </c>
      <c r="B838" s="85">
        <f ca="1">IF(K838&gt;0,COUNTIF(K$6:K838,"&gt;0"),B837)</f>
        <v>34</v>
      </c>
      <c r="C838" s="1084">
        <f t="shared" si="131"/>
        <v>0</v>
      </c>
      <c r="D838" s="85">
        <f t="shared" si="132"/>
        <v>0</v>
      </c>
      <c r="E838" s="448">
        <f ca="1">SUMIF(OFFSET(tongctvtdd1,0,-(COLUMN(E838)+7-(COLUMN(E838)-5)/2)),KLVT!$A838,tongctvtdd1)+SUMIF(OFFSET(tongctvtpk1,0,-(COLUMN(E838)+7-(COLUMN(E838)-5)/2)),KLVT!$A838,tongctvtpk1)</f>
        <v>0</v>
      </c>
      <c r="F838" s="449">
        <f ca="1">SUMIF(OFFSET(cttba_vlvt1_1,0,-9,-ROW(cttba_vlvt1_1)+ROW(cttba_vltb1_1)-10),KLVT!$A838,OFFSET(cttba_vlvt1_1,0,-4,-ROW(cttba_vlvt1_1)+ROW(cttba_vltb1_1)-10))</f>
        <v>0</v>
      </c>
      <c r="G838" s="451">
        <f t="shared" ref="G838:G877" ca="1" si="134">SUM(E838:F838)</f>
        <v>0</v>
      </c>
      <c r="H838" s="450">
        <f t="shared" ref="H838:H901" si="135">VLOOKUP(A838,DONGIA,18,0)</f>
        <v>1</v>
      </c>
      <c r="I838" s="447">
        <f t="shared" ref="I838:I877" ca="1" si="136">E838*$H838</f>
        <v>0</v>
      </c>
      <c r="J838" s="447">
        <f t="shared" ref="J838:J877" ca="1" si="137">F838*$H838</f>
        <v>0</v>
      </c>
      <c r="K838" s="373">
        <f t="shared" ca="1" si="133"/>
        <v>0</v>
      </c>
    </row>
    <row r="839" spans="1:11" s="45" customFormat="1" ht="15.75" hidden="1">
      <c r="A839" s="373" t="str">
        <f>IF(AND(COUNTIF($A$5:$A$133,R_DG!A713)=0,R_DG!R713&gt;0,ISNUMBER(R_DG!R713)),R_DG!A713,"NONE")</f>
        <v>NONE</v>
      </c>
      <c r="B839" s="85">
        <f ca="1">IF(K839&gt;0,COUNTIF(K$6:K839,"&gt;0"),B838)</f>
        <v>34</v>
      </c>
      <c r="C839" s="1084">
        <f t="shared" si="131"/>
        <v>0</v>
      </c>
      <c r="D839" s="85">
        <f t="shared" si="132"/>
        <v>0</v>
      </c>
      <c r="E839" s="448">
        <f ca="1">SUMIF(OFFSET(tongctvtdd1,0,-(COLUMN(E839)+7-(COLUMN(E839)-5)/2)),KLVT!$A839,tongctvtdd1)+SUMIF(OFFSET(tongctvtpk1,0,-(COLUMN(E839)+7-(COLUMN(E839)-5)/2)),KLVT!$A839,tongctvtpk1)</f>
        <v>0</v>
      </c>
      <c r="F839" s="449">
        <f ca="1">SUMIF(OFFSET(cttba_vlvt1_1,0,-9,-ROW(cttba_vlvt1_1)+ROW(cttba_vltb1_1)-10),KLVT!$A839,OFFSET(cttba_vlvt1_1,0,-4,-ROW(cttba_vlvt1_1)+ROW(cttba_vltb1_1)-10))</f>
        <v>0</v>
      </c>
      <c r="G839" s="451">
        <f t="shared" ca="1" si="134"/>
        <v>0</v>
      </c>
      <c r="H839" s="450">
        <f t="shared" si="135"/>
        <v>1</v>
      </c>
      <c r="I839" s="447">
        <f t="shared" ca="1" si="136"/>
        <v>0</v>
      </c>
      <c r="J839" s="447">
        <f t="shared" ca="1" si="137"/>
        <v>0</v>
      </c>
      <c r="K839" s="373">
        <f t="shared" ca="1" si="133"/>
        <v>0</v>
      </c>
    </row>
    <row r="840" spans="1:11" s="45" customFormat="1" ht="15.75" hidden="1">
      <c r="A840" s="373" t="str">
        <f>IF(AND(COUNTIF($A$5:$A$133,R_DG!A714)=0,R_DG!R714&gt;0,ISNUMBER(R_DG!R714)),R_DG!A714,"NONE")</f>
        <v>NONE</v>
      </c>
      <c r="B840" s="85">
        <f ca="1">IF(K840&gt;0,COUNTIF(K$6:K840,"&gt;0"),B839)</f>
        <v>34</v>
      </c>
      <c r="C840" s="1084">
        <f t="shared" si="131"/>
        <v>0</v>
      </c>
      <c r="D840" s="85">
        <f t="shared" si="132"/>
        <v>0</v>
      </c>
      <c r="E840" s="448">
        <f ca="1">SUMIF(OFFSET(tongctvtdd1,0,-(COLUMN(E840)+7-(COLUMN(E840)-5)/2)),KLVT!$A840,tongctvtdd1)+SUMIF(OFFSET(tongctvtpk1,0,-(COLUMN(E840)+7-(COLUMN(E840)-5)/2)),KLVT!$A840,tongctvtpk1)</f>
        <v>0</v>
      </c>
      <c r="F840" s="449">
        <f ca="1">SUMIF(OFFSET(cttba_vlvt1_1,0,-9,-ROW(cttba_vlvt1_1)+ROW(cttba_vltb1_1)-10),KLVT!$A840,OFFSET(cttba_vlvt1_1,0,-4,-ROW(cttba_vlvt1_1)+ROW(cttba_vltb1_1)-10))</f>
        <v>0</v>
      </c>
      <c r="G840" s="451">
        <f t="shared" ca="1" si="134"/>
        <v>0</v>
      </c>
      <c r="H840" s="450">
        <f t="shared" si="135"/>
        <v>1</v>
      </c>
      <c r="I840" s="447">
        <f t="shared" ca="1" si="136"/>
        <v>0</v>
      </c>
      <c r="J840" s="447">
        <f t="shared" ca="1" si="137"/>
        <v>0</v>
      </c>
      <c r="K840" s="373">
        <f t="shared" ca="1" si="133"/>
        <v>0</v>
      </c>
    </row>
    <row r="841" spans="1:11" s="45" customFormat="1" ht="15.75" hidden="1">
      <c r="A841" s="373" t="str">
        <f>IF(AND(COUNTIF($A$5:$A$133,R_DG!A715)=0,R_DG!R715&gt;0,ISNUMBER(R_DG!R715)),R_DG!A715,"NONE")</f>
        <v>NONE</v>
      </c>
      <c r="B841" s="85">
        <f ca="1">IF(K841&gt;0,COUNTIF(K$6:K841,"&gt;0"),B840)</f>
        <v>34</v>
      </c>
      <c r="C841" s="1084">
        <f t="shared" si="131"/>
        <v>0</v>
      </c>
      <c r="D841" s="85">
        <f t="shared" si="132"/>
        <v>0</v>
      </c>
      <c r="E841" s="448">
        <f ca="1">SUMIF(OFFSET(tongctvtdd1,0,-(COLUMN(E841)+7-(COLUMN(E841)-5)/2)),KLVT!$A841,tongctvtdd1)+SUMIF(OFFSET(tongctvtpk1,0,-(COLUMN(E841)+7-(COLUMN(E841)-5)/2)),KLVT!$A841,tongctvtpk1)</f>
        <v>0</v>
      </c>
      <c r="F841" s="449">
        <f ca="1">SUMIF(OFFSET(cttba_vlvt1_1,0,-9,-ROW(cttba_vlvt1_1)+ROW(cttba_vltb1_1)-10),KLVT!$A841,OFFSET(cttba_vlvt1_1,0,-4,-ROW(cttba_vlvt1_1)+ROW(cttba_vltb1_1)-10))</f>
        <v>0</v>
      </c>
      <c r="G841" s="451">
        <f t="shared" ca="1" si="134"/>
        <v>0</v>
      </c>
      <c r="H841" s="450">
        <f t="shared" si="135"/>
        <v>1</v>
      </c>
      <c r="I841" s="447">
        <f t="shared" ca="1" si="136"/>
        <v>0</v>
      </c>
      <c r="J841" s="447">
        <f t="shared" ca="1" si="137"/>
        <v>0</v>
      </c>
      <c r="K841" s="373">
        <f t="shared" ca="1" si="133"/>
        <v>0</v>
      </c>
    </row>
    <row r="842" spans="1:11" s="45" customFormat="1" ht="15.75" hidden="1">
      <c r="A842" s="373" t="str">
        <f>IF(AND(COUNTIF($A$5:$A$133,R_DG!A716)=0,R_DG!R716&gt;0,ISNUMBER(R_DG!R716)),R_DG!A716,"NONE")</f>
        <v>NONE</v>
      </c>
      <c r="B842" s="85">
        <f ca="1">IF(K842&gt;0,COUNTIF(K$6:K842,"&gt;0"),B841)</f>
        <v>34</v>
      </c>
      <c r="C842" s="1084">
        <f t="shared" si="131"/>
        <v>0</v>
      </c>
      <c r="D842" s="85">
        <f t="shared" si="132"/>
        <v>0</v>
      </c>
      <c r="E842" s="448">
        <f ca="1">SUMIF(OFFSET(tongctvtdd1,0,-(COLUMN(E842)+7-(COLUMN(E842)-5)/2)),KLVT!$A842,tongctvtdd1)+SUMIF(OFFSET(tongctvtpk1,0,-(COLUMN(E842)+7-(COLUMN(E842)-5)/2)),KLVT!$A842,tongctvtpk1)</f>
        <v>0</v>
      </c>
      <c r="F842" s="449">
        <f ca="1">SUMIF(OFFSET(cttba_vlvt1_1,0,-9,-ROW(cttba_vlvt1_1)+ROW(cttba_vltb1_1)-10),KLVT!$A842,OFFSET(cttba_vlvt1_1,0,-4,-ROW(cttba_vlvt1_1)+ROW(cttba_vltb1_1)-10))</f>
        <v>0</v>
      </c>
      <c r="G842" s="451">
        <f t="shared" ca="1" si="134"/>
        <v>0</v>
      </c>
      <c r="H842" s="450">
        <f t="shared" si="135"/>
        <v>1</v>
      </c>
      <c r="I842" s="447">
        <f t="shared" ca="1" si="136"/>
        <v>0</v>
      </c>
      <c r="J842" s="447">
        <f t="shared" ca="1" si="137"/>
        <v>0</v>
      </c>
      <c r="K842" s="373">
        <f t="shared" ca="1" si="133"/>
        <v>0</v>
      </c>
    </row>
    <row r="843" spans="1:11" s="45" customFormat="1" ht="15.75" hidden="1">
      <c r="A843" s="373" t="str">
        <f>IF(AND(COUNTIF($A$5:$A$133,R_DG!A717)=0,R_DG!R717&gt;0,ISNUMBER(R_DG!R717)),R_DG!A717,"NONE")</f>
        <v>NONE</v>
      </c>
      <c r="B843" s="85">
        <f ca="1">IF(K843&gt;0,COUNTIF(K$6:K843,"&gt;0"),B842)</f>
        <v>34</v>
      </c>
      <c r="C843" s="1084">
        <f t="shared" si="131"/>
        <v>0</v>
      </c>
      <c r="D843" s="85">
        <f t="shared" si="132"/>
        <v>0</v>
      </c>
      <c r="E843" s="448">
        <f ca="1">SUMIF(OFFSET(tongctvtdd1,0,-(COLUMN(E843)+7-(COLUMN(E843)-5)/2)),KLVT!$A843,tongctvtdd1)+SUMIF(OFFSET(tongctvtpk1,0,-(COLUMN(E843)+7-(COLUMN(E843)-5)/2)),KLVT!$A843,tongctvtpk1)</f>
        <v>0</v>
      </c>
      <c r="F843" s="449">
        <f ca="1">SUMIF(OFFSET(cttba_vlvt1_1,0,-9,-ROW(cttba_vlvt1_1)+ROW(cttba_vltb1_1)-10),KLVT!$A843,OFFSET(cttba_vlvt1_1,0,-4,-ROW(cttba_vlvt1_1)+ROW(cttba_vltb1_1)-10))</f>
        <v>0</v>
      </c>
      <c r="G843" s="451">
        <f t="shared" ca="1" si="134"/>
        <v>0</v>
      </c>
      <c r="H843" s="450">
        <f t="shared" si="135"/>
        <v>1</v>
      </c>
      <c r="I843" s="447">
        <f t="shared" ca="1" si="136"/>
        <v>0</v>
      </c>
      <c r="J843" s="447">
        <f t="shared" ca="1" si="137"/>
        <v>0</v>
      </c>
      <c r="K843" s="373">
        <f t="shared" ca="1" si="133"/>
        <v>0</v>
      </c>
    </row>
    <row r="844" spans="1:11" s="45" customFormat="1" ht="15.75" hidden="1">
      <c r="A844" s="373" t="str">
        <f>IF(AND(COUNTIF($A$5:$A$133,R_DG!A718)=0,R_DG!R718&gt;0,ISNUMBER(R_DG!R718)),R_DG!A718,"NONE")</f>
        <v>NONE</v>
      </c>
      <c r="B844" s="85">
        <f ca="1">IF(K844&gt;0,COUNTIF(K$6:K844,"&gt;0"),B843)</f>
        <v>34</v>
      </c>
      <c r="C844" s="1084">
        <f t="shared" si="131"/>
        <v>0</v>
      </c>
      <c r="D844" s="85">
        <f t="shared" si="132"/>
        <v>0</v>
      </c>
      <c r="E844" s="448">
        <f ca="1">SUMIF(OFFSET(tongctvtdd1,0,-(COLUMN(E844)+7-(COLUMN(E844)-5)/2)),KLVT!$A844,tongctvtdd1)+SUMIF(OFFSET(tongctvtpk1,0,-(COLUMN(E844)+7-(COLUMN(E844)-5)/2)),KLVT!$A844,tongctvtpk1)</f>
        <v>0</v>
      </c>
      <c r="F844" s="449">
        <f ca="1">SUMIF(OFFSET(cttba_vlvt1_1,0,-9,-ROW(cttba_vlvt1_1)+ROW(cttba_vltb1_1)-10),KLVT!$A844,OFFSET(cttba_vlvt1_1,0,-4,-ROW(cttba_vlvt1_1)+ROW(cttba_vltb1_1)-10))</f>
        <v>0</v>
      </c>
      <c r="G844" s="451">
        <f t="shared" ca="1" si="134"/>
        <v>0</v>
      </c>
      <c r="H844" s="450">
        <f t="shared" si="135"/>
        <v>1</v>
      </c>
      <c r="I844" s="447">
        <f t="shared" ca="1" si="136"/>
        <v>0</v>
      </c>
      <c r="J844" s="447">
        <f t="shared" ca="1" si="137"/>
        <v>0</v>
      </c>
      <c r="K844" s="373">
        <f t="shared" ca="1" si="133"/>
        <v>0</v>
      </c>
    </row>
    <row r="845" spans="1:11" s="45" customFormat="1" ht="15.75" hidden="1">
      <c r="A845" s="373" t="str">
        <f>IF(AND(COUNTIF($A$5:$A$133,R_DG!A719)=0,R_DG!R719&gt;0,ISNUMBER(R_DG!R719)),R_DG!A719,"NONE")</f>
        <v>NONE</v>
      </c>
      <c r="B845" s="85">
        <f ca="1">IF(K845&gt;0,COUNTIF(K$6:K845,"&gt;0"),B844)</f>
        <v>34</v>
      </c>
      <c r="C845" s="1084">
        <f t="shared" si="131"/>
        <v>0</v>
      </c>
      <c r="D845" s="85">
        <f t="shared" si="132"/>
        <v>0</v>
      </c>
      <c r="E845" s="448">
        <f ca="1">SUMIF(OFFSET(tongctvtdd1,0,-(COLUMN(E845)+7-(COLUMN(E845)-5)/2)),KLVT!$A845,tongctvtdd1)+SUMIF(OFFSET(tongctvtpk1,0,-(COLUMN(E845)+7-(COLUMN(E845)-5)/2)),KLVT!$A845,tongctvtpk1)</f>
        <v>0</v>
      </c>
      <c r="F845" s="449">
        <f ca="1">SUMIF(OFFSET(cttba_vlvt1_1,0,-9,-ROW(cttba_vlvt1_1)+ROW(cttba_vltb1_1)-10),KLVT!$A845,OFFSET(cttba_vlvt1_1,0,-4,-ROW(cttba_vlvt1_1)+ROW(cttba_vltb1_1)-10))</f>
        <v>0</v>
      </c>
      <c r="G845" s="451">
        <f t="shared" ca="1" si="134"/>
        <v>0</v>
      </c>
      <c r="H845" s="450">
        <f t="shared" si="135"/>
        <v>1</v>
      </c>
      <c r="I845" s="447">
        <f t="shared" ca="1" si="136"/>
        <v>0</v>
      </c>
      <c r="J845" s="447">
        <f t="shared" ca="1" si="137"/>
        <v>0</v>
      </c>
      <c r="K845" s="373">
        <f t="shared" ca="1" si="133"/>
        <v>0</v>
      </c>
    </row>
    <row r="846" spans="1:11" s="45" customFormat="1" ht="15.75" hidden="1">
      <c r="A846" s="373" t="str">
        <f>IF(AND(COUNTIF($A$5:$A$133,R_DG!A720)=0,R_DG!R720&gt;0,ISNUMBER(R_DG!R720)),R_DG!A720,"NONE")</f>
        <v>NONE</v>
      </c>
      <c r="B846" s="85">
        <f ca="1">IF(K846&gt;0,COUNTIF(K$6:K846,"&gt;0"),B845)</f>
        <v>34</v>
      </c>
      <c r="C846" s="1084">
        <f t="shared" si="131"/>
        <v>0</v>
      </c>
      <c r="D846" s="85">
        <f t="shared" si="132"/>
        <v>0</v>
      </c>
      <c r="E846" s="448">
        <f ca="1">SUMIF(OFFSET(tongctvtdd1,0,-(COLUMN(E846)+7-(COLUMN(E846)-5)/2)),KLVT!$A846,tongctvtdd1)+SUMIF(OFFSET(tongctvtpk1,0,-(COLUMN(E846)+7-(COLUMN(E846)-5)/2)),KLVT!$A846,tongctvtpk1)</f>
        <v>0</v>
      </c>
      <c r="F846" s="449">
        <f ca="1">SUMIF(OFFSET(cttba_vlvt1_1,0,-9,-ROW(cttba_vlvt1_1)+ROW(cttba_vltb1_1)-10),KLVT!$A846,OFFSET(cttba_vlvt1_1,0,-4,-ROW(cttba_vlvt1_1)+ROW(cttba_vltb1_1)-10))</f>
        <v>0</v>
      </c>
      <c r="G846" s="451">
        <f t="shared" ca="1" si="134"/>
        <v>0</v>
      </c>
      <c r="H846" s="450">
        <f t="shared" si="135"/>
        <v>1</v>
      </c>
      <c r="I846" s="447">
        <f t="shared" ca="1" si="136"/>
        <v>0</v>
      </c>
      <c r="J846" s="447">
        <f t="shared" ca="1" si="137"/>
        <v>0</v>
      </c>
      <c r="K846" s="373">
        <f t="shared" ca="1" si="133"/>
        <v>0</v>
      </c>
    </row>
    <row r="847" spans="1:11" s="45" customFormat="1" ht="15.75" hidden="1">
      <c r="A847" s="373" t="str">
        <f>IF(AND(COUNTIF($A$5:$A$133,R_DG!A721)=0,R_DG!R721&gt;0,ISNUMBER(R_DG!R721)),R_DG!A721,"NONE")</f>
        <v>NONE</v>
      </c>
      <c r="B847" s="85">
        <f ca="1">IF(K847&gt;0,COUNTIF(K$6:K847,"&gt;0"),B846)</f>
        <v>34</v>
      </c>
      <c r="C847" s="1084">
        <f t="shared" si="131"/>
        <v>0</v>
      </c>
      <c r="D847" s="85">
        <f t="shared" si="132"/>
        <v>0</v>
      </c>
      <c r="E847" s="448">
        <f ca="1">SUMIF(OFFSET(tongctvtdd1,0,-(COLUMN(E847)+7-(COLUMN(E847)-5)/2)),KLVT!$A847,tongctvtdd1)+SUMIF(OFFSET(tongctvtpk1,0,-(COLUMN(E847)+7-(COLUMN(E847)-5)/2)),KLVT!$A847,tongctvtpk1)</f>
        <v>0</v>
      </c>
      <c r="F847" s="449">
        <f ca="1">SUMIF(OFFSET(cttba_vlvt1_1,0,-9,-ROW(cttba_vlvt1_1)+ROW(cttba_vltb1_1)-10),KLVT!$A847,OFFSET(cttba_vlvt1_1,0,-4,-ROW(cttba_vlvt1_1)+ROW(cttba_vltb1_1)-10))</f>
        <v>0</v>
      </c>
      <c r="G847" s="451">
        <f t="shared" ca="1" si="134"/>
        <v>0</v>
      </c>
      <c r="H847" s="450">
        <f t="shared" si="135"/>
        <v>1</v>
      </c>
      <c r="I847" s="447">
        <f t="shared" ca="1" si="136"/>
        <v>0</v>
      </c>
      <c r="J847" s="447">
        <f t="shared" ca="1" si="137"/>
        <v>0</v>
      </c>
      <c r="K847" s="374">
        <f t="shared" ca="1" si="133"/>
        <v>0</v>
      </c>
    </row>
    <row r="848" spans="1:11" s="45" customFormat="1" ht="15.75" hidden="1">
      <c r="A848" s="373" t="str">
        <f>IF(AND(COUNTIF($A$5:$A$133,R_DG!A722)=0,R_DG!R722&gt;0,ISNUMBER(R_DG!R722)),R_DG!A722,"NONE")</f>
        <v>NONE</v>
      </c>
      <c r="B848" s="85">
        <f ca="1">IF(K848&gt;0,COUNTIF(K$6:K848,"&gt;0"),B847)</f>
        <v>34</v>
      </c>
      <c r="C848" s="1084">
        <f t="shared" si="131"/>
        <v>0</v>
      </c>
      <c r="D848" s="85">
        <f t="shared" si="132"/>
        <v>0</v>
      </c>
      <c r="E848" s="448">
        <f ca="1">SUMIF(OFFSET(tongctvtdd1,0,-(COLUMN(E848)+7-(COLUMN(E848)-5)/2)),KLVT!$A848,tongctvtdd1)+SUMIF(OFFSET(tongctvtpk1,0,-(COLUMN(E848)+7-(COLUMN(E848)-5)/2)),KLVT!$A848,tongctvtpk1)</f>
        <v>0</v>
      </c>
      <c r="F848" s="449">
        <f ca="1">SUMIF(OFFSET(cttba_vlvt1_1,0,-9,-ROW(cttba_vlvt1_1)+ROW(cttba_vltb1_1)-10),KLVT!$A848,OFFSET(cttba_vlvt1_1,0,-4,-ROW(cttba_vlvt1_1)+ROW(cttba_vltb1_1)-10))</f>
        <v>0</v>
      </c>
      <c r="G848" s="451">
        <f t="shared" ca="1" si="134"/>
        <v>0</v>
      </c>
      <c r="H848" s="450">
        <f t="shared" si="135"/>
        <v>1</v>
      </c>
      <c r="I848" s="447">
        <f t="shared" ca="1" si="136"/>
        <v>0</v>
      </c>
      <c r="J848" s="447">
        <f t="shared" ca="1" si="137"/>
        <v>0</v>
      </c>
      <c r="K848" s="373">
        <f t="shared" ca="1" si="133"/>
        <v>0</v>
      </c>
    </row>
    <row r="849" spans="1:11" s="45" customFormat="1" ht="15.75" hidden="1">
      <c r="A849" s="373" t="str">
        <f>IF(AND(COUNTIF($A$5:$A$133,R_DG!A723)=0,R_DG!R723&gt;0,ISNUMBER(R_DG!R723)),R_DG!A723,"NONE")</f>
        <v>NONE</v>
      </c>
      <c r="B849" s="85">
        <f ca="1">IF(K849&gt;0,COUNTIF(K$6:K849,"&gt;0"),B848)</f>
        <v>34</v>
      </c>
      <c r="C849" s="1084">
        <f t="shared" si="131"/>
        <v>0</v>
      </c>
      <c r="D849" s="85">
        <f t="shared" si="132"/>
        <v>0</v>
      </c>
      <c r="E849" s="448">
        <f ca="1">SUMIF(OFFSET(tongctvtdd1,0,-(COLUMN(E849)+7-(COLUMN(E849)-5)/2)),KLVT!$A849,tongctvtdd1)+SUMIF(OFFSET(tongctvtpk1,0,-(COLUMN(E849)+7-(COLUMN(E849)-5)/2)),KLVT!$A849,tongctvtpk1)</f>
        <v>0</v>
      </c>
      <c r="F849" s="449">
        <f ca="1">SUMIF(OFFSET(cttba_vlvt1_1,0,-9,-ROW(cttba_vlvt1_1)+ROW(cttba_vltb1_1)-10),KLVT!$A849,OFFSET(cttba_vlvt1_1,0,-4,-ROW(cttba_vlvt1_1)+ROW(cttba_vltb1_1)-10))</f>
        <v>0</v>
      </c>
      <c r="G849" s="451">
        <f t="shared" ca="1" si="134"/>
        <v>0</v>
      </c>
      <c r="H849" s="450">
        <f t="shared" si="135"/>
        <v>1</v>
      </c>
      <c r="I849" s="447">
        <f t="shared" ca="1" si="136"/>
        <v>0</v>
      </c>
      <c r="J849" s="447">
        <f t="shared" ca="1" si="137"/>
        <v>0</v>
      </c>
      <c r="K849" s="373">
        <f t="shared" ca="1" si="133"/>
        <v>0</v>
      </c>
    </row>
    <row r="850" spans="1:11" s="45" customFormat="1" ht="15.75" hidden="1">
      <c r="A850" s="373" t="str">
        <f>IF(AND(COUNTIF($A$5:$A$133,R_DG!A724)=0,R_DG!R724&gt;0,ISNUMBER(R_DG!R724)),R_DG!A724,"NONE")</f>
        <v>NONE</v>
      </c>
      <c r="B850" s="85">
        <f ca="1">IF(K850&gt;0,COUNTIF(K$6:K850,"&gt;0"),B849)</f>
        <v>34</v>
      </c>
      <c r="C850" s="1084">
        <f t="shared" si="131"/>
        <v>0</v>
      </c>
      <c r="D850" s="85">
        <f t="shared" si="132"/>
        <v>0</v>
      </c>
      <c r="E850" s="448">
        <f ca="1">SUMIF(OFFSET(tongctvtdd1,0,-(COLUMN(E850)+7-(COLUMN(E850)-5)/2)),KLVT!$A850,tongctvtdd1)+SUMIF(OFFSET(tongctvtpk1,0,-(COLUMN(E850)+7-(COLUMN(E850)-5)/2)),KLVT!$A850,tongctvtpk1)</f>
        <v>0</v>
      </c>
      <c r="F850" s="449">
        <f ca="1">SUMIF(OFFSET(cttba_vlvt1_1,0,-9,-ROW(cttba_vlvt1_1)+ROW(cttba_vltb1_1)-10),KLVT!$A850,OFFSET(cttba_vlvt1_1,0,-4,-ROW(cttba_vlvt1_1)+ROW(cttba_vltb1_1)-10))</f>
        <v>0</v>
      </c>
      <c r="G850" s="451">
        <f t="shared" ca="1" si="134"/>
        <v>0</v>
      </c>
      <c r="H850" s="450">
        <f t="shared" si="135"/>
        <v>1</v>
      </c>
      <c r="I850" s="447">
        <f t="shared" ca="1" si="136"/>
        <v>0</v>
      </c>
      <c r="J850" s="447">
        <f t="shared" ca="1" si="137"/>
        <v>0</v>
      </c>
      <c r="K850" s="373">
        <f t="shared" ca="1" si="133"/>
        <v>0</v>
      </c>
    </row>
    <row r="851" spans="1:11" s="45" customFormat="1" ht="15.75" hidden="1">
      <c r="A851" s="373" t="str">
        <f>IF(AND(COUNTIF($A$5:$A$133,R_DG!A725)=0,R_DG!R725&gt;0,ISNUMBER(R_DG!R725)),R_DG!A725,"NONE")</f>
        <v>NONE</v>
      </c>
      <c r="B851" s="85">
        <f ca="1">IF(K851&gt;0,COUNTIF(K$6:K851,"&gt;0"),B850)</f>
        <v>34</v>
      </c>
      <c r="C851" s="1084">
        <f t="shared" si="131"/>
        <v>0</v>
      </c>
      <c r="D851" s="85">
        <f t="shared" si="132"/>
        <v>0</v>
      </c>
      <c r="E851" s="448">
        <f ca="1">SUMIF(OFFSET(tongctvtdd1,0,-(COLUMN(E851)+7-(COLUMN(E851)-5)/2)),KLVT!$A851,tongctvtdd1)+SUMIF(OFFSET(tongctvtpk1,0,-(COLUMN(E851)+7-(COLUMN(E851)-5)/2)),KLVT!$A851,tongctvtpk1)</f>
        <v>0</v>
      </c>
      <c r="F851" s="449">
        <f ca="1">SUMIF(OFFSET(cttba_vlvt1_1,0,-9,-ROW(cttba_vlvt1_1)+ROW(cttba_vltb1_1)-10),KLVT!$A851,OFFSET(cttba_vlvt1_1,0,-4,-ROW(cttba_vlvt1_1)+ROW(cttba_vltb1_1)-10))</f>
        <v>0</v>
      </c>
      <c r="G851" s="451">
        <f t="shared" ca="1" si="134"/>
        <v>0</v>
      </c>
      <c r="H851" s="450">
        <f t="shared" si="135"/>
        <v>1</v>
      </c>
      <c r="I851" s="447">
        <f t="shared" ca="1" si="136"/>
        <v>0</v>
      </c>
      <c r="J851" s="447">
        <f t="shared" ca="1" si="137"/>
        <v>0</v>
      </c>
      <c r="K851" s="373">
        <f t="shared" ca="1" si="133"/>
        <v>0</v>
      </c>
    </row>
    <row r="852" spans="1:11" s="45" customFormat="1" ht="15.75" hidden="1">
      <c r="A852" s="373" t="str">
        <f>IF(AND(COUNTIF($A$5:$A$133,R_DG!A726)=0,R_DG!R726&gt;0,ISNUMBER(R_DG!R726)),R_DG!A726,"NONE")</f>
        <v>NONE</v>
      </c>
      <c r="B852" s="85">
        <f ca="1">IF(K852&gt;0,COUNTIF(K$6:K852,"&gt;0"),B851)</f>
        <v>34</v>
      </c>
      <c r="C852" s="1084">
        <f t="shared" si="131"/>
        <v>0</v>
      </c>
      <c r="D852" s="85">
        <f t="shared" si="132"/>
        <v>0</v>
      </c>
      <c r="E852" s="448">
        <f ca="1">SUMIF(OFFSET(tongctvtdd1,0,-(COLUMN(E852)+7-(COLUMN(E852)-5)/2)),KLVT!$A852,tongctvtdd1)+SUMIF(OFFSET(tongctvtpk1,0,-(COLUMN(E852)+7-(COLUMN(E852)-5)/2)),KLVT!$A852,tongctvtpk1)</f>
        <v>0</v>
      </c>
      <c r="F852" s="449">
        <f ca="1">SUMIF(OFFSET(cttba_vlvt1_1,0,-9,-ROW(cttba_vlvt1_1)+ROW(cttba_vltb1_1)-10),KLVT!$A852,OFFSET(cttba_vlvt1_1,0,-4,-ROW(cttba_vlvt1_1)+ROW(cttba_vltb1_1)-10))</f>
        <v>0</v>
      </c>
      <c r="G852" s="451">
        <f t="shared" ca="1" si="134"/>
        <v>0</v>
      </c>
      <c r="H852" s="450">
        <f t="shared" si="135"/>
        <v>1</v>
      </c>
      <c r="I852" s="447">
        <f t="shared" ca="1" si="136"/>
        <v>0</v>
      </c>
      <c r="J852" s="447">
        <f t="shared" ca="1" si="137"/>
        <v>0</v>
      </c>
      <c r="K852" s="373">
        <f t="shared" ca="1" si="133"/>
        <v>0</v>
      </c>
    </row>
    <row r="853" spans="1:11" s="45" customFormat="1" ht="15.75" hidden="1">
      <c r="A853" s="373" t="str">
        <f>IF(AND(COUNTIF($A$5:$A$133,R_DG!A727)=0,R_DG!R727&gt;0,ISNUMBER(R_DG!R727)),R_DG!A727,"NONE")</f>
        <v>NONE</v>
      </c>
      <c r="B853" s="85">
        <f ca="1">IF(K853&gt;0,COUNTIF(K$6:K853,"&gt;0"),B852)</f>
        <v>34</v>
      </c>
      <c r="C853" s="1084">
        <f t="shared" si="131"/>
        <v>0</v>
      </c>
      <c r="D853" s="85">
        <f t="shared" si="132"/>
        <v>0</v>
      </c>
      <c r="E853" s="448">
        <f ca="1">SUMIF(OFFSET(tongctvtdd1,0,-(COLUMN(E853)+7-(COLUMN(E853)-5)/2)),KLVT!$A853,tongctvtdd1)+SUMIF(OFFSET(tongctvtpk1,0,-(COLUMN(E853)+7-(COLUMN(E853)-5)/2)),KLVT!$A853,tongctvtpk1)</f>
        <v>0</v>
      </c>
      <c r="F853" s="449">
        <f ca="1">SUMIF(OFFSET(cttba_vlvt1_1,0,-9,-ROW(cttba_vlvt1_1)+ROW(cttba_vltb1_1)-10),KLVT!$A853,OFFSET(cttba_vlvt1_1,0,-4,-ROW(cttba_vlvt1_1)+ROW(cttba_vltb1_1)-10))</f>
        <v>0</v>
      </c>
      <c r="G853" s="451">
        <f t="shared" ca="1" si="134"/>
        <v>0</v>
      </c>
      <c r="H853" s="450">
        <f t="shared" si="135"/>
        <v>1</v>
      </c>
      <c r="I853" s="447">
        <f t="shared" ca="1" si="136"/>
        <v>0</v>
      </c>
      <c r="J853" s="447">
        <f t="shared" ca="1" si="137"/>
        <v>0</v>
      </c>
      <c r="K853" s="373">
        <f t="shared" ca="1" si="133"/>
        <v>0</v>
      </c>
    </row>
    <row r="854" spans="1:11" s="45" customFormat="1" ht="15.75" hidden="1">
      <c r="A854" s="373" t="str">
        <f>IF(AND(COUNTIF($A$5:$A$133,R_DG!A728)=0,R_DG!R728&gt;0,ISNUMBER(R_DG!R728)),R_DG!A728,"NONE")</f>
        <v>NONE</v>
      </c>
      <c r="B854" s="85">
        <f ca="1">IF(K854&gt;0,COUNTIF(K$6:K854,"&gt;0"),B853)</f>
        <v>34</v>
      </c>
      <c r="C854" s="1084">
        <f t="shared" si="131"/>
        <v>0</v>
      </c>
      <c r="D854" s="85">
        <f t="shared" si="132"/>
        <v>0</v>
      </c>
      <c r="E854" s="448">
        <f ca="1">SUMIF(OFFSET(tongctvtdd1,0,-(COLUMN(E854)+7-(COLUMN(E854)-5)/2)),KLVT!$A854,tongctvtdd1)+SUMIF(OFFSET(tongctvtpk1,0,-(COLUMN(E854)+7-(COLUMN(E854)-5)/2)),KLVT!$A854,tongctvtpk1)</f>
        <v>0</v>
      </c>
      <c r="F854" s="449">
        <f ca="1">SUMIF(OFFSET(cttba_vlvt1_1,0,-9,-ROW(cttba_vlvt1_1)+ROW(cttba_vltb1_1)-10),KLVT!$A854,OFFSET(cttba_vlvt1_1,0,-4,-ROW(cttba_vlvt1_1)+ROW(cttba_vltb1_1)-10))</f>
        <v>0</v>
      </c>
      <c r="G854" s="451">
        <f t="shared" ca="1" si="134"/>
        <v>0</v>
      </c>
      <c r="H854" s="450">
        <f t="shared" si="135"/>
        <v>1</v>
      </c>
      <c r="I854" s="447">
        <f t="shared" ca="1" si="136"/>
        <v>0</v>
      </c>
      <c r="J854" s="447">
        <f t="shared" ca="1" si="137"/>
        <v>0</v>
      </c>
      <c r="K854" s="373">
        <f t="shared" ca="1" si="133"/>
        <v>0</v>
      </c>
    </row>
    <row r="855" spans="1:11" s="45" customFormat="1" ht="15.75" hidden="1">
      <c r="A855" s="373" t="str">
        <f>IF(AND(COUNTIF($A$5:$A$133,R_DG!A729)=0,R_DG!R729&gt;0,ISNUMBER(R_DG!R729)),R_DG!A729,"NONE")</f>
        <v>NONE</v>
      </c>
      <c r="B855" s="85">
        <f ca="1">IF(K855&gt;0,COUNTIF(K$6:K855,"&gt;0"),B854)</f>
        <v>34</v>
      </c>
      <c r="C855" s="1084">
        <f t="shared" si="131"/>
        <v>0</v>
      </c>
      <c r="D855" s="85">
        <f t="shared" si="132"/>
        <v>0</v>
      </c>
      <c r="E855" s="448">
        <f ca="1">SUMIF(OFFSET(tongctvtdd1,0,-(COLUMN(E855)+7-(COLUMN(E855)-5)/2)),KLVT!$A855,tongctvtdd1)+SUMIF(OFFSET(tongctvtpk1,0,-(COLUMN(E855)+7-(COLUMN(E855)-5)/2)),KLVT!$A855,tongctvtpk1)</f>
        <v>0</v>
      </c>
      <c r="F855" s="449">
        <f ca="1">SUMIF(OFFSET(cttba_vlvt1_1,0,-9,-ROW(cttba_vlvt1_1)+ROW(cttba_vltb1_1)-10),KLVT!$A855,OFFSET(cttba_vlvt1_1,0,-4,-ROW(cttba_vlvt1_1)+ROW(cttba_vltb1_1)-10))</f>
        <v>0</v>
      </c>
      <c r="G855" s="451">
        <f t="shared" ca="1" si="134"/>
        <v>0</v>
      </c>
      <c r="H855" s="450">
        <f t="shared" si="135"/>
        <v>1</v>
      </c>
      <c r="I855" s="447">
        <f t="shared" ca="1" si="136"/>
        <v>0</v>
      </c>
      <c r="J855" s="447">
        <f t="shared" ca="1" si="137"/>
        <v>0</v>
      </c>
      <c r="K855" s="373">
        <f t="shared" ca="1" si="133"/>
        <v>0</v>
      </c>
    </row>
    <row r="856" spans="1:11" s="45" customFormat="1" ht="15.75" hidden="1">
      <c r="A856" s="373" t="str">
        <f>IF(AND(COUNTIF($A$5:$A$133,R_DG!A730)=0,R_DG!R730&gt;0,ISNUMBER(R_DG!R730)),R_DG!A730,"NONE")</f>
        <v>NONE</v>
      </c>
      <c r="B856" s="85">
        <f ca="1">IF(K856&gt;0,COUNTIF(K$6:K856,"&gt;0"),B855)</f>
        <v>34</v>
      </c>
      <c r="C856" s="1084">
        <f t="shared" si="131"/>
        <v>0</v>
      </c>
      <c r="D856" s="85">
        <f t="shared" si="132"/>
        <v>0</v>
      </c>
      <c r="E856" s="448">
        <f ca="1">SUMIF(OFFSET(tongctvtdd1,0,-(COLUMN(E856)+7-(COLUMN(E856)-5)/2)),KLVT!$A856,tongctvtdd1)+SUMIF(OFFSET(tongctvtpk1,0,-(COLUMN(E856)+7-(COLUMN(E856)-5)/2)),KLVT!$A856,tongctvtpk1)</f>
        <v>0</v>
      </c>
      <c r="F856" s="449">
        <f ca="1">SUMIF(OFFSET(cttba_vlvt1_1,0,-9,-ROW(cttba_vlvt1_1)+ROW(cttba_vltb1_1)-10),KLVT!$A856,OFFSET(cttba_vlvt1_1,0,-4,-ROW(cttba_vlvt1_1)+ROW(cttba_vltb1_1)-10))</f>
        <v>0</v>
      </c>
      <c r="G856" s="451">
        <f t="shared" ca="1" si="134"/>
        <v>0</v>
      </c>
      <c r="H856" s="450">
        <f t="shared" si="135"/>
        <v>1</v>
      </c>
      <c r="I856" s="447">
        <f t="shared" ca="1" si="136"/>
        <v>0</v>
      </c>
      <c r="J856" s="447">
        <f t="shared" ca="1" si="137"/>
        <v>0</v>
      </c>
      <c r="K856" s="373">
        <f t="shared" ca="1" si="133"/>
        <v>0</v>
      </c>
    </row>
    <row r="857" spans="1:11" s="45" customFormat="1" ht="15.75" hidden="1">
      <c r="A857" s="373" t="str">
        <f>IF(AND(COUNTIF($A$5:$A$133,R_DG!A731)=0,R_DG!R731&gt;0,ISNUMBER(R_DG!R731)),R_DG!A731,"NONE")</f>
        <v>NONE</v>
      </c>
      <c r="B857" s="85">
        <f ca="1">IF(K857&gt;0,COUNTIF(K$6:K857,"&gt;0"),B856)</f>
        <v>34</v>
      </c>
      <c r="C857" s="1084">
        <f t="shared" si="131"/>
        <v>0</v>
      </c>
      <c r="D857" s="85">
        <f t="shared" si="132"/>
        <v>0</v>
      </c>
      <c r="E857" s="448">
        <f ca="1">SUMIF(OFFSET(tongctvtdd1,0,-(COLUMN(E857)+7-(COLUMN(E857)-5)/2)),KLVT!$A857,tongctvtdd1)+SUMIF(OFFSET(tongctvtpk1,0,-(COLUMN(E857)+7-(COLUMN(E857)-5)/2)),KLVT!$A857,tongctvtpk1)</f>
        <v>0</v>
      </c>
      <c r="F857" s="449">
        <f ca="1">SUMIF(OFFSET(cttba_vlvt1_1,0,-9,-ROW(cttba_vlvt1_1)+ROW(cttba_vltb1_1)-10),KLVT!$A857,OFFSET(cttba_vlvt1_1,0,-4,-ROW(cttba_vlvt1_1)+ROW(cttba_vltb1_1)-10))</f>
        <v>0</v>
      </c>
      <c r="G857" s="451">
        <f t="shared" ca="1" si="134"/>
        <v>0</v>
      </c>
      <c r="H857" s="450">
        <f t="shared" si="135"/>
        <v>1</v>
      </c>
      <c r="I857" s="447">
        <f t="shared" ca="1" si="136"/>
        <v>0</v>
      </c>
      <c r="J857" s="447">
        <f t="shared" ca="1" si="137"/>
        <v>0</v>
      </c>
      <c r="K857" s="373">
        <f t="shared" ca="1" si="133"/>
        <v>0</v>
      </c>
    </row>
    <row r="858" spans="1:11" s="45" customFormat="1" ht="15.75" hidden="1">
      <c r="A858" s="373" t="str">
        <f>IF(AND(COUNTIF($A$5:$A$133,R_DG!A732)=0,R_DG!R732&gt;0,ISNUMBER(R_DG!R732)),R_DG!A732,"NONE")</f>
        <v>NONE</v>
      </c>
      <c r="B858" s="85">
        <f ca="1">IF(K858&gt;0,COUNTIF(K$6:K858,"&gt;0"),B857)</f>
        <v>34</v>
      </c>
      <c r="C858" s="1084">
        <f t="shared" ref="C858:C877" si="138">VLOOKUP(A858,DONGIA,3,0)</f>
        <v>0</v>
      </c>
      <c r="D858" s="85">
        <f t="shared" ref="D858:D877" si="139">VLOOKUP(A858,DONGIA,4,0)</f>
        <v>0</v>
      </c>
      <c r="E858" s="448">
        <f ca="1">SUMIF(OFFSET(tongctvtdd1,0,-(COLUMN(E858)+7-(COLUMN(E858)-5)/2)),KLVT!$A858,tongctvtdd1)+SUMIF(OFFSET(tongctvtpk1,0,-(COLUMN(E858)+7-(COLUMN(E858)-5)/2)),KLVT!$A858,tongctvtpk1)</f>
        <v>0</v>
      </c>
      <c r="F858" s="449">
        <f ca="1">SUMIF(OFFSET(cttba_vlvt1_1,0,-9,-ROW(cttba_vlvt1_1)+ROW(cttba_vltb1_1)-10),KLVT!$A858,OFFSET(cttba_vlvt1_1,0,-4,-ROW(cttba_vlvt1_1)+ROW(cttba_vltb1_1)-10))</f>
        <v>0</v>
      </c>
      <c r="G858" s="451">
        <f t="shared" ca="1" si="134"/>
        <v>0</v>
      </c>
      <c r="H858" s="450">
        <f t="shared" si="135"/>
        <v>1</v>
      </c>
      <c r="I858" s="447">
        <f t="shared" ca="1" si="136"/>
        <v>0</v>
      </c>
      <c r="J858" s="447">
        <f t="shared" ca="1" si="137"/>
        <v>0</v>
      </c>
      <c r="K858" s="373">
        <f t="shared" ca="1" si="133"/>
        <v>0</v>
      </c>
    </row>
    <row r="859" spans="1:11" s="45" customFormat="1" ht="15.75" hidden="1">
      <c r="A859" s="373" t="str">
        <f>IF(AND(COUNTIF($A$5:$A$133,R_DG!A733)=0,R_DG!R733&gt;0,ISNUMBER(R_DG!R733)),R_DG!A733,"NONE")</f>
        <v>NONE</v>
      </c>
      <c r="B859" s="85">
        <f ca="1">IF(K859&gt;0,COUNTIF(K$6:K859,"&gt;0"),B858)</f>
        <v>34</v>
      </c>
      <c r="C859" s="1084">
        <f t="shared" si="138"/>
        <v>0</v>
      </c>
      <c r="D859" s="85">
        <f t="shared" si="139"/>
        <v>0</v>
      </c>
      <c r="E859" s="448">
        <f ca="1">SUMIF(OFFSET(tongctvtdd1,0,-(COLUMN(E859)+7-(COLUMN(E859)-5)/2)),KLVT!$A859,tongctvtdd1)+SUMIF(OFFSET(tongctvtpk1,0,-(COLUMN(E859)+7-(COLUMN(E859)-5)/2)),KLVT!$A859,tongctvtpk1)</f>
        <v>0</v>
      </c>
      <c r="F859" s="449">
        <f ca="1">SUMIF(OFFSET(cttba_vlvt1_1,0,-9,-ROW(cttba_vlvt1_1)+ROW(cttba_vltb1_1)-10),KLVT!$A859,OFFSET(cttba_vlvt1_1,0,-4,-ROW(cttba_vlvt1_1)+ROW(cttba_vltb1_1)-10))</f>
        <v>0</v>
      </c>
      <c r="G859" s="451">
        <f t="shared" ca="1" si="134"/>
        <v>0</v>
      </c>
      <c r="H859" s="450">
        <f t="shared" si="135"/>
        <v>1</v>
      </c>
      <c r="I859" s="447">
        <f t="shared" ca="1" si="136"/>
        <v>0</v>
      </c>
      <c r="J859" s="447">
        <f t="shared" ca="1" si="137"/>
        <v>0</v>
      </c>
      <c r="K859" s="373">
        <f t="shared" ca="1" si="133"/>
        <v>0</v>
      </c>
    </row>
    <row r="860" spans="1:11" s="45" customFormat="1" ht="15.75" hidden="1">
      <c r="A860" s="373" t="str">
        <f>IF(AND(COUNTIF($A$5:$A$133,R_DG!A734)=0,R_DG!R734&gt;0,ISNUMBER(R_DG!R734)),R_DG!A734,"NONE")</f>
        <v>NONE</v>
      </c>
      <c r="B860" s="85">
        <f ca="1">IF(K860&gt;0,COUNTIF(K$6:K860,"&gt;0"),B859)</f>
        <v>34</v>
      </c>
      <c r="C860" s="1084">
        <f t="shared" si="138"/>
        <v>0</v>
      </c>
      <c r="D860" s="85">
        <f t="shared" si="139"/>
        <v>0</v>
      </c>
      <c r="E860" s="448">
        <f ca="1">SUMIF(OFFSET(tongctvtdd1,0,-(COLUMN(E860)+7-(COLUMN(E860)-5)/2)),KLVT!$A860,tongctvtdd1)+SUMIF(OFFSET(tongctvtpk1,0,-(COLUMN(E860)+7-(COLUMN(E860)-5)/2)),KLVT!$A860,tongctvtpk1)</f>
        <v>0</v>
      </c>
      <c r="F860" s="449">
        <f ca="1">SUMIF(OFFSET(cttba_vlvt1_1,0,-9,-ROW(cttba_vlvt1_1)+ROW(cttba_vltb1_1)-10),KLVT!$A860,OFFSET(cttba_vlvt1_1,0,-4,-ROW(cttba_vlvt1_1)+ROW(cttba_vltb1_1)-10))</f>
        <v>0</v>
      </c>
      <c r="G860" s="451">
        <f t="shared" ca="1" si="134"/>
        <v>0</v>
      </c>
      <c r="H860" s="450">
        <f t="shared" si="135"/>
        <v>1</v>
      </c>
      <c r="I860" s="447">
        <f t="shared" ca="1" si="136"/>
        <v>0</v>
      </c>
      <c r="J860" s="447">
        <f t="shared" ca="1" si="137"/>
        <v>0</v>
      </c>
      <c r="K860" s="373">
        <f t="shared" ca="1" si="133"/>
        <v>0</v>
      </c>
    </row>
    <row r="861" spans="1:11" s="45" customFormat="1" ht="15.75" hidden="1">
      <c r="A861" s="373" t="str">
        <f>IF(AND(COUNTIF($A$5:$A$133,R_DG!A735)=0,R_DG!R735&gt;0,ISNUMBER(R_DG!R735)),R_DG!A735,"NONE")</f>
        <v>NONE</v>
      </c>
      <c r="B861" s="85">
        <f ca="1">IF(K861&gt;0,COUNTIF(K$6:K861,"&gt;0"),B860)</f>
        <v>34</v>
      </c>
      <c r="C861" s="1084">
        <f t="shared" si="138"/>
        <v>0</v>
      </c>
      <c r="D861" s="85">
        <f t="shared" si="139"/>
        <v>0</v>
      </c>
      <c r="E861" s="448">
        <f ca="1">SUMIF(OFFSET(tongctvtdd1,0,-(COLUMN(E861)+7-(COLUMN(E861)-5)/2)),KLVT!$A861,tongctvtdd1)+SUMIF(OFFSET(tongctvtpk1,0,-(COLUMN(E861)+7-(COLUMN(E861)-5)/2)),KLVT!$A861,tongctvtpk1)</f>
        <v>0</v>
      </c>
      <c r="F861" s="449">
        <f ca="1">SUMIF(OFFSET(cttba_vlvt1_1,0,-9,-ROW(cttba_vlvt1_1)+ROW(cttba_vltb1_1)-10),KLVT!$A861,OFFSET(cttba_vlvt1_1,0,-4,-ROW(cttba_vlvt1_1)+ROW(cttba_vltb1_1)-10))</f>
        <v>0</v>
      </c>
      <c r="G861" s="451">
        <f t="shared" ca="1" si="134"/>
        <v>0</v>
      </c>
      <c r="H861" s="450">
        <f t="shared" si="135"/>
        <v>1</v>
      </c>
      <c r="I861" s="447">
        <f t="shared" ca="1" si="136"/>
        <v>0</v>
      </c>
      <c r="J861" s="447">
        <f t="shared" ca="1" si="137"/>
        <v>0</v>
      </c>
      <c r="K861" s="373">
        <f t="shared" ca="1" si="133"/>
        <v>0</v>
      </c>
    </row>
    <row r="862" spans="1:11" s="45" customFormat="1" ht="15.75" hidden="1">
      <c r="A862" s="373" t="str">
        <f>IF(AND(COUNTIF($A$5:$A$133,R_DG!A736)=0,R_DG!R736&gt;0,ISNUMBER(R_DG!R736)),R_DG!A736,"NONE")</f>
        <v>NONE</v>
      </c>
      <c r="B862" s="85">
        <f ca="1">IF(K862&gt;0,COUNTIF(K$6:K862,"&gt;0"),B861)</f>
        <v>34</v>
      </c>
      <c r="C862" s="1084">
        <f t="shared" si="138"/>
        <v>0</v>
      </c>
      <c r="D862" s="85">
        <f t="shared" si="139"/>
        <v>0</v>
      </c>
      <c r="E862" s="448">
        <f ca="1">SUMIF(OFFSET(tongctvtdd1,0,-(COLUMN(E862)+7-(COLUMN(E862)-5)/2)),KLVT!$A862,tongctvtdd1)+SUMIF(OFFSET(tongctvtpk1,0,-(COLUMN(E862)+7-(COLUMN(E862)-5)/2)),KLVT!$A862,tongctvtpk1)</f>
        <v>0</v>
      </c>
      <c r="F862" s="449">
        <f ca="1">SUMIF(OFFSET(cttba_vlvt1_1,0,-9,-ROW(cttba_vlvt1_1)+ROW(cttba_vltb1_1)-10),KLVT!$A862,OFFSET(cttba_vlvt1_1,0,-4,-ROW(cttba_vlvt1_1)+ROW(cttba_vltb1_1)-10))</f>
        <v>0</v>
      </c>
      <c r="G862" s="451">
        <f t="shared" ca="1" si="134"/>
        <v>0</v>
      </c>
      <c r="H862" s="450">
        <f t="shared" si="135"/>
        <v>1</v>
      </c>
      <c r="I862" s="447">
        <f t="shared" ca="1" si="136"/>
        <v>0</v>
      </c>
      <c r="J862" s="447">
        <f t="shared" ca="1" si="137"/>
        <v>0</v>
      </c>
      <c r="K862" s="373">
        <f t="shared" ca="1" si="133"/>
        <v>0</v>
      </c>
    </row>
    <row r="863" spans="1:11" s="45" customFormat="1" ht="15.75" hidden="1">
      <c r="A863" s="373" t="str">
        <f>IF(AND(COUNTIF($A$5:$A$133,R_DG!A737)=0,R_DG!R737&gt;0,ISNUMBER(R_DG!R737)),R_DG!A737,"NONE")</f>
        <v>NONE</v>
      </c>
      <c r="B863" s="85">
        <f ca="1">IF(K863&gt;0,COUNTIF(K$6:K863,"&gt;0"),B862)</f>
        <v>34</v>
      </c>
      <c r="C863" s="1084">
        <f t="shared" si="138"/>
        <v>0</v>
      </c>
      <c r="D863" s="85">
        <f t="shared" si="139"/>
        <v>0</v>
      </c>
      <c r="E863" s="448">
        <f ca="1">SUMIF(OFFSET(tongctvtdd1,0,-(COLUMN(E863)+7-(COLUMN(E863)-5)/2)),KLVT!$A863,tongctvtdd1)+SUMIF(OFFSET(tongctvtpk1,0,-(COLUMN(E863)+7-(COLUMN(E863)-5)/2)),KLVT!$A863,tongctvtpk1)</f>
        <v>0</v>
      </c>
      <c r="F863" s="449">
        <f ca="1">SUMIF(OFFSET(cttba_vlvt1_1,0,-9,-ROW(cttba_vlvt1_1)+ROW(cttba_vltb1_1)-10),KLVT!$A863,OFFSET(cttba_vlvt1_1,0,-4,-ROW(cttba_vlvt1_1)+ROW(cttba_vltb1_1)-10))</f>
        <v>0</v>
      </c>
      <c r="G863" s="451">
        <f t="shared" ca="1" si="134"/>
        <v>0</v>
      </c>
      <c r="H863" s="450">
        <f t="shared" si="135"/>
        <v>1</v>
      </c>
      <c r="I863" s="447">
        <f t="shared" ca="1" si="136"/>
        <v>0</v>
      </c>
      <c r="J863" s="447">
        <f t="shared" ca="1" si="137"/>
        <v>0</v>
      </c>
      <c r="K863" s="373">
        <f t="shared" ca="1" si="133"/>
        <v>0</v>
      </c>
    </row>
    <row r="864" spans="1:11" s="45" customFormat="1" ht="15.75" hidden="1">
      <c r="A864" s="373" t="str">
        <f>IF(AND(COUNTIF($A$5:$A$133,R_DG!A738)=0,R_DG!R738&gt;0,ISNUMBER(R_DG!R738)),R_DG!A738,"NONE")</f>
        <v>NONE</v>
      </c>
      <c r="B864" s="85">
        <f ca="1">IF(K864&gt;0,COUNTIF(K$6:K864,"&gt;0"),B863)</f>
        <v>34</v>
      </c>
      <c r="C864" s="1084">
        <f t="shared" si="138"/>
        <v>0</v>
      </c>
      <c r="D864" s="85">
        <f t="shared" si="139"/>
        <v>0</v>
      </c>
      <c r="E864" s="448">
        <f ca="1">SUMIF(OFFSET(tongctvtdd1,0,-(COLUMN(E864)+7-(COLUMN(E864)-5)/2)),KLVT!$A864,tongctvtdd1)+SUMIF(OFFSET(tongctvtpk1,0,-(COLUMN(E864)+7-(COLUMN(E864)-5)/2)),KLVT!$A864,tongctvtpk1)</f>
        <v>0</v>
      </c>
      <c r="F864" s="449">
        <f ca="1">SUMIF(OFFSET(cttba_vlvt1_1,0,-9,-ROW(cttba_vlvt1_1)+ROW(cttba_vltb1_1)-10),KLVT!$A864,OFFSET(cttba_vlvt1_1,0,-4,-ROW(cttba_vlvt1_1)+ROW(cttba_vltb1_1)-10))</f>
        <v>0</v>
      </c>
      <c r="G864" s="451">
        <f t="shared" ca="1" si="134"/>
        <v>0</v>
      </c>
      <c r="H864" s="450">
        <f t="shared" si="135"/>
        <v>1</v>
      </c>
      <c r="I864" s="447">
        <f t="shared" ca="1" si="136"/>
        <v>0</v>
      </c>
      <c r="J864" s="447">
        <f t="shared" ca="1" si="137"/>
        <v>0</v>
      </c>
      <c r="K864" s="373">
        <f t="shared" ca="1" si="133"/>
        <v>0</v>
      </c>
    </row>
    <row r="865" spans="1:11" s="45" customFormat="1" ht="15.75" hidden="1">
      <c r="A865" s="373" t="str">
        <f>IF(AND(COUNTIF($A$5:$A$133,R_DG!A739)=0,R_DG!R739&gt;0,ISNUMBER(R_DG!R739)),R_DG!A739,"NONE")</f>
        <v>NONE</v>
      </c>
      <c r="B865" s="85">
        <f ca="1">IF(K865&gt;0,COUNTIF(K$6:K865,"&gt;0"),B864)</f>
        <v>34</v>
      </c>
      <c r="C865" s="1084">
        <f t="shared" si="138"/>
        <v>0</v>
      </c>
      <c r="D865" s="85">
        <f t="shared" si="139"/>
        <v>0</v>
      </c>
      <c r="E865" s="448">
        <f ca="1">SUMIF(OFFSET(tongctvtdd1,0,-(COLUMN(E865)+7-(COLUMN(E865)-5)/2)),KLVT!$A865,tongctvtdd1)+SUMIF(OFFSET(tongctvtpk1,0,-(COLUMN(E865)+7-(COLUMN(E865)-5)/2)),KLVT!$A865,tongctvtpk1)</f>
        <v>0</v>
      </c>
      <c r="F865" s="449">
        <f ca="1">SUMIF(OFFSET(cttba_vlvt1_1,0,-9,-ROW(cttba_vlvt1_1)+ROW(cttba_vltb1_1)-10),KLVT!$A865,OFFSET(cttba_vlvt1_1,0,-4,-ROW(cttba_vlvt1_1)+ROW(cttba_vltb1_1)-10))</f>
        <v>0</v>
      </c>
      <c r="G865" s="451">
        <f t="shared" ca="1" si="134"/>
        <v>0</v>
      </c>
      <c r="H865" s="450">
        <f t="shared" si="135"/>
        <v>1</v>
      </c>
      <c r="I865" s="447">
        <f t="shared" ca="1" si="136"/>
        <v>0</v>
      </c>
      <c r="J865" s="447">
        <f t="shared" ca="1" si="137"/>
        <v>0</v>
      </c>
      <c r="K865" s="373">
        <f t="shared" ca="1" si="133"/>
        <v>0</v>
      </c>
    </row>
    <row r="866" spans="1:11" s="45" customFormat="1" ht="15.75" hidden="1">
      <c r="A866" s="373" t="str">
        <f>IF(AND(COUNTIF($A$5:$A$133,R_DG!A740)=0,R_DG!R740&gt;0,ISNUMBER(R_DG!R740)),R_DG!A740,"NONE")</f>
        <v>NONE</v>
      </c>
      <c r="B866" s="85">
        <f ca="1">IF(K866&gt;0,COUNTIF(K$6:K866,"&gt;0"),B865)</f>
        <v>34</v>
      </c>
      <c r="C866" s="1084">
        <f t="shared" si="138"/>
        <v>0</v>
      </c>
      <c r="D866" s="85">
        <f t="shared" si="139"/>
        <v>0</v>
      </c>
      <c r="E866" s="448">
        <f ca="1">SUMIF(OFFSET(tongctvtdd1,0,-(COLUMN(E866)+7-(COLUMN(E866)-5)/2)),KLVT!$A866,tongctvtdd1)+SUMIF(OFFSET(tongctvtpk1,0,-(COLUMN(E866)+7-(COLUMN(E866)-5)/2)),KLVT!$A866,tongctvtpk1)</f>
        <v>0</v>
      </c>
      <c r="F866" s="449">
        <f ca="1">SUMIF(OFFSET(cttba_vlvt1_1,0,-9,-ROW(cttba_vlvt1_1)+ROW(cttba_vltb1_1)-10),KLVT!$A866,OFFSET(cttba_vlvt1_1,0,-4,-ROW(cttba_vlvt1_1)+ROW(cttba_vltb1_1)-10))</f>
        <v>0</v>
      </c>
      <c r="G866" s="451">
        <f t="shared" ca="1" si="134"/>
        <v>0</v>
      </c>
      <c r="H866" s="450">
        <f t="shared" si="135"/>
        <v>1</v>
      </c>
      <c r="I866" s="447">
        <f t="shared" ca="1" si="136"/>
        <v>0</v>
      </c>
      <c r="J866" s="447">
        <f t="shared" ca="1" si="137"/>
        <v>0</v>
      </c>
      <c r="K866" s="373">
        <f t="shared" ca="1" si="133"/>
        <v>0</v>
      </c>
    </row>
    <row r="867" spans="1:11" s="45" customFormat="1" ht="15.75" hidden="1">
      <c r="A867" s="373" t="str">
        <f>IF(AND(COUNTIF($A$5:$A$133,R_DG!A741)=0,R_DG!R741&gt;0,ISNUMBER(R_DG!R741)),R_DG!A741,"NONE")</f>
        <v>NONE</v>
      </c>
      <c r="B867" s="85">
        <f ca="1">IF(K867&gt;0,COUNTIF(K$6:K867,"&gt;0"),B866)</f>
        <v>34</v>
      </c>
      <c r="C867" s="1084">
        <f t="shared" si="138"/>
        <v>0</v>
      </c>
      <c r="D867" s="85">
        <f t="shared" si="139"/>
        <v>0</v>
      </c>
      <c r="E867" s="448">
        <f ca="1">SUMIF(OFFSET(tongctvtdd1,0,-(COLUMN(E867)+7-(COLUMN(E867)-5)/2)),KLVT!$A867,tongctvtdd1)+SUMIF(OFFSET(tongctvtpk1,0,-(COLUMN(E867)+7-(COLUMN(E867)-5)/2)),KLVT!$A867,tongctvtpk1)</f>
        <v>0</v>
      </c>
      <c r="F867" s="449">
        <f ca="1">SUMIF(OFFSET(cttba_vlvt1_1,0,-9,-ROW(cttba_vlvt1_1)+ROW(cttba_vltb1_1)-10),KLVT!$A867,OFFSET(cttba_vlvt1_1,0,-4,-ROW(cttba_vlvt1_1)+ROW(cttba_vltb1_1)-10))</f>
        <v>0</v>
      </c>
      <c r="G867" s="451">
        <f t="shared" ca="1" si="134"/>
        <v>0</v>
      </c>
      <c r="H867" s="450">
        <f t="shared" si="135"/>
        <v>1</v>
      </c>
      <c r="I867" s="447">
        <f t="shared" ca="1" si="136"/>
        <v>0</v>
      </c>
      <c r="J867" s="447">
        <f t="shared" ca="1" si="137"/>
        <v>0</v>
      </c>
      <c r="K867" s="373">
        <f t="shared" ca="1" si="133"/>
        <v>0</v>
      </c>
    </row>
    <row r="868" spans="1:11" s="45" customFormat="1" ht="15.75" hidden="1">
      <c r="A868" s="373" t="str">
        <f>IF(AND(COUNTIF($A$5:$A$133,R_DG!A742)=0,R_DG!R742&gt;0,ISNUMBER(R_DG!R742)),R_DG!A742,"NONE")</f>
        <v>NONE</v>
      </c>
      <c r="B868" s="85">
        <f ca="1">IF(K868&gt;0,COUNTIF(K$6:K868,"&gt;0"),B867)</f>
        <v>34</v>
      </c>
      <c r="C868" s="1084">
        <f t="shared" si="138"/>
        <v>0</v>
      </c>
      <c r="D868" s="85">
        <f t="shared" si="139"/>
        <v>0</v>
      </c>
      <c r="E868" s="448">
        <f ca="1">SUMIF(OFFSET(tongctvtdd1,0,-(COLUMN(E868)+7-(COLUMN(E868)-5)/2)),KLVT!$A868,tongctvtdd1)+SUMIF(OFFSET(tongctvtpk1,0,-(COLUMN(E868)+7-(COLUMN(E868)-5)/2)),KLVT!$A868,tongctvtpk1)</f>
        <v>0</v>
      </c>
      <c r="F868" s="449">
        <f ca="1">SUMIF(OFFSET(cttba_vlvt1_1,0,-9,-ROW(cttba_vlvt1_1)+ROW(cttba_vltb1_1)-10),KLVT!$A868,OFFSET(cttba_vlvt1_1,0,-4,-ROW(cttba_vlvt1_1)+ROW(cttba_vltb1_1)-10))</f>
        <v>0</v>
      </c>
      <c r="G868" s="451">
        <f t="shared" ca="1" si="134"/>
        <v>0</v>
      </c>
      <c r="H868" s="450">
        <f t="shared" si="135"/>
        <v>1</v>
      </c>
      <c r="I868" s="447">
        <f t="shared" ca="1" si="136"/>
        <v>0</v>
      </c>
      <c r="J868" s="447">
        <f t="shared" ca="1" si="137"/>
        <v>0</v>
      </c>
      <c r="K868" s="373">
        <f t="shared" ca="1" si="133"/>
        <v>0</v>
      </c>
    </row>
    <row r="869" spans="1:11" s="45" customFormat="1" ht="15.75" hidden="1">
      <c r="A869" s="373" t="str">
        <f>IF(AND(COUNTIF($A$5:$A$133,R_DG!A743)=0,R_DG!R743&gt;0,ISNUMBER(R_DG!R743)),R_DG!A743,"NONE")</f>
        <v>NONE</v>
      </c>
      <c r="B869" s="85">
        <f ca="1">IF(K869&gt;0,COUNTIF(K$6:K869,"&gt;0"),B868)</f>
        <v>34</v>
      </c>
      <c r="C869" s="1084">
        <f t="shared" si="138"/>
        <v>0</v>
      </c>
      <c r="D869" s="85">
        <f t="shared" si="139"/>
        <v>0</v>
      </c>
      <c r="E869" s="448">
        <f ca="1">SUMIF(OFFSET(tongctvtdd1,0,-(COLUMN(E869)+7-(COLUMN(E869)-5)/2)),KLVT!$A869,tongctvtdd1)+SUMIF(OFFSET(tongctvtpk1,0,-(COLUMN(E869)+7-(COLUMN(E869)-5)/2)),KLVT!$A869,tongctvtpk1)</f>
        <v>0</v>
      </c>
      <c r="F869" s="449">
        <f ca="1">SUMIF(OFFSET(cttba_vlvt1_1,0,-9,-ROW(cttba_vlvt1_1)+ROW(cttba_vltb1_1)-10),KLVT!$A869,OFFSET(cttba_vlvt1_1,0,-4,-ROW(cttba_vlvt1_1)+ROW(cttba_vltb1_1)-10))</f>
        <v>0</v>
      </c>
      <c r="G869" s="451">
        <f t="shared" ca="1" si="134"/>
        <v>0</v>
      </c>
      <c r="H869" s="450">
        <f t="shared" si="135"/>
        <v>1</v>
      </c>
      <c r="I869" s="447">
        <f t="shared" ca="1" si="136"/>
        <v>0</v>
      </c>
      <c r="J869" s="447">
        <f t="shared" ca="1" si="137"/>
        <v>0</v>
      </c>
      <c r="K869" s="373">
        <f t="shared" ca="1" si="133"/>
        <v>0</v>
      </c>
    </row>
    <row r="870" spans="1:11" s="45" customFormat="1" ht="15.75" hidden="1">
      <c r="A870" s="373" t="str">
        <f>IF(AND(COUNTIF($A$5:$A$133,R_DG!A744)=0,R_DG!R744&gt;0,ISNUMBER(R_DG!R744)),R_DG!A744,"NONE")</f>
        <v>NONE</v>
      </c>
      <c r="B870" s="85">
        <f ca="1">IF(K870&gt;0,COUNTIF(K$6:K870,"&gt;0"),B869)</f>
        <v>34</v>
      </c>
      <c r="C870" s="1084">
        <f t="shared" si="138"/>
        <v>0</v>
      </c>
      <c r="D870" s="85">
        <f t="shared" si="139"/>
        <v>0</v>
      </c>
      <c r="E870" s="448">
        <f ca="1">SUMIF(OFFSET(tongctvtdd1,0,-(COLUMN(E870)+7-(COLUMN(E870)-5)/2)),KLVT!$A870,tongctvtdd1)+SUMIF(OFFSET(tongctvtpk1,0,-(COLUMN(E870)+7-(COLUMN(E870)-5)/2)),KLVT!$A870,tongctvtpk1)</f>
        <v>0</v>
      </c>
      <c r="F870" s="449">
        <f ca="1">SUMIF(OFFSET(cttba_vlvt1_1,0,-9,-ROW(cttba_vlvt1_1)+ROW(cttba_vltb1_1)-10),KLVT!$A870,OFFSET(cttba_vlvt1_1,0,-4,-ROW(cttba_vlvt1_1)+ROW(cttba_vltb1_1)-10))</f>
        <v>0</v>
      </c>
      <c r="G870" s="451">
        <f t="shared" ca="1" si="134"/>
        <v>0</v>
      </c>
      <c r="H870" s="450">
        <f t="shared" si="135"/>
        <v>1</v>
      </c>
      <c r="I870" s="447">
        <f t="shared" ca="1" si="136"/>
        <v>0</v>
      </c>
      <c r="J870" s="447">
        <f t="shared" ca="1" si="137"/>
        <v>0</v>
      </c>
      <c r="K870" s="373">
        <f t="shared" ca="1" si="133"/>
        <v>0</v>
      </c>
    </row>
    <row r="871" spans="1:11" s="45" customFormat="1" ht="15.75" hidden="1">
      <c r="A871" s="373" t="str">
        <f>IF(AND(COUNTIF($A$5:$A$133,R_DG!A745)=0,R_DG!R745&gt;0,ISNUMBER(R_DG!R745)),R_DG!A745,"NONE")</f>
        <v>NONE</v>
      </c>
      <c r="B871" s="85">
        <f ca="1">IF(K871&gt;0,COUNTIF(K$6:K871,"&gt;0"),B870)</f>
        <v>34</v>
      </c>
      <c r="C871" s="1084">
        <f t="shared" si="138"/>
        <v>0</v>
      </c>
      <c r="D871" s="85">
        <f t="shared" si="139"/>
        <v>0</v>
      </c>
      <c r="E871" s="448">
        <f ca="1">SUMIF(OFFSET(tongctvtdd1,0,-(COLUMN(E871)+7-(COLUMN(E871)-5)/2)),KLVT!$A871,tongctvtdd1)+SUMIF(OFFSET(tongctvtpk1,0,-(COLUMN(E871)+7-(COLUMN(E871)-5)/2)),KLVT!$A871,tongctvtpk1)</f>
        <v>0</v>
      </c>
      <c r="F871" s="449">
        <f ca="1">SUMIF(OFFSET(cttba_vlvt1_1,0,-9,-ROW(cttba_vlvt1_1)+ROW(cttba_vltb1_1)-10),KLVT!$A871,OFFSET(cttba_vlvt1_1,0,-4,-ROW(cttba_vlvt1_1)+ROW(cttba_vltb1_1)-10))</f>
        <v>0</v>
      </c>
      <c r="G871" s="451">
        <f t="shared" ca="1" si="134"/>
        <v>0</v>
      </c>
      <c r="H871" s="450">
        <f t="shared" si="135"/>
        <v>1</v>
      </c>
      <c r="I871" s="447">
        <f t="shared" ca="1" si="136"/>
        <v>0</v>
      </c>
      <c r="J871" s="447">
        <f t="shared" ca="1" si="137"/>
        <v>0</v>
      </c>
      <c r="K871" s="373">
        <f t="shared" ca="1" si="133"/>
        <v>0</v>
      </c>
    </row>
    <row r="872" spans="1:11" s="45" customFormat="1" ht="15.75" hidden="1">
      <c r="A872" s="373" t="str">
        <f>IF(AND(COUNTIF($A$5:$A$133,R_DG!A746)=0,R_DG!R746&gt;0,ISNUMBER(R_DG!R746)),R_DG!A746,"NONE")</f>
        <v>NONE</v>
      </c>
      <c r="B872" s="85">
        <f ca="1">IF(K872&gt;0,COUNTIF(K$6:K872,"&gt;0"),B871)</f>
        <v>34</v>
      </c>
      <c r="C872" s="1084">
        <f t="shared" si="138"/>
        <v>0</v>
      </c>
      <c r="D872" s="85">
        <f t="shared" si="139"/>
        <v>0</v>
      </c>
      <c r="E872" s="448">
        <f ca="1">SUMIF(OFFSET(tongctvtdd1,0,-(COLUMN(E872)+7-(COLUMN(E872)-5)/2)),KLVT!$A872,tongctvtdd1)+SUMIF(OFFSET(tongctvtpk1,0,-(COLUMN(E872)+7-(COLUMN(E872)-5)/2)),KLVT!$A872,tongctvtpk1)</f>
        <v>0</v>
      </c>
      <c r="F872" s="449">
        <f ca="1">SUMIF(OFFSET(cttba_vlvt1_1,0,-9,-ROW(cttba_vlvt1_1)+ROW(cttba_vltb1_1)-10),KLVT!$A872,OFFSET(cttba_vlvt1_1,0,-4,-ROW(cttba_vlvt1_1)+ROW(cttba_vltb1_1)-10))</f>
        <v>0</v>
      </c>
      <c r="G872" s="451">
        <f t="shared" ca="1" si="134"/>
        <v>0</v>
      </c>
      <c r="H872" s="450">
        <f t="shared" si="135"/>
        <v>1</v>
      </c>
      <c r="I872" s="447">
        <f t="shared" ca="1" si="136"/>
        <v>0</v>
      </c>
      <c r="J872" s="447">
        <f t="shared" ca="1" si="137"/>
        <v>0</v>
      </c>
      <c r="K872" s="373">
        <f t="shared" ca="1" si="133"/>
        <v>0</v>
      </c>
    </row>
    <row r="873" spans="1:11" s="45" customFormat="1" ht="15.75" hidden="1">
      <c r="A873" s="373" t="str">
        <f>IF(AND(COUNTIF($A$5:$A$133,R_DG!A747)=0,R_DG!R747&gt;0,ISNUMBER(R_DG!R747)),R_DG!A747,"NONE")</f>
        <v>NONE</v>
      </c>
      <c r="B873" s="85">
        <f ca="1">IF(K873&gt;0,COUNTIF(K$6:K873,"&gt;0"),B872)</f>
        <v>34</v>
      </c>
      <c r="C873" s="1084">
        <f t="shared" si="138"/>
        <v>0</v>
      </c>
      <c r="D873" s="85">
        <f t="shared" si="139"/>
        <v>0</v>
      </c>
      <c r="E873" s="448">
        <f ca="1">SUMIF(OFFSET(tongctvtdd1,0,-(COLUMN(E873)+7-(COLUMN(E873)-5)/2)),KLVT!$A873,tongctvtdd1)+SUMIF(OFFSET(tongctvtpk1,0,-(COLUMN(E873)+7-(COLUMN(E873)-5)/2)),KLVT!$A873,tongctvtpk1)</f>
        <v>0</v>
      </c>
      <c r="F873" s="449">
        <f ca="1">SUMIF(OFFSET(cttba_vlvt1_1,0,-9,-ROW(cttba_vlvt1_1)+ROW(cttba_vltb1_1)-10),KLVT!$A873,OFFSET(cttba_vlvt1_1,0,-4,-ROW(cttba_vlvt1_1)+ROW(cttba_vltb1_1)-10))</f>
        <v>0</v>
      </c>
      <c r="G873" s="451">
        <f t="shared" ca="1" si="134"/>
        <v>0</v>
      </c>
      <c r="H873" s="450">
        <f t="shared" si="135"/>
        <v>1</v>
      </c>
      <c r="I873" s="447">
        <f t="shared" ca="1" si="136"/>
        <v>0</v>
      </c>
      <c r="J873" s="447">
        <f t="shared" ca="1" si="137"/>
        <v>0</v>
      </c>
      <c r="K873" s="373">
        <f t="shared" ca="1" si="133"/>
        <v>0</v>
      </c>
    </row>
    <row r="874" spans="1:11" s="45" customFormat="1" ht="15.75" hidden="1">
      <c r="A874" s="373" t="str">
        <f>IF(AND(COUNTIF($A$5:$A$133,R_DG!A748)=0,R_DG!R748&gt;0,ISNUMBER(R_DG!R748)),R_DG!A748,"NONE")</f>
        <v>NONE</v>
      </c>
      <c r="B874" s="85">
        <f ca="1">IF(K874&gt;0,COUNTIF(K$6:K874,"&gt;0"),B873)</f>
        <v>34</v>
      </c>
      <c r="C874" s="1084">
        <f t="shared" si="138"/>
        <v>0</v>
      </c>
      <c r="D874" s="85">
        <f t="shared" si="139"/>
        <v>0</v>
      </c>
      <c r="E874" s="448">
        <f ca="1">SUMIF(OFFSET(tongctvtdd1,0,-(COLUMN(E874)+7-(COLUMN(E874)-5)/2)),KLVT!$A874,tongctvtdd1)+SUMIF(OFFSET(tongctvtpk1,0,-(COLUMN(E874)+7-(COLUMN(E874)-5)/2)),KLVT!$A874,tongctvtpk1)</f>
        <v>0</v>
      </c>
      <c r="F874" s="449">
        <f ca="1">SUMIF(OFFSET(cttba_vlvt1_1,0,-9,-ROW(cttba_vlvt1_1)+ROW(cttba_vltb1_1)-10),KLVT!$A874,OFFSET(cttba_vlvt1_1,0,-4,-ROW(cttba_vlvt1_1)+ROW(cttba_vltb1_1)-10))</f>
        <v>0</v>
      </c>
      <c r="G874" s="451">
        <f t="shared" ca="1" si="134"/>
        <v>0</v>
      </c>
      <c r="H874" s="450">
        <f t="shared" si="135"/>
        <v>1</v>
      </c>
      <c r="I874" s="447">
        <f t="shared" ca="1" si="136"/>
        <v>0</v>
      </c>
      <c r="J874" s="447">
        <f t="shared" ca="1" si="137"/>
        <v>0</v>
      </c>
      <c r="K874" s="373">
        <f t="shared" ca="1" si="133"/>
        <v>0</v>
      </c>
    </row>
    <row r="875" spans="1:11" s="45" customFormat="1" ht="15.75" hidden="1">
      <c r="A875" s="373" t="str">
        <f>IF(AND(COUNTIF($A$5:$A$133,R_DG!A749)=0,R_DG!R749&gt;0,ISNUMBER(R_DG!R749)),R_DG!A749,"NONE")</f>
        <v>NONE</v>
      </c>
      <c r="B875" s="85">
        <f ca="1">IF(K875&gt;0,COUNTIF(K$6:K875,"&gt;0"),B874)</f>
        <v>34</v>
      </c>
      <c r="C875" s="1084">
        <f t="shared" si="138"/>
        <v>0</v>
      </c>
      <c r="D875" s="85">
        <f t="shared" si="139"/>
        <v>0</v>
      </c>
      <c r="E875" s="448">
        <f ca="1">SUMIF(OFFSET(tongctvtdd1,0,-(COLUMN(E875)+7-(COLUMN(E875)-5)/2)),KLVT!$A875,tongctvtdd1)+SUMIF(OFFSET(tongctvtpk1,0,-(COLUMN(E875)+7-(COLUMN(E875)-5)/2)),KLVT!$A875,tongctvtpk1)</f>
        <v>0</v>
      </c>
      <c r="F875" s="449">
        <f ca="1">SUMIF(OFFSET(cttba_vlvt1_1,0,-9,-ROW(cttba_vlvt1_1)+ROW(cttba_vltb1_1)-10),KLVT!$A875,OFFSET(cttba_vlvt1_1,0,-4,-ROW(cttba_vlvt1_1)+ROW(cttba_vltb1_1)-10))</f>
        <v>0</v>
      </c>
      <c r="G875" s="451">
        <f t="shared" ca="1" si="134"/>
        <v>0</v>
      </c>
      <c r="H875" s="450">
        <f t="shared" si="135"/>
        <v>1</v>
      </c>
      <c r="I875" s="447">
        <f t="shared" ca="1" si="136"/>
        <v>0</v>
      </c>
      <c r="J875" s="447">
        <f t="shared" ca="1" si="137"/>
        <v>0</v>
      </c>
      <c r="K875" s="373">
        <f t="shared" ca="1" si="133"/>
        <v>0</v>
      </c>
    </row>
    <row r="876" spans="1:11" s="45" customFormat="1" ht="15.75" hidden="1">
      <c r="A876" s="373" t="str">
        <f>IF(AND(COUNTIF($A$5:$A$133,R_DG!A750)=0,R_DG!R750&gt;0,ISNUMBER(R_DG!R750)),R_DG!A750,"NONE")</f>
        <v>NONE</v>
      </c>
      <c r="B876" s="85">
        <f ca="1">IF(K876&gt;0,COUNTIF(K$6:K876,"&gt;0"),B875)</f>
        <v>34</v>
      </c>
      <c r="C876" s="1084">
        <f t="shared" si="138"/>
        <v>0</v>
      </c>
      <c r="D876" s="85">
        <f t="shared" si="139"/>
        <v>0</v>
      </c>
      <c r="E876" s="448">
        <f ca="1">SUMIF(OFFSET(tongctvtdd1,0,-(COLUMN(E876)+7-(COLUMN(E876)-5)/2)),KLVT!$A876,tongctvtdd1)+SUMIF(OFFSET(tongctvtpk1,0,-(COLUMN(E876)+7-(COLUMN(E876)-5)/2)),KLVT!$A876,tongctvtpk1)</f>
        <v>0</v>
      </c>
      <c r="F876" s="449">
        <f ca="1">SUMIF(OFFSET(cttba_vlvt1_1,0,-9,-ROW(cttba_vlvt1_1)+ROW(cttba_vltb1_1)-10),KLVT!$A876,OFFSET(cttba_vlvt1_1,0,-4,-ROW(cttba_vlvt1_1)+ROW(cttba_vltb1_1)-10))</f>
        <v>0</v>
      </c>
      <c r="G876" s="451">
        <f t="shared" ca="1" si="134"/>
        <v>0</v>
      </c>
      <c r="H876" s="450">
        <f t="shared" si="135"/>
        <v>1</v>
      </c>
      <c r="I876" s="447">
        <f t="shared" ca="1" si="136"/>
        <v>0</v>
      </c>
      <c r="J876" s="447">
        <f t="shared" ca="1" si="137"/>
        <v>0</v>
      </c>
      <c r="K876" s="373">
        <f t="shared" ca="1" si="133"/>
        <v>0</v>
      </c>
    </row>
    <row r="877" spans="1:11" s="45" customFormat="1" ht="15.75" hidden="1">
      <c r="A877" s="373" t="str">
        <f>IF(AND(COUNTIF($A$5:$A$133,R_DG!A751)=0,R_DG!R751&gt;0,ISNUMBER(R_DG!R751)),R_DG!A751,"NONE")</f>
        <v>NONE</v>
      </c>
      <c r="B877" s="85">
        <f ca="1">IF(K877&gt;0,COUNTIF(K$6:K877,"&gt;0"),B876)</f>
        <v>34</v>
      </c>
      <c r="C877" s="1084">
        <f t="shared" si="138"/>
        <v>0</v>
      </c>
      <c r="D877" s="85">
        <f t="shared" si="139"/>
        <v>0</v>
      </c>
      <c r="E877" s="448">
        <f ca="1">SUMIF(OFFSET(tongctvtdd1,0,-(COLUMN(E877)+7-(COLUMN(E877)-5)/2)),KLVT!$A877,tongctvtdd1)+SUMIF(OFFSET(tongctvtpk1,0,-(COLUMN(E877)+7-(COLUMN(E877)-5)/2)),KLVT!$A877,tongctvtpk1)</f>
        <v>0</v>
      </c>
      <c r="F877" s="449">
        <f ca="1">SUMIF(OFFSET(cttba_vlvt1_1,0,-9,-ROW(cttba_vlvt1_1)+ROW(cttba_vltb1_1)-10),KLVT!$A877,OFFSET(cttba_vlvt1_1,0,-4,-ROW(cttba_vlvt1_1)+ROW(cttba_vltb1_1)-10))</f>
        <v>0</v>
      </c>
      <c r="G877" s="451">
        <f t="shared" ca="1" si="134"/>
        <v>0</v>
      </c>
      <c r="H877" s="450">
        <f t="shared" si="135"/>
        <v>1</v>
      </c>
      <c r="I877" s="447">
        <f t="shared" ca="1" si="136"/>
        <v>0</v>
      </c>
      <c r="J877" s="447">
        <f t="shared" ca="1" si="137"/>
        <v>0</v>
      </c>
      <c r="K877" s="373">
        <f t="shared" ca="1" si="133"/>
        <v>0</v>
      </c>
    </row>
    <row r="878" spans="1:11" s="373" customFormat="1" ht="15.75" hidden="1">
      <c r="A878" s="373" t="str">
        <f>IF(AND(COUNTIF($A$5:$A$133,R_DG!A752)=0,R_DG!R752&gt;0,ISNUMBER(R_DG!R752)),R_DG!A752,"NONE")</f>
        <v>NONE</v>
      </c>
      <c r="B878" s="85">
        <f ca="1">IF(K878&gt;0,COUNTIF(K$6:K878,"&gt;0"),B877)</f>
        <v>34</v>
      </c>
      <c r="C878" s="1084">
        <f t="shared" ref="C878:C890" si="140">VLOOKUP(A878,DONGIA,3,0)</f>
        <v>0</v>
      </c>
      <c r="D878" s="85">
        <f t="shared" ref="D878:D890" si="141">VLOOKUP(A878,DONGIA,4,0)</f>
        <v>0</v>
      </c>
      <c r="E878" s="448">
        <f ca="1">SUMIF(OFFSET(tongctvtdd1,0,-(COLUMN(E878)+7-(COLUMN(E878)-5)/2)),KLVT!$A878,tongctvtdd1)+SUMIF(OFFSET(tongctvtpk1,0,-(COLUMN(E878)+7-(COLUMN(E878)-5)/2)),KLVT!$A878,tongctvtpk1)</f>
        <v>0</v>
      </c>
      <c r="F878" s="449">
        <f ca="1">SUMIF(OFFSET(cttba_vlvt1_1,0,-9,-ROW(cttba_vlvt1_1)+ROW(cttba_vltb1_1)-10),KLVT!$A878,OFFSET(cttba_vlvt1_1,0,-4,-ROW(cttba_vlvt1_1)+ROW(cttba_vltb1_1)-10))</f>
        <v>0</v>
      </c>
      <c r="G878" s="451">
        <f t="shared" ref="G878:G890" ca="1" si="142">SUM(E878:F878)</f>
        <v>0</v>
      </c>
      <c r="H878" s="450">
        <f t="shared" si="135"/>
        <v>1</v>
      </c>
      <c r="I878" s="447">
        <f t="shared" ref="I878:I890" ca="1" si="143">E878*$H878</f>
        <v>0</v>
      </c>
      <c r="J878" s="447">
        <f t="shared" ref="J878:J890" ca="1" si="144">F878*$H878</f>
        <v>0</v>
      </c>
      <c r="K878" s="373">
        <f t="shared" ref="K878:K890" ca="1" si="145">IF(G878&gt;0,1,0)</f>
        <v>0</v>
      </c>
    </row>
    <row r="879" spans="1:11" s="373" customFormat="1" ht="15.75" hidden="1">
      <c r="A879" s="373" t="str">
        <f>IF(AND(COUNTIF($A$5:$A$133,R_DG!A753)=0,R_DG!R753&gt;0,ISNUMBER(R_DG!R753)),R_DG!A753,"NONE")</f>
        <v>NONE</v>
      </c>
      <c r="B879" s="85">
        <f ca="1">IF(K879&gt;0,COUNTIF(K$6:K879,"&gt;0"),B878)</f>
        <v>34</v>
      </c>
      <c r="C879" s="1084">
        <f t="shared" si="140"/>
        <v>0</v>
      </c>
      <c r="D879" s="85">
        <f t="shared" si="141"/>
        <v>0</v>
      </c>
      <c r="E879" s="448">
        <f ca="1">SUMIF(OFFSET(tongctvtdd1,0,-(COLUMN(E879)+7-(COLUMN(E879)-5)/2)),KLVT!$A879,tongctvtdd1)+SUMIF(OFFSET(tongctvtpk1,0,-(COLUMN(E879)+7-(COLUMN(E879)-5)/2)),KLVT!$A879,tongctvtpk1)</f>
        <v>0</v>
      </c>
      <c r="F879" s="449">
        <f ca="1">SUMIF(OFFSET(cttba_vlvt1_1,0,-9,-ROW(cttba_vlvt1_1)+ROW(cttba_vltb1_1)-10),KLVT!$A879,OFFSET(cttba_vlvt1_1,0,-4,-ROW(cttba_vlvt1_1)+ROW(cttba_vltb1_1)-10))</f>
        <v>0</v>
      </c>
      <c r="G879" s="451">
        <f t="shared" ca="1" si="142"/>
        <v>0</v>
      </c>
      <c r="H879" s="450">
        <f t="shared" si="135"/>
        <v>1</v>
      </c>
      <c r="I879" s="447">
        <f t="shared" ca="1" si="143"/>
        <v>0</v>
      </c>
      <c r="J879" s="447">
        <f t="shared" ca="1" si="144"/>
        <v>0</v>
      </c>
      <c r="K879" s="373">
        <f t="shared" ca="1" si="145"/>
        <v>0</v>
      </c>
    </row>
    <row r="880" spans="1:11" s="373" customFormat="1" ht="15.75" hidden="1">
      <c r="A880" s="373" t="str">
        <f>IF(AND(COUNTIF($A$5:$A$133,R_DG!A754)=0,R_DG!R754&gt;0,ISNUMBER(R_DG!R754)),R_DG!A754,"NONE")</f>
        <v>NONE</v>
      </c>
      <c r="B880" s="85">
        <f ca="1">IF(K880&gt;0,COUNTIF(K$6:K880,"&gt;0"),B879)</f>
        <v>34</v>
      </c>
      <c r="C880" s="1084">
        <f t="shared" si="140"/>
        <v>0</v>
      </c>
      <c r="D880" s="85">
        <f t="shared" si="141"/>
        <v>0</v>
      </c>
      <c r="E880" s="448">
        <f ca="1">SUMIF(OFFSET(tongctvtdd1,0,-(COLUMN(E880)+7-(COLUMN(E880)-5)/2)),KLVT!$A880,tongctvtdd1)+SUMIF(OFFSET(tongctvtpk1,0,-(COLUMN(E880)+7-(COLUMN(E880)-5)/2)),KLVT!$A880,tongctvtpk1)</f>
        <v>0</v>
      </c>
      <c r="F880" s="449">
        <f ca="1">SUMIF(OFFSET(cttba_vlvt1_1,0,-9,-ROW(cttba_vlvt1_1)+ROW(cttba_vltb1_1)-10),KLVT!$A880,OFFSET(cttba_vlvt1_1,0,-4,-ROW(cttba_vlvt1_1)+ROW(cttba_vltb1_1)-10))</f>
        <v>0</v>
      </c>
      <c r="G880" s="451">
        <f t="shared" ca="1" si="142"/>
        <v>0</v>
      </c>
      <c r="H880" s="450">
        <f t="shared" si="135"/>
        <v>1</v>
      </c>
      <c r="I880" s="447">
        <f t="shared" ca="1" si="143"/>
        <v>0</v>
      </c>
      <c r="J880" s="447">
        <f t="shared" ca="1" si="144"/>
        <v>0</v>
      </c>
      <c r="K880" s="373">
        <f t="shared" ca="1" si="145"/>
        <v>0</v>
      </c>
    </row>
    <row r="881" spans="1:11" s="373" customFormat="1" ht="15.75" hidden="1">
      <c r="A881" s="373" t="str">
        <f>IF(AND(COUNTIF($A$5:$A$133,R_DG!A755)=0,R_DG!R755&gt;0,ISNUMBER(R_DG!R755)),R_DG!A755,"NONE")</f>
        <v>NONE</v>
      </c>
      <c r="B881" s="85">
        <f ca="1">IF(K881&gt;0,COUNTIF(K$6:K881,"&gt;0"),B880)</f>
        <v>34</v>
      </c>
      <c r="C881" s="1084">
        <f t="shared" si="140"/>
        <v>0</v>
      </c>
      <c r="D881" s="85">
        <f t="shared" si="141"/>
        <v>0</v>
      </c>
      <c r="E881" s="448">
        <f ca="1">SUMIF(OFFSET(tongctvtdd1,0,-(COLUMN(E881)+7-(COLUMN(E881)-5)/2)),KLVT!$A881,tongctvtdd1)+SUMIF(OFFSET(tongctvtpk1,0,-(COLUMN(E881)+7-(COLUMN(E881)-5)/2)),KLVT!$A881,tongctvtpk1)</f>
        <v>0</v>
      </c>
      <c r="F881" s="449">
        <f ca="1">SUMIF(OFFSET(cttba_vlvt1_1,0,-9,-ROW(cttba_vlvt1_1)+ROW(cttba_vltb1_1)-10),KLVT!$A881,OFFSET(cttba_vlvt1_1,0,-4,-ROW(cttba_vlvt1_1)+ROW(cttba_vltb1_1)-10))</f>
        <v>0</v>
      </c>
      <c r="G881" s="451">
        <f t="shared" ca="1" si="142"/>
        <v>0</v>
      </c>
      <c r="H881" s="450">
        <f t="shared" si="135"/>
        <v>1</v>
      </c>
      <c r="I881" s="447">
        <f t="shared" ca="1" si="143"/>
        <v>0</v>
      </c>
      <c r="J881" s="447">
        <f t="shared" ca="1" si="144"/>
        <v>0</v>
      </c>
      <c r="K881" s="373">
        <f t="shared" ca="1" si="145"/>
        <v>0</v>
      </c>
    </row>
    <row r="882" spans="1:11" s="373" customFormat="1" ht="15.75" hidden="1">
      <c r="A882" s="373" t="str">
        <f>IF(AND(COUNTIF($A$5:$A$133,R_DG!A756)=0,R_DG!R756&gt;0,ISNUMBER(R_DG!R756)),R_DG!A756,"NONE")</f>
        <v>NONE</v>
      </c>
      <c r="B882" s="85">
        <f ca="1">IF(K882&gt;0,COUNTIF(K$6:K882,"&gt;0"),B881)</f>
        <v>34</v>
      </c>
      <c r="C882" s="1084">
        <f t="shared" si="140"/>
        <v>0</v>
      </c>
      <c r="D882" s="85">
        <f t="shared" si="141"/>
        <v>0</v>
      </c>
      <c r="E882" s="448">
        <f ca="1">SUMIF(OFFSET(tongctvtdd1,0,-(COLUMN(E882)+7-(COLUMN(E882)-5)/2)),KLVT!$A882,tongctvtdd1)+SUMIF(OFFSET(tongctvtpk1,0,-(COLUMN(E882)+7-(COLUMN(E882)-5)/2)),KLVT!$A882,tongctvtpk1)</f>
        <v>0</v>
      </c>
      <c r="F882" s="449">
        <f ca="1">SUMIF(OFFSET(cttba_vlvt1_1,0,-9,-ROW(cttba_vlvt1_1)+ROW(cttba_vltb1_1)-10),KLVT!$A882,OFFSET(cttba_vlvt1_1,0,-4,-ROW(cttba_vlvt1_1)+ROW(cttba_vltb1_1)-10))</f>
        <v>0</v>
      </c>
      <c r="G882" s="451">
        <f t="shared" ca="1" si="142"/>
        <v>0</v>
      </c>
      <c r="H882" s="450">
        <f t="shared" si="135"/>
        <v>1</v>
      </c>
      <c r="I882" s="447">
        <f t="shared" ca="1" si="143"/>
        <v>0</v>
      </c>
      <c r="J882" s="447">
        <f t="shared" ca="1" si="144"/>
        <v>0</v>
      </c>
      <c r="K882" s="373">
        <f t="shared" ca="1" si="145"/>
        <v>0</v>
      </c>
    </row>
    <row r="883" spans="1:11" s="373" customFormat="1" ht="15.75" hidden="1">
      <c r="A883" s="373" t="str">
        <f>IF(AND(COUNTIF($A$5:$A$133,R_DG!A757)=0,R_DG!R757&gt;0,ISNUMBER(R_DG!R757)),R_DG!A757,"NONE")</f>
        <v>NONE</v>
      </c>
      <c r="B883" s="85">
        <f ca="1">IF(K883&gt;0,COUNTIF(K$6:K883,"&gt;0"),B882)</f>
        <v>34</v>
      </c>
      <c r="C883" s="1084">
        <f t="shared" si="140"/>
        <v>0</v>
      </c>
      <c r="D883" s="85">
        <f t="shared" si="141"/>
        <v>0</v>
      </c>
      <c r="E883" s="448">
        <f ca="1">SUMIF(OFFSET(tongctvtdd1,0,-(COLUMN(E883)+7-(COLUMN(E883)-5)/2)),KLVT!$A883,tongctvtdd1)+SUMIF(OFFSET(tongctvtpk1,0,-(COLUMN(E883)+7-(COLUMN(E883)-5)/2)),KLVT!$A883,tongctvtpk1)</f>
        <v>0</v>
      </c>
      <c r="F883" s="449">
        <f ca="1">SUMIF(OFFSET(cttba_vlvt1_1,0,-9,-ROW(cttba_vlvt1_1)+ROW(cttba_vltb1_1)-10),KLVT!$A883,OFFSET(cttba_vlvt1_1,0,-4,-ROW(cttba_vlvt1_1)+ROW(cttba_vltb1_1)-10))</f>
        <v>0</v>
      </c>
      <c r="G883" s="451">
        <f t="shared" ca="1" si="142"/>
        <v>0</v>
      </c>
      <c r="H883" s="450">
        <f t="shared" si="135"/>
        <v>1</v>
      </c>
      <c r="I883" s="447">
        <f t="shared" ca="1" si="143"/>
        <v>0</v>
      </c>
      <c r="J883" s="447">
        <f t="shared" ca="1" si="144"/>
        <v>0</v>
      </c>
      <c r="K883" s="373">
        <f t="shared" ca="1" si="145"/>
        <v>0</v>
      </c>
    </row>
    <row r="884" spans="1:11" s="373" customFormat="1" ht="15.75" hidden="1">
      <c r="A884" s="373" t="str">
        <f>IF(AND(COUNTIF($A$5:$A$133,R_DG!A758)=0,R_DG!R758&gt;0,ISNUMBER(R_DG!R758)),R_DG!A758,"NONE")</f>
        <v>NONE</v>
      </c>
      <c r="B884" s="85">
        <f ca="1">IF(K884&gt;0,COUNTIF(K$6:K884,"&gt;0"),B883)</f>
        <v>34</v>
      </c>
      <c r="C884" s="1084">
        <f t="shared" si="140"/>
        <v>0</v>
      </c>
      <c r="D884" s="85">
        <f t="shared" si="141"/>
        <v>0</v>
      </c>
      <c r="E884" s="448">
        <f ca="1">SUMIF(OFFSET(tongctvtdd1,0,-(COLUMN(E884)+7-(COLUMN(E884)-5)/2)),KLVT!$A884,tongctvtdd1)+SUMIF(OFFSET(tongctvtpk1,0,-(COLUMN(E884)+7-(COLUMN(E884)-5)/2)),KLVT!$A884,tongctvtpk1)</f>
        <v>0</v>
      </c>
      <c r="F884" s="449">
        <f ca="1">SUMIF(OFFSET(cttba_vlvt1_1,0,-9,-ROW(cttba_vlvt1_1)+ROW(cttba_vltb1_1)-10),KLVT!$A884,OFFSET(cttba_vlvt1_1,0,-4,-ROW(cttba_vlvt1_1)+ROW(cttba_vltb1_1)-10))</f>
        <v>0</v>
      </c>
      <c r="G884" s="451">
        <f t="shared" ca="1" si="142"/>
        <v>0</v>
      </c>
      <c r="H884" s="450">
        <f t="shared" si="135"/>
        <v>1</v>
      </c>
      <c r="I884" s="447">
        <f t="shared" ca="1" si="143"/>
        <v>0</v>
      </c>
      <c r="J884" s="447">
        <f t="shared" ca="1" si="144"/>
        <v>0</v>
      </c>
      <c r="K884" s="373">
        <f t="shared" ca="1" si="145"/>
        <v>0</v>
      </c>
    </row>
    <row r="885" spans="1:11" s="373" customFormat="1" ht="15.75" hidden="1">
      <c r="A885" s="373" t="str">
        <f>IF(AND(COUNTIF($A$5:$A$133,R_DG!A759)=0,R_DG!R759&gt;0,ISNUMBER(R_DG!R759)),R_DG!A759,"NONE")</f>
        <v>NONE</v>
      </c>
      <c r="B885" s="85">
        <f ca="1">IF(K885&gt;0,COUNTIF(K$6:K885,"&gt;0"),B884)</f>
        <v>34</v>
      </c>
      <c r="C885" s="1084">
        <f t="shared" si="140"/>
        <v>0</v>
      </c>
      <c r="D885" s="85">
        <f t="shared" si="141"/>
        <v>0</v>
      </c>
      <c r="E885" s="448">
        <f ca="1">SUMIF(OFFSET(tongctvtdd1,0,-(COLUMN(E885)+7-(COLUMN(E885)-5)/2)),KLVT!$A885,tongctvtdd1)+SUMIF(OFFSET(tongctvtpk1,0,-(COLUMN(E885)+7-(COLUMN(E885)-5)/2)),KLVT!$A885,tongctvtpk1)</f>
        <v>0</v>
      </c>
      <c r="F885" s="449">
        <f ca="1">SUMIF(OFFSET(cttba_vlvt1_1,0,-9,-ROW(cttba_vlvt1_1)+ROW(cttba_vltb1_1)-10),KLVT!$A885,OFFSET(cttba_vlvt1_1,0,-4,-ROW(cttba_vlvt1_1)+ROW(cttba_vltb1_1)-10))</f>
        <v>0</v>
      </c>
      <c r="G885" s="451">
        <f t="shared" ca="1" si="142"/>
        <v>0</v>
      </c>
      <c r="H885" s="450">
        <f t="shared" si="135"/>
        <v>1</v>
      </c>
      <c r="I885" s="447">
        <f t="shared" ca="1" si="143"/>
        <v>0</v>
      </c>
      <c r="J885" s="447">
        <f t="shared" ca="1" si="144"/>
        <v>0</v>
      </c>
      <c r="K885" s="373">
        <f t="shared" ca="1" si="145"/>
        <v>0</v>
      </c>
    </row>
    <row r="886" spans="1:11" s="373" customFormat="1" ht="15.75" hidden="1">
      <c r="A886" s="373" t="str">
        <f>IF(AND(COUNTIF($A$5:$A$133,R_DG!A760)=0,R_DG!R760&gt;0,ISNUMBER(R_DG!R760)),R_DG!A760,"NONE")</f>
        <v>NONE</v>
      </c>
      <c r="B886" s="85">
        <f ca="1">IF(K886&gt;0,COUNTIF(K$6:K886,"&gt;0"),B885)</f>
        <v>34</v>
      </c>
      <c r="C886" s="1084">
        <f t="shared" si="140"/>
        <v>0</v>
      </c>
      <c r="D886" s="85">
        <f t="shared" si="141"/>
        <v>0</v>
      </c>
      <c r="E886" s="448">
        <f ca="1">SUMIF(OFFSET(tongctvtdd1,0,-(COLUMN(E886)+7-(COLUMN(E886)-5)/2)),KLVT!$A886,tongctvtdd1)+SUMIF(OFFSET(tongctvtpk1,0,-(COLUMN(E886)+7-(COLUMN(E886)-5)/2)),KLVT!$A886,tongctvtpk1)</f>
        <v>0</v>
      </c>
      <c r="F886" s="449">
        <f ca="1">SUMIF(OFFSET(cttba_vlvt1_1,0,-9,-ROW(cttba_vlvt1_1)+ROW(cttba_vltb1_1)-10),KLVT!$A886,OFFSET(cttba_vlvt1_1,0,-4,-ROW(cttba_vlvt1_1)+ROW(cttba_vltb1_1)-10))</f>
        <v>0</v>
      </c>
      <c r="G886" s="451">
        <f t="shared" ca="1" si="142"/>
        <v>0</v>
      </c>
      <c r="H886" s="450">
        <f t="shared" si="135"/>
        <v>1</v>
      </c>
      <c r="I886" s="447">
        <f t="shared" ca="1" si="143"/>
        <v>0</v>
      </c>
      <c r="J886" s="447">
        <f t="shared" ca="1" si="144"/>
        <v>0</v>
      </c>
      <c r="K886" s="373">
        <f t="shared" ca="1" si="145"/>
        <v>0</v>
      </c>
    </row>
    <row r="887" spans="1:11" s="373" customFormat="1" ht="15.75" hidden="1">
      <c r="A887" s="373" t="str">
        <f>IF(AND(COUNTIF($A$5:$A$133,R_DG!A761)=0,R_DG!R761&gt;0,ISNUMBER(R_DG!R761)),R_DG!A761,"NONE")</f>
        <v>NONE</v>
      </c>
      <c r="B887" s="85">
        <f ca="1">IF(K887&gt;0,COUNTIF(K$6:K887,"&gt;0"),B886)</f>
        <v>34</v>
      </c>
      <c r="C887" s="1084">
        <f t="shared" si="140"/>
        <v>0</v>
      </c>
      <c r="D887" s="85">
        <f t="shared" si="141"/>
        <v>0</v>
      </c>
      <c r="E887" s="448">
        <f ca="1">SUMIF(OFFSET(tongctvtdd1,0,-(COLUMN(E887)+7-(COLUMN(E887)-5)/2)),KLVT!$A887,tongctvtdd1)+SUMIF(OFFSET(tongctvtpk1,0,-(COLUMN(E887)+7-(COLUMN(E887)-5)/2)),KLVT!$A887,tongctvtpk1)</f>
        <v>0</v>
      </c>
      <c r="F887" s="449">
        <f ca="1">SUMIF(OFFSET(cttba_vlvt1_1,0,-9,-ROW(cttba_vlvt1_1)+ROW(cttba_vltb1_1)-10),KLVT!$A887,OFFSET(cttba_vlvt1_1,0,-4,-ROW(cttba_vlvt1_1)+ROW(cttba_vltb1_1)-10))</f>
        <v>0</v>
      </c>
      <c r="G887" s="451">
        <f t="shared" ca="1" si="142"/>
        <v>0</v>
      </c>
      <c r="H887" s="450">
        <f t="shared" si="135"/>
        <v>1</v>
      </c>
      <c r="I887" s="447">
        <f t="shared" ca="1" si="143"/>
        <v>0</v>
      </c>
      <c r="J887" s="447">
        <f t="shared" ca="1" si="144"/>
        <v>0</v>
      </c>
      <c r="K887" s="373">
        <f t="shared" ca="1" si="145"/>
        <v>0</v>
      </c>
    </row>
    <row r="888" spans="1:11" s="373" customFormat="1" ht="15.75" hidden="1">
      <c r="A888" s="373" t="str">
        <f>IF(AND(COUNTIF($A$5:$A$133,R_DG!A762)=0,R_DG!R762&gt;0,ISNUMBER(R_DG!R762)),R_DG!A762,"NONE")</f>
        <v>NONE</v>
      </c>
      <c r="B888" s="85">
        <f ca="1">IF(K888&gt;0,COUNTIF(K$6:K888,"&gt;0"),B887)</f>
        <v>34</v>
      </c>
      <c r="C888" s="1084">
        <f t="shared" si="140"/>
        <v>0</v>
      </c>
      <c r="D888" s="85">
        <f t="shared" si="141"/>
        <v>0</v>
      </c>
      <c r="E888" s="448">
        <f ca="1">SUMIF(OFFSET(tongctvtdd1,0,-(COLUMN(E888)+7-(COLUMN(E888)-5)/2)),KLVT!$A888,tongctvtdd1)+SUMIF(OFFSET(tongctvtpk1,0,-(COLUMN(E888)+7-(COLUMN(E888)-5)/2)),KLVT!$A888,tongctvtpk1)</f>
        <v>0</v>
      </c>
      <c r="F888" s="449">
        <f ca="1">SUMIF(OFFSET(cttba_vlvt1_1,0,-9,-ROW(cttba_vlvt1_1)+ROW(cttba_vltb1_1)-10),KLVT!$A888,OFFSET(cttba_vlvt1_1,0,-4,-ROW(cttba_vlvt1_1)+ROW(cttba_vltb1_1)-10))</f>
        <v>0</v>
      </c>
      <c r="G888" s="451">
        <f t="shared" ca="1" si="142"/>
        <v>0</v>
      </c>
      <c r="H888" s="450">
        <f t="shared" si="135"/>
        <v>1</v>
      </c>
      <c r="I888" s="447">
        <f t="shared" ca="1" si="143"/>
        <v>0</v>
      </c>
      <c r="J888" s="447">
        <f t="shared" ca="1" si="144"/>
        <v>0</v>
      </c>
      <c r="K888" s="373">
        <f t="shared" ca="1" si="145"/>
        <v>0</v>
      </c>
    </row>
    <row r="889" spans="1:11" s="373" customFormat="1" ht="15.75" hidden="1">
      <c r="A889" s="373" t="str">
        <f>IF(AND(COUNTIF($A$5:$A$133,R_DG!A763)=0,R_DG!R763&gt;0,ISNUMBER(R_DG!R763)),R_DG!A763,"NONE")</f>
        <v>NONE</v>
      </c>
      <c r="B889" s="85">
        <f ca="1">IF(K889&gt;0,COUNTIF(K$6:K889,"&gt;0"),B888)</f>
        <v>34</v>
      </c>
      <c r="C889" s="1084">
        <f t="shared" si="140"/>
        <v>0</v>
      </c>
      <c r="D889" s="85">
        <f t="shared" si="141"/>
        <v>0</v>
      </c>
      <c r="E889" s="448">
        <f ca="1">SUMIF(OFFSET(tongctvtdd1,0,-(COLUMN(E889)+7-(COLUMN(E889)-5)/2)),KLVT!$A889,tongctvtdd1)+SUMIF(OFFSET(tongctvtpk1,0,-(COLUMN(E889)+7-(COLUMN(E889)-5)/2)),KLVT!$A889,tongctvtpk1)</f>
        <v>0</v>
      </c>
      <c r="F889" s="449">
        <f ca="1">SUMIF(OFFSET(cttba_vlvt1_1,0,-9,-ROW(cttba_vlvt1_1)+ROW(cttba_vltb1_1)-10),KLVT!$A889,OFFSET(cttba_vlvt1_1,0,-4,-ROW(cttba_vlvt1_1)+ROW(cttba_vltb1_1)-10))</f>
        <v>0</v>
      </c>
      <c r="G889" s="451">
        <f t="shared" ca="1" si="142"/>
        <v>0</v>
      </c>
      <c r="H889" s="450">
        <f t="shared" si="135"/>
        <v>1</v>
      </c>
      <c r="I889" s="447">
        <f t="shared" ca="1" si="143"/>
        <v>0</v>
      </c>
      <c r="J889" s="447">
        <f t="shared" ca="1" si="144"/>
        <v>0</v>
      </c>
      <c r="K889" s="373">
        <f t="shared" ca="1" si="145"/>
        <v>0</v>
      </c>
    </row>
    <row r="890" spans="1:11" s="373" customFormat="1" ht="15.75" hidden="1">
      <c r="A890" s="373" t="str">
        <f>IF(AND(COUNTIF($A$5:$A$133,R_DG!A764)=0,R_DG!R764&gt;0,ISNUMBER(R_DG!R764)),R_DG!A764,"NONE")</f>
        <v>NONE</v>
      </c>
      <c r="B890" s="85">
        <f ca="1">IF(K890&gt;0,COUNTIF(K$6:K890,"&gt;0"),B889)</f>
        <v>34</v>
      </c>
      <c r="C890" s="1084">
        <f t="shared" si="140"/>
        <v>0</v>
      </c>
      <c r="D890" s="85">
        <f t="shared" si="141"/>
        <v>0</v>
      </c>
      <c r="E890" s="448">
        <f ca="1">SUMIF(OFFSET(tongctvtdd1,0,-(COLUMN(E890)+7-(COLUMN(E890)-5)/2)),KLVT!$A890,tongctvtdd1)+SUMIF(OFFSET(tongctvtpk1,0,-(COLUMN(E890)+7-(COLUMN(E890)-5)/2)),KLVT!$A890,tongctvtpk1)</f>
        <v>0</v>
      </c>
      <c r="F890" s="449">
        <f ca="1">SUMIF(OFFSET(cttba_vlvt1_1,0,-9,-ROW(cttba_vlvt1_1)+ROW(cttba_vltb1_1)-10),KLVT!$A890,OFFSET(cttba_vlvt1_1,0,-4,-ROW(cttba_vlvt1_1)+ROW(cttba_vltb1_1)-10))</f>
        <v>0</v>
      </c>
      <c r="G890" s="451">
        <f t="shared" ca="1" si="142"/>
        <v>0</v>
      </c>
      <c r="H890" s="450">
        <f t="shared" si="135"/>
        <v>1</v>
      </c>
      <c r="I890" s="447">
        <f t="shared" ca="1" si="143"/>
        <v>0</v>
      </c>
      <c r="J890" s="447">
        <f t="shared" ca="1" si="144"/>
        <v>0</v>
      </c>
      <c r="K890" s="373">
        <f t="shared" ca="1" si="145"/>
        <v>0</v>
      </c>
    </row>
    <row r="891" spans="1:11" s="373" customFormat="1" ht="15.75" hidden="1">
      <c r="A891" s="373" t="str">
        <f>IF(AND(COUNTIF($A$5:$A$133,R_DG!A765)=0,R_DG!R765&gt;0,ISNUMBER(R_DG!R765)),R_DG!A765,"NONE")</f>
        <v>NONE</v>
      </c>
      <c r="B891" s="85">
        <f ca="1">IF(K891&gt;0,COUNTIF(K$6:K891,"&gt;0"),B890)</f>
        <v>34</v>
      </c>
      <c r="C891" s="1084">
        <f t="shared" ref="C891:C903" si="146">VLOOKUP(A891,DONGIA,3,0)</f>
        <v>0</v>
      </c>
      <c r="D891" s="85">
        <f t="shared" ref="D891:D903" si="147">VLOOKUP(A891,DONGIA,4,0)</f>
        <v>0</v>
      </c>
      <c r="E891" s="448">
        <f ca="1">SUMIF(OFFSET(tongctvtdd1,0,-(COLUMN(E891)+7-(COLUMN(E891)-5)/2)),KLVT!$A891,tongctvtdd1)+SUMIF(OFFSET(tongctvtpk1,0,-(COLUMN(E891)+7-(COLUMN(E891)-5)/2)),KLVT!$A891,tongctvtpk1)</f>
        <v>0</v>
      </c>
      <c r="F891" s="449">
        <f ca="1">SUMIF(OFFSET(cttba_vlvt1_1,0,-9,-ROW(cttba_vlvt1_1)+ROW(cttba_vltb1_1)-10),KLVT!$A891,OFFSET(cttba_vlvt1_1,0,-4,-ROW(cttba_vlvt1_1)+ROW(cttba_vltb1_1)-10))</f>
        <v>0</v>
      </c>
      <c r="G891" s="451">
        <f t="shared" ref="G891:G903" ca="1" si="148">SUM(E891:F891)</f>
        <v>0</v>
      </c>
      <c r="H891" s="450">
        <f t="shared" si="135"/>
        <v>1</v>
      </c>
      <c r="I891" s="447">
        <f t="shared" ref="I891:I903" ca="1" si="149">E891*$H891</f>
        <v>0</v>
      </c>
      <c r="J891" s="447">
        <f t="shared" ref="J891:J903" ca="1" si="150">F891*$H891</f>
        <v>0</v>
      </c>
      <c r="K891" s="373">
        <f t="shared" ref="K891:K903" ca="1" si="151">IF(G891&gt;0,1,0)</f>
        <v>0</v>
      </c>
    </row>
    <row r="892" spans="1:11" s="373" customFormat="1" ht="15.75" hidden="1">
      <c r="A892" s="373" t="str">
        <f>IF(AND(COUNTIF($A$5:$A$133,R_DG!A766)=0,R_DG!R766&gt;0,ISNUMBER(R_DG!R766)),R_DG!A766,"NONE")</f>
        <v>NONE</v>
      </c>
      <c r="B892" s="85">
        <f ca="1">IF(K892&gt;0,COUNTIF(K$6:K892,"&gt;0"),B891)</f>
        <v>34</v>
      </c>
      <c r="C892" s="1084">
        <f t="shared" si="146"/>
        <v>0</v>
      </c>
      <c r="D892" s="85">
        <f t="shared" si="147"/>
        <v>0</v>
      </c>
      <c r="E892" s="448">
        <f ca="1">SUMIF(OFFSET(tongctvtdd1,0,-(COLUMN(E892)+7-(COLUMN(E892)-5)/2)),KLVT!$A892,tongctvtdd1)+SUMIF(OFFSET(tongctvtpk1,0,-(COLUMN(E892)+7-(COLUMN(E892)-5)/2)),KLVT!$A892,tongctvtpk1)</f>
        <v>0</v>
      </c>
      <c r="F892" s="449">
        <f ca="1">SUMIF(OFFSET(cttba_vlvt1_1,0,-9,-ROW(cttba_vlvt1_1)+ROW(cttba_vltb1_1)-10),KLVT!$A892,OFFSET(cttba_vlvt1_1,0,-4,-ROW(cttba_vlvt1_1)+ROW(cttba_vltb1_1)-10))</f>
        <v>0</v>
      </c>
      <c r="G892" s="451">
        <f t="shared" ca="1" si="148"/>
        <v>0</v>
      </c>
      <c r="H892" s="450">
        <f t="shared" si="135"/>
        <v>1</v>
      </c>
      <c r="I892" s="447">
        <f t="shared" ca="1" si="149"/>
        <v>0</v>
      </c>
      <c r="J892" s="447">
        <f t="shared" ca="1" si="150"/>
        <v>0</v>
      </c>
      <c r="K892" s="373">
        <f t="shared" ca="1" si="151"/>
        <v>0</v>
      </c>
    </row>
    <row r="893" spans="1:11" s="373" customFormat="1" ht="15.75" hidden="1">
      <c r="A893" s="373" t="str">
        <f>IF(AND(COUNTIF($A$5:$A$133,R_DG!A767)=0,R_DG!R767&gt;0,ISNUMBER(R_DG!R767)),R_DG!A767,"NONE")</f>
        <v>NONE</v>
      </c>
      <c r="B893" s="85">
        <f ca="1">IF(K893&gt;0,COUNTIF(K$6:K893,"&gt;0"),B892)</f>
        <v>34</v>
      </c>
      <c r="C893" s="1084">
        <f t="shared" si="146"/>
        <v>0</v>
      </c>
      <c r="D893" s="85">
        <f t="shared" si="147"/>
        <v>0</v>
      </c>
      <c r="E893" s="448">
        <f ca="1">SUMIF(OFFSET(tongctvtdd1,0,-(COLUMN(E893)+7-(COLUMN(E893)-5)/2)),KLVT!$A893,tongctvtdd1)+SUMIF(OFFSET(tongctvtpk1,0,-(COLUMN(E893)+7-(COLUMN(E893)-5)/2)),KLVT!$A893,tongctvtpk1)</f>
        <v>0</v>
      </c>
      <c r="F893" s="449">
        <f ca="1">SUMIF(OFFSET(cttba_vlvt1_1,0,-9,-ROW(cttba_vlvt1_1)+ROW(cttba_vltb1_1)-10),KLVT!$A893,OFFSET(cttba_vlvt1_1,0,-4,-ROW(cttba_vlvt1_1)+ROW(cttba_vltb1_1)-10))</f>
        <v>0</v>
      </c>
      <c r="G893" s="451">
        <f t="shared" ca="1" si="148"/>
        <v>0</v>
      </c>
      <c r="H893" s="450">
        <f t="shared" si="135"/>
        <v>1</v>
      </c>
      <c r="I893" s="447">
        <f t="shared" ca="1" si="149"/>
        <v>0</v>
      </c>
      <c r="J893" s="447">
        <f t="shared" ca="1" si="150"/>
        <v>0</v>
      </c>
      <c r="K893" s="373">
        <f t="shared" ca="1" si="151"/>
        <v>0</v>
      </c>
    </row>
    <row r="894" spans="1:11" s="373" customFormat="1" ht="15.75" hidden="1">
      <c r="A894" s="373" t="str">
        <f>IF(AND(COUNTIF($A$5:$A$133,R_DG!A768)=0,R_DG!R768&gt;0,ISNUMBER(R_DG!R768)),R_DG!A768,"NONE")</f>
        <v>NONE</v>
      </c>
      <c r="B894" s="85">
        <f ca="1">IF(K894&gt;0,COUNTIF(K$6:K894,"&gt;0"),B893)</f>
        <v>34</v>
      </c>
      <c r="C894" s="1084">
        <f t="shared" si="146"/>
        <v>0</v>
      </c>
      <c r="D894" s="85">
        <f t="shared" si="147"/>
        <v>0</v>
      </c>
      <c r="E894" s="448">
        <f ca="1">SUMIF(OFFSET(tongctvtdd1,0,-(COLUMN(E894)+7-(COLUMN(E894)-5)/2)),KLVT!$A894,tongctvtdd1)+SUMIF(OFFSET(tongctvtpk1,0,-(COLUMN(E894)+7-(COLUMN(E894)-5)/2)),KLVT!$A894,tongctvtpk1)</f>
        <v>0</v>
      </c>
      <c r="F894" s="449">
        <f ca="1">SUMIF(OFFSET(cttba_vlvt1_1,0,-9,-ROW(cttba_vlvt1_1)+ROW(cttba_vltb1_1)-10),KLVT!$A894,OFFSET(cttba_vlvt1_1,0,-4,-ROW(cttba_vlvt1_1)+ROW(cttba_vltb1_1)-10))</f>
        <v>0</v>
      </c>
      <c r="G894" s="451">
        <f t="shared" ca="1" si="148"/>
        <v>0</v>
      </c>
      <c r="H894" s="450">
        <f t="shared" si="135"/>
        <v>1</v>
      </c>
      <c r="I894" s="447">
        <f t="shared" ca="1" si="149"/>
        <v>0</v>
      </c>
      <c r="J894" s="447">
        <f t="shared" ca="1" si="150"/>
        <v>0</v>
      </c>
      <c r="K894" s="373">
        <f t="shared" ca="1" si="151"/>
        <v>0</v>
      </c>
    </row>
    <row r="895" spans="1:11" s="373" customFormat="1" ht="15.75" hidden="1">
      <c r="A895" s="373" t="str">
        <f>IF(AND(COUNTIF($A$5:$A$133,R_DG!A769)=0,R_DG!R769&gt;0,ISNUMBER(R_DG!R769)),R_DG!A769,"NONE")</f>
        <v>NONE</v>
      </c>
      <c r="B895" s="85">
        <f ca="1">IF(K895&gt;0,COUNTIF(K$6:K895,"&gt;0"),B894)</f>
        <v>34</v>
      </c>
      <c r="C895" s="1084">
        <f t="shared" si="146"/>
        <v>0</v>
      </c>
      <c r="D895" s="85">
        <f t="shared" si="147"/>
        <v>0</v>
      </c>
      <c r="E895" s="448">
        <f ca="1">SUMIF(OFFSET(tongctvtdd1,0,-(COLUMN(E895)+7-(COLUMN(E895)-5)/2)),KLVT!$A895,tongctvtdd1)+SUMIF(OFFSET(tongctvtpk1,0,-(COLUMN(E895)+7-(COLUMN(E895)-5)/2)),KLVT!$A895,tongctvtpk1)</f>
        <v>0</v>
      </c>
      <c r="F895" s="449">
        <f ca="1">SUMIF(OFFSET(cttba_vlvt1_1,0,-9,-ROW(cttba_vlvt1_1)+ROW(cttba_vltb1_1)-10),KLVT!$A895,OFFSET(cttba_vlvt1_1,0,-4,-ROW(cttba_vlvt1_1)+ROW(cttba_vltb1_1)-10))</f>
        <v>0</v>
      </c>
      <c r="G895" s="451">
        <f t="shared" ca="1" si="148"/>
        <v>0</v>
      </c>
      <c r="H895" s="450">
        <f t="shared" si="135"/>
        <v>1</v>
      </c>
      <c r="I895" s="447">
        <f t="shared" ca="1" si="149"/>
        <v>0</v>
      </c>
      <c r="J895" s="447">
        <f t="shared" ca="1" si="150"/>
        <v>0</v>
      </c>
      <c r="K895" s="373">
        <f t="shared" ca="1" si="151"/>
        <v>0</v>
      </c>
    </row>
    <row r="896" spans="1:11" s="373" customFormat="1" ht="15.75" hidden="1">
      <c r="A896" s="373" t="str">
        <f>IF(AND(COUNTIF($A$5:$A$133,R_DG!A770)=0,R_DG!R770&gt;0,ISNUMBER(R_DG!R770)),R_DG!A770,"NONE")</f>
        <v>NONE</v>
      </c>
      <c r="B896" s="85">
        <f ca="1">IF(K896&gt;0,COUNTIF(K$6:K896,"&gt;0"),B895)</f>
        <v>34</v>
      </c>
      <c r="C896" s="1084">
        <f t="shared" si="146"/>
        <v>0</v>
      </c>
      <c r="D896" s="85">
        <f t="shared" si="147"/>
        <v>0</v>
      </c>
      <c r="E896" s="448">
        <f ca="1">SUMIF(OFFSET(tongctvtdd1,0,-(COLUMN(E896)+7-(COLUMN(E896)-5)/2)),KLVT!$A896,tongctvtdd1)+SUMIF(OFFSET(tongctvtpk1,0,-(COLUMN(E896)+7-(COLUMN(E896)-5)/2)),KLVT!$A896,tongctvtpk1)</f>
        <v>0</v>
      </c>
      <c r="F896" s="449">
        <f ca="1">SUMIF(OFFSET(cttba_vlvt1_1,0,-9,-ROW(cttba_vlvt1_1)+ROW(cttba_vltb1_1)-10),KLVT!$A896,OFFSET(cttba_vlvt1_1,0,-4,-ROW(cttba_vlvt1_1)+ROW(cttba_vltb1_1)-10))</f>
        <v>0</v>
      </c>
      <c r="G896" s="451">
        <f t="shared" ca="1" si="148"/>
        <v>0</v>
      </c>
      <c r="H896" s="450">
        <f t="shared" si="135"/>
        <v>1</v>
      </c>
      <c r="I896" s="447">
        <f t="shared" ca="1" si="149"/>
        <v>0</v>
      </c>
      <c r="J896" s="447">
        <f t="shared" ca="1" si="150"/>
        <v>0</v>
      </c>
      <c r="K896" s="373">
        <f t="shared" ca="1" si="151"/>
        <v>0</v>
      </c>
    </row>
    <row r="897" spans="1:11" s="373" customFormat="1" ht="15.75" hidden="1">
      <c r="A897" s="373" t="str">
        <f>IF(AND(COUNTIF($A$5:$A$133,R_DG!A771)=0,R_DG!R771&gt;0,ISNUMBER(R_DG!R771)),R_DG!A771,"NONE")</f>
        <v>NONE</v>
      </c>
      <c r="B897" s="85">
        <f ca="1">IF(K897&gt;0,COUNTIF(K$6:K897,"&gt;0"),B896)</f>
        <v>34</v>
      </c>
      <c r="C897" s="1084">
        <f t="shared" si="146"/>
        <v>0</v>
      </c>
      <c r="D897" s="85">
        <f t="shared" si="147"/>
        <v>0</v>
      </c>
      <c r="E897" s="448">
        <f ca="1">SUMIF(OFFSET(tongctvtdd1,0,-(COLUMN(E897)+7-(COLUMN(E897)-5)/2)),KLVT!$A897,tongctvtdd1)+SUMIF(OFFSET(tongctvtpk1,0,-(COLUMN(E897)+7-(COLUMN(E897)-5)/2)),KLVT!$A897,tongctvtpk1)</f>
        <v>0</v>
      </c>
      <c r="F897" s="449">
        <f ca="1">SUMIF(OFFSET(cttba_vlvt1_1,0,-9,-ROW(cttba_vlvt1_1)+ROW(cttba_vltb1_1)-10),KLVT!$A897,OFFSET(cttba_vlvt1_1,0,-4,-ROW(cttba_vlvt1_1)+ROW(cttba_vltb1_1)-10))</f>
        <v>0</v>
      </c>
      <c r="G897" s="451">
        <f t="shared" ca="1" si="148"/>
        <v>0</v>
      </c>
      <c r="H897" s="450">
        <f t="shared" si="135"/>
        <v>1</v>
      </c>
      <c r="I897" s="447">
        <f t="shared" ca="1" si="149"/>
        <v>0</v>
      </c>
      <c r="J897" s="447">
        <f t="shared" ca="1" si="150"/>
        <v>0</v>
      </c>
      <c r="K897" s="373">
        <f t="shared" ca="1" si="151"/>
        <v>0</v>
      </c>
    </row>
    <row r="898" spans="1:11" s="373" customFormat="1" ht="15.75" hidden="1">
      <c r="A898" s="373" t="str">
        <f>IF(AND(COUNTIF($A$5:$A$133,R_DG!A772)=0,R_DG!R772&gt;0,ISNUMBER(R_DG!R772)),R_DG!A772,"NONE")</f>
        <v>NONE</v>
      </c>
      <c r="B898" s="85">
        <f ca="1">IF(K898&gt;0,COUNTIF(K$6:K898,"&gt;0"),B897)</f>
        <v>34</v>
      </c>
      <c r="C898" s="1084">
        <f t="shared" si="146"/>
        <v>0</v>
      </c>
      <c r="D898" s="85">
        <f t="shared" si="147"/>
        <v>0</v>
      </c>
      <c r="E898" s="448">
        <f ca="1">SUMIF(OFFSET(tongctvtdd1,0,-(COLUMN(E898)+7-(COLUMN(E898)-5)/2)),KLVT!$A898,tongctvtdd1)+SUMIF(OFFSET(tongctvtpk1,0,-(COLUMN(E898)+7-(COLUMN(E898)-5)/2)),KLVT!$A898,tongctvtpk1)</f>
        <v>0</v>
      </c>
      <c r="F898" s="449">
        <f ca="1">SUMIF(OFFSET(cttba_vlvt1_1,0,-9,-ROW(cttba_vlvt1_1)+ROW(cttba_vltb1_1)-10),KLVT!$A898,OFFSET(cttba_vlvt1_1,0,-4,-ROW(cttba_vlvt1_1)+ROW(cttba_vltb1_1)-10))</f>
        <v>0</v>
      </c>
      <c r="G898" s="451">
        <f t="shared" ca="1" si="148"/>
        <v>0</v>
      </c>
      <c r="H898" s="450">
        <f t="shared" si="135"/>
        <v>1</v>
      </c>
      <c r="I898" s="447">
        <f t="shared" ca="1" si="149"/>
        <v>0</v>
      </c>
      <c r="J898" s="447">
        <f t="shared" ca="1" si="150"/>
        <v>0</v>
      </c>
      <c r="K898" s="373">
        <f t="shared" ca="1" si="151"/>
        <v>0</v>
      </c>
    </row>
    <row r="899" spans="1:11" s="373" customFormat="1" ht="15.75" hidden="1">
      <c r="A899" s="373" t="str">
        <f>IF(AND(COUNTIF($A$5:$A$133,R_DG!A773)=0,R_DG!R773&gt;0,ISNUMBER(R_DG!R773)),R_DG!A773,"NONE")</f>
        <v>NONE</v>
      </c>
      <c r="B899" s="85">
        <f ca="1">IF(K899&gt;0,COUNTIF(K$6:K899,"&gt;0"),B898)</f>
        <v>34</v>
      </c>
      <c r="C899" s="1084">
        <f t="shared" si="146"/>
        <v>0</v>
      </c>
      <c r="D899" s="85">
        <f t="shared" si="147"/>
        <v>0</v>
      </c>
      <c r="E899" s="448">
        <f ca="1">SUMIF(OFFSET(tongctvtdd1,0,-(COLUMN(E899)+7-(COLUMN(E899)-5)/2)),KLVT!$A899,tongctvtdd1)+SUMIF(OFFSET(tongctvtpk1,0,-(COLUMN(E899)+7-(COLUMN(E899)-5)/2)),KLVT!$A899,tongctvtpk1)</f>
        <v>0</v>
      </c>
      <c r="F899" s="449">
        <f ca="1">SUMIF(OFFSET(cttba_vlvt1_1,0,-9,-ROW(cttba_vlvt1_1)+ROW(cttba_vltb1_1)-10),KLVT!$A899,OFFSET(cttba_vlvt1_1,0,-4,-ROW(cttba_vlvt1_1)+ROW(cttba_vltb1_1)-10))</f>
        <v>0</v>
      </c>
      <c r="G899" s="451">
        <f t="shared" ca="1" si="148"/>
        <v>0</v>
      </c>
      <c r="H899" s="450">
        <f t="shared" si="135"/>
        <v>1</v>
      </c>
      <c r="I899" s="447">
        <f t="shared" ca="1" si="149"/>
        <v>0</v>
      </c>
      <c r="J899" s="447">
        <f t="shared" ca="1" si="150"/>
        <v>0</v>
      </c>
      <c r="K899" s="373">
        <f t="shared" ca="1" si="151"/>
        <v>0</v>
      </c>
    </row>
    <row r="900" spans="1:11" s="373" customFormat="1" ht="15.75" hidden="1">
      <c r="A900" s="373" t="str">
        <f>IF(AND(COUNTIF($A$5:$A$133,R_DG!A774)=0,R_DG!R774&gt;0,ISNUMBER(R_DG!R774)),R_DG!A774,"NONE")</f>
        <v>NONE</v>
      </c>
      <c r="B900" s="85">
        <f ca="1">IF(K900&gt;0,COUNTIF(K$6:K900,"&gt;0"),B899)</f>
        <v>34</v>
      </c>
      <c r="C900" s="1084">
        <f t="shared" si="146"/>
        <v>0</v>
      </c>
      <c r="D900" s="85">
        <f t="shared" si="147"/>
        <v>0</v>
      </c>
      <c r="E900" s="448">
        <f ca="1">SUMIF(OFFSET(tongctvtdd1,0,-(COLUMN(E900)+7-(COLUMN(E900)-5)/2)),KLVT!$A900,tongctvtdd1)+SUMIF(OFFSET(tongctvtpk1,0,-(COLUMN(E900)+7-(COLUMN(E900)-5)/2)),KLVT!$A900,tongctvtpk1)</f>
        <v>0</v>
      </c>
      <c r="F900" s="449">
        <f ca="1">SUMIF(OFFSET(cttba_vlvt1_1,0,-9,-ROW(cttba_vlvt1_1)+ROW(cttba_vltb1_1)-10),KLVT!$A900,OFFSET(cttba_vlvt1_1,0,-4,-ROW(cttba_vlvt1_1)+ROW(cttba_vltb1_1)-10))</f>
        <v>0</v>
      </c>
      <c r="G900" s="451">
        <f t="shared" ca="1" si="148"/>
        <v>0</v>
      </c>
      <c r="H900" s="450">
        <f t="shared" si="135"/>
        <v>1</v>
      </c>
      <c r="I900" s="447">
        <f t="shared" ca="1" si="149"/>
        <v>0</v>
      </c>
      <c r="J900" s="447">
        <f t="shared" ca="1" si="150"/>
        <v>0</v>
      </c>
      <c r="K900" s="373">
        <f t="shared" ca="1" si="151"/>
        <v>0</v>
      </c>
    </row>
    <row r="901" spans="1:11" s="373" customFormat="1" ht="15.75" hidden="1">
      <c r="A901" s="373" t="str">
        <f>IF(AND(COUNTIF($A$5:$A$133,R_DG!A775)=0,R_DG!R775&gt;0,ISNUMBER(R_DG!R775)),R_DG!A775,"NONE")</f>
        <v>NONE</v>
      </c>
      <c r="B901" s="85">
        <f ca="1">IF(K901&gt;0,COUNTIF(K$6:K901,"&gt;0"),B900)</f>
        <v>34</v>
      </c>
      <c r="C901" s="1084">
        <f t="shared" si="146"/>
        <v>0</v>
      </c>
      <c r="D901" s="85">
        <f t="shared" si="147"/>
        <v>0</v>
      </c>
      <c r="E901" s="448">
        <f ca="1">SUMIF(OFFSET(tongctvtdd1,0,-(COLUMN(E901)+7-(COLUMN(E901)-5)/2)),KLVT!$A901,tongctvtdd1)+SUMIF(OFFSET(tongctvtpk1,0,-(COLUMN(E901)+7-(COLUMN(E901)-5)/2)),KLVT!$A901,tongctvtpk1)</f>
        <v>0</v>
      </c>
      <c r="F901" s="449">
        <f ca="1">SUMIF(OFFSET(cttba_vlvt1_1,0,-9,-ROW(cttba_vlvt1_1)+ROW(cttba_vltb1_1)-10),KLVT!$A901,OFFSET(cttba_vlvt1_1,0,-4,-ROW(cttba_vlvt1_1)+ROW(cttba_vltb1_1)-10))</f>
        <v>0</v>
      </c>
      <c r="G901" s="451">
        <f t="shared" ca="1" si="148"/>
        <v>0</v>
      </c>
      <c r="H901" s="450">
        <f t="shared" si="135"/>
        <v>1</v>
      </c>
      <c r="I901" s="447">
        <f t="shared" ca="1" si="149"/>
        <v>0</v>
      </c>
      <c r="J901" s="447">
        <f t="shared" ca="1" si="150"/>
        <v>0</v>
      </c>
      <c r="K901" s="373">
        <f t="shared" ca="1" si="151"/>
        <v>0</v>
      </c>
    </row>
    <row r="902" spans="1:11" s="373" customFormat="1" ht="15.75" hidden="1">
      <c r="A902" s="373" t="str">
        <f>IF(AND(COUNTIF($A$5:$A$133,R_DG!A776)=0,R_DG!R776&gt;0,ISNUMBER(R_DG!R776)),R_DG!A776,"NONE")</f>
        <v>NONE</v>
      </c>
      <c r="B902" s="85">
        <f ca="1">IF(K902&gt;0,COUNTIF(K$6:K902,"&gt;0"),B901)</f>
        <v>34</v>
      </c>
      <c r="C902" s="1084">
        <f t="shared" si="146"/>
        <v>0</v>
      </c>
      <c r="D902" s="85">
        <f t="shared" si="147"/>
        <v>0</v>
      </c>
      <c r="E902" s="448">
        <f ca="1">SUMIF(OFFSET(tongctvtdd1,0,-(COLUMN(E902)+7-(COLUMN(E902)-5)/2)),KLVT!$A902,tongctvtdd1)+SUMIF(OFFSET(tongctvtpk1,0,-(COLUMN(E902)+7-(COLUMN(E902)-5)/2)),KLVT!$A902,tongctvtpk1)</f>
        <v>0</v>
      </c>
      <c r="F902" s="449">
        <f ca="1">SUMIF(OFFSET(cttba_vlvt1_1,0,-9,-ROW(cttba_vlvt1_1)+ROW(cttba_vltb1_1)-10),KLVT!$A902,OFFSET(cttba_vlvt1_1,0,-4,-ROW(cttba_vlvt1_1)+ROW(cttba_vltb1_1)-10))</f>
        <v>0</v>
      </c>
      <c r="G902" s="451">
        <f t="shared" ca="1" si="148"/>
        <v>0</v>
      </c>
      <c r="H902" s="450">
        <f t="shared" ref="H902:H965" si="152">VLOOKUP(A902,DONGIA,18,0)</f>
        <v>1</v>
      </c>
      <c r="I902" s="447">
        <f t="shared" ca="1" si="149"/>
        <v>0</v>
      </c>
      <c r="J902" s="447">
        <f t="shared" ca="1" si="150"/>
        <v>0</v>
      </c>
      <c r="K902" s="373">
        <f t="shared" ca="1" si="151"/>
        <v>0</v>
      </c>
    </row>
    <row r="903" spans="1:11" s="373" customFormat="1" ht="15.75" hidden="1">
      <c r="A903" s="373" t="str">
        <f>IF(AND(COUNTIF($A$5:$A$133,R_DG!A777)=0,R_DG!R777&gt;0,ISNUMBER(R_DG!R777)),R_DG!A777,"NONE")</f>
        <v>NONE</v>
      </c>
      <c r="B903" s="85">
        <f ca="1">IF(K903&gt;0,COUNTIF(K$6:K903,"&gt;0"),B902)</f>
        <v>34</v>
      </c>
      <c r="C903" s="1084">
        <f t="shared" si="146"/>
        <v>0</v>
      </c>
      <c r="D903" s="85">
        <f t="shared" si="147"/>
        <v>0</v>
      </c>
      <c r="E903" s="448">
        <f ca="1">SUMIF(OFFSET(tongctvtdd1,0,-(COLUMN(E903)+7-(COLUMN(E903)-5)/2)),KLVT!$A903,tongctvtdd1)+SUMIF(OFFSET(tongctvtpk1,0,-(COLUMN(E903)+7-(COLUMN(E903)-5)/2)),KLVT!$A903,tongctvtpk1)</f>
        <v>0</v>
      </c>
      <c r="F903" s="449">
        <f ca="1">SUMIF(OFFSET(cttba_vlvt1_1,0,-9,-ROW(cttba_vlvt1_1)+ROW(cttba_vltb1_1)-10),KLVT!$A903,OFFSET(cttba_vlvt1_1,0,-4,-ROW(cttba_vlvt1_1)+ROW(cttba_vltb1_1)-10))</f>
        <v>0</v>
      </c>
      <c r="G903" s="451">
        <f t="shared" ca="1" si="148"/>
        <v>0</v>
      </c>
      <c r="H903" s="450">
        <f t="shared" si="152"/>
        <v>1</v>
      </c>
      <c r="I903" s="447">
        <f t="shared" ca="1" si="149"/>
        <v>0</v>
      </c>
      <c r="J903" s="447">
        <f t="shared" ca="1" si="150"/>
        <v>0</v>
      </c>
      <c r="K903" s="373">
        <f t="shared" ca="1" si="151"/>
        <v>0</v>
      </c>
    </row>
    <row r="904" spans="1:11" s="373" customFormat="1" ht="15.75" hidden="1">
      <c r="A904" s="373" t="str">
        <f>IF(AND(COUNTIF($A$5:$A$133,R_DG!A778)=0,R_DG!R778&gt;0,ISNUMBER(R_DG!R778)),R_DG!A778,"NONE")</f>
        <v>NONE</v>
      </c>
      <c r="B904" s="85">
        <f ca="1">IF(K904&gt;0,COUNTIF(K$6:K904,"&gt;0"),B903)</f>
        <v>34</v>
      </c>
      <c r="C904" s="1084">
        <f t="shared" ref="C904:C916" si="153">VLOOKUP(A904,DONGIA,3,0)</f>
        <v>0</v>
      </c>
      <c r="D904" s="85">
        <f t="shared" ref="D904:D916" si="154">VLOOKUP(A904,DONGIA,4,0)</f>
        <v>0</v>
      </c>
      <c r="E904" s="448">
        <f ca="1">SUMIF(OFFSET(tongctvtdd1,0,-(COLUMN(E904)+7-(COLUMN(E904)-5)/2)),KLVT!$A904,tongctvtdd1)+SUMIF(OFFSET(tongctvtpk1,0,-(COLUMN(E904)+7-(COLUMN(E904)-5)/2)),KLVT!$A904,tongctvtpk1)</f>
        <v>0</v>
      </c>
      <c r="F904" s="449">
        <f ca="1">SUMIF(OFFSET(cttba_vlvt1_1,0,-9,-ROW(cttba_vlvt1_1)+ROW(cttba_vltb1_1)-10),KLVT!$A904,OFFSET(cttba_vlvt1_1,0,-4,-ROW(cttba_vlvt1_1)+ROW(cttba_vltb1_1)-10))</f>
        <v>0</v>
      </c>
      <c r="G904" s="451">
        <f t="shared" ref="G904:G916" ca="1" si="155">SUM(E904:F904)</f>
        <v>0</v>
      </c>
      <c r="H904" s="450">
        <f t="shared" si="152"/>
        <v>1</v>
      </c>
      <c r="I904" s="447">
        <f t="shared" ref="I904:I916" ca="1" si="156">E904*$H904</f>
        <v>0</v>
      </c>
      <c r="J904" s="447">
        <f t="shared" ref="J904:J916" ca="1" si="157">F904*$H904</f>
        <v>0</v>
      </c>
      <c r="K904" s="373">
        <f t="shared" ref="K904:K916" ca="1" si="158">IF(G904&gt;0,1,0)</f>
        <v>0</v>
      </c>
    </row>
    <row r="905" spans="1:11" s="373" customFormat="1" ht="15.75" hidden="1">
      <c r="A905" s="373" t="str">
        <f>IF(AND(COUNTIF($A$5:$A$133,R_DG!A779)=0,R_DG!R779&gt;0,ISNUMBER(R_DG!R779)),R_DG!A779,"NONE")</f>
        <v>NONE</v>
      </c>
      <c r="B905" s="85">
        <f ca="1">IF(K905&gt;0,COUNTIF(K$6:K905,"&gt;0"),B904)</f>
        <v>34</v>
      </c>
      <c r="C905" s="1084">
        <f t="shared" si="153"/>
        <v>0</v>
      </c>
      <c r="D905" s="85">
        <f t="shared" si="154"/>
        <v>0</v>
      </c>
      <c r="E905" s="448">
        <f ca="1">SUMIF(OFFSET(tongctvtdd1,0,-(COLUMN(E905)+7-(COLUMN(E905)-5)/2)),KLVT!$A905,tongctvtdd1)+SUMIF(OFFSET(tongctvtpk1,0,-(COLUMN(E905)+7-(COLUMN(E905)-5)/2)),KLVT!$A905,tongctvtpk1)</f>
        <v>0</v>
      </c>
      <c r="F905" s="449">
        <f ca="1">SUMIF(OFFSET(cttba_vlvt1_1,0,-9,-ROW(cttba_vlvt1_1)+ROW(cttba_vltb1_1)-10),KLVT!$A905,OFFSET(cttba_vlvt1_1,0,-4,-ROW(cttba_vlvt1_1)+ROW(cttba_vltb1_1)-10))</f>
        <v>0</v>
      </c>
      <c r="G905" s="451">
        <f t="shared" ca="1" si="155"/>
        <v>0</v>
      </c>
      <c r="H905" s="450">
        <f t="shared" si="152"/>
        <v>1</v>
      </c>
      <c r="I905" s="447">
        <f t="shared" ca="1" si="156"/>
        <v>0</v>
      </c>
      <c r="J905" s="447">
        <f t="shared" ca="1" si="157"/>
        <v>0</v>
      </c>
      <c r="K905" s="373">
        <f t="shared" ca="1" si="158"/>
        <v>0</v>
      </c>
    </row>
    <row r="906" spans="1:11" s="373" customFormat="1" ht="15.75" hidden="1">
      <c r="A906" s="373" t="str">
        <f>IF(AND(COUNTIF($A$5:$A$133,R_DG!A780)=0,R_DG!R780&gt;0,ISNUMBER(R_DG!R780)),R_DG!A780,"NONE")</f>
        <v>NONE</v>
      </c>
      <c r="B906" s="85">
        <f ca="1">IF(K906&gt;0,COUNTIF(K$6:K906,"&gt;0"),B905)</f>
        <v>34</v>
      </c>
      <c r="C906" s="1084">
        <f t="shared" si="153"/>
        <v>0</v>
      </c>
      <c r="D906" s="85">
        <f t="shared" si="154"/>
        <v>0</v>
      </c>
      <c r="E906" s="448">
        <f ca="1">SUMIF(OFFSET(tongctvtdd1,0,-(COLUMN(E906)+7-(COLUMN(E906)-5)/2)),KLVT!$A906,tongctvtdd1)+SUMIF(OFFSET(tongctvtpk1,0,-(COLUMN(E906)+7-(COLUMN(E906)-5)/2)),KLVT!$A906,tongctvtpk1)</f>
        <v>0</v>
      </c>
      <c r="F906" s="449">
        <f ca="1">SUMIF(OFFSET(cttba_vlvt1_1,0,-9,-ROW(cttba_vlvt1_1)+ROW(cttba_vltb1_1)-10),KLVT!$A906,OFFSET(cttba_vlvt1_1,0,-4,-ROW(cttba_vlvt1_1)+ROW(cttba_vltb1_1)-10))</f>
        <v>0</v>
      </c>
      <c r="G906" s="451">
        <f t="shared" ca="1" si="155"/>
        <v>0</v>
      </c>
      <c r="H906" s="450">
        <f t="shared" si="152"/>
        <v>1</v>
      </c>
      <c r="I906" s="447">
        <f t="shared" ca="1" si="156"/>
        <v>0</v>
      </c>
      <c r="J906" s="447">
        <f t="shared" ca="1" si="157"/>
        <v>0</v>
      </c>
      <c r="K906" s="373">
        <f t="shared" ca="1" si="158"/>
        <v>0</v>
      </c>
    </row>
    <row r="907" spans="1:11" s="373" customFormat="1" ht="15.75" hidden="1">
      <c r="A907" s="373" t="str">
        <f>IF(AND(COUNTIF($A$5:$A$133,R_DG!A781)=0,R_DG!R781&gt;0,ISNUMBER(R_DG!R781)),R_DG!A781,"NONE")</f>
        <v>NONE</v>
      </c>
      <c r="B907" s="85">
        <f ca="1">IF(K907&gt;0,COUNTIF(K$6:K907,"&gt;0"),B906)</f>
        <v>34</v>
      </c>
      <c r="C907" s="1084">
        <f t="shared" si="153"/>
        <v>0</v>
      </c>
      <c r="D907" s="85">
        <f t="shared" si="154"/>
        <v>0</v>
      </c>
      <c r="E907" s="448">
        <f ca="1">SUMIF(OFFSET(tongctvtdd1,0,-(COLUMN(E907)+7-(COLUMN(E907)-5)/2)),KLVT!$A907,tongctvtdd1)+SUMIF(OFFSET(tongctvtpk1,0,-(COLUMN(E907)+7-(COLUMN(E907)-5)/2)),KLVT!$A907,tongctvtpk1)</f>
        <v>0</v>
      </c>
      <c r="F907" s="449">
        <f ca="1">SUMIF(OFFSET(cttba_vlvt1_1,0,-9,-ROW(cttba_vlvt1_1)+ROW(cttba_vltb1_1)-10),KLVT!$A907,OFFSET(cttba_vlvt1_1,0,-4,-ROW(cttba_vlvt1_1)+ROW(cttba_vltb1_1)-10))</f>
        <v>0</v>
      </c>
      <c r="G907" s="451">
        <f t="shared" ca="1" si="155"/>
        <v>0</v>
      </c>
      <c r="H907" s="450">
        <f t="shared" si="152"/>
        <v>1</v>
      </c>
      <c r="I907" s="447">
        <f t="shared" ca="1" si="156"/>
        <v>0</v>
      </c>
      <c r="J907" s="447">
        <f t="shared" ca="1" si="157"/>
        <v>0</v>
      </c>
      <c r="K907" s="373">
        <f t="shared" ca="1" si="158"/>
        <v>0</v>
      </c>
    </row>
    <row r="908" spans="1:11" s="373" customFormat="1" ht="15.75" hidden="1">
      <c r="A908" s="373" t="str">
        <f>IF(AND(COUNTIF($A$5:$A$133,R_DG!A782)=0,R_DG!R782&gt;0,ISNUMBER(R_DG!R782)),R_DG!A782,"NONE")</f>
        <v>NONE</v>
      </c>
      <c r="B908" s="85">
        <f ca="1">IF(K908&gt;0,COUNTIF(K$6:K908,"&gt;0"),B907)</f>
        <v>34</v>
      </c>
      <c r="C908" s="1084">
        <f t="shared" si="153"/>
        <v>0</v>
      </c>
      <c r="D908" s="85">
        <f t="shared" si="154"/>
        <v>0</v>
      </c>
      <c r="E908" s="448">
        <f ca="1">SUMIF(OFFSET(tongctvtdd1,0,-(COLUMN(E908)+7-(COLUMN(E908)-5)/2)),KLVT!$A908,tongctvtdd1)+SUMIF(OFFSET(tongctvtpk1,0,-(COLUMN(E908)+7-(COLUMN(E908)-5)/2)),KLVT!$A908,tongctvtpk1)</f>
        <v>0</v>
      </c>
      <c r="F908" s="449">
        <f ca="1">SUMIF(OFFSET(cttba_vlvt1_1,0,-9,-ROW(cttba_vlvt1_1)+ROW(cttba_vltb1_1)-10),KLVT!$A908,OFFSET(cttba_vlvt1_1,0,-4,-ROW(cttba_vlvt1_1)+ROW(cttba_vltb1_1)-10))</f>
        <v>0</v>
      </c>
      <c r="G908" s="451">
        <f t="shared" ca="1" si="155"/>
        <v>0</v>
      </c>
      <c r="H908" s="450">
        <f t="shared" si="152"/>
        <v>1</v>
      </c>
      <c r="I908" s="447">
        <f t="shared" ca="1" si="156"/>
        <v>0</v>
      </c>
      <c r="J908" s="447">
        <f t="shared" ca="1" si="157"/>
        <v>0</v>
      </c>
      <c r="K908" s="373">
        <f t="shared" ca="1" si="158"/>
        <v>0</v>
      </c>
    </row>
    <row r="909" spans="1:11" s="373" customFormat="1" ht="15.75" hidden="1">
      <c r="A909" s="373" t="str">
        <f>IF(AND(COUNTIF($A$5:$A$133,R_DG!A783)=0,R_DG!R783&gt;0,ISNUMBER(R_DG!R783)),R_DG!A783,"NONE")</f>
        <v>NONE</v>
      </c>
      <c r="B909" s="85">
        <f ca="1">IF(K909&gt;0,COUNTIF(K$6:K909,"&gt;0"),B908)</f>
        <v>34</v>
      </c>
      <c r="C909" s="1084">
        <f t="shared" si="153"/>
        <v>0</v>
      </c>
      <c r="D909" s="85">
        <f t="shared" si="154"/>
        <v>0</v>
      </c>
      <c r="E909" s="448">
        <f ca="1">SUMIF(OFFSET(tongctvtdd1,0,-(COLUMN(E909)+7-(COLUMN(E909)-5)/2)),KLVT!$A909,tongctvtdd1)+SUMIF(OFFSET(tongctvtpk1,0,-(COLUMN(E909)+7-(COLUMN(E909)-5)/2)),KLVT!$A909,tongctvtpk1)</f>
        <v>0</v>
      </c>
      <c r="F909" s="449">
        <f ca="1">SUMIF(OFFSET(cttba_vlvt1_1,0,-9,-ROW(cttba_vlvt1_1)+ROW(cttba_vltb1_1)-10),KLVT!$A909,OFFSET(cttba_vlvt1_1,0,-4,-ROW(cttba_vlvt1_1)+ROW(cttba_vltb1_1)-10))</f>
        <v>0</v>
      </c>
      <c r="G909" s="451">
        <f t="shared" ca="1" si="155"/>
        <v>0</v>
      </c>
      <c r="H909" s="450">
        <f t="shared" si="152"/>
        <v>1</v>
      </c>
      <c r="I909" s="447">
        <f t="shared" ca="1" si="156"/>
        <v>0</v>
      </c>
      <c r="J909" s="447">
        <f t="shared" ca="1" si="157"/>
        <v>0</v>
      </c>
      <c r="K909" s="373">
        <f t="shared" ca="1" si="158"/>
        <v>0</v>
      </c>
    </row>
    <row r="910" spans="1:11" s="373" customFormat="1" ht="15.75" hidden="1">
      <c r="A910" s="373" t="str">
        <f>IF(AND(COUNTIF($A$5:$A$133,R_DG!A784)=0,R_DG!R784&gt;0,ISNUMBER(R_DG!R784)),R_DG!A784,"NONE")</f>
        <v>NONE</v>
      </c>
      <c r="B910" s="85">
        <f ca="1">IF(K910&gt;0,COUNTIF(K$6:K910,"&gt;0"),B909)</f>
        <v>34</v>
      </c>
      <c r="C910" s="1084">
        <f t="shared" si="153"/>
        <v>0</v>
      </c>
      <c r="D910" s="85">
        <f t="shared" si="154"/>
        <v>0</v>
      </c>
      <c r="E910" s="448">
        <f ca="1">SUMIF(OFFSET(tongctvtdd1,0,-(COLUMN(E910)+7-(COLUMN(E910)-5)/2)),KLVT!$A910,tongctvtdd1)+SUMIF(OFFSET(tongctvtpk1,0,-(COLUMN(E910)+7-(COLUMN(E910)-5)/2)),KLVT!$A910,tongctvtpk1)</f>
        <v>0</v>
      </c>
      <c r="F910" s="449">
        <f ca="1">SUMIF(OFFSET(cttba_vlvt1_1,0,-9,-ROW(cttba_vlvt1_1)+ROW(cttba_vltb1_1)-10),KLVT!$A910,OFFSET(cttba_vlvt1_1,0,-4,-ROW(cttba_vlvt1_1)+ROW(cttba_vltb1_1)-10))</f>
        <v>0</v>
      </c>
      <c r="G910" s="451">
        <f t="shared" ca="1" si="155"/>
        <v>0</v>
      </c>
      <c r="H910" s="450">
        <f t="shared" si="152"/>
        <v>1</v>
      </c>
      <c r="I910" s="447">
        <f t="shared" ca="1" si="156"/>
        <v>0</v>
      </c>
      <c r="J910" s="447">
        <f t="shared" ca="1" si="157"/>
        <v>0</v>
      </c>
      <c r="K910" s="373">
        <f t="shared" ca="1" si="158"/>
        <v>0</v>
      </c>
    </row>
    <row r="911" spans="1:11" s="373" customFormat="1" ht="15.75" hidden="1">
      <c r="A911" s="373" t="str">
        <f>IF(AND(COUNTIF($A$5:$A$133,R_DG!A785)=0,R_DG!R785&gt;0,ISNUMBER(R_DG!R785)),R_DG!A785,"NONE")</f>
        <v>NONE</v>
      </c>
      <c r="B911" s="85">
        <f ca="1">IF(K911&gt;0,COUNTIF(K$6:K911,"&gt;0"),B910)</f>
        <v>34</v>
      </c>
      <c r="C911" s="1084">
        <f t="shared" si="153"/>
        <v>0</v>
      </c>
      <c r="D911" s="85">
        <f t="shared" si="154"/>
        <v>0</v>
      </c>
      <c r="E911" s="448">
        <f ca="1">SUMIF(OFFSET(tongctvtdd1,0,-(COLUMN(E911)+7-(COLUMN(E911)-5)/2)),KLVT!$A911,tongctvtdd1)+SUMIF(OFFSET(tongctvtpk1,0,-(COLUMN(E911)+7-(COLUMN(E911)-5)/2)),KLVT!$A911,tongctvtpk1)</f>
        <v>0</v>
      </c>
      <c r="F911" s="449">
        <f ca="1">SUMIF(OFFSET(cttba_vlvt1_1,0,-9,-ROW(cttba_vlvt1_1)+ROW(cttba_vltb1_1)-10),KLVT!$A911,OFFSET(cttba_vlvt1_1,0,-4,-ROW(cttba_vlvt1_1)+ROW(cttba_vltb1_1)-10))</f>
        <v>0</v>
      </c>
      <c r="G911" s="451">
        <f t="shared" ca="1" si="155"/>
        <v>0</v>
      </c>
      <c r="H911" s="450">
        <f t="shared" si="152"/>
        <v>1</v>
      </c>
      <c r="I911" s="447">
        <f t="shared" ca="1" si="156"/>
        <v>0</v>
      </c>
      <c r="J911" s="447">
        <f t="shared" ca="1" si="157"/>
        <v>0</v>
      </c>
      <c r="K911" s="373">
        <f t="shared" ca="1" si="158"/>
        <v>0</v>
      </c>
    </row>
    <row r="912" spans="1:11" s="373" customFormat="1" ht="15.75" hidden="1">
      <c r="A912" s="373" t="str">
        <f>IF(AND(COUNTIF($A$5:$A$133,R_DG!A786)=0,R_DG!R786&gt;0,ISNUMBER(R_DG!R786)),R_DG!A786,"NONE")</f>
        <v>NONE</v>
      </c>
      <c r="B912" s="85">
        <f ca="1">IF(K912&gt;0,COUNTIF(K$6:K912,"&gt;0"),B911)</f>
        <v>34</v>
      </c>
      <c r="C912" s="1084">
        <f t="shared" si="153"/>
        <v>0</v>
      </c>
      <c r="D912" s="85">
        <f t="shared" si="154"/>
        <v>0</v>
      </c>
      <c r="E912" s="448">
        <f ca="1">SUMIF(OFFSET(tongctvtdd1,0,-(COLUMN(E912)+7-(COLUMN(E912)-5)/2)),KLVT!$A912,tongctvtdd1)+SUMIF(OFFSET(tongctvtpk1,0,-(COLUMN(E912)+7-(COLUMN(E912)-5)/2)),KLVT!$A912,tongctvtpk1)</f>
        <v>0</v>
      </c>
      <c r="F912" s="449">
        <f ca="1">SUMIF(OFFSET(cttba_vlvt1_1,0,-9,-ROW(cttba_vlvt1_1)+ROW(cttba_vltb1_1)-10),KLVT!$A912,OFFSET(cttba_vlvt1_1,0,-4,-ROW(cttba_vlvt1_1)+ROW(cttba_vltb1_1)-10))</f>
        <v>0</v>
      </c>
      <c r="G912" s="451">
        <f t="shared" ca="1" si="155"/>
        <v>0</v>
      </c>
      <c r="H912" s="450">
        <f t="shared" si="152"/>
        <v>1</v>
      </c>
      <c r="I912" s="447">
        <f t="shared" ca="1" si="156"/>
        <v>0</v>
      </c>
      <c r="J912" s="447">
        <f t="shared" ca="1" si="157"/>
        <v>0</v>
      </c>
      <c r="K912" s="373">
        <f t="shared" ca="1" si="158"/>
        <v>0</v>
      </c>
    </row>
    <row r="913" spans="1:11" s="373" customFormat="1" ht="15.75" hidden="1">
      <c r="A913" s="373" t="str">
        <f>IF(AND(COUNTIF($A$5:$A$133,R_DG!A787)=0,R_DG!R787&gt;0,ISNUMBER(R_DG!R787)),R_DG!A787,"NONE")</f>
        <v>NONE</v>
      </c>
      <c r="B913" s="85">
        <f ca="1">IF(K913&gt;0,COUNTIF(K$6:K913,"&gt;0"),B912)</f>
        <v>34</v>
      </c>
      <c r="C913" s="1084">
        <f t="shared" si="153"/>
        <v>0</v>
      </c>
      <c r="D913" s="85">
        <f t="shared" si="154"/>
        <v>0</v>
      </c>
      <c r="E913" s="448">
        <f ca="1">SUMIF(OFFSET(tongctvtdd1,0,-(COLUMN(E913)+7-(COLUMN(E913)-5)/2)),KLVT!$A913,tongctvtdd1)+SUMIF(OFFSET(tongctvtpk1,0,-(COLUMN(E913)+7-(COLUMN(E913)-5)/2)),KLVT!$A913,tongctvtpk1)</f>
        <v>0</v>
      </c>
      <c r="F913" s="449">
        <f ca="1">SUMIF(OFFSET(cttba_vlvt1_1,0,-9,-ROW(cttba_vlvt1_1)+ROW(cttba_vltb1_1)-10),KLVT!$A913,OFFSET(cttba_vlvt1_1,0,-4,-ROW(cttba_vlvt1_1)+ROW(cttba_vltb1_1)-10))</f>
        <v>0</v>
      </c>
      <c r="G913" s="451">
        <f t="shared" ca="1" si="155"/>
        <v>0</v>
      </c>
      <c r="H913" s="450">
        <f t="shared" si="152"/>
        <v>1</v>
      </c>
      <c r="I913" s="447">
        <f t="shared" ca="1" si="156"/>
        <v>0</v>
      </c>
      <c r="J913" s="447">
        <f t="shared" ca="1" si="157"/>
        <v>0</v>
      </c>
      <c r="K913" s="373">
        <f t="shared" ca="1" si="158"/>
        <v>0</v>
      </c>
    </row>
    <row r="914" spans="1:11" s="373" customFormat="1" ht="15.75" hidden="1">
      <c r="A914" s="373" t="str">
        <f>IF(AND(COUNTIF($A$5:$A$133,R_DG!A788)=0,R_DG!R788&gt;0,ISNUMBER(R_DG!R788)),R_DG!A788,"NONE")</f>
        <v>NONE</v>
      </c>
      <c r="B914" s="85">
        <f ca="1">IF(K914&gt;0,COUNTIF(K$6:K914,"&gt;0"),B913)</f>
        <v>34</v>
      </c>
      <c r="C914" s="1084">
        <f t="shared" si="153"/>
        <v>0</v>
      </c>
      <c r="D914" s="85">
        <f t="shared" si="154"/>
        <v>0</v>
      </c>
      <c r="E914" s="448">
        <f ca="1">SUMIF(OFFSET(tongctvtdd1,0,-(COLUMN(E914)+7-(COLUMN(E914)-5)/2)),KLVT!$A914,tongctvtdd1)+SUMIF(OFFSET(tongctvtpk1,0,-(COLUMN(E914)+7-(COLUMN(E914)-5)/2)),KLVT!$A914,tongctvtpk1)</f>
        <v>0</v>
      </c>
      <c r="F914" s="449">
        <f ca="1">SUMIF(OFFSET(cttba_vlvt1_1,0,-9,-ROW(cttba_vlvt1_1)+ROW(cttba_vltb1_1)-10),KLVT!$A914,OFFSET(cttba_vlvt1_1,0,-4,-ROW(cttba_vlvt1_1)+ROW(cttba_vltb1_1)-10))</f>
        <v>0</v>
      </c>
      <c r="G914" s="451">
        <f t="shared" ca="1" si="155"/>
        <v>0</v>
      </c>
      <c r="H914" s="450">
        <f t="shared" si="152"/>
        <v>1</v>
      </c>
      <c r="I914" s="447">
        <f t="shared" ca="1" si="156"/>
        <v>0</v>
      </c>
      <c r="J914" s="447">
        <f t="shared" ca="1" si="157"/>
        <v>0</v>
      </c>
      <c r="K914" s="373">
        <f t="shared" ca="1" si="158"/>
        <v>0</v>
      </c>
    </row>
    <row r="915" spans="1:11" s="373" customFormat="1" ht="15.75" hidden="1">
      <c r="A915" s="373" t="str">
        <f>IF(AND(COUNTIF($A$5:$A$133,R_DG!A789)=0,R_DG!R789&gt;0,ISNUMBER(R_DG!R789)),R_DG!A789,"NONE")</f>
        <v>NONE</v>
      </c>
      <c r="B915" s="85">
        <f ca="1">IF(K915&gt;0,COUNTIF(K$6:K915,"&gt;0"),B914)</f>
        <v>34</v>
      </c>
      <c r="C915" s="1084">
        <f t="shared" si="153"/>
        <v>0</v>
      </c>
      <c r="D915" s="85">
        <f t="shared" si="154"/>
        <v>0</v>
      </c>
      <c r="E915" s="448">
        <f ca="1">SUMIF(OFFSET(tongctvtdd1,0,-(COLUMN(E915)+7-(COLUMN(E915)-5)/2)),KLVT!$A915,tongctvtdd1)+SUMIF(OFFSET(tongctvtpk1,0,-(COLUMN(E915)+7-(COLUMN(E915)-5)/2)),KLVT!$A915,tongctvtpk1)</f>
        <v>0</v>
      </c>
      <c r="F915" s="449">
        <f ca="1">SUMIF(OFFSET(cttba_vlvt1_1,0,-9,-ROW(cttba_vlvt1_1)+ROW(cttba_vltb1_1)-10),KLVT!$A915,OFFSET(cttba_vlvt1_1,0,-4,-ROW(cttba_vlvt1_1)+ROW(cttba_vltb1_1)-10))</f>
        <v>0</v>
      </c>
      <c r="G915" s="451">
        <f t="shared" ca="1" si="155"/>
        <v>0</v>
      </c>
      <c r="H915" s="450">
        <f t="shared" si="152"/>
        <v>1</v>
      </c>
      <c r="I915" s="447">
        <f t="shared" ca="1" si="156"/>
        <v>0</v>
      </c>
      <c r="J915" s="447">
        <f t="shared" ca="1" si="157"/>
        <v>0</v>
      </c>
      <c r="K915" s="373">
        <f t="shared" ca="1" si="158"/>
        <v>0</v>
      </c>
    </row>
    <row r="916" spans="1:11" s="373" customFormat="1" ht="15.75" hidden="1">
      <c r="A916" s="373" t="str">
        <f>IF(AND(COUNTIF($A$5:$A$133,R_DG!A790)=0,R_DG!R790&gt;0,ISNUMBER(R_DG!R790)),R_DG!A790,"NONE")</f>
        <v>NONE</v>
      </c>
      <c r="B916" s="85">
        <f ca="1">IF(K916&gt;0,COUNTIF(K$6:K916,"&gt;0"),B915)</f>
        <v>34</v>
      </c>
      <c r="C916" s="1084">
        <f t="shared" si="153"/>
        <v>0</v>
      </c>
      <c r="D916" s="85">
        <f t="shared" si="154"/>
        <v>0</v>
      </c>
      <c r="E916" s="448">
        <f ca="1">SUMIF(OFFSET(tongctvtdd1,0,-(COLUMN(E916)+7-(COLUMN(E916)-5)/2)),KLVT!$A916,tongctvtdd1)+SUMIF(OFFSET(tongctvtpk1,0,-(COLUMN(E916)+7-(COLUMN(E916)-5)/2)),KLVT!$A916,tongctvtpk1)</f>
        <v>0</v>
      </c>
      <c r="F916" s="449">
        <f ca="1">SUMIF(OFFSET(cttba_vlvt1_1,0,-9,-ROW(cttba_vlvt1_1)+ROW(cttba_vltb1_1)-10),KLVT!$A916,OFFSET(cttba_vlvt1_1,0,-4,-ROW(cttba_vlvt1_1)+ROW(cttba_vltb1_1)-10))</f>
        <v>0</v>
      </c>
      <c r="G916" s="451">
        <f t="shared" ca="1" si="155"/>
        <v>0</v>
      </c>
      <c r="H916" s="450">
        <f t="shared" si="152"/>
        <v>1</v>
      </c>
      <c r="I916" s="447">
        <f t="shared" ca="1" si="156"/>
        <v>0</v>
      </c>
      <c r="J916" s="447">
        <f t="shared" ca="1" si="157"/>
        <v>0</v>
      </c>
      <c r="K916" s="373">
        <f t="shared" ca="1" si="158"/>
        <v>0</v>
      </c>
    </row>
    <row r="917" spans="1:11" s="373" customFormat="1" ht="15.75" hidden="1">
      <c r="A917" s="373" t="str">
        <f>IF(AND(COUNTIF($A$5:$A$133,R_DG!A791)=0,R_DG!R791&gt;0,ISNUMBER(R_DG!R791)),R_DG!A791,"NONE")</f>
        <v>NONE</v>
      </c>
      <c r="B917" s="85">
        <f ca="1">IF(K917&gt;0,COUNTIF(K$6:K917,"&gt;0"),B916)</f>
        <v>34</v>
      </c>
      <c r="C917" s="1084">
        <f t="shared" ref="C917:C947" si="159">VLOOKUP(A917,DONGIA,3,0)</f>
        <v>0</v>
      </c>
      <c r="D917" s="85">
        <f t="shared" ref="D917:D947" si="160">VLOOKUP(A917,DONGIA,4,0)</f>
        <v>0</v>
      </c>
      <c r="E917" s="448">
        <f ca="1">SUMIF(OFFSET(tongctvtdd1,0,-(COLUMN(E917)+7-(COLUMN(E917)-5)/2)),KLVT!$A917,tongctvtdd1)+SUMIF(OFFSET(tongctvtpk1,0,-(COLUMN(E917)+7-(COLUMN(E917)-5)/2)),KLVT!$A917,tongctvtpk1)</f>
        <v>0</v>
      </c>
      <c r="F917" s="449">
        <f ca="1">SUMIF(OFFSET(cttba_vlvt1_1,0,-9,-ROW(cttba_vlvt1_1)+ROW(cttba_vltb1_1)-10),KLVT!$A917,OFFSET(cttba_vlvt1_1,0,-4,-ROW(cttba_vlvt1_1)+ROW(cttba_vltb1_1)-10))</f>
        <v>0</v>
      </c>
      <c r="G917" s="451">
        <f t="shared" ref="G917:G947" ca="1" si="161">SUM(E917:F917)</f>
        <v>0</v>
      </c>
      <c r="H917" s="450">
        <f t="shared" si="152"/>
        <v>1</v>
      </c>
      <c r="I917" s="447">
        <f t="shared" ref="I917:I947" ca="1" si="162">E917*$H917</f>
        <v>0</v>
      </c>
      <c r="J917" s="447">
        <f t="shared" ref="J917:J947" ca="1" si="163">F917*$H917</f>
        <v>0</v>
      </c>
      <c r="K917" s="373">
        <f t="shared" ref="K917:K947" ca="1" si="164">IF(G917&gt;0,1,0)</f>
        <v>0</v>
      </c>
    </row>
    <row r="918" spans="1:11" s="373" customFormat="1" ht="15.75" hidden="1">
      <c r="A918" s="373" t="str">
        <f>IF(AND(COUNTIF($A$5:$A$133,R_DG!A792)=0,R_DG!R792&gt;0,ISNUMBER(R_DG!R792)),R_DG!A792,"NONE")</f>
        <v>NONE</v>
      </c>
      <c r="B918" s="85">
        <f ca="1">IF(K918&gt;0,COUNTIF(K$6:K918,"&gt;0"),B917)</f>
        <v>34</v>
      </c>
      <c r="C918" s="1084">
        <f t="shared" si="159"/>
        <v>0</v>
      </c>
      <c r="D918" s="85">
        <f t="shared" si="160"/>
        <v>0</v>
      </c>
      <c r="E918" s="448">
        <f ca="1">SUMIF(OFFSET(tongctvtdd1,0,-(COLUMN(E918)+7-(COLUMN(E918)-5)/2)),KLVT!$A918,tongctvtdd1)+SUMIF(OFFSET(tongctvtpk1,0,-(COLUMN(E918)+7-(COLUMN(E918)-5)/2)),KLVT!$A918,tongctvtpk1)</f>
        <v>0</v>
      </c>
      <c r="F918" s="449">
        <f ca="1">SUMIF(OFFSET(cttba_vlvt1_1,0,-9,-ROW(cttba_vlvt1_1)+ROW(cttba_vltb1_1)-10),KLVT!$A918,OFFSET(cttba_vlvt1_1,0,-4,-ROW(cttba_vlvt1_1)+ROW(cttba_vltb1_1)-10))</f>
        <v>0</v>
      </c>
      <c r="G918" s="451">
        <f t="shared" ca="1" si="161"/>
        <v>0</v>
      </c>
      <c r="H918" s="450">
        <f t="shared" si="152"/>
        <v>1</v>
      </c>
      <c r="I918" s="447">
        <f t="shared" ca="1" si="162"/>
        <v>0</v>
      </c>
      <c r="J918" s="447">
        <f t="shared" ca="1" si="163"/>
        <v>0</v>
      </c>
      <c r="K918" s="373">
        <f t="shared" ca="1" si="164"/>
        <v>0</v>
      </c>
    </row>
    <row r="919" spans="1:11" s="373" customFormat="1" ht="15.75" hidden="1">
      <c r="A919" s="373" t="str">
        <f>IF(AND(COUNTIF($A$5:$A$133,R_DG!A793)=0,R_DG!R793&gt;0,ISNUMBER(R_DG!R793)),R_DG!A793,"NONE")</f>
        <v>NONE</v>
      </c>
      <c r="B919" s="85">
        <f ca="1">IF(K919&gt;0,COUNTIF(K$6:K919,"&gt;0"),B918)</f>
        <v>34</v>
      </c>
      <c r="C919" s="1084">
        <f t="shared" si="159"/>
        <v>0</v>
      </c>
      <c r="D919" s="85">
        <f t="shared" si="160"/>
        <v>0</v>
      </c>
      <c r="E919" s="448">
        <f ca="1">SUMIF(OFFSET(tongctvtdd1,0,-(COLUMN(E919)+7-(COLUMN(E919)-5)/2)),KLVT!$A919,tongctvtdd1)+SUMIF(OFFSET(tongctvtpk1,0,-(COLUMN(E919)+7-(COLUMN(E919)-5)/2)),KLVT!$A919,tongctvtpk1)</f>
        <v>0</v>
      </c>
      <c r="F919" s="449">
        <f ca="1">SUMIF(OFFSET(cttba_vlvt1_1,0,-9,-ROW(cttba_vlvt1_1)+ROW(cttba_vltb1_1)-10),KLVT!$A919,OFFSET(cttba_vlvt1_1,0,-4,-ROW(cttba_vlvt1_1)+ROW(cttba_vltb1_1)-10))</f>
        <v>0</v>
      </c>
      <c r="G919" s="451">
        <f t="shared" ca="1" si="161"/>
        <v>0</v>
      </c>
      <c r="H919" s="450">
        <f t="shared" si="152"/>
        <v>1</v>
      </c>
      <c r="I919" s="447">
        <f t="shared" ca="1" si="162"/>
        <v>0</v>
      </c>
      <c r="J919" s="447">
        <f t="shared" ca="1" si="163"/>
        <v>0</v>
      </c>
      <c r="K919" s="373">
        <f t="shared" ca="1" si="164"/>
        <v>0</v>
      </c>
    </row>
    <row r="920" spans="1:11" s="373" customFormat="1" ht="15.75" hidden="1">
      <c r="A920" s="373" t="str">
        <f>IF(AND(COUNTIF($A$5:$A$133,R_DG!A794)=0,R_DG!R794&gt;0,ISNUMBER(R_DG!R794)),R_DG!A794,"NONE")</f>
        <v>NONE</v>
      </c>
      <c r="B920" s="85">
        <f ca="1">IF(K920&gt;0,COUNTIF(K$6:K920,"&gt;0"),B919)</f>
        <v>34</v>
      </c>
      <c r="C920" s="1084">
        <f t="shared" si="159"/>
        <v>0</v>
      </c>
      <c r="D920" s="85">
        <f t="shared" si="160"/>
        <v>0</v>
      </c>
      <c r="E920" s="448">
        <f ca="1">SUMIF(OFFSET(tongctvtdd1,0,-(COLUMN(E920)+7-(COLUMN(E920)-5)/2)),KLVT!$A920,tongctvtdd1)+SUMIF(OFFSET(tongctvtpk1,0,-(COLUMN(E920)+7-(COLUMN(E920)-5)/2)),KLVT!$A920,tongctvtpk1)</f>
        <v>0</v>
      </c>
      <c r="F920" s="449">
        <f ca="1">SUMIF(OFFSET(cttba_vlvt1_1,0,-9,-ROW(cttba_vlvt1_1)+ROW(cttba_vltb1_1)-10),KLVT!$A920,OFFSET(cttba_vlvt1_1,0,-4,-ROW(cttba_vlvt1_1)+ROW(cttba_vltb1_1)-10))</f>
        <v>0</v>
      </c>
      <c r="G920" s="451">
        <f t="shared" ca="1" si="161"/>
        <v>0</v>
      </c>
      <c r="H920" s="450">
        <f t="shared" si="152"/>
        <v>1</v>
      </c>
      <c r="I920" s="447">
        <f t="shared" ca="1" si="162"/>
        <v>0</v>
      </c>
      <c r="J920" s="447">
        <f t="shared" ca="1" si="163"/>
        <v>0</v>
      </c>
      <c r="K920" s="373">
        <f t="shared" ca="1" si="164"/>
        <v>0</v>
      </c>
    </row>
    <row r="921" spans="1:11" s="373" customFormat="1" ht="15.75" hidden="1">
      <c r="A921" s="373" t="str">
        <f>IF(AND(COUNTIF($A$5:$A$133,R_DG!A795)=0,R_DG!R795&gt;0,ISNUMBER(R_DG!R795)),R_DG!A795,"NONE")</f>
        <v>NONE</v>
      </c>
      <c r="B921" s="85">
        <f ca="1">IF(K921&gt;0,COUNTIF(K$6:K921,"&gt;0"),B920)</f>
        <v>34</v>
      </c>
      <c r="C921" s="1084">
        <f t="shared" si="159"/>
        <v>0</v>
      </c>
      <c r="D921" s="85">
        <f t="shared" si="160"/>
        <v>0</v>
      </c>
      <c r="E921" s="448">
        <f ca="1">SUMIF(OFFSET(tongctvtdd1,0,-(COLUMN(E921)+7-(COLUMN(E921)-5)/2)),KLVT!$A921,tongctvtdd1)+SUMIF(OFFSET(tongctvtpk1,0,-(COLUMN(E921)+7-(COLUMN(E921)-5)/2)),KLVT!$A921,tongctvtpk1)</f>
        <v>0</v>
      </c>
      <c r="F921" s="449">
        <f ca="1">SUMIF(OFFSET(cttba_vlvt1_1,0,-9,-ROW(cttba_vlvt1_1)+ROW(cttba_vltb1_1)-10),KLVT!$A921,OFFSET(cttba_vlvt1_1,0,-4,-ROW(cttba_vlvt1_1)+ROW(cttba_vltb1_1)-10))</f>
        <v>0</v>
      </c>
      <c r="G921" s="451">
        <f t="shared" ca="1" si="161"/>
        <v>0</v>
      </c>
      <c r="H921" s="450">
        <f t="shared" si="152"/>
        <v>1</v>
      </c>
      <c r="I921" s="447">
        <f t="shared" ca="1" si="162"/>
        <v>0</v>
      </c>
      <c r="J921" s="447">
        <f t="shared" ca="1" si="163"/>
        <v>0</v>
      </c>
      <c r="K921" s="373">
        <f t="shared" ca="1" si="164"/>
        <v>0</v>
      </c>
    </row>
    <row r="922" spans="1:11" s="373" customFormat="1" ht="15.75" hidden="1">
      <c r="A922" s="373" t="str">
        <f>IF(AND(COUNTIF($A$5:$A$133,R_DG!A796)=0,R_DG!R796&gt;0,ISNUMBER(R_DG!R796)),R_DG!A796,"NONE")</f>
        <v>NONE</v>
      </c>
      <c r="B922" s="85">
        <f ca="1">IF(K922&gt;0,COUNTIF(K$6:K922,"&gt;0"),B921)</f>
        <v>34</v>
      </c>
      <c r="C922" s="1084">
        <f t="shared" si="159"/>
        <v>0</v>
      </c>
      <c r="D922" s="85">
        <f t="shared" si="160"/>
        <v>0</v>
      </c>
      <c r="E922" s="448">
        <f ca="1">SUMIF(OFFSET(tongctvtdd1,0,-(COLUMN(E922)+7-(COLUMN(E922)-5)/2)),KLVT!$A922,tongctvtdd1)+SUMIF(OFFSET(tongctvtpk1,0,-(COLUMN(E922)+7-(COLUMN(E922)-5)/2)),KLVT!$A922,tongctvtpk1)</f>
        <v>0</v>
      </c>
      <c r="F922" s="449">
        <f ca="1">SUMIF(OFFSET(cttba_vlvt1_1,0,-9,-ROW(cttba_vlvt1_1)+ROW(cttba_vltb1_1)-10),KLVT!$A922,OFFSET(cttba_vlvt1_1,0,-4,-ROW(cttba_vlvt1_1)+ROW(cttba_vltb1_1)-10))</f>
        <v>0</v>
      </c>
      <c r="G922" s="451">
        <f t="shared" ca="1" si="161"/>
        <v>0</v>
      </c>
      <c r="H922" s="450">
        <f t="shared" si="152"/>
        <v>1</v>
      </c>
      <c r="I922" s="447">
        <f t="shared" ca="1" si="162"/>
        <v>0</v>
      </c>
      <c r="J922" s="447">
        <f t="shared" ca="1" si="163"/>
        <v>0</v>
      </c>
      <c r="K922" s="373">
        <f t="shared" ca="1" si="164"/>
        <v>0</v>
      </c>
    </row>
    <row r="923" spans="1:11" s="373" customFormat="1" ht="15.75" hidden="1">
      <c r="A923" s="373" t="str">
        <f>IF(AND(COUNTIF($A$5:$A$133,R_DG!A797)=0,R_DG!R797&gt;0,ISNUMBER(R_DG!R797)),R_DG!A797,"NONE")</f>
        <v>NONE</v>
      </c>
      <c r="B923" s="85">
        <f ca="1">IF(K923&gt;0,COUNTIF(K$6:K923,"&gt;0"),B922)</f>
        <v>34</v>
      </c>
      <c r="C923" s="1084">
        <f t="shared" si="159"/>
        <v>0</v>
      </c>
      <c r="D923" s="85">
        <f t="shared" si="160"/>
        <v>0</v>
      </c>
      <c r="E923" s="448">
        <f ca="1">SUMIF(OFFSET(tongctvtdd1,0,-(COLUMN(E923)+7-(COLUMN(E923)-5)/2)),KLVT!$A923,tongctvtdd1)+SUMIF(OFFSET(tongctvtpk1,0,-(COLUMN(E923)+7-(COLUMN(E923)-5)/2)),KLVT!$A923,tongctvtpk1)</f>
        <v>0</v>
      </c>
      <c r="F923" s="449">
        <f ca="1">SUMIF(OFFSET(cttba_vlvt1_1,0,-9,-ROW(cttba_vlvt1_1)+ROW(cttba_vltb1_1)-10),KLVT!$A923,OFFSET(cttba_vlvt1_1,0,-4,-ROW(cttba_vlvt1_1)+ROW(cttba_vltb1_1)-10))</f>
        <v>0</v>
      </c>
      <c r="G923" s="451">
        <f t="shared" ca="1" si="161"/>
        <v>0</v>
      </c>
      <c r="H923" s="450">
        <f t="shared" si="152"/>
        <v>1</v>
      </c>
      <c r="I923" s="447">
        <f t="shared" ca="1" si="162"/>
        <v>0</v>
      </c>
      <c r="J923" s="447">
        <f t="shared" ca="1" si="163"/>
        <v>0</v>
      </c>
      <c r="K923" s="373">
        <f t="shared" ca="1" si="164"/>
        <v>0</v>
      </c>
    </row>
    <row r="924" spans="1:11" s="373" customFormat="1" ht="15.75" hidden="1">
      <c r="A924" s="373" t="str">
        <f>IF(AND(COUNTIF($A$5:$A$133,R_DG!A798)=0,R_DG!R798&gt;0,ISNUMBER(R_DG!R798)),R_DG!A798,"NONE")</f>
        <v>NONE</v>
      </c>
      <c r="B924" s="85">
        <f ca="1">IF(K924&gt;0,COUNTIF(K$6:K924,"&gt;0"),B923)</f>
        <v>34</v>
      </c>
      <c r="C924" s="1084">
        <f t="shared" si="159"/>
        <v>0</v>
      </c>
      <c r="D924" s="85">
        <f t="shared" si="160"/>
        <v>0</v>
      </c>
      <c r="E924" s="448">
        <f ca="1">SUMIF(OFFSET(tongctvtdd1,0,-(COLUMN(E924)+7-(COLUMN(E924)-5)/2)),KLVT!$A924,tongctvtdd1)+SUMIF(OFFSET(tongctvtpk1,0,-(COLUMN(E924)+7-(COLUMN(E924)-5)/2)),KLVT!$A924,tongctvtpk1)</f>
        <v>0</v>
      </c>
      <c r="F924" s="449">
        <f ca="1">SUMIF(OFFSET(cttba_vlvt1_1,0,-9,-ROW(cttba_vlvt1_1)+ROW(cttba_vltb1_1)-10),KLVT!$A924,OFFSET(cttba_vlvt1_1,0,-4,-ROW(cttba_vlvt1_1)+ROW(cttba_vltb1_1)-10))</f>
        <v>0</v>
      </c>
      <c r="G924" s="451">
        <f t="shared" ca="1" si="161"/>
        <v>0</v>
      </c>
      <c r="H924" s="450">
        <f t="shared" si="152"/>
        <v>1</v>
      </c>
      <c r="I924" s="447">
        <f t="shared" ca="1" si="162"/>
        <v>0</v>
      </c>
      <c r="J924" s="447">
        <f t="shared" ca="1" si="163"/>
        <v>0</v>
      </c>
      <c r="K924" s="373">
        <f t="shared" ca="1" si="164"/>
        <v>0</v>
      </c>
    </row>
    <row r="925" spans="1:11" s="373" customFormat="1" ht="15.75" hidden="1">
      <c r="A925" s="373" t="str">
        <f>IF(AND(COUNTIF($A$5:$A$133,R_DG!A799)=0,R_DG!R799&gt;0,ISNUMBER(R_DG!R799)),R_DG!A799,"NONE")</f>
        <v>NONE</v>
      </c>
      <c r="B925" s="85">
        <f ca="1">IF(K925&gt;0,COUNTIF(K$6:K925,"&gt;0"),B924)</f>
        <v>34</v>
      </c>
      <c r="C925" s="1084">
        <f t="shared" si="159"/>
        <v>0</v>
      </c>
      <c r="D925" s="85">
        <f t="shared" si="160"/>
        <v>0</v>
      </c>
      <c r="E925" s="448">
        <f ca="1">SUMIF(OFFSET(tongctvtdd1,0,-(COLUMN(E925)+7-(COLUMN(E925)-5)/2)),KLVT!$A925,tongctvtdd1)+SUMIF(OFFSET(tongctvtpk1,0,-(COLUMN(E925)+7-(COLUMN(E925)-5)/2)),KLVT!$A925,tongctvtpk1)</f>
        <v>0</v>
      </c>
      <c r="F925" s="449">
        <f ca="1">SUMIF(OFFSET(cttba_vlvt1_1,0,-9,-ROW(cttba_vlvt1_1)+ROW(cttba_vltb1_1)-10),KLVT!$A925,OFFSET(cttba_vlvt1_1,0,-4,-ROW(cttba_vlvt1_1)+ROW(cttba_vltb1_1)-10))</f>
        <v>0</v>
      </c>
      <c r="G925" s="451">
        <f t="shared" ca="1" si="161"/>
        <v>0</v>
      </c>
      <c r="H925" s="450">
        <f t="shared" si="152"/>
        <v>1</v>
      </c>
      <c r="I925" s="447">
        <f t="shared" ca="1" si="162"/>
        <v>0</v>
      </c>
      <c r="J925" s="447">
        <f t="shared" ca="1" si="163"/>
        <v>0</v>
      </c>
      <c r="K925" s="373">
        <f t="shared" ca="1" si="164"/>
        <v>0</v>
      </c>
    </row>
    <row r="926" spans="1:11" s="373" customFormat="1" ht="15.75" hidden="1">
      <c r="A926" s="373" t="str">
        <f>IF(AND(COUNTIF($A$5:$A$133,R_DG!A800)=0,R_DG!R800&gt;0,ISNUMBER(R_DG!R800)),R_DG!A800,"NONE")</f>
        <v>NONE</v>
      </c>
      <c r="B926" s="85">
        <f ca="1">IF(K926&gt;0,COUNTIF(K$6:K926,"&gt;0"),B925)</f>
        <v>34</v>
      </c>
      <c r="C926" s="1084">
        <f t="shared" si="159"/>
        <v>0</v>
      </c>
      <c r="D926" s="85">
        <f t="shared" si="160"/>
        <v>0</v>
      </c>
      <c r="E926" s="448">
        <f ca="1">SUMIF(OFFSET(tongctvtdd1,0,-(COLUMN(E926)+7-(COLUMN(E926)-5)/2)),KLVT!$A926,tongctvtdd1)+SUMIF(OFFSET(tongctvtpk1,0,-(COLUMN(E926)+7-(COLUMN(E926)-5)/2)),KLVT!$A926,tongctvtpk1)</f>
        <v>0</v>
      </c>
      <c r="F926" s="449">
        <f ca="1">SUMIF(OFFSET(cttba_vlvt1_1,0,-9,-ROW(cttba_vlvt1_1)+ROW(cttba_vltb1_1)-10),KLVT!$A926,OFFSET(cttba_vlvt1_1,0,-4,-ROW(cttba_vlvt1_1)+ROW(cttba_vltb1_1)-10))</f>
        <v>0</v>
      </c>
      <c r="G926" s="451">
        <f t="shared" ca="1" si="161"/>
        <v>0</v>
      </c>
      <c r="H926" s="450">
        <f t="shared" si="152"/>
        <v>1</v>
      </c>
      <c r="I926" s="447">
        <f t="shared" ca="1" si="162"/>
        <v>0</v>
      </c>
      <c r="J926" s="447">
        <f t="shared" ca="1" si="163"/>
        <v>0</v>
      </c>
      <c r="K926" s="373">
        <f t="shared" ca="1" si="164"/>
        <v>0</v>
      </c>
    </row>
    <row r="927" spans="1:11" s="373" customFormat="1" ht="15.75" hidden="1">
      <c r="A927" s="373" t="str">
        <f>IF(AND(COUNTIF($A$5:$A$133,R_DG!A801)=0,R_DG!R801&gt;0,ISNUMBER(R_DG!R801)),R_DG!A801,"NONE")</f>
        <v>NONE</v>
      </c>
      <c r="B927" s="85">
        <f ca="1">IF(K927&gt;0,COUNTIF(K$6:K927,"&gt;0"),B926)</f>
        <v>34</v>
      </c>
      <c r="C927" s="1084">
        <f t="shared" si="159"/>
        <v>0</v>
      </c>
      <c r="D927" s="85">
        <f t="shared" si="160"/>
        <v>0</v>
      </c>
      <c r="E927" s="448">
        <f ca="1">SUMIF(OFFSET(tongctvtdd1,0,-(COLUMN(E927)+7-(COLUMN(E927)-5)/2)),KLVT!$A927,tongctvtdd1)+SUMIF(OFFSET(tongctvtpk1,0,-(COLUMN(E927)+7-(COLUMN(E927)-5)/2)),KLVT!$A927,tongctvtpk1)</f>
        <v>0</v>
      </c>
      <c r="F927" s="449">
        <f ca="1">SUMIF(OFFSET(cttba_vlvt1_1,0,-9,-ROW(cttba_vlvt1_1)+ROW(cttba_vltb1_1)-10),KLVT!$A927,OFFSET(cttba_vlvt1_1,0,-4,-ROW(cttba_vlvt1_1)+ROW(cttba_vltb1_1)-10))</f>
        <v>0</v>
      </c>
      <c r="G927" s="451">
        <f t="shared" ca="1" si="161"/>
        <v>0</v>
      </c>
      <c r="H927" s="450">
        <f t="shared" si="152"/>
        <v>1</v>
      </c>
      <c r="I927" s="447">
        <f t="shared" ca="1" si="162"/>
        <v>0</v>
      </c>
      <c r="J927" s="447">
        <f t="shared" ca="1" si="163"/>
        <v>0</v>
      </c>
      <c r="K927" s="373">
        <f t="shared" ca="1" si="164"/>
        <v>0</v>
      </c>
    </row>
    <row r="928" spans="1:11" s="373" customFormat="1" ht="15.75" hidden="1">
      <c r="A928" s="373" t="str">
        <f>IF(AND(COUNTIF($A$5:$A$133,R_DG!A802)=0,R_DG!R802&gt;0,ISNUMBER(R_DG!R802)),R_DG!A802,"NONE")</f>
        <v>NONE</v>
      </c>
      <c r="B928" s="85">
        <f ca="1">IF(K928&gt;0,COUNTIF(K$6:K928,"&gt;0"),B927)</f>
        <v>34</v>
      </c>
      <c r="C928" s="1084">
        <f t="shared" si="159"/>
        <v>0</v>
      </c>
      <c r="D928" s="85">
        <f t="shared" si="160"/>
        <v>0</v>
      </c>
      <c r="E928" s="448">
        <f ca="1">SUMIF(OFFSET(tongctvtdd1,0,-(COLUMN(E928)+7-(COLUMN(E928)-5)/2)),KLVT!$A928,tongctvtdd1)+SUMIF(OFFSET(tongctvtpk1,0,-(COLUMN(E928)+7-(COLUMN(E928)-5)/2)),KLVT!$A928,tongctvtpk1)</f>
        <v>0</v>
      </c>
      <c r="F928" s="449">
        <f ca="1">SUMIF(OFFSET(cttba_vlvt1_1,0,-9,-ROW(cttba_vlvt1_1)+ROW(cttba_vltb1_1)-10),KLVT!$A928,OFFSET(cttba_vlvt1_1,0,-4,-ROW(cttba_vlvt1_1)+ROW(cttba_vltb1_1)-10))</f>
        <v>0</v>
      </c>
      <c r="G928" s="451">
        <f t="shared" ca="1" si="161"/>
        <v>0</v>
      </c>
      <c r="H928" s="450">
        <f t="shared" si="152"/>
        <v>1</v>
      </c>
      <c r="I928" s="447">
        <f t="shared" ca="1" si="162"/>
        <v>0</v>
      </c>
      <c r="J928" s="447">
        <f t="shared" ca="1" si="163"/>
        <v>0</v>
      </c>
      <c r="K928" s="373">
        <f t="shared" ca="1" si="164"/>
        <v>0</v>
      </c>
    </row>
    <row r="929" spans="1:11" s="373" customFormat="1" ht="15.75" hidden="1">
      <c r="A929" s="373" t="str">
        <f>IF(AND(COUNTIF($A$5:$A$133,R_DG!A803)=0,R_DG!R803&gt;0,ISNUMBER(R_DG!R803)),R_DG!A803,"NONE")</f>
        <v>NONE</v>
      </c>
      <c r="B929" s="85">
        <f ca="1">IF(K929&gt;0,COUNTIF(K$6:K929,"&gt;0"),B928)</f>
        <v>34</v>
      </c>
      <c r="C929" s="1084">
        <f t="shared" si="159"/>
        <v>0</v>
      </c>
      <c r="D929" s="85">
        <f t="shared" si="160"/>
        <v>0</v>
      </c>
      <c r="E929" s="448">
        <f ca="1">SUMIF(OFFSET(tongctvtdd1,0,-(COLUMN(E929)+7-(COLUMN(E929)-5)/2)),KLVT!$A929,tongctvtdd1)+SUMIF(OFFSET(tongctvtpk1,0,-(COLUMN(E929)+7-(COLUMN(E929)-5)/2)),KLVT!$A929,tongctvtpk1)</f>
        <v>0</v>
      </c>
      <c r="F929" s="449">
        <f ca="1">SUMIF(OFFSET(cttba_vlvt1_1,0,-9,-ROW(cttba_vlvt1_1)+ROW(cttba_vltb1_1)-10),KLVT!$A929,OFFSET(cttba_vlvt1_1,0,-4,-ROW(cttba_vlvt1_1)+ROW(cttba_vltb1_1)-10))</f>
        <v>0</v>
      </c>
      <c r="G929" s="451">
        <f t="shared" ca="1" si="161"/>
        <v>0</v>
      </c>
      <c r="H929" s="450">
        <f t="shared" si="152"/>
        <v>1</v>
      </c>
      <c r="I929" s="447">
        <f t="shared" ca="1" si="162"/>
        <v>0</v>
      </c>
      <c r="J929" s="447">
        <f t="shared" ca="1" si="163"/>
        <v>0</v>
      </c>
      <c r="K929" s="373">
        <f t="shared" ca="1" si="164"/>
        <v>0</v>
      </c>
    </row>
    <row r="930" spans="1:11" s="373" customFormat="1" ht="15.75" hidden="1">
      <c r="A930" s="373" t="str">
        <f>IF(AND(COUNTIF($A$5:$A$133,R_DG!A804)=0,R_DG!R804&gt;0,ISNUMBER(R_DG!R804)),R_DG!A804,"NONE")</f>
        <v>NONE</v>
      </c>
      <c r="B930" s="85">
        <f ca="1">IF(K930&gt;0,COUNTIF(K$6:K930,"&gt;0"),B929)</f>
        <v>34</v>
      </c>
      <c r="C930" s="1084">
        <f t="shared" si="159"/>
        <v>0</v>
      </c>
      <c r="D930" s="85">
        <f t="shared" si="160"/>
        <v>0</v>
      </c>
      <c r="E930" s="448">
        <f ca="1">SUMIF(OFFSET(tongctvtdd1,0,-(COLUMN(E930)+7-(COLUMN(E930)-5)/2)),KLVT!$A930,tongctvtdd1)+SUMIF(OFFSET(tongctvtpk1,0,-(COLUMN(E930)+7-(COLUMN(E930)-5)/2)),KLVT!$A930,tongctvtpk1)</f>
        <v>0</v>
      </c>
      <c r="F930" s="449">
        <f ca="1">SUMIF(OFFSET(cttba_vlvt1_1,0,-9,-ROW(cttba_vlvt1_1)+ROW(cttba_vltb1_1)-10),KLVT!$A930,OFFSET(cttba_vlvt1_1,0,-4,-ROW(cttba_vlvt1_1)+ROW(cttba_vltb1_1)-10))</f>
        <v>0</v>
      </c>
      <c r="G930" s="451">
        <f t="shared" ca="1" si="161"/>
        <v>0</v>
      </c>
      <c r="H930" s="450">
        <f t="shared" si="152"/>
        <v>1</v>
      </c>
      <c r="I930" s="447">
        <f t="shared" ca="1" si="162"/>
        <v>0</v>
      </c>
      <c r="J930" s="447">
        <f t="shared" ca="1" si="163"/>
        <v>0</v>
      </c>
      <c r="K930" s="373">
        <f t="shared" ca="1" si="164"/>
        <v>0</v>
      </c>
    </row>
    <row r="931" spans="1:11" s="373" customFormat="1" ht="15.75" hidden="1">
      <c r="A931" s="373" t="str">
        <f>IF(AND(COUNTIF($A$5:$A$133,R_DG!A805)=0,R_DG!R805&gt;0,ISNUMBER(R_DG!R805)),R_DG!A805,"NONE")</f>
        <v>NONE</v>
      </c>
      <c r="B931" s="85">
        <f ca="1">IF(K931&gt;0,COUNTIF(K$6:K931,"&gt;0"),B930)</f>
        <v>34</v>
      </c>
      <c r="C931" s="1084">
        <f t="shared" si="159"/>
        <v>0</v>
      </c>
      <c r="D931" s="85">
        <f t="shared" si="160"/>
        <v>0</v>
      </c>
      <c r="E931" s="448">
        <f ca="1">SUMIF(OFFSET(tongctvtdd1,0,-(COLUMN(E931)+7-(COLUMN(E931)-5)/2)),KLVT!$A931,tongctvtdd1)+SUMIF(OFFSET(tongctvtpk1,0,-(COLUMN(E931)+7-(COLUMN(E931)-5)/2)),KLVT!$A931,tongctvtpk1)</f>
        <v>0</v>
      </c>
      <c r="F931" s="449">
        <f ca="1">SUMIF(OFFSET(cttba_vlvt1_1,0,-9,-ROW(cttba_vlvt1_1)+ROW(cttba_vltb1_1)-10),KLVT!$A931,OFFSET(cttba_vlvt1_1,0,-4,-ROW(cttba_vlvt1_1)+ROW(cttba_vltb1_1)-10))</f>
        <v>0</v>
      </c>
      <c r="G931" s="451">
        <f t="shared" ca="1" si="161"/>
        <v>0</v>
      </c>
      <c r="H931" s="450">
        <f t="shared" si="152"/>
        <v>1</v>
      </c>
      <c r="I931" s="447">
        <f t="shared" ca="1" si="162"/>
        <v>0</v>
      </c>
      <c r="J931" s="447">
        <f t="shared" ca="1" si="163"/>
        <v>0</v>
      </c>
      <c r="K931" s="373">
        <f t="shared" ca="1" si="164"/>
        <v>0</v>
      </c>
    </row>
    <row r="932" spans="1:11" s="373" customFormat="1" ht="15.75" hidden="1">
      <c r="A932" s="373" t="str">
        <f>IF(AND(COUNTIF($A$5:$A$133,R_DG!A806)=0,R_DG!R806&gt;0,ISNUMBER(R_DG!R806)),R_DG!A806,"NONE")</f>
        <v>NONE</v>
      </c>
      <c r="B932" s="85">
        <f ca="1">IF(K932&gt;0,COUNTIF(K$6:K932,"&gt;0"),B931)</f>
        <v>34</v>
      </c>
      <c r="C932" s="1084">
        <f t="shared" si="159"/>
        <v>0</v>
      </c>
      <c r="D932" s="85">
        <f t="shared" si="160"/>
        <v>0</v>
      </c>
      <c r="E932" s="448">
        <f ca="1">SUMIF(OFFSET(tongctvtdd1,0,-(COLUMN(E932)+7-(COLUMN(E932)-5)/2)),KLVT!$A932,tongctvtdd1)+SUMIF(OFFSET(tongctvtpk1,0,-(COLUMN(E932)+7-(COLUMN(E932)-5)/2)),KLVT!$A932,tongctvtpk1)</f>
        <v>0</v>
      </c>
      <c r="F932" s="449">
        <f ca="1">SUMIF(OFFSET(cttba_vlvt1_1,0,-9,-ROW(cttba_vlvt1_1)+ROW(cttba_vltb1_1)-10),KLVT!$A932,OFFSET(cttba_vlvt1_1,0,-4,-ROW(cttba_vlvt1_1)+ROW(cttba_vltb1_1)-10))</f>
        <v>0</v>
      </c>
      <c r="G932" s="451">
        <f t="shared" ca="1" si="161"/>
        <v>0</v>
      </c>
      <c r="H932" s="450">
        <f t="shared" si="152"/>
        <v>1</v>
      </c>
      <c r="I932" s="447">
        <f t="shared" ca="1" si="162"/>
        <v>0</v>
      </c>
      <c r="J932" s="447">
        <f t="shared" ca="1" si="163"/>
        <v>0</v>
      </c>
      <c r="K932" s="373">
        <f t="shared" ca="1" si="164"/>
        <v>0</v>
      </c>
    </row>
    <row r="933" spans="1:11" s="373" customFormat="1" ht="15.75" hidden="1">
      <c r="A933" s="373" t="str">
        <f>IF(AND(COUNTIF($A$5:$A$133,R_DG!A807)=0,R_DG!R807&gt;0,ISNUMBER(R_DG!R807)),R_DG!A807,"NONE")</f>
        <v>NONE</v>
      </c>
      <c r="B933" s="85">
        <f ca="1">IF(K933&gt;0,COUNTIF(K$6:K933,"&gt;0"),B932)</f>
        <v>34</v>
      </c>
      <c r="C933" s="1084">
        <f t="shared" si="159"/>
        <v>0</v>
      </c>
      <c r="D933" s="85">
        <f t="shared" si="160"/>
        <v>0</v>
      </c>
      <c r="E933" s="448">
        <f ca="1">SUMIF(OFFSET(tongctvtdd1,0,-(COLUMN(E933)+7-(COLUMN(E933)-5)/2)),KLVT!$A933,tongctvtdd1)+SUMIF(OFFSET(tongctvtpk1,0,-(COLUMN(E933)+7-(COLUMN(E933)-5)/2)),KLVT!$A933,tongctvtpk1)</f>
        <v>0</v>
      </c>
      <c r="F933" s="449">
        <f ca="1">SUMIF(OFFSET(cttba_vlvt1_1,0,-9,-ROW(cttba_vlvt1_1)+ROW(cttba_vltb1_1)-10),KLVT!$A933,OFFSET(cttba_vlvt1_1,0,-4,-ROW(cttba_vlvt1_1)+ROW(cttba_vltb1_1)-10))</f>
        <v>0</v>
      </c>
      <c r="G933" s="451">
        <f t="shared" ca="1" si="161"/>
        <v>0</v>
      </c>
      <c r="H933" s="450">
        <f t="shared" si="152"/>
        <v>1</v>
      </c>
      <c r="I933" s="447">
        <f t="shared" ca="1" si="162"/>
        <v>0</v>
      </c>
      <c r="J933" s="447">
        <f t="shared" ca="1" si="163"/>
        <v>0</v>
      </c>
      <c r="K933" s="373">
        <f t="shared" ca="1" si="164"/>
        <v>0</v>
      </c>
    </row>
    <row r="934" spans="1:11" s="373" customFormat="1" ht="15.75" hidden="1">
      <c r="A934" s="373" t="str">
        <f>IF(AND(COUNTIF($A$5:$A$133,R_DG!A808)=0,R_DG!R808&gt;0,ISNUMBER(R_DG!R808)),R_DG!A808,"NONE")</f>
        <v>NONE</v>
      </c>
      <c r="B934" s="85">
        <f ca="1">IF(K934&gt;0,COUNTIF(K$6:K934,"&gt;0"),B933)</f>
        <v>34</v>
      </c>
      <c r="C934" s="1084">
        <f t="shared" si="159"/>
        <v>0</v>
      </c>
      <c r="D934" s="85">
        <f t="shared" si="160"/>
        <v>0</v>
      </c>
      <c r="E934" s="448">
        <f ca="1">SUMIF(OFFSET(tongctvtdd1,0,-(COLUMN(E934)+7-(COLUMN(E934)-5)/2)),KLVT!$A934,tongctvtdd1)+SUMIF(OFFSET(tongctvtpk1,0,-(COLUMN(E934)+7-(COLUMN(E934)-5)/2)),KLVT!$A934,tongctvtpk1)</f>
        <v>0</v>
      </c>
      <c r="F934" s="449">
        <f ca="1">SUMIF(OFFSET(cttba_vlvt1_1,0,-9,-ROW(cttba_vlvt1_1)+ROW(cttba_vltb1_1)-10),KLVT!$A934,OFFSET(cttba_vlvt1_1,0,-4,-ROW(cttba_vlvt1_1)+ROW(cttba_vltb1_1)-10))</f>
        <v>0</v>
      </c>
      <c r="G934" s="451">
        <f t="shared" ca="1" si="161"/>
        <v>0</v>
      </c>
      <c r="H934" s="450">
        <f t="shared" si="152"/>
        <v>1</v>
      </c>
      <c r="I934" s="447">
        <f t="shared" ca="1" si="162"/>
        <v>0</v>
      </c>
      <c r="J934" s="447">
        <f t="shared" ca="1" si="163"/>
        <v>0</v>
      </c>
      <c r="K934" s="373">
        <f t="shared" ca="1" si="164"/>
        <v>0</v>
      </c>
    </row>
    <row r="935" spans="1:11" s="373" customFormat="1" ht="15.75" hidden="1">
      <c r="A935" s="373" t="str">
        <f>IF(AND(COUNTIF($A$5:$A$133,R_DG!A809)=0,R_DG!R809&gt;0,ISNUMBER(R_DG!R809)),R_DG!A809,"NONE")</f>
        <v>NONE</v>
      </c>
      <c r="B935" s="85">
        <f ca="1">IF(K935&gt;0,COUNTIF(K$6:K935,"&gt;0"),B934)</f>
        <v>34</v>
      </c>
      <c r="C935" s="1084">
        <f t="shared" si="159"/>
        <v>0</v>
      </c>
      <c r="D935" s="85">
        <f t="shared" si="160"/>
        <v>0</v>
      </c>
      <c r="E935" s="448">
        <f ca="1">SUMIF(OFFSET(tongctvtdd1,0,-(COLUMN(E935)+7-(COLUMN(E935)-5)/2)),KLVT!$A935,tongctvtdd1)+SUMIF(OFFSET(tongctvtpk1,0,-(COLUMN(E935)+7-(COLUMN(E935)-5)/2)),KLVT!$A935,tongctvtpk1)</f>
        <v>0</v>
      </c>
      <c r="F935" s="449">
        <f ca="1">SUMIF(OFFSET(cttba_vlvt1_1,0,-9,-ROW(cttba_vlvt1_1)+ROW(cttba_vltb1_1)-10),KLVT!$A935,OFFSET(cttba_vlvt1_1,0,-4,-ROW(cttba_vlvt1_1)+ROW(cttba_vltb1_1)-10))</f>
        <v>0</v>
      </c>
      <c r="G935" s="451">
        <f t="shared" ca="1" si="161"/>
        <v>0</v>
      </c>
      <c r="H935" s="450">
        <f t="shared" si="152"/>
        <v>1</v>
      </c>
      <c r="I935" s="447">
        <f t="shared" ca="1" si="162"/>
        <v>0</v>
      </c>
      <c r="J935" s="447">
        <f t="shared" ca="1" si="163"/>
        <v>0</v>
      </c>
      <c r="K935" s="373">
        <f t="shared" ca="1" si="164"/>
        <v>0</v>
      </c>
    </row>
    <row r="936" spans="1:11" s="373" customFormat="1" ht="15.75" hidden="1">
      <c r="A936" s="373" t="str">
        <f>IF(AND(COUNTIF($A$5:$A$133,R_DG!A810)=0,R_DG!R810&gt;0,ISNUMBER(R_DG!R810)),R_DG!A810,"NONE")</f>
        <v>NONE</v>
      </c>
      <c r="B936" s="85">
        <f ca="1">IF(K936&gt;0,COUNTIF(K$6:K936,"&gt;0"),B935)</f>
        <v>34</v>
      </c>
      <c r="C936" s="1084">
        <f t="shared" si="159"/>
        <v>0</v>
      </c>
      <c r="D936" s="85">
        <f t="shared" si="160"/>
        <v>0</v>
      </c>
      <c r="E936" s="448">
        <f ca="1">SUMIF(OFFSET(tongctvtdd1,0,-(COLUMN(E936)+7-(COLUMN(E936)-5)/2)),KLVT!$A936,tongctvtdd1)+SUMIF(OFFSET(tongctvtpk1,0,-(COLUMN(E936)+7-(COLUMN(E936)-5)/2)),KLVT!$A936,tongctvtpk1)</f>
        <v>0</v>
      </c>
      <c r="F936" s="449">
        <f ca="1">SUMIF(OFFSET(cttba_vlvt1_1,0,-9,-ROW(cttba_vlvt1_1)+ROW(cttba_vltb1_1)-10),KLVT!$A936,OFFSET(cttba_vlvt1_1,0,-4,-ROW(cttba_vlvt1_1)+ROW(cttba_vltb1_1)-10))</f>
        <v>0</v>
      </c>
      <c r="G936" s="451">
        <f t="shared" ca="1" si="161"/>
        <v>0</v>
      </c>
      <c r="H936" s="450">
        <f t="shared" si="152"/>
        <v>1</v>
      </c>
      <c r="I936" s="447">
        <f t="shared" ca="1" si="162"/>
        <v>0</v>
      </c>
      <c r="J936" s="447">
        <f t="shared" ca="1" si="163"/>
        <v>0</v>
      </c>
      <c r="K936" s="373">
        <f t="shared" ca="1" si="164"/>
        <v>0</v>
      </c>
    </row>
    <row r="937" spans="1:11" s="373" customFormat="1" ht="15.75" hidden="1">
      <c r="A937" s="373" t="str">
        <f>IF(AND(COUNTIF($A$5:$A$133,R_DG!A811)=0,R_DG!R811&gt;0,ISNUMBER(R_DG!R811)),R_DG!A811,"NONE")</f>
        <v>NONE</v>
      </c>
      <c r="B937" s="85">
        <f ca="1">IF(K937&gt;0,COUNTIF(K$6:K937,"&gt;0"),B936)</f>
        <v>34</v>
      </c>
      <c r="C937" s="1084">
        <f t="shared" si="159"/>
        <v>0</v>
      </c>
      <c r="D937" s="85">
        <f t="shared" si="160"/>
        <v>0</v>
      </c>
      <c r="E937" s="448">
        <f ca="1">SUMIF(OFFSET(tongctvtdd1,0,-(COLUMN(E937)+7-(COLUMN(E937)-5)/2)),KLVT!$A937,tongctvtdd1)+SUMIF(OFFSET(tongctvtpk1,0,-(COLUMN(E937)+7-(COLUMN(E937)-5)/2)),KLVT!$A937,tongctvtpk1)</f>
        <v>0</v>
      </c>
      <c r="F937" s="449">
        <f ca="1">SUMIF(OFFSET(cttba_vlvt1_1,0,-9,-ROW(cttba_vlvt1_1)+ROW(cttba_vltb1_1)-10),KLVT!$A937,OFFSET(cttba_vlvt1_1,0,-4,-ROW(cttba_vlvt1_1)+ROW(cttba_vltb1_1)-10))</f>
        <v>0</v>
      </c>
      <c r="G937" s="451">
        <f t="shared" ca="1" si="161"/>
        <v>0</v>
      </c>
      <c r="H937" s="450">
        <f t="shared" si="152"/>
        <v>1</v>
      </c>
      <c r="I937" s="447">
        <f t="shared" ca="1" si="162"/>
        <v>0</v>
      </c>
      <c r="J937" s="447">
        <f t="shared" ca="1" si="163"/>
        <v>0</v>
      </c>
      <c r="K937" s="373">
        <f t="shared" ca="1" si="164"/>
        <v>0</v>
      </c>
    </row>
    <row r="938" spans="1:11" s="373" customFormat="1" ht="15.75" hidden="1">
      <c r="A938" s="373" t="str">
        <f>IF(AND(COUNTIF($A$5:$A$133,R_DG!A812)=0,R_DG!R812&gt;0,ISNUMBER(R_DG!R812)),R_DG!A812,"NONE")</f>
        <v>NONE</v>
      </c>
      <c r="B938" s="85">
        <f ca="1">IF(K938&gt;0,COUNTIF(K$6:K938,"&gt;0"),B937)</f>
        <v>34</v>
      </c>
      <c r="C938" s="1084">
        <f t="shared" si="159"/>
        <v>0</v>
      </c>
      <c r="D938" s="85">
        <f t="shared" si="160"/>
        <v>0</v>
      </c>
      <c r="E938" s="448">
        <f ca="1">SUMIF(OFFSET(tongctvtdd1,0,-(COLUMN(E938)+7-(COLUMN(E938)-5)/2)),KLVT!$A938,tongctvtdd1)+SUMIF(OFFSET(tongctvtpk1,0,-(COLUMN(E938)+7-(COLUMN(E938)-5)/2)),KLVT!$A938,tongctvtpk1)</f>
        <v>0</v>
      </c>
      <c r="F938" s="449">
        <f ca="1">SUMIF(OFFSET(cttba_vlvt1_1,0,-9,-ROW(cttba_vlvt1_1)+ROW(cttba_vltb1_1)-10),KLVT!$A938,OFFSET(cttba_vlvt1_1,0,-4,-ROW(cttba_vlvt1_1)+ROW(cttba_vltb1_1)-10))</f>
        <v>0</v>
      </c>
      <c r="G938" s="451">
        <f t="shared" ca="1" si="161"/>
        <v>0</v>
      </c>
      <c r="H938" s="450">
        <f t="shared" si="152"/>
        <v>1</v>
      </c>
      <c r="I938" s="447">
        <f t="shared" ca="1" si="162"/>
        <v>0</v>
      </c>
      <c r="J938" s="447">
        <f t="shared" ca="1" si="163"/>
        <v>0</v>
      </c>
      <c r="K938" s="373">
        <f t="shared" ca="1" si="164"/>
        <v>0</v>
      </c>
    </row>
    <row r="939" spans="1:11" s="373" customFormat="1" ht="15.75" hidden="1">
      <c r="A939" s="373" t="str">
        <f>IF(AND(COUNTIF($A$5:$A$133,R_DG!A813)=0,R_DG!R813&gt;0,ISNUMBER(R_DG!R813)),R_DG!A813,"NONE")</f>
        <v>NONE</v>
      </c>
      <c r="B939" s="85">
        <f ca="1">IF(K939&gt;0,COUNTIF(K$6:K939,"&gt;0"),B938)</f>
        <v>34</v>
      </c>
      <c r="C939" s="1084">
        <f t="shared" si="159"/>
        <v>0</v>
      </c>
      <c r="D939" s="85">
        <f t="shared" si="160"/>
        <v>0</v>
      </c>
      <c r="E939" s="448">
        <f ca="1">SUMIF(OFFSET(tongctvtdd1,0,-(COLUMN(E939)+7-(COLUMN(E939)-5)/2)),KLVT!$A939,tongctvtdd1)+SUMIF(OFFSET(tongctvtpk1,0,-(COLUMN(E939)+7-(COLUMN(E939)-5)/2)),KLVT!$A939,tongctvtpk1)</f>
        <v>0</v>
      </c>
      <c r="F939" s="449">
        <f ca="1">SUMIF(OFFSET(cttba_vlvt1_1,0,-9,-ROW(cttba_vlvt1_1)+ROW(cttba_vltb1_1)-10),KLVT!$A939,OFFSET(cttba_vlvt1_1,0,-4,-ROW(cttba_vlvt1_1)+ROW(cttba_vltb1_1)-10))</f>
        <v>0</v>
      </c>
      <c r="G939" s="451">
        <f t="shared" ca="1" si="161"/>
        <v>0</v>
      </c>
      <c r="H939" s="450">
        <f t="shared" si="152"/>
        <v>1</v>
      </c>
      <c r="I939" s="447">
        <f t="shared" ca="1" si="162"/>
        <v>0</v>
      </c>
      <c r="J939" s="447">
        <f t="shared" ca="1" si="163"/>
        <v>0</v>
      </c>
      <c r="K939" s="373">
        <f t="shared" ca="1" si="164"/>
        <v>0</v>
      </c>
    </row>
    <row r="940" spans="1:11" s="373" customFormat="1" ht="15.75" hidden="1">
      <c r="A940" s="373" t="str">
        <f>IF(AND(COUNTIF($A$5:$A$133,R_DG!A814)=0,R_DG!R814&gt;0,ISNUMBER(R_DG!R814)),R_DG!A814,"NONE")</f>
        <v>NONE</v>
      </c>
      <c r="B940" s="85">
        <f ca="1">IF(K940&gt;0,COUNTIF(K$6:K940,"&gt;0"),B939)</f>
        <v>34</v>
      </c>
      <c r="C940" s="1084">
        <f t="shared" si="159"/>
        <v>0</v>
      </c>
      <c r="D940" s="85">
        <f t="shared" si="160"/>
        <v>0</v>
      </c>
      <c r="E940" s="448">
        <f ca="1">SUMIF(OFFSET(tongctvtdd1,0,-(COLUMN(E940)+7-(COLUMN(E940)-5)/2)),KLVT!$A940,tongctvtdd1)+SUMIF(OFFSET(tongctvtpk1,0,-(COLUMN(E940)+7-(COLUMN(E940)-5)/2)),KLVT!$A940,tongctvtpk1)</f>
        <v>0</v>
      </c>
      <c r="F940" s="449">
        <f ca="1">SUMIF(OFFSET(cttba_vlvt1_1,0,-9,-ROW(cttba_vlvt1_1)+ROW(cttba_vltb1_1)-10),KLVT!$A940,OFFSET(cttba_vlvt1_1,0,-4,-ROW(cttba_vlvt1_1)+ROW(cttba_vltb1_1)-10))</f>
        <v>0</v>
      </c>
      <c r="G940" s="451">
        <f t="shared" ca="1" si="161"/>
        <v>0</v>
      </c>
      <c r="H940" s="450">
        <f t="shared" si="152"/>
        <v>1</v>
      </c>
      <c r="I940" s="447">
        <f t="shared" ca="1" si="162"/>
        <v>0</v>
      </c>
      <c r="J940" s="447">
        <f t="shared" ca="1" si="163"/>
        <v>0</v>
      </c>
      <c r="K940" s="373">
        <f t="shared" ca="1" si="164"/>
        <v>0</v>
      </c>
    </row>
    <row r="941" spans="1:11" s="373" customFormat="1" ht="15.75" hidden="1">
      <c r="A941" s="373" t="str">
        <f>IF(AND(COUNTIF($A$5:$A$133,R_DG!A815)=0,R_DG!R815&gt;0,ISNUMBER(R_DG!R815)),R_DG!A815,"NONE")</f>
        <v>NONE</v>
      </c>
      <c r="B941" s="85">
        <f ca="1">IF(K941&gt;0,COUNTIF(K$6:K941,"&gt;0"),B940)</f>
        <v>34</v>
      </c>
      <c r="C941" s="1084">
        <f t="shared" si="159"/>
        <v>0</v>
      </c>
      <c r="D941" s="85">
        <f t="shared" si="160"/>
        <v>0</v>
      </c>
      <c r="E941" s="448">
        <f ca="1">SUMIF(OFFSET(tongctvtdd1,0,-(COLUMN(E941)+7-(COLUMN(E941)-5)/2)),KLVT!$A941,tongctvtdd1)+SUMIF(OFFSET(tongctvtpk1,0,-(COLUMN(E941)+7-(COLUMN(E941)-5)/2)),KLVT!$A941,tongctvtpk1)</f>
        <v>0</v>
      </c>
      <c r="F941" s="449">
        <f ca="1">SUMIF(OFFSET(cttba_vlvt1_1,0,-9,-ROW(cttba_vlvt1_1)+ROW(cttba_vltb1_1)-10),KLVT!$A941,OFFSET(cttba_vlvt1_1,0,-4,-ROW(cttba_vlvt1_1)+ROW(cttba_vltb1_1)-10))</f>
        <v>0</v>
      </c>
      <c r="G941" s="451">
        <f t="shared" ca="1" si="161"/>
        <v>0</v>
      </c>
      <c r="H941" s="450">
        <f t="shared" si="152"/>
        <v>1</v>
      </c>
      <c r="I941" s="447">
        <f t="shared" ca="1" si="162"/>
        <v>0</v>
      </c>
      <c r="J941" s="447">
        <f t="shared" ca="1" si="163"/>
        <v>0</v>
      </c>
      <c r="K941" s="373">
        <f t="shared" ca="1" si="164"/>
        <v>0</v>
      </c>
    </row>
    <row r="942" spans="1:11" s="373" customFormat="1" ht="15.75" hidden="1">
      <c r="A942" s="373" t="str">
        <f>IF(AND(COUNTIF($A$5:$A$133,R_DG!A816)=0,R_DG!R816&gt;0,ISNUMBER(R_DG!R816)),R_DG!A816,"NONE")</f>
        <v>NONE</v>
      </c>
      <c r="B942" s="85">
        <f ca="1">IF(K942&gt;0,COUNTIF(K$6:K942,"&gt;0"),B941)</f>
        <v>34</v>
      </c>
      <c r="C942" s="1084">
        <f t="shared" si="159"/>
        <v>0</v>
      </c>
      <c r="D942" s="85">
        <f t="shared" si="160"/>
        <v>0</v>
      </c>
      <c r="E942" s="448">
        <f ca="1">SUMIF(OFFSET(tongctvtdd1,0,-(COLUMN(E942)+7-(COLUMN(E942)-5)/2)),KLVT!$A942,tongctvtdd1)+SUMIF(OFFSET(tongctvtpk1,0,-(COLUMN(E942)+7-(COLUMN(E942)-5)/2)),KLVT!$A942,tongctvtpk1)</f>
        <v>0</v>
      </c>
      <c r="F942" s="449">
        <f ca="1">SUMIF(OFFSET(cttba_vlvt1_1,0,-9,-ROW(cttba_vlvt1_1)+ROW(cttba_vltb1_1)-10),KLVT!$A942,OFFSET(cttba_vlvt1_1,0,-4,-ROW(cttba_vlvt1_1)+ROW(cttba_vltb1_1)-10))</f>
        <v>0</v>
      </c>
      <c r="G942" s="451">
        <f t="shared" ca="1" si="161"/>
        <v>0</v>
      </c>
      <c r="H942" s="450">
        <f t="shared" si="152"/>
        <v>1</v>
      </c>
      <c r="I942" s="447">
        <f t="shared" ca="1" si="162"/>
        <v>0</v>
      </c>
      <c r="J942" s="447">
        <f t="shared" ca="1" si="163"/>
        <v>0</v>
      </c>
      <c r="K942" s="373">
        <f t="shared" ca="1" si="164"/>
        <v>0</v>
      </c>
    </row>
    <row r="943" spans="1:11" s="373" customFormat="1" ht="15.75" hidden="1">
      <c r="A943" s="373" t="str">
        <f>IF(AND(COUNTIF($A$5:$A$133,R_DG!A817)=0,R_DG!R817&gt;0,ISNUMBER(R_DG!R817)),R_DG!A817,"NONE")</f>
        <v>NONE</v>
      </c>
      <c r="B943" s="85">
        <f ca="1">IF(K943&gt;0,COUNTIF(K$6:K943,"&gt;0"),B942)</f>
        <v>34</v>
      </c>
      <c r="C943" s="1084">
        <f t="shared" si="159"/>
        <v>0</v>
      </c>
      <c r="D943" s="85">
        <f t="shared" si="160"/>
        <v>0</v>
      </c>
      <c r="E943" s="448">
        <f ca="1">SUMIF(OFFSET(tongctvtdd1,0,-(COLUMN(E943)+7-(COLUMN(E943)-5)/2)),KLVT!$A943,tongctvtdd1)+SUMIF(OFFSET(tongctvtpk1,0,-(COLUMN(E943)+7-(COLUMN(E943)-5)/2)),KLVT!$A943,tongctvtpk1)</f>
        <v>0</v>
      </c>
      <c r="F943" s="449">
        <f ca="1">SUMIF(OFFSET(cttba_vlvt1_1,0,-9,-ROW(cttba_vlvt1_1)+ROW(cttba_vltb1_1)-10),KLVT!$A943,OFFSET(cttba_vlvt1_1,0,-4,-ROW(cttba_vlvt1_1)+ROW(cttba_vltb1_1)-10))</f>
        <v>0</v>
      </c>
      <c r="G943" s="451">
        <f t="shared" ca="1" si="161"/>
        <v>0</v>
      </c>
      <c r="H943" s="450">
        <f t="shared" si="152"/>
        <v>1</v>
      </c>
      <c r="I943" s="447">
        <f t="shared" ca="1" si="162"/>
        <v>0</v>
      </c>
      <c r="J943" s="447">
        <f t="shared" ca="1" si="163"/>
        <v>0</v>
      </c>
      <c r="K943" s="373">
        <f t="shared" ca="1" si="164"/>
        <v>0</v>
      </c>
    </row>
    <row r="944" spans="1:11" s="373" customFormat="1" ht="15.75" hidden="1">
      <c r="A944" s="373" t="str">
        <f>IF(AND(COUNTIF($A$5:$A$133,R_DG!A818)=0,R_DG!R818&gt;0,ISNUMBER(R_DG!R818)),R_DG!A818,"NONE")</f>
        <v>NONE</v>
      </c>
      <c r="B944" s="85">
        <f ca="1">IF(K944&gt;0,COUNTIF(K$6:K944,"&gt;0"),B943)</f>
        <v>34</v>
      </c>
      <c r="C944" s="1084">
        <f t="shared" si="159"/>
        <v>0</v>
      </c>
      <c r="D944" s="85">
        <f t="shared" si="160"/>
        <v>0</v>
      </c>
      <c r="E944" s="448">
        <f ca="1">SUMIF(OFFSET(tongctvtdd1,0,-(COLUMN(E944)+7-(COLUMN(E944)-5)/2)),KLVT!$A944,tongctvtdd1)+SUMIF(OFFSET(tongctvtpk1,0,-(COLUMN(E944)+7-(COLUMN(E944)-5)/2)),KLVT!$A944,tongctvtpk1)</f>
        <v>0</v>
      </c>
      <c r="F944" s="449">
        <f ca="1">SUMIF(OFFSET(cttba_vlvt1_1,0,-9,-ROW(cttba_vlvt1_1)+ROW(cttba_vltb1_1)-10),KLVT!$A944,OFFSET(cttba_vlvt1_1,0,-4,-ROW(cttba_vlvt1_1)+ROW(cttba_vltb1_1)-10))</f>
        <v>0</v>
      </c>
      <c r="G944" s="451">
        <f t="shared" ca="1" si="161"/>
        <v>0</v>
      </c>
      <c r="H944" s="450">
        <f t="shared" si="152"/>
        <v>1</v>
      </c>
      <c r="I944" s="447">
        <f t="shared" ca="1" si="162"/>
        <v>0</v>
      </c>
      <c r="J944" s="447">
        <f t="shared" ca="1" si="163"/>
        <v>0</v>
      </c>
      <c r="K944" s="373">
        <f t="shared" ca="1" si="164"/>
        <v>0</v>
      </c>
    </row>
    <row r="945" spans="1:11" s="373" customFormat="1" ht="15.75" hidden="1">
      <c r="A945" s="373" t="str">
        <f>IF(AND(COUNTIF($A$5:$A$133,R_DG!A819)=0,R_DG!R819&gt;0,ISNUMBER(R_DG!R819)),R_DG!A819,"NONE")</f>
        <v>NONE</v>
      </c>
      <c r="B945" s="85">
        <f ca="1">IF(K945&gt;0,COUNTIF(K$6:K945,"&gt;0"),B944)</f>
        <v>34</v>
      </c>
      <c r="C945" s="1084">
        <f t="shared" si="159"/>
        <v>0</v>
      </c>
      <c r="D945" s="85">
        <f t="shared" si="160"/>
        <v>0</v>
      </c>
      <c r="E945" s="448">
        <f ca="1">SUMIF(OFFSET(tongctvtdd1,0,-(COLUMN(E945)+7-(COLUMN(E945)-5)/2)),KLVT!$A945,tongctvtdd1)+SUMIF(OFFSET(tongctvtpk1,0,-(COLUMN(E945)+7-(COLUMN(E945)-5)/2)),KLVT!$A945,tongctvtpk1)</f>
        <v>0</v>
      </c>
      <c r="F945" s="449">
        <f ca="1">SUMIF(OFFSET(cttba_vlvt1_1,0,-9,-ROW(cttba_vlvt1_1)+ROW(cttba_vltb1_1)-10),KLVT!$A945,OFFSET(cttba_vlvt1_1,0,-4,-ROW(cttba_vlvt1_1)+ROW(cttba_vltb1_1)-10))</f>
        <v>0</v>
      </c>
      <c r="G945" s="451">
        <f t="shared" ca="1" si="161"/>
        <v>0</v>
      </c>
      <c r="H945" s="450">
        <f t="shared" si="152"/>
        <v>1</v>
      </c>
      <c r="I945" s="447">
        <f t="shared" ca="1" si="162"/>
        <v>0</v>
      </c>
      <c r="J945" s="447">
        <f t="shared" ca="1" si="163"/>
        <v>0</v>
      </c>
      <c r="K945" s="373">
        <f t="shared" ca="1" si="164"/>
        <v>0</v>
      </c>
    </row>
    <row r="946" spans="1:11" s="373" customFormat="1" ht="15.75" hidden="1">
      <c r="A946" s="373" t="str">
        <f>IF(AND(COUNTIF($A$5:$A$133,R_DG!A820)=0,R_DG!R820&gt;0,ISNUMBER(R_DG!R820)),R_DG!A820,"NONE")</f>
        <v>NONE</v>
      </c>
      <c r="B946" s="85">
        <f ca="1">IF(K946&gt;0,COUNTIF(K$6:K946,"&gt;0"),B945)</f>
        <v>34</v>
      </c>
      <c r="C946" s="1084">
        <f t="shared" si="159"/>
        <v>0</v>
      </c>
      <c r="D946" s="85">
        <f t="shared" si="160"/>
        <v>0</v>
      </c>
      <c r="E946" s="448">
        <f ca="1">SUMIF(OFFSET(tongctvtdd1,0,-(COLUMN(E946)+7-(COLUMN(E946)-5)/2)),KLVT!$A946,tongctvtdd1)+SUMIF(OFFSET(tongctvtpk1,0,-(COLUMN(E946)+7-(COLUMN(E946)-5)/2)),KLVT!$A946,tongctvtpk1)</f>
        <v>0</v>
      </c>
      <c r="F946" s="449">
        <f ca="1">SUMIF(OFFSET(cttba_vlvt1_1,0,-9,-ROW(cttba_vlvt1_1)+ROW(cttba_vltb1_1)-10),KLVT!$A946,OFFSET(cttba_vlvt1_1,0,-4,-ROW(cttba_vlvt1_1)+ROW(cttba_vltb1_1)-10))</f>
        <v>0</v>
      </c>
      <c r="G946" s="451">
        <f t="shared" ca="1" si="161"/>
        <v>0</v>
      </c>
      <c r="H946" s="450">
        <f t="shared" si="152"/>
        <v>1</v>
      </c>
      <c r="I946" s="447">
        <f t="shared" ca="1" si="162"/>
        <v>0</v>
      </c>
      <c r="J946" s="447">
        <f t="shared" ca="1" si="163"/>
        <v>0</v>
      </c>
      <c r="K946" s="373">
        <f t="shared" ca="1" si="164"/>
        <v>0</v>
      </c>
    </row>
    <row r="947" spans="1:11" s="373" customFormat="1" ht="15.75" hidden="1">
      <c r="A947" s="373" t="str">
        <f>IF(AND(COUNTIF($A$5:$A$133,R_DG!A821)=0,R_DG!R821&gt;0,ISNUMBER(R_DG!R821)),R_DG!A821,"NONE")</f>
        <v>NONE</v>
      </c>
      <c r="B947" s="85">
        <f ca="1">IF(K947&gt;0,COUNTIF(K$6:K947,"&gt;0"),B946)</f>
        <v>34</v>
      </c>
      <c r="C947" s="1084">
        <f t="shared" si="159"/>
        <v>0</v>
      </c>
      <c r="D947" s="85">
        <f t="shared" si="160"/>
        <v>0</v>
      </c>
      <c r="E947" s="448">
        <f ca="1">SUMIF(OFFSET(tongctvtdd1,0,-(COLUMN(E947)+7-(COLUMN(E947)-5)/2)),KLVT!$A947,tongctvtdd1)+SUMIF(OFFSET(tongctvtpk1,0,-(COLUMN(E947)+7-(COLUMN(E947)-5)/2)),KLVT!$A947,tongctvtpk1)</f>
        <v>0</v>
      </c>
      <c r="F947" s="449">
        <f ca="1">SUMIF(OFFSET(cttba_vlvt1_1,0,-9,-ROW(cttba_vlvt1_1)+ROW(cttba_vltb1_1)-10),KLVT!$A947,OFFSET(cttba_vlvt1_1,0,-4,-ROW(cttba_vlvt1_1)+ROW(cttba_vltb1_1)-10))</f>
        <v>0</v>
      </c>
      <c r="G947" s="451">
        <f t="shared" ca="1" si="161"/>
        <v>0</v>
      </c>
      <c r="H947" s="450">
        <f t="shared" si="152"/>
        <v>1</v>
      </c>
      <c r="I947" s="447">
        <f t="shared" ca="1" si="162"/>
        <v>0</v>
      </c>
      <c r="J947" s="447">
        <f t="shared" ca="1" si="163"/>
        <v>0</v>
      </c>
      <c r="K947" s="373">
        <f t="shared" ca="1" si="164"/>
        <v>0</v>
      </c>
    </row>
    <row r="948" spans="1:11" s="373" customFormat="1" ht="15.75" hidden="1">
      <c r="A948" s="373" t="str">
        <f>IF(AND(COUNTIF($A$5:$A$133,R_DG!A822)=0,R_DG!R822&gt;0,ISNUMBER(R_DG!R822)),R_DG!A822,"NONE")</f>
        <v>NONE</v>
      </c>
      <c r="B948" s="85">
        <f ca="1">IF(K948&gt;0,COUNTIF(K$6:K948,"&gt;0"),B947)</f>
        <v>34</v>
      </c>
      <c r="C948" s="1084">
        <f t="shared" ref="C948:C1011" si="165">VLOOKUP(A948,DONGIA,3,0)</f>
        <v>0</v>
      </c>
      <c r="D948" s="85">
        <f t="shared" ref="D948:D1011" si="166">VLOOKUP(A948,DONGIA,4,0)</f>
        <v>0</v>
      </c>
      <c r="E948" s="448">
        <f ca="1">SUMIF(OFFSET(tongctvtdd1,0,-(COLUMN(E948)+7-(COLUMN(E948)-5)/2)),KLVT!$A948,tongctvtdd1)+SUMIF(OFFSET(tongctvtpk1,0,-(COLUMN(E948)+7-(COLUMN(E948)-5)/2)),KLVT!$A948,tongctvtpk1)</f>
        <v>0</v>
      </c>
      <c r="F948" s="449">
        <f ca="1">SUMIF(OFFSET(cttba_vlvt1_1,0,-9,-ROW(cttba_vlvt1_1)+ROW(cttba_vltb1_1)-10),KLVT!$A948,OFFSET(cttba_vlvt1_1,0,-4,-ROW(cttba_vlvt1_1)+ROW(cttba_vltb1_1)-10))</f>
        <v>0</v>
      </c>
      <c r="G948" s="451">
        <f t="shared" ref="G948:G1011" ca="1" si="167">SUM(E948:F948)</f>
        <v>0</v>
      </c>
      <c r="H948" s="450">
        <f t="shared" si="152"/>
        <v>1</v>
      </c>
      <c r="I948" s="447">
        <f t="shared" ref="I948:I1011" ca="1" si="168">E948*$H948</f>
        <v>0</v>
      </c>
      <c r="J948" s="447">
        <f t="shared" ref="J948:J1011" ca="1" si="169">F948*$H948</f>
        <v>0</v>
      </c>
      <c r="K948" s="373">
        <f t="shared" ref="K948:K1011" ca="1" si="170">IF(G948&gt;0,1,0)</f>
        <v>0</v>
      </c>
    </row>
    <row r="949" spans="1:11" s="373" customFormat="1" ht="15.75" hidden="1">
      <c r="A949" s="373" t="str">
        <f>IF(AND(COUNTIF($A$5:$A$133,R_DG!A823)=0,R_DG!R823&gt;0,ISNUMBER(R_DG!R823)),R_DG!A823,"NONE")</f>
        <v>NONE</v>
      </c>
      <c r="B949" s="85">
        <f ca="1">IF(K949&gt;0,COUNTIF(K$6:K949,"&gt;0"),B948)</f>
        <v>34</v>
      </c>
      <c r="C949" s="1084">
        <f t="shared" si="165"/>
        <v>0</v>
      </c>
      <c r="D949" s="85">
        <f t="shared" si="166"/>
        <v>0</v>
      </c>
      <c r="E949" s="448">
        <f ca="1">SUMIF(OFFSET(tongctvtdd1,0,-(COLUMN(E949)+7-(COLUMN(E949)-5)/2)),KLVT!$A949,tongctvtdd1)+SUMIF(OFFSET(tongctvtpk1,0,-(COLUMN(E949)+7-(COLUMN(E949)-5)/2)),KLVT!$A949,tongctvtpk1)</f>
        <v>0</v>
      </c>
      <c r="F949" s="449">
        <f ca="1">SUMIF(OFFSET(cttba_vlvt1_1,0,-9,-ROW(cttba_vlvt1_1)+ROW(cttba_vltb1_1)-10),KLVT!$A949,OFFSET(cttba_vlvt1_1,0,-4,-ROW(cttba_vlvt1_1)+ROW(cttba_vltb1_1)-10))</f>
        <v>0</v>
      </c>
      <c r="G949" s="451">
        <f t="shared" ca="1" si="167"/>
        <v>0</v>
      </c>
      <c r="H949" s="450">
        <f t="shared" si="152"/>
        <v>1</v>
      </c>
      <c r="I949" s="447">
        <f t="shared" ca="1" si="168"/>
        <v>0</v>
      </c>
      <c r="J949" s="447">
        <f t="shared" ca="1" si="169"/>
        <v>0</v>
      </c>
      <c r="K949" s="373">
        <f t="shared" ca="1" si="170"/>
        <v>0</v>
      </c>
    </row>
    <row r="950" spans="1:11" s="373" customFormat="1" ht="15.75" hidden="1">
      <c r="A950" s="373" t="str">
        <f>IF(AND(COUNTIF($A$5:$A$133,R_DG!A824)=0,R_DG!R824&gt;0,ISNUMBER(R_DG!R824)),R_DG!A824,"NONE")</f>
        <v>NONE</v>
      </c>
      <c r="B950" s="85">
        <f ca="1">IF(K950&gt;0,COUNTIF(K$6:K950,"&gt;0"),B949)</f>
        <v>34</v>
      </c>
      <c r="C950" s="1084">
        <f t="shared" si="165"/>
        <v>0</v>
      </c>
      <c r="D950" s="85">
        <f t="shared" si="166"/>
        <v>0</v>
      </c>
      <c r="E950" s="448">
        <f ca="1">SUMIF(OFFSET(tongctvtdd1,0,-(COLUMN(E950)+7-(COLUMN(E950)-5)/2)),KLVT!$A950,tongctvtdd1)+SUMIF(OFFSET(tongctvtpk1,0,-(COLUMN(E950)+7-(COLUMN(E950)-5)/2)),KLVT!$A950,tongctvtpk1)</f>
        <v>0</v>
      </c>
      <c r="F950" s="449">
        <f ca="1">SUMIF(OFFSET(cttba_vlvt1_1,0,-9,-ROW(cttba_vlvt1_1)+ROW(cttba_vltb1_1)-10),KLVT!$A950,OFFSET(cttba_vlvt1_1,0,-4,-ROW(cttba_vlvt1_1)+ROW(cttba_vltb1_1)-10))</f>
        <v>0</v>
      </c>
      <c r="G950" s="451">
        <f t="shared" ca="1" si="167"/>
        <v>0</v>
      </c>
      <c r="H950" s="450">
        <f t="shared" si="152"/>
        <v>1</v>
      </c>
      <c r="I950" s="447">
        <f t="shared" ca="1" si="168"/>
        <v>0</v>
      </c>
      <c r="J950" s="447">
        <f t="shared" ca="1" si="169"/>
        <v>0</v>
      </c>
      <c r="K950" s="373">
        <f t="shared" ca="1" si="170"/>
        <v>0</v>
      </c>
    </row>
    <row r="951" spans="1:11" s="373" customFormat="1" ht="15.75" hidden="1">
      <c r="A951" s="373" t="str">
        <f>IF(AND(COUNTIF($A$5:$A$133,R_DG!A825)=0,R_DG!R825&gt;0,ISNUMBER(R_DG!R825)),R_DG!A825,"NONE")</f>
        <v>NONE</v>
      </c>
      <c r="B951" s="85">
        <f ca="1">IF(K951&gt;0,COUNTIF(K$6:K951,"&gt;0"),B950)</f>
        <v>34</v>
      </c>
      <c r="C951" s="1084">
        <f t="shared" si="165"/>
        <v>0</v>
      </c>
      <c r="D951" s="85">
        <f t="shared" si="166"/>
        <v>0</v>
      </c>
      <c r="E951" s="448">
        <f ca="1">SUMIF(OFFSET(tongctvtdd1,0,-(COLUMN(E951)+7-(COLUMN(E951)-5)/2)),KLVT!$A951,tongctvtdd1)+SUMIF(OFFSET(tongctvtpk1,0,-(COLUMN(E951)+7-(COLUMN(E951)-5)/2)),KLVT!$A951,tongctvtpk1)</f>
        <v>0</v>
      </c>
      <c r="F951" s="449">
        <f ca="1">SUMIF(OFFSET(cttba_vlvt1_1,0,-9,-ROW(cttba_vlvt1_1)+ROW(cttba_vltb1_1)-10),KLVT!$A951,OFFSET(cttba_vlvt1_1,0,-4,-ROW(cttba_vlvt1_1)+ROW(cttba_vltb1_1)-10))</f>
        <v>0</v>
      </c>
      <c r="G951" s="451">
        <f t="shared" ca="1" si="167"/>
        <v>0</v>
      </c>
      <c r="H951" s="450">
        <f t="shared" si="152"/>
        <v>1</v>
      </c>
      <c r="I951" s="447">
        <f t="shared" ca="1" si="168"/>
        <v>0</v>
      </c>
      <c r="J951" s="447">
        <f t="shared" ca="1" si="169"/>
        <v>0</v>
      </c>
      <c r="K951" s="373">
        <f t="shared" ca="1" si="170"/>
        <v>0</v>
      </c>
    </row>
    <row r="952" spans="1:11" s="373" customFormat="1" ht="15.75" hidden="1">
      <c r="A952" s="373" t="str">
        <f>IF(AND(COUNTIF($A$5:$A$133,R_DG!A826)=0,R_DG!R826&gt;0,ISNUMBER(R_DG!R826)),R_DG!A826,"NONE")</f>
        <v>NONE</v>
      </c>
      <c r="B952" s="85">
        <f ca="1">IF(K952&gt;0,COUNTIF(K$6:K952,"&gt;0"),B951)</f>
        <v>34</v>
      </c>
      <c r="C952" s="1084">
        <f t="shared" si="165"/>
        <v>0</v>
      </c>
      <c r="D952" s="85">
        <f t="shared" si="166"/>
        <v>0</v>
      </c>
      <c r="E952" s="448">
        <f ca="1">SUMIF(OFFSET(tongctvtdd1,0,-(COLUMN(E952)+7-(COLUMN(E952)-5)/2)),KLVT!$A952,tongctvtdd1)+SUMIF(OFFSET(tongctvtpk1,0,-(COLUMN(E952)+7-(COLUMN(E952)-5)/2)),KLVT!$A952,tongctvtpk1)</f>
        <v>0</v>
      </c>
      <c r="F952" s="449">
        <f ca="1">SUMIF(OFFSET(cttba_vlvt1_1,0,-9,-ROW(cttba_vlvt1_1)+ROW(cttba_vltb1_1)-10),KLVT!$A952,OFFSET(cttba_vlvt1_1,0,-4,-ROW(cttba_vlvt1_1)+ROW(cttba_vltb1_1)-10))</f>
        <v>0</v>
      </c>
      <c r="G952" s="451">
        <f t="shared" ca="1" si="167"/>
        <v>0</v>
      </c>
      <c r="H952" s="450">
        <f t="shared" si="152"/>
        <v>1</v>
      </c>
      <c r="I952" s="447">
        <f t="shared" ca="1" si="168"/>
        <v>0</v>
      </c>
      <c r="J952" s="447">
        <f t="shared" ca="1" si="169"/>
        <v>0</v>
      </c>
      <c r="K952" s="373">
        <f t="shared" ca="1" si="170"/>
        <v>0</v>
      </c>
    </row>
    <row r="953" spans="1:11" s="373" customFormat="1" ht="15.75" hidden="1">
      <c r="A953" s="373" t="str">
        <f>IF(AND(COUNTIF($A$5:$A$133,R_DG!A827)=0,R_DG!R827&gt;0,ISNUMBER(R_DG!R827)),R_DG!A827,"NONE")</f>
        <v>NONE</v>
      </c>
      <c r="B953" s="85">
        <f ca="1">IF(K953&gt;0,COUNTIF(K$6:K953,"&gt;0"),B952)</f>
        <v>34</v>
      </c>
      <c r="C953" s="1084">
        <f t="shared" si="165"/>
        <v>0</v>
      </c>
      <c r="D953" s="85">
        <f t="shared" si="166"/>
        <v>0</v>
      </c>
      <c r="E953" s="448">
        <f ca="1">SUMIF(OFFSET(tongctvtdd1,0,-(COLUMN(E953)+7-(COLUMN(E953)-5)/2)),KLVT!$A953,tongctvtdd1)+SUMIF(OFFSET(tongctvtpk1,0,-(COLUMN(E953)+7-(COLUMN(E953)-5)/2)),KLVT!$A953,tongctvtpk1)</f>
        <v>0</v>
      </c>
      <c r="F953" s="449">
        <f ca="1">SUMIF(OFFSET(cttba_vlvt1_1,0,-9,-ROW(cttba_vlvt1_1)+ROW(cttba_vltb1_1)-10),KLVT!$A953,OFFSET(cttba_vlvt1_1,0,-4,-ROW(cttba_vlvt1_1)+ROW(cttba_vltb1_1)-10))</f>
        <v>0</v>
      </c>
      <c r="G953" s="451">
        <f t="shared" ca="1" si="167"/>
        <v>0</v>
      </c>
      <c r="H953" s="450">
        <f t="shared" si="152"/>
        <v>1</v>
      </c>
      <c r="I953" s="447">
        <f t="shared" ca="1" si="168"/>
        <v>0</v>
      </c>
      <c r="J953" s="447">
        <f t="shared" ca="1" si="169"/>
        <v>0</v>
      </c>
      <c r="K953" s="373">
        <f t="shared" ca="1" si="170"/>
        <v>0</v>
      </c>
    </row>
    <row r="954" spans="1:11" s="373" customFormat="1" ht="15.75" hidden="1">
      <c r="A954" s="373" t="str">
        <f>IF(AND(COUNTIF($A$5:$A$133,R_DG!A828)=0,R_DG!R828&gt;0,ISNUMBER(R_DG!R828)),R_DG!A828,"NONE")</f>
        <v>NONE</v>
      </c>
      <c r="B954" s="85">
        <f ca="1">IF(K954&gt;0,COUNTIF(K$6:K954,"&gt;0"),B953)</f>
        <v>34</v>
      </c>
      <c r="C954" s="1084">
        <f t="shared" si="165"/>
        <v>0</v>
      </c>
      <c r="D954" s="85">
        <f t="shared" si="166"/>
        <v>0</v>
      </c>
      <c r="E954" s="448">
        <f ca="1">SUMIF(OFFSET(tongctvtdd1,0,-(COLUMN(E954)+7-(COLUMN(E954)-5)/2)),KLVT!$A954,tongctvtdd1)+SUMIF(OFFSET(tongctvtpk1,0,-(COLUMN(E954)+7-(COLUMN(E954)-5)/2)),KLVT!$A954,tongctvtpk1)</f>
        <v>0</v>
      </c>
      <c r="F954" s="449">
        <f ca="1">SUMIF(OFFSET(cttba_vlvt1_1,0,-9,-ROW(cttba_vlvt1_1)+ROW(cttba_vltb1_1)-10),KLVT!$A954,OFFSET(cttba_vlvt1_1,0,-4,-ROW(cttba_vlvt1_1)+ROW(cttba_vltb1_1)-10))</f>
        <v>0</v>
      </c>
      <c r="G954" s="451">
        <f t="shared" ca="1" si="167"/>
        <v>0</v>
      </c>
      <c r="H954" s="450">
        <f t="shared" si="152"/>
        <v>1</v>
      </c>
      <c r="I954" s="447">
        <f t="shared" ca="1" si="168"/>
        <v>0</v>
      </c>
      <c r="J954" s="447">
        <f t="shared" ca="1" si="169"/>
        <v>0</v>
      </c>
      <c r="K954" s="373">
        <f t="shared" ca="1" si="170"/>
        <v>0</v>
      </c>
    </row>
    <row r="955" spans="1:11" s="373" customFormat="1" ht="15.75" hidden="1">
      <c r="A955" s="373" t="str">
        <f>IF(AND(COUNTIF($A$5:$A$133,R_DG!A829)=0,R_DG!R829&gt;0,ISNUMBER(R_DG!R829)),R_DG!A829,"NONE")</f>
        <v>NONE</v>
      </c>
      <c r="B955" s="85">
        <f ca="1">IF(K955&gt;0,COUNTIF(K$6:K955,"&gt;0"),B954)</f>
        <v>34</v>
      </c>
      <c r="C955" s="1084">
        <f t="shared" si="165"/>
        <v>0</v>
      </c>
      <c r="D955" s="85">
        <f t="shared" si="166"/>
        <v>0</v>
      </c>
      <c r="E955" s="448">
        <f ca="1">SUMIF(OFFSET(tongctvtdd1,0,-(COLUMN(E955)+7-(COLUMN(E955)-5)/2)),KLVT!$A955,tongctvtdd1)+SUMIF(OFFSET(tongctvtpk1,0,-(COLUMN(E955)+7-(COLUMN(E955)-5)/2)),KLVT!$A955,tongctvtpk1)</f>
        <v>0</v>
      </c>
      <c r="F955" s="449">
        <f ca="1">SUMIF(OFFSET(cttba_vlvt1_1,0,-9,-ROW(cttba_vlvt1_1)+ROW(cttba_vltb1_1)-10),KLVT!$A955,OFFSET(cttba_vlvt1_1,0,-4,-ROW(cttba_vlvt1_1)+ROW(cttba_vltb1_1)-10))</f>
        <v>0</v>
      </c>
      <c r="G955" s="451">
        <f t="shared" ca="1" si="167"/>
        <v>0</v>
      </c>
      <c r="H955" s="450">
        <f t="shared" si="152"/>
        <v>1</v>
      </c>
      <c r="I955" s="447">
        <f t="shared" ca="1" si="168"/>
        <v>0</v>
      </c>
      <c r="J955" s="447">
        <f t="shared" ca="1" si="169"/>
        <v>0</v>
      </c>
      <c r="K955" s="373">
        <f t="shared" ca="1" si="170"/>
        <v>0</v>
      </c>
    </row>
    <row r="956" spans="1:11" s="373" customFormat="1" ht="15.75" hidden="1">
      <c r="A956" s="373" t="str">
        <f>IF(AND(COUNTIF($A$5:$A$133,R_DG!A830)=0,R_DG!R830&gt;0,ISNUMBER(R_DG!R830)),R_DG!A830,"NONE")</f>
        <v>NONE</v>
      </c>
      <c r="B956" s="85">
        <f ca="1">IF(K956&gt;0,COUNTIF(K$6:K956,"&gt;0"),B955)</f>
        <v>34</v>
      </c>
      <c r="C956" s="1084">
        <f t="shared" si="165"/>
        <v>0</v>
      </c>
      <c r="D956" s="85">
        <f t="shared" si="166"/>
        <v>0</v>
      </c>
      <c r="E956" s="448">
        <f ca="1">SUMIF(OFFSET(tongctvtdd1,0,-(COLUMN(E956)+7-(COLUMN(E956)-5)/2)),KLVT!$A956,tongctvtdd1)+SUMIF(OFFSET(tongctvtpk1,0,-(COLUMN(E956)+7-(COLUMN(E956)-5)/2)),KLVT!$A956,tongctvtpk1)</f>
        <v>0</v>
      </c>
      <c r="F956" s="449">
        <f ca="1">SUMIF(OFFSET(cttba_vlvt1_1,0,-9,-ROW(cttba_vlvt1_1)+ROW(cttba_vltb1_1)-10),KLVT!$A956,OFFSET(cttba_vlvt1_1,0,-4,-ROW(cttba_vlvt1_1)+ROW(cttba_vltb1_1)-10))</f>
        <v>0</v>
      </c>
      <c r="G956" s="451">
        <f t="shared" ca="1" si="167"/>
        <v>0</v>
      </c>
      <c r="H956" s="450">
        <f t="shared" si="152"/>
        <v>1</v>
      </c>
      <c r="I956" s="447">
        <f t="shared" ca="1" si="168"/>
        <v>0</v>
      </c>
      <c r="J956" s="447">
        <f t="shared" ca="1" si="169"/>
        <v>0</v>
      </c>
      <c r="K956" s="373">
        <f t="shared" ca="1" si="170"/>
        <v>0</v>
      </c>
    </row>
    <row r="957" spans="1:11" s="373" customFormat="1" ht="15.75" hidden="1">
      <c r="A957" s="373" t="str">
        <f>IF(AND(COUNTIF($A$5:$A$133,R_DG!A831)=0,R_DG!R831&gt;0,ISNUMBER(R_DG!R831)),R_DG!A831,"NONE")</f>
        <v>NONE</v>
      </c>
      <c r="B957" s="85">
        <f ca="1">IF(K957&gt;0,COUNTIF(K$6:K957,"&gt;0"),B956)</f>
        <v>34</v>
      </c>
      <c r="C957" s="1084">
        <f t="shared" si="165"/>
        <v>0</v>
      </c>
      <c r="D957" s="85">
        <f t="shared" si="166"/>
        <v>0</v>
      </c>
      <c r="E957" s="448">
        <f ca="1">SUMIF(OFFSET(tongctvtdd1,0,-(COLUMN(E957)+7-(COLUMN(E957)-5)/2)),KLVT!$A957,tongctvtdd1)+SUMIF(OFFSET(tongctvtpk1,0,-(COLUMN(E957)+7-(COLUMN(E957)-5)/2)),KLVT!$A957,tongctvtpk1)</f>
        <v>0</v>
      </c>
      <c r="F957" s="449">
        <f ca="1">SUMIF(OFFSET(cttba_vlvt1_1,0,-9,-ROW(cttba_vlvt1_1)+ROW(cttba_vltb1_1)-10),KLVT!$A957,OFFSET(cttba_vlvt1_1,0,-4,-ROW(cttba_vlvt1_1)+ROW(cttba_vltb1_1)-10))</f>
        <v>0</v>
      </c>
      <c r="G957" s="451">
        <f t="shared" ca="1" si="167"/>
        <v>0</v>
      </c>
      <c r="H957" s="450">
        <f t="shared" si="152"/>
        <v>1</v>
      </c>
      <c r="I957" s="447">
        <f t="shared" ca="1" si="168"/>
        <v>0</v>
      </c>
      <c r="J957" s="447">
        <f t="shared" ca="1" si="169"/>
        <v>0</v>
      </c>
      <c r="K957" s="373">
        <f t="shared" ca="1" si="170"/>
        <v>0</v>
      </c>
    </row>
    <row r="958" spans="1:11" s="373" customFormat="1" ht="15.75" hidden="1">
      <c r="A958" s="373" t="str">
        <f>IF(AND(COUNTIF($A$5:$A$133,R_DG!A832)=0,R_DG!R832&gt;0,ISNUMBER(R_DG!R832)),R_DG!A832,"NONE")</f>
        <v>NONE</v>
      </c>
      <c r="B958" s="85">
        <f ca="1">IF(K958&gt;0,COUNTIF(K$6:K958,"&gt;0"),B957)</f>
        <v>34</v>
      </c>
      <c r="C958" s="1084">
        <f t="shared" si="165"/>
        <v>0</v>
      </c>
      <c r="D958" s="85">
        <f t="shared" si="166"/>
        <v>0</v>
      </c>
      <c r="E958" s="448">
        <f ca="1">SUMIF(OFFSET(tongctvtdd1,0,-(COLUMN(E958)+7-(COLUMN(E958)-5)/2)),KLVT!$A958,tongctvtdd1)+SUMIF(OFFSET(tongctvtpk1,0,-(COLUMN(E958)+7-(COLUMN(E958)-5)/2)),KLVT!$A958,tongctvtpk1)</f>
        <v>0</v>
      </c>
      <c r="F958" s="449">
        <f ca="1">SUMIF(OFFSET(cttba_vlvt1_1,0,-9,-ROW(cttba_vlvt1_1)+ROW(cttba_vltb1_1)-10),KLVT!$A958,OFFSET(cttba_vlvt1_1,0,-4,-ROW(cttba_vlvt1_1)+ROW(cttba_vltb1_1)-10))</f>
        <v>0</v>
      </c>
      <c r="G958" s="451">
        <f t="shared" ca="1" si="167"/>
        <v>0</v>
      </c>
      <c r="H958" s="450">
        <f t="shared" si="152"/>
        <v>1</v>
      </c>
      <c r="I958" s="447">
        <f t="shared" ca="1" si="168"/>
        <v>0</v>
      </c>
      <c r="J958" s="447">
        <f t="shared" ca="1" si="169"/>
        <v>0</v>
      </c>
      <c r="K958" s="373">
        <f t="shared" ca="1" si="170"/>
        <v>0</v>
      </c>
    </row>
    <row r="959" spans="1:11" s="373" customFormat="1" ht="15.75" hidden="1">
      <c r="A959" s="373" t="str">
        <f>IF(AND(COUNTIF($A$5:$A$133,R_DG!A833)=0,R_DG!R833&gt;0,ISNUMBER(R_DG!R833)),R_DG!A833,"NONE")</f>
        <v>NONE</v>
      </c>
      <c r="B959" s="85">
        <f ca="1">IF(K959&gt;0,COUNTIF(K$6:K959,"&gt;0"),B958)</f>
        <v>34</v>
      </c>
      <c r="C959" s="1084">
        <f t="shared" si="165"/>
        <v>0</v>
      </c>
      <c r="D959" s="85">
        <f t="shared" si="166"/>
        <v>0</v>
      </c>
      <c r="E959" s="448">
        <f ca="1">SUMIF(OFFSET(tongctvtdd1,0,-(COLUMN(E959)+7-(COLUMN(E959)-5)/2)),KLVT!$A959,tongctvtdd1)+SUMIF(OFFSET(tongctvtpk1,0,-(COLUMN(E959)+7-(COLUMN(E959)-5)/2)),KLVT!$A959,tongctvtpk1)</f>
        <v>0</v>
      </c>
      <c r="F959" s="449">
        <f ca="1">SUMIF(OFFSET(cttba_vlvt1_1,0,-9,-ROW(cttba_vlvt1_1)+ROW(cttba_vltb1_1)-10),KLVT!$A959,OFFSET(cttba_vlvt1_1,0,-4,-ROW(cttba_vlvt1_1)+ROW(cttba_vltb1_1)-10))</f>
        <v>0</v>
      </c>
      <c r="G959" s="451">
        <f t="shared" ca="1" si="167"/>
        <v>0</v>
      </c>
      <c r="H959" s="450">
        <f t="shared" si="152"/>
        <v>1</v>
      </c>
      <c r="I959" s="447">
        <f t="shared" ca="1" si="168"/>
        <v>0</v>
      </c>
      <c r="J959" s="447">
        <f t="shared" ca="1" si="169"/>
        <v>0</v>
      </c>
      <c r="K959" s="373">
        <f t="shared" ca="1" si="170"/>
        <v>0</v>
      </c>
    </row>
    <row r="960" spans="1:11" s="373" customFormat="1" ht="15.75" hidden="1">
      <c r="A960" s="373" t="str">
        <f>IF(AND(COUNTIF($A$5:$A$133,R_DG!A834)=0,R_DG!R834&gt;0,ISNUMBER(R_DG!R834)),R_DG!A834,"NONE")</f>
        <v>NONE</v>
      </c>
      <c r="B960" s="85">
        <f ca="1">IF(K960&gt;0,COUNTIF(K$6:K960,"&gt;0"),B959)</f>
        <v>34</v>
      </c>
      <c r="C960" s="1084">
        <f t="shared" si="165"/>
        <v>0</v>
      </c>
      <c r="D960" s="85">
        <f t="shared" si="166"/>
        <v>0</v>
      </c>
      <c r="E960" s="448">
        <f ca="1">SUMIF(OFFSET(tongctvtdd1,0,-(COLUMN(E960)+7-(COLUMN(E960)-5)/2)),KLVT!$A960,tongctvtdd1)+SUMIF(OFFSET(tongctvtpk1,0,-(COLUMN(E960)+7-(COLUMN(E960)-5)/2)),KLVT!$A960,tongctvtpk1)</f>
        <v>0</v>
      </c>
      <c r="F960" s="449">
        <f ca="1">SUMIF(OFFSET(cttba_vlvt1_1,0,-9,-ROW(cttba_vlvt1_1)+ROW(cttba_vltb1_1)-10),KLVT!$A960,OFFSET(cttba_vlvt1_1,0,-4,-ROW(cttba_vlvt1_1)+ROW(cttba_vltb1_1)-10))</f>
        <v>0</v>
      </c>
      <c r="G960" s="451">
        <f t="shared" ca="1" si="167"/>
        <v>0</v>
      </c>
      <c r="H960" s="450">
        <f t="shared" si="152"/>
        <v>1</v>
      </c>
      <c r="I960" s="447">
        <f t="shared" ca="1" si="168"/>
        <v>0</v>
      </c>
      <c r="J960" s="447">
        <f t="shared" ca="1" si="169"/>
        <v>0</v>
      </c>
      <c r="K960" s="373">
        <f t="shared" ca="1" si="170"/>
        <v>0</v>
      </c>
    </row>
    <row r="961" spans="1:11" s="373" customFormat="1" ht="15.75" hidden="1">
      <c r="A961" s="373" t="str">
        <f>IF(AND(COUNTIF($A$5:$A$133,R_DG!A835)=0,R_DG!R835&gt;0,ISNUMBER(R_DG!R835)),R_DG!A835,"NONE")</f>
        <v>NONE</v>
      </c>
      <c r="B961" s="85">
        <f ca="1">IF(K961&gt;0,COUNTIF(K$6:K961,"&gt;0"),B960)</f>
        <v>34</v>
      </c>
      <c r="C961" s="1084">
        <f t="shared" si="165"/>
        <v>0</v>
      </c>
      <c r="D961" s="85">
        <f t="shared" si="166"/>
        <v>0</v>
      </c>
      <c r="E961" s="448">
        <f ca="1">SUMIF(OFFSET(tongctvtdd1,0,-(COLUMN(E961)+7-(COLUMN(E961)-5)/2)),KLVT!$A961,tongctvtdd1)+SUMIF(OFFSET(tongctvtpk1,0,-(COLUMN(E961)+7-(COLUMN(E961)-5)/2)),KLVT!$A961,tongctvtpk1)</f>
        <v>0</v>
      </c>
      <c r="F961" s="449">
        <f ca="1">SUMIF(OFFSET(cttba_vlvt1_1,0,-9,-ROW(cttba_vlvt1_1)+ROW(cttba_vltb1_1)-10),KLVT!$A961,OFFSET(cttba_vlvt1_1,0,-4,-ROW(cttba_vlvt1_1)+ROW(cttba_vltb1_1)-10))</f>
        <v>0</v>
      </c>
      <c r="G961" s="451">
        <f t="shared" ca="1" si="167"/>
        <v>0</v>
      </c>
      <c r="H961" s="450">
        <f t="shared" si="152"/>
        <v>1</v>
      </c>
      <c r="I961" s="447">
        <f t="shared" ca="1" si="168"/>
        <v>0</v>
      </c>
      <c r="J961" s="447">
        <f t="shared" ca="1" si="169"/>
        <v>0</v>
      </c>
      <c r="K961" s="373">
        <f t="shared" ca="1" si="170"/>
        <v>0</v>
      </c>
    </row>
    <row r="962" spans="1:11" s="373" customFormat="1" ht="15.75" hidden="1">
      <c r="A962" s="373" t="str">
        <f>IF(AND(COUNTIF($A$5:$A$133,R_DG!A836)=0,R_DG!R836&gt;0,ISNUMBER(R_DG!R836)),R_DG!A836,"NONE")</f>
        <v>NONE</v>
      </c>
      <c r="B962" s="85">
        <f ca="1">IF(K962&gt;0,COUNTIF(K$6:K962,"&gt;0"),B961)</f>
        <v>34</v>
      </c>
      <c r="C962" s="1084">
        <f t="shared" si="165"/>
        <v>0</v>
      </c>
      <c r="D962" s="85">
        <f t="shared" si="166"/>
        <v>0</v>
      </c>
      <c r="E962" s="448">
        <f ca="1">SUMIF(OFFSET(tongctvtdd1,0,-(COLUMN(E962)+7-(COLUMN(E962)-5)/2)),KLVT!$A962,tongctvtdd1)+SUMIF(OFFSET(tongctvtpk1,0,-(COLUMN(E962)+7-(COLUMN(E962)-5)/2)),KLVT!$A962,tongctvtpk1)</f>
        <v>0</v>
      </c>
      <c r="F962" s="449">
        <f ca="1">SUMIF(OFFSET(cttba_vlvt1_1,0,-9,-ROW(cttba_vlvt1_1)+ROW(cttba_vltb1_1)-10),KLVT!$A962,OFFSET(cttba_vlvt1_1,0,-4,-ROW(cttba_vlvt1_1)+ROW(cttba_vltb1_1)-10))</f>
        <v>0</v>
      </c>
      <c r="G962" s="451">
        <f t="shared" ca="1" si="167"/>
        <v>0</v>
      </c>
      <c r="H962" s="450">
        <f t="shared" si="152"/>
        <v>1</v>
      </c>
      <c r="I962" s="447">
        <f t="shared" ca="1" si="168"/>
        <v>0</v>
      </c>
      <c r="J962" s="447">
        <f t="shared" ca="1" si="169"/>
        <v>0</v>
      </c>
      <c r="K962" s="373">
        <f t="shared" ca="1" si="170"/>
        <v>0</v>
      </c>
    </row>
    <row r="963" spans="1:11" s="373" customFormat="1" ht="15.75" hidden="1">
      <c r="A963" s="373" t="str">
        <f>IF(AND(COUNTIF($A$5:$A$133,R_DG!A837)=0,R_DG!R837&gt;0,ISNUMBER(R_DG!R837)),R_DG!A837,"NONE")</f>
        <v>NONE</v>
      </c>
      <c r="B963" s="85">
        <f ca="1">IF(K963&gt;0,COUNTIF(K$6:K963,"&gt;0"),B962)</f>
        <v>34</v>
      </c>
      <c r="C963" s="1084">
        <f t="shared" si="165"/>
        <v>0</v>
      </c>
      <c r="D963" s="85">
        <f t="shared" si="166"/>
        <v>0</v>
      </c>
      <c r="E963" s="448">
        <f ca="1">SUMIF(OFFSET(tongctvtdd1,0,-(COLUMN(E963)+7-(COLUMN(E963)-5)/2)),KLVT!$A963,tongctvtdd1)+SUMIF(OFFSET(tongctvtpk1,0,-(COLUMN(E963)+7-(COLUMN(E963)-5)/2)),KLVT!$A963,tongctvtpk1)</f>
        <v>0</v>
      </c>
      <c r="F963" s="449">
        <f ca="1">SUMIF(OFFSET(cttba_vlvt1_1,0,-9,-ROW(cttba_vlvt1_1)+ROW(cttba_vltb1_1)-10),KLVT!$A963,OFFSET(cttba_vlvt1_1,0,-4,-ROW(cttba_vlvt1_1)+ROW(cttba_vltb1_1)-10))</f>
        <v>0</v>
      </c>
      <c r="G963" s="451">
        <f t="shared" ca="1" si="167"/>
        <v>0</v>
      </c>
      <c r="H963" s="450">
        <f t="shared" si="152"/>
        <v>1</v>
      </c>
      <c r="I963" s="447">
        <f t="shared" ca="1" si="168"/>
        <v>0</v>
      </c>
      <c r="J963" s="447">
        <f t="shared" ca="1" si="169"/>
        <v>0</v>
      </c>
      <c r="K963" s="373">
        <f t="shared" ca="1" si="170"/>
        <v>0</v>
      </c>
    </row>
    <row r="964" spans="1:11" s="373" customFormat="1" ht="15.75" hidden="1">
      <c r="A964" s="373" t="str">
        <f>IF(AND(COUNTIF($A$5:$A$133,R_DG!A838)=0,R_DG!R838&gt;0,ISNUMBER(R_DG!R838)),R_DG!A838,"NONE")</f>
        <v>NONE</v>
      </c>
      <c r="B964" s="85">
        <f ca="1">IF(K964&gt;0,COUNTIF(K$6:K964,"&gt;0"),B963)</f>
        <v>34</v>
      </c>
      <c r="C964" s="1084">
        <f t="shared" si="165"/>
        <v>0</v>
      </c>
      <c r="D964" s="85">
        <f t="shared" si="166"/>
        <v>0</v>
      </c>
      <c r="E964" s="448">
        <f ca="1">SUMIF(OFFSET(tongctvtdd1,0,-(COLUMN(E964)+7-(COLUMN(E964)-5)/2)),KLVT!$A964,tongctvtdd1)+SUMIF(OFFSET(tongctvtpk1,0,-(COLUMN(E964)+7-(COLUMN(E964)-5)/2)),KLVT!$A964,tongctvtpk1)</f>
        <v>0</v>
      </c>
      <c r="F964" s="449">
        <f ca="1">SUMIF(OFFSET(cttba_vlvt1_1,0,-9,-ROW(cttba_vlvt1_1)+ROW(cttba_vltb1_1)-10),KLVT!$A964,OFFSET(cttba_vlvt1_1,0,-4,-ROW(cttba_vlvt1_1)+ROW(cttba_vltb1_1)-10))</f>
        <v>0</v>
      </c>
      <c r="G964" s="451">
        <f t="shared" ca="1" si="167"/>
        <v>0</v>
      </c>
      <c r="H964" s="450">
        <f t="shared" si="152"/>
        <v>1</v>
      </c>
      <c r="I964" s="447">
        <f t="shared" ca="1" si="168"/>
        <v>0</v>
      </c>
      <c r="J964" s="447">
        <f t="shared" ca="1" si="169"/>
        <v>0</v>
      </c>
      <c r="K964" s="373">
        <f t="shared" ca="1" si="170"/>
        <v>0</v>
      </c>
    </row>
    <row r="965" spans="1:11" s="373" customFormat="1" ht="15.75" hidden="1">
      <c r="A965" s="373" t="str">
        <f>IF(AND(COUNTIF($A$5:$A$133,R_DG!A839)=0,R_DG!R839&gt;0,ISNUMBER(R_DG!R839)),R_DG!A839,"NONE")</f>
        <v>NONE</v>
      </c>
      <c r="B965" s="85">
        <f ca="1">IF(K965&gt;0,COUNTIF(K$6:K965,"&gt;0"),B964)</f>
        <v>34</v>
      </c>
      <c r="C965" s="1084">
        <f t="shared" si="165"/>
        <v>0</v>
      </c>
      <c r="D965" s="85">
        <f t="shared" si="166"/>
        <v>0</v>
      </c>
      <c r="E965" s="448">
        <f ca="1">SUMIF(OFFSET(tongctvtdd1,0,-(COLUMN(E965)+7-(COLUMN(E965)-5)/2)),KLVT!$A965,tongctvtdd1)+SUMIF(OFFSET(tongctvtpk1,0,-(COLUMN(E965)+7-(COLUMN(E965)-5)/2)),KLVT!$A965,tongctvtpk1)</f>
        <v>0</v>
      </c>
      <c r="F965" s="449">
        <f ca="1">SUMIF(OFFSET(cttba_vlvt1_1,0,-9,-ROW(cttba_vlvt1_1)+ROW(cttba_vltb1_1)-10),KLVT!$A965,OFFSET(cttba_vlvt1_1,0,-4,-ROW(cttba_vlvt1_1)+ROW(cttba_vltb1_1)-10))</f>
        <v>0</v>
      </c>
      <c r="G965" s="451">
        <f t="shared" ca="1" si="167"/>
        <v>0</v>
      </c>
      <c r="H965" s="450">
        <f t="shared" si="152"/>
        <v>1</v>
      </c>
      <c r="I965" s="447">
        <f t="shared" ca="1" si="168"/>
        <v>0</v>
      </c>
      <c r="J965" s="447">
        <f t="shared" ca="1" si="169"/>
        <v>0</v>
      </c>
      <c r="K965" s="373">
        <f t="shared" ca="1" si="170"/>
        <v>0</v>
      </c>
    </row>
    <row r="966" spans="1:11" s="373" customFormat="1" ht="15.75" hidden="1">
      <c r="A966" s="373" t="str">
        <f>IF(AND(COUNTIF($A$5:$A$133,R_DG!A840)=0,R_DG!R840&gt;0,ISNUMBER(R_DG!R840)),R_DG!A840,"NONE")</f>
        <v>NONE</v>
      </c>
      <c r="B966" s="85">
        <f ca="1">IF(K966&gt;0,COUNTIF(K$6:K966,"&gt;0"),B965)</f>
        <v>34</v>
      </c>
      <c r="C966" s="1084">
        <f t="shared" si="165"/>
        <v>0</v>
      </c>
      <c r="D966" s="85">
        <f t="shared" si="166"/>
        <v>0</v>
      </c>
      <c r="E966" s="448">
        <f ca="1">SUMIF(OFFSET(tongctvtdd1,0,-(COLUMN(E966)+7-(COLUMN(E966)-5)/2)),KLVT!$A966,tongctvtdd1)+SUMIF(OFFSET(tongctvtpk1,0,-(COLUMN(E966)+7-(COLUMN(E966)-5)/2)),KLVT!$A966,tongctvtpk1)</f>
        <v>0</v>
      </c>
      <c r="F966" s="449">
        <f ca="1">SUMIF(OFFSET(cttba_vlvt1_1,0,-9,-ROW(cttba_vlvt1_1)+ROW(cttba_vltb1_1)-10),KLVT!$A966,OFFSET(cttba_vlvt1_1,0,-4,-ROW(cttba_vlvt1_1)+ROW(cttba_vltb1_1)-10))</f>
        <v>0</v>
      </c>
      <c r="G966" s="451">
        <f t="shared" ca="1" si="167"/>
        <v>0</v>
      </c>
      <c r="H966" s="450">
        <f t="shared" ref="H966:H1029" si="171">VLOOKUP(A966,DONGIA,18,0)</f>
        <v>1</v>
      </c>
      <c r="I966" s="447">
        <f t="shared" ca="1" si="168"/>
        <v>0</v>
      </c>
      <c r="J966" s="447">
        <f t="shared" ca="1" si="169"/>
        <v>0</v>
      </c>
      <c r="K966" s="373">
        <f t="shared" ca="1" si="170"/>
        <v>0</v>
      </c>
    </row>
    <row r="967" spans="1:11" s="373" customFormat="1" ht="15.75" hidden="1">
      <c r="A967" s="373" t="str">
        <f>IF(AND(COUNTIF($A$5:$A$133,R_DG!A841)=0,R_DG!R841&gt;0,ISNUMBER(R_DG!R841)),R_DG!A841,"NONE")</f>
        <v>NONE</v>
      </c>
      <c r="B967" s="85">
        <f ca="1">IF(K967&gt;0,COUNTIF(K$6:K967,"&gt;0"),B966)</f>
        <v>34</v>
      </c>
      <c r="C967" s="1084">
        <f t="shared" si="165"/>
        <v>0</v>
      </c>
      <c r="D967" s="85">
        <f t="shared" si="166"/>
        <v>0</v>
      </c>
      <c r="E967" s="448">
        <f ca="1">SUMIF(OFFSET(tongctvtdd1,0,-(COLUMN(E967)+7-(COLUMN(E967)-5)/2)),KLVT!$A967,tongctvtdd1)+SUMIF(OFFSET(tongctvtpk1,0,-(COLUMN(E967)+7-(COLUMN(E967)-5)/2)),KLVT!$A967,tongctvtpk1)</f>
        <v>0</v>
      </c>
      <c r="F967" s="449">
        <f ca="1">SUMIF(OFFSET(cttba_vlvt1_1,0,-9,-ROW(cttba_vlvt1_1)+ROW(cttba_vltb1_1)-10),KLVT!$A967,OFFSET(cttba_vlvt1_1,0,-4,-ROW(cttba_vlvt1_1)+ROW(cttba_vltb1_1)-10))</f>
        <v>0</v>
      </c>
      <c r="G967" s="451">
        <f t="shared" ca="1" si="167"/>
        <v>0</v>
      </c>
      <c r="H967" s="450">
        <f t="shared" si="171"/>
        <v>1</v>
      </c>
      <c r="I967" s="447">
        <f t="shared" ca="1" si="168"/>
        <v>0</v>
      </c>
      <c r="J967" s="447">
        <f t="shared" ca="1" si="169"/>
        <v>0</v>
      </c>
      <c r="K967" s="373">
        <f t="shared" ca="1" si="170"/>
        <v>0</v>
      </c>
    </row>
    <row r="968" spans="1:11" s="373" customFormat="1" ht="15.75" hidden="1">
      <c r="A968" s="373" t="str">
        <f>IF(AND(COUNTIF($A$5:$A$133,R_DG!A842)=0,R_DG!R842&gt;0,ISNUMBER(R_DG!R842)),R_DG!A842,"NONE")</f>
        <v>NONE</v>
      </c>
      <c r="B968" s="85">
        <f ca="1">IF(K968&gt;0,COUNTIF(K$6:K968,"&gt;0"),B967)</f>
        <v>34</v>
      </c>
      <c r="C968" s="1084">
        <f t="shared" si="165"/>
        <v>0</v>
      </c>
      <c r="D968" s="85">
        <f t="shared" si="166"/>
        <v>0</v>
      </c>
      <c r="E968" s="448">
        <f ca="1">SUMIF(OFFSET(tongctvtdd1,0,-(COLUMN(E968)+7-(COLUMN(E968)-5)/2)),KLVT!$A968,tongctvtdd1)+SUMIF(OFFSET(tongctvtpk1,0,-(COLUMN(E968)+7-(COLUMN(E968)-5)/2)),KLVT!$A968,tongctvtpk1)</f>
        <v>0</v>
      </c>
      <c r="F968" s="449">
        <f ca="1">SUMIF(OFFSET(cttba_vlvt1_1,0,-9,-ROW(cttba_vlvt1_1)+ROW(cttba_vltb1_1)-10),KLVT!$A968,OFFSET(cttba_vlvt1_1,0,-4,-ROW(cttba_vlvt1_1)+ROW(cttba_vltb1_1)-10))</f>
        <v>0</v>
      </c>
      <c r="G968" s="451">
        <f t="shared" ca="1" si="167"/>
        <v>0</v>
      </c>
      <c r="H968" s="450">
        <f t="shared" si="171"/>
        <v>1</v>
      </c>
      <c r="I968" s="447">
        <f t="shared" ca="1" si="168"/>
        <v>0</v>
      </c>
      <c r="J968" s="447">
        <f t="shared" ca="1" si="169"/>
        <v>0</v>
      </c>
      <c r="K968" s="373">
        <f t="shared" ca="1" si="170"/>
        <v>0</v>
      </c>
    </row>
    <row r="969" spans="1:11" s="373" customFormat="1" ht="15.75" hidden="1">
      <c r="A969" s="373" t="str">
        <f>IF(AND(COUNTIF($A$5:$A$133,R_DG!A843)=0,R_DG!R843&gt;0,ISNUMBER(R_DG!R843)),R_DG!A843,"NONE")</f>
        <v>NONE</v>
      </c>
      <c r="B969" s="85">
        <f ca="1">IF(K969&gt;0,COUNTIF(K$6:K969,"&gt;0"),B968)</f>
        <v>34</v>
      </c>
      <c r="C969" s="1084">
        <f t="shared" si="165"/>
        <v>0</v>
      </c>
      <c r="D969" s="85">
        <f t="shared" si="166"/>
        <v>0</v>
      </c>
      <c r="E969" s="448">
        <f ca="1">SUMIF(OFFSET(tongctvtdd1,0,-(COLUMN(E969)+7-(COLUMN(E969)-5)/2)),KLVT!$A969,tongctvtdd1)+SUMIF(OFFSET(tongctvtpk1,0,-(COLUMN(E969)+7-(COLUMN(E969)-5)/2)),KLVT!$A969,tongctvtpk1)</f>
        <v>0</v>
      </c>
      <c r="F969" s="449">
        <f ca="1">SUMIF(OFFSET(cttba_vlvt1_1,0,-9,-ROW(cttba_vlvt1_1)+ROW(cttba_vltb1_1)-10),KLVT!$A969,OFFSET(cttba_vlvt1_1,0,-4,-ROW(cttba_vlvt1_1)+ROW(cttba_vltb1_1)-10))</f>
        <v>0</v>
      </c>
      <c r="G969" s="451">
        <f t="shared" ca="1" si="167"/>
        <v>0</v>
      </c>
      <c r="H969" s="450">
        <f t="shared" si="171"/>
        <v>1</v>
      </c>
      <c r="I969" s="447">
        <f t="shared" ca="1" si="168"/>
        <v>0</v>
      </c>
      <c r="J969" s="447">
        <f t="shared" ca="1" si="169"/>
        <v>0</v>
      </c>
      <c r="K969" s="373">
        <f t="shared" ca="1" si="170"/>
        <v>0</v>
      </c>
    </row>
    <row r="970" spans="1:11" s="373" customFormat="1" ht="15.75" hidden="1">
      <c r="A970" s="373" t="str">
        <f>IF(AND(COUNTIF($A$5:$A$133,R_DG!A844)=0,R_DG!R844&gt;0,ISNUMBER(R_DG!R844)),R_DG!A844,"NONE")</f>
        <v>NONE</v>
      </c>
      <c r="B970" s="85">
        <f ca="1">IF(K970&gt;0,COUNTIF(K$6:K970,"&gt;0"),B969)</f>
        <v>34</v>
      </c>
      <c r="C970" s="1084">
        <f t="shared" si="165"/>
        <v>0</v>
      </c>
      <c r="D970" s="85">
        <f t="shared" si="166"/>
        <v>0</v>
      </c>
      <c r="E970" s="448">
        <f ca="1">SUMIF(OFFSET(tongctvtdd1,0,-(COLUMN(E970)+7-(COLUMN(E970)-5)/2)),KLVT!$A970,tongctvtdd1)+SUMIF(OFFSET(tongctvtpk1,0,-(COLUMN(E970)+7-(COLUMN(E970)-5)/2)),KLVT!$A970,tongctvtpk1)</f>
        <v>0</v>
      </c>
      <c r="F970" s="449">
        <f ca="1">SUMIF(OFFSET(cttba_vlvt1_1,0,-9,-ROW(cttba_vlvt1_1)+ROW(cttba_vltb1_1)-10),KLVT!$A970,OFFSET(cttba_vlvt1_1,0,-4,-ROW(cttba_vlvt1_1)+ROW(cttba_vltb1_1)-10))</f>
        <v>0</v>
      </c>
      <c r="G970" s="451">
        <f t="shared" ca="1" si="167"/>
        <v>0</v>
      </c>
      <c r="H970" s="450">
        <f t="shared" si="171"/>
        <v>1</v>
      </c>
      <c r="I970" s="447">
        <f t="shared" ca="1" si="168"/>
        <v>0</v>
      </c>
      <c r="J970" s="447">
        <f t="shared" ca="1" si="169"/>
        <v>0</v>
      </c>
      <c r="K970" s="373">
        <f t="shared" ca="1" si="170"/>
        <v>0</v>
      </c>
    </row>
    <row r="971" spans="1:11" s="373" customFormat="1" ht="15.75" hidden="1">
      <c r="A971" s="373" t="str">
        <f>IF(AND(COUNTIF($A$5:$A$133,R_DG!A845)=0,R_DG!R845&gt;0,ISNUMBER(R_DG!R845)),R_DG!A845,"NONE")</f>
        <v>NONE</v>
      </c>
      <c r="B971" s="85">
        <f ca="1">IF(K971&gt;0,COUNTIF(K$6:K971,"&gt;0"),B970)</f>
        <v>34</v>
      </c>
      <c r="C971" s="1084">
        <f t="shared" si="165"/>
        <v>0</v>
      </c>
      <c r="D971" s="85">
        <f t="shared" si="166"/>
        <v>0</v>
      </c>
      <c r="E971" s="448">
        <f ca="1">SUMIF(OFFSET(tongctvtdd1,0,-(COLUMN(E971)+7-(COLUMN(E971)-5)/2)),KLVT!$A971,tongctvtdd1)+SUMIF(OFFSET(tongctvtpk1,0,-(COLUMN(E971)+7-(COLUMN(E971)-5)/2)),KLVT!$A971,tongctvtpk1)</f>
        <v>0</v>
      </c>
      <c r="F971" s="449">
        <f ca="1">SUMIF(OFFSET(cttba_vlvt1_1,0,-9,-ROW(cttba_vlvt1_1)+ROW(cttba_vltb1_1)-10),KLVT!$A971,OFFSET(cttba_vlvt1_1,0,-4,-ROW(cttba_vlvt1_1)+ROW(cttba_vltb1_1)-10))</f>
        <v>0</v>
      </c>
      <c r="G971" s="451">
        <f t="shared" ca="1" si="167"/>
        <v>0</v>
      </c>
      <c r="H971" s="450">
        <f t="shared" si="171"/>
        <v>1</v>
      </c>
      <c r="I971" s="447">
        <f t="shared" ca="1" si="168"/>
        <v>0</v>
      </c>
      <c r="J971" s="447">
        <f t="shared" ca="1" si="169"/>
        <v>0</v>
      </c>
      <c r="K971" s="373">
        <f t="shared" ca="1" si="170"/>
        <v>0</v>
      </c>
    </row>
    <row r="972" spans="1:11" s="373" customFormat="1" ht="15.75" hidden="1">
      <c r="A972" s="373" t="str">
        <f>IF(AND(COUNTIF($A$5:$A$133,R_DG!A846)=0,R_DG!R846&gt;0,ISNUMBER(R_DG!R846)),R_DG!A846,"NONE")</f>
        <v>NONE</v>
      </c>
      <c r="B972" s="85">
        <f ca="1">IF(K972&gt;0,COUNTIF(K$6:K972,"&gt;0"),B971)</f>
        <v>34</v>
      </c>
      <c r="C972" s="1084">
        <f t="shared" si="165"/>
        <v>0</v>
      </c>
      <c r="D972" s="85">
        <f t="shared" si="166"/>
        <v>0</v>
      </c>
      <c r="E972" s="448">
        <f ca="1">SUMIF(OFFSET(tongctvtdd1,0,-(COLUMN(E972)+7-(COLUMN(E972)-5)/2)),KLVT!$A972,tongctvtdd1)+SUMIF(OFFSET(tongctvtpk1,0,-(COLUMN(E972)+7-(COLUMN(E972)-5)/2)),KLVT!$A972,tongctvtpk1)</f>
        <v>0</v>
      </c>
      <c r="F972" s="449">
        <f ca="1">SUMIF(OFFSET(cttba_vlvt1_1,0,-9,-ROW(cttba_vlvt1_1)+ROW(cttba_vltb1_1)-10),KLVT!$A972,OFFSET(cttba_vlvt1_1,0,-4,-ROW(cttba_vlvt1_1)+ROW(cttba_vltb1_1)-10))</f>
        <v>0</v>
      </c>
      <c r="G972" s="451">
        <f t="shared" ca="1" si="167"/>
        <v>0</v>
      </c>
      <c r="H972" s="450">
        <f t="shared" si="171"/>
        <v>1</v>
      </c>
      <c r="I972" s="447">
        <f t="shared" ca="1" si="168"/>
        <v>0</v>
      </c>
      <c r="J972" s="447">
        <f t="shared" ca="1" si="169"/>
        <v>0</v>
      </c>
      <c r="K972" s="373">
        <f t="shared" ca="1" si="170"/>
        <v>0</v>
      </c>
    </row>
    <row r="973" spans="1:11" s="373" customFormat="1" ht="15.75" hidden="1">
      <c r="A973" s="373" t="str">
        <f>IF(AND(COUNTIF($A$5:$A$133,R_DG!A847)=0,R_DG!R847&gt;0,ISNUMBER(R_DG!R847)),R_DG!A847,"NONE")</f>
        <v>NONE</v>
      </c>
      <c r="B973" s="85">
        <f ca="1">IF(K973&gt;0,COUNTIF(K$6:K973,"&gt;0"),B972)</f>
        <v>34</v>
      </c>
      <c r="C973" s="1084">
        <f t="shared" si="165"/>
        <v>0</v>
      </c>
      <c r="D973" s="85">
        <f t="shared" si="166"/>
        <v>0</v>
      </c>
      <c r="E973" s="448">
        <f ca="1">SUMIF(OFFSET(tongctvtdd1,0,-(COLUMN(E973)+7-(COLUMN(E973)-5)/2)),KLVT!$A973,tongctvtdd1)+SUMIF(OFFSET(tongctvtpk1,0,-(COLUMN(E973)+7-(COLUMN(E973)-5)/2)),KLVT!$A973,tongctvtpk1)</f>
        <v>0</v>
      </c>
      <c r="F973" s="449">
        <f ca="1">SUMIF(OFFSET(cttba_vlvt1_1,0,-9,-ROW(cttba_vlvt1_1)+ROW(cttba_vltb1_1)-10),KLVT!$A973,OFFSET(cttba_vlvt1_1,0,-4,-ROW(cttba_vlvt1_1)+ROW(cttba_vltb1_1)-10))</f>
        <v>0</v>
      </c>
      <c r="G973" s="451">
        <f t="shared" ca="1" si="167"/>
        <v>0</v>
      </c>
      <c r="H973" s="450">
        <f t="shared" si="171"/>
        <v>1</v>
      </c>
      <c r="I973" s="447">
        <f t="shared" ca="1" si="168"/>
        <v>0</v>
      </c>
      <c r="J973" s="447">
        <f t="shared" ca="1" si="169"/>
        <v>0</v>
      </c>
      <c r="K973" s="373">
        <f t="shared" ca="1" si="170"/>
        <v>0</v>
      </c>
    </row>
    <row r="974" spans="1:11" s="373" customFormat="1" ht="15.75" hidden="1">
      <c r="A974" s="373" t="str">
        <f>IF(AND(COUNTIF($A$5:$A$133,R_DG!A848)=0,R_DG!R848&gt;0,ISNUMBER(R_DG!R848)),R_DG!A848,"NONE")</f>
        <v>NONE</v>
      </c>
      <c r="B974" s="85">
        <f ca="1">IF(K974&gt;0,COUNTIF(K$6:K974,"&gt;0"),B973)</f>
        <v>34</v>
      </c>
      <c r="C974" s="1084">
        <f t="shared" si="165"/>
        <v>0</v>
      </c>
      <c r="D974" s="85">
        <f t="shared" si="166"/>
        <v>0</v>
      </c>
      <c r="E974" s="448">
        <f ca="1">SUMIF(OFFSET(tongctvtdd1,0,-(COLUMN(E974)+7-(COLUMN(E974)-5)/2)),KLVT!$A974,tongctvtdd1)+SUMIF(OFFSET(tongctvtpk1,0,-(COLUMN(E974)+7-(COLUMN(E974)-5)/2)),KLVT!$A974,tongctvtpk1)</f>
        <v>0</v>
      </c>
      <c r="F974" s="449">
        <f ca="1">SUMIF(OFFSET(cttba_vlvt1_1,0,-9,-ROW(cttba_vlvt1_1)+ROW(cttba_vltb1_1)-10),KLVT!$A974,OFFSET(cttba_vlvt1_1,0,-4,-ROW(cttba_vlvt1_1)+ROW(cttba_vltb1_1)-10))</f>
        <v>0</v>
      </c>
      <c r="G974" s="451">
        <f t="shared" ca="1" si="167"/>
        <v>0</v>
      </c>
      <c r="H974" s="450">
        <f t="shared" si="171"/>
        <v>1</v>
      </c>
      <c r="I974" s="447">
        <f t="shared" ca="1" si="168"/>
        <v>0</v>
      </c>
      <c r="J974" s="447">
        <f t="shared" ca="1" si="169"/>
        <v>0</v>
      </c>
      <c r="K974" s="373">
        <f t="shared" ca="1" si="170"/>
        <v>0</v>
      </c>
    </row>
    <row r="975" spans="1:11" s="373" customFormat="1" ht="15.75" hidden="1">
      <c r="A975" s="373" t="str">
        <f>IF(AND(COUNTIF($A$5:$A$133,R_DG!A849)=0,R_DG!R849&gt;0,ISNUMBER(R_DG!R849)),R_DG!A849,"NONE")</f>
        <v>NONE</v>
      </c>
      <c r="B975" s="85">
        <f ca="1">IF(K975&gt;0,COUNTIF(K$6:K975,"&gt;0"),B974)</f>
        <v>34</v>
      </c>
      <c r="C975" s="1084">
        <f t="shared" si="165"/>
        <v>0</v>
      </c>
      <c r="D975" s="85">
        <f t="shared" si="166"/>
        <v>0</v>
      </c>
      <c r="E975" s="448">
        <f ca="1">SUMIF(OFFSET(tongctvtdd1,0,-(COLUMN(E975)+7-(COLUMN(E975)-5)/2)),KLVT!$A975,tongctvtdd1)+SUMIF(OFFSET(tongctvtpk1,0,-(COLUMN(E975)+7-(COLUMN(E975)-5)/2)),KLVT!$A975,tongctvtpk1)</f>
        <v>0</v>
      </c>
      <c r="F975" s="449">
        <f ca="1">SUMIF(OFFSET(cttba_vlvt1_1,0,-9,-ROW(cttba_vlvt1_1)+ROW(cttba_vltb1_1)-10),KLVT!$A975,OFFSET(cttba_vlvt1_1,0,-4,-ROW(cttba_vlvt1_1)+ROW(cttba_vltb1_1)-10))</f>
        <v>0</v>
      </c>
      <c r="G975" s="451">
        <f t="shared" ca="1" si="167"/>
        <v>0</v>
      </c>
      <c r="H975" s="450">
        <f t="shared" si="171"/>
        <v>1</v>
      </c>
      <c r="I975" s="447">
        <f t="shared" ca="1" si="168"/>
        <v>0</v>
      </c>
      <c r="J975" s="447">
        <f t="shared" ca="1" si="169"/>
        <v>0</v>
      </c>
      <c r="K975" s="373">
        <f t="shared" ca="1" si="170"/>
        <v>0</v>
      </c>
    </row>
    <row r="976" spans="1:11" s="373" customFormat="1" ht="15.75" hidden="1">
      <c r="A976" s="373" t="str">
        <f>IF(AND(COUNTIF($A$5:$A$133,R_DG!A850)=0,R_DG!R850&gt;0,ISNUMBER(R_DG!R850)),R_DG!A850,"NONE")</f>
        <v>NONE</v>
      </c>
      <c r="B976" s="85">
        <f ca="1">IF(K976&gt;0,COUNTIF(K$6:K976,"&gt;0"),B975)</f>
        <v>34</v>
      </c>
      <c r="C976" s="1084">
        <f t="shared" si="165"/>
        <v>0</v>
      </c>
      <c r="D976" s="85">
        <f t="shared" si="166"/>
        <v>0</v>
      </c>
      <c r="E976" s="448">
        <f ca="1">SUMIF(OFFSET(tongctvtdd1,0,-(COLUMN(E976)+7-(COLUMN(E976)-5)/2)),KLVT!$A976,tongctvtdd1)+SUMIF(OFFSET(tongctvtpk1,0,-(COLUMN(E976)+7-(COLUMN(E976)-5)/2)),KLVT!$A976,tongctvtpk1)</f>
        <v>0</v>
      </c>
      <c r="F976" s="449">
        <f ca="1">SUMIF(OFFSET(cttba_vlvt1_1,0,-9,-ROW(cttba_vlvt1_1)+ROW(cttba_vltb1_1)-10),KLVT!$A976,OFFSET(cttba_vlvt1_1,0,-4,-ROW(cttba_vlvt1_1)+ROW(cttba_vltb1_1)-10))</f>
        <v>0</v>
      </c>
      <c r="G976" s="451">
        <f t="shared" ca="1" si="167"/>
        <v>0</v>
      </c>
      <c r="H976" s="450">
        <f t="shared" si="171"/>
        <v>1</v>
      </c>
      <c r="I976" s="447">
        <f t="shared" ca="1" si="168"/>
        <v>0</v>
      </c>
      <c r="J976" s="447">
        <f t="shared" ca="1" si="169"/>
        <v>0</v>
      </c>
      <c r="K976" s="373">
        <f t="shared" ca="1" si="170"/>
        <v>0</v>
      </c>
    </row>
    <row r="977" spans="1:11" s="373" customFormat="1" ht="15.75" hidden="1">
      <c r="A977" s="373" t="str">
        <f>IF(AND(COUNTIF($A$5:$A$133,R_DG!A851)=0,R_DG!R851&gt;0,ISNUMBER(R_DG!R851)),R_DG!A851,"NONE")</f>
        <v>NONE</v>
      </c>
      <c r="B977" s="85">
        <f ca="1">IF(K977&gt;0,COUNTIF(K$6:K977,"&gt;0"),B976)</f>
        <v>34</v>
      </c>
      <c r="C977" s="1084">
        <f t="shared" si="165"/>
        <v>0</v>
      </c>
      <c r="D977" s="85">
        <f t="shared" si="166"/>
        <v>0</v>
      </c>
      <c r="E977" s="448">
        <f ca="1">SUMIF(OFFSET(tongctvtdd1,0,-(COLUMN(E977)+7-(COLUMN(E977)-5)/2)),KLVT!$A977,tongctvtdd1)+SUMIF(OFFSET(tongctvtpk1,0,-(COLUMN(E977)+7-(COLUMN(E977)-5)/2)),KLVT!$A977,tongctvtpk1)</f>
        <v>0</v>
      </c>
      <c r="F977" s="449">
        <f ca="1">SUMIF(OFFSET(cttba_vlvt1_1,0,-9,-ROW(cttba_vlvt1_1)+ROW(cttba_vltb1_1)-10),KLVT!$A977,OFFSET(cttba_vlvt1_1,0,-4,-ROW(cttba_vlvt1_1)+ROW(cttba_vltb1_1)-10))</f>
        <v>0</v>
      </c>
      <c r="G977" s="451">
        <f t="shared" ca="1" si="167"/>
        <v>0</v>
      </c>
      <c r="H977" s="450">
        <f t="shared" si="171"/>
        <v>1</v>
      </c>
      <c r="I977" s="447">
        <f t="shared" ca="1" si="168"/>
        <v>0</v>
      </c>
      <c r="J977" s="447">
        <f t="shared" ca="1" si="169"/>
        <v>0</v>
      </c>
      <c r="K977" s="373">
        <f t="shared" ca="1" si="170"/>
        <v>0</v>
      </c>
    </row>
    <row r="978" spans="1:11" s="373" customFormat="1" ht="15.75" hidden="1">
      <c r="A978" s="373" t="str">
        <f>IF(AND(COUNTIF($A$5:$A$133,R_DG!A852)=0,R_DG!R852&gt;0,ISNUMBER(R_DG!R852)),R_DG!A852,"NONE")</f>
        <v>NONE</v>
      </c>
      <c r="B978" s="85">
        <f ca="1">IF(K978&gt;0,COUNTIF(K$6:K978,"&gt;0"),B977)</f>
        <v>34</v>
      </c>
      <c r="C978" s="1084">
        <f t="shared" si="165"/>
        <v>0</v>
      </c>
      <c r="D978" s="85">
        <f t="shared" si="166"/>
        <v>0</v>
      </c>
      <c r="E978" s="448">
        <f ca="1">SUMIF(OFFSET(tongctvtdd1,0,-(COLUMN(E978)+7-(COLUMN(E978)-5)/2)),KLVT!$A978,tongctvtdd1)+SUMIF(OFFSET(tongctvtpk1,0,-(COLUMN(E978)+7-(COLUMN(E978)-5)/2)),KLVT!$A978,tongctvtpk1)</f>
        <v>0</v>
      </c>
      <c r="F978" s="449">
        <f ca="1">SUMIF(OFFSET(cttba_vlvt1_1,0,-9,-ROW(cttba_vlvt1_1)+ROW(cttba_vltb1_1)-10),KLVT!$A978,OFFSET(cttba_vlvt1_1,0,-4,-ROW(cttba_vlvt1_1)+ROW(cttba_vltb1_1)-10))</f>
        <v>0</v>
      </c>
      <c r="G978" s="451">
        <f t="shared" ca="1" si="167"/>
        <v>0</v>
      </c>
      <c r="H978" s="450">
        <f t="shared" si="171"/>
        <v>1</v>
      </c>
      <c r="I978" s="447">
        <f t="shared" ca="1" si="168"/>
        <v>0</v>
      </c>
      <c r="J978" s="447">
        <f t="shared" ca="1" si="169"/>
        <v>0</v>
      </c>
      <c r="K978" s="373">
        <f t="shared" ca="1" si="170"/>
        <v>0</v>
      </c>
    </row>
    <row r="979" spans="1:11" s="373" customFormat="1" ht="15.75" hidden="1">
      <c r="A979" s="373" t="str">
        <f>IF(AND(COUNTIF($A$5:$A$133,R_DG!A853)=0,R_DG!R853&gt;0,ISNUMBER(R_DG!R853)),R_DG!A853,"NONE")</f>
        <v>NONE</v>
      </c>
      <c r="B979" s="85">
        <f ca="1">IF(K979&gt;0,COUNTIF(K$6:K979,"&gt;0"),B978)</f>
        <v>34</v>
      </c>
      <c r="C979" s="1084">
        <f t="shared" si="165"/>
        <v>0</v>
      </c>
      <c r="D979" s="85">
        <f t="shared" si="166"/>
        <v>0</v>
      </c>
      <c r="E979" s="448">
        <f ca="1">SUMIF(OFFSET(tongctvtdd1,0,-(COLUMN(E979)+7-(COLUMN(E979)-5)/2)),KLVT!$A979,tongctvtdd1)+SUMIF(OFFSET(tongctvtpk1,0,-(COLUMN(E979)+7-(COLUMN(E979)-5)/2)),KLVT!$A979,tongctvtpk1)</f>
        <v>0</v>
      </c>
      <c r="F979" s="449">
        <f ca="1">SUMIF(OFFSET(cttba_vlvt1_1,0,-9,-ROW(cttba_vlvt1_1)+ROW(cttba_vltb1_1)-10),KLVT!$A979,OFFSET(cttba_vlvt1_1,0,-4,-ROW(cttba_vlvt1_1)+ROW(cttba_vltb1_1)-10))</f>
        <v>0</v>
      </c>
      <c r="G979" s="451">
        <f t="shared" ca="1" si="167"/>
        <v>0</v>
      </c>
      <c r="H979" s="450">
        <f t="shared" si="171"/>
        <v>1</v>
      </c>
      <c r="I979" s="447">
        <f t="shared" ca="1" si="168"/>
        <v>0</v>
      </c>
      <c r="J979" s="447">
        <f t="shared" ca="1" si="169"/>
        <v>0</v>
      </c>
      <c r="K979" s="373">
        <f t="shared" ca="1" si="170"/>
        <v>0</v>
      </c>
    </row>
    <row r="980" spans="1:11" s="373" customFormat="1" ht="15.75" hidden="1">
      <c r="A980" s="373" t="str">
        <f>IF(AND(COUNTIF($A$5:$A$133,R_DG!A854)=0,R_DG!R854&gt;0,ISNUMBER(R_DG!R854)),R_DG!A854,"NONE")</f>
        <v>NONE</v>
      </c>
      <c r="B980" s="85">
        <f ca="1">IF(K980&gt;0,COUNTIF(K$6:K980,"&gt;0"),B979)</f>
        <v>34</v>
      </c>
      <c r="C980" s="1084">
        <f t="shared" si="165"/>
        <v>0</v>
      </c>
      <c r="D980" s="85">
        <f t="shared" si="166"/>
        <v>0</v>
      </c>
      <c r="E980" s="448">
        <f ca="1">SUMIF(OFFSET(tongctvtdd1,0,-(COLUMN(E980)+7-(COLUMN(E980)-5)/2)),KLVT!$A980,tongctvtdd1)+SUMIF(OFFSET(tongctvtpk1,0,-(COLUMN(E980)+7-(COLUMN(E980)-5)/2)),KLVT!$A980,tongctvtpk1)</f>
        <v>0</v>
      </c>
      <c r="F980" s="449">
        <f ca="1">SUMIF(OFFSET(cttba_vlvt1_1,0,-9,-ROW(cttba_vlvt1_1)+ROW(cttba_vltb1_1)-10),KLVT!$A980,OFFSET(cttba_vlvt1_1,0,-4,-ROW(cttba_vlvt1_1)+ROW(cttba_vltb1_1)-10))</f>
        <v>0</v>
      </c>
      <c r="G980" s="451">
        <f t="shared" ca="1" si="167"/>
        <v>0</v>
      </c>
      <c r="H980" s="450">
        <f t="shared" si="171"/>
        <v>1</v>
      </c>
      <c r="I980" s="447">
        <f t="shared" ca="1" si="168"/>
        <v>0</v>
      </c>
      <c r="J980" s="447">
        <f t="shared" ca="1" si="169"/>
        <v>0</v>
      </c>
      <c r="K980" s="373">
        <f t="shared" ca="1" si="170"/>
        <v>0</v>
      </c>
    </row>
    <row r="981" spans="1:11" s="373" customFormat="1" ht="15.75" hidden="1">
      <c r="A981" s="373" t="str">
        <f>IF(AND(COUNTIF($A$5:$A$133,R_DG!A855)=0,R_DG!R855&gt;0,ISNUMBER(R_DG!R855)),R_DG!A855,"NONE")</f>
        <v>NONE</v>
      </c>
      <c r="B981" s="85">
        <f ca="1">IF(K981&gt;0,COUNTIF(K$6:K981,"&gt;0"),B980)</f>
        <v>34</v>
      </c>
      <c r="C981" s="1084">
        <f t="shared" si="165"/>
        <v>0</v>
      </c>
      <c r="D981" s="85">
        <f t="shared" si="166"/>
        <v>0</v>
      </c>
      <c r="E981" s="448">
        <f ca="1">SUMIF(OFFSET(tongctvtdd1,0,-(COLUMN(E981)+7-(COLUMN(E981)-5)/2)),KLVT!$A981,tongctvtdd1)+SUMIF(OFFSET(tongctvtpk1,0,-(COLUMN(E981)+7-(COLUMN(E981)-5)/2)),KLVT!$A981,tongctvtpk1)</f>
        <v>0</v>
      </c>
      <c r="F981" s="449">
        <f ca="1">SUMIF(OFFSET(cttba_vlvt1_1,0,-9,-ROW(cttba_vlvt1_1)+ROW(cttba_vltb1_1)-10),KLVT!$A981,OFFSET(cttba_vlvt1_1,0,-4,-ROW(cttba_vlvt1_1)+ROW(cttba_vltb1_1)-10))</f>
        <v>0</v>
      </c>
      <c r="G981" s="451">
        <f t="shared" ca="1" si="167"/>
        <v>0</v>
      </c>
      <c r="H981" s="450">
        <f t="shared" si="171"/>
        <v>1</v>
      </c>
      <c r="I981" s="447">
        <f t="shared" ca="1" si="168"/>
        <v>0</v>
      </c>
      <c r="J981" s="447">
        <f t="shared" ca="1" si="169"/>
        <v>0</v>
      </c>
      <c r="K981" s="373">
        <f t="shared" ca="1" si="170"/>
        <v>0</v>
      </c>
    </row>
    <row r="982" spans="1:11" s="373" customFormat="1" ht="15.75" hidden="1">
      <c r="A982" s="373" t="str">
        <f>IF(AND(COUNTIF($A$5:$A$133,R_DG!A856)=0,R_DG!R856&gt;0,ISNUMBER(R_DG!R856)),R_DG!A856,"NONE")</f>
        <v>NONE</v>
      </c>
      <c r="B982" s="85">
        <f ca="1">IF(K982&gt;0,COUNTIF(K$6:K982,"&gt;0"),B981)</f>
        <v>34</v>
      </c>
      <c r="C982" s="1084">
        <f t="shared" si="165"/>
        <v>0</v>
      </c>
      <c r="D982" s="85">
        <f t="shared" si="166"/>
        <v>0</v>
      </c>
      <c r="E982" s="448">
        <f ca="1">SUMIF(OFFSET(tongctvtdd1,0,-(COLUMN(E982)+7-(COLUMN(E982)-5)/2)),KLVT!$A982,tongctvtdd1)+SUMIF(OFFSET(tongctvtpk1,0,-(COLUMN(E982)+7-(COLUMN(E982)-5)/2)),KLVT!$A982,tongctvtpk1)</f>
        <v>0</v>
      </c>
      <c r="F982" s="449">
        <f ca="1">SUMIF(OFFSET(cttba_vlvt1_1,0,-9,-ROW(cttba_vlvt1_1)+ROW(cttba_vltb1_1)-10),KLVT!$A982,OFFSET(cttba_vlvt1_1,0,-4,-ROW(cttba_vlvt1_1)+ROW(cttba_vltb1_1)-10))</f>
        <v>0</v>
      </c>
      <c r="G982" s="451">
        <f t="shared" ca="1" si="167"/>
        <v>0</v>
      </c>
      <c r="H982" s="450">
        <f t="shared" si="171"/>
        <v>1</v>
      </c>
      <c r="I982" s="447">
        <f t="shared" ca="1" si="168"/>
        <v>0</v>
      </c>
      <c r="J982" s="447">
        <f t="shared" ca="1" si="169"/>
        <v>0</v>
      </c>
      <c r="K982" s="373">
        <f t="shared" ca="1" si="170"/>
        <v>0</v>
      </c>
    </row>
    <row r="983" spans="1:11" s="373" customFormat="1" ht="15.75" hidden="1">
      <c r="A983" s="373" t="str">
        <f>IF(AND(COUNTIF($A$5:$A$133,R_DG!A857)=0,R_DG!R857&gt;0,ISNUMBER(R_DG!R857)),R_DG!A857,"NONE")</f>
        <v>NONE</v>
      </c>
      <c r="B983" s="85">
        <f ca="1">IF(K983&gt;0,COUNTIF(K$6:K983,"&gt;0"),B982)</f>
        <v>34</v>
      </c>
      <c r="C983" s="1084">
        <f t="shared" si="165"/>
        <v>0</v>
      </c>
      <c r="D983" s="85">
        <f t="shared" si="166"/>
        <v>0</v>
      </c>
      <c r="E983" s="448">
        <f ca="1">SUMIF(OFFSET(tongctvtdd1,0,-(COLUMN(E983)+7-(COLUMN(E983)-5)/2)),KLVT!$A983,tongctvtdd1)+SUMIF(OFFSET(tongctvtpk1,0,-(COLUMN(E983)+7-(COLUMN(E983)-5)/2)),KLVT!$A983,tongctvtpk1)</f>
        <v>0</v>
      </c>
      <c r="F983" s="449">
        <f ca="1">SUMIF(OFFSET(cttba_vlvt1_1,0,-9,-ROW(cttba_vlvt1_1)+ROW(cttba_vltb1_1)-10),KLVT!$A983,OFFSET(cttba_vlvt1_1,0,-4,-ROW(cttba_vlvt1_1)+ROW(cttba_vltb1_1)-10))</f>
        <v>0</v>
      </c>
      <c r="G983" s="451">
        <f t="shared" ca="1" si="167"/>
        <v>0</v>
      </c>
      <c r="H983" s="450">
        <f t="shared" si="171"/>
        <v>1</v>
      </c>
      <c r="I983" s="447">
        <f t="shared" ca="1" si="168"/>
        <v>0</v>
      </c>
      <c r="J983" s="447">
        <f t="shared" ca="1" si="169"/>
        <v>0</v>
      </c>
      <c r="K983" s="373">
        <f t="shared" ca="1" si="170"/>
        <v>0</v>
      </c>
    </row>
    <row r="984" spans="1:11" s="373" customFormat="1" ht="15.75" hidden="1">
      <c r="A984" s="373" t="str">
        <f>IF(AND(COUNTIF($A$5:$A$133,R_DG!A858)=0,R_DG!R858&gt;0,ISNUMBER(R_DG!R858)),R_DG!A858,"NONE")</f>
        <v>NONE</v>
      </c>
      <c r="B984" s="85">
        <f ca="1">IF(K984&gt;0,COUNTIF(K$6:K984,"&gt;0"),B983)</f>
        <v>34</v>
      </c>
      <c r="C984" s="1084">
        <f t="shared" si="165"/>
        <v>0</v>
      </c>
      <c r="D984" s="85">
        <f t="shared" si="166"/>
        <v>0</v>
      </c>
      <c r="E984" s="448">
        <f ca="1">SUMIF(OFFSET(tongctvtdd1,0,-(COLUMN(E984)+7-(COLUMN(E984)-5)/2)),KLVT!$A984,tongctvtdd1)+SUMIF(OFFSET(tongctvtpk1,0,-(COLUMN(E984)+7-(COLUMN(E984)-5)/2)),KLVT!$A984,tongctvtpk1)</f>
        <v>0</v>
      </c>
      <c r="F984" s="449">
        <f ca="1">SUMIF(OFFSET(cttba_vlvt1_1,0,-9,-ROW(cttba_vlvt1_1)+ROW(cttba_vltb1_1)-10),KLVT!$A984,OFFSET(cttba_vlvt1_1,0,-4,-ROW(cttba_vlvt1_1)+ROW(cttba_vltb1_1)-10))</f>
        <v>0</v>
      </c>
      <c r="G984" s="451">
        <f t="shared" ca="1" si="167"/>
        <v>0</v>
      </c>
      <c r="H984" s="450">
        <f t="shared" si="171"/>
        <v>1</v>
      </c>
      <c r="I984" s="447">
        <f t="shared" ca="1" si="168"/>
        <v>0</v>
      </c>
      <c r="J984" s="447">
        <f t="shared" ca="1" si="169"/>
        <v>0</v>
      </c>
      <c r="K984" s="373">
        <f t="shared" ca="1" si="170"/>
        <v>0</v>
      </c>
    </row>
    <row r="985" spans="1:11" s="373" customFormat="1" ht="15.75" hidden="1">
      <c r="A985" s="373" t="str">
        <f>IF(AND(COUNTIF($A$5:$A$133,R_DG!A859)=0,R_DG!R859&gt;0,ISNUMBER(R_DG!R859)),R_DG!A859,"NONE")</f>
        <v>NONE</v>
      </c>
      <c r="B985" s="85">
        <f ca="1">IF(K985&gt;0,COUNTIF(K$6:K985,"&gt;0"),B984)</f>
        <v>34</v>
      </c>
      <c r="C985" s="1084">
        <f t="shared" si="165"/>
        <v>0</v>
      </c>
      <c r="D985" s="85">
        <f t="shared" si="166"/>
        <v>0</v>
      </c>
      <c r="E985" s="448">
        <f ca="1">SUMIF(OFFSET(tongctvtdd1,0,-(COLUMN(E985)+7-(COLUMN(E985)-5)/2)),KLVT!$A985,tongctvtdd1)+SUMIF(OFFSET(tongctvtpk1,0,-(COLUMN(E985)+7-(COLUMN(E985)-5)/2)),KLVT!$A985,tongctvtpk1)</f>
        <v>0</v>
      </c>
      <c r="F985" s="449">
        <f ca="1">SUMIF(OFFSET(cttba_vlvt1_1,0,-9,-ROW(cttba_vlvt1_1)+ROW(cttba_vltb1_1)-10),KLVT!$A985,OFFSET(cttba_vlvt1_1,0,-4,-ROW(cttba_vlvt1_1)+ROW(cttba_vltb1_1)-10))</f>
        <v>0</v>
      </c>
      <c r="G985" s="451">
        <f t="shared" ca="1" si="167"/>
        <v>0</v>
      </c>
      <c r="H985" s="450">
        <f t="shared" si="171"/>
        <v>1</v>
      </c>
      <c r="I985" s="447">
        <f t="shared" ca="1" si="168"/>
        <v>0</v>
      </c>
      <c r="J985" s="447">
        <f t="shared" ca="1" si="169"/>
        <v>0</v>
      </c>
      <c r="K985" s="373">
        <f t="shared" ca="1" si="170"/>
        <v>0</v>
      </c>
    </row>
    <row r="986" spans="1:11" s="373" customFormat="1" ht="15.75" hidden="1">
      <c r="A986" s="373" t="str">
        <f>IF(AND(COUNTIF($A$5:$A$133,R_DG!A860)=0,R_DG!R860&gt;0,ISNUMBER(R_DG!R860)),R_DG!A860,"NONE")</f>
        <v>NONE</v>
      </c>
      <c r="B986" s="85">
        <f ca="1">IF(K986&gt;0,COUNTIF(K$6:K986,"&gt;0"),B985)</f>
        <v>34</v>
      </c>
      <c r="C986" s="1084">
        <f t="shared" si="165"/>
        <v>0</v>
      </c>
      <c r="D986" s="85">
        <f t="shared" si="166"/>
        <v>0</v>
      </c>
      <c r="E986" s="448">
        <f ca="1">SUMIF(OFFSET(tongctvtdd1,0,-(COLUMN(E986)+7-(COLUMN(E986)-5)/2)),KLVT!$A986,tongctvtdd1)+SUMIF(OFFSET(tongctvtpk1,0,-(COLUMN(E986)+7-(COLUMN(E986)-5)/2)),KLVT!$A986,tongctvtpk1)</f>
        <v>0</v>
      </c>
      <c r="F986" s="449">
        <f ca="1">SUMIF(OFFSET(cttba_vlvt1_1,0,-9,-ROW(cttba_vlvt1_1)+ROW(cttba_vltb1_1)-10),KLVT!$A986,OFFSET(cttba_vlvt1_1,0,-4,-ROW(cttba_vlvt1_1)+ROW(cttba_vltb1_1)-10))</f>
        <v>0</v>
      </c>
      <c r="G986" s="451">
        <f t="shared" ca="1" si="167"/>
        <v>0</v>
      </c>
      <c r="H986" s="450">
        <f t="shared" si="171"/>
        <v>1</v>
      </c>
      <c r="I986" s="447">
        <f t="shared" ca="1" si="168"/>
        <v>0</v>
      </c>
      <c r="J986" s="447">
        <f t="shared" ca="1" si="169"/>
        <v>0</v>
      </c>
      <c r="K986" s="373">
        <f t="shared" ca="1" si="170"/>
        <v>0</v>
      </c>
    </row>
    <row r="987" spans="1:11" s="373" customFormat="1" ht="15.75" hidden="1">
      <c r="A987" s="373" t="str">
        <f>IF(AND(COUNTIF($A$5:$A$133,R_DG!A861)=0,R_DG!R861&gt;0,ISNUMBER(R_DG!R861)),R_DG!A861,"NONE")</f>
        <v>NONE</v>
      </c>
      <c r="B987" s="85">
        <f ca="1">IF(K987&gt;0,COUNTIF(K$6:K987,"&gt;0"),B986)</f>
        <v>34</v>
      </c>
      <c r="C987" s="1084">
        <f t="shared" si="165"/>
        <v>0</v>
      </c>
      <c r="D987" s="85">
        <f t="shared" si="166"/>
        <v>0</v>
      </c>
      <c r="E987" s="448">
        <f ca="1">SUMIF(OFFSET(tongctvtdd1,0,-(COLUMN(E987)+7-(COLUMN(E987)-5)/2)),KLVT!$A987,tongctvtdd1)+SUMIF(OFFSET(tongctvtpk1,0,-(COLUMN(E987)+7-(COLUMN(E987)-5)/2)),KLVT!$A987,tongctvtpk1)</f>
        <v>0</v>
      </c>
      <c r="F987" s="449">
        <f ca="1">SUMIF(OFFSET(cttba_vlvt1_1,0,-9,-ROW(cttba_vlvt1_1)+ROW(cttba_vltb1_1)-10),KLVT!$A987,OFFSET(cttba_vlvt1_1,0,-4,-ROW(cttba_vlvt1_1)+ROW(cttba_vltb1_1)-10))</f>
        <v>0</v>
      </c>
      <c r="G987" s="451">
        <f t="shared" ca="1" si="167"/>
        <v>0</v>
      </c>
      <c r="H987" s="450">
        <f t="shared" si="171"/>
        <v>1</v>
      </c>
      <c r="I987" s="447">
        <f t="shared" ca="1" si="168"/>
        <v>0</v>
      </c>
      <c r="J987" s="447">
        <f t="shared" ca="1" si="169"/>
        <v>0</v>
      </c>
      <c r="K987" s="373">
        <f t="shared" ca="1" si="170"/>
        <v>0</v>
      </c>
    </row>
    <row r="988" spans="1:11" s="373" customFormat="1" ht="15.75" hidden="1">
      <c r="A988" s="373" t="str">
        <f>IF(AND(COUNTIF($A$5:$A$133,R_DG!A862)=0,R_DG!R862&gt;0,ISNUMBER(R_DG!R862)),R_DG!A862,"NONE")</f>
        <v>NONE</v>
      </c>
      <c r="B988" s="85">
        <f ca="1">IF(K988&gt;0,COUNTIF(K$6:K988,"&gt;0"),B987)</f>
        <v>34</v>
      </c>
      <c r="C988" s="1084">
        <f t="shared" si="165"/>
        <v>0</v>
      </c>
      <c r="D988" s="85">
        <f t="shared" si="166"/>
        <v>0</v>
      </c>
      <c r="E988" s="448">
        <f ca="1">SUMIF(OFFSET(tongctvtdd1,0,-(COLUMN(E988)+7-(COLUMN(E988)-5)/2)),KLVT!$A988,tongctvtdd1)+SUMIF(OFFSET(tongctvtpk1,0,-(COLUMN(E988)+7-(COLUMN(E988)-5)/2)),KLVT!$A988,tongctvtpk1)</f>
        <v>0</v>
      </c>
      <c r="F988" s="449">
        <f ca="1">SUMIF(OFFSET(cttba_vlvt1_1,0,-9,-ROW(cttba_vlvt1_1)+ROW(cttba_vltb1_1)-10),KLVT!$A988,OFFSET(cttba_vlvt1_1,0,-4,-ROW(cttba_vlvt1_1)+ROW(cttba_vltb1_1)-10))</f>
        <v>0</v>
      </c>
      <c r="G988" s="451">
        <f t="shared" ca="1" si="167"/>
        <v>0</v>
      </c>
      <c r="H988" s="450">
        <f t="shared" si="171"/>
        <v>1</v>
      </c>
      <c r="I988" s="447">
        <f t="shared" ca="1" si="168"/>
        <v>0</v>
      </c>
      <c r="J988" s="447">
        <f t="shared" ca="1" si="169"/>
        <v>0</v>
      </c>
      <c r="K988" s="373">
        <f t="shared" ca="1" si="170"/>
        <v>0</v>
      </c>
    </row>
    <row r="989" spans="1:11" s="373" customFormat="1" ht="15.75" hidden="1">
      <c r="A989" s="373" t="str">
        <f>IF(AND(COUNTIF($A$5:$A$133,R_DG!A863)=0,R_DG!R863&gt;0,ISNUMBER(R_DG!R863)),R_DG!A863,"NONE")</f>
        <v>NONE</v>
      </c>
      <c r="B989" s="85">
        <f ca="1">IF(K989&gt;0,COUNTIF(K$6:K989,"&gt;0"),B988)</f>
        <v>34</v>
      </c>
      <c r="C989" s="1084">
        <f t="shared" si="165"/>
        <v>0</v>
      </c>
      <c r="D989" s="85">
        <f t="shared" si="166"/>
        <v>0</v>
      </c>
      <c r="E989" s="448">
        <f ca="1">SUMIF(OFFSET(tongctvtdd1,0,-(COLUMN(E989)+7-(COLUMN(E989)-5)/2)),KLVT!$A989,tongctvtdd1)+SUMIF(OFFSET(tongctvtpk1,0,-(COLUMN(E989)+7-(COLUMN(E989)-5)/2)),KLVT!$A989,tongctvtpk1)</f>
        <v>0</v>
      </c>
      <c r="F989" s="449">
        <f ca="1">SUMIF(OFFSET(cttba_vlvt1_1,0,-9,-ROW(cttba_vlvt1_1)+ROW(cttba_vltb1_1)-10),KLVT!$A989,OFFSET(cttba_vlvt1_1,0,-4,-ROW(cttba_vlvt1_1)+ROW(cttba_vltb1_1)-10))</f>
        <v>0</v>
      </c>
      <c r="G989" s="451">
        <f t="shared" ca="1" si="167"/>
        <v>0</v>
      </c>
      <c r="H989" s="450">
        <f t="shared" si="171"/>
        <v>1</v>
      </c>
      <c r="I989" s="447">
        <f t="shared" ca="1" si="168"/>
        <v>0</v>
      </c>
      <c r="J989" s="447">
        <f t="shared" ca="1" si="169"/>
        <v>0</v>
      </c>
      <c r="K989" s="373">
        <f t="shared" ca="1" si="170"/>
        <v>0</v>
      </c>
    </row>
    <row r="990" spans="1:11" s="373" customFormat="1" ht="15.75" hidden="1">
      <c r="A990" s="373" t="str">
        <f>IF(AND(COUNTIF($A$5:$A$133,R_DG!A864)=0,R_DG!R864&gt;0,ISNUMBER(R_DG!R864)),R_DG!A864,"NONE")</f>
        <v>NONE</v>
      </c>
      <c r="B990" s="85">
        <f ca="1">IF(K990&gt;0,COUNTIF(K$6:K990,"&gt;0"),B989)</f>
        <v>34</v>
      </c>
      <c r="C990" s="1084">
        <f t="shared" si="165"/>
        <v>0</v>
      </c>
      <c r="D990" s="85">
        <f t="shared" si="166"/>
        <v>0</v>
      </c>
      <c r="E990" s="448">
        <f ca="1">SUMIF(OFFSET(tongctvtdd1,0,-(COLUMN(E990)+7-(COLUMN(E990)-5)/2)),KLVT!$A990,tongctvtdd1)+SUMIF(OFFSET(tongctvtpk1,0,-(COLUMN(E990)+7-(COLUMN(E990)-5)/2)),KLVT!$A990,tongctvtpk1)</f>
        <v>0</v>
      </c>
      <c r="F990" s="449">
        <f ca="1">SUMIF(OFFSET(cttba_vlvt1_1,0,-9,-ROW(cttba_vlvt1_1)+ROW(cttba_vltb1_1)-10),KLVT!$A990,OFFSET(cttba_vlvt1_1,0,-4,-ROW(cttba_vlvt1_1)+ROW(cttba_vltb1_1)-10))</f>
        <v>0</v>
      </c>
      <c r="G990" s="451">
        <f t="shared" ca="1" si="167"/>
        <v>0</v>
      </c>
      <c r="H990" s="450">
        <f t="shared" si="171"/>
        <v>1</v>
      </c>
      <c r="I990" s="447">
        <f t="shared" ca="1" si="168"/>
        <v>0</v>
      </c>
      <c r="J990" s="447">
        <f t="shared" ca="1" si="169"/>
        <v>0</v>
      </c>
      <c r="K990" s="373">
        <f t="shared" ca="1" si="170"/>
        <v>0</v>
      </c>
    </row>
    <row r="991" spans="1:11" s="373" customFormat="1" ht="15.75" hidden="1">
      <c r="A991" s="373" t="str">
        <f>IF(AND(COUNTIF($A$5:$A$133,R_DG!A865)=0,R_DG!R865&gt;0,ISNUMBER(R_DG!R865)),R_DG!A865,"NONE")</f>
        <v>NONE</v>
      </c>
      <c r="B991" s="85">
        <f ca="1">IF(K991&gt;0,COUNTIF(K$6:K991,"&gt;0"),B990)</f>
        <v>34</v>
      </c>
      <c r="C991" s="1084">
        <f t="shared" si="165"/>
        <v>0</v>
      </c>
      <c r="D991" s="85">
        <f t="shared" si="166"/>
        <v>0</v>
      </c>
      <c r="E991" s="448">
        <f ca="1">SUMIF(OFFSET(tongctvtdd1,0,-(COLUMN(E991)+7-(COLUMN(E991)-5)/2)),KLVT!$A991,tongctvtdd1)+SUMIF(OFFSET(tongctvtpk1,0,-(COLUMN(E991)+7-(COLUMN(E991)-5)/2)),KLVT!$A991,tongctvtpk1)</f>
        <v>0</v>
      </c>
      <c r="F991" s="449">
        <f ca="1">SUMIF(OFFSET(cttba_vlvt1_1,0,-9,-ROW(cttba_vlvt1_1)+ROW(cttba_vltb1_1)-10),KLVT!$A991,OFFSET(cttba_vlvt1_1,0,-4,-ROW(cttba_vlvt1_1)+ROW(cttba_vltb1_1)-10))</f>
        <v>0</v>
      </c>
      <c r="G991" s="451">
        <f t="shared" ca="1" si="167"/>
        <v>0</v>
      </c>
      <c r="H991" s="450">
        <f t="shared" si="171"/>
        <v>1</v>
      </c>
      <c r="I991" s="447">
        <f t="shared" ca="1" si="168"/>
        <v>0</v>
      </c>
      <c r="J991" s="447">
        <f t="shared" ca="1" si="169"/>
        <v>0</v>
      </c>
      <c r="K991" s="373">
        <f t="shared" ca="1" si="170"/>
        <v>0</v>
      </c>
    </row>
    <row r="992" spans="1:11" s="373" customFormat="1" ht="15.75" hidden="1">
      <c r="A992" s="373" t="str">
        <f>IF(AND(COUNTIF($A$5:$A$133,R_DG!A866)=0,R_DG!R866&gt;0,ISNUMBER(R_DG!R866)),R_DG!A866,"NONE")</f>
        <v>NONE</v>
      </c>
      <c r="B992" s="85">
        <f ca="1">IF(K992&gt;0,COUNTIF(K$6:K992,"&gt;0"),B991)</f>
        <v>34</v>
      </c>
      <c r="C992" s="1084">
        <f t="shared" si="165"/>
        <v>0</v>
      </c>
      <c r="D992" s="85">
        <f t="shared" si="166"/>
        <v>0</v>
      </c>
      <c r="E992" s="448">
        <f ca="1">SUMIF(OFFSET(tongctvtdd1,0,-(COLUMN(E992)+7-(COLUMN(E992)-5)/2)),KLVT!$A992,tongctvtdd1)+SUMIF(OFFSET(tongctvtpk1,0,-(COLUMN(E992)+7-(COLUMN(E992)-5)/2)),KLVT!$A992,tongctvtpk1)</f>
        <v>0</v>
      </c>
      <c r="F992" s="449">
        <f ca="1">SUMIF(OFFSET(cttba_vlvt1_1,0,-9,-ROW(cttba_vlvt1_1)+ROW(cttba_vltb1_1)-10),KLVT!$A992,OFFSET(cttba_vlvt1_1,0,-4,-ROW(cttba_vlvt1_1)+ROW(cttba_vltb1_1)-10))</f>
        <v>0</v>
      </c>
      <c r="G992" s="451">
        <f t="shared" ca="1" si="167"/>
        <v>0</v>
      </c>
      <c r="H992" s="450">
        <f t="shared" si="171"/>
        <v>1</v>
      </c>
      <c r="I992" s="447">
        <f t="shared" ca="1" si="168"/>
        <v>0</v>
      </c>
      <c r="J992" s="447">
        <f t="shared" ca="1" si="169"/>
        <v>0</v>
      </c>
      <c r="K992" s="373">
        <f t="shared" ca="1" si="170"/>
        <v>0</v>
      </c>
    </row>
    <row r="993" spans="1:11" s="373" customFormat="1" ht="15.75" hidden="1">
      <c r="A993" s="373" t="str">
        <f>IF(AND(COUNTIF($A$5:$A$133,R_DG!A867)=0,R_DG!R867&gt;0,ISNUMBER(R_DG!R867)),R_DG!A867,"NONE")</f>
        <v>NONE</v>
      </c>
      <c r="B993" s="85">
        <f ca="1">IF(K993&gt;0,COUNTIF(K$6:K993,"&gt;0"),B992)</f>
        <v>34</v>
      </c>
      <c r="C993" s="1084">
        <f t="shared" si="165"/>
        <v>0</v>
      </c>
      <c r="D993" s="85">
        <f t="shared" si="166"/>
        <v>0</v>
      </c>
      <c r="E993" s="448">
        <f ca="1">SUMIF(OFFSET(tongctvtdd1,0,-(COLUMN(E993)+7-(COLUMN(E993)-5)/2)),KLVT!$A993,tongctvtdd1)+SUMIF(OFFSET(tongctvtpk1,0,-(COLUMN(E993)+7-(COLUMN(E993)-5)/2)),KLVT!$A993,tongctvtpk1)</f>
        <v>0</v>
      </c>
      <c r="F993" s="449">
        <f ca="1">SUMIF(OFFSET(cttba_vlvt1_1,0,-9,-ROW(cttba_vlvt1_1)+ROW(cttba_vltb1_1)-10),KLVT!$A993,OFFSET(cttba_vlvt1_1,0,-4,-ROW(cttba_vlvt1_1)+ROW(cttba_vltb1_1)-10))</f>
        <v>0</v>
      </c>
      <c r="G993" s="451">
        <f t="shared" ca="1" si="167"/>
        <v>0</v>
      </c>
      <c r="H993" s="450">
        <f t="shared" si="171"/>
        <v>1</v>
      </c>
      <c r="I993" s="447">
        <f t="shared" ca="1" si="168"/>
        <v>0</v>
      </c>
      <c r="J993" s="447">
        <f t="shared" ca="1" si="169"/>
        <v>0</v>
      </c>
      <c r="K993" s="373">
        <f t="shared" ca="1" si="170"/>
        <v>0</v>
      </c>
    </row>
    <row r="994" spans="1:11" s="373" customFormat="1" ht="15.75" hidden="1">
      <c r="A994" s="373" t="str">
        <f>IF(AND(COUNTIF($A$5:$A$133,R_DG!A868)=0,R_DG!R868&gt;0,ISNUMBER(R_DG!R868)),R_DG!A868,"NONE")</f>
        <v>NONE</v>
      </c>
      <c r="B994" s="85">
        <f ca="1">IF(K994&gt;0,COUNTIF(K$6:K994,"&gt;0"),B993)</f>
        <v>34</v>
      </c>
      <c r="C994" s="1084">
        <f t="shared" si="165"/>
        <v>0</v>
      </c>
      <c r="D994" s="85">
        <f t="shared" si="166"/>
        <v>0</v>
      </c>
      <c r="E994" s="448">
        <f ca="1">SUMIF(OFFSET(tongctvtdd1,0,-(COLUMN(E994)+7-(COLUMN(E994)-5)/2)),KLVT!$A994,tongctvtdd1)+SUMIF(OFFSET(tongctvtpk1,0,-(COLUMN(E994)+7-(COLUMN(E994)-5)/2)),KLVT!$A994,tongctvtpk1)</f>
        <v>0</v>
      </c>
      <c r="F994" s="449">
        <f ca="1">SUMIF(OFFSET(cttba_vlvt1_1,0,-9,-ROW(cttba_vlvt1_1)+ROW(cttba_vltb1_1)-10),KLVT!$A994,OFFSET(cttba_vlvt1_1,0,-4,-ROW(cttba_vlvt1_1)+ROW(cttba_vltb1_1)-10))</f>
        <v>0</v>
      </c>
      <c r="G994" s="451">
        <f t="shared" ca="1" si="167"/>
        <v>0</v>
      </c>
      <c r="H994" s="450">
        <f t="shared" si="171"/>
        <v>1</v>
      </c>
      <c r="I994" s="447">
        <f t="shared" ca="1" si="168"/>
        <v>0</v>
      </c>
      <c r="J994" s="447">
        <f t="shared" ca="1" si="169"/>
        <v>0</v>
      </c>
      <c r="K994" s="373">
        <f t="shared" ca="1" si="170"/>
        <v>0</v>
      </c>
    </row>
    <row r="995" spans="1:11" s="373" customFormat="1" ht="15.75" hidden="1">
      <c r="A995" s="373" t="str">
        <f>IF(AND(COUNTIF($A$5:$A$133,R_DG!A869)=0,R_DG!R869&gt;0,ISNUMBER(R_DG!R869)),R_DG!A869,"NONE")</f>
        <v>NONE</v>
      </c>
      <c r="B995" s="85">
        <f ca="1">IF(K995&gt;0,COUNTIF(K$6:K995,"&gt;0"),B994)</f>
        <v>34</v>
      </c>
      <c r="C995" s="1084">
        <f t="shared" si="165"/>
        <v>0</v>
      </c>
      <c r="D995" s="85">
        <f t="shared" si="166"/>
        <v>0</v>
      </c>
      <c r="E995" s="448">
        <f ca="1">SUMIF(OFFSET(tongctvtdd1,0,-(COLUMN(E995)+7-(COLUMN(E995)-5)/2)),KLVT!$A995,tongctvtdd1)+SUMIF(OFFSET(tongctvtpk1,0,-(COLUMN(E995)+7-(COLUMN(E995)-5)/2)),KLVT!$A995,tongctvtpk1)</f>
        <v>0</v>
      </c>
      <c r="F995" s="449">
        <f ca="1">SUMIF(OFFSET(cttba_vlvt1_1,0,-9,-ROW(cttba_vlvt1_1)+ROW(cttba_vltb1_1)-10),KLVT!$A995,OFFSET(cttba_vlvt1_1,0,-4,-ROW(cttba_vlvt1_1)+ROW(cttba_vltb1_1)-10))</f>
        <v>0</v>
      </c>
      <c r="G995" s="451">
        <f t="shared" ca="1" si="167"/>
        <v>0</v>
      </c>
      <c r="H995" s="450">
        <f t="shared" si="171"/>
        <v>1</v>
      </c>
      <c r="I995" s="447">
        <f t="shared" ca="1" si="168"/>
        <v>0</v>
      </c>
      <c r="J995" s="447">
        <f t="shared" ca="1" si="169"/>
        <v>0</v>
      </c>
      <c r="K995" s="373">
        <f t="shared" ca="1" si="170"/>
        <v>0</v>
      </c>
    </row>
    <row r="996" spans="1:11" s="373" customFormat="1" ht="15.75" hidden="1">
      <c r="A996" s="373" t="str">
        <f>IF(AND(COUNTIF($A$5:$A$133,R_DG!A870)=0,R_DG!R870&gt;0,ISNUMBER(R_DG!R870)),R_DG!A870,"NONE")</f>
        <v>NONE</v>
      </c>
      <c r="B996" s="85">
        <f ca="1">IF(K996&gt;0,COUNTIF(K$6:K996,"&gt;0"),B995)</f>
        <v>34</v>
      </c>
      <c r="C996" s="1084">
        <f t="shared" si="165"/>
        <v>0</v>
      </c>
      <c r="D996" s="85">
        <f t="shared" si="166"/>
        <v>0</v>
      </c>
      <c r="E996" s="448">
        <f ca="1">SUMIF(OFFSET(tongctvtdd1,0,-(COLUMN(E996)+7-(COLUMN(E996)-5)/2)),KLVT!$A996,tongctvtdd1)+SUMIF(OFFSET(tongctvtpk1,0,-(COLUMN(E996)+7-(COLUMN(E996)-5)/2)),KLVT!$A996,tongctvtpk1)</f>
        <v>0</v>
      </c>
      <c r="F996" s="449">
        <f ca="1">SUMIF(OFFSET(cttba_vlvt1_1,0,-9,-ROW(cttba_vlvt1_1)+ROW(cttba_vltb1_1)-10),KLVT!$A996,OFFSET(cttba_vlvt1_1,0,-4,-ROW(cttba_vlvt1_1)+ROW(cttba_vltb1_1)-10))</f>
        <v>0</v>
      </c>
      <c r="G996" s="451">
        <f t="shared" ca="1" si="167"/>
        <v>0</v>
      </c>
      <c r="H996" s="450">
        <f t="shared" si="171"/>
        <v>1</v>
      </c>
      <c r="I996" s="447">
        <f t="shared" ca="1" si="168"/>
        <v>0</v>
      </c>
      <c r="J996" s="447">
        <f t="shared" ca="1" si="169"/>
        <v>0</v>
      </c>
      <c r="K996" s="373">
        <f t="shared" ca="1" si="170"/>
        <v>0</v>
      </c>
    </row>
    <row r="997" spans="1:11" s="373" customFormat="1" ht="15.75" hidden="1">
      <c r="A997" s="373" t="str">
        <f>IF(AND(COUNTIF($A$5:$A$133,R_DG!A871)=0,R_DG!R871&gt;0,ISNUMBER(R_DG!R871)),R_DG!A871,"NONE")</f>
        <v>NONE</v>
      </c>
      <c r="B997" s="85">
        <f ca="1">IF(K997&gt;0,COUNTIF(K$6:K997,"&gt;0"),B996)</f>
        <v>34</v>
      </c>
      <c r="C997" s="1084">
        <f t="shared" si="165"/>
        <v>0</v>
      </c>
      <c r="D997" s="85">
        <f t="shared" si="166"/>
        <v>0</v>
      </c>
      <c r="E997" s="448">
        <f ca="1">SUMIF(OFFSET(tongctvtdd1,0,-(COLUMN(E997)+7-(COLUMN(E997)-5)/2)),KLVT!$A997,tongctvtdd1)+SUMIF(OFFSET(tongctvtpk1,0,-(COLUMN(E997)+7-(COLUMN(E997)-5)/2)),KLVT!$A997,tongctvtpk1)</f>
        <v>0</v>
      </c>
      <c r="F997" s="449">
        <f ca="1">SUMIF(OFFSET(cttba_vlvt1_1,0,-9,-ROW(cttba_vlvt1_1)+ROW(cttba_vltb1_1)-10),KLVT!$A997,OFFSET(cttba_vlvt1_1,0,-4,-ROW(cttba_vlvt1_1)+ROW(cttba_vltb1_1)-10))</f>
        <v>0</v>
      </c>
      <c r="G997" s="451">
        <f t="shared" ca="1" si="167"/>
        <v>0</v>
      </c>
      <c r="H997" s="450">
        <f t="shared" si="171"/>
        <v>1</v>
      </c>
      <c r="I997" s="447">
        <f t="shared" ca="1" si="168"/>
        <v>0</v>
      </c>
      <c r="J997" s="447">
        <f t="shared" ca="1" si="169"/>
        <v>0</v>
      </c>
      <c r="K997" s="373">
        <f t="shared" ca="1" si="170"/>
        <v>0</v>
      </c>
    </row>
    <row r="998" spans="1:11" s="373" customFormat="1" ht="15.75" hidden="1">
      <c r="A998" s="373" t="str">
        <f>IF(AND(COUNTIF($A$5:$A$133,R_DG!A872)=0,R_DG!R872&gt;0,ISNUMBER(R_DG!R872)),R_DG!A872,"NONE")</f>
        <v>NONE</v>
      </c>
      <c r="B998" s="85">
        <f ca="1">IF(K998&gt;0,COUNTIF(K$6:K998,"&gt;0"),B997)</f>
        <v>34</v>
      </c>
      <c r="C998" s="1084">
        <f t="shared" si="165"/>
        <v>0</v>
      </c>
      <c r="D998" s="85">
        <f t="shared" si="166"/>
        <v>0</v>
      </c>
      <c r="E998" s="448">
        <f ca="1">SUMIF(OFFSET(tongctvtdd1,0,-(COLUMN(E998)+7-(COLUMN(E998)-5)/2)),KLVT!$A998,tongctvtdd1)+SUMIF(OFFSET(tongctvtpk1,0,-(COLUMN(E998)+7-(COLUMN(E998)-5)/2)),KLVT!$A998,tongctvtpk1)</f>
        <v>0</v>
      </c>
      <c r="F998" s="449">
        <f ca="1">SUMIF(OFFSET(cttba_vlvt1_1,0,-9,-ROW(cttba_vlvt1_1)+ROW(cttba_vltb1_1)-10),KLVT!$A998,OFFSET(cttba_vlvt1_1,0,-4,-ROW(cttba_vlvt1_1)+ROW(cttba_vltb1_1)-10))</f>
        <v>0</v>
      </c>
      <c r="G998" s="451">
        <f t="shared" ca="1" si="167"/>
        <v>0</v>
      </c>
      <c r="H998" s="450">
        <f t="shared" si="171"/>
        <v>1</v>
      </c>
      <c r="I998" s="447">
        <f t="shared" ca="1" si="168"/>
        <v>0</v>
      </c>
      <c r="J998" s="447">
        <f t="shared" ca="1" si="169"/>
        <v>0</v>
      </c>
      <c r="K998" s="373">
        <f t="shared" ca="1" si="170"/>
        <v>0</v>
      </c>
    </row>
    <row r="999" spans="1:11" s="373" customFormat="1" ht="15.75" hidden="1">
      <c r="A999" s="373" t="str">
        <f>IF(AND(COUNTIF($A$5:$A$133,R_DG!A873)=0,R_DG!R873&gt;0,ISNUMBER(R_DG!R873)),R_DG!A873,"NONE")</f>
        <v>NONE</v>
      </c>
      <c r="B999" s="85">
        <f ca="1">IF(K999&gt;0,COUNTIF(K$6:K999,"&gt;0"),B998)</f>
        <v>34</v>
      </c>
      <c r="C999" s="1084">
        <f t="shared" si="165"/>
        <v>0</v>
      </c>
      <c r="D999" s="85">
        <f t="shared" si="166"/>
        <v>0</v>
      </c>
      <c r="E999" s="448">
        <f ca="1">SUMIF(OFFSET(tongctvtdd1,0,-(COLUMN(E999)+7-(COLUMN(E999)-5)/2)),KLVT!$A999,tongctvtdd1)+SUMIF(OFFSET(tongctvtpk1,0,-(COLUMN(E999)+7-(COLUMN(E999)-5)/2)),KLVT!$A999,tongctvtpk1)</f>
        <v>0</v>
      </c>
      <c r="F999" s="449">
        <f ca="1">SUMIF(OFFSET(cttba_vlvt1_1,0,-9,-ROW(cttba_vlvt1_1)+ROW(cttba_vltb1_1)-10),KLVT!$A999,OFFSET(cttba_vlvt1_1,0,-4,-ROW(cttba_vlvt1_1)+ROW(cttba_vltb1_1)-10))</f>
        <v>0</v>
      </c>
      <c r="G999" s="451">
        <f t="shared" ca="1" si="167"/>
        <v>0</v>
      </c>
      <c r="H999" s="450">
        <f t="shared" si="171"/>
        <v>1</v>
      </c>
      <c r="I999" s="447">
        <f t="shared" ca="1" si="168"/>
        <v>0</v>
      </c>
      <c r="J999" s="447">
        <f t="shared" ca="1" si="169"/>
        <v>0</v>
      </c>
      <c r="K999" s="373">
        <f t="shared" ca="1" si="170"/>
        <v>0</v>
      </c>
    </row>
    <row r="1000" spans="1:11" s="373" customFormat="1" ht="15.75" hidden="1">
      <c r="A1000" s="373" t="str">
        <f>IF(AND(COUNTIF($A$5:$A$133,R_DG!A874)=0,R_DG!R874&gt;0,ISNUMBER(R_DG!R874)),R_DG!A874,"NONE")</f>
        <v>NONE</v>
      </c>
      <c r="B1000" s="85">
        <f ca="1">IF(K1000&gt;0,COUNTIF(K$6:K1000,"&gt;0"),B999)</f>
        <v>34</v>
      </c>
      <c r="C1000" s="1084">
        <f t="shared" si="165"/>
        <v>0</v>
      </c>
      <c r="D1000" s="85">
        <f t="shared" si="166"/>
        <v>0</v>
      </c>
      <c r="E1000" s="448">
        <f ca="1">SUMIF(OFFSET(tongctvtdd1,0,-(COLUMN(E1000)+7-(COLUMN(E1000)-5)/2)),KLVT!$A1000,tongctvtdd1)+SUMIF(OFFSET(tongctvtpk1,0,-(COLUMN(E1000)+7-(COLUMN(E1000)-5)/2)),KLVT!$A1000,tongctvtpk1)</f>
        <v>0</v>
      </c>
      <c r="F1000" s="449">
        <f ca="1">SUMIF(OFFSET(cttba_vlvt1_1,0,-9,-ROW(cttba_vlvt1_1)+ROW(cttba_vltb1_1)-10),KLVT!$A1000,OFFSET(cttba_vlvt1_1,0,-4,-ROW(cttba_vlvt1_1)+ROW(cttba_vltb1_1)-10))</f>
        <v>0</v>
      </c>
      <c r="G1000" s="451">
        <f t="shared" ca="1" si="167"/>
        <v>0</v>
      </c>
      <c r="H1000" s="450">
        <f t="shared" si="171"/>
        <v>1</v>
      </c>
      <c r="I1000" s="447">
        <f t="shared" ca="1" si="168"/>
        <v>0</v>
      </c>
      <c r="J1000" s="447">
        <f t="shared" ca="1" si="169"/>
        <v>0</v>
      </c>
      <c r="K1000" s="373">
        <f t="shared" ca="1" si="170"/>
        <v>0</v>
      </c>
    </row>
    <row r="1001" spans="1:11" s="373" customFormat="1" ht="15.75" hidden="1">
      <c r="A1001" s="373" t="str">
        <f>IF(AND(COUNTIF($A$5:$A$133,R_DG!A875)=0,R_DG!R875&gt;0,ISNUMBER(R_DG!R875)),R_DG!A875,"NONE")</f>
        <v>NONE</v>
      </c>
      <c r="B1001" s="85">
        <f ca="1">IF(K1001&gt;0,COUNTIF(K$6:K1001,"&gt;0"),B1000)</f>
        <v>34</v>
      </c>
      <c r="C1001" s="1084">
        <f t="shared" si="165"/>
        <v>0</v>
      </c>
      <c r="D1001" s="85">
        <f t="shared" si="166"/>
        <v>0</v>
      </c>
      <c r="E1001" s="448">
        <f ca="1">SUMIF(OFFSET(tongctvtdd1,0,-(COLUMN(E1001)+7-(COLUMN(E1001)-5)/2)),KLVT!$A1001,tongctvtdd1)+SUMIF(OFFSET(tongctvtpk1,0,-(COLUMN(E1001)+7-(COLUMN(E1001)-5)/2)),KLVT!$A1001,tongctvtpk1)</f>
        <v>0</v>
      </c>
      <c r="F1001" s="449">
        <f ca="1">SUMIF(OFFSET(cttba_vlvt1_1,0,-9,-ROW(cttba_vlvt1_1)+ROW(cttba_vltb1_1)-10),KLVT!$A1001,OFFSET(cttba_vlvt1_1,0,-4,-ROW(cttba_vlvt1_1)+ROW(cttba_vltb1_1)-10))</f>
        <v>0</v>
      </c>
      <c r="G1001" s="451">
        <f t="shared" ca="1" si="167"/>
        <v>0</v>
      </c>
      <c r="H1001" s="450">
        <f t="shared" si="171"/>
        <v>1</v>
      </c>
      <c r="I1001" s="447">
        <f t="shared" ca="1" si="168"/>
        <v>0</v>
      </c>
      <c r="J1001" s="447">
        <f t="shared" ca="1" si="169"/>
        <v>0</v>
      </c>
      <c r="K1001" s="373">
        <f t="shared" ca="1" si="170"/>
        <v>0</v>
      </c>
    </row>
    <row r="1002" spans="1:11" s="373" customFormat="1" ht="15.75" hidden="1">
      <c r="A1002" s="373" t="str">
        <f>IF(AND(COUNTIF($A$5:$A$133,R_DG!A876)=0,R_DG!R876&gt;0,ISNUMBER(R_DG!R876)),R_DG!A876,"NONE")</f>
        <v>NONE</v>
      </c>
      <c r="B1002" s="85">
        <f ca="1">IF(K1002&gt;0,COUNTIF(K$6:K1002,"&gt;0"),B1001)</f>
        <v>34</v>
      </c>
      <c r="C1002" s="1084">
        <f t="shared" si="165"/>
        <v>0</v>
      </c>
      <c r="D1002" s="85">
        <f t="shared" si="166"/>
        <v>0</v>
      </c>
      <c r="E1002" s="448">
        <f ca="1">SUMIF(OFFSET(tongctvtdd1,0,-(COLUMN(E1002)+7-(COLUMN(E1002)-5)/2)),KLVT!$A1002,tongctvtdd1)+SUMIF(OFFSET(tongctvtpk1,0,-(COLUMN(E1002)+7-(COLUMN(E1002)-5)/2)),KLVT!$A1002,tongctvtpk1)</f>
        <v>0</v>
      </c>
      <c r="F1002" s="449">
        <f ca="1">SUMIF(OFFSET(cttba_vlvt1_1,0,-9,-ROW(cttba_vlvt1_1)+ROW(cttba_vltb1_1)-10),KLVT!$A1002,OFFSET(cttba_vlvt1_1,0,-4,-ROW(cttba_vlvt1_1)+ROW(cttba_vltb1_1)-10))</f>
        <v>0</v>
      </c>
      <c r="G1002" s="451">
        <f t="shared" ca="1" si="167"/>
        <v>0</v>
      </c>
      <c r="H1002" s="450">
        <f t="shared" si="171"/>
        <v>1</v>
      </c>
      <c r="I1002" s="447">
        <f t="shared" ca="1" si="168"/>
        <v>0</v>
      </c>
      <c r="J1002" s="447">
        <f t="shared" ca="1" si="169"/>
        <v>0</v>
      </c>
      <c r="K1002" s="373">
        <f t="shared" ca="1" si="170"/>
        <v>0</v>
      </c>
    </row>
    <row r="1003" spans="1:11" s="373" customFormat="1" ht="15.75" hidden="1">
      <c r="A1003" s="373" t="str">
        <f>IF(AND(COUNTIF($A$5:$A$133,R_DG!A877)=0,R_DG!R877&gt;0,ISNUMBER(R_DG!R877)),R_DG!A877,"NONE")</f>
        <v>NONE</v>
      </c>
      <c r="B1003" s="85">
        <f ca="1">IF(K1003&gt;0,COUNTIF(K$6:K1003,"&gt;0"),B1002)</f>
        <v>34</v>
      </c>
      <c r="C1003" s="1084">
        <f t="shared" si="165"/>
        <v>0</v>
      </c>
      <c r="D1003" s="85">
        <f t="shared" si="166"/>
        <v>0</v>
      </c>
      <c r="E1003" s="448">
        <f ca="1">SUMIF(OFFSET(tongctvtdd1,0,-(COLUMN(E1003)+7-(COLUMN(E1003)-5)/2)),KLVT!$A1003,tongctvtdd1)+SUMIF(OFFSET(tongctvtpk1,0,-(COLUMN(E1003)+7-(COLUMN(E1003)-5)/2)),KLVT!$A1003,tongctvtpk1)</f>
        <v>0</v>
      </c>
      <c r="F1003" s="449">
        <f ca="1">SUMIF(OFFSET(cttba_vlvt1_1,0,-9,-ROW(cttba_vlvt1_1)+ROW(cttba_vltb1_1)-10),KLVT!$A1003,OFFSET(cttba_vlvt1_1,0,-4,-ROW(cttba_vlvt1_1)+ROW(cttba_vltb1_1)-10))</f>
        <v>0</v>
      </c>
      <c r="G1003" s="451">
        <f t="shared" ca="1" si="167"/>
        <v>0</v>
      </c>
      <c r="H1003" s="450">
        <f t="shared" si="171"/>
        <v>1</v>
      </c>
      <c r="I1003" s="447">
        <f t="shared" ca="1" si="168"/>
        <v>0</v>
      </c>
      <c r="J1003" s="447">
        <f t="shared" ca="1" si="169"/>
        <v>0</v>
      </c>
      <c r="K1003" s="373">
        <f t="shared" ca="1" si="170"/>
        <v>0</v>
      </c>
    </row>
    <row r="1004" spans="1:11" s="373" customFormat="1" ht="15.75" hidden="1">
      <c r="A1004" s="373" t="str">
        <f>IF(AND(COUNTIF($A$5:$A$133,R_DG!A878)=0,R_DG!R878&gt;0,ISNUMBER(R_DG!R878)),R_DG!A878,"NONE")</f>
        <v>NONE</v>
      </c>
      <c r="B1004" s="85">
        <f ca="1">IF(K1004&gt;0,COUNTIF(K$6:K1004,"&gt;0"),B1003)</f>
        <v>34</v>
      </c>
      <c r="C1004" s="1084">
        <f t="shared" si="165"/>
        <v>0</v>
      </c>
      <c r="D1004" s="85">
        <f t="shared" si="166"/>
        <v>0</v>
      </c>
      <c r="E1004" s="448">
        <f ca="1">SUMIF(OFFSET(tongctvtdd1,0,-(COLUMN(E1004)+7-(COLUMN(E1004)-5)/2)),KLVT!$A1004,tongctvtdd1)+SUMIF(OFFSET(tongctvtpk1,0,-(COLUMN(E1004)+7-(COLUMN(E1004)-5)/2)),KLVT!$A1004,tongctvtpk1)</f>
        <v>0</v>
      </c>
      <c r="F1004" s="449">
        <f ca="1">SUMIF(OFFSET(cttba_vlvt1_1,0,-9,-ROW(cttba_vlvt1_1)+ROW(cttba_vltb1_1)-10),KLVT!$A1004,OFFSET(cttba_vlvt1_1,0,-4,-ROW(cttba_vlvt1_1)+ROW(cttba_vltb1_1)-10))</f>
        <v>0</v>
      </c>
      <c r="G1004" s="451">
        <f t="shared" ca="1" si="167"/>
        <v>0</v>
      </c>
      <c r="H1004" s="450">
        <f t="shared" si="171"/>
        <v>1</v>
      </c>
      <c r="I1004" s="447">
        <f t="shared" ca="1" si="168"/>
        <v>0</v>
      </c>
      <c r="J1004" s="447">
        <f t="shared" ca="1" si="169"/>
        <v>0</v>
      </c>
      <c r="K1004" s="373">
        <f t="shared" ca="1" si="170"/>
        <v>0</v>
      </c>
    </row>
    <row r="1005" spans="1:11" s="373" customFormat="1" ht="15.75" hidden="1">
      <c r="A1005" s="373" t="str">
        <f>IF(AND(COUNTIF($A$5:$A$133,R_DG!A879)=0,R_DG!R879&gt;0,ISNUMBER(R_DG!R879)),R_DG!A879,"NONE")</f>
        <v>NONE</v>
      </c>
      <c r="B1005" s="85">
        <f ca="1">IF(K1005&gt;0,COUNTIF(K$6:K1005,"&gt;0"),B1004)</f>
        <v>34</v>
      </c>
      <c r="C1005" s="1084">
        <f t="shared" si="165"/>
        <v>0</v>
      </c>
      <c r="D1005" s="85">
        <f t="shared" si="166"/>
        <v>0</v>
      </c>
      <c r="E1005" s="448">
        <f ca="1">SUMIF(OFFSET(tongctvtdd1,0,-(COLUMN(E1005)+7-(COLUMN(E1005)-5)/2)),KLVT!$A1005,tongctvtdd1)+SUMIF(OFFSET(tongctvtpk1,0,-(COLUMN(E1005)+7-(COLUMN(E1005)-5)/2)),KLVT!$A1005,tongctvtpk1)</f>
        <v>0</v>
      </c>
      <c r="F1005" s="449">
        <f ca="1">SUMIF(OFFSET(cttba_vlvt1_1,0,-9,-ROW(cttba_vlvt1_1)+ROW(cttba_vltb1_1)-10),KLVT!$A1005,OFFSET(cttba_vlvt1_1,0,-4,-ROW(cttba_vlvt1_1)+ROW(cttba_vltb1_1)-10))</f>
        <v>0</v>
      </c>
      <c r="G1005" s="451">
        <f t="shared" ca="1" si="167"/>
        <v>0</v>
      </c>
      <c r="H1005" s="450">
        <f t="shared" si="171"/>
        <v>1</v>
      </c>
      <c r="I1005" s="447">
        <f t="shared" ca="1" si="168"/>
        <v>0</v>
      </c>
      <c r="J1005" s="447">
        <f t="shared" ca="1" si="169"/>
        <v>0</v>
      </c>
      <c r="K1005" s="373">
        <f t="shared" ca="1" si="170"/>
        <v>0</v>
      </c>
    </row>
    <row r="1006" spans="1:11" s="373" customFormat="1" ht="15.75" hidden="1">
      <c r="A1006" s="373" t="str">
        <f>IF(AND(COUNTIF($A$5:$A$133,R_DG!A880)=0,R_DG!R880&gt;0,ISNUMBER(R_DG!R880)),R_DG!A880,"NONE")</f>
        <v>NONE</v>
      </c>
      <c r="B1006" s="85">
        <f ca="1">IF(K1006&gt;0,COUNTIF(K$6:K1006,"&gt;0"),B1005)</f>
        <v>34</v>
      </c>
      <c r="C1006" s="1084">
        <f t="shared" si="165"/>
        <v>0</v>
      </c>
      <c r="D1006" s="85">
        <f t="shared" si="166"/>
        <v>0</v>
      </c>
      <c r="E1006" s="448">
        <f ca="1">SUMIF(OFFSET(tongctvtdd1,0,-(COLUMN(E1006)+7-(COLUMN(E1006)-5)/2)),KLVT!$A1006,tongctvtdd1)+SUMIF(OFFSET(tongctvtpk1,0,-(COLUMN(E1006)+7-(COLUMN(E1006)-5)/2)),KLVT!$A1006,tongctvtpk1)</f>
        <v>0</v>
      </c>
      <c r="F1006" s="449">
        <f ca="1">SUMIF(OFFSET(cttba_vlvt1_1,0,-9,-ROW(cttba_vlvt1_1)+ROW(cttba_vltb1_1)-10),KLVT!$A1006,OFFSET(cttba_vlvt1_1,0,-4,-ROW(cttba_vlvt1_1)+ROW(cttba_vltb1_1)-10))</f>
        <v>0</v>
      </c>
      <c r="G1006" s="451">
        <f t="shared" ca="1" si="167"/>
        <v>0</v>
      </c>
      <c r="H1006" s="450">
        <f t="shared" si="171"/>
        <v>1</v>
      </c>
      <c r="I1006" s="447">
        <f t="shared" ca="1" si="168"/>
        <v>0</v>
      </c>
      <c r="J1006" s="447">
        <f t="shared" ca="1" si="169"/>
        <v>0</v>
      </c>
      <c r="K1006" s="373">
        <f t="shared" ca="1" si="170"/>
        <v>0</v>
      </c>
    </row>
    <row r="1007" spans="1:11" s="373" customFormat="1" ht="15.75" hidden="1">
      <c r="A1007" s="373" t="str">
        <f>IF(AND(COUNTIF($A$5:$A$133,R_DG!A881)=0,R_DG!R881&gt;0,ISNUMBER(R_DG!R881)),R_DG!A881,"NONE")</f>
        <v>NONE</v>
      </c>
      <c r="B1007" s="85">
        <f ca="1">IF(K1007&gt;0,COUNTIF(K$6:K1007,"&gt;0"),B1006)</f>
        <v>34</v>
      </c>
      <c r="C1007" s="1084">
        <f t="shared" si="165"/>
        <v>0</v>
      </c>
      <c r="D1007" s="85">
        <f t="shared" si="166"/>
        <v>0</v>
      </c>
      <c r="E1007" s="448">
        <f ca="1">SUMIF(OFFSET(tongctvtdd1,0,-(COLUMN(E1007)+7-(COLUMN(E1007)-5)/2)),KLVT!$A1007,tongctvtdd1)+SUMIF(OFFSET(tongctvtpk1,0,-(COLUMN(E1007)+7-(COLUMN(E1007)-5)/2)),KLVT!$A1007,tongctvtpk1)</f>
        <v>0</v>
      </c>
      <c r="F1007" s="449">
        <f ca="1">SUMIF(OFFSET(cttba_vlvt1_1,0,-9,-ROW(cttba_vlvt1_1)+ROW(cttba_vltb1_1)-10),KLVT!$A1007,OFFSET(cttba_vlvt1_1,0,-4,-ROW(cttba_vlvt1_1)+ROW(cttba_vltb1_1)-10))</f>
        <v>0</v>
      </c>
      <c r="G1007" s="451">
        <f t="shared" ca="1" si="167"/>
        <v>0</v>
      </c>
      <c r="H1007" s="450">
        <f t="shared" si="171"/>
        <v>1</v>
      </c>
      <c r="I1007" s="447">
        <f t="shared" ca="1" si="168"/>
        <v>0</v>
      </c>
      <c r="J1007" s="447">
        <f t="shared" ca="1" si="169"/>
        <v>0</v>
      </c>
      <c r="K1007" s="373">
        <f t="shared" ca="1" si="170"/>
        <v>0</v>
      </c>
    </row>
    <row r="1008" spans="1:11" s="373" customFormat="1" ht="15.75" hidden="1">
      <c r="A1008" s="373" t="str">
        <f>IF(AND(COUNTIF($A$5:$A$133,R_DG!A882)=0,R_DG!R882&gt;0,ISNUMBER(R_DG!R882)),R_DG!A882,"NONE")</f>
        <v>NONE</v>
      </c>
      <c r="B1008" s="85">
        <f ca="1">IF(K1008&gt;0,COUNTIF(K$6:K1008,"&gt;0"),B1007)</f>
        <v>34</v>
      </c>
      <c r="C1008" s="1084">
        <f t="shared" si="165"/>
        <v>0</v>
      </c>
      <c r="D1008" s="85">
        <f t="shared" si="166"/>
        <v>0</v>
      </c>
      <c r="E1008" s="448">
        <f ca="1">SUMIF(OFFSET(tongctvtdd1,0,-(COLUMN(E1008)+7-(COLUMN(E1008)-5)/2)),KLVT!$A1008,tongctvtdd1)+SUMIF(OFFSET(tongctvtpk1,0,-(COLUMN(E1008)+7-(COLUMN(E1008)-5)/2)),KLVT!$A1008,tongctvtpk1)</f>
        <v>0</v>
      </c>
      <c r="F1008" s="449">
        <f ca="1">SUMIF(OFFSET(cttba_vlvt1_1,0,-9,-ROW(cttba_vlvt1_1)+ROW(cttba_vltb1_1)-10),KLVT!$A1008,OFFSET(cttba_vlvt1_1,0,-4,-ROW(cttba_vlvt1_1)+ROW(cttba_vltb1_1)-10))</f>
        <v>0</v>
      </c>
      <c r="G1008" s="451">
        <f t="shared" ca="1" si="167"/>
        <v>0</v>
      </c>
      <c r="H1008" s="450">
        <f t="shared" si="171"/>
        <v>1</v>
      </c>
      <c r="I1008" s="447">
        <f t="shared" ca="1" si="168"/>
        <v>0</v>
      </c>
      <c r="J1008" s="447">
        <f t="shared" ca="1" si="169"/>
        <v>0</v>
      </c>
      <c r="K1008" s="373">
        <f t="shared" ca="1" si="170"/>
        <v>0</v>
      </c>
    </row>
    <row r="1009" spans="1:11" s="373" customFormat="1" ht="15.75" hidden="1">
      <c r="A1009" s="373" t="str">
        <f>IF(AND(COUNTIF($A$5:$A$133,R_DG!A883)=0,R_DG!R883&gt;0,ISNUMBER(R_DG!R883)),R_DG!A883,"NONE")</f>
        <v>NONE</v>
      </c>
      <c r="B1009" s="85">
        <f ca="1">IF(K1009&gt;0,COUNTIF(K$6:K1009,"&gt;0"),B1008)</f>
        <v>34</v>
      </c>
      <c r="C1009" s="1084">
        <f t="shared" si="165"/>
        <v>0</v>
      </c>
      <c r="D1009" s="85">
        <f t="shared" si="166"/>
        <v>0</v>
      </c>
      <c r="E1009" s="448">
        <f ca="1">SUMIF(OFFSET(tongctvtdd1,0,-(COLUMN(E1009)+7-(COLUMN(E1009)-5)/2)),KLVT!$A1009,tongctvtdd1)+SUMIF(OFFSET(tongctvtpk1,0,-(COLUMN(E1009)+7-(COLUMN(E1009)-5)/2)),KLVT!$A1009,tongctvtpk1)</f>
        <v>0</v>
      </c>
      <c r="F1009" s="449">
        <f ca="1">SUMIF(OFFSET(cttba_vlvt1_1,0,-9,-ROW(cttba_vlvt1_1)+ROW(cttba_vltb1_1)-10),KLVT!$A1009,OFFSET(cttba_vlvt1_1,0,-4,-ROW(cttba_vlvt1_1)+ROW(cttba_vltb1_1)-10))</f>
        <v>0</v>
      </c>
      <c r="G1009" s="451">
        <f t="shared" ca="1" si="167"/>
        <v>0</v>
      </c>
      <c r="H1009" s="450">
        <f t="shared" si="171"/>
        <v>1</v>
      </c>
      <c r="I1009" s="447">
        <f t="shared" ca="1" si="168"/>
        <v>0</v>
      </c>
      <c r="J1009" s="447">
        <f t="shared" ca="1" si="169"/>
        <v>0</v>
      </c>
      <c r="K1009" s="373">
        <f t="shared" ca="1" si="170"/>
        <v>0</v>
      </c>
    </row>
    <row r="1010" spans="1:11" s="373" customFormat="1" ht="15.75" hidden="1">
      <c r="A1010" s="373" t="str">
        <f>IF(AND(COUNTIF($A$5:$A$133,R_DG!A884)=0,R_DG!R884&gt;0,ISNUMBER(R_DG!R884)),R_DG!A884,"NONE")</f>
        <v>NONE</v>
      </c>
      <c r="B1010" s="85">
        <f ca="1">IF(K1010&gt;0,COUNTIF(K$6:K1010,"&gt;0"),B1009)</f>
        <v>34</v>
      </c>
      <c r="C1010" s="1084">
        <f t="shared" si="165"/>
        <v>0</v>
      </c>
      <c r="D1010" s="85">
        <f t="shared" si="166"/>
        <v>0</v>
      </c>
      <c r="E1010" s="448">
        <f ca="1">SUMIF(OFFSET(tongctvtdd1,0,-(COLUMN(E1010)+7-(COLUMN(E1010)-5)/2)),KLVT!$A1010,tongctvtdd1)+SUMIF(OFFSET(tongctvtpk1,0,-(COLUMN(E1010)+7-(COLUMN(E1010)-5)/2)),KLVT!$A1010,tongctvtpk1)</f>
        <v>0</v>
      </c>
      <c r="F1010" s="449">
        <f ca="1">SUMIF(OFFSET(cttba_vlvt1_1,0,-9,-ROW(cttba_vlvt1_1)+ROW(cttba_vltb1_1)-10),KLVT!$A1010,OFFSET(cttba_vlvt1_1,0,-4,-ROW(cttba_vlvt1_1)+ROW(cttba_vltb1_1)-10))</f>
        <v>0</v>
      </c>
      <c r="G1010" s="451">
        <f t="shared" ca="1" si="167"/>
        <v>0</v>
      </c>
      <c r="H1010" s="450">
        <f t="shared" si="171"/>
        <v>1</v>
      </c>
      <c r="I1010" s="447">
        <f t="shared" ca="1" si="168"/>
        <v>0</v>
      </c>
      <c r="J1010" s="447">
        <f t="shared" ca="1" si="169"/>
        <v>0</v>
      </c>
      <c r="K1010" s="373">
        <f t="shared" ca="1" si="170"/>
        <v>0</v>
      </c>
    </row>
    <row r="1011" spans="1:11" s="373" customFormat="1" ht="15.75" hidden="1">
      <c r="A1011" s="373" t="str">
        <f>IF(AND(COUNTIF($A$5:$A$133,R_DG!A885)=0,R_DG!R885&gt;0,ISNUMBER(R_DG!R885)),R_DG!A885,"NONE")</f>
        <v>NONE</v>
      </c>
      <c r="B1011" s="85">
        <f ca="1">IF(K1011&gt;0,COUNTIF(K$6:K1011,"&gt;0"),B1010)</f>
        <v>34</v>
      </c>
      <c r="C1011" s="1084">
        <f t="shared" si="165"/>
        <v>0</v>
      </c>
      <c r="D1011" s="85">
        <f t="shared" si="166"/>
        <v>0</v>
      </c>
      <c r="E1011" s="448">
        <f ca="1">SUMIF(OFFSET(tongctvtdd1,0,-(COLUMN(E1011)+7-(COLUMN(E1011)-5)/2)),KLVT!$A1011,tongctvtdd1)+SUMIF(OFFSET(tongctvtpk1,0,-(COLUMN(E1011)+7-(COLUMN(E1011)-5)/2)),KLVT!$A1011,tongctvtpk1)</f>
        <v>0</v>
      </c>
      <c r="F1011" s="449">
        <f ca="1">SUMIF(OFFSET(cttba_vlvt1_1,0,-9,-ROW(cttba_vlvt1_1)+ROW(cttba_vltb1_1)-10),KLVT!$A1011,OFFSET(cttba_vlvt1_1,0,-4,-ROW(cttba_vlvt1_1)+ROW(cttba_vltb1_1)-10))</f>
        <v>0</v>
      </c>
      <c r="G1011" s="451">
        <f t="shared" ca="1" si="167"/>
        <v>0</v>
      </c>
      <c r="H1011" s="450">
        <f t="shared" si="171"/>
        <v>1</v>
      </c>
      <c r="I1011" s="447">
        <f t="shared" ca="1" si="168"/>
        <v>0</v>
      </c>
      <c r="J1011" s="447">
        <f t="shared" ca="1" si="169"/>
        <v>0</v>
      </c>
      <c r="K1011" s="373">
        <f t="shared" ca="1" si="170"/>
        <v>0</v>
      </c>
    </row>
    <row r="1012" spans="1:11" s="373" customFormat="1" ht="15.75" hidden="1">
      <c r="A1012" s="373" t="str">
        <f>IF(AND(COUNTIF($A$5:$A$133,R_DG!A886)=0,R_DG!R886&gt;0,ISNUMBER(R_DG!R886)),R_DG!A886,"NONE")</f>
        <v>NONE</v>
      </c>
      <c r="B1012" s="85">
        <f ca="1">IF(K1012&gt;0,COUNTIF(K$6:K1012,"&gt;0"),B1011)</f>
        <v>34</v>
      </c>
      <c r="C1012" s="1084">
        <f t="shared" ref="C1012:C1075" si="172">VLOOKUP(A1012,DONGIA,3,0)</f>
        <v>0</v>
      </c>
      <c r="D1012" s="85">
        <f t="shared" ref="D1012:D1075" si="173">VLOOKUP(A1012,DONGIA,4,0)</f>
        <v>0</v>
      </c>
      <c r="E1012" s="448">
        <f ca="1">SUMIF(OFFSET(tongctvtdd1,0,-(COLUMN(E1012)+7-(COLUMN(E1012)-5)/2)),KLVT!$A1012,tongctvtdd1)+SUMIF(OFFSET(tongctvtpk1,0,-(COLUMN(E1012)+7-(COLUMN(E1012)-5)/2)),KLVT!$A1012,tongctvtpk1)</f>
        <v>0</v>
      </c>
      <c r="F1012" s="449">
        <f ca="1">SUMIF(OFFSET(cttba_vlvt1_1,0,-9,-ROW(cttba_vlvt1_1)+ROW(cttba_vltb1_1)-10),KLVT!$A1012,OFFSET(cttba_vlvt1_1,0,-4,-ROW(cttba_vlvt1_1)+ROW(cttba_vltb1_1)-10))</f>
        <v>0</v>
      </c>
      <c r="G1012" s="451">
        <f t="shared" ref="G1012:G1075" ca="1" si="174">SUM(E1012:F1012)</f>
        <v>0</v>
      </c>
      <c r="H1012" s="450">
        <f t="shared" si="171"/>
        <v>1</v>
      </c>
      <c r="I1012" s="447">
        <f t="shared" ref="I1012:I1075" ca="1" si="175">E1012*$H1012</f>
        <v>0</v>
      </c>
      <c r="J1012" s="447">
        <f t="shared" ref="J1012:J1075" ca="1" si="176">F1012*$H1012</f>
        <v>0</v>
      </c>
      <c r="K1012" s="373">
        <f t="shared" ref="K1012:K1075" ca="1" si="177">IF(G1012&gt;0,1,0)</f>
        <v>0</v>
      </c>
    </row>
    <row r="1013" spans="1:11" s="373" customFormat="1" ht="15.75" hidden="1">
      <c r="A1013" s="373" t="str">
        <f>IF(AND(COUNTIF($A$5:$A$133,R_DG!A887)=0,R_DG!R887&gt;0,ISNUMBER(R_DG!R887)),R_DG!A887,"NONE")</f>
        <v>NONE</v>
      </c>
      <c r="B1013" s="85">
        <f ca="1">IF(K1013&gt;0,COUNTIF(K$6:K1013,"&gt;0"),B1012)</f>
        <v>34</v>
      </c>
      <c r="C1013" s="1084">
        <f t="shared" si="172"/>
        <v>0</v>
      </c>
      <c r="D1013" s="85">
        <f t="shared" si="173"/>
        <v>0</v>
      </c>
      <c r="E1013" s="448">
        <f ca="1">SUMIF(OFFSET(tongctvtdd1,0,-(COLUMN(E1013)+7-(COLUMN(E1013)-5)/2)),KLVT!$A1013,tongctvtdd1)+SUMIF(OFFSET(tongctvtpk1,0,-(COLUMN(E1013)+7-(COLUMN(E1013)-5)/2)),KLVT!$A1013,tongctvtpk1)</f>
        <v>0</v>
      </c>
      <c r="F1013" s="449">
        <f ca="1">SUMIF(OFFSET(cttba_vlvt1_1,0,-9,-ROW(cttba_vlvt1_1)+ROW(cttba_vltb1_1)-10),KLVT!$A1013,OFFSET(cttba_vlvt1_1,0,-4,-ROW(cttba_vlvt1_1)+ROW(cttba_vltb1_1)-10))</f>
        <v>0</v>
      </c>
      <c r="G1013" s="451">
        <f t="shared" ca="1" si="174"/>
        <v>0</v>
      </c>
      <c r="H1013" s="450">
        <f t="shared" si="171"/>
        <v>1</v>
      </c>
      <c r="I1013" s="447">
        <f t="shared" ca="1" si="175"/>
        <v>0</v>
      </c>
      <c r="J1013" s="447">
        <f t="shared" ca="1" si="176"/>
        <v>0</v>
      </c>
      <c r="K1013" s="373">
        <f t="shared" ca="1" si="177"/>
        <v>0</v>
      </c>
    </row>
    <row r="1014" spans="1:11" s="373" customFormat="1" ht="15.75" hidden="1">
      <c r="A1014" s="373" t="str">
        <f>IF(AND(COUNTIF($A$5:$A$133,R_DG!A888)=0,R_DG!R888&gt;0,ISNUMBER(R_DG!R888)),R_DG!A888,"NONE")</f>
        <v>NONE</v>
      </c>
      <c r="B1014" s="85">
        <f ca="1">IF(K1014&gt;0,COUNTIF(K$6:K1014,"&gt;0"),B1013)</f>
        <v>34</v>
      </c>
      <c r="C1014" s="1084">
        <f t="shared" si="172"/>
        <v>0</v>
      </c>
      <c r="D1014" s="85">
        <f t="shared" si="173"/>
        <v>0</v>
      </c>
      <c r="E1014" s="448">
        <f ca="1">SUMIF(OFFSET(tongctvtdd1,0,-(COLUMN(E1014)+7-(COLUMN(E1014)-5)/2)),KLVT!$A1014,tongctvtdd1)+SUMIF(OFFSET(tongctvtpk1,0,-(COLUMN(E1014)+7-(COLUMN(E1014)-5)/2)),KLVT!$A1014,tongctvtpk1)</f>
        <v>0</v>
      </c>
      <c r="F1014" s="449">
        <f ca="1">SUMIF(OFFSET(cttba_vlvt1_1,0,-9,-ROW(cttba_vlvt1_1)+ROW(cttba_vltb1_1)-10),KLVT!$A1014,OFFSET(cttba_vlvt1_1,0,-4,-ROW(cttba_vlvt1_1)+ROW(cttba_vltb1_1)-10))</f>
        <v>0</v>
      </c>
      <c r="G1014" s="451">
        <f t="shared" ca="1" si="174"/>
        <v>0</v>
      </c>
      <c r="H1014" s="450">
        <f t="shared" si="171"/>
        <v>1</v>
      </c>
      <c r="I1014" s="447">
        <f t="shared" ca="1" si="175"/>
        <v>0</v>
      </c>
      <c r="J1014" s="447">
        <f t="shared" ca="1" si="176"/>
        <v>0</v>
      </c>
      <c r="K1014" s="373">
        <f t="shared" ca="1" si="177"/>
        <v>0</v>
      </c>
    </row>
    <row r="1015" spans="1:11" s="373" customFormat="1" ht="15.75" hidden="1">
      <c r="A1015" s="373" t="str">
        <f>IF(AND(COUNTIF($A$5:$A$133,R_DG!A889)=0,R_DG!R889&gt;0,ISNUMBER(R_DG!R889)),R_DG!A889,"NONE")</f>
        <v>NONE</v>
      </c>
      <c r="B1015" s="85">
        <f ca="1">IF(K1015&gt;0,COUNTIF(K$6:K1015,"&gt;0"),B1014)</f>
        <v>34</v>
      </c>
      <c r="C1015" s="1084">
        <f t="shared" si="172"/>
        <v>0</v>
      </c>
      <c r="D1015" s="85">
        <f t="shared" si="173"/>
        <v>0</v>
      </c>
      <c r="E1015" s="448">
        <f ca="1">SUMIF(OFFSET(tongctvtdd1,0,-(COLUMN(E1015)+7-(COLUMN(E1015)-5)/2)),KLVT!$A1015,tongctvtdd1)+SUMIF(OFFSET(tongctvtpk1,0,-(COLUMN(E1015)+7-(COLUMN(E1015)-5)/2)),KLVT!$A1015,tongctvtpk1)</f>
        <v>0</v>
      </c>
      <c r="F1015" s="449">
        <f ca="1">SUMIF(OFFSET(cttba_vlvt1_1,0,-9,-ROW(cttba_vlvt1_1)+ROW(cttba_vltb1_1)-10),KLVT!$A1015,OFFSET(cttba_vlvt1_1,0,-4,-ROW(cttba_vlvt1_1)+ROW(cttba_vltb1_1)-10))</f>
        <v>0</v>
      </c>
      <c r="G1015" s="451">
        <f t="shared" ca="1" si="174"/>
        <v>0</v>
      </c>
      <c r="H1015" s="450">
        <f t="shared" si="171"/>
        <v>1</v>
      </c>
      <c r="I1015" s="447">
        <f t="shared" ca="1" si="175"/>
        <v>0</v>
      </c>
      <c r="J1015" s="447">
        <f t="shared" ca="1" si="176"/>
        <v>0</v>
      </c>
      <c r="K1015" s="373">
        <f t="shared" ca="1" si="177"/>
        <v>0</v>
      </c>
    </row>
    <row r="1016" spans="1:11" s="373" customFormat="1" ht="15.75" hidden="1">
      <c r="A1016" s="373" t="str">
        <f>IF(AND(COUNTIF($A$5:$A$133,R_DG!A890)=0,R_DG!R890&gt;0,ISNUMBER(R_DG!R890)),R_DG!A890,"NONE")</f>
        <v>NONE</v>
      </c>
      <c r="B1016" s="85">
        <f ca="1">IF(K1016&gt;0,COUNTIF(K$6:K1016,"&gt;0"),B1015)</f>
        <v>34</v>
      </c>
      <c r="C1016" s="1084">
        <f t="shared" si="172"/>
        <v>0</v>
      </c>
      <c r="D1016" s="85">
        <f t="shared" si="173"/>
        <v>0</v>
      </c>
      <c r="E1016" s="448">
        <f ca="1">SUMIF(OFFSET(tongctvtdd1,0,-(COLUMN(E1016)+7-(COLUMN(E1016)-5)/2)),KLVT!$A1016,tongctvtdd1)+SUMIF(OFFSET(tongctvtpk1,0,-(COLUMN(E1016)+7-(COLUMN(E1016)-5)/2)),KLVT!$A1016,tongctvtpk1)</f>
        <v>0</v>
      </c>
      <c r="F1016" s="449">
        <f ca="1">SUMIF(OFFSET(cttba_vlvt1_1,0,-9,-ROW(cttba_vlvt1_1)+ROW(cttba_vltb1_1)-10),KLVT!$A1016,OFFSET(cttba_vlvt1_1,0,-4,-ROW(cttba_vlvt1_1)+ROW(cttba_vltb1_1)-10))</f>
        <v>0</v>
      </c>
      <c r="G1016" s="451">
        <f t="shared" ca="1" si="174"/>
        <v>0</v>
      </c>
      <c r="H1016" s="450">
        <f t="shared" si="171"/>
        <v>1</v>
      </c>
      <c r="I1016" s="447">
        <f t="shared" ca="1" si="175"/>
        <v>0</v>
      </c>
      <c r="J1016" s="447">
        <f t="shared" ca="1" si="176"/>
        <v>0</v>
      </c>
      <c r="K1016" s="373">
        <f t="shared" ca="1" si="177"/>
        <v>0</v>
      </c>
    </row>
    <row r="1017" spans="1:11" s="373" customFormat="1" ht="15.75" hidden="1">
      <c r="A1017" s="373" t="str">
        <f>IF(AND(COUNTIF($A$5:$A$133,R_DG!A891)=0,R_DG!R891&gt;0,ISNUMBER(R_DG!R891)),R_DG!A891,"NONE")</f>
        <v>NONE</v>
      </c>
      <c r="B1017" s="85">
        <f ca="1">IF(K1017&gt;0,COUNTIF(K$6:K1017,"&gt;0"),B1016)</f>
        <v>34</v>
      </c>
      <c r="C1017" s="1084">
        <f t="shared" si="172"/>
        <v>0</v>
      </c>
      <c r="D1017" s="85">
        <f t="shared" si="173"/>
        <v>0</v>
      </c>
      <c r="E1017" s="448">
        <f ca="1">SUMIF(OFFSET(tongctvtdd1,0,-(COLUMN(E1017)+7-(COLUMN(E1017)-5)/2)),KLVT!$A1017,tongctvtdd1)+SUMIF(OFFSET(tongctvtpk1,0,-(COLUMN(E1017)+7-(COLUMN(E1017)-5)/2)),KLVT!$A1017,tongctvtpk1)</f>
        <v>0</v>
      </c>
      <c r="F1017" s="449">
        <f ca="1">SUMIF(OFFSET(cttba_vlvt1_1,0,-9,-ROW(cttba_vlvt1_1)+ROW(cttba_vltb1_1)-10),KLVT!$A1017,OFFSET(cttba_vlvt1_1,0,-4,-ROW(cttba_vlvt1_1)+ROW(cttba_vltb1_1)-10))</f>
        <v>0</v>
      </c>
      <c r="G1017" s="451">
        <f t="shared" ca="1" si="174"/>
        <v>0</v>
      </c>
      <c r="H1017" s="450">
        <f t="shared" si="171"/>
        <v>1</v>
      </c>
      <c r="I1017" s="447">
        <f t="shared" ca="1" si="175"/>
        <v>0</v>
      </c>
      <c r="J1017" s="447">
        <f t="shared" ca="1" si="176"/>
        <v>0</v>
      </c>
      <c r="K1017" s="373">
        <f t="shared" ca="1" si="177"/>
        <v>0</v>
      </c>
    </row>
    <row r="1018" spans="1:11" s="373" customFormat="1" ht="15.75" hidden="1">
      <c r="A1018" s="373" t="str">
        <f>IF(AND(COUNTIF($A$5:$A$133,R_DG!A892)=0,R_DG!R892&gt;0,ISNUMBER(R_DG!R892)),R_DG!A892,"NONE")</f>
        <v>NONE</v>
      </c>
      <c r="B1018" s="85">
        <f ca="1">IF(K1018&gt;0,COUNTIF(K$6:K1018,"&gt;0"),B1017)</f>
        <v>34</v>
      </c>
      <c r="C1018" s="1084">
        <f t="shared" si="172"/>
        <v>0</v>
      </c>
      <c r="D1018" s="85">
        <f t="shared" si="173"/>
        <v>0</v>
      </c>
      <c r="E1018" s="448">
        <f ca="1">SUMIF(OFFSET(tongctvtdd1,0,-(COLUMN(E1018)+7-(COLUMN(E1018)-5)/2)),KLVT!$A1018,tongctvtdd1)+SUMIF(OFFSET(tongctvtpk1,0,-(COLUMN(E1018)+7-(COLUMN(E1018)-5)/2)),KLVT!$A1018,tongctvtpk1)</f>
        <v>0</v>
      </c>
      <c r="F1018" s="449">
        <f ca="1">SUMIF(OFFSET(cttba_vlvt1_1,0,-9,-ROW(cttba_vlvt1_1)+ROW(cttba_vltb1_1)-10),KLVT!$A1018,OFFSET(cttba_vlvt1_1,0,-4,-ROW(cttba_vlvt1_1)+ROW(cttba_vltb1_1)-10))</f>
        <v>0</v>
      </c>
      <c r="G1018" s="451">
        <f t="shared" ca="1" si="174"/>
        <v>0</v>
      </c>
      <c r="H1018" s="450">
        <f t="shared" si="171"/>
        <v>1</v>
      </c>
      <c r="I1018" s="447">
        <f t="shared" ca="1" si="175"/>
        <v>0</v>
      </c>
      <c r="J1018" s="447">
        <f t="shared" ca="1" si="176"/>
        <v>0</v>
      </c>
      <c r="K1018" s="373">
        <f t="shared" ca="1" si="177"/>
        <v>0</v>
      </c>
    </row>
    <row r="1019" spans="1:11" s="373" customFormat="1" ht="15.75" hidden="1">
      <c r="A1019" s="373" t="str">
        <f>IF(AND(COUNTIF($A$5:$A$133,R_DG!A893)=0,R_DG!R893&gt;0,ISNUMBER(R_DG!R893)),R_DG!A893,"NONE")</f>
        <v>NONE</v>
      </c>
      <c r="B1019" s="85">
        <f ca="1">IF(K1019&gt;0,COUNTIF(K$6:K1019,"&gt;0"),B1018)</f>
        <v>34</v>
      </c>
      <c r="C1019" s="1084">
        <f t="shared" si="172"/>
        <v>0</v>
      </c>
      <c r="D1019" s="85">
        <f t="shared" si="173"/>
        <v>0</v>
      </c>
      <c r="E1019" s="448">
        <f ca="1">SUMIF(OFFSET(tongctvtdd1,0,-(COLUMN(E1019)+7-(COLUMN(E1019)-5)/2)),KLVT!$A1019,tongctvtdd1)+SUMIF(OFFSET(tongctvtpk1,0,-(COLUMN(E1019)+7-(COLUMN(E1019)-5)/2)),KLVT!$A1019,tongctvtpk1)</f>
        <v>0</v>
      </c>
      <c r="F1019" s="449">
        <f ca="1">SUMIF(OFFSET(cttba_vlvt1_1,0,-9,-ROW(cttba_vlvt1_1)+ROW(cttba_vltb1_1)-10),KLVT!$A1019,OFFSET(cttba_vlvt1_1,0,-4,-ROW(cttba_vlvt1_1)+ROW(cttba_vltb1_1)-10))</f>
        <v>0</v>
      </c>
      <c r="G1019" s="451">
        <f t="shared" ca="1" si="174"/>
        <v>0</v>
      </c>
      <c r="H1019" s="450">
        <f t="shared" si="171"/>
        <v>1</v>
      </c>
      <c r="I1019" s="447">
        <f t="shared" ca="1" si="175"/>
        <v>0</v>
      </c>
      <c r="J1019" s="447">
        <f t="shared" ca="1" si="176"/>
        <v>0</v>
      </c>
      <c r="K1019" s="373">
        <f t="shared" ca="1" si="177"/>
        <v>0</v>
      </c>
    </row>
    <row r="1020" spans="1:11" s="373" customFormat="1" ht="15.75" hidden="1">
      <c r="A1020" s="373" t="str">
        <f>IF(AND(COUNTIF($A$5:$A$133,R_DG!A894)=0,R_DG!R894&gt;0,ISNUMBER(R_DG!R894)),R_DG!A894,"NONE")</f>
        <v>NONE</v>
      </c>
      <c r="B1020" s="85">
        <f ca="1">IF(K1020&gt;0,COUNTIF(K$6:K1020,"&gt;0"),B1019)</f>
        <v>34</v>
      </c>
      <c r="C1020" s="1084">
        <f t="shared" si="172"/>
        <v>0</v>
      </c>
      <c r="D1020" s="85">
        <f t="shared" si="173"/>
        <v>0</v>
      </c>
      <c r="E1020" s="448">
        <f ca="1">SUMIF(OFFSET(tongctvtdd1,0,-(COLUMN(E1020)+7-(COLUMN(E1020)-5)/2)),KLVT!$A1020,tongctvtdd1)+SUMIF(OFFSET(tongctvtpk1,0,-(COLUMN(E1020)+7-(COLUMN(E1020)-5)/2)),KLVT!$A1020,tongctvtpk1)</f>
        <v>0</v>
      </c>
      <c r="F1020" s="449">
        <f ca="1">SUMIF(OFFSET(cttba_vlvt1_1,0,-9,-ROW(cttba_vlvt1_1)+ROW(cttba_vltb1_1)-10),KLVT!$A1020,OFFSET(cttba_vlvt1_1,0,-4,-ROW(cttba_vlvt1_1)+ROW(cttba_vltb1_1)-10))</f>
        <v>0</v>
      </c>
      <c r="G1020" s="451">
        <f t="shared" ca="1" si="174"/>
        <v>0</v>
      </c>
      <c r="H1020" s="450">
        <f t="shared" si="171"/>
        <v>1</v>
      </c>
      <c r="I1020" s="447">
        <f t="shared" ca="1" si="175"/>
        <v>0</v>
      </c>
      <c r="J1020" s="447">
        <f t="shared" ca="1" si="176"/>
        <v>0</v>
      </c>
      <c r="K1020" s="373">
        <f t="shared" ca="1" si="177"/>
        <v>0</v>
      </c>
    </row>
    <row r="1021" spans="1:11" s="373" customFormat="1" ht="15.75" hidden="1">
      <c r="A1021" s="373" t="str">
        <f>IF(AND(COUNTIF($A$5:$A$133,R_DG!A895)=0,R_DG!R895&gt;0,ISNUMBER(R_DG!R895)),R_DG!A895,"NONE")</f>
        <v>NONE</v>
      </c>
      <c r="B1021" s="85">
        <f ca="1">IF(K1021&gt;0,COUNTIF(K$6:K1021,"&gt;0"),B1020)</f>
        <v>34</v>
      </c>
      <c r="C1021" s="1084">
        <f t="shared" si="172"/>
        <v>0</v>
      </c>
      <c r="D1021" s="85">
        <f t="shared" si="173"/>
        <v>0</v>
      </c>
      <c r="E1021" s="448">
        <f ca="1">SUMIF(OFFSET(tongctvtdd1,0,-(COLUMN(E1021)+7-(COLUMN(E1021)-5)/2)),KLVT!$A1021,tongctvtdd1)+SUMIF(OFFSET(tongctvtpk1,0,-(COLUMN(E1021)+7-(COLUMN(E1021)-5)/2)),KLVT!$A1021,tongctvtpk1)</f>
        <v>0</v>
      </c>
      <c r="F1021" s="449">
        <f ca="1">SUMIF(OFFSET(cttba_vlvt1_1,0,-9,-ROW(cttba_vlvt1_1)+ROW(cttba_vltb1_1)-10),KLVT!$A1021,OFFSET(cttba_vlvt1_1,0,-4,-ROW(cttba_vlvt1_1)+ROW(cttba_vltb1_1)-10))</f>
        <v>0</v>
      </c>
      <c r="G1021" s="451">
        <f t="shared" ca="1" si="174"/>
        <v>0</v>
      </c>
      <c r="H1021" s="450">
        <f t="shared" si="171"/>
        <v>1</v>
      </c>
      <c r="I1021" s="447">
        <f t="shared" ca="1" si="175"/>
        <v>0</v>
      </c>
      <c r="J1021" s="447">
        <f t="shared" ca="1" si="176"/>
        <v>0</v>
      </c>
      <c r="K1021" s="373">
        <f t="shared" ca="1" si="177"/>
        <v>0</v>
      </c>
    </row>
    <row r="1022" spans="1:11" s="373" customFormat="1" ht="15.75" hidden="1">
      <c r="A1022" s="373" t="str">
        <f>IF(AND(COUNTIF($A$5:$A$133,R_DG!A896)=0,R_DG!R896&gt;0,ISNUMBER(R_DG!R896)),R_DG!A896,"NONE")</f>
        <v>NONE</v>
      </c>
      <c r="B1022" s="85">
        <f ca="1">IF(K1022&gt;0,COUNTIF(K$6:K1022,"&gt;0"),B1021)</f>
        <v>34</v>
      </c>
      <c r="C1022" s="1084">
        <f t="shared" si="172"/>
        <v>0</v>
      </c>
      <c r="D1022" s="85">
        <f t="shared" si="173"/>
        <v>0</v>
      </c>
      <c r="E1022" s="448">
        <f ca="1">SUMIF(OFFSET(tongctvtdd1,0,-(COLUMN(E1022)+7-(COLUMN(E1022)-5)/2)),KLVT!$A1022,tongctvtdd1)+SUMIF(OFFSET(tongctvtpk1,0,-(COLUMN(E1022)+7-(COLUMN(E1022)-5)/2)),KLVT!$A1022,tongctvtpk1)</f>
        <v>0</v>
      </c>
      <c r="F1022" s="449">
        <f ca="1">SUMIF(OFFSET(cttba_vlvt1_1,0,-9,-ROW(cttba_vlvt1_1)+ROW(cttba_vltb1_1)-10),KLVT!$A1022,OFFSET(cttba_vlvt1_1,0,-4,-ROW(cttba_vlvt1_1)+ROW(cttba_vltb1_1)-10))</f>
        <v>0</v>
      </c>
      <c r="G1022" s="451">
        <f t="shared" ca="1" si="174"/>
        <v>0</v>
      </c>
      <c r="H1022" s="450">
        <f t="shared" si="171"/>
        <v>1</v>
      </c>
      <c r="I1022" s="447">
        <f t="shared" ca="1" si="175"/>
        <v>0</v>
      </c>
      <c r="J1022" s="447">
        <f t="shared" ca="1" si="176"/>
        <v>0</v>
      </c>
      <c r="K1022" s="373">
        <f t="shared" ca="1" si="177"/>
        <v>0</v>
      </c>
    </row>
    <row r="1023" spans="1:11" s="373" customFormat="1" ht="15.75" hidden="1">
      <c r="A1023" s="373" t="str">
        <f>IF(AND(COUNTIF($A$5:$A$133,R_DG!A897)=0,R_DG!R897&gt;0,ISNUMBER(R_DG!R897)),R_DG!A897,"NONE")</f>
        <v>TI10</v>
      </c>
      <c r="B1023" s="85">
        <f ca="1">IF(K1023&gt;0,COUNTIF(K$6:K1023,"&gt;0"),B1022)</f>
        <v>34</v>
      </c>
      <c r="C1023" s="1084" t="str">
        <f t="shared" si="172"/>
        <v>Biến dòng 24kV 10/5A</v>
      </c>
      <c r="D1023" s="85" t="str">
        <f t="shared" si="173"/>
        <v>cái</v>
      </c>
      <c r="E1023" s="448">
        <f ca="1">SUMIF(OFFSET(tongctvtdd1,0,-(COLUMN(E1023)+7-(COLUMN(E1023)-5)/2)),KLVT!$A1023,tongctvtdd1)+SUMIF(OFFSET(tongctvtpk1,0,-(COLUMN(E1023)+7-(COLUMN(E1023)-5)/2)),KLVT!$A1023,tongctvtpk1)</f>
        <v>0</v>
      </c>
      <c r="F1023" s="449">
        <f ca="1">SUMIF(OFFSET(cttba_vlvt1_1,0,-9,-ROW(cttba_vlvt1_1)+ROW(cttba_vltb1_1)-10),KLVT!$A1023,OFFSET(cttba_vlvt1_1,0,-4,-ROW(cttba_vlvt1_1)+ROW(cttba_vltb1_1)-10))</f>
        <v>0</v>
      </c>
      <c r="G1023" s="451">
        <f t="shared" ca="1" si="174"/>
        <v>0</v>
      </c>
      <c r="H1023" s="450">
        <f t="shared" si="171"/>
        <v>6</v>
      </c>
      <c r="I1023" s="447">
        <f t="shared" ca="1" si="175"/>
        <v>0</v>
      </c>
      <c r="J1023" s="447">
        <f t="shared" ca="1" si="176"/>
        <v>0</v>
      </c>
      <c r="K1023" s="373">
        <f t="shared" ca="1" si="177"/>
        <v>0</v>
      </c>
    </row>
    <row r="1024" spans="1:11" s="373" customFormat="1" ht="15.75" hidden="1">
      <c r="A1024" s="373" t="str">
        <f>IF(AND(COUNTIF($A$5:$A$133,R_DG!A898)=0,R_DG!R898&gt;0,ISNUMBER(R_DG!R898)),R_DG!A898,"NONE")</f>
        <v>TI15</v>
      </c>
      <c r="B1024" s="85">
        <f ca="1">IF(K1024&gt;0,COUNTIF(K$6:K1024,"&gt;0"),B1023)</f>
        <v>34</v>
      </c>
      <c r="C1024" s="1084" t="str">
        <f t="shared" si="172"/>
        <v>Biến dòng 24kV 15/5A</v>
      </c>
      <c r="D1024" s="85" t="str">
        <f t="shared" si="173"/>
        <v>cái</v>
      </c>
      <c r="E1024" s="448">
        <f ca="1">SUMIF(OFFSET(tongctvtdd1,0,-(COLUMN(E1024)+7-(COLUMN(E1024)-5)/2)),KLVT!$A1024,tongctvtdd1)+SUMIF(OFFSET(tongctvtpk1,0,-(COLUMN(E1024)+7-(COLUMN(E1024)-5)/2)),KLVT!$A1024,tongctvtpk1)</f>
        <v>0</v>
      </c>
      <c r="F1024" s="449">
        <f ca="1">SUMIF(OFFSET(cttba_vlvt1_1,0,-9,-ROW(cttba_vlvt1_1)+ROW(cttba_vltb1_1)-10),KLVT!$A1024,OFFSET(cttba_vlvt1_1,0,-4,-ROW(cttba_vlvt1_1)+ROW(cttba_vltb1_1)-10))</f>
        <v>0</v>
      </c>
      <c r="G1024" s="451">
        <f t="shared" ca="1" si="174"/>
        <v>0</v>
      </c>
      <c r="H1024" s="450">
        <f t="shared" si="171"/>
        <v>6</v>
      </c>
      <c r="I1024" s="447">
        <f t="shared" ca="1" si="175"/>
        <v>0</v>
      </c>
      <c r="J1024" s="447">
        <f t="shared" ca="1" si="176"/>
        <v>0</v>
      </c>
      <c r="K1024" s="373">
        <f t="shared" ca="1" si="177"/>
        <v>0</v>
      </c>
    </row>
    <row r="1025" spans="1:11" s="373" customFormat="1" ht="15.75" hidden="1">
      <c r="A1025" s="373" t="str">
        <f>IF(AND(COUNTIF($A$5:$A$133,R_DG!A899)=0,R_DG!R899&gt;0,ISNUMBER(R_DG!R899)),R_DG!A899,"NONE")</f>
        <v>TI20</v>
      </c>
      <c r="B1025" s="85">
        <f ca="1">IF(K1025&gt;0,COUNTIF(K$6:K1025,"&gt;0"),B1024)</f>
        <v>34</v>
      </c>
      <c r="C1025" s="1084" t="str">
        <f t="shared" si="172"/>
        <v>Biến dòng 24kV 20/5A</v>
      </c>
      <c r="D1025" s="85" t="str">
        <f t="shared" si="173"/>
        <v>cái</v>
      </c>
      <c r="E1025" s="448">
        <f ca="1">SUMIF(OFFSET(tongctvtdd1,0,-(COLUMN(E1025)+7-(COLUMN(E1025)-5)/2)),KLVT!$A1025,tongctvtdd1)+SUMIF(OFFSET(tongctvtpk1,0,-(COLUMN(E1025)+7-(COLUMN(E1025)-5)/2)),KLVT!$A1025,tongctvtpk1)</f>
        <v>0</v>
      </c>
      <c r="F1025" s="449">
        <f ca="1">SUMIF(OFFSET(cttba_vlvt1_1,0,-9,-ROW(cttba_vlvt1_1)+ROW(cttba_vltb1_1)-10),KLVT!$A1025,OFFSET(cttba_vlvt1_1,0,-4,-ROW(cttba_vlvt1_1)+ROW(cttba_vltb1_1)-10))</f>
        <v>0</v>
      </c>
      <c r="G1025" s="451">
        <f t="shared" ca="1" si="174"/>
        <v>0</v>
      </c>
      <c r="H1025" s="450">
        <f t="shared" si="171"/>
        <v>6</v>
      </c>
      <c r="I1025" s="447">
        <f t="shared" ca="1" si="175"/>
        <v>0</v>
      </c>
      <c r="J1025" s="447">
        <f t="shared" ca="1" si="176"/>
        <v>0</v>
      </c>
      <c r="K1025" s="373">
        <f t="shared" ca="1" si="177"/>
        <v>0</v>
      </c>
    </row>
    <row r="1026" spans="1:11" s="373" customFormat="1" ht="15.75" hidden="1">
      <c r="A1026" s="373" t="str">
        <f>IF(AND(COUNTIF($A$5:$A$133,R_DG!A900)=0,R_DG!R900&gt;0,ISNUMBER(R_DG!R900)),R_DG!A900,"NONE")</f>
        <v>TI25</v>
      </c>
      <c r="B1026" s="85">
        <f ca="1">IF(K1026&gt;0,COUNTIF(K$6:K1026,"&gt;0"),B1025)</f>
        <v>34</v>
      </c>
      <c r="C1026" s="1084" t="str">
        <f t="shared" si="172"/>
        <v>Biến dòng 24kV 25/5A</v>
      </c>
      <c r="D1026" s="85" t="str">
        <f t="shared" si="173"/>
        <v>cái</v>
      </c>
      <c r="E1026" s="448">
        <f ca="1">SUMIF(OFFSET(tongctvtdd1,0,-(COLUMN(E1026)+7-(COLUMN(E1026)-5)/2)),KLVT!$A1026,tongctvtdd1)+SUMIF(OFFSET(tongctvtpk1,0,-(COLUMN(E1026)+7-(COLUMN(E1026)-5)/2)),KLVT!$A1026,tongctvtpk1)</f>
        <v>0</v>
      </c>
      <c r="F1026" s="449">
        <f ca="1">SUMIF(OFFSET(cttba_vlvt1_1,0,-9,-ROW(cttba_vlvt1_1)+ROW(cttba_vltb1_1)-10),KLVT!$A1026,OFFSET(cttba_vlvt1_1,0,-4,-ROW(cttba_vlvt1_1)+ROW(cttba_vltb1_1)-10))</f>
        <v>0</v>
      </c>
      <c r="G1026" s="451">
        <f t="shared" ca="1" si="174"/>
        <v>0</v>
      </c>
      <c r="H1026" s="450">
        <f t="shared" si="171"/>
        <v>6</v>
      </c>
      <c r="I1026" s="447">
        <f t="shared" ca="1" si="175"/>
        <v>0</v>
      </c>
      <c r="J1026" s="447">
        <f t="shared" ca="1" si="176"/>
        <v>0</v>
      </c>
      <c r="K1026" s="373">
        <f t="shared" ca="1" si="177"/>
        <v>0</v>
      </c>
    </row>
    <row r="1027" spans="1:11" s="373" customFormat="1" ht="15.75" hidden="1">
      <c r="A1027" s="373" t="str">
        <f>IF(AND(COUNTIF($A$5:$A$133,R_DG!A901)=0,R_DG!R901&gt;0,ISNUMBER(R_DG!R901)),R_DG!A901,"NONE")</f>
        <v>TI30</v>
      </c>
      <c r="B1027" s="85">
        <f ca="1">IF(K1027&gt;0,COUNTIF(K$6:K1027,"&gt;0"),B1026)</f>
        <v>34</v>
      </c>
      <c r="C1027" s="1084" t="str">
        <f t="shared" si="172"/>
        <v>Biến dòng 24kV 30/5A</v>
      </c>
      <c r="D1027" s="85" t="str">
        <f t="shared" si="173"/>
        <v>cái</v>
      </c>
      <c r="E1027" s="448">
        <f ca="1">SUMIF(OFFSET(tongctvtdd1,0,-(COLUMN(E1027)+7-(COLUMN(E1027)-5)/2)),KLVT!$A1027,tongctvtdd1)+SUMIF(OFFSET(tongctvtpk1,0,-(COLUMN(E1027)+7-(COLUMN(E1027)-5)/2)),KLVT!$A1027,tongctvtpk1)</f>
        <v>0</v>
      </c>
      <c r="F1027" s="449">
        <f ca="1">SUMIF(OFFSET(cttba_vlvt1_1,0,-9,-ROW(cttba_vlvt1_1)+ROW(cttba_vltb1_1)-10),KLVT!$A1027,OFFSET(cttba_vlvt1_1,0,-4,-ROW(cttba_vlvt1_1)+ROW(cttba_vltb1_1)-10))</f>
        <v>0</v>
      </c>
      <c r="G1027" s="451">
        <f t="shared" ca="1" si="174"/>
        <v>0</v>
      </c>
      <c r="H1027" s="450">
        <f t="shared" si="171"/>
        <v>6</v>
      </c>
      <c r="I1027" s="447">
        <f t="shared" ca="1" si="175"/>
        <v>0</v>
      </c>
      <c r="J1027" s="447">
        <f t="shared" ca="1" si="176"/>
        <v>0</v>
      </c>
      <c r="K1027" s="373">
        <f t="shared" ca="1" si="177"/>
        <v>0</v>
      </c>
    </row>
    <row r="1028" spans="1:11" s="373" customFormat="1" ht="15.75" hidden="1">
      <c r="A1028" s="373" t="str">
        <f>IF(AND(COUNTIF($A$5:$A$133,R_DG!A902)=0,R_DG!R902&gt;0,ISNUMBER(R_DG!R902)),R_DG!A902,"NONE")</f>
        <v>TI40</v>
      </c>
      <c r="B1028" s="85">
        <f ca="1">IF(K1028&gt;0,COUNTIF(K$6:K1028,"&gt;0"),B1027)</f>
        <v>34</v>
      </c>
      <c r="C1028" s="1084" t="str">
        <f t="shared" si="172"/>
        <v>Biến dòng 24kV 40/5A</v>
      </c>
      <c r="D1028" s="85" t="str">
        <f t="shared" si="173"/>
        <v>cái</v>
      </c>
      <c r="E1028" s="448">
        <f ca="1">SUMIF(OFFSET(tongctvtdd1,0,-(COLUMN(E1028)+7-(COLUMN(E1028)-5)/2)),KLVT!$A1028,tongctvtdd1)+SUMIF(OFFSET(tongctvtpk1,0,-(COLUMN(E1028)+7-(COLUMN(E1028)-5)/2)),KLVT!$A1028,tongctvtpk1)</f>
        <v>0</v>
      </c>
      <c r="F1028" s="449">
        <f ca="1">SUMIF(OFFSET(cttba_vlvt1_1,0,-9,-ROW(cttba_vlvt1_1)+ROW(cttba_vltb1_1)-10),KLVT!$A1028,OFFSET(cttba_vlvt1_1,0,-4,-ROW(cttba_vlvt1_1)+ROW(cttba_vltb1_1)-10))</f>
        <v>0</v>
      </c>
      <c r="G1028" s="451">
        <f t="shared" ca="1" si="174"/>
        <v>0</v>
      </c>
      <c r="H1028" s="450">
        <f t="shared" si="171"/>
        <v>6</v>
      </c>
      <c r="I1028" s="447">
        <f t="shared" ca="1" si="175"/>
        <v>0</v>
      </c>
      <c r="J1028" s="447">
        <f t="shared" ca="1" si="176"/>
        <v>0</v>
      </c>
      <c r="K1028" s="373">
        <f t="shared" ca="1" si="177"/>
        <v>0</v>
      </c>
    </row>
    <row r="1029" spans="1:11" s="373" customFormat="1" ht="15.75" hidden="1">
      <c r="A1029" s="373" t="str">
        <f>IF(AND(COUNTIF($A$5:$A$133,R_DG!A903)=0,R_DG!R903&gt;0,ISNUMBER(R_DG!R903)),R_DG!A903,"NONE")</f>
        <v>TI50</v>
      </c>
      <c r="B1029" s="85">
        <f ca="1">IF(K1029&gt;0,COUNTIF(K$6:K1029,"&gt;0"),B1028)</f>
        <v>34</v>
      </c>
      <c r="C1029" s="1084" t="str">
        <f t="shared" si="172"/>
        <v>Biến dòng 24kV 50/5A</v>
      </c>
      <c r="D1029" s="85" t="str">
        <f t="shared" si="173"/>
        <v>cái</v>
      </c>
      <c r="E1029" s="448">
        <f ca="1">SUMIF(OFFSET(tongctvtdd1,0,-(COLUMN(E1029)+7-(COLUMN(E1029)-5)/2)),KLVT!$A1029,tongctvtdd1)+SUMIF(OFFSET(tongctvtpk1,0,-(COLUMN(E1029)+7-(COLUMN(E1029)-5)/2)),KLVT!$A1029,tongctvtpk1)</f>
        <v>0</v>
      </c>
      <c r="F1029" s="449">
        <f ca="1">SUMIF(OFFSET(cttba_vlvt1_1,0,-9,-ROW(cttba_vlvt1_1)+ROW(cttba_vltb1_1)-10),KLVT!$A1029,OFFSET(cttba_vlvt1_1,0,-4,-ROW(cttba_vlvt1_1)+ROW(cttba_vltb1_1)-10))</f>
        <v>0</v>
      </c>
      <c r="G1029" s="451">
        <f t="shared" ca="1" si="174"/>
        <v>0</v>
      </c>
      <c r="H1029" s="450">
        <f t="shared" si="171"/>
        <v>6</v>
      </c>
      <c r="I1029" s="447">
        <f t="shared" ca="1" si="175"/>
        <v>0</v>
      </c>
      <c r="J1029" s="447">
        <f t="shared" ca="1" si="176"/>
        <v>0</v>
      </c>
      <c r="K1029" s="373">
        <f t="shared" ca="1" si="177"/>
        <v>0</v>
      </c>
    </row>
    <row r="1030" spans="1:11" s="373" customFormat="1" ht="15.75" hidden="1">
      <c r="A1030" s="373" t="str">
        <f>IF(AND(COUNTIF($A$5:$A$133,R_DG!A904)=0,R_DG!R904&gt;0,ISNUMBER(R_DG!R904)),R_DG!A904,"NONE")</f>
        <v>TI60</v>
      </c>
      <c r="B1030" s="85">
        <f ca="1">IF(K1030&gt;0,COUNTIF(K$6:K1030,"&gt;0"),B1029)</f>
        <v>34</v>
      </c>
      <c r="C1030" s="1084" t="str">
        <f t="shared" si="172"/>
        <v>Biến dòng 24kV 60/5A</v>
      </c>
      <c r="D1030" s="85" t="str">
        <f t="shared" si="173"/>
        <v>cái</v>
      </c>
      <c r="E1030" s="448">
        <f ca="1">SUMIF(OFFSET(tongctvtdd1,0,-(COLUMN(E1030)+7-(COLUMN(E1030)-5)/2)),KLVT!$A1030,tongctvtdd1)+SUMIF(OFFSET(tongctvtpk1,0,-(COLUMN(E1030)+7-(COLUMN(E1030)-5)/2)),KLVT!$A1030,tongctvtpk1)</f>
        <v>0</v>
      </c>
      <c r="F1030" s="449">
        <f ca="1">SUMIF(OFFSET(cttba_vlvt1_1,0,-9,-ROW(cttba_vlvt1_1)+ROW(cttba_vltb1_1)-10),KLVT!$A1030,OFFSET(cttba_vlvt1_1,0,-4,-ROW(cttba_vlvt1_1)+ROW(cttba_vltb1_1)-10))</f>
        <v>0</v>
      </c>
      <c r="G1030" s="451">
        <f t="shared" ca="1" si="174"/>
        <v>0</v>
      </c>
      <c r="H1030" s="450">
        <f t="shared" ref="H1030:H1093" si="178">VLOOKUP(A1030,DONGIA,18,0)</f>
        <v>6</v>
      </c>
      <c r="I1030" s="447">
        <f t="shared" ca="1" si="175"/>
        <v>0</v>
      </c>
      <c r="J1030" s="447">
        <f t="shared" ca="1" si="176"/>
        <v>0</v>
      </c>
      <c r="K1030" s="373">
        <f t="shared" ca="1" si="177"/>
        <v>0</v>
      </c>
    </row>
    <row r="1031" spans="1:11" s="373" customFormat="1" ht="15.75" hidden="1">
      <c r="A1031" s="373" t="str">
        <f>IF(AND(COUNTIF($A$5:$A$133,R_DG!A905)=0,R_DG!R905&gt;0,ISNUMBER(R_DG!R905)),R_DG!A905,"NONE")</f>
        <v>TI75</v>
      </c>
      <c r="B1031" s="85">
        <f ca="1">IF(K1031&gt;0,COUNTIF(K$6:K1031,"&gt;0"),B1030)</f>
        <v>34</v>
      </c>
      <c r="C1031" s="1084" t="str">
        <f t="shared" si="172"/>
        <v>Biến dòng 24kV 75/5A</v>
      </c>
      <c r="D1031" s="85" t="str">
        <f t="shared" si="173"/>
        <v>cái</v>
      </c>
      <c r="E1031" s="448">
        <f ca="1">SUMIF(OFFSET(tongctvtdd1,0,-(COLUMN(E1031)+7-(COLUMN(E1031)-5)/2)),KLVT!$A1031,tongctvtdd1)+SUMIF(OFFSET(tongctvtpk1,0,-(COLUMN(E1031)+7-(COLUMN(E1031)-5)/2)),KLVT!$A1031,tongctvtpk1)</f>
        <v>0</v>
      </c>
      <c r="F1031" s="449">
        <f ca="1">SUMIF(OFFSET(cttba_vlvt1_1,0,-9,-ROW(cttba_vlvt1_1)+ROW(cttba_vltb1_1)-10),KLVT!$A1031,OFFSET(cttba_vlvt1_1,0,-4,-ROW(cttba_vlvt1_1)+ROW(cttba_vltb1_1)-10))</f>
        <v>0</v>
      </c>
      <c r="G1031" s="451">
        <f t="shared" ca="1" si="174"/>
        <v>0</v>
      </c>
      <c r="H1031" s="450">
        <f t="shared" si="178"/>
        <v>6</v>
      </c>
      <c r="I1031" s="447">
        <f t="shared" ca="1" si="175"/>
        <v>0</v>
      </c>
      <c r="J1031" s="447">
        <f t="shared" ca="1" si="176"/>
        <v>0</v>
      </c>
      <c r="K1031" s="373">
        <f t="shared" ca="1" si="177"/>
        <v>0</v>
      </c>
    </row>
    <row r="1032" spans="1:11" s="373" customFormat="1" hidden="1">
      <c r="A1032" s="373" t="str">
        <f>IF(AND(COUNTIF($A$5:$A$133,R_DG!A906)=0,R_DG!R906&gt;0,ISNUMBER(R_DG!R906)),R_DG!A906,"NONE")</f>
        <v>TI100</v>
      </c>
      <c r="B1032" s="85">
        <f ca="1">IF(K1032&gt;0,COUNTIF(K$6:K1032,"&gt;0"),B1031)</f>
        <v>34</v>
      </c>
      <c r="C1032" s="1084" t="str">
        <f t="shared" si="172"/>
        <v>Biến dòng 24kV 100/5A</v>
      </c>
      <c r="D1032" s="85" t="str">
        <f t="shared" si="173"/>
        <v>cái</v>
      </c>
      <c r="E1032" s="448">
        <f ca="1">SUMIF(OFFSET(tongctvtdd1,0,-(COLUMN(E1032)+7-(COLUMN(E1032)-5)/2)),KLVT!$A1032,tongctvtdd1)+SUMIF(OFFSET(tongctvtpk1,0,-(COLUMN(E1032)+7-(COLUMN(E1032)-5)/2)),KLVT!$A1032,tongctvtpk1)</f>
        <v>0</v>
      </c>
      <c r="F1032" s="449">
        <f ca="1">SUMIF(OFFSET(cttba_vlvt1_1,0,-9,-ROW(cttba_vlvt1_1)+ROW(cttba_vltb1_1)-10),KLVT!$A1032,OFFSET(cttba_vlvt1_1,0,-4,-ROW(cttba_vlvt1_1)+ROW(cttba_vltb1_1)-10))</f>
        <v>0</v>
      </c>
      <c r="G1032" s="451">
        <f t="shared" ca="1" si="174"/>
        <v>0</v>
      </c>
      <c r="H1032" s="450">
        <f t="shared" si="178"/>
        <v>1</v>
      </c>
      <c r="I1032" s="447">
        <f t="shared" ca="1" si="175"/>
        <v>0</v>
      </c>
      <c r="J1032" s="447">
        <f t="shared" ca="1" si="176"/>
        <v>0</v>
      </c>
      <c r="K1032" s="1094">
        <f t="shared" ca="1" si="177"/>
        <v>0</v>
      </c>
    </row>
    <row r="1033" spans="1:11" s="373" customFormat="1" ht="15.75" hidden="1">
      <c r="A1033" s="373" t="str">
        <f>IF(AND(COUNTIF($A$5:$A$133,R_DG!A907)=0,R_DG!R907&gt;0,ISNUMBER(R_DG!R907)),R_DG!A907,"NONE")</f>
        <v>TI150</v>
      </c>
      <c r="B1033" s="85">
        <f ca="1">IF(K1033&gt;0,COUNTIF(K$6:K1033,"&gt;0"),B1032)</f>
        <v>34</v>
      </c>
      <c r="C1033" s="1084" t="str">
        <f t="shared" si="172"/>
        <v>Biến dòng 24kV 150/5A</v>
      </c>
      <c r="D1033" s="85" t="str">
        <f t="shared" si="173"/>
        <v>cái</v>
      </c>
      <c r="E1033" s="448">
        <f ca="1">SUMIF(OFFSET(tongctvtdd1,0,-(COLUMN(E1033)+7-(COLUMN(E1033)-5)/2)),KLVT!$A1033,tongctvtdd1)+SUMIF(OFFSET(tongctvtpk1,0,-(COLUMN(E1033)+7-(COLUMN(E1033)-5)/2)),KLVT!$A1033,tongctvtpk1)</f>
        <v>0</v>
      </c>
      <c r="F1033" s="449">
        <f ca="1">SUMIF(OFFSET(cttba_vlvt1_1,0,-9,-ROW(cttba_vlvt1_1)+ROW(cttba_vltb1_1)-10),KLVT!$A1033,OFFSET(cttba_vlvt1_1,0,-4,-ROW(cttba_vlvt1_1)+ROW(cttba_vltb1_1)-10))</f>
        <v>0</v>
      </c>
      <c r="G1033" s="451">
        <f t="shared" ca="1" si="174"/>
        <v>0</v>
      </c>
      <c r="H1033" s="450">
        <f t="shared" si="178"/>
        <v>1</v>
      </c>
      <c r="I1033" s="447">
        <f t="shared" ca="1" si="175"/>
        <v>0</v>
      </c>
      <c r="J1033" s="447">
        <f t="shared" ca="1" si="176"/>
        <v>0</v>
      </c>
      <c r="K1033" s="373">
        <f t="shared" ca="1" si="177"/>
        <v>0</v>
      </c>
    </row>
    <row r="1034" spans="1:11" s="373" customFormat="1" ht="15.75" hidden="1">
      <c r="A1034" s="373" t="str">
        <f>IF(AND(COUNTIF($A$5:$A$133,R_DG!A908)=0,R_DG!R908&gt;0,ISNUMBER(R_DG!R908)),R_DG!A908,"NONE")</f>
        <v>TI755</v>
      </c>
      <c r="B1034" s="85">
        <f ca="1">IF(K1034&gt;0,COUNTIF(K$6:K1034,"&gt;0"),B1033)</f>
        <v>34</v>
      </c>
      <c r="C1034" s="1084" t="str">
        <f t="shared" si="172"/>
        <v xml:space="preserve">Biến dòng 600V - 75/5A </v>
      </c>
      <c r="D1034" s="85" t="str">
        <f t="shared" si="173"/>
        <v>cái</v>
      </c>
      <c r="E1034" s="448">
        <f ca="1">SUMIF(OFFSET(tongctvtdd1,0,-(COLUMN(E1034)+7-(COLUMN(E1034)-5)/2)),KLVT!$A1034,tongctvtdd1)+SUMIF(OFFSET(tongctvtpk1,0,-(COLUMN(E1034)+7-(COLUMN(E1034)-5)/2)),KLVT!$A1034,tongctvtpk1)</f>
        <v>0</v>
      </c>
      <c r="F1034" s="449">
        <f ca="1">SUMIF(OFFSET(cttba_vlvt1_1,0,-9,-ROW(cttba_vlvt1_1)+ROW(cttba_vltb1_1)-10),KLVT!$A1034,OFFSET(cttba_vlvt1_1,0,-4,-ROW(cttba_vlvt1_1)+ROW(cttba_vltb1_1)-10))</f>
        <v>0</v>
      </c>
      <c r="G1034" s="451">
        <f t="shared" ca="1" si="174"/>
        <v>0</v>
      </c>
      <c r="H1034" s="450">
        <f t="shared" si="178"/>
        <v>1</v>
      </c>
      <c r="I1034" s="447">
        <f t="shared" ca="1" si="175"/>
        <v>0</v>
      </c>
      <c r="J1034" s="447">
        <f t="shared" ca="1" si="176"/>
        <v>0</v>
      </c>
      <c r="K1034" s="373">
        <f t="shared" ca="1" si="177"/>
        <v>0</v>
      </c>
    </row>
    <row r="1035" spans="1:11" s="373" customFormat="1" hidden="1">
      <c r="A1035" s="373" t="str">
        <f>IF(AND(COUNTIF($A$5:$A$133,R_DG!A909)=0,R_DG!R909&gt;0,ISNUMBER(R_DG!R909)),R_DG!A909,"NONE")</f>
        <v>TI100</v>
      </c>
      <c r="B1035" s="85">
        <f ca="1">IF(K1035&gt;0,COUNTIF(K$6:K1035,"&gt;0"),B1034)</f>
        <v>34</v>
      </c>
      <c r="C1035" s="1084" t="str">
        <f t="shared" si="172"/>
        <v>Biến dòng 24kV 100/5A</v>
      </c>
      <c r="D1035" s="85" t="str">
        <f t="shared" si="173"/>
        <v>cái</v>
      </c>
      <c r="E1035" s="448">
        <f ca="1">SUMIF(OFFSET(tongctvtdd1,0,-(COLUMN(E1035)+7-(COLUMN(E1035)-5)/2)),KLVT!$A1035,tongctvtdd1)+SUMIF(OFFSET(tongctvtpk1,0,-(COLUMN(E1035)+7-(COLUMN(E1035)-5)/2)),KLVT!$A1035,tongctvtpk1)</f>
        <v>0</v>
      </c>
      <c r="F1035" s="449">
        <f ca="1">SUMIF(OFFSET(cttba_vlvt1_1,0,-9,-ROW(cttba_vlvt1_1)+ROW(cttba_vltb1_1)-10),KLVT!$A1035,OFFSET(cttba_vlvt1_1,0,-4,-ROW(cttba_vlvt1_1)+ROW(cttba_vltb1_1)-10))</f>
        <v>0</v>
      </c>
      <c r="G1035" s="451">
        <f t="shared" ca="1" si="174"/>
        <v>0</v>
      </c>
      <c r="H1035" s="450">
        <f t="shared" si="178"/>
        <v>1</v>
      </c>
      <c r="I1035" s="447">
        <f t="shared" ca="1" si="175"/>
        <v>0</v>
      </c>
      <c r="J1035" s="447">
        <f t="shared" ca="1" si="176"/>
        <v>0</v>
      </c>
      <c r="K1035" s="1094">
        <f t="shared" ca="1" si="177"/>
        <v>0</v>
      </c>
    </row>
    <row r="1036" spans="1:11" s="373" customFormat="1" ht="15.75" hidden="1">
      <c r="A1036" s="373" t="str">
        <f>IF(AND(COUNTIF($A$5:$A$133,R_DG!A910)=0,R_DG!R910&gt;0,ISNUMBER(R_DG!R910)),R_DG!A910,"NONE")</f>
        <v>TI125</v>
      </c>
      <c r="B1036" s="85">
        <f ca="1">IF(K1036&gt;0,COUNTIF(K$6:K1036,"&gt;0"),B1035)</f>
        <v>34</v>
      </c>
      <c r="C1036" s="1084" t="str">
        <f t="shared" si="172"/>
        <v xml:space="preserve">Biến dòng 600V - 125/5A </v>
      </c>
      <c r="D1036" s="85" t="str">
        <f t="shared" si="173"/>
        <v>cái</v>
      </c>
      <c r="E1036" s="448">
        <f ca="1">SUMIF(OFFSET(tongctvtdd1,0,-(COLUMN(E1036)+7-(COLUMN(E1036)-5)/2)),KLVT!$A1036,tongctvtdd1)+SUMIF(OFFSET(tongctvtpk1,0,-(COLUMN(E1036)+7-(COLUMN(E1036)-5)/2)),KLVT!$A1036,tongctvtpk1)</f>
        <v>0</v>
      </c>
      <c r="F1036" s="449">
        <f ca="1">SUMIF(OFFSET(cttba_vlvt1_1,0,-9,-ROW(cttba_vlvt1_1)+ROW(cttba_vltb1_1)-10),KLVT!$A1036,OFFSET(cttba_vlvt1_1,0,-4,-ROW(cttba_vlvt1_1)+ROW(cttba_vltb1_1)-10))</f>
        <v>0</v>
      </c>
      <c r="G1036" s="451">
        <f t="shared" ca="1" si="174"/>
        <v>0</v>
      </c>
      <c r="H1036" s="450">
        <f t="shared" si="178"/>
        <v>1</v>
      </c>
      <c r="I1036" s="447">
        <f t="shared" ca="1" si="175"/>
        <v>0</v>
      </c>
      <c r="J1036" s="447">
        <f t="shared" ca="1" si="176"/>
        <v>0</v>
      </c>
      <c r="K1036" s="373">
        <f t="shared" ca="1" si="177"/>
        <v>0</v>
      </c>
    </row>
    <row r="1037" spans="1:11" s="373" customFormat="1" ht="15.75" hidden="1">
      <c r="A1037" s="373" t="str">
        <f>IF(AND(COUNTIF($A$5:$A$133,R_DG!A911)=0,R_DG!R911&gt;0,ISNUMBER(R_DG!R911)),R_DG!A911,"NONE")</f>
        <v>TI150</v>
      </c>
      <c r="B1037" s="85">
        <f ca="1">IF(K1037&gt;0,COUNTIF(K$6:K1037,"&gt;0"),B1036)</f>
        <v>34</v>
      </c>
      <c r="C1037" s="1084" t="str">
        <f t="shared" si="172"/>
        <v>Biến dòng 24kV 150/5A</v>
      </c>
      <c r="D1037" s="85" t="str">
        <f t="shared" si="173"/>
        <v>cái</v>
      </c>
      <c r="E1037" s="448">
        <f ca="1">SUMIF(OFFSET(tongctvtdd1,0,-(COLUMN(E1037)+7-(COLUMN(E1037)-5)/2)),KLVT!$A1037,tongctvtdd1)+SUMIF(OFFSET(tongctvtpk1,0,-(COLUMN(E1037)+7-(COLUMN(E1037)-5)/2)),KLVT!$A1037,tongctvtpk1)</f>
        <v>0</v>
      </c>
      <c r="F1037" s="449">
        <f ca="1">SUMIF(OFFSET(cttba_vlvt1_1,0,-9,-ROW(cttba_vlvt1_1)+ROW(cttba_vltb1_1)-10),KLVT!$A1037,OFFSET(cttba_vlvt1_1,0,-4,-ROW(cttba_vlvt1_1)+ROW(cttba_vltb1_1)-10))</f>
        <v>0</v>
      </c>
      <c r="G1037" s="451">
        <f t="shared" ca="1" si="174"/>
        <v>0</v>
      </c>
      <c r="H1037" s="450">
        <f t="shared" si="178"/>
        <v>1</v>
      </c>
      <c r="I1037" s="447">
        <f t="shared" ca="1" si="175"/>
        <v>0</v>
      </c>
      <c r="J1037" s="447">
        <f t="shared" ca="1" si="176"/>
        <v>0</v>
      </c>
      <c r="K1037" s="373">
        <f t="shared" ca="1" si="177"/>
        <v>0</v>
      </c>
    </row>
    <row r="1038" spans="1:11" s="373" customFormat="1" ht="15.75" hidden="1">
      <c r="A1038" s="373" t="str">
        <f>IF(AND(COUNTIF($A$5:$A$133,R_DG!A912)=0,R_DG!R912&gt;0,ISNUMBER(R_DG!R912)),R_DG!A912,"NONE")</f>
        <v>NONE</v>
      </c>
      <c r="B1038" s="85">
        <f ca="1">IF(K1038&gt;0,COUNTIF(K$6:K1038,"&gt;0"),B1037)</f>
        <v>34</v>
      </c>
      <c r="C1038" s="1084">
        <f t="shared" si="172"/>
        <v>0</v>
      </c>
      <c r="D1038" s="85">
        <f t="shared" si="173"/>
        <v>0</v>
      </c>
      <c r="E1038" s="448">
        <f ca="1">SUMIF(OFFSET(tongctvtdd1,0,-(COLUMN(E1038)+7-(COLUMN(E1038)-5)/2)),KLVT!$A1038,tongctvtdd1)+SUMIF(OFFSET(tongctvtpk1,0,-(COLUMN(E1038)+7-(COLUMN(E1038)-5)/2)),KLVT!$A1038,tongctvtpk1)</f>
        <v>0</v>
      </c>
      <c r="F1038" s="449">
        <f ca="1">SUMIF(OFFSET(cttba_vlvt1_1,0,-9,-ROW(cttba_vlvt1_1)+ROW(cttba_vltb1_1)-10),KLVT!$A1038,OFFSET(cttba_vlvt1_1,0,-4,-ROW(cttba_vlvt1_1)+ROW(cttba_vltb1_1)-10))</f>
        <v>0</v>
      </c>
      <c r="G1038" s="451">
        <f t="shared" ca="1" si="174"/>
        <v>0</v>
      </c>
      <c r="H1038" s="450">
        <f t="shared" si="178"/>
        <v>1</v>
      </c>
      <c r="I1038" s="447">
        <f t="shared" ca="1" si="175"/>
        <v>0</v>
      </c>
      <c r="J1038" s="447">
        <f t="shared" ca="1" si="176"/>
        <v>0</v>
      </c>
      <c r="K1038" s="373">
        <f t="shared" ca="1" si="177"/>
        <v>0</v>
      </c>
    </row>
    <row r="1039" spans="1:11" s="373" customFormat="1" ht="15.75" hidden="1">
      <c r="A1039" s="373" t="str">
        <f>IF(AND(COUNTIF($A$5:$A$133,R_DG!A913)=0,R_DG!R913&gt;0,ISNUMBER(R_DG!R913)),R_DG!A913,"NONE")</f>
        <v>TI250</v>
      </c>
      <c r="B1039" s="85">
        <f ca="1">IF(K1039&gt;0,COUNTIF(K$6:K1039,"&gt;0"),B1038)</f>
        <v>34</v>
      </c>
      <c r="C1039" s="1084" t="str">
        <f t="shared" si="172"/>
        <v>Biến dòng 600V - 250/5A</v>
      </c>
      <c r="D1039" s="85" t="str">
        <f t="shared" si="173"/>
        <v>cái</v>
      </c>
      <c r="E1039" s="448">
        <f ca="1">SUMIF(OFFSET(tongctvtdd1,0,-(COLUMN(E1039)+7-(COLUMN(E1039)-5)/2)),KLVT!$A1039,tongctvtdd1)+SUMIF(OFFSET(tongctvtpk1,0,-(COLUMN(E1039)+7-(COLUMN(E1039)-5)/2)),KLVT!$A1039,tongctvtpk1)</f>
        <v>0</v>
      </c>
      <c r="F1039" s="449">
        <f ca="1">SUMIF(OFFSET(cttba_vlvt1_1,0,-9,-ROW(cttba_vlvt1_1)+ROW(cttba_vltb1_1)-10),KLVT!$A1039,OFFSET(cttba_vlvt1_1,0,-4,-ROW(cttba_vlvt1_1)+ROW(cttba_vltb1_1)-10))</f>
        <v>0</v>
      </c>
      <c r="G1039" s="451">
        <f t="shared" ca="1" si="174"/>
        <v>0</v>
      </c>
      <c r="H1039" s="450">
        <f t="shared" si="178"/>
        <v>1</v>
      </c>
      <c r="I1039" s="447">
        <f t="shared" ca="1" si="175"/>
        <v>0</v>
      </c>
      <c r="J1039" s="447">
        <f t="shared" ca="1" si="176"/>
        <v>0</v>
      </c>
      <c r="K1039" s="373">
        <f t="shared" ca="1" si="177"/>
        <v>0</v>
      </c>
    </row>
    <row r="1040" spans="1:11" s="373" customFormat="1" ht="15.75" hidden="1">
      <c r="A1040" s="373" t="str">
        <f>IF(AND(COUNTIF($A$5:$A$133,R_DG!A914)=0,R_DG!R914&gt;0,ISNUMBER(R_DG!R914)),R_DG!A914,"NONE")</f>
        <v>TI300</v>
      </c>
      <c r="B1040" s="85">
        <f ca="1">IF(K1040&gt;0,COUNTIF(K$6:K1040,"&gt;0"),B1039)</f>
        <v>34</v>
      </c>
      <c r="C1040" s="1084" t="str">
        <f t="shared" si="172"/>
        <v xml:space="preserve">Biến dòng 600V - 300/5A </v>
      </c>
      <c r="D1040" s="85" t="str">
        <f t="shared" si="173"/>
        <v>cái</v>
      </c>
      <c r="E1040" s="448">
        <f ca="1">SUMIF(OFFSET(tongctvtdd1,0,-(COLUMN(E1040)+7-(COLUMN(E1040)-5)/2)),KLVT!$A1040,tongctvtdd1)+SUMIF(OFFSET(tongctvtpk1,0,-(COLUMN(E1040)+7-(COLUMN(E1040)-5)/2)),KLVT!$A1040,tongctvtpk1)</f>
        <v>0</v>
      </c>
      <c r="F1040" s="449">
        <f ca="1">SUMIF(OFFSET(cttba_vlvt1_1,0,-9,-ROW(cttba_vlvt1_1)+ROW(cttba_vltb1_1)-10),KLVT!$A1040,OFFSET(cttba_vlvt1_1,0,-4,-ROW(cttba_vlvt1_1)+ROW(cttba_vltb1_1)-10))</f>
        <v>0</v>
      </c>
      <c r="G1040" s="451">
        <f t="shared" ca="1" si="174"/>
        <v>0</v>
      </c>
      <c r="H1040" s="450">
        <f t="shared" si="178"/>
        <v>1</v>
      </c>
      <c r="I1040" s="447">
        <f t="shared" ca="1" si="175"/>
        <v>0</v>
      </c>
      <c r="J1040" s="447">
        <f t="shared" ca="1" si="176"/>
        <v>0</v>
      </c>
      <c r="K1040" s="373">
        <f t="shared" ca="1" si="177"/>
        <v>0</v>
      </c>
    </row>
    <row r="1041" spans="1:11" s="373" customFormat="1" ht="15.75" hidden="1">
      <c r="A1041" s="373" t="str">
        <f>IF(AND(COUNTIF($A$5:$A$133,R_DG!A915)=0,R_DG!R915&gt;0,ISNUMBER(R_DG!R915)),R_DG!A915,"NONE")</f>
        <v>TI400</v>
      </c>
      <c r="B1041" s="85">
        <f ca="1">IF(K1041&gt;0,COUNTIF(K$6:K1041,"&gt;0"),B1040)</f>
        <v>34</v>
      </c>
      <c r="C1041" s="1084" t="str">
        <f t="shared" si="172"/>
        <v>Biến dòng 600V - 400/5A</v>
      </c>
      <c r="D1041" s="85" t="str">
        <f t="shared" si="173"/>
        <v>cái</v>
      </c>
      <c r="E1041" s="448">
        <f ca="1">SUMIF(OFFSET(tongctvtdd1,0,-(COLUMN(E1041)+7-(COLUMN(E1041)-5)/2)),KLVT!$A1041,tongctvtdd1)+SUMIF(OFFSET(tongctvtpk1,0,-(COLUMN(E1041)+7-(COLUMN(E1041)-5)/2)),KLVT!$A1041,tongctvtpk1)</f>
        <v>0</v>
      </c>
      <c r="F1041" s="449">
        <f ca="1">SUMIF(OFFSET(cttba_vlvt1_1,0,-9,-ROW(cttba_vlvt1_1)+ROW(cttba_vltb1_1)-10),KLVT!$A1041,OFFSET(cttba_vlvt1_1,0,-4,-ROW(cttba_vlvt1_1)+ROW(cttba_vltb1_1)-10))</f>
        <v>0</v>
      </c>
      <c r="G1041" s="451">
        <f t="shared" ca="1" si="174"/>
        <v>0</v>
      </c>
      <c r="H1041" s="450">
        <f t="shared" si="178"/>
        <v>1</v>
      </c>
      <c r="I1041" s="447">
        <f t="shared" ca="1" si="175"/>
        <v>0</v>
      </c>
      <c r="J1041" s="447">
        <f t="shared" ca="1" si="176"/>
        <v>0</v>
      </c>
      <c r="K1041" s="373">
        <f t="shared" ca="1" si="177"/>
        <v>0</v>
      </c>
    </row>
    <row r="1042" spans="1:11" s="373" customFormat="1" ht="15.75" hidden="1">
      <c r="A1042" s="373" t="str">
        <f>IF(AND(COUNTIF($A$5:$A$133,R_DG!A916)=0,R_DG!R916&gt;0,ISNUMBER(R_DG!R916)),R_DG!A916,"NONE")</f>
        <v>TI500</v>
      </c>
      <c r="B1042" s="85">
        <f ca="1">IF(K1042&gt;0,COUNTIF(K$6:K1042,"&gt;0"),B1041)</f>
        <v>34</v>
      </c>
      <c r="C1042" s="1084" t="str">
        <f t="shared" si="172"/>
        <v>Biến dòng 600V - 500/5A</v>
      </c>
      <c r="D1042" s="85" t="str">
        <f t="shared" si="173"/>
        <v>cái</v>
      </c>
      <c r="E1042" s="448">
        <f ca="1">SUMIF(OFFSET(tongctvtdd1,0,-(COLUMN(E1042)+7-(COLUMN(E1042)-5)/2)),KLVT!$A1042,tongctvtdd1)+SUMIF(OFFSET(tongctvtpk1,0,-(COLUMN(E1042)+7-(COLUMN(E1042)-5)/2)),KLVT!$A1042,tongctvtpk1)</f>
        <v>0</v>
      </c>
      <c r="F1042" s="449">
        <f ca="1">SUMIF(OFFSET(cttba_vlvt1_1,0,-9,-ROW(cttba_vlvt1_1)+ROW(cttba_vltb1_1)-10),KLVT!$A1042,OFFSET(cttba_vlvt1_1,0,-4,-ROW(cttba_vlvt1_1)+ROW(cttba_vltb1_1)-10))</f>
        <v>0</v>
      </c>
      <c r="G1042" s="451">
        <f t="shared" ca="1" si="174"/>
        <v>0</v>
      </c>
      <c r="H1042" s="450">
        <f t="shared" si="178"/>
        <v>1</v>
      </c>
      <c r="I1042" s="447">
        <f t="shared" ca="1" si="175"/>
        <v>0</v>
      </c>
      <c r="J1042" s="447">
        <f t="shared" ca="1" si="176"/>
        <v>0</v>
      </c>
      <c r="K1042" s="373">
        <f t="shared" ca="1" si="177"/>
        <v>0</v>
      </c>
    </row>
    <row r="1043" spans="1:11" s="373" customFormat="1" ht="15.75" hidden="1">
      <c r="A1043" s="373" t="str">
        <f>IF(AND(COUNTIF($A$5:$A$133,R_DG!A917)=0,R_DG!R917&gt;0,ISNUMBER(R_DG!R917)),R_DG!A917,"NONE")</f>
        <v>TI600</v>
      </c>
      <c r="B1043" s="85">
        <f ca="1">IF(K1043&gt;0,COUNTIF(K$6:K1043,"&gt;0"),B1042)</f>
        <v>34</v>
      </c>
      <c r="C1043" s="1084" t="str">
        <f t="shared" si="172"/>
        <v>Biến dòng 600V - 600/5A</v>
      </c>
      <c r="D1043" s="85" t="str">
        <f t="shared" si="173"/>
        <v>cái</v>
      </c>
      <c r="E1043" s="448">
        <f ca="1">SUMIF(OFFSET(tongctvtdd1,0,-(COLUMN(E1043)+7-(COLUMN(E1043)-5)/2)),KLVT!$A1043,tongctvtdd1)+SUMIF(OFFSET(tongctvtpk1,0,-(COLUMN(E1043)+7-(COLUMN(E1043)-5)/2)),KLVT!$A1043,tongctvtpk1)</f>
        <v>0</v>
      </c>
      <c r="F1043" s="449">
        <f ca="1">SUMIF(OFFSET(cttba_vlvt1_1,0,-9,-ROW(cttba_vlvt1_1)+ROW(cttba_vltb1_1)-10),KLVT!$A1043,OFFSET(cttba_vlvt1_1,0,-4,-ROW(cttba_vlvt1_1)+ROW(cttba_vltb1_1)-10))</f>
        <v>0</v>
      </c>
      <c r="G1043" s="451">
        <f t="shared" ca="1" si="174"/>
        <v>0</v>
      </c>
      <c r="H1043" s="450">
        <f t="shared" si="178"/>
        <v>1</v>
      </c>
      <c r="I1043" s="447">
        <f t="shared" ca="1" si="175"/>
        <v>0</v>
      </c>
      <c r="J1043" s="447">
        <f t="shared" ca="1" si="176"/>
        <v>0</v>
      </c>
      <c r="K1043" s="373">
        <f t="shared" ca="1" si="177"/>
        <v>0</v>
      </c>
    </row>
    <row r="1044" spans="1:11" s="373" customFormat="1" ht="15.75" hidden="1">
      <c r="A1044" s="373" t="str">
        <f>IF(AND(COUNTIF($A$5:$A$133,R_DG!A918)=0,R_DG!R918&gt;0,ISNUMBER(R_DG!R918)),R_DG!A918,"NONE")</f>
        <v>TI800</v>
      </c>
      <c r="B1044" s="85">
        <f ca="1">IF(K1044&gt;0,COUNTIF(K$6:K1044,"&gt;0"),B1043)</f>
        <v>34</v>
      </c>
      <c r="C1044" s="1084" t="str">
        <f t="shared" si="172"/>
        <v>Biến dòng 600V - 800/5A</v>
      </c>
      <c r="D1044" s="85" t="str">
        <f t="shared" si="173"/>
        <v>cái</v>
      </c>
      <c r="E1044" s="448">
        <f ca="1">SUMIF(OFFSET(tongctvtdd1,0,-(COLUMN(E1044)+7-(COLUMN(E1044)-5)/2)),KLVT!$A1044,tongctvtdd1)+SUMIF(OFFSET(tongctvtpk1,0,-(COLUMN(E1044)+7-(COLUMN(E1044)-5)/2)),KLVT!$A1044,tongctvtpk1)</f>
        <v>0</v>
      </c>
      <c r="F1044" s="449">
        <f ca="1">SUMIF(OFFSET(cttba_vlvt1_1,0,-9,-ROW(cttba_vlvt1_1)+ROW(cttba_vltb1_1)-10),KLVT!$A1044,OFFSET(cttba_vlvt1_1,0,-4,-ROW(cttba_vlvt1_1)+ROW(cttba_vltb1_1)-10))</f>
        <v>0</v>
      </c>
      <c r="G1044" s="451">
        <f t="shared" ca="1" si="174"/>
        <v>0</v>
      </c>
      <c r="H1044" s="450">
        <f t="shared" si="178"/>
        <v>1</v>
      </c>
      <c r="I1044" s="447">
        <f t="shared" ca="1" si="175"/>
        <v>0</v>
      </c>
      <c r="J1044" s="447">
        <f t="shared" ca="1" si="176"/>
        <v>0</v>
      </c>
      <c r="K1044" s="373">
        <f t="shared" ca="1" si="177"/>
        <v>0</v>
      </c>
    </row>
    <row r="1045" spans="1:11" s="373" customFormat="1" ht="15.75" hidden="1">
      <c r="A1045" s="373" t="str">
        <f>IF(AND(COUNTIF($A$5:$A$133,R_DG!A919)=0,R_DG!R919&gt;0,ISNUMBER(R_DG!R919)),R_DG!A919,"NONE")</f>
        <v>TI800</v>
      </c>
      <c r="B1045" s="85">
        <f ca="1">IF(K1045&gt;0,COUNTIF(K$6:K1045,"&gt;0"),B1044)</f>
        <v>34</v>
      </c>
      <c r="C1045" s="1084" t="str">
        <f t="shared" si="172"/>
        <v>Biến dòng 600V - 800/5A</v>
      </c>
      <c r="D1045" s="85" t="str">
        <f t="shared" si="173"/>
        <v>cái</v>
      </c>
      <c r="E1045" s="448">
        <f ca="1">SUMIF(OFFSET(tongctvtdd1,0,-(COLUMN(E1045)+7-(COLUMN(E1045)-5)/2)),KLVT!$A1045,tongctvtdd1)+SUMIF(OFFSET(tongctvtpk1,0,-(COLUMN(E1045)+7-(COLUMN(E1045)-5)/2)),KLVT!$A1045,tongctvtpk1)</f>
        <v>0</v>
      </c>
      <c r="F1045" s="449">
        <f ca="1">SUMIF(OFFSET(cttba_vlvt1_1,0,-9,-ROW(cttba_vlvt1_1)+ROW(cttba_vltb1_1)-10),KLVT!$A1045,OFFSET(cttba_vlvt1_1,0,-4,-ROW(cttba_vlvt1_1)+ROW(cttba_vltb1_1)-10))</f>
        <v>0</v>
      </c>
      <c r="G1045" s="451">
        <f t="shared" ca="1" si="174"/>
        <v>0</v>
      </c>
      <c r="H1045" s="450">
        <f t="shared" si="178"/>
        <v>1</v>
      </c>
      <c r="I1045" s="447">
        <f t="shared" ca="1" si="175"/>
        <v>0</v>
      </c>
      <c r="J1045" s="447">
        <f t="shared" ca="1" si="176"/>
        <v>0</v>
      </c>
      <c r="K1045" s="373">
        <f t="shared" ca="1" si="177"/>
        <v>0</v>
      </c>
    </row>
    <row r="1046" spans="1:11" s="373" customFormat="1" ht="15.75" hidden="1">
      <c r="A1046" s="373" t="str">
        <f>IF(AND(COUNTIF($A$5:$A$133,R_DG!A920)=0,R_DG!R920&gt;0,ISNUMBER(R_DG!R920)),R_DG!A920,"NONE")</f>
        <v>TU15</v>
      </c>
      <c r="B1046" s="85">
        <f ca="1">IF(K1046&gt;0,COUNTIF(K$6:K1046,"&gt;0"),B1045)</f>
        <v>34</v>
      </c>
      <c r="C1046" s="1084" t="str">
        <f t="shared" si="172"/>
        <v>Biến điện áp 8400/120(60)V</v>
      </c>
      <c r="D1046" s="85" t="str">
        <f t="shared" si="173"/>
        <v>cái</v>
      </c>
      <c r="E1046" s="448">
        <f ca="1">SUMIF(OFFSET(tongctvtdd1,0,-(COLUMN(E1046)+7-(COLUMN(E1046)-5)/2)),KLVT!$A1046,tongctvtdd1)+SUMIF(OFFSET(tongctvtpk1,0,-(COLUMN(E1046)+7-(COLUMN(E1046)-5)/2)),KLVT!$A1046,tongctvtpk1)</f>
        <v>0</v>
      </c>
      <c r="F1046" s="449">
        <f ca="1">SUMIF(OFFSET(cttba_vlvt1_1,0,-9,-ROW(cttba_vlvt1_1)+ROW(cttba_vltb1_1)-10),KLVT!$A1046,OFFSET(cttba_vlvt1_1,0,-4,-ROW(cttba_vlvt1_1)+ROW(cttba_vltb1_1)-10))</f>
        <v>0</v>
      </c>
      <c r="G1046" s="451">
        <f t="shared" ca="1" si="174"/>
        <v>0</v>
      </c>
      <c r="H1046" s="450">
        <f t="shared" si="178"/>
        <v>10</v>
      </c>
      <c r="I1046" s="447">
        <f t="shared" ca="1" si="175"/>
        <v>0</v>
      </c>
      <c r="J1046" s="447">
        <f t="shared" ca="1" si="176"/>
        <v>0</v>
      </c>
      <c r="K1046" s="373">
        <f t="shared" ca="1" si="177"/>
        <v>0</v>
      </c>
    </row>
    <row r="1047" spans="1:11" s="373" customFormat="1" ht="15.75" hidden="1">
      <c r="A1047" s="373" t="str">
        <f>IF(AND(COUNTIF($A$5:$A$133,R_DG!A921)=0,R_DG!R921&gt;0,ISNUMBER(R_DG!R921)),R_DG!A921,"NONE")</f>
        <v>TU22</v>
      </c>
      <c r="B1047" s="85">
        <f ca="1">IF(K1047&gt;0,COUNTIF(K$6:K1047,"&gt;0"),B1046)</f>
        <v>34</v>
      </c>
      <c r="C1047" s="1084" t="str">
        <f t="shared" si="172"/>
        <v>Biến điện áp 12000/120(60)V</v>
      </c>
      <c r="D1047" s="85" t="str">
        <f t="shared" si="173"/>
        <v>cái</v>
      </c>
      <c r="E1047" s="448">
        <f ca="1">SUMIF(OFFSET(tongctvtdd1,0,-(COLUMN(E1047)+7-(COLUMN(E1047)-5)/2)),KLVT!$A1047,tongctvtdd1)+SUMIF(OFFSET(tongctvtpk1,0,-(COLUMN(E1047)+7-(COLUMN(E1047)-5)/2)),KLVT!$A1047,tongctvtpk1)</f>
        <v>0</v>
      </c>
      <c r="F1047" s="449">
        <f ca="1">SUMIF(OFFSET(cttba_vlvt1_1,0,-9,-ROW(cttba_vlvt1_1)+ROW(cttba_vltb1_1)-10),KLVT!$A1047,OFFSET(cttba_vlvt1_1,0,-4,-ROW(cttba_vlvt1_1)+ROW(cttba_vltb1_1)-10))</f>
        <v>0</v>
      </c>
      <c r="G1047" s="451">
        <f t="shared" ca="1" si="174"/>
        <v>0</v>
      </c>
      <c r="H1047" s="450">
        <f t="shared" si="178"/>
        <v>10</v>
      </c>
      <c r="I1047" s="447">
        <f t="shared" ca="1" si="175"/>
        <v>0</v>
      </c>
      <c r="J1047" s="447">
        <f t="shared" ca="1" si="176"/>
        <v>0</v>
      </c>
      <c r="K1047" s="373">
        <f t="shared" ca="1" si="177"/>
        <v>0</v>
      </c>
    </row>
    <row r="1048" spans="1:11" s="373" customFormat="1" ht="15.75" hidden="1">
      <c r="A1048" s="373" t="str">
        <f>IF(AND(COUNTIF($A$5:$A$133,R_DG!A922)=0,R_DG!R922&gt;0,ISNUMBER(R_DG!R922)),R_DG!A922,"NONE")</f>
        <v>NONE</v>
      </c>
      <c r="B1048" s="85">
        <f ca="1">IF(K1048&gt;0,COUNTIF(K$6:K1048,"&gt;0"),B1047)</f>
        <v>34</v>
      </c>
      <c r="C1048" s="1084">
        <f t="shared" si="172"/>
        <v>0</v>
      </c>
      <c r="D1048" s="85">
        <f t="shared" si="173"/>
        <v>0</v>
      </c>
      <c r="E1048" s="448">
        <f ca="1">SUMIF(OFFSET(tongctvtdd1,0,-(COLUMN(E1048)+7-(COLUMN(E1048)-5)/2)),KLVT!$A1048,tongctvtdd1)+SUMIF(OFFSET(tongctvtpk1,0,-(COLUMN(E1048)+7-(COLUMN(E1048)-5)/2)),KLVT!$A1048,tongctvtpk1)</f>
        <v>0</v>
      </c>
      <c r="F1048" s="449">
        <f ca="1">SUMIF(OFFSET(cttba_vlvt1_1,0,-9,-ROW(cttba_vlvt1_1)+ROW(cttba_vltb1_1)-10),KLVT!$A1048,OFFSET(cttba_vlvt1_1,0,-4,-ROW(cttba_vlvt1_1)+ROW(cttba_vltb1_1)-10))</f>
        <v>0</v>
      </c>
      <c r="G1048" s="451">
        <f t="shared" ca="1" si="174"/>
        <v>0</v>
      </c>
      <c r="H1048" s="450">
        <f t="shared" si="178"/>
        <v>1</v>
      </c>
      <c r="I1048" s="447">
        <f t="shared" ca="1" si="175"/>
        <v>0</v>
      </c>
      <c r="J1048" s="447">
        <f t="shared" ca="1" si="176"/>
        <v>0</v>
      </c>
      <c r="K1048" s="373">
        <f t="shared" ca="1" si="177"/>
        <v>0</v>
      </c>
    </row>
    <row r="1049" spans="1:11" s="373" customFormat="1" ht="15.75" hidden="1">
      <c r="A1049" s="373" t="str">
        <f>IF(AND(COUNTIF($A$5:$A$133,R_DG!A923)=0,R_DG!R923&gt;0,ISNUMBER(R_DG!R923)),R_DG!A923,"NONE")</f>
        <v>NONE</v>
      </c>
      <c r="B1049" s="85">
        <f ca="1">IF(K1049&gt;0,COUNTIF(K$6:K1049,"&gt;0"),B1048)</f>
        <v>34</v>
      </c>
      <c r="C1049" s="1084">
        <f t="shared" si="172"/>
        <v>0</v>
      </c>
      <c r="D1049" s="85">
        <f t="shared" si="173"/>
        <v>0</v>
      </c>
      <c r="E1049" s="448">
        <f ca="1">SUMIF(OFFSET(tongctvtdd1,0,-(COLUMN(E1049)+7-(COLUMN(E1049)-5)/2)),KLVT!$A1049,tongctvtdd1)+SUMIF(OFFSET(tongctvtpk1,0,-(COLUMN(E1049)+7-(COLUMN(E1049)-5)/2)),KLVT!$A1049,tongctvtpk1)</f>
        <v>0</v>
      </c>
      <c r="F1049" s="449">
        <f ca="1">SUMIF(OFFSET(cttba_vlvt1_1,0,-9,-ROW(cttba_vlvt1_1)+ROW(cttba_vltb1_1)-10),KLVT!$A1049,OFFSET(cttba_vlvt1_1,0,-4,-ROW(cttba_vlvt1_1)+ROW(cttba_vltb1_1)-10))</f>
        <v>0</v>
      </c>
      <c r="G1049" s="451">
        <f t="shared" ca="1" si="174"/>
        <v>0</v>
      </c>
      <c r="H1049" s="450">
        <f t="shared" si="178"/>
        <v>1</v>
      </c>
      <c r="I1049" s="447">
        <f t="shared" ca="1" si="175"/>
        <v>0</v>
      </c>
      <c r="J1049" s="447">
        <f t="shared" ca="1" si="176"/>
        <v>0</v>
      </c>
      <c r="K1049" s="373">
        <f t="shared" ca="1" si="177"/>
        <v>0</v>
      </c>
    </row>
    <row r="1050" spans="1:11" s="373" customFormat="1" ht="15.75" hidden="1">
      <c r="A1050" s="373" t="str">
        <f>IF(AND(COUNTIF($A$5:$A$133,R_DG!A924)=0,R_DG!R924&gt;0,ISNUMBER(R_DG!R924)),R_DG!A924,"NONE")</f>
        <v>NONE</v>
      </c>
      <c r="B1050" s="85">
        <f ca="1">IF(K1050&gt;0,COUNTIF(K$6:K1050,"&gt;0"),B1049)</f>
        <v>34</v>
      </c>
      <c r="C1050" s="1084">
        <f t="shared" si="172"/>
        <v>0</v>
      </c>
      <c r="D1050" s="85">
        <f t="shared" si="173"/>
        <v>0</v>
      </c>
      <c r="E1050" s="448">
        <f ca="1">SUMIF(OFFSET(tongctvtdd1,0,-(COLUMN(E1050)+7-(COLUMN(E1050)-5)/2)),KLVT!$A1050,tongctvtdd1)+SUMIF(OFFSET(tongctvtpk1,0,-(COLUMN(E1050)+7-(COLUMN(E1050)-5)/2)),KLVT!$A1050,tongctvtpk1)</f>
        <v>0</v>
      </c>
      <c r="F1050" s="449">
        <f ca="1">SUMIF(OFFSET(cttba_vlvt1_1,0,-9,-ROW(cttba_vlvt1_1)+ROW(cttba_vltb1_1)-10),KLVT!$A1050,OFFSET(cttba_vlvt1_1,0,-4,-ROW(cttba_vlvt1_1)+ROW(cttba_vltb1_1)-10))</f>
        <v>0</v>
      </c>
      <c r="G1050" s="451">
        <f t="shared" ca="1" si="174"/>
        <v>0</v>
      </c>
      <c r="H1050" s="450">
        <f t="shared" si="178"/>
        <v>1</v>
      </c>
      <c r="I1050" s="447">
        <f t="shared" ca="1" si="175"/>
        <v>0</v>
      </c>
      <c r="J1050" s="447">
        <f t="shared" ca="1" si="176"/>
        <v>0</v>
      </c>
      <c r="K1050" s="373">
        <f t="shared" ca="1" si="177"/>
        <v>0</v>
      </c>
    </row>
    <row r="1051" spans="1:11" s="373" customFormat="1" ht="15.75" hidden="1">
      <c r="A1051" s="373" t="str">
        <f>IF(AND(COUNTIF($A$5:$A$133,R_DG!A925)=0,R_DG!R925&gt;0,ISNUMBER(R_DG!R925)),R_DG!A925,"NONE")</f>
        <v>NONE</v>
      </c>
      <c r="B1051" s="85">
        <f ca="1">IF(K1051&gt;0,COUNTIF(K$6:K1051,"&gt;0"),B1050)</f>
        <v>34</v>
      </c>
      <c r="C1051" s="1084">
        <f t="shared" si="172"/>
        <v>0</v>
      </c>
      <c r="D1051" s="85">
        <f t="shared" si="173"/>
        <v>0</v>
      </c>
      <c r="E1051" s="448">
        <f ca="1">SUMIF(OFFSET(tongctvtdd1,0,-(COLUMN(E1051)+7-(COLUMN(E1051)-5)/2)),KLVT!$A1051,tongctvtdd1)+SUMIF(OFFSET(tongctvtpk1,0,-(COLUMN(E1051)+7-(COLUMN(E1051)-5)/2)),KLVT!$A1051,tongctvtpk1)</f>
        <v>0</v>
      </c>
      <c r="F1051" s="449">
        <f ca="1">SUMIF(OFFSET(cttba_vlvt1_1,0,-9,-ROW(cttba_vlvt1_1)+ROW(cttba_vltb1_1)-10),KLVT!$A1051,OFFSET(cttba_vlvt1_1,0,-4,-ROW(cttba_vlvt1_1)+ROW(cttba_vltb1_1)-10))</f>
        <v>0</v>
      </c>
      <c r="G1051" s="451">
        <f t="shared" ca="1" si="174"/>
        <v>0</v>
      </c>
      <c r="H1051" s="450">
        <f t="shared" si="178"/>
        <v>1</v>
      </c>
      <c r="I1051" s="447">
        <f t="shared" ca="1" si="175"/>
        <v>0</v>
      </c>
      <c r="J1051" s="447">
        <f t="shared" ca="1" si="176"/>
        <v>0</v>
      </c>
      <c r="K1051" s="373">
        <f t="shared" ca="1" si="177"/>
        <v>0</v>
      </c>
    </row>
    <row r="1052" spans="1:11" s="373" customFormat="1" ht="15.75" hidden="1">
      <c r="A1052" s="373" t="str">
        <f>IF(AND(COUNTIF($A$5:$A$133,R_DG!A926)=0,R_DG!R926&gt;0,ISNUMBER(R_DG!R926)),R_DG!A926,"NONE")</f>
        <v>TUBU1000</v>
      </c>
      <c r="B1052" s="85">
        <f ca="1">IF(K1052&gt;0,COUNTIF(K$6:K1052,"&gt;0"),B1051)</f>
        <v>34</v>
      </c>
      <c r="C1052" s="1084" t="str">
        <f t="shared" si="172"/>
        <v>Tủ tụ bù hạ thế 1000kVAr + bộ điều khiển 8 cấp LCD</v>
      </c>
      <c r="D1052" s="85" t="str">
        <f t="shared" si="173"/>
        <v>tủ</v>
      </c>
      <c r="E1052" s="448">
        <f ca="1">SUMIF(OFFSET(tongctvtdd1,0,-(COLUMN(E1052)+7-(COLUMN(E1052)-5)/2)),KLVT!$A1052,tongctvtdd1)+SUMIF(OFFSET(tongctvtpk1,0,-(COLUMN(E1052)+7-(COLUMN(E1052)-5)/2)),KLVT!$A1052,tongctvtpk1)</f>
        <v>0</v>
      </c>
      <c r="F1052" s="449">
        <f ca="1">SUMIF(OFFSET(cttba_vlvt1_1,0,-9,-ROW(cttba_vlvt1_1)+ROW(cttba_vltb1_1)-10),KLVT!$A1052,OFFSET(cttba_vlvt1_1,0,-4,-ROW(cttba_vlvt1_1)+ROW(cttba_vltb1_1)-10))</f>
        <v>0</v>
      </c>
      <c r="G1052" s="451">
        <f t="shared" ca="1" si="174"/>
        <v>0</v>
      </c>
      <c r="H1052" s="450">
        <f t="shared" si="178"/>
        <v>50</v>
      </c>
      <c r="I1052" s="447">
        <f t="shared" ca="1" si="175"/>
        <v>0</v>
      </c>
      <c r="J1052" s="447">
        <f t="shared" ca="1" si="176"/>
        <v>0</v>
      </c>
      <c r="K1052" s="373">
        <f t="shared" ca="1" si="177"/>
        <v>0</v>
      </c>
    </row>
    <row r="1053" spans="1:11" s="373" customFormat="1" ht="15.75" hidden="1">
      <c r="A1053" s="373" t="str">
        <f>IF(AND(COUNTIF($A$5:$A$133,R_DG!A927)=0,R_DG!R927&gt;0,ISNUMBER(R_DG!R927)),R_DG!A927,"NONE")</f>
        <v>TUBU750</v>
      </c>
      <c r="B1053" s="85">
        <f ca="1">IF(K1053&gt;0,COUNTIF(K$6:K1053,"&gt;0"),B1052)</f>
        <v>34</v>
      </c>
      <c r="C1053" s="1084" t="str">
        <f t="shared" si="172"/>
        <v>Tủ tụ bù hạ thế 750kVAr + bộ điều khiển 8 cấp LCD</v>
      </c>
      <c r="D1053" s="85" t="str">
        <f t="shared" si="173"/>
        <v>tủ</v>
      </c>
      <c r="E1053" s="448">
        <f ca="1">SUMIF(OFFSET(tongctvtdd1,0,-(COLUMN(E1053)+7-(COLUMN(E1053)-5)/2)),KLVT!$A1053,tongctvtdd1)+SUMIF(OFFSET(tongctvtpk1,0,-(COLUMN(E1053)+7-(COLUMN(E1053)-5)/2)),KLVT!$A1053,tongctvtpk1)</f>
        <v>0</v>
      </c>
      <c r="F1053" s="449">
        <f ca="1">SUMIF(OFFSET(cttba_vlvt1_1,0,-9,-ROW(cttba_vlvt1_1)+ROW(cttba_vltb1_1)-10),KLVT!$A1053,OFFSET(cttba_vlvt1_1,0,-4,-ROW(cttba_vlvt1_1)+ROW(cttba_vltb1_1)-10))</f>
        <v>0</v>
      </c>
      <c r="G1053" s="451">
        <f t="shared" ca="1" si="174"/>
        <v>0</v>
      </c>
      <c r="H1053" s="450">
        <f t="shared" si="178"/>
        <v>50</v>
      </c>
      <c r="I1053" s="447">
        <f t="shared" ca="1" si="175"/>
        <v>0</v>
      </c>
      <c r="J1053" s="447">
        <f t="shared" ca="1" si="176"/>
        <v>0</v>
      </c>
      <c r="K1053" s="373">
        <f t="shared" ca="1" si="177"/>
        <v>0</v>
      </c>
    </row>
    <row r="1054" spans="1:11" s="373" customFormat="1" ht="15.75" hidden="1">
      <c r="A1054" s="373" t="str">
        <f>IF(AND(COUNTIF($A$5:$A$133,R_DG!A928)=0,R_DG!R928&gt;0,ISNUMBER(R_DG!R928)),R_DG!A928,"NONE")</f>
        <v>TUBU600</v>
      </c>
      <c r="B1054" s="85">
        <f ca="1">IF(K1054&gt;0,COUNTIF(K$6:K1054,"&gt;0"),B1053)</f>
        <v>34</v>
      </c>
      <c r="C1054" s="1084" t="str">
        <f t="shared" si="172"/>
        <v>Tủ tụ bù hạ thế 600kVAr + bộ điều khiển 8 cấp LCD</v>
      </c>
      <c r="D1054" s="85" t="str">
        <f t="shared" si="173"/>
        <v>tủ</v>
      </c>
      <c r="E1054" s="448">
        <f ca="1">SUMIF(OFFSET(tongctvtdd1,0,-(COLUMN(E1054)+7-(COLUMN(E1054)-5)/2)),KLVT!$A1054,tongctvtdd1)+SUMIF(OFFSET(tongctvtpk1,0,-(COLUMN(E1054)+7-(COLUMN(E1054)-5)/2)),KLVT!$A1054,tongctvtpk1)</f>
        <v>0</v>
      </c>
      <c r="F1054" s="449">
        <f ca="1">SUMIF(OFFSET(cttba_vlvt1_1,0,-9,-ROW(cttba_vlvt1_1)+ROW(cttba_vltb1_1)-10),KLVT!$A1054,OFFSET(cttba_vlvt1_1,0,-4,-ROW(cttba_vlvt1_1)+ROW(cttba_vltb1_1)-10))</f>
        <v>0</v>
      </c>
      <c r="G1054" s="451">
        <f t="shared" ca="1" si="174"/>
        <v>0</v>
      </c>
      <c r="H1054" s="450">
        <f t="shared" si="178"/>
        <v>50</v>
      </c>
      <c r="I1054" s="447">
        <f t="shared" ca="1" si="175"/>
        <v>0</v>
      </c>
      <c r="J1054" s="447">
        <f t="shared" ca="1" si="176"/>
        <v>0</v>
      </c>
      <c r="K1054" s="373">
        <f t="shared" ca="1" si="177"/>
        <v>0</v>
      </c>
    </row>
    <row r="1055" spans="1:11" s="373" customFormat="1" ht="15.75" hidden="1">
      <c r="A1055" s="373" t="str">
        <f>IF(AND(COUNTIF($A$5:$A$133,R_DG!A929)=0,R_DG!R929&gt;0,ISNUMBER(R_DG!R929)),R_DG!A929,"NONE")</f>
        <v>TUBU400</v>
      </c>
      <c r="B1055" s="85">
        <f ca="1">IF(K1055&gt;0,COUNTIF(K$6:K1055,"&gt;0"),B1054)</f>
        <v>34</v>
      </c>
      <c r="C1055" s="1084" t="str">
        <f t="shared" si="172"/>
        <v>Tủ tụ bù hạ thế 400kVAr + bộ điều khiển 8 cấp LCD</v>
      </c>
      <c r="D1055" s="85" t="str">
        <f t="shared" si="173"/>
        <v>tủ</v>
      </c>
      <c r="E1055" s="448">
        <f ca="1">SUMIF(OFFSET(tongctvtdd1,0,-(COLUMN(E1055)+7-(COLUMN(E1055)-5)/2)),KLVT!$A1055,tongctvtdd1)+SUMIF(OFFSET(tongctvtpk1,0,-(COLUMN(E1055)+7-(COLUMN(E1055)-5)/2)),KLVT!$A1055,tongctvtpk1)</f>
        <v>0</v>
      </c>
      <c r="F1055" s="449">
        <f ca="1">SUMIF(OFFSET(cttba_vlvt1_1,0,-9,-ROW(cttba_vlvt1_1)+ROW(cttba_vltb1_1)-10),KLVT!$A1055,OFFSET(cttba_vlvt1_1,0,-4,-ROW(cttba_vlvt1_1)+ROW(cttba_vltb1_1)-10))</f>
        <v>0</v>
      </c>
      <c r="G1055" s="451">
        <f t="shared" ca="1" si="174"/>
        <v>0</v>
      </c>
      <c r="H1055" s="450">
        <f t="shared" si="178"/>
        <v>50</v>
      </c>
      <c r="I1055" s="447">
        <f t="shared" ca="1" si="175"/>
        <v>0</v>
      </c>
      <c r="J1055" s="447">
        <f t="shared" ca="1" si="176"/>
        <v>0</v>
      </c>
      <c r="K1055" s="373">
        <f t="shared" ca="1" si="177"/>
        <v>0</v>
      </c>
    </row>
    <row r="1056" spans="1:11" s="373" customFormat="1" ht="15.75" hidden="1">
      <c r="A1056" s="373" t="str">
        <f>IF(AND(COUNTIF($A$5:$A$133,R_DG!A930)=0,R_DG!R930&gt;0,ISNUMBER(R_DG!R930)),R_DG!A930,"NONE")</f>
        <v>TUBU380</v>
      </c>
      <c r="B1056" s="85">
        <f ca="1">IF(K1056&gt;0,COUNTIF(K$6:K1056,"&gt;0"),B1055)</f>
        <v>34</v>
      </c>
      <c r="C1056" s="1084" t="str">
        <f t="shared" si="172"/>
        <v>Tủ tụ bù hạ thế 380kVAr + bộ điều khiển 8 cấp LCD</v>
      </c>
      <c r="D1056" s="85" t="str">
        <f t="shared" si="173"/>
        <v>tủ</v>
      </c>
      <c r="E1056" s="448">
        <f ca="1">SUMIF(OFFSET(tongctvtdd1,0,-(COLUMN(E1056)+7-(COLUMN(E1056)-5)/2)),KLVT!$A1056,tongctvtdd1)+SUMIF(OFFSET(tongctvtpk1,0,-(COLUMN(E1056)+7-(COLUMN(E1056)-5)/2)),KLVT!$A1056,tongctvtpk1)</f>
        <v>0</v>
      </c>
      <c r="F1056" s="449">
        <f ca="1">SUMIF(OFFSET(cttba_vlvt1_1,0,-9,-ROW(cttba_vlvt1_1)+ROW(cttba_vltb1_1)-10),KLVT!$A1056,OFFSET(cttba_vlvt1_1,0,-4,-ROW(cttba_vlvt1_1)+ROW(cttba_vltb1_1)-10))</f>
        <v>0</v>
      </c>
      <c r="G1056" s="451">
        <f t="shared" ca="1" si="174"/>
        <v>0</v>
      </c>
      <c r="H1056" s="450">
        <f t="shared" si="178"/>
        <v>50</v>
      </c>
      <c r="I1056" s="447">
        <f t="shared" ca="1" si="175"/>
        <v>0</v>
      </c>
      <c r="J1056" s="447">
        <f t="shared" ca="1" si="176"/>
        <v>0</v>
      </c>
      <c r="K1056" s="373">
        <f t="shared" ca="1" si="177"/>
        <v>0</v>
      </c>
    </row>
    <row r="1057" spans="1:11" s="373" customFormat="1" ht="15.75" hidden="1">
      <c r="A1057" s="373" t="str">
        <f>IF(AND(COUNTIF($A$5:$A$133,R_DG!A931)=0,R_DG!R931&gt;0,ISNUMBER(R_DG!R931)),R_DG!A931,"NONE")</f>
        <v>TUBU300</v>
      </c>
      <c r="B1057" s="85">
        <f ca="1">IF(K1057&gt;0,COUNTIF(K$6:K1057,"&gt;0"),B1056)</f>
        <v>34</v>
      </c>
      <c r="C1057" s="1084" t="str">
        <f t="shared" si="172"/>
        <v>Tủ tụ bù hạ thế 300kVAr + bộ điều khiển 8 cấp LCD</v>
      </c>
      <c r="D1057" s="85" t="str">
        <f t="shared" si="173"/>
        <v>tủ</v>
      </c>
      <c r="E1057" s="448">
        <f ca="1">SUMIF(OFFSET(tongctvtdd1,0,-(COLUMN(E1057)+7-(COLUMN(E1057)-5)/2)),KLVT!$A1057,tongctvtdd1)+SUMIF(OFFSET(tongctvtpk1,0,-(COLUMN(E1057)+7-(COLUMN(E1057)-5)/2)),KLVT!$A1057,tongctvtpk1)</f>
        <v>0</v>
      </c>
      <c r="F1057" s="449">
        <f ca="1">SUMIF(OFFSET(cttba_vlvt1_1,0,-9,-ROW(cttba_vlvt1_1)+ROW(cttba_vltb1_1)-10),KLVT!$A1057,OFFSET(cttba_vlvt1_1,0,-4,-ROW(cttba_vlvt1_1)+ROW(cttba_vltb1_1)-10))</f>
        <v>0</v>
      </c>
      <c r="G1057" s="451">
        <f t="shared" ca="1" si="174"/>
        <v>0</v>
      </c>
      <c r="H1057" s="450">
        <f t="shared" si="178"/>
        <v>50</v>
      </c>
      <c r="I1057" s="447">
        <f t="shared" ca="1" si="175"/>
        <v>0</v>
      </c>
      <c r="J1057" s="447">
        <f t="shared" ca="1" si="176"/>
        <v>0</v>
      </c>
      <c r="K1057" s="373">
        <f t="shared" ca="1" si="177"/>
        <v>0</v>
      </c>
    </row>
    <row r="1058" spans="1:11" s="373" customFormat="1" ht="15.75" hidden="1">
      <c r="A1058" s="373" t="str">
        <f>IF(AND(COUNTIF($A$5:$A$133,R_DG!A932)=0,R_DG!R932&gt;0,ISNUMBER(R_DG!R932)),R_DG!A932,"NONE")</f>
        <v>TUBU250</v>
      </c>
      <c r="B1058" s="85">
        <f ca="1">IF(K1058&gt;0,COUNTIF(K$6:K1058,"&gt;0"),B1057)</f>
        <v>34</v>
      </c>
      <c r="C1058" s="1084" t="str">
        <f t="shared" si="172"/>
        <v>Tủ tụ bù hạ thế 250kVAr + bộ điều khiển 8 cấp LCD</v>
      </c>
      <c r="D1058" s="85" t="str">
        <f t="shared" si="173"/>
        <v>tủ</v>
      </c>
      <c r="E1058" s="448">
        <f ca="1">SUMIF(OFFSET(tongctvtdd1,0,-(COLUMN(E1058)+7-(COLUMN(E1058)-5)/2)),KLVT!$A1058,tongctvtdd1)+SUMIF(OFFSET(tongctvtpk1,0,-(COLUMN(E1058)+7-(COLUMN(E1058)-5)/2)),KLVT!$A1058,tongctvtpk1)</f>
        <v>0</v>
      </c>
      <c r="F1058" s="449">
        <f ca="1">SUMIF(OFFSET(cttba_vlvt1_1,0,-9,-ROW(cttba_vlvt1_1)+ROW(cttba_vltb1_1)-10),KLVT!$A1058,OFFSET(cttba_vlvt1_1,0,-4,-ROW(cttba_vlvt1_1)+ROW(cttba_vltb1_1)-10))</f>
        <v>0</v>
      </c>
      <c r="G1058" s="451">
        <f t="shared" ca="1" si="174"/>
        <v>0</v>
      </c>
      <c r="H1058" s="450">
        <f t="shared" si="178"/>
        <v>50</v>
      </c>
      <c r="I1058" s="447">
        <f t="shared" ca="1" si="175"/>
        <v>0</v>
      </c>
      <c r="J1058" s="447">
        <f t="shared" ca="1" si="176"/>
        <v>0</v>
      </c>
      <c r="K1058" s="373">
        <f t="shared" ca="1" si="177"/>
        <v>0</v>
      </c>
    </row>
    <row r="1059" spans="1:11" s="373" customFormat="1" ht="15.75" hidden="1">
      <c r="A1059" s="373" t="str">
        <f>IF(AND(COUNTIF($A$5:$A$133,R_DG!A933)=0,R_DG!R933&gt;0,ISNUMBER(R_DG!R933)),R_DG!A933,"NONE")</f>
        <v>TUBU220</v>
      </c>
      <c r="B1059" s="85">
        <f ca="1">IF(K1059&gt;0,COUNTIF(K$6:K1059,"&gt;0"),B1058)</f>
        <v>34</v>
      </c>
      <c r="C1059" s="1084" t="str">
        <f t="shared" si="172"/>
        <v>Tủ tụ bù hạ thế 220kVAr + bộ điều khiển 8 cấp LCD</v>
      </c>
      <c r="D1059" s="85" t="str">
        <f t="shared" si="173"/>
        <v>tủ</v>
      </c>
      <c r="E1059" s="448">
        <f ca="1">SUMIF(OFFSET(tongctvtdd1,0,-(COLUMN(E1059)+7-(COLUMN(E1059)-5)/2)),KLVT!$A1059,tongctvtdd1)+SUMIF(OFFSET(tongctvtpk1,0,-(COLUMN(E1059)+7-(COLUMN(E1059)-5)/2)),KLVT!$A1059,tongctvtpk1)</f>
        <v>0</v>
      </c>
      <c r="F1059" s="449">
        <f ca="1">SUMIF(OFFSET(cttba_vlvt1_1,0,-9,-ROW(cttba_vlvt1_1)+ROW(cttba_vltb1_1)-10),KLVT!$A1059,OFFSET(cttba_vlvt1_1,0,-4,-ROW(cttba_vlvt1_1)+ROW(cttba_vltb1_1)-10))</f>
        <v>0</v>
      </c>
      <c r="G1059" s="451">
        <f t="shared" ca="1" si="174"/>
        <v>0</v>
      </c>
      <c r="H1059" s="450">
        <f t="shared" si="178"/>
        <v>50</v>
      </c>
      <c r="I1059" s="447">
        <f t="shared" ca="1" si="175"/>
        <v>0</v>
      </c>
      <c r="J1059" s="447">
        <f t="shared" ca="1" si="176"/>
        <v>0</v>
      </c>
      <c r="K1059" s="373">
        <f t="shared" ca="1" si="177"/>
        <v>0</v>
      </c>
    </row>
    <row r="1060" spans="1:11" s="373" customFormat="1" ht="15.75" hidden="1">
      <c r="A1060" s="373" t="str">
        <f>IF(AND(COUNTIF($A$5:$A$133,R_DG!A934)=0,R_DG!R934&gt;0,ISNUMBER(R_DG!R934)),R_DG!A934,"NONE")</f>
        <v>TUBU160</v>
      </c>
      <c r="B1060" s="85">
        <f ca="1">IF(K1060&gt;0,COUNTIF(K$6:K1060,"&gt;0"),B1059)</f>
        <v>34</v>
      </c>
      <c r="C1060" s="1084" t="str">
        <f t="shared" si="172"/>
        <v>Tủ tụ bù hạ thế 160kVAr + bộ điều khiển 8 cấp LCD</v>
      </c>
      <c r="D1060" s="85" t="str">
        <f t="shared" si="173"/>
        <v>tủ</v>
      </c>
      <c r="E1060" s="448">
        <f ca="1">SUMIF(OFFSET(tongctvtdd1,0,-(COLUMN(E1060)+7-(COLUMN(E1060)-5)/2)),KLVT!$A1060,tongctvtdd1)+SUMIF(OFFSET(tongctvtpk1,0,-(COLUMN(E1060)+7-(COLUMN(E1060)-5)/2)),KLVT!$A1060,tongctvtpk1)</f>
        <v>0</v>
      </c>
      <c r="F1060" s="449">
        <f ca="1">SUMIF(OFFSET(cttba_vlvt1_1,0,-9,-ROW(cttba_vlvt1_1)+ROW(cttba_vltb1_1)-10),KLVT!$A1060,OFFSET(cttba_vlvt1_1,0,-4,-ROW(cttba_vlvt1_1)+ROW(cttba_vltb1_1)-10))</f>
        <v>0</v>
      </c>
      <c r="G1060" s="451">
        <f t="shared" ca="1" si="174"/>
        <v>0</v>
      </c>
      <c r="H1060" s="450">
        <f t="shared" si="178"/>
        <v>50</v>
      </c>
      <c r="I1060" s="447">
        <f t="shared" ca="1" si="175"/>
        <v>0</v>
      </c>
      <c r="J1060" s="447">
        <f t="shared" ca="1" si="176"/>
        <v>0</v>
      </c>
      <c r="K1060" s="373">
        <f t="shared" ca="1" si="177"/>
        <v>0</v>
      </c>
    </row>
    <row r="1061" spans="1:11" s="373" customFormat="1" ht="15.75" hidden="1">
      <c r="A1061" s="373" t="str">
        <f>IF(AND(COUNTIF($A$5:$A$133,R_DG!A935)=0,R_DG!R935&gt;0,ISNUMBER(R_DG!R935)),R_DG!A935,"NONE")</f>
        <v>TUBU135</v>
      </c>
      <c r="B1061" s="85">
        <f ca="1">IF(K1061&gt;0,COUNTIF(K$6:K1061,"&gt;0"),B1060)</f>
        <v>34</v>
      </c>
      <c r="C1061" s="1084" t="str">
        <f t="shared" si="172"/>
        <v>Tủ tụ bù hạ thế 135kVAr + bộ điều khiển 8 cấp LCD</v>
      </c>
      <c r="D1061" s="85" t="str">
        <f t="shared" si="173"/>
        <v>tủ</v>
      </c>
      <c r="E1061" s="448">
        <f ca="1">SUMIF(OFFSET(tongctvtdd1,0,-(COLUMN(E1061)+7-(COLUMN(E1061)-5)/2)),KLVT!$A1061,tongctvtdd1)+SUMIF(OFFSET(tongctvtpk1,0,-(COLUMN(E1061)+7-(COLUMN(E1061)-5)/2)),KLVT!$A1061,tongctvtpk1)</f>
        <v>0</v>
      </c>
      <c r="F1061" s="449">
        <f ca="1">SUMIF(OFFSET(cttba_vlvt1_1,0,-9,-ROW(cttba_vlvt1_1)+ROW(cttba_vltb1_1)-10),KLVT!$A1061,OFFSET(cttba_vlvt1_1,0,-4,-ROW(cttba_vlvt1_1)+ROW(cttba_vltb1_1)-10))</f>
        <v>0</v>
      </c>
      <c r="G1061" s="451">
        <f t="shared" ca="1" si="174"/>
        <v>0</v>
      </c>
      <c r="H1061" s="450">
        <f t="shared" si="178"/>
        <v>50</v>
      </c>
      <c r="I1061" s="447">
        <f t="shared" ca="1" si="175"/>
        <v>0</v>
      </c>
      <c r="J1061" s="447">
        <f t="shared" ca="1" si="176"/>
        <v>0</v>
      </c>
      <c r="K1061" s="373">
        <f t="shared" ca="1" si="177"/>
        <v>0</v>
      </c>
    </row>
    <row r="1062" spans="1:11" s="373" customFormat="1" ht="15.75" hidden="1">
      <c r="A1062" s="373" t="str">
        <f>IF(AND(COUNTIF($A$5:$A$133,R_DG!A936)=0,R_DG!R936&gt;0,ISNUMBER(R_DG!R936)),R_DG!A936,"NONE")</f>
        <v>TUBU130</v>
      </c>
      <c r="B1062" s="85">
        <f ca="1">IF(K1062&gt;0,COUNTIF(K$6:K1062,"&gt;0"),B1061)</f>
        <v>34</v>
      </c>
      <c r="C1062" s="1084" t="str">
        <f t="shared" si="172"/>
        <v>Tủ tụ bù hạ thế 130kVAr + bộ điều khiển 8 cấp LCD</v>
      </c>
      <c r="D1062" s="85" t="str">
        <f t="shared" si="173"/>
        <v>tủ</v>
      </c>
      <c r="E1062" s="448">
        <f ca="1">SUMIF(OFFSET(tongctvtdd1,0,-(COLUMN(E1062)+7-(COLUMN(E1062)-5)/2)),KLVT!$A1062,tongctvtdd1)+SUMIF(OFFSET(tongctvtpk1,0,-(COLUMN(E1062)+7-(COLUMN(E1062)-5)/2)),KLVT!$A1062,tongctvtpk1)</f>
        <v>0</v>
      </c>
      <c r="F1062" s="449">
        <f ca="1">SUMIF(OFFSET(cttba_vlvt1_1,0,-9,-ROW(cttba_vlvt1_1)+ROW(cttba_vltb1_1)-10),KLVT!$A1062,OFFSET(cttba_vlvt1_1,0,-4,-ROW(cttba_vlvt1_1)+ROW(cttba_vltb1_1)-10))</f>
        <v>0</v>
      </c>
      <c r="G1062" s="451">
        <f t="shared" ca="1" si="174"/>
        <v>0</v>
      </c>
      <c r="H1062" s="450">
        <f t="shared" si="178"/>
        <v>50</v>
      </c>
      <c r="I1062" s="447">
        <f t="shared" ca="1" si="175"/>
        <v>0</v>
      </c>
      <c r="J1062" s="447">
        <f t="shared" ca="1" si="176"/>
        <v>0</v>
      </c>
      <c r="K1062" s="373">
        <f t="shared" ca="1" si="177"/>
        <v>0</v>
      </c>
    </row>
    <row r="1063" spans="1:11" s="373" customFormat="1" ht="15.75" hidden="1">
      <c r="A1063" s="373" t="str">
        <f>IF(AND(COUNTIF($A$5:$A$133,R_DG!A937)=0,R_DG!R937&gt;0,ISNUMBER(R_DG!R937)),R_DG!A937,"NONE")</f>
        <v>TUBU100</v>
      </c>
      <c r="B1063" s="85">
        <f ca="1">IF(K1063&gt;0,COUNTIF(K$6:K1063,"&gt;0"),B1062)</f>
        <v>34</v>
      </c>
      <c r="C1063" s="1084" t="str">
        <f t="shared" si="172"/>
        <v>Tủ tụ bù hạ thế 100kVAr + bộ điều khiển 8 cấp LCD</v>
      </c>
      <c r="D1063" s="85" t="str">
        <f t="shared" si="173"/>
        <v>tủ</v>
      </c>
      <c r="E1063" s="448">
        <f ca="1">SUMIF(OFFSET(tongctvtdd1,0,-(COLUMN(E1063)+7-(COLUMN(E1063)-5)/2)),KLVT!$A1063,tongctvtdd1)+SUMIF(OFFSET(tongctvtpk1,0,-(COLUMN(E1063)+7-(COLUMN(E1063)-5)/2)),KLVT!$A1063,tongctvtpk1)</f>
        <v>0</v>
      </c>
      <c r="F1063" s="449">
        <f ca="1">SUMIF(OFFSET(cttba_vlvt1_1,0,-9,-ROW(cttba_vlvt1_1)+ROW(cttba_vltb1_1)-10),KLVT!$A1063,OFFSET(cttba_vlvt1_1,0,-4,-ROW(cttba_vlvt1_1)+ROW(cttba_vltb1_1)-10))</f>
        <v>0</v>
      </c>
      <c r="G1063" s="451">
        <f t="shared" ca="1" si="174"/>
        <v>0</v>
      </c>
      <c r="H1063" s="450">
        <f t="shared" si="178"/>
        <v>50</v>
      </c>
      <c r="I1063" s="447">
        <f t="shared" ca="1" si="175"/>
        <v>0</v>
      </c>
      <c r="J1063" s="447">
        <f t="shared" ca="1" si="176"/>
        <v>0</v>
      </c>
      <c r="K1063" s="373">
        <f t="shared" ca="1" si="177"/>
        <v>0</v>
      </c>
    </row>
    <row r="1064" spans="1:11" s="373" customFormat="1" ht="15.75" hidden="1">
      <c r="A1064" s="373" t="str">
        <f>IF(AND(COUNTIF($A$5:$A$133,R_DG!A938)=0,R_DG!R938&gt;0,ISNUMBER(R_DG!R938)),R_DG!A938,"NONE")</f>
        <v>TUBU95</v>
      </c>
      <c r="B1064" s="85">
        <f ca="1">IF(K1064&gt;0,COUNTIF(K$6:K1064,"&gt;0"),B1063)</f>
        <v>34</v>
      </c>
      <c r="C1064" s="1084" t="str">
        <f t="shared" si="172"/>
        <v>Tủ tụ bù hạ thế 95kVAr  + bộ điều khiển 8 cấp LCD</v>
      </c>
      <c r="D1064" s="85" t="str">
        <f t="shared" si="173"/>
        <v>tủ</v>
      </c>
      <c r="E1064" s="448">
        <f ca="1">SUMIF(OFFSET(tongctvtdd1,0,-(COLUMN(E1064)+7-(COLUMN(E1064)-5)/2)),KLVT!$A1064,tongctvtdd1)+SUMIF(OFFSET(tongctvtpk1,0,-(COLUMN(E1064)+7-(COLUMN(E1064)-5)/2)),KLVT!$A1064,tongctvtpk1)</f>
        <v>0</v>
      </c>
      <c r="F1064" s="449">
        <f ca="1">SUMIF(OFFSET(cttba_vlvt1_1,0,-9,-ROW(cttba_vlvt1_1)+ROW(cttba_vltb1_1)-10),KLVT!$A1064,OFFSET(cttba_vlvt1_1,0,-4,-ROW(cttba_vlvt1_1)+ROW(cttba_vltb1_1)-10))</f>
        <v>0</v>
      </c>
      <c r="G1064" s="451">
        <f t="shared" ca="1" si="174"/>
        <v>0</v>
      </c>
      <c r="H1064" s="450">
        <f t="shared" si="178"/>
        <v>50</v>
      </c>
      <c r="I1064" s="447">
        <f t="shared" ca="1" si="175"/>
        <v>0</v>
      </c>
      <c r="J1064" s="447">
        <f t="shared" ca="1" si="176"/>
        <v>0</v>
      </c>
      <c r="K1064" s="373">
        <f t="shared" ca="1" si="177"/>
        <v>0</v>
      </c>
    </row>
    <row r="1065" spans="1:11" s="373" customFormat="1" ht="15.75" hidden="1">
      <c r="A1065" s="373" t="str">
        <f>IF(AND(COUNTIF($A$5:$A$133,R_DG!A939)=0,R_DG!R939&gt;0,ISNUMBER(R_DG!R939)),R_DG!A939,"NONE")</f>
        <v>TUBU80</v>
      </c>
      <c r="B1065" s="85">
        <f ca="1">IF(K1065&gt;0,COUNTIF(K$6:K1065,"&gt;0"),B1064)</f>
        <v>34</v>
      </c>
      <c r="C1065" s="1084" t="str">
        <f t="shared" si="172"/>
        <v>Tủ tụ bù hạ thế 80kVAr  + bộ điều khiển 8 cấp LCD</v>
      </c>
      <c r="D1065" s="85" t="str">
        <f t="shared" si="173"/>
        <v>tủ</v>
      </c>
      <c r="E1065" s="448">
        <f ca="1">SUMIF(OFFSET(tongctvtdd1,0,-(COLUMN(E1065)+7-(COLUMN(E1065)-5)/2)),KLVT!$A1065,tongctvtdd1)+SUMIF(OFFSET(tongctvtpk1,0,-(COLUMN(E1065)+7-(COLUMN(E1065)-5)/2)),KLVT!$A1065,tongctvtpk1)</f>
        <v>0</v>
      </c>
      <c r="F1065" s="449">
        <f ca="1">SUMIF(OFFSET(cttba_vlvt1_1,0,-9,-ROW(cttba_vlvt1_1)+ROW(cttba_vltb1_1)-10),KLVT!$A1065,OFFSET(cttba_vlvt1_1,0,-4,-ROW(cttba_vlvt1_1)+ROW(cttba_vltb1_1)-10))</f>
        <v>0</v>
      </c>
      <c r="G1065" s="451">
        <f t="shared" ca="1" si="174"/>
        <v>0</v>
      </c>
      <c r="H1065" s="450">
        <f t="shared" si="178"/>
        <v>50</v>
      </c>
      <c r="I1065" s="447">
        <f t="shared" ca="1" si="175"/>
        <v>0</v>
      </c>
      <c r="J1065" s="447">
        <f t="shared" ca="1" si="176"/>
        <v>0</v>
      </c>
      <c r="K1065" s="373">
        <f t="shared" ca="1" si="177"/>
        <v>0</v>
      </c>
    </row>
    <row r="1066" spans="1:11" s="373" customFormat="1" hidden="1">
      <c r="A1066" s="373" t="str">
        <f>IF(AND(COUNTIF($A$5:$A$133,R_DG!A940)=0,R_DG!R940&gt;0,ISNUMBER(R_DG!R940)),R_DG!A940,"NONE")</f>
        <v>TUBU60</v>
      </c>
      <c r="B1066" s="85">
        <f ca="1">IF(K1066&gt;0,COUNTIF(K$6:K1066,"&gt;0"),B1065)</f>
        <v>34</v>
      </c>
      <c r="C1066" s="1084" t="str">
        <f t="shared" si="172"/>
        <v>Tủ tụ bù hạ thế 60kVAr  + bộ điều khiển 8 cấp LCD</v>
      </c>
      <c r="D1066" s="85" t="str">
        <f t="shared" si="173"/>
        <v>tủ</v>
      </c>
      <c r="E1066" s="448">
        <f ca="1">SUMIF(OFFSET(tongctvtdd1,0,-(COLUMN(E1066)+7-(COLUMN(E1066)-5)/2)),KLVT!$A1066,tongctvtdd1)+SUMIF(OFFSET(tongctvtpk1,0,-(COLUMN(E1066)+7-(COLUMN(E1066)-5)/2)),KLVT!$A1066,tongctvtpk1)</f>
        <v>0</v>
      </c>
      <c r="F1066" s="449">
        <f ca="1">SUMIF(OFFSET(cttba_vlvt1_1,0,-9,-ROW(cttba_vlvt1_1)+ROW(cttba_vltb1_1)-10),KLVT!$A1066,OFFSET(cttba_vlvt1_1,0,-4,-ROW(cttba_vlvt1_1)+ROW(cttba_vltb1_1)-10))</f>
        <v>0</v>
      </c>
      <c r="G1066" s="451">
        <f t="shared" ca="1" si="174"/>
        <v>0</v>
      </c>
      <c r="H1066" s="450">
        <f t="shared" si="178"/>
        <v>50</v>
      </c>
      <c r="I1066" s="447">
        <f t="shared" ca="1" si="175"/>
        <v>0</v>
      </c>
      <c r="J1066" s="447">
        <f t="shared" ca="1" si="176"/>
        <v>0</v>
      </c>
      <c r="K1066" s="1095">
        <f t="shared" ca="1" si="177"/>
        <v>0</v>
      </c>
    </row>
    <row r="1067" spans="1:11" s="373" customFormat="1" ht="15.75" hidden="1">
      <c r="A1067" s="373" t="str">
        <f>IF(AND(COUNTIF($A$5:$A$133,R_DG!A941)=0,R_DG!R941&gt;0,ISNUMBER(R_DG!R941)),R_DG!A941,"NONE")</f>
        <v>TUBU40</v>
      </c>
      <c r="B1067" s="85">
        <f ca="1">IF(K1067&gt;0,COUNTIF(K$6:K1067,"&gt;0"),B1066)</f>
        <v>34</v>
      </c>
      <c r="C1067" s="1084" t="str">
        <f t="shared" si="172"/>
        <v>Tủ tụ bù hạ thế 40kVAr + bộ điều khiển 8 cấp LCD</v>
      </c>
      <c r="D1067" s="85" t="str">
        <f t="shared" si="173"/>
        <v>tủ</v>
      </c>
      <c r="E1067" s="448">
        <f ca="1">SUMIF(OFFSET(tongctvtdd1,0,-(COLUMN(E1067)+7-(COLUMN(E1067)-5)/2)),KLVT!$A1067,tongctvtdd1)+SUMIF(OFFSET(tongctvtpk1,0,-(COLUMN(E1067)+7-(COLUMN(E1067)-5)/2)),KLVT!$A1067,tongctvtpk1)</f>
        <v>0</v>
      </c>
      <c r="F1067" s="449">
        <f ca="1">SUMIF(OFFSET(cttba_vlvt1_1,0,-9,-ROW(cttba_vlvt1_1)+ROW(cttba_vltb1_1)-10),KLVT!$A1067,OFFSET(cttba_vlvt1_1,0,-4,-ROW(cttba_vlvt1_1)+ROW(cttba_vltb1_1)-10))</f>
        <v>0</v>
      </c>
      <c r="G1067" s="451">
        <f t="shared" ca="1" si="174"/>
        <v>0</v>
      </c>
      <c r="H1067" s="450">
        <f t="shared" si="178"/>
        <v>50</v>
      </c>
      <c r="I1067" s="447">
        <f t="shared" ca="1" si="175"/>
        <v>0</v>
      </c>
      <c r="J1067" s="447">
        <f t="shared" ca="1" si="176"/>
        <v>0</v>
      </c>
      <c r="K1067" s="373">
        <f t="shared" ca="1" si="177"/>
        <v>0</v>
      </c>
    </row>
    <row r="1068" spans="1:11" s="373" customFormat="1" ht="15.75" hidden="1">
      <c r="A1068" s="373" t="str">
        <f>IF(AND(COUNTIF($A$5:$A$133,R_DG!A942)=0,R_DG!R942&gt;0,ISNUMBER(R_DG!R942)),R_DG!A942,"NONE")</f>
        <v>TULBS</v>
      </c>
      <c r="B1068" s="85">
        <f ca="1">IF(K1068&gt;0,COUNTIF(K$6:K1068,"&gt;0"),B1067)</f>
        <v>34</v>
      </c>
      <c r="C1068" s="1084" t="str">
        <f t="shared" si="172"/>
        <v>Tủ LBS 3 pha 630-800A</v>
      </c>
      <c r="D1068" s="85" t="str">
        <f t="shared" si="173"/>
        <v>tủ</v>
      </c>
      <c r="E1068" s="448">
        <f ca="1">SUMIF(OFFSET(tongctvtdd1,0,-(COLUMN(E1068)+7-(COLUMN(E1068)-5)/2)),KLVT!$A1068,tongctvtdd1)+SUMIF(OFFSET(tongctvtpk1,0,-(COLUMN(E1068)+7-(COLUMN(E1068)-5)/2)),KLVT!$A1068,tongctvtpk1)</f>
        <v>0</v>
      </c>
      <c r="F1068" s="449">
        <f ca="1">SUMIF(OFFSET(cttba_vlvt1_1,0,-9,-ROW(cttba_vlvt1_1)+ROW(cttba_vltb1_1)-10),KLVT!$A1068,OFFSET(cttba_vlvt1_1,0,-4,-ROW(cttba_vlvt1_1)+ROW(cttba_vltb1_1)-10))</f>
        <v>0</v>
      </c>
      <c r="G1068" s="451">
        <f t="shared" ca="1" si="174"/>
        <v>0</v>
      </c>
      <c r="H1068" s="450">
        <f t="shared" si="178"/>
        <v>72</v>
      </c>
      <c r="I1068" s="447">
        <f t="shared" ca="1" si="175"/>
        <v>0</v>
      </c>
      <c r="J1068" s="447">
        <f t="shared" ca="1" si="176"/>
        <v>0</v>
      </c>
      <c r="K1068" s="373">
        <f t="shared" ca="1" si="177"/>
        <v>0</v>
      </c>
    </row>
    <row r="1069" spans="1:11" s="373" customFormat="1" ht="15.75" hidden="1">
      <c r="A1069" s="373" t="str">
        <f>IF(AND(COUNTIF($A$5:$A$133,R_DG!A943)=0,R_DG!R943&gt;0,ISNUMBER(R_DG!R943)),R_DG!A943,"NONE")</f>
        <v>TU LBS</v>
      </c>
      <c r="B1069" s="85">
        <f ca="1">IF(K1069&gt;0,COUNTIF(K$6:K1069,"&gt;0"),B1068)</f>
        <v>34</v>
      </c>
      <c r="C1069" s="1084" t="str">
        <f t="shared" si="172"/>
        <v>Tủ + LBS 24kV 3 pha 630A -16kA + Fuse 80A</v>
      </c>
      <c r="D1069" s="85" t="str">
        <f t="shared" si="173"/>
        <v>tủ</v>
      </c>
      <c r="E1069" s="448">
        <f ca="1">SUMIF(OFFSET(tongctvtdd1,0,-(COLUMN(E1069)+7-(COLUMN(E1069)-5)/2)),KLVT!$A1069,tongctvtdd1)+SUMIF(OFFSET(tongctvtpk1,0,-(COLUMN(E1069)+7-(COLUMN(E1069)-5)/2)),KLVT!$A1069,tongctvtpk1)</f>
        <v>0</v>
      </c>
      <c r="F1069" s="449">
        <f ca="1">SUMIF(OFFSET(cttba_vlvt1_1,0,-9,-ROW(cttba_vlvt1_1)+ROW(cttba_vltb1_1)-10),KLVT!$A1069,OFFSET(cttba_vlvt1_1,0,-4,-ROW(cttba_vlvt1_1)+ROW(cttba_vltb1_1)-10))</f>
        <v>0</v>
      </c>
      <c r="G1069" s="451">
        <f t="shared" ca="1" si="174"/>
        <v>0</v>
      </c>
      <c r="H1069" s="450">
        <f t="shared" si="178"/>
        <v>130</v>
      </c>
      <c r="I1069" s="447">
        <f t="shared" ca="1" si="175"/>
        <v>0</v>
      </c>
      <c r="J1069" s="447">
        <f t="shared" ca="1" si="176"/>
        <v>0</v>
      </c>
      <c r="K1069" s="373">
        <f t="shared" ca="1" si="177"/>
        <v>0</v>
      </c>
    </row>
    <row r="1070" spans="1:11" s="373" customFormat="1" ht="15.75" hidden="1">
      <c r="A1070" s="373" t="str">
        <f>IF(AND(COUNTIF($A$5:$A$133,R_DG!A944)=0,R_DG!R944&gt;0,ISNUMBER(R_DG!R944)),R_DG!A944,"NONE")</f>
        <v>TUTC LBS</v>
      </c>
      <c r="B1070" s="85">
        <f ca="1">IF(K1070&gt;0,COUNTIF(K$6:K1070,"&gt;0"),B1069)</f>
        <v>34</v>
      </c>
      <c r="C1070" s="1084" t="str">
        <f t="shared" si="172"/>
        <v>Tủ đấu nối thanh cái LBS (GAM2)</v>
      </c>
      <c r="D1070" s="85" t="str">
        <f t="shared" si="173"/>
        <v>tủ</v>
      </c>
      <c r="E1070" s="448">
        <f ca="1">SUMIF(OFFSET(tongctvtdd1,0,-(COLUMN(E1070)+7-(COLUMN(E1070)-5)/2)),KLVT!$A1070,tongctvtdd1)+SUMIF(OFFSET(tongctvtpk1,0,-(COLUMN(E1070)+7-(COLUMN(E1070)-5)/2)),KLVT!$A1070,tongctvtpk1)</f>
        <v>0</v>
      </c>
      <c r="F1070" s="449">
        <f ca="1">SUMIF(OFFSET(cttba_vlvt1_1,0,-9,-ROW(cttba_vlvt1_1)+ROW(cttba_vltb1_1)-10),KLVT!$A1070,OFFSET(cttba_vlvt1_1,0,-4,-ROW(cttba_vlvt1_1)+ROW(cttba_vltb1_1)-10))</f>
        <v>0</v>
      </c>
      <c r="G1070" s="451">
        <f t="shared" ca="1" si="174"/>
        <v>0</v>
      </c>
      <c r="H1070" s="450">
        <f t="shared" si="178"/>
        <v>120</v>
      </c>
      <c r="I1070" s="447">
        <f t="shared" ca="1" si="175"/>
        <v>0</v>
      </c>
      <c r="J1070" s="447">
        <f t="shared" ca="1" si="176"/>
        <v>0</v>
      </c>
      <c r="K1070" s="373">
        <f t="shared" ca="1" si="177"/>
        <v>0</v>
      </c>
    </row>
    <row r="1071" spans="1:11" s="373" customFormat="1" ht="15.75" hidden="1">
      <c r="A1071" s="373" t="str">
        <f>IF(AND(COUNTIF($A$5:$A$133,R_DG!A945)=0,R_DG!R945&gt;0,ISNUMBER(R_DG!R945)),R_DG!A945,"NONE")</f>
        <v>TUDS</v>
      </c>
      <c r="B1071" s="85">
        <f ca="1">IF(K1071&gt;0,COUNTIF(K$6:K1071,"&gt;0"),B1070)</f>
        <v>34</v>
      </c>
      <c r="C1071" s="1084" t="str">
        <f t="shared" si="172"/>
        <v>Tủ DS 3 pha 630-800A</v>
      </c>
      <c r="D1071" s="85" t="str">
        <f t="shared" si="173"/>
        <v>tủ</v>
      </c>
      <c r="E1071" s="448">
        <f ca="1">SUMIF(OFFSET(tongctvtdd1,0,-(COLUMN(E1071)+7-(COLUMN(E1071)-5)/2)),KLVT!$A1071,tongctvtdd1)+SUMIF(OFFSET(tongctvtpk1,0,-(COLUMN(E1071)+7-(COLUMN(E1071)-5)/2)),KLVT!$A1071,tongctvtpk1)</f>
        <v>0</v>
      </c>
      <c r="F1071" s="449">
        <f ca="1">SUMIF(OFFSET(cttba_vlvt1_1,0,-9,-ROW(cttba_vlvt1_1)+ROW(cttba_vltb1_1)-10),KLVT!$A1071,OFFSET(cttba_vlvt1_1,0,-4,-ROW(cttba_vlvt1_1)+ROW(cttba_vltb1_1)-10))</f>
        <v>0</v>
      </c>
      <c r="G1071" s="451">
        <f t="shared" ca="1" si="174"/>
        <v>0</v>
      </c>
      <c r="H1071" s="450">
        <f t="shared" si="178"/>
        <v>30</v>
      </c>
      <c r="I1071" s="447">
        <f t="shared" ca="1" si="175"/>
        <v>0</v>
      </c>
      <c r="J1071" s="447">
        <f t="shared" ca="1" si="176"/>
        <v>0</v>
      </c>
      <c r="K1071" s="373">
        <f t="shared" ca="1" si="177"/>
        <v>0</v>
      </c>
    </row>
    <row r="1072" spans="1:11" s="373" customFormat="1" ht="15.75" hidden="1">
      <c r="A1072" s="373" t="str">
        <f>IF(AND(COUNTIF($A$5:$A$133,R_DG!A946)=0,R_DG!R946&gt;0,ISNUMBER(R_DG!R946)),R_DG!A946,"NONE")</f>
        <v>TUACB</v>
      </c>
      <c r="B1072" s="85">
        <f ca="1">IF(K1072&gt;0,COUNTIF(K$6:K1072,"&gt;0"),B1071)</f>
        <v>34</v>
      </c>
      <c r="C1072" s="1084" t="str">
        <f t="shared" si="172"/>
        <v>Tủ ACB trạm 3 pha + khoá</v>
      </c>
      <c r="D1072" s="85" t="str">
        <f t="shared" si="173"/>
        <v>cái</v>
      </c>
      <c r="E1072" s="448">
        <f ca="1">SUMIF(OFFSET(tongctvtdd1,0,-(COLUMN(E1072)+7-(COLUMN(E1072)-5)/2)),KLVT!$A1072,tongctvtdd1)+SUMIF(OFFSET(tongctvtpk1,0,-(COLUMN(E1072)+7-(COLUMN(E1072)-5)/2)),KLVT!$A1072,tongctvtpk1)</f>
        <v>0</v>
      </c>
      <c r="F1072" s="449">
        <f ca="1">SUMIF(OFFSET(cttba_vlvt1_1,0,-9,-ROW(cttba_vlvt1_1)+ROW(cttba_vltb1_1)-10),KLVT!$A1072,OFFSET(cttba_vlvt1_1,0,-4,-ROW(cttba_vlvt1_1)+ROW(cttba_vltb1_1)-10))</f>
        <v>0</v>
      </c>
      <c r="G1072" s="451">
        <f t="shared" ca="1" si="174"/>
        <v>0</v>
      </c>
      <c r="H1072" s="450">
        <f t="shared" si="178"/>
        <v>45</v>
      </c>
      <c r="I1072" s="447">
        <f t="shared" ca="1" si="175"/>
        <v>0</v>
      </c>
      <c r="J1072" s="447">
        <f t="shared" ca="1" si="176"/>
        <v>0</v>
      </c>
      <c r="K1072" s="373">
        <f t="shared" ca="1" si="177"/>
        <v>0</v>
      </c>
    </row>
    <row r="1073" spans="1:11" s="373" customFormat="1" ht="15.75" hidden="1">
      <c r="A1073" s="373" t="str">
        <f>IF(AND(COUNTIF($A$5:$A$133,R_DG!A947)=0,R_DG!R947&gt;0,ISNUMBER(R_DG!R947)),R_DG!A947,"NONE")</f>
        <v>TUACB3200</v>
      </c>
      <c r="B1073" s="85">
        <f ca="1">IF(K1073&gt;0,COUNTIF(K$6:K1073,"&gt;0"),B1072)</f>
        <v>34</v>
      </c>
      <c r="C1073" s="1084" t="str">
        <f t="shared" si="172"/>
        <v>Tủ ACB 3200 + giá nới + khoá</v>
      </c>
      <c r="D1073" s="85" t="str">
        <f t="shared" si="173"/>
        <v>cái</v>
      </c>
      <c r="E1073" s="448">
        <f ca="1">SUMIF(OFFSET(tongctvtdd1,0,-(COLUMN(E1073)+7-(COLUMN(E1073)-5)/2)),KLVT!$A1073,tongctvtdd1)+SUMIF(OFFSET(tongctvtpk1,0,-(COLUMN(E1073)+7-(COLUMN(E1073)-5)/2)),KLVT!$A1073,tongctvtpk1)</f>
        <v>0</v>
      </c>
      <c r="F1073" s="449">
        <f ca="1">SUMIF(OFFSET(cttba_vlvt1_1,0,-9,-ROW(cttba_vlvt1_1)+ROW(cttba_vltb1_1)-10),KLVT!$A1073,OFFSET(cttba_vlvt1_1,0,-4,-ROW(cttba_vlvt1_1)+ROW(cttba_vltb1_1)-10))</f>
        <v>0</v>
      </c>
      <c r="G1073" s="451">
        <f t="shared" ca="1" si="174"/>
        <v>0</v>
      </c>
      <c r="H1073" s="450">
        <f t="shared" si="178"/>
        <v>45</v>
      </c>
      <c r="I1073" s="447">
        <f t="shared" ca="1" si="175"/>
        <v>0</v>
      </c>
      <c r="J1073" s="447">
        <f t="shared" ca="1" si="176"/>
        <v>0</v>
      </c>
      <c r="K1073" s="373">
        <f t="shared" ca="1" si="177"/>
        <v>0</v>
      </c>
    </row>
    <row r="1074" spans="1:11" s="373" customFormat="1" ht="15.75" hidden="1">
      <c r="A1074" s="373" t="str">
        <f>IF(AND(COUNTIF($A$5:$A$133,R_DG!A948)=0,R_DG!R948&gt;0,ISNUMBER(R_DG!R948)),R_DG!A948,"NONE")</f>
        <v>TUACB4000</v>
      </c>
      <c r="B1074" s="85">
        <f ca="1">IF(K1074&gt;0,COUNTIF(K$6:K1074,"&gt;0"),B1073)</f>
        <v>34</v>
      </c>
      <c r="C1074" s="1084" t="str">
        <f t="shared" si="172"/>
        <v>Tủ ACB 4000 + giá nới + khoá</v>
      </c>
      <c r="D1074" s="85" t="str">
        <f t="shared" si="173"/>
        <v>cái</v>
      </c>
      <c r="E1074" s="448">
        <f ca="1">SUMIF(OFFSET(tongctvtdd1,0,-(COLUMN(E1074)+7-(COLUMN(E1074)-5)/2)),KLVT!$A1074,tongctvtdd1)+SUMIF(OFFSET(tongctvtpk1,0,-(COLUMN(E1074)+7-(COLUMN(E1074)-5)/2)),KLVT!$A1074,tongctvtpk1)</f>
        <v>0</v>
      </c>
      <c r="F1074" s="449">
        <f ca="1">SUMIF(OFFSET(cttba_vlvt1_1,0,-9,-ROW(cttba_vlvt1_1)+ROW(cttba_vltb1_1)-10),KLVT!$A1074,OFFSET(cttba_vlvt1_1,0,-4,-ROW(cttba_vlvt1_1)+ROW(cttba_vltb1_1)-10))</f>
        <v>0</v>
      </c>
      <c r="G1074" s="451">
        <f t="shared" ca="1" si="174"/>
        <v>0</v>
      </c>
      <c r="H1074" s="450">
        <f t="shared" si="178"/>
        <v>45</v>
      </c>
      <c r="I1074" s="447">
        <f t="shared" ca="1" si="175"/>
        <v>0</v>
      </c>
      <c r="J1074" s="447">
        <f t="shared" ca="1" si="176"/>
        <v>0</v>
      </c>
      <c r="K1074" s="373">
        <f t="shared" ca="1" si="177"/>
        <v>0</v>
      </c>
    </row>
    <row r="1075" spans="1:11" s="373" customFormat="1" ht="15.75" hidden="1">
      <c r="A1075" s="373" t="str">
        <f>IF(AND(COUNTIF($A$5:$A$133,R_DG!A949)=0,R_DG!R949&gt;0,ISNUMBER(R_DG!R949)),R_DG!A949,"NONE")</f>
        <v>TUAP3-N</v>
      </c>
      <c r="B1075" s="85">
        <f ca="1">IF(K1075&gt;0,COUNTIF(K$6:K1075,"&gt;0"),B1074)</f>
        <v>34</v>
      </c>
      <c r="C1075" s="1084" t="str">
        <f t="shared" si="172"/>
        <v>Tủ CB trạm 3 pha + khoá + bulon</v>
      </c>
      <c r="D1075" s="85" t="str">
        <f t="shared" si="173"/>
        <v>cái</v>
      </c>
      <c r="E1075" s="448">
        <f ca="1">SUMIF(OFFSET(tongctvtdd1,0,-(COLUMN(E1075)+7-(COLUMN(E1075)-5)/2)),KLVT!$A1075,tongctvtdd1)+SUMIF(OFFSET(tongctvtpk1,0,-(COLUMN(E1075)+7-(COLUMN(E1075)-5)/2)),KLVT!$A1075,tongctvtpk1)</f>
        <v>0</v>
      </c>
      <c r="F1075" s="449">
        <f ca="1">SUMIF(OFFSET(cttba_vlvt1_1,0,-9,-ROW(cttba_vlvt1_1)+ROW(cttba_vltb1_1)-10),KLVT!$A1075,OFFSET(cttba_vlvt1_1,0,-4,-ROW(cttba_vlvt1_1)+ROW(cttba_vltb1_1)-10))</f>
        <v>0</v>
      </c>
      <c r="G1075" s="451">
        <f t="shared" ca="1" si="174"/>
        <v>0</v>
      </c>
      <c r="H1075" s="450">
        <f t="shared" si="178"/>
        <v>25</v>
      </c>
      <c r="I1075" s="447">
        <f t="shared" ca="1" si="175"/>
        <v>0</v>
      </c>
      <c r="J1075" s="447">
        <f t="shared" ca="1" si="176"/>
        <v>0</v>
      </c>
      <c r="K1075" s="373">
        <f t="shared" ca="1" si="177"/>
        <v>0</v>
      </c>
    </row>
    <row r="1076" spans="1:11" s="373" customFormat="1" ht="15.75" hidden="1">
      <c r="A1076" s="373" t="str">
        <f>IF(AND(COUNTIF($A$5:$A$133,R_DG!A950)=0,R_DG!R950&gt;0,ISNUMBER(R_DG!R950)),R_DG!A950,"NONE")</f>
        <v>TUAP1</v>
      </c>
      <c r="B1076" s="85">
        <f ca="1">IF(K1076&gt;0,COUNTIF(K$6:K1076,"&gt;0"),B1075)</f>
        <v>34</v>
      </c>
      <c r="C1076" s="1084" t="str">
        <f t="shared" ref="C1076:C1139" si="179">VLOOKUP(A1076,DONGIA,3,0)</f>
        <v>Tủ CB trạm 1 pha + khóa + boulon</v>
      </c>
      <c r="D1076" s="85" t="str">
        <f t="shared" ref="D1076:D1139" si="180">VLOOKUP(A1076,DONGIA,4,0)</f>
        <v>cái</v>
      </c>
      <c r="E1076" s="448">
        <f ca="1">SUMIF(OFFSET(tongctvtdd1,0,-(COLUMN(E1076)+7-(COLUMN(E1076)-5)/2)),KLVT!$A1076,tongctvtdd1)+SUMIF(OFFSET(tongctvtpk1,0,-(COLUMN(E1076)+7-(COLUMN(E1076)-5)/2)),KLVT!$A1076,tongctvtpk1)</f>
        <v>0</v>
      </c>
      <c r="F1076" s="449">
        <f ca="1">SUMIF(OFFSET(cttba_vlvt1_1,0,-9,-ROW(cttba_vlvt1_1)+ROW(cttba_vltb1_1)-10),KLVT!$A1076,OFFSET(cttba_vlvt1_1,0,-4,-ROW(cttba_vlvt1_1)+ROW(cttba_vltb1_1)-10))</f>
        <v>0</v>
      </c>
      <c r="G1076" s="451">
        <f t="shared" ref="G1076:G1139" ca="1" si="181">SUM(E1076:F1076)</f>
        <v>0</v>
      </c>
      <c r="H1076" s="450">
        <f t="shared" si="178"/>
        <v>15</v>
      </c>
      <c r="I1076" s="447">
        <f t="shared" ref="I1076:I1139" ca="1" si="182">E1076*$H1076</f>
        <v>0</v>
      </c>
      <c r="J1076" s="447">
        <f t="shared" ref="J1076:J1139" ca="1" si="183">F1076*$H1076</f>
        <v>0</v>
      </c>
      <c r="K1076" s="374">
        <f t="shared" ref="K1076:K1139" ca="1" si="184">IF(G1076&gt;0,1,0)</f>
        <v>0</v>
      </c>
    </row>
    <row r="1077" spans="1:11" s="373" customFormat="1" ht="15.75" hidden="1">
      <c r="A1077" s="373" t="str">
        <f>IF(AND(COUNTIF($A$5:$A$133,R_DG!A951)=0,R_DG!R951&gt;0,ISNUMBER(R_DG!R951)),R_DG!A951,"NONE")</f>
        <v>TUN</v>
      </c>
      <c r="B1077" s="85">
        <f ca="1">IF(K1077&gt;0,COUNTIF(K$6:K1077,"&gt;0"),B1076)</f>
        <v>34</v>
      </c>
      <c r="C1077" s="1084" t="str">
        <f t="shared" si="179"/>
        <v>Tủ điện kế 1 pha</v>
      </c>
      <c r="D1077" s="85" t="str">
        <f t="shared" si="180"/>
        <v>cái</v>
      </c>
      <c r="E1077" s="448">
        <f ca="1">SUMIF(OFFSET(tongctvtdd1,0,-(COLUMN(E1077)+7-(COLUMN(E1077)-5)/2)),KLVT!$A1077,tongctvtdd1)+SUMIF(OFFSET(tongctvtpk1,0,-(COLUMN(E1077)+7-(COLUMN(E1077)-5)/2)),KLVT!$A1077,tongctvtpk1)</f>
        <v>0</v>
      </c>
      <c r="F1077" s="449">
        <f ca="1">SUMIF(OFFSET(cttba_vlvt1_1,0,-9,-ROW(cttba_vlvt1_1)+ROW(cttba_vltb1_1)-10),KLVT!$A1077,OFFSET(cttba_vlvt1_1,0,-4,-ROW(cttba_vlvt1_1)+ROW(cttba_vltb1_1)-10))</f>
        <v>0</v>
      </c>
      <c r="G1077" s="451">
        <f t="shared" ca="1" si="181"/>
        <v>0</v>
      </c>
      <c r="H1077" s="450">
        <f t="shared" si="178"/>
        <v>2</v>
      </c>
      <c r="I1077" s="447">
        <f t="shared" ca="1" si="182"/>
        <v>0</v>
      </c>
      <c r="J1077" s="447">
        <f t="shared" ca="1" si="183"/>
        <v>0</v>
      </c>
      <c r="K1077" s="373">
        <f t="shared" ca="1" si="184"/>
        <v>0</v>
      </c>
    </row>
    <row r="1078" spans="1:11" s="373" customFormat="1" ht="15.75" hidden="1">
      <c r="A1078" s="373" t="str">
        <f>IF(AND(COUNTIF($A$5:$A$133,R_DG!A952)=0,R_DG!R952&gt;0,ISNUMBER(R_DG!R952)),R_DG!A952,"NONE")</f>
        <v>TUDKDT</v>
      </c>
      <c r="B1078" s="85">
        <f ca="1">IF(K1078&gt;0,COUNTIF(K$6:K1078,"&gt;0"),B1077)</f>
        <v>34</v>
      </c>
      <c r="C1078" s="1084" t="str">
        <f t="shared" si="179"/>
        <v>Thùng điện kế 450x300x200mm đo đếm trung thế</v>
      </c>
      <c r="D1078" s="85" t="str">
        <f t="shared" si="180"/>
        <v>cái</v>
      </c>
      <c r="E1078" s="448">
        <f ca="1">SUMIF(OFFSET(tongctvtdd1,0,-(COLUMN(E1078)+7-(COLUMN(E1078)-5)/2)),KLVT!$A1078,tongctvtdd1)+SUMIF(OFFSET(tongctvtpk1,0,-(COLUMN(E1078)+7-(COLUMN(E1078)-5)/2)),KLVT!$A1078,tongctvtpk1)</f>
        <v>0</v>
      </c>
      <c r="F1078" s="449">
        <f ca="1">SUMIF(OFFSET(cttba_vlvt1_1,0,-9,-ROW(cttba_vlvt1_1)+ROW(cttba_vltb1_1)-10),KLVT!$A1078,OFFSET(cttba_vlvt1_1,0,-4,-ROW(cttba_vlvt1_1)+ROW(cttba_vltb1_1)-10))</f>
        <v>0</v>
      </c>
      <c r="G1078" s="451">
        <f t="shared" ca="1" si="181"/>
        <v>0</v>
      </c>
      <c r="H1078" s="450">
        <f t="shared" si="178"/>
        <v>2</v>
      </c>
      <c r="I1078" s="447">
        <f t="shared" ca="1" si="182"/>
        <v>0</v>
      </c>
      <c r="J1078" s="447">
        <f t="shared" ca="1" si="183"/>
        <v>0</v>
      </c>
      <c r="K1078" s="373">
        <f t="shared" ca="1" si="184"/>
        <v>0</v>
      </c>
    </row>
    <row r="1079" spans="1:11" s="373" customFormat="1" hidden="1">
      <c r="A1079" s="373" t="str">
        <f>IF(AND(COUNTIF($A$5:$A$133,R_DG!A953)=0,R_DG!R953&gt;0,ISNUMBER(R_DG!R953)),R_DG!A953,"NONE")</f>
        <v>TUAP3</v>
      </c>
      <c r="B1079" s="85">
        <f ca="1">IF(K1079&gt;0,COUNTIF(K$6:K1079,"&gt;0"),B1078)</f>
        <v>34</v>
      </c>
      <c r="C1079" s="1084" t="str">
        <f t="shared" si="179"/>
        <v>Tủ trạm biến áp 3 pha</v>
      </c>
      <c r="D1079" s="85" t="str">
        <f t="shared" si="180"/>
        <v>cái</v>
      </c>
      <c r="E1079" s="448">
        <f ca="1">SUMIF(OFFSET(tongctvtdd1,0,-(COLUMN(E1079)+7-(COLUMN(E1079)-5)/2)),KLVT!$A1079,tongctvtdd1)+SUMIF(OFFSET(tongctvtpk1,0,-(COLUMN(E1079)+7-(COLUMN(E1079)-5)/2)),KLVT!$A1079,tongctvtpk1)</f>
        <v>0</v>
      </c>
      <c r="F1079" s="449">
        <f ca="1">SUMIF(OFFSET(cttba_vlvt1_1,0,-9,-ROW(cttba_vlvt1_1)+ROW(cttba_vltb1_1)-10),KLVT!$A1079,OFFSET(cttba_vlvt1_1,0,-4,-ROW(cttba_vlvt1_1)+ROW(cttba_vltb1_1)-10))</f>
        <v>0</v>
      </c>
      <c r="G1079" s="451">
        <f t="shared" ca="1" si="181"/>
        <v>0</v>
      </c>
      <c r="H1079" s="450">
        <f t="shared" si="178"/>
        <v>15</v>
      </c>
      <c r="I1079" s="447">
        <f t="shared" ca="1" si="182"/>
        <v>0</v>
      </c>
      <c r="J1079" s="447">
        <f t="shared" ca="1" si="183"/>
        <v>0</v>
      </c>
      <c r="K1079" s="1094">
        <f t="shared" ca="1" si="184"/>
        <v>0</v>
      </c>
    </row>
    <row r="1080" spans="1:11" s="373" customFormat="1" ht="15.75" hidden="1">
      <c r="A1080" s="373" t="str">
        <f>IF(AND(COUNTIF($A$5:$A$133,R_DG!A954)=0,R_DG!R954&gt;0,ISNUMBER(R_DG!R954)),R_DG!A954,"NONE")</f>
        <v>TUAP3L</v>
      </c>
      <c r="B1080" s="85">
        <f ca="1">IF(K1080&gt;0,COUNTIF(K$6:K1080,"&gt;0"),B1079)</f>
        <v>34</v>
      </c>
      <c r="C1080" s="1084" t="str">
        <f t="shared" si="179"/>
        <v>Vỏ tủ trạm giàn 2 ngăn + khóa tủ</v>
      </c>
      <c r="D1080" s="85" t="str">
        <f t="shared" si="180"/>
        <v>cái</v>
      </c>
      <c r="E1080" s="448">
        <f ca="1">SUMIF(OFFSET(tongctvtdd1,0,-(COLUMN(E1080)+7-(COLUMN(E1080)-5)/2)),KLVT!$A1080,tongctvtdd1)+SUMIF(OFFSET(tongctvtpk1,0,-(COLUMN(E1080)+7-(COLUMN(E1080)-5)/2)),KLVT!$A1080,tongctvtpk1)</f>
        <v>0</v>
      </c>
      <c r="F1080" s="449">
        <f ca="1">SUMIF(OFFSET(cttba_vlvt1_1,0,-9,-ROW(cttba_vlvt1_1)+ROW(cttba_vltb1_1)-10),KLVT!$A1080,OFFSET(cttba_vlvt1_1,0,-4,-ROW(cttba_vlvt1_1)+ROW(cttba_vltb1_1)-10))</f>
        <v>0</v>
      </c>
      <c r="G1080" s="451">
        <f t="shared" ca="1" si="181"/>
        <v>0</v>
      </c>
      <c r="H1080" s="450">
        <f t="shared" si="178"/>
        <v>25</v>
      </c>
      <c r="I1080" s="447">
        <f t="shared" ca="1" si="182"/>
        <v>0</v>
      </c>
      <c r="J1080" s="447">
        <f t="shared" ca="1" si="183"/>
        <v>0</v>
      </c>
      <c r="K1080" s="373">
        <f t="shared" ca="1" si="184"/>
        <v>0</v>
      </c>
    </row>
    <row r="1081" spans="1:11" s="373" customFormat="1" ht="15.75" hidden="1">
      <c r="A1081" s="373" t="str">
        <f>IF(AND(COUNTIF($A$5:$A$133,R_DG!A955)=0,R_DG!R955&gt;0,ISNUMBER(R_DG!R955)),R_DG!A955,"NONE")</f>
        <v>KHUNG TU</v>
      </c>
      <c r="B1081" s="85">
        <f ca="1">IF(K1081&gt;0,COUNTIF(K$6:K1081,"&gt;0"),B1080)</f>
        <v>34</v>
      </c>
      <c r="C1081" s="1084" t="str">
        <f t="shared" si="179"/>
        <v>Khung đỡ tủ MCCB và tủ bù</v>
      </c>
      <c r="D1081" s="85" t="str">
        <f t="shared" si="180"/>
        <v>trọn bộ</v>
      </c>
      <c r="E1081" s="448">
        <f ca="1">SUMIF(OFFSET(tongctvtdd1,0,-(COLUMN(E1081)+7-(COLUMN(E1081)-5)/2)),KLVT!$A1081,tongctvtdd1)+SUMIF(OFFSET(tongctvtpk1,0,-(COLUMN(E1081)+7-(COLUMN(E1081)-5)/2)),KLVT!$A1081,tongctvtpk1)</f>
        <v>0</v>
      </c>
      <c r="F1081" s="449">
        <f ca="1">SUMIF(OFFSET(cttba_vlvt1_1,0,-9,-ROW(cttba_vlvt1_1)+ROW(cttba_vltb1_1)-10),KLVT!$A1081,OFFSET(cttba_vlvt1_1,0,-4,-ROW(cttba_vlvt1_1)+ROW(cttba_vltb1_1)-10))</f>
        <v>0</v>
      </c>
      <c r="G1081" s="451">
        <f t="shared" ca="1" si="181"/>
        <v>0</v>
      </c>
      <c r="H1081" s="450">
        <f t="shared" si="178"/>
        <v>10</v>
      </c>
      <c r="I1081" s="447">
        <f t="shared" ca="1" si="182"/>
        <v>0</v>
      </c>
      <c r="J1081" s="447">
        <f t="shared" ca="1" si="183"/>
        <v>0</v>
      </c>
      <c r="K1081" s="373">
        <f t="shared" ca="1" si="184"/>
        <v>0</v>
      </c>
    </row>
    <row r="1082" spans="1:11" s="373" customFormat="1" ht="15.75" hidden="1">
      <c r="A1082" s="373" t="str">
        <f>IF(AND(COUNTIF($A$5:$A$133,R_DG!A956)=0,R_DG!R956&gt;0,ISNUMBER(R_DG!R956)),R_DG!A956,"NONE")</f>
        <v>TUPP</v>
      </c>
      <c r="B1082" s="85">
        <f ca="1">IF(K1082&gt;0,COUNTIF(K$6:K1082,"&gt;0"),B1081)</f>
        <v>34</v>
      </c>
      <c r="C1082" s="1084" t="str">
        <f t="shared" si="179"/>
        <v>Tủ phân phối hạ thế</v>
      </c>
      <c r="D1082" s="85" t="str">
        <f t="shared" si="180"/>
        <v>cái</v>
      </c>
      <c r="E1082" s="448">
        <f ca="1">SUMIF(OFFSET(tongctvtdd1,0,-(COLUMN(E1082)+7-(COLUMN(E1082)-5)/2)),KLVT!$A1082,tongctvtdd1)+SUMIF(OFFSET(tongctvtpk1,0,-(COLUMN(E1082)+7-(COLUMN(E1082)-5)/2)),KLVT!$A1082,tongctvtpk1)</f>
        <v>0</v>
      </c>
      <c r="F1082" s="449">
        <f ca="1">SUMIF(OFFSET(cttba_vlvt1_1,0,-9,-ROW(cttba_vlvt1_1)+ROW(cttba_vltb1_1)-10),KLVT!$A1082,OFFSET(cttba_vlvt1_1,0,-4,-ROW(cttba_vlvt1_1)+ROW(cttba_vltb1_1)-10))</f>
        <v>0</v>
      </c>
      <c r="G1082" s="451">
        <f t="shared" ca="1" si="181"/>
        <v>0</v>
      </c>
      <c r="H1082" s="450">
        <f t="shared" si="178"/>
        <v>40</v>
      </c>
      <c r="I1082" s="447">
        <f t="shared" ca="1" si="182"/>
        <v>0</v>
      </c>
      <c r="J1082" s="447">
        <f t="shared" ca="1" si="183"/>
        <v>0</v>
      </c>
      <c r="K1082" s="373">
        <f t="shared" ca="1" si="184"/>
        <v>0</v>
      </c>
    </row>
    <row r="1083" spans="1:11" s="373" customFormat="1" ht="15.75" hidden="1">
      <c r="A1083" s="373" t="str">
        <f>IF(AND(COUNTIF($A$5:$A$133,R_DG!A957)=0,R_DG!R957&gt;0,ISNUMBER(R_DG!R957)),R_DG!A957,"NONE")</f>
        <v>NONE</v>
      </c>
      <c r="B1083" s="85">
        <f ca="1">IF(K1083&gt;0,COUNTIF(K$6:K1083,"&gt;0"),B1082)</f>
        <v>34</v>
      </c>
      <c r="C1083" s="1084">
        <f t="shared" si="179"/>
        <v>0</v>
      </c>
      <c r="D1083" s="85">
        <f t="shared" si="180"/>
        <v>0</v>
      </c>
      <c r="E1083" s="448">
        <f ca="1">SUMIF(OFFSET(tongctvtdd1,0,-(COLUMN(E1083)+7-(COLUMN(E1083)-5)/2)),KLVT!$A1083,tongctvtdd1)+SUMIF(OFFSET(tongctvtpk1,0,-(COLUMN(E1083)+7-(COLUMN(E1083)-5)/2)),KLVT!$A1083,tongctvtpk1)</f>
        <v>0</v>
      </c>
      <c r="F1083" s="449">
        <f ca="1">SUMIF(OFFSET(cttba_vlvt1_1,0,-9,-ROW(cttba_vlvt1_1)+ROW(cttba_vltb1_1)-10),KLVT!$A1083,OFFSET(cttba_vlvt1_1,0,-4,-ROW(cttba_vlvt1_1)+ROW(cttba_vltb1_1)-10))</f>
        <v>0</v>
      </c>
      <c r="G1083" s="451">
        <f t="shared" ca="1" si="181"/>
        <v>0</v>
      </c>
      <c r="H1083" s="450">
        <f t="shared" si="178"/>
        <v>1</v>
      </c>
      <c r="I1083" s="447">
        <f t="shared" ca="1" si="182"/>
        <v>0</v>
      </c>
      <c r="J1083" s="447">
        <f t="shared" ca="1" si="183"/>
        <v>0</v>
      </c>
      <c r="K1083" s="373">
        <f t="shared" ca="1" si="184"/>
        <v>0</v>
      </c>
    </row>
    <row r="1084" spans="1:11" s="373" customFormat="1" ht="15.75" hidden="1">
      <c r="A1084" s="373" t="str">
        <f>IF(AND(COUNTIF($A$5:$A$133,R_DG!A958)=0,R_DG!R958&gt;0,ISNUMBER(R_DG!R958)),R_DG!A958,"NONE")</f>
        <v>NONE</v>
      </c>
      <c r="B1084" s="85">
        <f ca="1">IF(K1084&gt;0,COUNTIF(K$6:K1084,"&gt;0"),B1083)</f>
        <v>34</v>
      </c>
      <c r="C1084" s="1084">
        <f t="shared" si="179"/>
        <v>0</v>
      </c>
      <c r="D1084" s="85">
        <f t="shared" si="180"/>
        <v>0</v>
      </c>
      <c r="E1084" s="448">
        <f ca="1">SUMIF(OFFSET(tongctvtdd1,0,-(COLUMN(E1084)+7-(COLUMN(E1084)-5)/2)),KLVT!$A1084,tongctvtdd1)+SUMIF(OFFSET(tongctvtpk1,0,-(COLUMN(E1084)+7-(COLUMN(E1084)-5)/2)),KLVT!$A1084,tongctvtpk1)</f>
        <v>0</v>
      </c>
      <c r="F1084" s="449">
        <f ca="1">SUMIF(OFFSET(cttba_vlvt1_1,0,-9,-ROW(cttba_vlvt1_1)+ROW(cttba_vltb1_1)-10),KLVT!$A1084,OFFSET(cttba_vlvt1_1,0,-4,-ROW(cttba_vlvt1_1)+ROW(cttba_vltb1_1)-10))</f>
        <v>0</v>
      </c>
      <c r="G1084" s="451">
        <f t="shared" ca="1" si="181"/>
        <v>0</v>
      </c>
      <c r="H1084" s="450">
        <f t="shared" si="178"/>
        <v>1</v>
      </c>
      <c r="I1084" s="447">
        <f t="shared" ca="1" si="182"/>
        <v>0</v>
      </c>
      <c r="J1084" s="447">
        <f t="shared" ca="1" si="183"/>
        <v>0</v>
      </c>
      <c r="K1084" s="373">
        <f t="shared" ca="1" si="184"/>
        <v>0</v>
      </c>
    </row>
    <row r="1085" spans="1:11" s="373" customFormat="1" ht="15.75" hidden="1">
      <c r="A1085" s="373" t="str">
        <f>IF(AND(COUNTIF($A$5:$A$133,R_DG!A959)=0,R_DG!R959&gt;0,ISNUMBER(R_DG!R959)),R_DG!A959,"NONE")</f>
        <v>NONE</v>
      </c>
      <c r="B1085" s="85">
        <f ca="1">IF(K1085&gt;0,COUNTIF(K$6:K1085,"&gt;0"),B1084)</f>
        <v>34</v>
      </c>
      <c r="C1085" s="1084">
        <f t="shared" si="179"/>
        <v>0</v>
      </c>
      <c r="D1085" s="85">
        <f t="shared" si="180"/>
        <v>0</v>
      </c>
      <c r="E1085" s="448">
        <f ca="1">SUMIF(OFFSET(tongctvtdd1,0,-(COLUMN(E1085)+7-(COLUMN(E1085)-5)/2)),KLVT!$A1085,tongctvtdd1)+SUMIF(OFFSET(tongctvtpk1,0,-(COLUMN(E1085)+7-(COLUMN(E1085)-5)/2)),KLVT!$A1085,tongctvtpk1)</f>
        <v>0</v>
      </c>
      <c r="F1085" s="449">
        <f ca="1">SUMIF(OFFSET(cttba_vlvt1_1,0,-9,-ROW(cttba_vlvt1_1)+ROW(cttba_vltb1_1)-10),KLVT!$A1085,OFFSET(cttba_vlvt1_1,0,-4,-ROW(cttba_vlvt1_1)+ROW(cttba_vltb1_1)-10))</f>
        <v>0</v>
      </c>
      <c r="G1085" s="451">
        <f t="shared" ca="1" si="181"/>
        <v>0</v>
      </c>
      <c r="H1085" s="450">
        <f t="shared" si="178"/>
        <v>1</v>
      </c>
      <c r="I1085" s="447">
        <f t="shared" ca="1" si="182"/>
        <v>0</v>
      </c>
      <c r="J1085" s="447">
        <f t="shared" ca="1" si="183"/>
        <v>0</v>
      </c>
      <c r="K1085" s="373">
        <f t="shared" ca="1" si="184"/>
        <v>0</v>
      </c>
    </row>
    <row r="1086" spans="1:11" s="373" customFormat="1" ht="15.75" hidden="1">
      <c r="A1086" s="373" t="str">
        <f>IF(AND(COUNTIF($A$5:$A$133,R_DG!A960)=0,R_DG!R960&gt;0,ISNUMBER(R_DG!R960)),R_DG!A960,"NONE")</f>
        <v>NONE</v>
      </c>
      <c r="B1086" s="85">
        <f ca="1">IF(K1086&gt;0,COUNTIF(K$6:K1086,"&gt;0"),B1085)</f>
        <v>34</v>
      </c>
      <c r="C1086" s="1084">
        <f t="shared" si="179"/>
        <v>0</v>
      </c>
      <c r="D1086" s="85">
        <f t="shared" si="180"/>
        <v>0</v>
      </c>
      <c r="E1086" s="448">
        <f ca="1">SUMIF(OFFSET(tongctvtdd1,0,-(COLUMN(E1086)+7-(COLUMN(E1086)-5)/2)),KLVT!$A1086,tongctvtdd1)+SUMIF(OFFSET(tongctvtpk1,0,-(COLUMN(E1086)+7-(COLUMN(E1086)-5)/2)),KLVT!$A1086,tongctvtpk1)</f>
        <v>0</v>
      </c>
      <c r="F1086" s="449">
        <f ca="1">SUMIF(OFFSET(cttba_vlvt1_1,0,-9,-ROW(cttba_vlvt1_1)+ROW(cttba_vltb1_1)-10),KLVT!$A1086,OFFSET(cttba_vlvt1_1,0,-4,-ROW(cttba_vlvt1_1)+ROW(cttba_vltb1_1)-10))</f>
        <v>0</v>
      </c>
      <c r="G1086" s="451">
        <f t="shared" ca="1" si="181"/>
        <v>0</v>
      </c>
      <c r="H1086" s="450">
        <f t="shared" si="178"/>
        <v>1</v>
      </c>
      <c r="I1086" s="447">
        <f t="shared" ca="1" si="182"/>
        <v>0</v>
      </c>
      <c r="J1086" s="447">
        <f t="shared" ca="1" si="183"/>
        <v>0</v>
      </c>
      <c r="K1086" s="373">
        <f t="shared" ca="1" si="184"/>
        <v>0</v>
      </c>
    </row>
    <row r="1087" spans="1:11" s="373" customFormat="1" ht="15.75" hidden="1">
      <c r="A1087" s="373" t="str">
        <f>IF(AND(COUNTIF($A$5:$A$133,R_DG!A961)=0,R_DG!R961&gt;0,ISNUMBER(R_DG!R961)),R_DG!A961,"NONE")</f>
        <v>NONE</v>
      </c>
      <c r="B1087" s="85">
        <f ca="1">IF(K1087&gt;0,COUNTIF(K$6:K1087,"&gt;0"),B1086)</f>
        <v>34</v>
      </c>
      <c r="C1087" s="1084">
        <f t="shared" si="179"/>
        <v>0</v>
      </c>
      <c r="D1087" s="85">
        <f t="shared" si="180"/>
        <v>0</v>
      </c>
      <c r="E1087" s="448">
        <f ca="1">SUMIF(OFFSET(tongctvtdd1,0,-(COLUMN(E1087)+7-(COLUMN(E1087)-5)/2)),KLVT!$A1087,tongctvtdd1)+SUMIF(OFFSET(tongctvtpk1,0,-(COLUMN(E1087)+7-(COLUMN(E1087)-5)/2)),KLVT!$A1087,tongctvtpk1)</f>
        <v>0</v>
      </c>
      <c r="F1087" s="449">
        <f ca="1">SUMIF(OFFSET(cttba_vlvt1_1,0,-9,-ROW(cttba_vlvt1_1)+ROW(cttba_vltb1_1)-10),KLVT!$A1087,OFFSET(cttba_vlvt1_1,0,-4,-ROW(cttba_vlvt1_1)+ROW(cttba_vltb1_1)-10))</f>
        <v>0</v>
      </c>
      <c r="G1087" s="451">
        <f t="shared" ca="1" si="181"/>
        <v>0</v>
      </c>
      <c r="H1087" s="450">
        <f t="shared" si="178"/>
        <v>1</v>
      </c>
      <c r="I1087" s="447">
        <f t="shared" ca="1" si="182"/>
        <v>0</v>
      </c>
      <c r="J1087" s="447">
        <f t="shared" ca="1" si="183"/>
        <v>0</v>
      </c>
      <c r="K1087" s="373">
        <f t="shared" ca="1" si="184"/>
        <v>0</v>
      </c>
    </row>
    <row r="1088" spans="1:11" s="373" customFormat="1" ht="15.75" hidden="1">
      <c r="A1088" s="373" t="str">
        <f>IF(AND(COUNTIF($A$5:$A$133,R_DG!A962)=0,R_DG!R962&gt;0,ISNUMBER(R_DG!R962)),R_DG!A962,"NONE")</f>
        <v>NONE</v>
      </c>
      <c r="B1088" s="85">
        <f ca="1">IF(K1088&gt;0,COUNTIF(K$6:K1088,"&gt;0"),B1087)</f>
        <v>34</v>
      </c>
      <c r="C1088" s="1084">
        <f t="shared" si="179"/>
        <v>0</v>
      </c>
      <c r="D1088" s="85">
        <f t="shared" si="180"/>
        <v>0</v>
      </c>
      <c r="E1088" s="448">
        <f ca="1">SUMIF(OFFSET(tongctvtdd1,0,-(COLUMN(E1088)+7-(COLUMN(E1088)-5)/2)),KLVT!$A1088,tongctvtdd1)+SUMIF(OFFSET(tongctvtpk1,0,-(COLUMN(E1088)+7-(COLUMN(E1088)-5)/2)),KLVT!$A1088,tongctvtpk1)</f>
        <v>0</v>
      </c>
      <c r="F1088" s="449">
        <f ca="1">SUMIF(OFFSET(cttba_vlvt1_1,0,-9,-ROW(cttba_vlvt1_1)+ROW(cttba_vltb1_1)-10),KLVT!$A1088,OFFSET(cttba_vlvt1_1,0,-4,-ROW(cttba_vlvt1_1)+ROW(cttba_vltb1_1)-10))</f>
        <v>0</v>
      </c>
      <c r="G1088" s="451">
        <f t="shared" ca="1" si="181"/>
        <v>0</v>
      </c>
      <c r="H1088" s="450">
        <f t="shared" si="178"/>
        <v>1</v>
      </c>
      <c r="I1088" s="447">
        <f t="shared" ca="1" si="182"/>
        <v>0</v>
      </c>
      <c r="J1088" s="447">
        <f t="shared" ca="1" si="183"/>
        <v>0</v>
      </c>
      <c r="K1088" s="373">
        <f t="shared" ca="1" si="184"/>
        <v>0</v>
      </c>
    </row>
    <row r="1089" spans="1:11" s="373" customFormat="1" ht="15.75" hidden="1">
      <c r="A1089" s="373" t="str">
        <f>IF(AND(COUNTIF($A$5:$A$133,R_DG!A963)=0,R_DG!R963&gt;0,ISNUMBER(R_DG!R963)),R_DG!A963,"NONE")</f>
        <v>NONE</v>
      </c>
      <c r="B1089" s="85">
        <f ca="1">IF(K1089&gt;0,COUNTIF(K$6:K1089,"&gt;0"),B1088)</f>
        <v>34</v>
      </c>
      <c r="C1089" s="1084">
        <f t="shared" si="179"/>
        <v>0</v>
      </c>
      <c r="D1089" s="85">
        <f t="shared" si="180"/>
        <v>0</v>
      </c>
      <c r="E1089" s="448">
        <f ca="1">SUMIF(OFFSET(tongctvtdd1,0,-(COLUMN(E1089)+7-(COLUMN(E1089)-5)/2)),KLVT!$A1089,tongctvtdd1)+SUMIF(OFFSET(tongctvtpk1,0,-(COLUMN(E1089)+7-(COLUMN(E1089)-5)/2)),KLVT!$A1089,tongctvtpk1)</f>
        <v>0</v>
      </c>
      <c r="F1089" s="449">
        <f ca="1">SUMIF(OFFSET(cttba_vlvt1_1,0,-9,-ROW(cttba_vlvt1_1)+ROW(cttba_vltb1_1)-10),KLVT!$A1089,OFFSET(cttba_vlvt1_1,0,-4,-ROW(cttba_vlvt1_1)+ROW(cttba_vltb1_1)-10))</f>
        <v>0</v>
      </c>
      <c r="G1089" s="451">
        <f t="shared" ca="1" si="181"/>
        <v>0</v>
      </c>
      <c r="H1089" s="450">
        <f t="shared" si="178"/>
        <v>1</v>
      </c>
      <c r="I1089" s="447">
        <f t="shared" ca="1" si="182"/>
        <v>0</v>
      </c>
      <c r="J1089" s="447">
        <f t="shared" ca="1" si="183"/>
        <v>0</v>
      </c>
      <c r="K1089" s="373">
        <f t="shared" ca="1" si="184"/>
        <v>0</v>
      </c>
    </row>
    <row r="1090" spans="1:11" s="373" customFormat="1" ht="15.75" hidden="1">
      <c r="A1090" s="373" t="str">
        <f>IF(AND(COUNTIF($A$5:$A$133,R_DG!A964)=0,R_DG!R964&gt;0,ISNUMBER(R_DG!R964)),R_DG!A964,"NONE")</f>
        <v>NONE</v>
      </c>
      <c r="B1090" s="85">
        <f ca="1">IF(K1090&gt;0,COUNTIF(K$6:K1090,"&gt;0"),B1089)</f>
        <v>34</v>
      </c>
      <c r="C1090" s="1084">
        <f t="shared" si="179"/>
        <v>0</v>
      </c>
      <c r="D1090" s="85">
        <f t="shared" si="180"/>
        <v>0</v>
      </c>
      <c r="E1090" s="448">
        <f ca="1">SUMIF(OFFSET(tongctvtdd1,0,-(COLUMN(E1090)+7-(COLUMN(E1090)-5)/2)),KLVT!$A1090,tongctvtdd1)+SUMIF(OFFSET(tongctvtpk1,0,-(COLUMN(E1090)+7-(COLUMN(E1090)-5)/2)),KLVT!$A1090,tongctvtpk1)</f>
        <v>0</v>
      </c>
      <c r="F1090" s="449">
        <f ca="1">SUMIF(OFFSET(cttba_vlvt1_1,0,-9,-ROW(cttba_vlvt1_1)+ROW(cttba_vltb1_1)-10),KLVT!$A1090,OFFSET(cttba_vlvt1_1,0,-4,-ROW(cttba_vlvt1_1)+ROW(cttba_vltb1_1)-10))</f>
        <v>0</v>
      </c>
      <c r="G1090" s="451">
        <f t="shared" ca="1" si="181"/>
        <v>0</v>
      </c>
      <c r="H1090" s="450">
        <f t="shared" si="178"/>
        <v>1</v>
      </c>
      <c r="I1090" s="447">
        <f t="shared" ca="1" si="182"/>
        <v>0</v>
      </c>
      <c r="J1090" s="447">
        <f t="shared" ca="1" si="183"/>
        <v>0</v>
      </c>
      <c r="K1090" s="373">
        <f t="shared" ca="1" si="184"/>
        <v>0</v>
      </c>
    </row>
    <row r="1091" spans="1:11" s="373" customFormat="1" ht="15.75" hidden="1">
      <c r="A1091" s="373" t="str">
        <f>IF(AND(COUNTIF($A$5:$A$133,R_DG!A965)=0,R_DG!R965&gt;0,ISNUMBER(R_DG!R965)),R_DG!A965,"NONE")</f>
        <v>NONE</v>
      </c>
      <c r="B1091" s="85">
        <f ca="1">IF(K1091&gt;0,COUNTIF(K$6:K1091,"&gt;0"),B1090)</f>
        <v>34</v>
      </c>
      <c r="C1091" s="1084">
        <f t="shared" si="179"/>
        <v>0</v>
      </c>
      <c r="D1091" s="85">
        <f t="shared" si="180"/>
        <v>0</v>
      </c>
      <c r="E1091" s="448">
        <f ca="1">SUMIF(OFFSET(tongctvtdd1,0,-(COLUMN(E1091)+7-(COLUMN(E1091)-5)/2)),KLVT!$A1091,tongctvtdd1)+SUMIF(OFFSET(tongctvtpk1,0,-(COLUMN(E1091)+7-(COLUMN(E1091)-5)/2)),KLVT!$A1091,tongctvtpk1)</f>
        <v>0</v>
      </c>
      <c r="F1091" s="449">
        <f ca="1">SUMIF(OFFSET(cttba_vlvt1_1,0,-9,-ROW(cttba_vlvt1_1)+ROW(cttba_vltb1_1)-10),KLVT!$A1091,OFFSET(cttba_vlvt1_1,0,-4,-ROW(cttba_vlvt1_1)+ROW(cttba_vltb1_1)-10))</f>
        <v>0</v>
      </c>
      <c r="G1091" s="451">
        <f t="shared" ca="1" si="181"/>
        <v>0</v>
      </c>
      <c r="H1091" s="450">
        <f t="shared" si="178"/>
        <v>1</v>
      </c>
      <c r="I1091" s="447">
        <f t="shared" ca="1" si="182"/>
        <v>0</v>
      </c>
      <c r="J1091" s="447">
        <f t="shared" ca="1" si="183"/>
        <v>0</v>
      </c>
      <c r="K1091" s="373">
        <f t="shared" ca="1" si="184"/>
        <v>0</v>
      </c>
    </row>
    <row r="1092" spans="1:11" s="373" customFormat="1" ht="15.75" hidden="1">
      <c r="A1092" s="373" t="str">
        <f>IF(AND(COUNTIF($A$5:$A$133,R_DG!A966)=0,R_DG!R966&gt;0,ISNUMBER(R_DG!R966)),R_DG!A966,"NONE")</f>
        <v>NONE</v>
      </c>
      <c r="B1092" s="85">
        <f ca="1">IF(K1092&gt;0,COUNTIF(K$6:K1092,"&gt;0"),B1091)</f>
        <v>34</v>
      </c>
      <c r="C1092" s="1084">
        <f t="shared" si="179"/>
        <v>0</v>
      </c>
      <c r="D1092" s="85">
        <f t="shared" si="180"/>
        <v>0</v>
      </c>
      <c r="E1092" s="448">
        <f ca="1">SUMIF(OFFSET(tongctvtdd1,0,-(COLUMN(E1092)+7-(COLUMN(E1092)-5)/2)),KLVT!$A1092,tongctvtdd1)+SUMIF(OFFSET(tongctvtpk1,0,-(COLUMN(E1092)+7-(COLUMN(E1092)-5)/2)),KLVT!$A1092,tongctvtpk1)</f>
        <v>0</v>
      </c>
      <c r="F1092" s="449">
        <f ca="1">SUMIF(OFFSET(cttba_vlvt1_1,0,-9,-ROW(cttba_vlvt1_1)+ROW(cttba_vltb1_1)-10),KLVT!$A1092,OFFSET(cttba_vlvt1_1,0,-4,-ROW(cttba_vlvt1_1)+ROW(cttba_vltb1_1)-10))</f>
        <v>0</v>
      </c>
      <c r="G1092" s="451">
        <f t="shared" ca="1" si="181"/>
        <v>0</v>
      </c>
      <c r="H1092" s="450">
        <f t="shared" si="178"/>
        <v>1</v>
      </c>
      <c r="I1092" s="447">
        <f t="shared" ca="1" si="182"/>
        <v>0</v>
      </c>
      <c r="J1092" s="447">
        <f t="shared" ca="1" si="183"/>
        <v>0</v>
      </c>
      <c r="K1092" s="373">
        <f t="shared" ca="1" si="184"/>
        <v>0</v>
      </c>
    </row>
    <row r="1093" spans="1:11" s="373" customFormat="1" ht="15.75" hidden="1">
      <c r="A1093" s="373" t="str">
        <f>IF(AND(COUNTIF($A$5:$A$133,R_DG!A967)=0,R_DG!R967&gt;0,ISNUMBER(R_DG!R967)),R_DG!A967,"NONE")</f>
        <v>NONE</v>
      </c>
      <c r="B1093" s="85">
        <f ca="1">IF(K1093&gt;0,COUNTIF(K$6:K1093,"&gt;0"),B1092)</f>
        <v>34</v>
      </c>
      <c r="C1093" s="1084">
        <f t="shared" si="179"/>
        <v>0</v>
      </c>
      <c r="D1093" s="85">
        <f t="shared" si="180"/>
        <v>0</v>
      </c>
      <c r="E1093" s="448">
        <f ca="1">SUMIF(OFFSET(tongctvtdd1,0,-(COLUMN(E1093)+7-(COLUMN(E1093)-5)/2)),KLVT!$A1093,tongctvtdd1)+SUMIF(OFFSET(tongctvtpk1,0,-(COLUMN(E1093)+7-(COLUMN(E1093)-5)/2)),KLVT!$A1093,tongctvtpk1)</f>
        <v>0</v>
      </c>
      <c r="F1093" s="449">
        <f ca="1">SUMIF(OFFSET(cttba_vlvt1_1,0,-9,-ROW(cttba_vlvt1_1)+ROW(cttba_vltb1_1)-10),KLVT!$A1093,OFFSET(cttba_vlvt1_1,0,-4,-ROW(cttba_vlvt1_1)+ROW(cttba_vltb1_1)-10))</f>
        <v>0</v>
      </c>
      <c r="G1093" s="451">
        <f t="shared" ca="1" si="181"/>
        <v>0</v>
      </c>
      <c r="H1093" s="450">
        <f t="shared" si="178"/>
        <v>1</v>
      </c>
      <c r="I1093" s="447">
        <f t="shared" ca="1" si="182"/>
        <v>0</v>
      </c>
      <c r="J1093" s="447">
        <f t="shared" ca="1" si="183"/>
        <v>0</v>
      </c>
      <c r="K1093" s="373">
        <f t="shared" ca="1" si="184"/>
        <v>0</v>
      </c>
    </row>
    <row r="1094" spans="1:11" s="373" customFormat="1" ht="15.75" hidden="1">
      <c r="A1094" s="373" t="str">
        <f>IF(AND(COUNTIF($A$5:$A$133,R_DG!A968)=0,R_DG!R968&gt;0,ISNUMBER(R_DG!R968)),R_DG!A968,"NONE")</f>
        <v>ATM320</v>
      </c>
      <c r="B1094" s="85">
        <f ca="1">IF(K1094&gt;0,COUNTIF(K$6:K1094,"&gt;0"),B1093)</f>
        <v>34</v>
      </c>
      <c r="C1094" s="1084" t="str">
        <f t="shared" si="179"/>
        <v xml:space="preserve">MCCB 3 cực 400V -250A - 35KA </v>
      </c>
      <c r="D1094" s="85" t="str">
        <f t="shared" si="180"/>
        <v>cái</v>
      </c>
      <c r="E1094" s="448">
        <f ca="1">SUMIF(OFFSET(tongctvtdd1,0,-(COLUMN(E1094)+7-(COLUMN(E1094)-5)/2)),KLVT!$A1094,tongctvtdd1)+SUMIF(OFFSET(tongctvtpk1,0,-(COLUMN(E1094)+7-(COLUMN(E1094)-5)/2)),KLVT!$A1094,tongctvtpk1)</f>
        <v>0</v>
      </c>
      <c r="F1094" s="449">
        <f ca="1">SUMIF(OFFSET(cttba_vlvt1_1,0,-9,-ROW(cttba_vlvt1_1)+ROW(cttba_vltb1_1)-10),KLVT!$A1094,OFFSET(cttba_vlvt1_1,0,-4,-ROW(cttba_vlvt1_1)+ROW(cttba_vltb1_1)-10))</f>
        <v>0</v>
      </c>
      <c r="G1094" s="451">
        <f t="shared" ca="1" si="181"/>
        <v>0</v>
      </c>
      <c r="H1094" s="450">
        <f t="shared" ref="H1094:H1157" si="185">VLOOKUP(A1094,DONGIA,18,0)</f>
        <v>2</v>
      </c>
      <c r="I1094" s="447">
        <f t="shared" ca="1" si="182"/>
        <v>0</v>
      </c>
      <c r="J1094" s="447">
        <f t="shared" ca="1" si="183"/>
        <v>0</v>
      </c>
      <c r="K1094" s="373">
        <f t="shared" ca="1" si="184"/>
        <v>0</v>
      </c>
    </row>
    <row r="1095" spans="1:11" s="373" customFormat="1" ht="15.75" hidden="1">
      <c r="A1095" s="373" t="str">
        <f>IF(AND(COUNTIF($A$5:$A$133,R_DG!A969)=0,R_DG!R969&gt;0,ISNUMBER(R_DG!R969)),R_DG!A969,"NONE")</f>
        <v>NONE</v>
      </c>
      <c r="B1095" s="85">
        <f ca="1">IF(K1095&gt;0,COUNTIF(K$6:K1095,"&gt;0"),B1094)</f>
        <v>34</v>
      </c>
      <c r="C1095" s="1084">
        <f t="shared" si="179"/>
        <v>0</v>
      </c>
      <c r="D1095" s="85">
        <f t="shared" si="180"/>
        <v>0</v>
      </c>
      <c r="E1095" s="448">
        <f ca="1">SUMIF(OFFSET(tongctvtdd1,0,-(COLUMN(E1095)+7-(COLUMN(E1095)-5)/2)),KLVT!$A1095,tongctvtdd1)+SUMIF(OFFSET(tongctvtpk1,0,-(COLUMN(E1095)+7-(COLUMN(E1095)-5)/2)),KLVT!$A1095,tongctvtpk1)</f>
        <v>0</v>
      </c>
      <c r="F1095" s="449">
        <f ca="1">SUMIF(OFFSET(cttba_vlvt1_1,0,-9,-ROW(cttba_vlvt1_1)+ROW(cttba_vltb1_1)-10),KLVT!$A1095,OFFSET(cttba_vlvt1_1,0,-4,-ROW(cttba_vlvt1_1)+ROW(cttba_vltb1_1)-10))</f>
        <v>0</v>
      </c>
      <c r="G1095" s="451">
        <f t="shared" ca="1" si="181"/>
        <v>0</v>
      </c>
      <c r="H1095" s="450">
        <f t="shared" si="185"/>
        <v>1</v>
      </c>
      <c r="I1095" s="447">
        <f t="shared" ca="1" si="182"/>
        <v>0</v>
      </c>
      <c r="J1095" s="447">
        <f t="shared" ca="1" si="183"/>
        <v>0</v>
      </c>
      <c r="K1095" s="373">
        <f t="shared" ca="1" si="184"/>
        <v>0</v>
      </c>
    </row>
    <row r="1096" spans="1:11" s="373" customFormat="1" ht="15.75" hidden="1">
      <c r="A1096" s="373" t="str">
        <f>IF(AND(COUNTIF($A$5:$A$133,R_DG!A970)=0,R_DG!R970&gt;0,ISNUMBER(R_DG!R970)),R_DG!A970,"NONE")</f>
        <v>NONE</v>
      </c>
      <c r="B1096" s="85">
        <f ca="1">IF(K1096&gt;0,COUNTIF(K$6:K1096,"&gt;0"),B1095)</f>
        <v>34</v>
      </c>
      <c r="C1096" s="1084">
        <f t="shared" si="179"/>
        <v>0</v>
      </c>
      <c r="D1096" s="85">
        <f t="shared" si="180"/>
        <v>0</v>
      </c>
      <c r="E1096" s="448">
        <f ca="1">SUMIF(OFFSET(tongctvtdd1,0,-(COLUMN(E1096)+7-(COLUMN(E1096)-5)/2)),KLVT!$A1096,tongctvtdd1)+SUMIF(OFFSET(tongctvtpk1,0,-(COLUMN(E1096)+7-(COLUMN(E1096)-5)/2)),KLVT!$A1096,tongctvtpk1)</f>
        <v>0</v>
      </c>
      <c r="F1096" s="449">
        <f ca="1">SUMIF(OFFSET(cttba_vlvt1_1,0,-9,-ROW(cttba_vlvt1_1)+ROW(cttba_vltb1_1)-10),KLVT!$A1096,OFFSET(cttba_vlvt1_1,0,-4,-ROW(cttba_vlvt1_1)+ROW(cttba_vltb1_1)-10))</f>
        <v>0</v>
      </c>
      <c r="G1096" s="451">
        <f t="shared" ca="1" si="181"/>
        <v>0</v>
      </c>
      <c r="H1096" s="450">
        <f t="shared" si="185"/>
        <v>1</v>
      </c>
      <c r="I1096" s="447">
        <f t="shared" ca="1" si="182"/>
        <v>0</v>
      </c>
      <c r="J1096" s="447">
        <f t="shared" ca="1" si="183"/>
        <v>0</v>
      </c>
      <c r="K1096" s="373">
        <f t="shared" ca="1" si="184"/>
        <v>0</v>
      </c>
    </row>
    <row r="1097" spans="1:11" s="373" customFormat="1" ht="15.75" hidden="1">
      <c r="A1097" s="373" t="str">
        <f>IF(AND(COUNTIF($A$5:$A$133,R_DG!A971)=0,R_DG!R971&gt;0,ISNUMBER(R_DG!R971)),R_DG!A971,"NONE")</f>
        <v>NONE</v>
      </c>
      <c r="B1097" s="85">
        <f ca="1">IF(K1097&gt;0,COUNTIF(K$6:K1097,"&gt;0"),B1096)</f>
        <v>34</v>
      </c>
      <c r="C1097" s="1084">
        <f t="shared" si="179"/>
        <v>0</v>
      </c>
      <c r="D1097" s="85">
        <f t="shared" si="180"/>
        <v>0</v>
      </c>
      <c r="E1097" s="448">
        <f ca="1">SUMIF(OFFSET(tongctvtdd1,0,-(COLUMN(E1097)+7-(COLUMN(E1097)-5)/2)),KLVT!$A1097,tongctvtdd1)+SUMIF(OFFSET(tongctvtpk1,0,-(COLUMN(E1097)+7-(COLUMN(E1097)-5)/2)),KLVT!$A1097,tongctvtpk1)</f>
        <v>0</v>
      </c>
      <c r="F1097" s="449">
        <f ca="1">SUMIF(OFFSET(cttba_vlvt1_1,0,-9,-ROW(cttba_vlvt1_1)+ROW(cttba_vltb1_1)-10),KLVT!$A1097,OFFSET(cttba_vlvt1_1,0,-4,-ROW(cttba_vlvt1_1)+ROW(cttba_vltb1_1)-10))</f>
        <v>0</v>
      </c>
      <c r="G1097" s="451">
        <f t="shared" ca="1" si="181"/>
        <v>0</v>
      </c>
      <c r="H1097" s="450">
        <f t="shared" si="185"/>
        <v>1</v>
      </c>
      <c r="I1097" s="447">
        <f t="shared" ca="1" si="182"/>
        <v>0</v>
      </c>
      <c r="J1097" s="447">
        <f t="shared" ca="1" si="183"/>
        <v>0</v>
      </c>
      <c r="K1097" s="373">
        <f t="shared" ca="1" si="184"/>
        <v>0</v>
      </c>
    </row>
    <row r="1098" spans="1:11" s="373" customFormat="1" ht="15.75" hidden="1">
      <c r="A1098" s="373" t="str">
        <f>IF(AND(COUNTIF($A$5:$A$133,R_DG!A972)=0,R_DG!R972&gt;0,ISNUMBER(R_DG!R972)),R_DG!A972,"NONE")</f>
        <v>NONE</v>
      </c>
      <c r="B1098" s="85">
        <f ca="1">IF(K1098&gt;0,COUNTIF(K$6:K1098,"&gt;0"),B1097)</f>
        <v>34</v>
      </c>
      <c r="C1098" s="1084">
        <f t="shared" si="179"/>
        <v>0</v>
      </c>
      <c r="D1098" s="85">
        <f t="shared" si="180"/>
        <v>0</v>
      </c>
      <c r="E1098" s="448">
        <f ca="1">SUMIF(OFFSET(tongctvtdd1,0,-(COLUMN(E1098)+7-(COLUMN(E1098)-5)/2)),KLVT!$A1098,tongctvtdd1)+SUMIF(OFFSET(tongctvtpk1,0,-(COLUMN(E1098)+7-(COLUMN(E1098)-5)/2)),KLVT!$A1098,tongctvtpk1)</f>
        <v>0</v>
      </c>
      <c r="F1098" s="449">
        <f ca="1">SUMIF(OFFSET(cttba_vlvt1_1,0,-9,-ROW(cttba_vlvt1_1)+ROW(cttba_vltb1_1)-10),KLVT!$A1098,OFFSET(cttba_vlvt1_1,0,-4,-ROW(cttba_vlvt1_1)+ROW(cttba_vltb1_1)-10))</f>
        <v>0</v>
      </c>
      <c r="G1098" s="451">
        <f t="shared" ca="1" si="181"/>
        <v>0</v>
      </c>
      <c r="H1098" s="450">
        <f t="shared" si="185"/>
        <v>1</v>
      </c>
      <c r="I1098" s="447">
        <f t="shared" ca="1" si="182"/>
        <v>0</v>
      </c>
      <c r="J1098" s="447">
        <f t="shared" ca="1" si="183"/>
        <v>0</v>
      </c>
      <c r="K1098" s="373">
        <f t="shared" ca="1" si="184"/>
        <v>0</v>
      </c>
    </row>
    <row r="1099" spans="1:11" s="373" customFormat="1" ht="15.75" hidden="1">
      <c r="A1099" s="373" t="str">
        <f>IF(AND(COUNTIF($A$5:$A$133,R_DG!A973)=0,R_DG!R973&gt;0,ISNUMBER(R_DG!R973)),R_DG!A973,"NONE")</f>
        <v>NONE</v>
      </c>
      <c r="B1099" s="85">
        <f ca="1">IF(K1099&gt;0,COUNTIF(K$6:K1099,"&gt;0"),B1098)</f>
        <v>34</v>
      </c>
      <c r="C1099" s="1084">
        <f t="shared" si="179"/>
        <v>0</v>
      </c>
      <c r="D1099" s="85">
        <f t="shared" si="180"/>
        <v>0</v>
      </c>
      <c r="E1099" s="448">
        <f ca="1">SUMIF(OFFSET(tongctvtdd1,0,-(COLUMN(E1099)+7-(COLUMN(E1099)-5)/2)),KLVT!$A1099,tongctvtdd1)+SUMIF(OFFSET(tongctvtpk1,0,-(COLUMN(E1099)+7-(COLUMN(E1099)-5)/2)),KLVT!$A1099,tongctvtpk1)</f>
        <v>0</v>
      </c>
      <c r="F1099" s="449">
        <f ca="1">SUMIF(OFFSET(cttba_vlvt1_1,0,-9,-ROW(cttba_vlvt1_1)+ROW(cttba_vltb1_1)-10),KLVT!$A1099,OFFSET(cttba_vlvt1_1,0,-4,-ROW(cttba_vlvt1_1)+ROW(cttba_vltb1_1)-10))</f>
        <v>0</v>
      </c>
      <c r="G1099" s="451">
        <f t="shared" ca="1" si="181"/>
        <v>0</v>
      </c>
      <c r="H1099" s="450">
        <f t="shared" si="185"/>
        <v>1</v>
      </c>
      <c r="I1099" s="447">
        <f t="shared" ca="1" si="182"/>
        <v>0</v>
      </c>
      <c r="J1099" s="447">
        <f t="shared" ca="1" si="183"/>
        <v>0</v>
      </c>
      <c r="K1099" s="373">
        <f t="shared" ca="1" si="184"/>
        <v>0</v>
      </c>
    </row>
    <row r="1100" spans="1:11" s="373" customFormat="1" ht="15.75" hidden="1">
      <c r="A1100" s="373" t="str">
        <f>IF(AND(COUNTIF($A$5:$A$133,R_DG!A974)=0,R_DG!R974&gt;0,ISNUMBER(R_DG!R974)),R_DG!A974,"NONE")</f>
        <v>NONE</v>
      </c>
      <c r="B1100" s="85">
        <f ca="1">IF(K1100&gt;0,COUNTIF(K$6:K1100,"&gt;0"),B1099)</f>
        <v>34</v>
      </c>
      <c r="C1100" s="1084">
        <f t="shared" si="179"/>
        <v>0</v>
      </c>
      <c r="D1100" s="85">
        <f t="shared" si="180"/>
        <v>0</v>
      </c>
      <c r="E1100" s="448">
        <f ca="1">SUMIF(OFFSET(tongctvtdd1,0,-(COLUMN(E1100)+7-(COLUMN(E1100)-5)/2)),KLVT!$A1100,tongctvtdd1)+SUMIF(OFFSET(tongctvtpk1,0,-(COLUMN(E1100)+7-(COLUMN(E1100)-5)/2)),KLVT!$A1100,tongctvtpk1)</f>
        <v>0</v>
      </c>
      <c r="F1100" s="449">
        <f ca="1">SUMIF(OFFSET(cttba_vlvt1_1,0,-9,-ROW(cttba_vlvt1_1)+ROW(cttba_vltb1_1)-10),KLVT!$A1100,OFFSET(cttba_vlvt1_1,0,-4,-ROW(cttba_vlvt1_1)+ROW(cttba_vltb1_1)-10))</f>
        <v>0</v>
      </c>
      <c r="G1100" s="451">
        <f t="shared" ca="1" si="181"/>
        <v>0</v>
      </c>
      <c r="H1100" s="450">
        <f t="shared" si="185"/>
        <v>1</v>
      </c>
      <c r="I1100" s="447">
        <f t="shared" ca="1" si="182"/>
        <v>0</v>
      </c>
      <c r="J1100" s="447">
        <f t="shared" ca="1" si="183"/>
        <v>0</v>
      </c>
      <c r="K1100" s="373">
        <f t="shared" ca="1" si="184"/>
        <v>0</v>
      </c>
    </row>
    <row r="1101" spans="1:11" s="373" customFormat="1" ht="15.75" hidden="1">
      <c r="A1101" s="373" t="str">
        <f>IF(AND(COUNTIF($A$5:$A$133,R_DG!A975)=0,R_DG!R975&gt;0,ISNUMBER(R_DG!R975)),R_DG!A975,"NONE")</f>
        <v>NONE</v>
      </c>
      <c r="B1101" s="85">
        <f ca="1">IF(K1101&gt;0,COUNTIF(K$6:K1101,"&gt;0"),B1100)</f>
        <v>34</v>
      </c>
      <c r="C1101" s="1084">
        <f t="shared" si="179"/>
        <v>0</v>
      </c>
      <c r="D1101" s="85">
        <f t="shared" si="180"/>
        <v>0</v>
      </c>
      <c r="E1101" s="448">
        <f ca="1">SUMIF(OFFSET(tongctvtdd1,0,-(COLUMN(E1101)+7-(COLUMN(E1101)-5)/2)),KLVT!$A1101,tongctvtdd1)+SUMIF(OFFSET(tongctvtpk1,0,-(COLUMN(E1101)+7-(COLUMN(E1101)-5)/2)),KLVT!$A1101,tongctvtpk1)</f>
        <v>0</v>
      </c>
      <c r="F1101" s="449">
        <f ca="1">SUMIF(OFFSET(cttba_vlvt1_1,0,-9,-ROW(cttba_vlvt1_1)+ROW(cttba_vltb1_1)-10),KLVT!$A1101,OFFSET(cttba_vlvt1_1,0,-4,-ROW(cttba_vlvt1_1)+ROW(cttba_vltb1_1)-10))</f>
        <v>0</v>
      </c>
      <c r="G1101" s="451">
        <f t="shared" ca="1" si="181"/>
        <v>0</v>
      </c>
      <c r="H1101" s="450">
        <f t="shared" si="185"/>
        <v>1</v>
      </c>
      <c r="I1101" s="447">
        <f t="shared" ca="1" si="182"/>
        <v>0</v>
      </c>
      <c r="J1101" s="447">
        <f t="shared" ca="1" si="183"/>
        <v>0</v>
      </c>
      <c r="K1101" s="373">
        <f t="shared" ca="1" si="184"/>
        <v>0</v>
      </c>
    </row>
    <row r="1102" spans="1:11" s="373" customFormat="1" ht="15.75" hidden="1">
      <c r="A1102" s="373" t="str">
        <f>IF(AND(COUNTIF($A$5:$A$133,R_DG!A976)=0,R_DG!R976&gt;0,ISNUMBER(R_DG!R976)),R_DG!A976,"NONE")</f>
        <v>NONE</v>
      </c>
      <c r="B1102" s="85">
        <f ca="1">IF(K1102&gt;0,COUNTIF(K$6:K1102,"&gt;0"),B1101)</f>
        <v>34</v>
      </c>
      <c r="C1102" s="1084">
        <f t="shared" si="179"/>
        <v>0</v>
      </c>
      <c r="D1102" s="85">
        <f t="shared" si="180"/>
        <v>0</v>
      </c>
      <c r="E1102" s="448">
        <f ca="1">SUMIF(OFFSET(tongctvtdd1,0,-(COLUMN(E1102)+7-(COLUMN(E1102)-5)/2)),KLVT!$A1102,tongctvtdd1)+SUMIF(OFFSET(tongctvtpk1,0,-(COLUMN(E1102)+7-(COLUMN(E1102)-5)/2)),KLVT!$A1102,tongctvtpk1)</f>
        <v>0</v>
      </c>
      <c r="F1102" s="449">
        <f ca="1">SUMIF(OFFSET(cttba_vlvt1_1,0,-9,-ROW(cttba_vlvt1_1)+ROW(cttba_vltb1_1)-10),KLVT!$A1102,OFFSET(cttba_vlvt1_1,0,-4,-ROW(cttba_vlvt1_1)+ROW(cttba_vltb1_1)-10))</f>
        <v>0</v>
      </c>
      <c r="G1102" s="451">
        <f t="shared" ca="1" si="181"/>
        <v>0</v>
      </c>
      <c r="H1102" s="450">
        <f t="shared" si="185"/>
        <v>1</v>
      </c>
      <c r="I1102" s="447">
        <f t="shared" ca="1" si="182"/>
        <v>0</v>
      </c>
      <c r="J1102" s="447">
        <f t="shared" ca="1" si="183"/>
        <v>0</v>
      </c>
      <c r="K1102" s="373">
        <f t="shared" ca="1" si="184"/>
        <v>0</v>
      </c>
    </row>
    <row r="1103" spans="1:11" s="373" customFormat="1" ht="15.75" hidden="1">
      <c r="A1103" s="373" t="str">
        <f>IF(AND(COUNTIF($A$5:$A$133,R_DG!A977)=0,R_DG!R977&gt;0,ISNUMBER(R_DG!R977)),R_DG!A977,"NONE")</f>
        <v>NONE</v>
      </c>
      <c r="B1103" s="85">
        <f ca="1">IF(K1103&gt;0,COUNTIF(K$6:K1103,"&gt;0"),B1102)</f>
        <v>34</v>
      </c>
      <c r="C1103" s="1084">
        <f t="shared" si="179"/>
        <v>0</v>
      </c>
      <c r="D1103" s="85">
        <f t="shared" si="180"/>
        <v>0</v>
      </c>
      <c r="E1103" s="448">
        <f ca="1">SUMIF(OFFSET(tongctvtdd1,0,-(COLUMN(E1103)+7-(COLUMN(E1103)-5)/2)),KLVT!$A1103,tongctvtdd1)+SUMIF(OFFSET(tongctvtpk1,0,-(COLUMN(E1103)+7-(COLUMN(E1103)-5)/2)),KLVT!$A1103,tongctvtpk1)</f>
        <v>0</v>
      </c>
      <c r="F1103" s="449">
        <f ca="1">SUMIF(OFFSET(cttba_vlvt1_1,0,-9,-ROW(cttba_vlvt1_1)+ROW(cttba_vltb1_1)-10),KLVT!$A1103,OFFSET(cttba_vlvt1_1,0,-4,-ROW(cttba_vlvt1_1)+ROW(cttba_vltb1_1)-10))</f>
        <v>0</v>
      </c>
      <c r="G1103" s="451">
        <f t="shared" ca="1" si="181"/>
        <v>0</v>
      </c>
      <c r="H1103" s="450">
        <f t="shared" si="185"/>
        <v>1</v>
      </c>
      <c r="I1103" s="447">
        <f t="shared" ca="1" si="182"/>
        <v>0</v>
      </c>
      <c r="J1103" s="447">
        <f t="shared" ca="1" si="183"/>
        <v>0</v>
      </c>
      <c r="K1103" s="373">
        <f t="shared" ca="1" si="184"/>
        <v>0</v>
      </c>
    </row>
    <row r="1104" spans="1:11" s="373" customFormat="1" ht="15.75" hidden="1">
      <c r="A1104" s="373" t="str">
        <f>IF(AND(COUNTIF($A$5:$A$133,R_DG!A978)=0,R_DG!R978&gt;0,ISNUMBER(R_DG!R978)),R_DG!A978,"NONE")</f>
        <v>NONE</v>
      </c>
      <c r="B1104" s="85">
        <f ca="1">IF(K1104&gt;0,COUNTIF(K$6:K1104,"&gt;0"),B1103)</f>
        <v>34</v>
      </c>
      <c r="C1104" s="1084">
        <f t="shared" si="179"/>
        <v>0</v>
      </c>
      <c r="D1104" s="85">
        <f t="shared" si="180"/>
        <v>0</v>
      </c>
      <c r="E1104" s="448">
        <f ca="1">SUMIF(OFFSET(tongctvtdd1,0,-(COLUMN(E1104)+7-(COLUMN(E1104)-5)/2)),KLVT!$A1104,tongctvtdd1)+SUMIF(OFFSET(tongctvtpk1,0,-(COLUMN(E1104)+7-(COLUMN(E1104)-5)/2)),KLVT!$A1104,tongctvtpk1)</f>
        <v>0</v>
      </c>
      <c r="F1104" s="449">
        <f ca="1">SUMIF(OFFSET(cttba_vlvt1_1,0,-9,-ROW(cttba_vlvt1_1)+ROW(cttba_vltb1_1)-10),KLVT!$A1104,OFFSET(cttba_vlvt1_1,0,-4,-ROW(cttba_vlvt1_1)+ROW(cttba_vltb1_1)-10))</f>
        <v>0</v>
      </c>
      <c r="G1104" s="451">
        <f t="shared" ca="1" si="181"/>
        <v>0</v>
      </c>
      <c r="H1104" s="450">
        <f t="shared" si="185"/>
        <v>1</v>
      </c>
      <c r="I1104" s="447">
        <f t="shared" ca="1" si="182"/>
        <v>0</v>
      </c>
      <c r="J1104" s="447">
        <f t="shared" ca="1" si="183"/>
        <v>0</v>
      </c>
      <c r="K1104" s="373">
        <f t="shared" ca="1" si="184"/>
        <v>0</v>
      </c>
    </row>
    <row r="1105" spans="1:11" s="373" customFormat="1" ht="15.75" hidden="1">
      <c r="A1105" s="373" t="str">
        <f>IF(AND(COUNTIF($A$5:$A$133,R_DG!A979)=0,R_DG!R979&gt;0,ISNUMBER(R_DG!R979)),R_DG!A979,"NONE")</f>
        <v>NONE</v>
      </c>
      <c r="B1105" s="85">
        <f ca="1">IF(K1105&gt;0,COUNTIF(K$6:K1105,"&gt;0"),B1104)</f>
        <v>34</v>
      </c>
      <c r="C1105" s="1084">
        <f t="shared" si="179"/>
        <v>0</v>
      </c>
      <c r="D1105" s="85">
        <f t="shared" si="180"/>
        <v>0</v>
      </c>
      <c r="E1105" s="448">
        <f ca="1">SUMIF(OFFSET(tongctvtdd1,0,-(COLUMN(E1105)+7-(COLUMN(E1105)-5)/2)),KLVT!$A1105,tongctvtdd1)+SUMIF(OFFSET(tongctvtpk1,0,-(COLUMN(E1105)+7-(COLUMN(E1105)-5)/2)),KLVT!$A1105,tongctvtpk1)</f>
        <v>0</v>
      </c>
      <c r="F1105" s="449">
        <f ca="1">SUMIF(OFFSET(cttba_vlvt1_1,0,-9,-ROW(cttba_vlvt1_1)+ROW(cttba_vltb1_1)-10),KLVT!$A1105,OFFSET(cttba_vlvt1_1,0,-4,-ROW(cttba_vlvt1_1)+ROW(cttba_vltb1_1)-10))</f>
        <v>0</v>
      </c>
      <c r="G1105" s="451">
        <f t="shared" ca="1" si="181"/>
        <v>0</v>
      </c>
      <c r="H1105" s="450">
        <f t="shared" si="185"/>
        <v>1</v>
      </c>
      <c r="I1105" s="447">
        <f t="shared" ca="1" si="182"/>
        <v>0</v>
      </c>
      <c r="J1105" s="447">
        <f t="shared" ca="1" si="183"/>
        <v>0</v>
      </c>
      <c r="K1105" s="373">
        <f t="shared" ca="1" si="184"/>
        <v>0</v>
      </c>
    </row>
    <row r="1106" spans="1:11" s="373" customFormat="1" ht="15.75" hidden="1">
      <c r="A1106" s="373" t="str">
        <f>IF(AND(COUNTIF($A$5:$A$133,R_DG!A980)=0,R_DG!R980&gt;0,ISNUMBER(R_DG!R980)),R_DG!A980,"NONE")</f>
        <v>NONE</v>
      </c>
      <c r="B1106" s="85">
        <f ca="1">IF(K1106&gt;0,COUNTIF(K$6:K1106,"&gt;0"),B1105)</f>
        <v>34</v>
      </c>
      <c r="C1106" s="1084">
        <f t="shared" si="179"/>
        <v>0</v>
      </c>
      <c r="D1106" s="85">
        <f t="shared" si="180"/>
        <v>0</v>
      </c>
      <c r="E1106" s="448">
        <f ca="1">SUMIF(OFFSET(tongctvtdd1,0,-(COLUMN(E1106)+7-(COLUMN(E1106)-5)/2)),KLVT!$A1106,tongctvtdd1)+SUMIF(OFFSET(tongctvtpk1,0,-(COLUMN(E1106)+7-(COLUMN(E1106)-5)/2)),KLVT!$A1106,tongctvtpk1)</f>
        <v>0</v>
      </c>
      <c r="F1106" s="449">
        <f ca="1">SUMIF(OFFSET(cttba_vlvt1_1,0,-9,-ROW(cttba_vlvt1_1)+ROW(cttba_vltb1_1)-10),KLVT!$A1106,OFFSET(cttba_vlvt1_1,0,-4,-ROW(cttba_vlvt1_1)+ROW(cttba_vltb1_1)-10))</f>
        <v>0</v>
      </c>
      <c r="G1106" s="451">
        <f t="shared" ca="1" si="181"/>
        <v>0</v>
      </c>
      <c r="H1106" s="450">
        <f t="shared" si="185"/>
        <v>1</v>
      </c>
      <c r="I1106" s="447">
        <f t="shared" ca="1" si="182"/>
        <v>0</v>
      </c>
      <c r="J1106" s="447">
        <f t="shared" ca="1" si="183"/>
        <v>0</v>
      </c>
      <c r="K1106" s="373">
        <f t="shared" ca="1" si="184"/>
        <v>0</v>
      </c>
    </row>
    <row r="1107" spans="1:11" s="373" customFormat="1" ht="15.75" hidden="1">
      <c r="A1107" s="373" t="str">
        <f>IF(AND(COUNTIF($A$5:$A$133,R_DG!A981)=0,R_DG!R981&gt;0,ISNUMBER(R_DG!R981)),R_DG!A981,"NONE")</f>
        <v>NONE</v>
      </c>
      <c r="B1107" s="85">
        <f ca="1">IF(K1107&gt;0,COUNTIF(K$6:K1107,"&gt;0"),B1106)</f>
        <v>34</v>
      </c>
      <c r="C1107" s="1084">
        <f t="shared" si="179"/>
        <v>0</v>
      </c>
      <c r="D1107" s="85">
        <f t="shared" si="180"/>
        <v>0</v>
      </c>
      <c r="E1107" s="448">
        <f ca="1">SUMIF(OFFSET(tongctvtdd1,0,-(COLUMN(E1107)+7-(COLUMN(E1107)-5)/2)),KLVT!$A1107,tongctvtdd1)+SUMIF(OFFSET(tongctvtpk1,0,-(COLUMN(E1107)+7-(COLUMN(E1107)-5)/2)),KLVT!$A1107,tongctvtpk1)</f>
        <v>0</v>
      </c>
      <c r="F1107" s="449">
        <f ca="1">SUMIF(OFFSET(cttba_vlvt1_1,0,-9,-ROW(cttba_vlvt1_1)+ROW(cttba_vltb1_1)-10),KLVT!$A1107,OFFSET(cttba_vlvt1_1,0,-4,-ROW(cttba_vlvt1_1)+ROW(cttba_vltb1_1)-10))</f>
        <v>0</v>
      </c>
      <c r="G1107" s="451">
        <f t="shared" ca="1" si="181"/>
        <v>0</v>
      </c>
      <c r="H1107" s="450">
        <f t="shared" si="185"/>
        <v>1</v>
      </c>
      <c r="I1107" s="447">
        <f t="shared" ca="1" si="182"/>
        <v>0</v>
      </c>
      <c r="J1107" s="447">
        <f t="shared" ca="1" si="183"/>
        <v>0</v>
      </c>
      <c r="K1107" s="373">
        <f t="shared" ca="1" si="184"/>
        <v>0</v>
      </c>
    </row>
    <row r="1108" spans="1:11" s="373" customFormat="1" ht="15.75" hidden="1">
      <c r="A1108" s="373" t="str">
        <f>IF(AND(COUNTIF($A$5:$A$133,R_DG!A982)=0,R_DG!R982&gt;0,ISNUMBER(R_DG!R982)),R_DG!A982,"NONE")</f>
        <v>NONE</v>
      </c>
      <c r="B1108" s="85">
        <f ca="1">IF(K1108&gt;0,COUNTIF(K$6:K1108,"&gt;0"),B1107)</f>
        <v>34</v>
      </c>
      <c r="C1108" s="1084">
        <f t="shared" si="179"/>
        <v>0</v>
      </c>
      <c r="D1108" s="85">
        <f t="shared" si="180"/>
        <v>0</v>
      </c>
      <c r="E1108" s="448">
        <f ca="1">SUMIF(OFFSET(tongctvtdd1,0,-(COLUMN(E1108)+7-(COLUMN(E1108)-5)/2)),KLVT!$A1108,tongctvtdd1)+SUMIF(OFFSET(tongctvtpk1,0,-(COLUMN(E1108)+7-(COLUMN(E1108)-5)/2)),KLVT!$A1108,tongctvtpk1)</f>
        <v>0</v>
      </c>
      <c r="F1108" s="449">
        <f ca="1">SUMIF(OFFSET(cttba_vlvt1_1,0,-9,-ROW(cttba_vlvt1_1)+ROW(cttba_vltb1_1)-10),KLVT!$A1108,OFFSET(cttba_vlvt1_1,0,-4,-ROW(cttba_vlvt1_1)+ROW(cttba_vltb1_1)-10))</f>
        <v>0</v>
      </c>
      <c r="G1108" s="451">
        <f t="shared" ca="1" si="181"/>
        <v>0</v>
      </c>
      <c r="H1108" s="450">
        <f t="shared" si="185"/>
        <v>1</v>
      </c>
      <c r="I1108" s="447">
        <f t="shared" ca="1" si="182"/>
        <v>0</v>
      </c>
      <c r="J1108" s="447">
        <f t="shared" ca="1" si="183"/>
        <v>0</v>
      </c>
      <c r="K1108" s="373">
        <f t="shared" ca="1" si="184"/>
        <v>0</v>
      </c>
    </row>
    <row r="1109" spans="1:11" s="373" customFormat="1" ht="15.75" hidden="1">
      <c r="A1109" s="373" t="str">
        <f>IF(AND(COUNTIF($A$5:$A$133,R_DG!A983)=0,R_DG!R983&gt;0,ISNUMBER(R_DG!R983)),R_DG!A983,"NONE")</f>
        <v>NONE</v>
      </c>
      <c r="B1109" s="85">
        <f ca="1">IF(K1109&gt;0,COUNTIF(K$6:K1109,"&gt;0"),B1108)</f>
        <v>34</v>
      </c>
      <c r="C1109" s="1084">
        <f t="shared" si="179"/>
        <v>0</v>
      </c>
      <c r="D1109" s="85">
        <f t="shared" si="180"/>
        <v>0</v>
      </c>
      <c r="E1109" s="448">
        <f ca="1">SUMIF(OFFSET(tongctvtdd1,0,-(COLUMN(E1109)+7-(COLUMN(E1109)-5)/2)),KLVT!$A1109,tongctvtdd1)+SUMIF(OFFSET(tongctvtpk1,0,-(COLUMN(E1109)+7-(COLUMN(E1109)-5)/2)),KLVT!$A1109,tongctvtpk1)</f>
        <v>0</v>
      </c>
      <c r="F1109" s="449">
        <f ca="1">SUMIF(OFFSET(cttba_vlvt1_1,0,-9,-ROW(cttba_vlvt1_1)+ROW(cttba_vltb1_1)-10),KLVT!$A1109,OFFSET(cttba_vlvt1_1,0,-4,-ROW(cttba_vlvt1_1)+ROW(cttba_vltb1_1)-10))</f>
        <v>0</v>
      </c>
      <c r="G1109" s="451">
        <f t="shared" ca="1" si="181"/>
        <v>0</v>
      </c>
      <c r="H1109" s="450">
        <f t="shared" si="185"/>
        <v>1</v>
      </c>
      <c r="I1109" s="447">
        <f t="shared" ca="1" si="182"/>
        <v>0</v>
      </c>
      <c r="J1109" s="447">
        <f t="shared" ca="1" si="183"/>
        <v>0</v>
      </c>
      <c r="K1109" s="373">
        <f t="shared" ca="1" si="184"/>
        <v>0</v>
      </c>
    </row>
    <row r="1110" spans="1:11" s="373" customFormat="1" ht="15.75" hidden="1">
      <c r="A1110" s="373" t="str">
        <f>IF(AND(COUNTIF($A$5:$A$133,R_DG!A984)=0,R_DG!R984&gt;0,ISNUMBER(R_DG!R984)),R_DG!A984,"NONE")</f>
        <v>NONE</v>
      </c>
      <c r="B1110" s="85">
        <f ca="1">IF(K1110&gt;0,COUNTIF(K$6:K1110,"&gt;0"),B1109)</f>
        <v>34</v>
      </c>
      <c r="C1110" s="1084">
        <f t="shared" si="179"/>
        <v>0</v>
      </c>
      <c r="D1110" s="85">
        <f t="shared" si="180"/>
        <v>0</v>
      </c>
      <c r="E1110" s="448">
        <f ca="1">SUMIF(OFFSET(tongctvtdd1,0,-(COLUMN(E1110)+7-(COLUMN(E1110)-5)/2)),KLVT!$A1110,tongctvtdd1)+SUMIF(OFFSET(tongctvtpk1,0,-(COLUMN(E1110)+7-(COLUMN(E1110)-5)/2)),KLVT!$A1110,tongctvtpk1)</f>
        <v>0</v>
      </c>
      <c r="F1110" s="449">
        <f ca="1">SUMIF(OFFSET(cttba_vlvt1_1,0,-9,-ROW(cttba_vlvt1_1)+ROW(cttba_vltb1_1)-10),KLVT!$A1110,OFFSET(cttba_vlvt1_1,0,-4,-ROW(cttba_vlvt1_1)+ROW(cttba_vltb1_1)-10))</f>
        <v>0</v>
      </c>
      <c r="G1110" s="451">
        <f t="shared" ca="1" si="181"/>
        <v>0</v>
      </c>
      <c r="H1110" s="450">
        <f t="shared" si="185"/>
        <v>1</v>
      </c>
      <c r="I1110" s="447">
        <f t="shared" ca="1" si="182"/>
        <v>0</v>
      </c>
      <c r="J1110" s="447">
        <f t="shared" ca="1" si="183"/>
        <v>0</v>
      </c>
      <c r="K1110" s="373">
        <f t="shared" ca="1" si="184"/>
        <v>0</v>
      </c>
    </row>
    <row r="1111" spans="1:11" s="373" customFormat="1" ht="15.75" hidden="1">
      <c r="A1111" s="373" t="str">
        <f>IF(AND(COUNTIF($A$5:$A$133,R_DG!A985)=0,R_DG!R985&gt;0,ISNUMBER(R_DG!R985)),R_DG!A985,"NONE")</f>
        <v>NONE</v>
      </c>
      <c r="B1111" s="85">
        <f ca="1">IF(K1111&gt;0,COUNTIF(K$6:K1111,"&gt;0"),B1110)</f>
        <v>34</v>
      </c>
      <c r="C1111" s="1084">
        <f t="shared" si="179"/>
        <v>0</v>
      </c>
      <c r="D1111" s="85">
        <f t="shared" si="180"/>
        <v>0</v>
      </c>
      <c r="E1111" s="448">
        <f ca="1">SUMIF(OFFSET(tongctvtdd1,0,-(COLUMN(E1111)+7-(COLUMN(E1111)-5)/2)),KLVT!$A1111,tongctvtdd1)+SUMIF(OFFSET(tongctvtpk1,0,-(COLUMN(E1111)+7-(COLUMN(E1111)-5)/2)),KLVT!$A1111,tongctvtpk1)</f>
        <v>0</v>
      </c>
      <c r="F1111" s="449">
        <f ca="1">SUMIF(OFFSET(cttba_vlvt1_1,0,-9,-ROW(cttba_vlvt1_1)+ROW(cttba_vltb1_1)-10),KLVT!$A1111,OFFSET(cttba_vlvt1_1,0,-4,-ROW(cttba_vlvt1_1)+ROW(cttba_vltb1_1)-10))</f>
        <v>0</v>
      </c>
      <c r="G1111" s="451">
        <f t="shared" ca="1" si="181"/>
        <v>0</v>
      </c>
      <c r="H1111" s="450">
        <f t="shared" si="185"/>
        <v>1</v>
      </c>
      <c r="I1111" s="447">
        <f t="shared" ca="1" si="182"/>
        <v>0</v>
      </c>
      <c r="J1111" s="447">
        <f t="shared" ca="1" si="183"/>
        <v>0</v>
      </c>
      <c r="K1111" s="373">
        <f t="shared" ca="1" si="184"/>
        <v>0</v>
      </c>
    </row>
    <row r="1112" spans="1:11" s="373" customFormat="1" ht="15.75" hidden="1">
      <c r="A1112" s="373" t="str">
        <f>IF(AND(COUNTIF($A$5:$A$133,R_DG!A986)=0,R_DG!R986&gt;0,ISNUMBER(R_DG!R986)),R_DG!A986,"NONE")</f>
        <v>NONE</v>
      </c>
      <c r="B1112" s="85">
        <f ca="1">IF(K1112&gt;0,COUNTIF(K$6:K1112,"&gt;0"),B1111)</f>
        <v>34</v>
      </c>
      <c r="C1112" s="1084">
        <f t="shared" si="179"/>
        <v>0</v>
      </c>
      <c r="D1112" s="85">
        <f t="shared" si="180"/>
        <v>0</v>
      </c>
      <c r="E1112" s="448">
        <f ca="1">SUMIF(OFFSET(tongctvtdd1,0,-(COLUMN(E1112)+7-(COLUMN(E1112)-5)/2)),KLVT!$A1112,tongctvtdd1)+SUMIF(OFFSET(tongctvtpk1,0,-(COLUMN(E1112)+7-(COLUMN(E1112)-5)/2)),KLVT!$A1112,tongctvtpk1)</f>
        <v>0</v>
      </c>
      <c r="F1112" s="449">
        <f ca="1">SUMIF(OFFSET(cttba_vlvt1_1,0,-9,-ROW(cttba_vlvt1_1)+ROW(cttba_vltb1_1)-10),KLVT!$A1112,OFFSET(cttba_vlvt1_1,0,-4,-ROW(cttba_vlvt1_1)+ROW(cttba_vltb1_1)-10))</f>
        <v>0</v>
      </c>
      <c r="G1112" s="451">
        <f t="shared" ca="1" si="181"/>
        <v>0</v>
      </c>
      <c r="H1112" s="450">
        <f t="shared" si="185"/>
        <v>1</v>
      </c>
      <c r="I1112" s="447">
        <f t="shared" ca="1" si="182"/>
        <v>0</v>
      </c>
      <c r="J1112" s="447">
        <f t="shared" ca="1" si="183"/>
        <v>0</v>
      </c>
      <c r="K1112" s="373">
        <f t="shared" ca="1" si="184"/>
        <v>0</v>
      </c>
    </row>
    <row r="1113" spans="1:11" s="373" customFormat="1" ht="15.75" hidden="1">
      <c r="A1113" s="373" t="str">
        <f>IF(AND(COUNTIF($A$5:$A$133,R_DG!A987)=0,R_DG!R987&gt;0,ISNUMBER(R_DG!R987)),R_DG!A987,"NONE")</f>
        <v>NONE</v>
      </c>
      <c r="B1113" s="85">
        <f ca="1">IF(K1113&gt;0,COUNTIF(K$6:K1113,"&gt;0"),B1112)</f>
        <v>34</v>
      </c>
      <c r="C1113" s="1084">
        <f t="shared" si="179"/>
        <v>0</v>
      </c>
      <c r="D1113" s="85">
        <f t="shared" si="180"/>
        <v>0</v>
      </c>
      <c r="E1113" s="448">
        <f ca="1">SUMIF(OFFSET(tongctvtdd1,0,-(COLUMN(E1113)+7-(COLUMN(E1113)-5)/2)),KLVT!$A1113,tongctvtdd1)+SUMIF(OFFSET(tongctvtpk1,0,-(COLUMN(E1113)+7-(COLUMN(E1113)-5)/2)),KLVT!$A1113,tongctvtpk1)</f>
        <v>0</v>
      </c>
      <c r="F1113" s="449">
        <f ca="1">SUMIF(OFFSET(cttba_vlvt1_1,0,-9,-ROW(cttba_vlvt1_1)+ROW(cttba_vltb1_1)-10),KLVT!$A1113,OFFSET(cttba_vlvt1_1,0,-4,-ROW(cttba_vlvt1_1)+ROW(cttba_vltb1_1)-10))</f>
        <v>0</v>
      </c>
      <c r="G1113" s="451">
        <f t="shared" ca="1" si="181"/>
        <v>0</v>
      </c>
      <c r="H1113" s="450">
        <f t="shared" si="185"/>
        <v>1</v>
      </c>
      <c r="I1113" s="447">
        <f t="shared" ca="1" si="182"/>
        <v>0</v>
      </c>
      <c r="J1113" s="447">
        <f t="shared" ca="1" si="183"/>
        <v>0</v>
      </c>
      <c r="K1113" s="373">
        <f t="shared" ca="1" si="184"/>
        <v>0</v>
      </c>
    </row>
    <row r="1114" spans="1:11" s="373" customFormat="1" ht="15.75" hidden="1">
      <c r="A1114" s="373" t="str">
        <f>IF(AND(COUNTIF($A$5:$A$133,R_DG!A988)=0,R_DG!R988&gt;0,ISNUMBER(R_DG!R988)),R_DG!A988,"NONE")</f>
        <v>NONE</v>
      </c>
      <c r="B1114" s="85">
        <f ca="1">IF(K1114&gt;0,COUNTIF(K$6:K1114,"&gt;0"),B1113)</f>
        <v>34</v>
      </c>
      <c r="C1114" s="1084">
        <f t="shared" si="179"/>
        <v>0</v>
      </c>
      <c r="D1114" s="85">
        <f t="shared" si="180"/>
        <v>0</v>
      </c>
      <c r="E1114" s="448">
        <f ca="1">SUMIF(OFFSET(tongctvtdd1,0,-(COLUMN(E1114)+7-(COLUMN(E1114)-5)/2)),KLVT!$A1114,tongctvtdd1)+SUMIF(OFFSET(tongctvtpk1,0,-(COLUMN(E1114)+7-(COLUMN(E1114)-5)/2)),KLVT!$A1114,tongctvtpk1)</f>
        <v>0</v>
      </c>
      <c r="F1114" s="449">
        <f ca="1">SUMIF(OFFSET(cttba_vlvt1_1,0,-9,-ROW(cttba_vlvt1_1)+ROW(cttba_vltb1_1)-10),KLVT!$A1114,OFFSET(cttba_vlvt1_1,0,-4,-ROW(cttba_vlvt1_1)+ROW(cttba_vltb1_1)-10))</f>
        <v>0</v>
      </c>
      <c r="G1114" s="451">
        <f t="shared" ca="1" si="181"/>
        <v>0</v>
      </c>
      <c r="H1114" s="450">
        <f t="shared" si="185"/>
        <v>1</v>
      </c>
      <c r="I1114" s="447">
        <f t="shared" ca="1" si="182"/>
        <v>0</v>
      </c>
      <c r="J1114" s="447">
        <f t="shared" ca="1" si="183"/>
        <v>0</v>
      </c>
      <c r="K1114" s="373">
        <f t="shared" ca="1" si="184"/>
        <v>0</v>
      </c>
    </row>
    <row r="1115" spans="1:11" s="373" customFormat="1" ht="15.75" hidden="1">
      <c r="A1115" s="373" t="str">
        <f>IF(AND(COUNTIF($A$5:$A$133,R_DG!A989)=0,R_DG!R989&gt;0,ISNUMBER(R_DG!R989)),R_DG!A989,"NONE")</f>
        <v>NONE</v>
      </c>
      <c r="B1115" s="85">
        <f ca="1">IF(K1115&gt;0,COUNTIF(K$6:K1115,"&gt;0"),B1114)</f>
        <v>34</v>
      </c>
      <c r="C1115" s="1084">
        <f t="shared" si="179"/>
        <v>0</v>
      </c>
      <c r="D1115" s="85">
        <f t="shared" si="180"/>
        <v>0</v>
      </c>
      <c r="E1115" s="448">
        <f ca="1">SUMIF(OFFSET(tongctvtdd1,0,-(COLUMN(E1115)+7-(COLUMN(E1115)-5)/2)),KLVT!$A1115,tongctvtdd1)+SUMIF(OFFSET(tongctvtpk1,0,-(COLUMN(E1115)+7-(COLUMN(E1115)-5)/2)),KLVT!$A1115,tongctvtpk1)</f>
        <v>0</v>
      </c>
      <c r="F1115" s="449">
        <f ca="1">SUMIF(OFFSET(cttba_vlvt1_1,0,-9,-ROW(cttba_vlvt1_1)+ROW(cttba_vltb1_1)-10),KLVT!$A1115,OFFSET(cttba_vlvt1_1,0,-4,-ROW(cttba_vlvt1_1)+ROW(cttba_vltb1_1)-10))</f>
        <v>0</v>
      </c>
      <c r="G1115" s="451">
        <f t="shared" ca="1" si="181"/>
        <v>0</v>
      </c>
      <c r="H1115" s="450">
        <f t="shared" si="185"/>
        <v>1</v>
      </c>
      <c r="I1115" s="447">
        <f t="shared" ca="1" si="182"/>
        <v>0</v>
      </c>
      <c r="J1115" s="447">
        <f t="shared" ca="1" si="183"/>
        <v>0</v>
      </c>
      <c r="K1115" s="373">
        <f t="shared" ca="1" si="184"/>
        <v>0</v>
      </c>
    </row>
    <row r="1116" spans="1:11" s="373" customFormat="1" ht="15.75" hidden="1">
      <c r="A1116" s="373" t="str">
        <f>IF(AND(COUNTIF($A$5:$A$133,R_DG!A990)=0,R_DG!R990&gt;0,ISNUMBER(R_DG!R990)),R_DG!A990,"NONE")</f>
        <v>NONE</v>
      </c>
      <c r="B1116" s="85">
        <f ca="1">IF(K1116&gt;0,COUNTIF(K$6:K1116,"&gt;0"),B1115)</f>
        <v>34</v>
      </c>
      <c r="C1116" s="1084">
        <f t="shared" si="179"/>
        <v>0</v>
      </c>
      <c r="D1116" s="85">
        <f t="shared" si="180"/>
        <v>0</v>
      </c>
      <c r="E1116" s="448">
        <f ca="1">SUMIF(OFFSET(tongctvtdd1,0,-(COLUMN(E1116)+7-(COLUMN(E1116)-5)/2)),KLVT!$A1116,tongctvtdd1)+SUMIF(OFFSET(tongctvtpk1,0,-(COLUMN(E1116)+7-(COLUMN(E1116)-5)/2)),KLVT!$A1116,tongctvtpk1)</f>
        <v>0</v>
      </c>
      <c r="F1116" s="449">
        <f ca="1">SUMIF(OFFSET(cttba_vlvt1_1,0,-9,-ROW(cttba_vlvt1_1)+ROW(cttba_vltb1_1)-10),KLVT!$A1116,OFFSET(cttba_vlvt1_1,0,-4,-ROW(cttba_vlvt1_1)+ROW(cttba_vltb1_1)-10))</f>
        <v>0</v>
      </c>
      <c r="G1116" s="451">
        <f t="shared" ca="1" si="181"/>
        <v>0</v>
      </c>
      <c r="H1116" s="450">
        <f t="shared" si="185"/>
        <v>1</v>
      </c>
      <c r="I1116" s="447">
        <f t="shared" ca="1" si="182"/>
        <v>0</v>
      </c>
      <c r="J1116" s="447">
        <f t="shared" ca="1" si="183"/>
        <v>0</v>
      </c>
      <c r="K1116" s="373">
        <f t="shared" ca="1" si="184"/>
        <v>0</v>
      </c>
    </row>
    <row r="1117" spans="1:11" s="373" customFormat="1" ht="15.75" hidden="1">
      <c r="A1117" s="373" t="str">
        <f>IF(AND(COUNTIF($A$5:$A$133,R_DG!A991)=0,R_DG!R991&gt;0,ISNUMBER(R_DG!R991)),R_DG!A991,"NONE")</f>
        <v>NONE</v>
      </c>
      <c r="B1117" s="85">
        <f ca="1">IF(K1117&gt;0,COUNTIF(K$6:K1117,"&gt;0"),B1116)</f>
        <v>34</v>
      </c>
      <c r="C1117" s="1084">
        <f t="shared" si="179"/>
        <v>0</v>
      </c>
      <c r="D1117" s="85">
        <f t="shared" si="180"/>
        <v>0</v>
      </c>
      <c r="E1117" s="448">
        <f ca="1">SUMIF(OFFSET(tongctvtdd1,0,-(COLUMN(E1117)+7-(COLUMN(E1117)-5)/2)),KLVT!$A1117,tongctvtdd1)+SUMIF(OFFSET(tongctvtpk1,0,-(COLUMN(E1117)+7-(COLUMN(E1117)-5)/2)),KLVT!$A1117,tongctvtpk1)</f>
        <v>0</v>
      </c>
      <c r="F1117" s="449">
        <f ca="1">SUMIF(OFFSET(cttba_vlvt1_1,0,-9,-ROW(cttba_vlvt1_1)+ROW(cttba_vltb1_1)-10),KLVT!$A1117,OFFSET(cttba_vlvt1_1,0,-4,-ROW(cttba_vlvt1_1)+ROW(cttba_vltb1_1)-10))</f>
        <v>0</v>
      </c>
      <c r="G1117" s="451">
        <f t="shared" ca="1" si="181"/>
        <v>0</v>
      </c>
      <c r="H1117" s="450">
        <f t="shared" si="185"/>
        <v>1</v>
      </c>
      <c r="I1117" s="447">
        <f t="shared" ca="1" si="182"/>
        <v>0</v>
      </c>
      <c r="J1117" s="447">
        <f t="shared" ca="1" si="183"/>
        <v>0</v>
      </c>
      <c r="K1117" s="373">
        <f t="shared" ca="1" si="184"/>
        <v>0</v>
      </c>
    </row>
    <row r="1118" spans="1:11" s="373" customFormat="1" ht="15.75" hidden="1">
      <c r="A1118" s="373" t="str">
        <f>IF(AND(COUNTIF($A$5:$A$133,R_DG!A992)=0,R_DG!R992&gt;0,ISNUMBER(R_DG!R992)),R_DG!A992,"NONE")</f>
        <v>NONE</v>
      </c>
      <c r="B1118" s="85">
        <f ca="1">IF(K1118&gt;0,COUNTIF(K$6:K1118,"&gt;0"),B1117)</f>
        <v>34</v>
      </c>
      <c r="C1118" s="1084">
        <f t="shared" si="179"/>
        <v>0</v>
      </c>
      <c r="D1118" s="85">
        <f t="shared" si="180"/>
        <v>0</v>
      </c>
      <c r="E1118" s="448">
        <f ca="1">SUMIF(OFFSET(tongctvtdd1,0,-(COLUMN(E1118)+7-(COLUMN(E1118)-5)/2)),KLVT!$A1118,tongctvtdd1)+SUMIF(OFFSET(tongctvtpk1,0,-(COLUMN(E1118)+7-(COLUMN(E1118)-5)/2)),KLVT!$A1118,tongctvtpk1)</f>
        <v>0</v>
      </c>
      <c r="F1118" s="449">
        <f ca="1">SUMIF(OFFSET(cttba_vlvt1_1,0,-9,-ROW(cttba_vlvt1_1)+ROW(cttba_vltb1_1)-10),KLVT!$A1118,OFFSET(cttba_vlvt1_1,0,-4,-ROW(cttba_vlvt1_1)+ROW(cttba_vltb1_1)-10))</f>
        <v>0</v>
      </c>
      <c r="G1118" s="451">
        <f t="shared" ca="1" si="181"/>
        <v>0</v>
      </c>
      <c r="H1118" s="450">
        <f t="shared" si="185"/>
        <v>1</v>
      </c>
      <c r="I1118" s="447">
        <f t="shared" ca="1" si="182"/>
        <v>0</v>
      </c>
      <c r="J1118" s="447">
        <f t="shared" ca="1" si="183"/>
        <v>0</v>
      </c>
      <c r="K1118" s="373">
        <f t="shared" ca="1" si="184"/>
        <v>0</v>
      </c>
    </row>
    <row r="1119" spans="1:11" s="373" customFormat="1" ht="15.75" hidden="1">
      <c r="A1119" s="373" t="str">
        <f>IF(AND(COUNTIF($A$5:$A$133,R_DG!A993)=0,R_DG!R993&gt;0,ISNUMBER(R_DG!R993)),R_DG!A993,"NONE")</f>
        <v>NONE</v>
      </c>
      <c r="B1119" s="85">
        <f ca="1">IF(K1119&gt;0,COUNTIF(K$6:K1119,"&gt;0"),B1118)</f>
        <v>34</v>
      </c>
      <c r="C1119" s="1084">
        <f t="shared" si="179"/>
        <v>0</v>
      </c>
      <c r="D1119" s="85">
        <f t="shared" si="180"/>
        <v>0</v>
      </c>
      <c r="E1119" s="448">
        <f ca="1">SUMIF(OFFSET(tongctvtdd1,0,-(COLUMN(E1119)+7-(COLUMN(E1119)-5)/2)),KLVT!$A1119,tongctvtdd1)+SUMIF(OFFSET(tongctvtpk1,0,-(COLUMN(E1119)+7-(COLUMN(E1119)-5)/2)),KLVT!$A1119,tongctvtpk1)</f>
        <v>0</v>
      </c>
      <c r="F1119" s="449">
        <f ca="1">SUMIF(OFFSET(cttba_vlvt1_1,0,-9,-ROW(cttba_vlvt1_1)+ROW(cttba_vltb1_1)-10),KLVT!$A1119,OFFSET(cttba_vlvt1_1,0,-4,-ROW(cttba_vlvt1_1)+ROW(cttba_vltb1_1)-10))</f>
        <v>0</v>
      </c>
      <c r="G1119" s="451">
        <f t="shared" ca="1" si="181"/>
        <v>0</v>
      </c>
      <c r="H1119" s="450">
        <f t="shared" si="185"/>
        <v>1</v>
      </c>
      <c r="I1119" s="447">
        <f t="shared" ca="1" si="182"/>
        <v>0</v>
      </c>
      <c r="J1119" s="447">
        <f t="shared" ca="1" si="183"/>
        <v>0</v>
      </c>
      <c r="K1119" s="373">
        <f t="shared" ca="1" si="184"/>
        <v>0</v>
      </c>
    </row>
    <row r="1120" spans="1:11" s="373" customFormat="1" ht="15.75" hidden="1">
      <c r="A1120" s="373" t="str">
        <f>IF(AND(COUNTIF($A$5:$A$133,R_DG!A994)=0,R_DG!R994&gt;0,ISNUMBER(R_DG!R994)),R_DG!A994,"NONE")</f>
        <v>NONE</v>
      </c>
      <c r="B1120" s="85">
        <f ca="1">IF(K1120&gt;0,COUNTIF(K$6:K1120,"&gt;0"),B1119)</f>
        <v>34</v>
      </c>
      <c r="C1120" s="1084">
        <f t="shared" si="179"/>
        <v>0</v>
      </c>
      <c r="D1120" s="85">
        <f t="shared" si="180"/>
        <v>0</v>
      </c>
      <c r="E1120" s="448">
        <f ca="1">SUMIF(OFFSET(tongctvtdd1,0,-(COLUMN(E1120)+7-(COLUMN(E1120)-5)/2)),KLVT!$A1120,tongctvtdd1)+SUMIF(OFFSET(tongctvtpk1,0,-(COLUMN(E1120)+7-(COLUMN(E1120)-5)/2)),KLVT!$A1120,tongctvtpk1)</f>
        <v>0</v>
      </c>
      <c r="F1120" s="449">
        <f ca="1">SUMIF(OFFSET(cttba_vlvt1_1,0,-9,-ROW(cttba_vlvt1_1)+ROW(cttba_vltb1_1)-10),KLVT!$A1120,OFFSET(cttba_vlvt1_1,0,-4,-ROW(cttba_vlvt1_1)+ROW(cttba_vltb1_1)-10))</f>
        <v>0</v>
      </c>
      <c r="G1120" s="451">
        <f t="shared" ca="1" si="181"/>
        <v>0</v>
      </c>
      <c r="H1120" s="450">
        <f t="shared" si="185"/>
        <v>1</v>
      </c>
      <c r="I1120" s="447">
        <f t="shared" ca="1" si="182"/>
        <v>0</v>
      </c>
      <c r="J1120" s="447">
        <f t="shared" ca="1" si="183"/>
        <v>0</v>
      </c>
      <c r="K1120" s="373">
        <f t="shared" ca="1" si="184"/>
        <v>0</v>
      </c>
    </row>
    <row r="1121" spans="1:11" s="373" customFormat="1" ht="15.75" hidden="1">
      <c r="A1121" s="373" t="str">
        <f>IF(AND(COUNTIF($A$5:$A$133,R_DG!A995)=0,R_DG!R995&gt;0,ISNUMBER(R_DG!R995)),R_DG!A995,"NONE")</f>
        <v>NONE</v>
      </c>
      <c r="B1121" s="85">
        <f ca="1">IF(K1121&gt;0,COUNTIF(K$6:K1121,"&gt;0"),B1120)</f>
        <v>34</v>
      </c>
      <c r="C1121" s="1084">
        <f t="shared" si="179"/>
        <v>0</v>
      </c>
      <c r="D1121" s="85">
        <f t="shared" si="180"/>
        <v>0</v>
      </c>
      <c r="E1121" s="448">
        <f ca="1">SUMIF(OFFSET(tongctvtdd1,0,-(COLUMN(E1121)+7-(COLUMN(E1121)-5)/2)),KLVT!$A1121,tongctvtdd1)+SUMIF(OFFSET(tongctvtpk1,0,-(COLUMN(E1121)+7-(COLUMN(E1121)-5)/2)),KLVT!$A1121,tongctvtpk1)</f>
        <v>0</v>
      </c>
      <c r="F1121" s="449">
        <f ca="1">SUMIF(OFFSET(cttba_vlvt1_1,0,-9,-ROW(cttba_vlvt1_1)+ROW(cttba_vltb1_1)-10),KLVT!$A1121,OFFSET(cttba_vlvt1_1,0,-4,-ROW(cttba_vlvt1_1)+ROW(cttba_vltb1_1)-10))</f>
        <v>0</v>
      </c>
      <c r="G1121" s="451">
        <f t="shared" ca="1" si="181"/>
        <v>0</v>
      </c>
      <c r="H1121" s="450">
        <f t="shared" si="185"/>
        <v>1</v>
      </c>
      <c r="I1121" s="447">
        <f t="shared" ca="1" si="182"/>
        <v>0</v>
      </c>
      <c r="J1121" s="447">
        <f t="shared" ca="1" si="183"/>
        <v>0</v>
      </c>
      <c r="K1121" s="373">
        <f t="shared" ca="1" si="184"/>
        <v>0</v>
      </c>
    </row>
    <row r="1122" spans="1:11" s="373" customFormat="1" ht="15.75" hidden="1">
      <c r="A1122" s="373" t="str">
        <f>IF(AND(COUNTIF($A$5:$A$133,R_DG!A996)=0,R_DG!R996&gt;0,ISNUMBER(R_DG!R996)),R_DG!A996,"NONE")</f>
        <v>NONE</v>
      </c>
      <c r="B1122" s="85">
        <f ca="1">IF(K1122&gt;0,COUNTIF(K$6:K1122,"&gt;0"),B1121)</f>
        <v>34</v>
      </c>
      <c r="C1122" s="1084">
        <f t="shared" si="179"/>
        <v>0</v>
      </c>
      <c r="D1122" s="85">
        <f t="shared" si="180"/>
        <v>0</v>
      </c>
      <c r="E1122" s="448">
        <f ca="1">SUMIF(OFFSET(tongctvtdd1,0,-(COLUMN(E1122)+7-(COLUMN(E1122)-5)/2)),KLVT!$A1122,tongctvtdd1)+SUMIF(OFFSET(tongctvtpk1,0,-(COLUMN(E1122)+7-(COLUMN(E1122)-5)/2)),KLVT!$A1122,tongctvtpk1)</f>
        <v>0</v>
      </c>
      <c r="F1122" s="449">
        <f ca="1">SUMIF(OFFSET(cttba_vlvt1_1,0,-9,-ROW(cttba_vlvt1_1)+ROW(cttba_vltb1_1)-10),KLVT!$A1122,OFFSET(cttba_vlvt1_1,0,-4,-ROW(cttba_vlvt1_1)+ROW(cttba_vltb1_1)-10))</f>
        <v>0</v>
      </c>
      <c r="G1122" s="451">
        <f t="shared" ca="1" si="181"/>
        <v>0</v>
      </c>
      <c r="H1122" s="450">
        <f t="shared" si="185"/>
        <v>1</v>
      </c>
      <c r="I1122" s="447">
        <f t="shared" ca="1" si="182"/>
        <v>0</v>
      </c>
      <c r="J1122" s="447">
        <f t="shared" ca="1" si="183"/>
        <v>0</v>
      </c>
      <c r="K1122" s="373">
        <f t="shared" ca="1" si="184"/>
        <v>0</v>
      </c>
    </row>
    <row r="1123" spans="1:11" s="373" customFormat="1" ht="15.75" hidden="1">
      <c r="A1123" s="373" t="str">
        <f>IF(AND(COUNTIF($A$5:$A$133,R_DG!A997)=0,R_DG!R997&gt;0,ISNUMBER(R_DG!R997)),R_DG!A997,"NONE")</f>
        <v>NONE</v>
      </c>
      <c r="B1123" s="85">
        <f ca="1">IF(K1123&gt;0,COUNTIF(K$6:K1123,"&gt;0"),B1122)</f>
        <v>34</v>
      </c>
      <c r="C1123" s="1084">
        <f t="shared" si="179"/>
        <v>0</v>
      </c>
      <c r="D1123" s="85">
        <f t="shared" si="180"/>
        <v>0</v>
      </c>
      <c r="E1123" s="448">
        <f ca="1">SUMIF(OFFSET(tongctvtdd1,0,-(COLUMN(E1123)+7-(COLUMN(E1123)-5)/2)),KLVT!$A1123,tongctvtdd1)+SUMIF(OFFSET(tongctvtpk1,0,-(COLUMN(E1123)+7-(COLUMN(E1123)-5)/2)),KLVT!$A1123,tongctvtpk1)</f>
        <v>0</v>
      </c>
      <c r="F1123" s="449">
        <f ca="1">SUMIF(OFFSET(cttba_vlvt1_1,0,-9,-ROW(cttba_vlvt1_1)+ROW(cttba_vltb1_1)-10),KLVT!$A1123,OFFSET(cttba_vlvt1_1,0,-4,-ROW(cttba_vlvt1_1)+ROW(cttba_vltb1_1)-10))</f>
        <v>0</v>
      </c>
      <c r="G1123" s="451">
        <f t="shared" ca="1" si="181"/>
        <v>0</v>
      </c>
      <c r="H1123" s="450">
        <f t="shared" si="185"/>
        <v>1</v>
      </c>
      <c r="I1123" s="447">
        <f t="shared" ca="1" si="182"/>
        <v>0</v>
      </c>
      <c r="J1123" s="447">
        <f t="shared" ca="1" si="183"/>
        <v>0</v>
      </c>
      <c r="K1123" s="373">
        <f t="shared" ca="1" si="184"/>
        <v>0</v>
      </c>
    </row>
    <row r="1124" spans="1:11" s="373" customFormat="1" ht="15.75" hidden="1">
      <c r="A1124" s="373" t="str">
        <f>IF(AND(COUNTIF($A$5:$A$133,R_DG!A998)=0,R_DG!R998&gt;0,ISNUMBER(R_DG!R998)),R_DG!A998,"NONE")</f>
        <v>NONE</v>
      </c>
      <c r="B1124" s="85">
        <f ca="1">IF(K1124&gt;0,COUNTIF(K$6:K1124,"&gt;0"),B1123)</f>
        <v>34</v>
      </c>
      <c r="C1124" s="1084">
        <f t="shared" si="179"/>
        <v>0</v>
      </c>
      <c r="D1124" s="85">
        <f t="shared" si="180"/>
        <v>0</v>
      </c>
      <c r="E1124" s="448">
        <f ca="1">SUMIF(OFFSET(tongctvtdd1,0,-(COLUMN(E1124)+7-(COLUMN(E1124)-5)/2)),KLVT!$A1124,tongctvtdd1)+SUMIF(OFFSET(tongctvtpk1,0,-(COLUMN(E1124)+7-(COLUMN(E1124)-5)/2)),KLVT!$A1124,tongctvtpk1)</f>
        <v>0</v>
      </c>
      <c r="F1124" s="449">
        <f ca="1">SUMIF(OFFSET(cttba_vlvt1_1,0,-9,-ROW(cttba_vlvt1_1)+ROW(cttba_vltb1_1)-10),KLVT!$A1124,OFFSET(cttba_vlvt1_1,0,-4,-ROW(cttba_vlvt1_1)+ROW(cttba_vltb1_1)-10))</f>
        <v>0</v>
      </c>
      <c r="G1124" s="451">
        <f t="shared" ca="1" si="181"/>
        <v>0</v>
      </c>
      <c r="H1124" s="450">
        <f t="shared" si="185"/>
        <v>1</v>
      </c>
      <c r="I1124" s="447">
        <f t="shared" ca="1" si="182"/>
        <v>0</v>
      </c>
      <c r="J1124" s="447">
        <f t="shared" ca="1" si="183"/>
        <v>0</v>
      </c>
      <c r="K1124" s="373">
        <f t="shared" ca="1" si="184"/>
        <v>0</v>
      </c>
    </row>
    <row r="1125" spans="1:11" s="373" customFormat="1" ht="15.75" hidden="1">
      <c r="A1125" s="373" t="str">
        <f>IF(AND(COUNTIF($A$5:$A$133,R_DG!A999)=0,R_DG!R999&gt;0,ISNUMBER(R_DG!R999)),R_DG!A999,"NONE")</f>
        <v>NONE</v>
      </c>
      <c r="B1125" s="85">
        <f ca="1">IF(K1125&gt;0,COUNTIF(K$6:K1125,"&gt;0"),B1124)</f>
        <v>34</v>
      </c>
      <c r="C1125" s="1084">
        <f t="shared" si="179"/>
        <v>0</v>
      </c>
      <c r="D1125" s="85">
        <f t="shared" si="180"/>
        <v>0</v>
      </c>
      <c r="E1125" s="448">
        <f ca="1">SUMIF(OFFSET(tongctvtdd1,0,-(COLUMN(E1125)+7-(COLUMN(E1125)-5)/2)),KLVT!$A1125,tongctvtdd1)+SUMIF(OFFSET(tongctvtpk1,0,-(COLUMN(E1125)+7-(COLUMN(E1125)-5)/2)),KLVT!$A1125,tongctvtpk1)</f>
        <v>0</v>
      </c>
      <c r="F1125" s="449">
        <f ca="1">SUMIF(OFFSET(cttba_vlvt1_1,0,-9,-ROW(cttba_vlvt1_1)+ROW(cttba_vltb1_1)-10),KLVT!$A1125,OFFSET(cttba_vlvt1_1,0,-4,-ROW(cttba_vlvt1_1)+ROW(cttba_vltb1_1)-10))</f>
        <v>0</v>
      </c>
      <c r="G1125" s="451">
        <f t="shared" ca="1" si="181"/>
        <v>0</v>
      </c>
      <c r="H1125" s="450">
        <f t="shared" si="185"/>
        <v>1</v>
      </c>
      <c r="I1125" s="447">
        <f t="shared" ca="1" si="182"/>
        <v>0</v>
      </c>
      <c r="J1125" s="447">
        <f t="shared" ca="1" si="183"/>
        <v>0</v>
      </c>
      <c r="K1125" s="373">
        <f t="shared" ca="1" si="184"/>
        <v>0</v>
      </c>
    </row>
    <row r="1126" spans="1:11" s="373" customFormat="1" ht="15.75" hidden="1">
      <c r="A1126" s="373" t="str">
        <f>IF(AND(COUNTIF($A$5:$A$133,R_DG!A1000)=0,R_DG!R1000&gt;0,ISNUMBER(R_DG!R1000)),R_DG!A1000,"NONE")</f>
        <v>NONE</v>
      </c>
      <c r="B1126" s="85">
        <f ca="1">IF(K1126&gt;0,COUNTIF(K$6:K1126,"&gt;0"),B1125)</f>
        <v>34</v>
      </c>
      <c r="C1126" s="1084">
        <f t="shared" si="179"/>
        <v>0</v>
      </c>
      <c r="D1126" s="85">
        <f t="shared" si="180"/>
        <v>0</v>
      </c>
      <c r="E1126" s="448">
        <f ca="1">SUMIF(OFFSET(tongctvtdd1,0,-(COLUMN(E1126)+7-(COLUMN(E1126)-5)/2)),KLVT!$A1126,tongctvtdd1)+SUMIF(OFFSET(tongctvtpk1,0,-(COLUMN(E1126)+7-(COLUMN(E1126)-5)/2)),KLVT!$A1126,tongctvtpk1)</f>
        <v>0</v>
      </c>
      <c r="F1126" s="449">
        <f ca="1">SUMIF(OFFSET(cttba_vlvt1_1,0,-9,-ROW(cttba_vlvt1_1)+ROW(cttba_vltb1_1)-10),KLVT!$A1126,OFFSET(cttba_vlvt1_1,0,-4,-ROW(cttba_vlvt1_1)+ROW(cttba_vltb1_1)-10))</f>
        <v>0</v>
      </c>
      <c r="G1126" s="451">
        <f t="shared" ca="1" si="181"/>
        <v>0</v>
      </c>
      <c r="H1126" s="450">
        <f t="shared" si="185"/>
        <v>1</v>
      </c>
      <c r="I1126" s="447">
        <f t="shared" ca="1" si="182"/>
        <v>0</v>
      </c>
      <c r="J1126" s="447">
        <f t="shared" ca="1" si="183"/>
        <v>0</v>
      </c>
      <c r="K1126" s="373">
        <f t="shared" ca="1" si="184"/>
        <v>0</v>
      </c>
    </row>
    <row r="1127" spans="1:11" s="373" customFormat="1" ht="15.75" hidden="1">
      <c r="A1127" s="373" t="str">
        <f>IF(AND(COUNTIF($A$5:$A$133,R_DG!A1001)=0,R_DG!R1001&gt;0,ISNUMBER(R_DG!R1001)),R_DG!A1001,"NONE")</f>
        <v>DK1P100A</v>
      </c>
      <c r="B1127" s="85">
        <f ca="1">IF(K1127&gt;0,COUNTIF(K$6:K1127,"&gt;0"),B1126)</f>
        <v>34</v>
      </c>
      <c r="C1127" s="1084" t="str">
        <f t="shared" si="179"/>
        <v>Điện kế 1 pha 2 dây 220V-100A</v>
      </c>
      <c r="D1127" s="85" t="str">
        <f t="shared" si="180"/>
        <v>cái</v>
      </c>
      <c r="E1127" s="448">
        <f ca="1">SUMIF(OFFSET(tongctvtdd1,0,-(COLUMN(E1127)+7-(COLUMN(E1127)-5)/2)),KLVT!$A1127,tongctvtdd1)+SUMIF(OFFSET(tongctvtpk1,0,-(COLUMN(E1127)+7-(COLUMN(E1127)-5)/2)),KLVT!$A1127,tongctvtpk1)</f>
        <v>0</v>
      </c>
      <c r="F1127" s="449">
        <f ca="1">SUMIF(OFFSET(cttba_vlvt1_1,0,-9,-ROW(cttba_vlvt1_1)+ROW(cttba_vltb1_1)-10),KLVT!$A1127,OFFSET(cttba_vlvt1_1,0,-4,-ROW(cttba_vlvt1_1)+ROW(cttba_vltb1_1)-10))</f>
        <v>0</v>
      </c>
      <c r="G1127" s="451">
        <f t="shared" ca="1" si="181"/>
        <v>0</v>
      </c>
      <c r="H1127" s="450">
        <f t="shared" si="185"/>
        <v>0.8</v>
      </c>
      <c r="I1127" s="447">
        <f t="shared" ca="1" si="182"/>
        <v>0</v>
      </c>
      <c r="J1127" s="447">
        <f t="shared" ca="1" si="183"/>
        <v>0</v>
      </c>
      <c r="K1127" s="373">
        <f t="shared" ca="1" si="184"/>
        <v>0</v>
      </c>
    </row>
    <row r="1128" spans="1:11" s="373" customFormat="1" ht="15.75" hidden="1">
      <c r="A1128" s="373" t="str">
        <f>IF(AND(COUNTIF($A$5:$A$133,R_DG!A1002)=0,R_DG!R1002&gt;0,ISNUMBER(R_DG!R1002)),R_DG!A1002,"NONE")</f>
        <v>DK1P80A</v>
      </c>
      <c r="B1128" s="85">
        <f ca="1">IF(K1128&gt;0,COUNTIF(K$6:K1128,"&gt;0"),B1127)</f>
        <v>34</v>
      </c>
      <c r="C1128" s="1084" t="str">
        <f t="shared" si="179"/>
        <v>Điện kế 1 pha 2 dây 220V-80A</v>
      </c>
      <c r="D1128" s="85" t="str">
        <f t="shared" si="180"/>
        <v>cái</v>
      </c>
      <c r="E1128" s="448">
        <f ca="1">SUMIF(OFFSET(tongctvtdd1,0,-(COLUMN(E1128)+7-(COLUMN(E1128)-5)/2)),KLVT!$A1128,tongctvtdd1)+SUMIF(OFFSET(tongctvtpk1,0,-(COLUMN(E1128)+7-(COLUMN(E1128)-5)/2)),KLVT!$A1128,tongctvtpk1)</f>
        <v>0</v>
      </c>
      <c r="F1128" s="449">
        <f ca="1">SUMIF(OFFSET(cttba_vlvt1_1,0,-9,-ROW(cttba_vlvt1_1)+ROW(cttba_vltb1_1)-10),KLVT!$A1128,OFFSET(cttba_vlvt1_1,0,-4,-ROW(cttba_vlvt1_1)+ROW(cttba_vltb1_1)-10))</f>
        <v>0</v>
      </c>
      <c r="G1128" s="451">
        <f t="shared" ca="1" si="181"/>
        <v>0</v>
      </c>
      <c r="H1128" s="450">
        <f t="shared" si="185"/>
        <v>0.8</v>
      </c>
      <c r="I1128" s="447">
        <f t="shared" ca="1" si="182"/>
        <v>0</v>
      </c>
      <c r="J1128" s="447">
        <f t="shared" ca="1" si="183"/>
        <v>0</v>
      </c>
      <c r="K1128" s="373">
        <f t="shared" ca="1" si="184"/>
        <v>0</v>
      </c>
    </row>
    <row r="1129" spans="1:11" s="373" customFormat="1" ht="15.75" hidden="1">
      <c r="A1129" s="373" t="str">
        <f>IF(AND(COUNTIF($A$5:$A$133,R_DG!A1003)=0,R_DG!R1003&gt;0,ISNUMBER(R_DG!R1003)),R_DG!A1003,"NONE")</f>
        <v>DK1P5A</v>
      </c>
      <c r="B1129" s="85">
        <f ca="1">IF(K1129&gt;0,COUNTIF(K$6:K1129,"&gt;0"),B1128)</f>
        <v>34</v>
      </c>
      <c r="C1129" s="1084" t="str">
        <f t="shared" si="179"/>
        <v>Điện kế 1 pha 2 dây 220V-5A</v>
      </c>
      <c r="D1129" s="85" t="str">
        <f t="shared" si="180"/>
        <v>cái</v>
      </c>
      <c r="E1129" s="448">
        <f ca="1">SUMIF(OFFSET(tongctvtdd1,0,-(COLUMN(E1129)+7-(COLUMN(E1129)-5)/2)),KLVT!$A1129,tongctvtdd1)+SUMIF(OFFSET(tongctvtpk1,0,-(COLUMN(E1129)+7-(COLUMN(E1129)-5)/2)),KLVT!$A1129,tongctvtpk1)</f>
        <v>0</v>
      </c>
      <c r="F1129" s="449">
        <f ca="1">SUMIF(OFFSET(cttba_vlvt1_1,0,-9,-ROW(cttba_vlvt1_1)+ROW(cttba_vltb1_1)-10),KLVT!$A1129,OFFSET(cttba_vlvt1_1,0,-4,-ROW(cttba_vlvt1_1)+ROW(cttba_vltb1_1)-10))</f>
        <v>0</v>
      </c>
      <c r="G1129" s="451">
        <f t="shared" ca="1" si="181"/>
        <v>0</v>
      </c>
      <c r="H1129" s="450">
        <f t="shared" si="185"/>
        <v>1</v>
      </c>
      <c r="I1129" s="447">
        <f t="shared" ca="1" si="182"/>
        <v>0</v>
      </c>
      <c r="J1129" s="447">
        <f t="shared" ca="1" si="183"/>
        <v>0</v>
      </c>
      <c r="K1129" s="373">
        <f t="shared" ca="1" si="184"/>
        <v>0</v>
      </c>
    </row>
    <row r="1130" spans="1:11" s="373" customFormat="1" ht="15.75" hidden="1">
      <c r="A1130" s="373" t="str">
        <f>IF(AND(COUNTIF($A$5:$A$133,R_DG!A1004)=0,R_DG!R1004&gt;0,ISNUMBER(R_DG!R1004)),R_DG!A1004,"NONE")</f>
        <v>DK3P50A</v>
      </c>
      <c r="B1130" s="85">
        <f ca="1">IF(K1130&gt;0,COUNTIF(K$6:K1130,"&gt;0"),B1129)</f>
        <v>34</v>
      </c>
      <c r="C1130" s="1084" t="str">
        <f t="shared" si="179"/>
        <v>Điện kế 3 pha 4 dây 220/380V-50A</v>
      </c>
      <c r="D1130" s="85" t="str">
        <f t="shared" si="180"/>
        <v>cái</v>
      </c>
      <c r="E1130" s="448">
        <f ca="1">SUMIF(OFFSET(tongctvtdd1,0,-(COLUMN(E1130)+7-(COLUMN(E1130)-5)/2)),KLVT!$A1130,tongctvtdd1)+SUMIF(OFFSET(tongctvtpk1,0,-(COLUMN(E1130)+7-(COLUMN(E1130)-5)/2)),KLVT!$A1130,tongctvtpk1)</f>
        <v>0</v>
      </c>
      <c r="F1130" s="449">
        <f ca="1">SUMIF(OFFSET(cttba_vlvt1_1,0,-9,-ROW(cttba_vlvt1_1)+ROW(cttba_vltb1_1)-10),KLVT!$A1130,OFFSET(cttba_vlvt1_1,0,-4,-ROW(cttba_vlvt1_1)+ROW(cttba_vltb1_1)-10))</f>
        <v>0</v>
      </c>
      <c r="G1130" s="451">
        <f t="shared" ca="1" si="181"/>
        <v>0</v>
      </c>
      <c r="H1130" s="450">
        <f t="shared" si="185"/>
        <v>1.5</v>
      </c>
      <c r="I1130" s="447">
        <f t="shared" ca="1" si="182"/>
        <v>0</v>
      </c>
      <c r="J1130" s="447">
        <f t="shared" ca="1" si="183"/>
        <v>0</v>
      </c>
      <c r="K1130" s="373">
        <f t="shared" ca="1" si="184"/>
        <v>0</v>
      </c>
    </row>
    <row r="1131" spans="1:11" s="373" customFormat="1" ht="15.75" hidden="1">
      <c r="A1131" s="373" t="str">
        <f>IF(AND(COUNTIF($A$5:$A$133,R_DG!A1005)=0,R_DG!R1005&gt;0,ISNUMBER(R_DG!R1005)),R_DG!A1005,"NONE")</f>
        <v>DK3P5A</v>
      </c>
      <c r="B1131" s="85">
        <f ca="1">IF(K1131&gt;0,COUNTIF(K$6:K1131,"&gt;0"),B1130)</f>
        <v>34</v>
      </c>
      <c r="C1131" s="1084" t="str">
        <f t="shared" si="179"/>
        <v>Điện kế 3 pha 4 dây 220/380V-5A</v>
      </c>
      <c r="D1131" s="85" t="str">
        <f t="shared" si="180"/>
        <v>cái</v>
      </c>
      <c r="E1131" s="448">
        <f ca="1">SUMIF(OFFSET(tongctvtdd1,0,-(COLUMN(E1131)+7-(COLUMN(E1131)-5)/2)),KLVT!$A1131,tongctvtdd1)+SUMIF(OFFSET(tongctvtpk1,0,-(COLUMN(E1131)+7-(COLUMN(E1131)-5)/2)),KLVT!$A1131,tongctvtpk1)</f>
        <v>0</v>
      </c>
      <c r="F1131" s="449">
        <f ca="1">SUMIF(OFFSET(cttba_vlvt1_1,0,-9,-ROW(cttba_vlvt1_1)+ROW(cttba_vltb1_1)-10),KLVT!$A1131,OFFSET(cttba_vlvt1_1,0,-4,-ROW(cttba_vlvt1_1)+ROW(cttba_vltb1_1)-10))</f>
        <v>0</v>
      </c>
      <c r="G1131" s="451">
        <f t="shared" ca="1" si="181"/>
        <v>0</v>
      </c>
      <c r="H1131" s="450">
        <f t="shared" si="185"/>
        <v>1.5</v>
      </c>
      <c r="I1131" s="447">
        <f t="shared" ca="1" si="182"/>
        <v>0</v>
      </c>
      <c r="J1131" s="447">
        <f t="shared" ca="1" si="183"/>
        <v>0</v>
      </c>
      <c r="K1131" s="373">
        <f t="shared" ca="1" si="184"/>
        <v>0</v>
      </c>
    </row>
    <row r="1132" spans="1:11" s="373" customFormat="1" ht="15.75" hidden="1">
      <c r="A1132" s="373" t="str">
        <f>IF(AND(COUNTIF($A$5:$A$133,R_DG!A1006)=0,R_DG!R1006&gt;0,ISNUMBER(R_DG!R1006)),R_DG!A1006,"NONE")</f>
        <v>DK3DT</v>
      </c>
      <c r="B1132" s="85">
        <f ca="1">IF(K1132&gt;0,COUNTIF(K$6:K1132,"&gt;0"),B1131)</f>
        <v>34</v>
      </c>
      <c r="C1132" s="1084" t="str">
        <f t="shared" si="179"/>
        <v>Điện kế 3 pha điện tử 120(60)V-5A</v>
      </c>
      <c r="D1132" s="85" t="str">
        <f t="shared" si="180"/>
        <v>cái</v>
      </c>
      <c r="E1132" s="448">
        <f ca="1">SUMIF(OFFSET(tongctvtdd1,0,-(COLUMN(E1132)+7-(COLUMN(E1132)-5)/2)),KLVT!$A1132,tongctvtdd1)+SUMIF(OFFSET(tongctvtpk1,0,-(COLUMN(E1132)+7-(COLUMN(E1132)-5)/2)),KLVT!$A1132,tongctvtpk1)</f>
        <v>0</v>
      </c>
      <c r="F1132" s="449">
        <f ca="1">SUMIF(OFFSET(cttba_vlvt1_1,0,-9,-ROW(cttba_vlvt1_1)+ROW(cttba_vltb1_1)-10),KLVT!$A1132,OFFSET(cttba_vlvt1_1,0,-4,-ROW(cttba_vlvt1_1)+ROW(cttba_vltb1_1)-10))</f>
        <v>0</v>
      </c>
      <c r="G1132" s="451">
        <f t="shared" ca="1" si="181"/>
        <v>0</v>
      </c>
      <c r="H1132" s="450">
        <f t="shared" si="185"/>
        <v>1.5</v>
      </c>
      <c r="I1132" s="447">
        <f t="shared" ca="1" si="182"/>
        <v>0</v>
      </c>
      <c r="J1132" s="447">
        <f t="shared" ca="1" si="183"/>
        <v>0</v>
      </c>
      <c r="K1132" s="373">
        <f t="shared" ca="1" si="184"/>
        <v>0</v>
      </c>
    </row>
    <row r="1133" spans="1:11" s="373" customFormat="1" hidden="1">
      <c r="A1133" s="373" t="str">
        <f>IF(AND(COUNTIF($A$5:$A$133,R_DG!A1007)=0,R_DG!R1007&gt;0,ISNUMBER(R_DG!R1007)),R_DG!A1007,"NONE")</f>
        <v>DK3P</v>
      </c>
      <c r="B1133" s="85">
        <f ca="1">IF(K1133&gt;0,COUNTIF(K$6:K1133,"&gt;0"),B1132)</f>
        <v>34</v>
      </c>
      <c r="C1133" s="1084" t="str">
        <f t="shared" si="179"/>
        <v>Điện năng kế 3 pha 380V-5A</v>
      </c>
      <c r="D1133" s="85" t="str">
        <f t="shared" si="180"/>
        <v>cái</v>
      </c>
      <c r="E1133" s="448">
        <f ca="1">SUMIF(OFFSET(tongctvtdd1,0,-(COLUMN(E1133)+7-(COLUMN(E1133)-5)/2)),KLVT!$A1133,tongctvtdd1)+SUMIF(OFFSET(tongctvtpk1,0,-(COLUMN(E1133)+7-(COLUMN(E1133)-5)/2)),KLVT!$A1133,tongctvtpk1)</f>
        <v>0</v>
      </c>
      <c r="F1133" s="449">
        <f ca="1">SUMIF(OFFSET(cttba_vlvt1_1,0,-9,-ROW(cttba_vlvt1_1)+ROW(cttba_vltb1_1)-10),KLVT!$A1133,OFFSET(cttba_vlvt1_1,0,-4,-ROW(cttba_vlvt1_1)+ROW(cttba_vltb1_1)-10))</f>
        <v>0</v>
      </c>
      <c r="G1133" s="451">
        <f t="shared" ca="1" si="181"/>
        <v>0</v>
      </c>
      <c r="H1133" s="450">
        <f t="shared" si="185"/>
        <v>1.5</v>
      </c>
      <c r="I1133" s="447">
        <f t="shared" ca="1" si="182"/>
        <v>0</v>
      </c>
      <c r="J1133" s="447">
        <f t="shared" ca="1" si="183"/>
        <v>0</v>
      </c>
      <c r="K1133" s="1094">
        <f t="shared" ca="1" si="184"/>
        <v>0</v>
      </c>
    </row>
    <row r="1134" spans="1:11" s="373" customFormat="1" hidden="1">
      <c r="A1134" s="373" t="str">
        <f>IF(AND(COUNTIF($A$5:$A$133,R_DG!A1008)=0,R_DG!R1008&gt;0,ISNUMBER(R_DG!R1008)),R_DG!A1008,"NONE")</f>
        <v>BANG</v>
      </c>
      <c r="B1134" s="85">
        <f ca="1">IF(K1134&gt;0,COUNTIF(K$6:K1134,"&gt;0"),B1133)</f>
        <v>34</v>
      </c>
      <c r="C1134" s="1084" t="str">
        <f t="shared" si="179"/>
        <v>Bảng tên trạm, bảng báo nguy hiểm</v>
      </c>
      <c r="D1134" s="85" t="str">
        <f t="shared" si="180"/>
        <v>bộ</v>
      </c>
      <c r="E1134" s="448">
        <f ca="1">SUMIF(OFFSET(tongctvtdd1,0,-(COLUMN(E1134)+7-(COLUMN(E1134)-5)/2)),KLVT!$A1134,tongctvtdd1)+SUMIF(OFFSET(tongctvtpk1,0,-(COLUMN(E1134)+7-(COLUMN(E1134)-5)/2)),KLVT!$A1134,tongctvtpk1)</f>
        <v>0</v>
      </c>
      <c r="F1134" s="449">
        <f ca="1">SUMIF(OFFSET(cttba_vlvt1_1,0,-9,-ROW(cttba_vlvt1_1)+ROW(cttba_vltb1_1)-10),KLVT!$A1134,OFFSET(cttba_vlvt1_1,0,-4,-ROW(cttba_vlvt1_1)+ROW(cttba_vltb1_1)-10))</f>
        <v>0</v>
      </c>
      <c r="G1134" s="451">
        <f t="shared" ca="1" si="181"/>
        <v>0</v>
      </c>
      <c r="H1134" s="450">
        <f t="shared" si="185"/>
        <v>0.1</v>
      </c>
      <c r="I1134" s="447">
        <f t="shared" ca="1" si="182"/>
        <v>0</v>
      </c>
      <c r="J1134" s="447">
        <f t="shared" ca="1" si="183"/>
        <v>0</v>
      </c>
      <c r="K1134" s="1094">
        <f t="shared" ca="1" si="184"/>
        <v>0</v>
      </c>
    </row>
    <row r="1135" spans="1:11" s="373" customFormat="1" ht="15.75" hidden="1">
      <c r="A1135" s="373" t="str">
        <f>IF(AND(COUNTIF($A$5:$A$133,R_DG!A1009)=0,R_DG!R1009&gt;0,ISNUMBER(R_DG!R1009)),R_DG!A1009,"NONE")</f>
        <v>NONE</v>
      </c>
      <c r="B1135" s="85">
        <f ca="1">IF(K1135&gt;0,COUNTIF(K$6:K1135,"&gt;0"),B1134)</f>
        <v>34</v>
      </c>
      <c r="C1135" s="1084">
        <f t="shared" si="179"/>
        <v>0</v>
      </c>
      <c r="D1135" s="85">
        <f t="shared" si="180"/>
        <v>0</v>
      </c>
      <c r="E1135" s="448">
        <f ca="1">SUMIF(OFFSET(tongctvtdd1,0,-(COLUMN(E1135)+7-(COLUMN(E1135)-5)/2)),KLVT!$A1135,tongctvtdd1)+SUMIF(OFFSET(tongctvtpk1,0,-(COLUMN(E1135)+7-(COLUMN(E1135)-5)/2)),KLVT!$A1135,tongctvtpk1)</f>
        <v>0</v>
      </c>
      <c r="F1135" s="449">
        <f ca="1">SUMIF(OFFSET(cttba_vlvt1_1,0,-9,-ROW(cttba_vlvt1_1)+ROW(cttba_vltb1_1)-10),KLVT!$A1135,OFFSET(cttba_vlvt1_1,0,-4,-ROW(cttba_vlvt1_1)+ROW(cttba_vltb1_1)-10))</f>
        <v>0</v>
      </c>
      <c r="G1135" s="451">
        <f t="shared" ca="1" si="181"/>
        <v>0</v>
      </c>
      <c r="H1135" s="450">
        <f t="shared" si="185"/>
        <v>1</v>
      </c>
      <c r="I1135" s="447">
        <f t="shared" ca="1" si="182"/>
        <v>0</v>
      </c>
      <c r="J1135" s="447">
        <f t="shared" ca="1" si="183"/>
        <v>0</v>
      </c>
      <c r="K1135" s="373">
        <f t="shared" ca="1" si="184"/>
        <v>0</v>
      </c>
    </row>
    <row r="1136" spans="1:11" s="373" customFormat="1" ht="15.75" hidden="1">
      <c r="A1136" s="373" t="str">
        <f>IF(AND(COUNTIF($A$5:$A$133,R_DG!A1010)=0,R_DG!R1010&gt;0,ISNUMBER(R_DG!R1010)),R_DG!A1010,"NONE")</f>
        <v>NONE</v>
      </c>
      <c r="B1136" s="85">
        <f ca="1">IF(K1136&gt;0,COUNTIF(K$6:K1136,"&gt;0"),B1135)</f>
        <v>34</v>
      </c>
      <c r="C1136" s="1084">
        <f t="shared" si="179"/>
        <v>0</v>
      </c>
      <c r="D1136" s="85">
        <f t="shared" si="180"/>
        <v>0</v>
      </c>
      <c r="E1136" s="448">
        <f ca="1">SUMIF(OFFSET(tongctvtdd1,0,-(COLUMN(E1136)+7-(COLUMN(E1136)-5)/2)),KLVT!$A1136,tongctvtdd1)+SUMIF(OFFSET(tongctvtpk1,0,-(COLUMN(E1136)+7-(COLUMN(E1136)-5)/2)),KLVT!$A1136,tongctvtpk1)</f>
        <v>0</v>
      </c>
      <c r="F1136" s="449">
        <f ca="1">SUMIF(OFFSET(cttba_vlvt1_1,0,-9,-ROW(cttba_vlvt1_1)+ROW(cttba_vltb1_1)-10),KLVT!$A1136,OFFSET(cttba_vlvt1_1,0,-4,-ROW(cttba_vlvt1_1)+ROW(cttba_vltb1_1)-10))</f>
        <v>0</v>
      </c>
      <c r="G1136" s="451">
        <f t="shared" ca="1" si="181"/>
        <v>0</v>
      </c>
      <c r="H1136" s="450">
        <f t="shared" si="185"/>
        <v>1</v>
      </c>
      <c r="I1136" s="447">
        <f t="shared" ca="1" si="182"/>
        <v>0</v>
      </c>
      <c r="J1136" s="447">
        <f t="shared" ca="1" si="183"/>
        <v>0</v>
      </c>
      <c r="K1136" s="373">
        <f t="shared" ca="1" si="184"/>
        <v>0</v>
      </c>
    </row>
    <row r="1137" spans="1:11" s="373" customFormat="1" ht="15.75" hidden="1">
      <c r="A1137" s="373" t="str">
        <f>IF(AND(COUNTIF($A$5:$A$133,R_DG!A1011)=0,R_DG!R1011&gt;0,ISNUMBER(R_DG!R1011)),R_DG!A1011,"NONE")</f>
        <v>SXTG</v>
      </c>
      <c r="B1137" s="85">
        <f ca="1">IF(K1137&gt;0,COUNTIF(K$6:K1137,"&gt;0"),B1136)</f>
        <v>34</v>
      </c>
      <c r="C1137" s="1084" t="str">
        <f t="shared" si="179"/>
        <v>Sứ xuyên tường 24kV</v>
      </c>
      <c r="D1137" s="85" t="str">
        <f t="shared" si="180"/>
        <v>cái</v>
      </c>
      <c r="E1137" s="448">
        <f ca="1">SUMIF(OFFSET(tongctvtdd1,0,-(COLUMN(E1137)+7-(COLUMN(E1137)-5)/2)),KLVT!$A1137,tongctvtdd1)+SUMIF(OFFSET(tongctvtpk1,0,-(COLUMN(E1137)+7-(COLUMN(E1137)-5)/2)),KLVT!$A1137,tongctvtpk1)</f>
        <v>0</v>
      </c>
      <c r="F1137" s="449">
        <f ca="1">SUMIF(OFFSET(cttba_vlvt1_1,0,-9,-ROW(cttba_vlvt1_1)+ROW(cttba_vltb1_1)-10),KLVT!$A1137,OFFSET(cttba_vlvt1_1,0,-4,-ROW(cttba_vlvt1_1)+ROW(cttba_vltb1_1)-10))</f>
        <v>0</v>
      </c>
      <c r="G1137" s="451">
        <f t="shared" ca="1" si="181"/>
        <v>0</v>
      </c>
      <c r="H1137" s="450">
        <f t="shared" si="185"/>
        <v>2</v>
      </c>
      <c r="I1137" s="447">
        <f t="shared" ca="1" si="182"/>
        <v>0</v>
      </c>
      <c r="J1137" s="447">
        <f t="shared" ca="1" si="183"/>
        <v>0</v>
      </c>
      <c r="K1137" s="373">
        <f t="shared" ca="1" si="184"/>
        <v>0</v>
      </c>
    </row>
    <row r="1138" spans="1:11" s="373" customFormat="1" ht="15.75" hidden="1">
      <c r="A1138" s="373" t="str">
        <f>IF(AND(COUNTIF($A$5:$A$133,R_DG!A1012)=0,R_DG!R1012&gt;0,ISNUMBER(R_DG!R1012)),R_DG!A1012,"NONE")</f>
        <v>GSXTG</v>
      </c>
      <c r="B1138" s="85">
        <f ca="1">IF(K1138&gt;0,COUNTIF(K$6:K1138,"&gt;0"),B1137)</f>
        <v>34</v>
      </c>
      <c r="C1138" s="1084" t="str">
        <f t="shared" si="179"/>
        <v>Gía lắp sứ xuyên tường</v>
      </c>
      <c r="D1138" s="85" t="str">
        <f t="shared" si="180"/>
        <v>bộ</v>
      </c>
      <c r="E1138" s="448">
        <f ca="1">SUMIF(OFFSET(tongctvtdd1,0,-(COLUMN(E1138)+7-(COLUMN(E1138)-5)/2)),KLVT!$A1138,tongctvtdd1)+SUMIF(OFFSET(tongctvtpk1,0,-(COLUMN(E1138)+7-(COLUMN(E1138)-5)/2)),KLVT!$A1138,tongctvtpk1)</f>
        <v>0</v>
      </c>
      <c r="F1138" s="449">
        <f ca="1">SUMIF(OFFSET(cttba_vlvt1_1,0,-9,-ROW(cttba_vlvt1_1)+ROW(cttba_vltb1_1)-10),KLVT!$A1138,OFFSET(cttba_vlvt1_1,0,-4,-ROW(cttba_vlvt1_1)+ROW(cttba_vltb1_1)-10))</f>
        <v>0</v>
      </c>
      <c r="G1138" s="451">
        <f t="shared" ca="1" si="181"/>
        <v>0</v>
      </c>
      <c r="H1138" s="450">
        <f t="shared" si="185"/>
        <v>2</v>
      </c>
      <c r="I1138" s="447">
        <f t="shared" ca="1" si="182"/>
        <v>0</v>
      </c>
      <c r="J1138" s="447">
        <f t="shared" ca="1" si="183"/>
        <v>0</v>
      </c>
      <c r="K1138" s="373">
        <f t="shared" ca="1" si="184"/>
        <v>0</v>
      </c>
    </row>
    <row r="1139" spans="1:11" s="373" customFormat="1" ht="15.75" hidden="1">
      <c r="A1139" s="373" t="str">
        <f>IF(AND(COUNTIF($A$5:$A$133,R_DG!A1013)=0,R_DG!R1013&gt;0,ISNUMBER(R_DG!R1013)),R_DG!A1013,"NONE")</f>
        <v>GCAP</v>
      </c>
      <c r="B1139" s="85">
        <f ca="1">IF(K1139&gt;0,COUNTIF(K$6:K1139,"&gt;0"),B1138)</f>
        <v>34</v>
      </c>
      <c r="C1139" s="1084" t="str">
        <f t="shared" si="179"/>
        <v>Giá đỡ cáp ngầm (V63x6)</v>
      </c>
      <c r="D1139" s="85" t="str">
        <f t="shared" si="180"/>
        <v>bộ</v>
      </c>
      <c r="E1139" s="448">
        <f ca="1">SUMIF(OFFSET(tongctvtdd1,0,-(COLUMN(E1139)+7-(COLUMN(E1139)-5)/2)),KLVT!$A1139,tongctvtdd1)+SUMIF(OFFSET(tongctvtpk1,0,-(COLUMN(E1139)+7-(COLUMN(E1139)-5)/2)),KLVT!$A1139,tongctvtpk1)</f>
        <v>0</v>
      </c>
      <c r="F1139" s="449">
        <f ca="1">SUMIF(OFFSET(cttba_vlvt1_1,0,-9,-ROW(cttba_vlvt1_1)+ROW(cttba_vltb1_1)-10),KLVT!$A1139,OFFSET(cttba_vlvt1_1,0,-4,-ROW(cttba_vlvt1_1)+ROW(cttba_vltb1_1)-10))</f>
        <v>0</v>
      </c>
      <c r="G1139" s="451">
        <f t="shared" ca="1" si="181"/>
        <v>0</v>
      </c>
      <c r="H1139" s="450">
        <f t="shared" si="185"/>
        <v>50</v>
      </c>
      <c r="I1139" s="447">
        <f t="shared" ca="1" si="182"/>
        <v>0</v>
      </c>
      <c r="J1139" s="447">
        <f t="shared" ca="1" si="183"/>
        <v>0</v>
      </c>
      <c r="K1139" s="373">
        <f t="shared" ca="1" si="184"/>
        <v>0</v>
      </c>
    </row>
    <row r="1140" spans="1:11" s="373" customFormat="1" ht="15.75" hidden="1">
      <c r="A1140" s="373" t="str">
        <f>IF(AND(COUNTIF($A$5:$A$133,R_DG!A1014)=0,R_DG!R1014&gt;0,ISNUMBER(R_DG!R1014)),R_DG!A1014,"NONE")</f>
        <v>SDTC</v>
      </c>
      <c r="B1140" s="85">
        <f ca="1">IF(K1140&gt;0,COUNTIF(K$6:K1140,"&gt;0"),B1139)</f>
        <v>34</v>
      </c>
      <c r="C1140" s="1084" t="str">
        <f t="shared" ref="C1140:C1203" si="186">VLOOKUP(A1140,DONGIA,3,0)</f>
        <v>Sứ đỡ thanh cái 24kV</v>
      </c>
      <c r="D1140" s="85" t="str">
        <f t="shared" ref="D1140:D1203" si="187">VLOOKUP(A1140,DONGIA,4,0)</f>
        <v>bộ</v>
      </c>
      <c r="E1140" s="448">
        <f ca="1">SUMIF(OFFSET(tongctvtdd1,0,-(COLUMN(E1140)+7-(COLUMN(E1140)-5)/2)),KLVT!$A1140,tongctvtdd1)+SUMIF(OFFSET(tongctvtpk1,0,-(COLUMN(E1140)+7-(COLUMN(E1140)-5)/2)),KLVT!$A1140,tongctvtpk1)</f>
        <v>0</v>
      </c>
      <c r="F1140" s="449">
        <f ca="1">SUMIF(OFFSET(cttba_vlvt1_1,0,-9,-ROW(cttba_vlvt1_1)+ROW(cttba_vltb1_1)-10),KLVT!$A1140,OFFSET(cttba_vlvt1_1,0,-4,-ROW(cttba_vlvt1_1)+ROW(cttba_vltb1_1)-10))</f>
        <v>0</v>
      </c>
      <c r="G1140" s="451">
        <f t="shared" ref="G1140:G1203" ca="1" si="188">SUM(E1140:F1140)</f>
        <v>0</v>
      </c>
      <c r="H1140" s="450">
        <f t="shared" si="185"/>
        <v>4</v>
      </c>
      <c r="I1140" s="447">
        <f t="shared" ref="I1140:I1203" ca="1" si="189">E1140*$H1140</f>
        <v>0</v>
      </c>
      <c r="J1140" s="447">
        <f t="shared" ref="J1140:J1203" ca="1" si="190">F1140*$H1140</f>
        <v>0</v>
      </c>
      <c r="K1140" s="373">
        <f t="shared" ref="K1140:K1203" ca="1" si="191">IF(G1140&gt;0,1,0)</f>
        <v>0</v>
      </c>
    </row>
    <row r="1141" spans="1:11" s="373" customFormat="1" ht="15.75" hidden="1">
      <c r="A1141" s="373" t="str">
        <f>IF(AND(COUNTIF($A$5:$A$133,R_DG!A1015)=0,R_DG!R1015&gt;0,ISNUMBER(R_DG!R1015)),R_DG!A1015,"NONE")</f>
        <v>TC450</v>
      </c>
      <c r="B1141" s="85">
        <f ca="1">IF(K1141&gt;0,COUNTIF(K$6:K1141,"&gt;0"),B1140)</f>
        <v>34</v>
      </c>
      <c r="C1141" s="1084" t="str">
        <f t="shared" si="186"/>
        <v>Thanh cái đồng 4x50</v>
      </c>
      <c r="D1141" s="85" t="str">
        <f t="shared" si="187"/>
        <v>m</v>
      </c>
      <c r="E1141" s="448">
        <f ca="1">SUMIF(OFFSET(tongctvtdd1,0,-(COLUMN(E1141)+7-(COLUMN(E1141)-5)/2)),KLVT!$A1141,tongctvtdd1)+SUMIF(OFFSET(tongctvtpk1,0,-(COLUMN(E1141)+7-(COLUMN(E1141)-5)/2)),KLVT!$A1141,tongctvtpk1)</f>
        <v>0</v>
      </c>
      <c r="F1141" s="449">
        <f ca="1">SUMIF(OFFSET(cttba_vlvt1_1,0,-9,-ROW(cttba_vlvt1_1)+ROW(cttba_vltb1_1)-10),KLVT!$A1141,OFFSET(cttba_vlvt1_1,0,-4,-ROW(cttba_vlvt1_1)+ROW(cttba_vltb1_1)-10))</f>
        <v>0</v>
      </c>
      <c r="G1141" s="451">
        <f t="shared" ca="1" si="188"/>
        <v>0</v>
      </c>
      <c r="H1141" s="450">
        <f t="shared" si="185"/>
        <v>7</v>
      </c>
      <c r="I1141" s="447">
        <f t="shared" ca="1" si="189"/>
        <v>0</v>
      </c>
      <c r="J1141" s="447">
        <f t="shared" ca="1" si="190"/>
        <v>0</v>
      </c>
      <c r="K1141" s="373">
        <f t="shared" ca="1" si="191"/>
        <v>0</v>
      </c>
    </row>
    <row r="1142" spans="1:11" s="373" customFormat="1" ht="15.75" hidden="1">
      <c r="A1142" s="373" t="str">
        <f>IF(AND(COUNTIF($A$5:$A$133,R_DG!A1016)=0,R_DG!R1016&gt;0,ISNUMBER(R_DG!R1016)),R_DG!A1016,"NONE")</f>
        <v>TC430</v>
      </c>
      <c r="B1142" s="85">
        <f ca="1">IF(K1142&gt;0,COUNTIF(K$6:K1142,"&gt;0"),B1141)</f>
        <v>34</v>
      </c>
      <c r="C1142" s="1084" t="str">
        <f t="shared" si="186"/>
        <v>Thanh cái đồng 4x30</v>
      </c>
      <c r="D1142" s="85" t="str">
        <f t="shared" si="187"/>
        <v>m</v>
      </c>
      <c r="E1142" s="448">
        <f ca="1">SUMIF(OFFSET(tongctvtdd1,0,-(COLUMN(E1142)+7-(COLUMN(E1142)-5)/2)),KLVT!$A1142,tongctvtdd1)+SUMIF(OFFSET(tongctvtpk1,0,-(COLUMN(E1142)+7-(COLUMN(E1142)-5)/2)),KLVT!$A1142,tongctvtpk1)</f>
        <v>0</v>
      </c>
      <c r="F1142" s="449">
        <f ca="1">SUMIF(OFFSET(cttba_vlvt1_1,0,-9,-ROW(cttba_vlvt1_1)+ROW(cttba_vltb1_1)-10),KLVT!$A1142,OFFSET(cttba_vlvt1_1,0,-4,-ROW(cttba_vlvt1_1)+ROW(cttba_vltb1_1)-10))</f>
        <v>0</v>
      </c>
      <c r="G1142" s="451">
        <f t="shared" ca="1" si="188"/>
        <v>0</v>
      </c>
      <c r="H1142" s="450">
        <f t="shared" si="185"/>
        <v>7</v>
      </c>
      <c r="I1142" s="447">
        <f t="shared" ca="1" si="189"/>
        <v>0</v>
      </c>
      <c r="J1142" s="447">
        <f t="shared" ca="1" si="190"/>
        <v>0</v>
      </c>
      <c r="K1142" s="373">
        <f t="shared" ca="1" si="191"/>
        <v>0</v>
      </c>
    </row>
    <row r="1143" spans="1:11" s="373" customFormat="1" ht="15.75" hidden="1">
      <c r="A1143" s="373" t="str">
        <f>IF(AND(COUNTIF($A$5:$A$133,R_DG!A1017)=0,R_DG!R1017&gt;0,ISNUMBER(R_DG!R1017)),R_DG!A1017,"NONE")</f>
        <v>TC420</v>
      </c>
      <c r="B1143" s="85">
        <f ca="1">IF(K1143&gt;0,COUNTIF(K$6:K1143,"&gt;0"),B1142)</f>
        <v>34</v>
      </c>
      <c r="C1143" s="1084" t="str">
        <f t="shared" si="186"/>
        <v>Thanh cái đồng 4x20</v>
      </c>
      <c r="D1143" s="85" t="str">
        <f t="shared" si="187"/>
        <v>m</v>
      </c>
      <c r="E1143" s="448">
        <f ca="1">SUMIF(OFFSET(tongctvtdd1,0,-(COLUMN(E1143)+7-(COLUMN(E1143)-5)/2)),KLVT!$A1143,tongctvtdd1)+SUMIF(OFFSET(tongctvtpk1,0,-(COLUMN(E1143)+7-(COLUMN(E1143)-5)/2)),KLVT!$A1143,tongctvtpk1)</f>
        <v>0</v>
      </c>
      <c r="F1143" s="449">
        <f ca="1">SUMIF(OFFSET(cttba_vlvt1_1,0,-9,-ROW(cttba_vlvt1_1)+ROW(cttba_vltb1_1)-10),KLVT!$A1143,OFFSET(cttba_vlvt1_1,0,-4,-ROW(cttba_vlvt1_1)+ROW(cttba_vltb1_1)-10))</f>
        <v>0</v>
      </c>
      <c r="G1143" s="451">
        <f t="shared" ca="1" si="188"/>
        <v>0</v>
      </c>
      <c r="H1143" s="450">
        <f t="shared" si="185"/>
        <v>7</v>
      </c>
      <c r="I1143" s="447">
        <f t="shared" ca="1" si="189"/>
        <v>0</v>
      </c>
      <c r="J1143" s="447">
        <f t="shared" ca="1" si="190"/>
        <v>0</v>
      </c>
      <c r="K1143" s="373">
        <f t="shared" ca="1" si="191"/>
        <v>0</v>
      </c>
    </row>
    <row r="1144" spans="1:11" s="373" customFormat="1" ht="15.75" hidden="1">
      <c r="A1144" s="373" t="str">
        <f>IF(AND(COUNTIF($A$5:$A$133,R_DG!A1018)=0,R_DG!R1018&gt;0,ISNUMBER(R_DG!R1018)),R_DG!A1018,"NONE")</f>
        <v>GIACAPTT-2M</v>
      </c>
      <c r="B1144" s="85">
        <f ca="1">IF(K1144&gt;0,COUNTIF(K$6:K1144,"&gt;0"),B1143)</f>
        <v>34</v>
      </c>
      <c r="C1144" s="1084" t="str">
        <f t="shared" si="186"/>
        <v>Giá đỡ cáp trung thế</v>
      </c>
      <c r="D1144" s="85" t="str">
        <f t="shared" si="187"/>
        <v>bộ</v>
      </c>
      <c r="E1144" s="448">
        <f ca="1">SUMIF(OFFSET(tongctvtdd1,0,-(COLUMN(E1144)+7-(COLUMN(E1144)-5)/2)),KLVT!$A1144,tongctvtdd1)+SUMIF(OFFSET(tongctvtpk1,0,-(COLUMN(E1144)+7-(COLUMN(E1144)-5)/2)),KLVT!$A1144,tongctvtpk1)</f>
        <v>0</v>
      </c>
      <c r="F1144" s="449">
        <f ca="1">SUMIF(OFFSET(cttba_vlvt1_1,0,-9,-ROW(cttba_vlvt1_1)+ROW(cttba_vltb1_1)-10),KLVT!$A1144,OFFSET(cttba_vlvt1_1,0,-4,-ROW(cttba_vlvt1_1)+ROW(cttba_vltb1_1)-10))</f>
        <v>0</v>
      </c>
      <c r="G1144" s="451">
        <f t="shared" ca="1" si="188"/>
        <v>0</v>
      </c>
      <c r="H1144" s="450">
        <f t="shared" si="185"/>
        <v>100</v>
      </c>
      <c r="I1144" s="447">
        <f t="shared" ca="1" si="189"/>
        <v>0</v>
      </c>
      <c r="J1144" s="447">
        <f t="shared" ca="1" si="190"/>
        <v>0</v>
      </c>
      <c r="K1144" s="373">
        <f t="shared" ca="1" si="191"/>
        <v>0</v>
      </c>
    </row>
    <row r="1145" spans="1:11" s="373" customFormat="1" ht="15.75" hidden="1">
      <c r="A1145" s="373" t="str">
        <f>IF(AND(COUNTIF($A$5:$A$133,R_DG!A1019)=0,R_DG!R1019&gt;0,ISNUMBER(R_DG!R1019)),R_DG!A1019,"NONE")</f>
        <v>GIACAPTT-6M</v>
      </c>
      <c r="B1145" s="85">
        <f ca="1">IF(K1145&gt;0,COUNTIF(K$6:K1145,"&gt;0"),B1144)</f>
        <v>34</v>
      </c>
      <c r="C1145" s="1084" t="str">
        <f t="shared" si="186"/>
        <v>Giá đỡ cáp trung thế</v>
      </c>
      <c r="D1145" s="85" t="str">
        <f t="shared" si="187"/>
        <v>bộ</v>
      </c>
      <c r="E1145" s="448">
        <f ca="1">SUMIF(OFFSET(tongctvtdd1,0,-(COLUMN(E1145)+7-(COLUMN(E1145)-5)/2)),KLVT!$A1145,tongctvtdd1)+SUMIF(OFFSET(tongctvtpk1,0,-(COLUMN(E1145)+7-(COLUMN(E1145)-5)/2)),KLVT!$A1145,tongctvtpk1)</f>
        <v>0</v>
      </c>
      <c r="F1145" s="449">
        <f ca="1">SUMIF(OFFSET(cttba_vlvt1_1,0,-9,-ROW(cttba_vlvt1_1)+ROW(cttba_vltb1_1)-10),KLVT!$A1145,OFFSET(cttba_vlvt1_1,0,-4,-ROW(cttba_vlvt1_1)+ROW(cttba_vltb1_1)-10))</f>
        <v>0</v>
      </c>
      <c r="G1145" s="451">
        <f t="shared" ca="1" si="188"/>
        <v>0</v>
      </c>
      <c r="H1145" s="450">
        <f t="shared" si="185"/>
        <v>108</v>
      </c>
      <c r="I1145" s="447">
        <f t="shared" ca="1" si="189"/>
        <v>0</v>
      </c>
      <c r="J1145" s="447">
        <f t="shared" ca="1" si="190"/>
        <v>0</v>
      </c>
      <c r="K1145" s="373">
        <f t="shared" ca="1" si="191"/>
        <v>0</v>
      </c>
    </row>
    <row r="1146" spans="1:11" s="373" customFormat="1" ht="15.75" hidden="1">
      <c r="A1146" s="373" t="str">
        <f>IF(AND(COUNTIF($A$5:$A$133,R_DG!A1020)=0,R_DG!R1020&gt;0,ISNUMBER(R_DG!R1020)),R_DG!A1020,"NONE")</f>
        <v>GIACAPTT-8M</v>
      </c>
      <c r="B1146" s="85">
        <f ca="1">IF(K1146&gt;0,COUNTIF(K$6:K1146,"&gt;0"),B1145)</f>
        <v>34</v>
      </c>
      <c r="C1146" s="1084" t="str">
        <f t="shared" si="186"/>
        <v>Giá đỡ cáp trung thế</v>
      </c>
      <c r="D1146" s="85" t="str">
        <f t="shared" si="187"/>
        <v>bộ</v>
      </c>
      <c r="E1146" s="448">
        <f ca="1">SUMIF(OFFSET(tongctvtdd1,0,-(COLUMN(E1146)+7-(COLUMN(E1146)-5)/2)),KLVT!$A1146,tongctvtdd1)+SUMIF(OFFSET(tongctvtpk1,0,-(COLUMN(E1146)+7-(COLUMN(E1146)-5)/2)),KLVT!$A1146,tongctvtpk1)</f>
        <v>0</v>
      </c>
      <c r="F1146" s="449">
        <f ca="1">SUMIF(OFFSET(cttba_vlvt1_1,0,-9,-ROW(cttba_vlvt1_1)+ROW(cttba_vltb1_1)-10),KLVT!$A1146,OFFSET(cttba_vlvt1_1,0,-4,-ROW(cttba_vlvt1_1)+ROW(cttba_vltb1_1)-10))</f>
        <v>0</v>
      </c>
      <c r="G1146" s="451">
        <f t="shared" ca="1" si="188"/>
        <v>0</v>
      </c>
      <c r="H1146" s="450">
        <f t="shared" si="185"/>
        <v>100</v>
      </c>
      <c r="I1146" s="447">
        <f t="shared" ca="1" si="189"/>
        <v>0</v>
      </c>
      <c r="J1146" s="447">
        <f t="shared" ca="1" si="190"/>
        <v>0</v>
      </c>
      <c r="K1146" s="373">
        <f t="shared" ca="1" si="191"/>
        <v>0</v>
      </c>
    </row>
    <row r="1147" spans="1:11" s="373" customFormat="1" ht="15.75" hidden="1">
      <c r="A1147" s="373" t="str">
        <f>IF(AND(COUNTIF($A$5:$A$133,R_DG!A1021)=0,R_DG!R1021&gt;0,ISNUMBER(R_DG!R1021)),R_DG!A1021,"NONE")</f>
        <v>GIACAPTT-15M</v>
      </c>
      <c r="B1147" s="85">
        <f ca="1">IF(K1147&gt;0,COUNTIF(K$6:K1147,"&gt;0"),B1146)</f>
        <v>34</v>
      </c>
      <c r="C1147" s="1084" t="str">
        <f t="shared" si="186"/>
        <v>Giá đỡ cáp trung thế</v>
      </c>
      <c r="D1147" s="85" t="str">
        <f t="shared" si="187"/>
        <v>bộ</v>
      </c>
      <c r="E1147" s="448">
        <f ca="1">SUMIF(OFFSET(tongctvtdd1,0,-(COLUMN(E1147)+7-(COLUMN(E1147)-5)/2)),KLVT!$A1147,tongctvtdd1)+SUMIF(OFFSET(tongctvtpk1,0,-(COLUMN(E1147)+7-(COLUMN(E1147)-5)/2)),KLVT!$A1147,tongctvtpk1)</f>
        <v>0</v>
      </c>
      <c r="F1147" s="449">
        <f ca="1">SUMIF(OFFSET(cttba_vlvt1_1,0,-9,-ROW(cttba_vlvt1_1)+ROW(cttba_vltb1_1)-10),KLVT!$A1147,OFFSET(cttba_vlvt1_1,0,-4,-ROW(cttba_vlvt1_1)+ROW(cttba_vltb1_1)-10))</f>
        <v>0</v>
      </c>
      <c r="G1147" s="451">
        <f t="shared" ca="1" si="188"/>
        <v>0</v>
      </c>
      <c r="H1147" s="450">
        <f t="shared" si="185"/>
        <v>108</v>
      </c>
      <c r="I1147" s="447">
        <f t="shared" ca="1" si="189"/>
        <v>0</v>
      </c>
      <c r="J1147" s="447">
        <f t="shared" ca="1" si="190"/>
        <v>0</v>
      </c>
      <c r="K1147" s="373">
        <f t="shared" ca="1" si="191"/>
        <v>0</v>
      </c>
    </row>
    <row r="1148" spans="1:11" s="373" customFormat="1" ht="15.75" hidden="1">
      <c r="A1148" s="373" t="str">
        <f>IF(AND(COUNTIF($A$5:$A$133,R_DG!A1022)=0,R_DG!R1022&gt;0,ISNUMBER(R_DG!R1022)),R_DG!A1022,"NONE")</f>
        <v>GIACAPTHT-10M</v>
      </c>
      <c r="B1148" s="85">
        <f ca="1">IF(K1148&gt;0,COUNTIF(K$6:K1148,"&gt;0"),B1147)</f>
        <v>34</v>
      </c>
      <c r="C1148" s="1084" t="str">
        <f t="shared" si="186"/>
        <v>Giá đỡ cáp trung hạ thế</v>
      </c>
      <c r="D1148" s="85" t="str">
        <f t="shared" si="187"/>
        <v>bộ</v>
      </c>
      <c r="E1148" s="448">
        <f ca="1">SUMIF(OFFSET(tongctvtdd1,0,-(COLUMN(E1148)+7-(COLUMN(E1148)-5)/2)),KLVT!$A1148,tongctvtdd1)+SUMIF(OFFSET(tongctvtpk1,0,-(COLUMN(E1148)+7-(COLUMN(E1148)-5)/2)),KLVT!$A1148,tongctvtpk1)</f>
        <v>0</v>
      </c>
      <c r="F1148" s="449">
        <f ca="1">SUMIF(OFFSET(cttba_vlvt1_1,0,-9,-ROW(cttba_vlvt1_1)+ROW(cttba_vltb1_1)-10),KLVT!$A1148,OFFSET(cttba_vlvt1_1,0,-4,-ROW(cttba_vlvt1_1)+ROW(cttba_vltb1_1)-10))</f>
        <v>0</v>
      </c>
      <c r="G1148" s="451">
        <f t="shared" ca="1" si="188"/>
        <v>0</v>
      </c>
      <c r="H1148" s="450">
        <f t="shared" si="185"/>
        <v>95</v>
      </c>
      <c r="I1148" s="447">
        <f t="shared" ca="1" si="189"/>
        <v>0</v>
      </c>
      <c r="J1148" s="447">
        <f t="shared" ca="1" si="190"/>
        <v>0</v>
      </c>
      <c r="K1148" s="373">
        <f t="shared" ca="1" si="191"/>
        <v>0</v>
      </c>
    </row>
    <row r="1149" spans="1:11" s="373" customFormat="1" ht="15.75" hidden="1">
      <c r="A1149" s="373" t="str">
        <f>IF(AND(COUNTIF($A$5:$A$133,R_DG!A1023)=0,R_DG!R1023&gt;0,ISNUMBER(R_DG!R1023)),R_DG!A1023,"NONE")</f>
        <v>GIACAPHT-1M</v>
      </c>
      <c r="B1149" s="85">
        <f ca="1">IF(K1149&gt;0,COUNTIF(K$6:K1149,"&gt;0"),B1148)</f>
        <v>34</v>
      </c>
      <c r="C1149" s="1084" t="str">
        <f t="shared" si="186"/>
        <v xml:space="preserve">Giá đỡ cáp hạ thế </v>
      </c>
      <c r="D1149" s="85" t="str">
        <f t="shared" si="187"/>
        <v>bộ</v>
      </c>
      <c r="E1149" s="448">
        <f ca="1">SUMIF(OFFSET(tongctvtdd1,0,-(COLUMN(E1149)+7-(COLUMN(E1149)-5)/2)),KLVT!$A1149,tongctvtdd1)+SUMIF(OFFSET(tongctvtpk1,0,-(COLUMN(E1149)+7-(COLUMN(E1149)-5)/2)),KLVT!$A1149,tongctvtpk1)</f>
        <v>0</v>
      </c>
      <c r="F1149" s="449">
        <f ca="1">SUMIF(OFFSET(cttba_vlvt1_1,0,-9,-ROW(cttba_vlvt1_1)+ROW(cttba_vltb1_1)-10),KLVT!$A1149,OFFSET(cttba_vlvt1_1,0,-4,-ROW(cttba_vlvt1_1)+ROW(cttba_vltb1_1)-10))</f>
        <v>0</v>
      </c>
      <c r="G1149" s="451">
        <f t="shared" ca="1" si="188"/>
        <v>0</v>
      </c>
      <c r="H1149" s="450">
        <f t="shared" si="185"/>
        <v>40</v>
      </c>
      <c r="I1149" s="447">
        <f t="shared" ca="1" si="189"/>
        <v>0</v>
      </c>
      <c r="J1149" s="447">
        <f t="shared" ca="1" si="190"/>
        <v>0</v>
      </c>
      <c r="K1149" s="373">
        <f t="shared" ca="1" si="191"/>
        <v>0</v>
      </c>
    </row>
    <row r="1150" spans="1:11" s="373" customFormat="1" ht="15.75" hidden="1">
      <c r="A1150" s="373" t="str">
        <f>IF(AND(COUNTIF($A$5:$A$133,R_DG!A1024)=0,R_DG!R1024&gt;0,ISNUMBER(R_DG!R1024)),R_DG!A1024,"NONE")</f>
        <v>GIACAPHT-2M</v>
      </c>
      <c r="B1150" s="85">
        <f ca="1">IF(K1150&gt;0,COUNTIF(K$6:K1150,"&gt;0"),B1149)</f>
        <v>34</v>
      </c>
      <c r="C1150" s="1084" t="str">
        <f t="shared" si="186"/>
        <v xml:space="preserve">Giá đỡ cáp hạ thế </v>
      </c>
      <c r="D1150" s="85" t="str">
        <f t="shared" si="187"/>
        <v>bộ</v>
      </c>
      <c r="E1150" s="448">
        <f ca="1">SUMIF(OFFSET(tongctvtdd1,0,-(COLUMN(E1150)+7-(COLUMN(E1150)-5)/2)),KLVT!$A1150,tongctvtdd1)+SUMIF(OFFSET(tongctvtpk1,0,-(COLUMN(E1150)+7-(COLUMN(E1150)-5)/2)),KLVT!$A1150,tongctvtpk1)</f>
        <v>0</v>
      </c>
      <c r="F1150" s="449">
        <f ca="1">SUMIF(OFFSET(cttba_vlvt1_1,0,-9,-ROW(cttba_vlvt1_1)+ROW(cttba_vltb1_1)-10),KLVT!$A1150,OFFSET(cttba_vlvt1_1,0,-4,-ROW(cttba_vlvt1_1)+ROW(cttba_vltb1_1)-10))</f>
        <v>0</v>
      </c>
      <c r="G1150" s="451">
        <f t="shared" ca="1" si="188"/>
        <v>0</v>
      </c>
      <c r="H1150" s="450">
        <f t="shared" si="185"/>
        <v>45.8</v>
      </c>
      <c r="I1150" s="447">
        <f t="shared" ca="1" si="189"/>
        <v>0</v>
      </c>
      <c r="J1150" s="447">
        <f t="shared" ca="1" si="190"/>
        <v>0</v>
      </c>
      <c r="K1150" s="373">
        <f t="shared" ca="1" si="191"/>
        <v>0</v>
      </c>
    </row>
    <row r="1151" spans="1:11" s="373" customFormat="1" ht="15.75" hidden="1">
      <c r="A1151" s="373" t="str">
        <f>IF(AND(COUNTIF($A$5:$A$133,R_DG!A1025)=0,R_DG!R1025&gt;0,ISNUMBER(R_DG!R1025)),R_DG!A1025,"NONE")</f>
        <v>GIACAPHT-3M</v>
      </c>
      <c r="B1151" s="85">
        <f ca="1">IF(K1151&gt;0,COUNTIF(K$6:K1151,"&gt;0"),B1150)</f>
        <v>34</v>
      </c>
      <c r="C1151" s="1084" t="str">
        <f t="shared" si="186"/>
        <v xml:space="preserve">Giá đỡ cáp hạ thế </v>
      </c>
      <c r="D1151" s="85" t="str">
        <f t="shared" si="187"/>
        <v>bộ</v>
      </c>
      <c r="E1151" s="448">
        <f ca="1">SUMIF(OFFSET(tongctvtdd1,0,-(COLUMN(E1151)+7-(COLUMN(E1151)-5)/2)),KLVT!$A1151,tongctvtdd1)+SUMIF(OFFSET(tongctvtpk1,0,-(COLUMN(E1151)+7-(COLUMN(E1151)-5)/2)),KLVT!$A1151,tongctvtpk1)</f>
        <v>0</v>
      </c>
      <c r="F1151" s="449">
        <f ca="1">SUMIF(OFFSET(cttba_vlvt1_1,0,-9,-ROW(cttba_vlvt1_1)+ROW(cttba_vltb1_1)-10),KLVT!$A1151,OFFSET(cttba_vlvt1_1,0,-4,-ROW(cttba_vlvt1_1)+ROW(cttba_vltb1_1)-10))</f>
        <v>0</v>
      </c>
      <c r="G1151" s="451">
        <f t="shared" ca="1" si="188"/>
        <v>0</v>
      </c>
      <c r="H1151" s="450">
        <f t="shared" si="185"/>
        <v>55.5</v>
      </c>
      <c r="I1151" s="447">
        <f t="shared" ca="1" si="189"/>
        <v>0</v>
      </c>
      <c r="J1151" s="447">
        <f t="shared" ca="1" si="190"/>
        <v>0</v>
      </c>
      <c r="K1151" s="373">
        <f t="shared" ca="1" si="191"/>
        <v>0</v>
      </c>
    </row>
    <row r="1152" spans="1:11" s="373" customFormat="1" ht="15.75" hidden="1">
      <c r="A1152" s="373" t="str">
        <f>IF(AND(COUNTIF($A$5:$A$133,R_DG!A1026)=0,R_DG!R1026&gt;0,ISNUMBER(R_DG!R1026)),R_DG!A1026,"NONE")</f>
        <v>GIACAPHT-4M</v>
      </c>
      <c r="B1152" s="85">
        <f ca="1">IF(K1152&gt;0,COUNTIF(K$6:K1152,"&gt;0"),B1151)</f>
        <v>34</v>
      </c>
      <c r="C1152" s="1084" t="str">
        <f t="shared" si="186"/>
        <v xml:space="preserve">Giá đỡ cáp hạ thế </v>
      </c>
      <c r="D1152" s="85" t="str">
        <f t="shared" si="187"/>
        <v>bộ</v>
      </c>
      <c r="E1152" s="448">
        <f ca="1">SUMIF(OFFSET(tongctvtdd1,0,-(COLUMN(E1152)+7-(COLUMN(E1152)-5)/2)),KLVT!$A1152,tongctvtdd1)+SUMIF(OFFSET(tongctvtpk1,0,-(COLUMN(E1152)+7-(COLUMN(E1152)-5)/2)),KLVT!$A1152,tongctvtpk1)</f>
        <v>0</v>
      </c>
      <c r="F1152" s="449">
        <f ca="1">SUMIF(OFFSET(cttba_vlvt1_1,0,-9,-ROW(cttba_vlvt1_1)+ROW(cttba_vltb1_1)-10),KLVT!$A1152,OFFSET(cttba_vlvt1_1,0,-4,-ROW(cttba_vlvt1_1)+ROW(cttba_vltb1_1)-10))</f>
        <v>0</v>
      </c>
      <c r="G1152" s="451">
        <f t="shared" ca="1" si="188"/>
        <v>0</v>
      </c>
      <c r="H1152" s="450">
        <f t="shared" si="185"/>
        <v>75</v>
      </c>
      <c r="I1152" s="447">
        <f t="shared" ca="1" si="189"/>
        <v>0</v>
      </c>
      <c r="J1152" s="447">
        <f t="shared" ca="1" si="190"/>
        <v>0</v>
      </c>
      <c r="K1152" s="373">
        <f t="shared" ca="1" si="191"/>
        <v>0</v>
      </c>
    </row>
    <row r="1153" spans="1:11" s="373" customFormat="1" ht="15.75" hidden="1">
      <c r="A1153" s="373" t="str">
        <f>IF(AND(COUNTIF($A$5:$A$133,R_DG!A1027)=0,R_DG!R1027&gt;0,ISNUMBER(R_DG!R1027)),R_DG!A1027,"NONE")</f>
        <v>GIACAPHT</v>
      </c>
      <c r="B1153" s="85">
        <f ca="1">IF(K1153&gt;0,COUNTIF(K$6:K1153,"&gt;0"),B1152)</f>
        <v>34</v>
      </c>
      <c r="C1153" s="1084" t="str">
        <f t="shared" si="186"/>
        <v xml:space="preserve">Giá đỡ cáp hạ thế </v>
      </c>
      <c r="D1153" s="85" t="str">
        <f t="shared" si="187"/>
        <v>trọn bộ</v>
      </c>
      <c r="E1153" s="448">
        <f ca="1">SUMIF(OFFSET(tongctvtdd1,0,-(COLUMN(E1153)+7-(COLUMN(E1153)-5)/2)),KLVT!$A1153,tongctvtdd1)+SUMIF(OFFSET(tongctvtpk1,0,-(COLUMN(E1153)+7-(COLUMN(E1153)-5)/2)),KLVT!$A1153,tongctvtpk1)</f>
        <v>0</v>
      </c>
      <c r="F1153" s="449">
        <f ca="1">SUMIF(OFFSET(cttba_vlvt1_1,0,-9,-ROW(cttba_vlvt1_1)+ROW(cttba_vltb1_1)-10),KLVT!$A1153,OFFSET(cttba_vlvt1_1,0,-4,-ROW(cttba_vlvt1_1)+ROW(cttba_vltb1_1)-10))</f>
        <v>0</v>
      </c>
      <c r="G1153" s="451">
        <f t="shared" ca="1" si="188"/>
        <v>0</v>
      </c>
      <c r="H1153" s="450">
        <f t="shared" si="185"/>
        <v>100</v>
      </c>
      <c r="I1153" s="447">
        <f t="shared" ca="1" si="189"/>
        <v>0</v>
      </c>
      <c r="J1153" s="447">
        <f t="shared" ca="1" si="190"/>
        <v>0</v>
      </c>
      <c r="K1153" s="373">
        <f t="shared" ca="1" si="191"/>
        <v>0</v>
      </c>
    </row>
    <row r="1154" spans="1:11" s="373" customFormat="1" ht="15.75" hidden="1">
      <c r="A1154" s="373" t="str">
        <f>IF(AND(COUNTIF($A$5:$A$133,R_DG!A1028)=0,R_DG!R1028&gt;0,ISNUMBER(R_DG!R1028)),R_DG!A1028,"NONE")</f>
        <v>GIACAPHT-30M</v>
      </c>
      <c r="B1154" s="85">
        <f ca="1">IF(K1154&gt;0,COUNTIF(K$6:K1154,"&gt;0"),B1153)</f>
        <v>34</v>
      </c>
      <c r="C1154" s="1084" t="str">
        <f t="shared" si="186"/>
        <v xml:space="preserve">Giá đỡ cáp hạ thế </v>
      </c>
      <c r="D1154" s="85" t="str">
        <f t="shared" si="187"/>
        <v>bộ</v>
      </c>
      <c r="E1154" s="448">
        <f ca="1">SUMIF(OFFSET(tongctvtdd1,0,-(COLUMN(E1154)+7-(COLUMN(E1154)-5)/2)),KLVT!$A1154,tongctvtdd1)+SUMIF(OFFSET(tongctvtpk1,0,-(COLUMN(E1154)+7-(COLUMN(E1154)-5)/2)),KLVT!$A1154,tongctvtpk1)</f>
        <v>0</v>
      </c>
      <c r="F1154" s="449">
        <f ca="1">SUMIF(OFFSET(cttba_vlvt1_1,0,-9,-ROW(cttba_vlvt1_1)+ROW(cttba_vltb1_1)-10),KLVT!$A1154,OFFSET(cttba_vlvt1_1,0,-4,-ROW(cttba_vlvt1_1)+ROW(cttba_vltb1_1)-10))</f>
        <v>0</v>
      </c>
      <c r="G1154" s="451">
        <f t="shared" ca="1" si="188"/>
        <v>0</v>
      </c>
      <c r="H1154" s="450">
        <f t="shared" si="185"/>
        <v>527</v>
      </c>
      <c r="I1154" s="447">
        <f t="shared" ca="1" si="189"/>
        <v>0</v>
      </c>
      <c r="J1154" s="447">
        <f t="shared" ca="1" si="190"/>
        <v>0</v>
      </c>
      <c r="K1154" s="373">
        <f t="shared" ca="1" si="191"/>
        <v>0</v>
      </c>
    </row>
    <row r="1155" spans="1:11" s="373" customFormat="1" ht="15.75" hidden="1">
      <c r="A1155" s="373" t="str">
        <f>IF(AND(COUNTIF($A$5:$A$133,R_DG!A1029)=0,R_DG!R1029&gt;0,ISNUMBER(R_DG!R1029)),R_DG!A1029,"NONE")</f>
        <v>GTMBA15</v>
      </c>
      <c r="B1155" s="85">
        <f ca="1">IF(K1155&gt;0,COUNTIF(K$6:K1155,"&gt;0"),B1154)</f>
        <v>34</v>
      </c>
      <c r="C1155" s="1084" t="str">
        <f t="shared" si="186"/>
        <v>Gía chùm treo máy biến áp 3x15</v>
      </c>
      <c r="D1155" s="85" t="str">
        <f t="shared" si="187"/>
        <v>bô</v>
      </c>
      <c r="E1155" s="448">
        <f ca="1">SUMIF(OFFSET(tongctvtdd1,0,-(COLUMN(E1155)+7-(COLUMN(E1155)-5)/2)),KLVT!$A1155,tongctvtdd1)+SUMIF(OFFSET(tongctvtpk1,0,-(COLUMN(E1155)+7-(COLUMN(E1155)-5)/2)),KLVT!$A1155,tongctvtpk1)</f>
        <v>0</v>
      </c>
      <c r="F1155" s="449">
        <f ca="1">SUMIF(OFFSET(cttba_vlvt1_1,0,-9,-ROW(cttba_vlvt1_1)+ROW(cttba_vltb1_1)-10),KLVT!$A1155,OFFSET(cttba_vlvt1_1,0,-4,-ROW(cttba_vlvt1_1)+ROW(cttba_vltb1_1)-10))</f>
        <v>0</v>
      </c>
      <c r="G1155" s="451">
        <f t="shared" ca="1" si="188"/>
        <v>0</v>
      </c>
      <c r="H1155" s="450">
        <f t="shared" si="185"/>
        <v>45</v>
      </c>
      <c r="I1155" s="447">
        <f t="shared" ca="1" si="189"/>
        <v>0</v>
      </c>
      <c r="J1155" s="447">
        <f t="shared" ca="1" si="190"/>
        <v>0</v>
      </c>
      <c r="K1155" s="373">
        <f t="shared" ca="1" si="191"/>
        <v>0</v>
      </c>
    </row>
    <row r="1156" spans="1:11" s="373" customFormat="1" ht="15.75" hidden="1">
      <c r="A1156" s="373" t="str">
        <f>IF(AND(COUNTIF($A$5:$A$133,R_DG!A1030)=0,R_DG!R1030&gt;0,ISNUMBER(R_DG!R1030)),R_DG!A1030,"NONE")</f>
        <v>GTMBA25</v>
      </c>
      <c r="B1156" s="85">
        <f ca="1">IF(K1156&gt;0,COUNTIF(K$6:K1156,"&gt;0"),B1155)</f>
        <v>34</v>
      </c>
      <c r="C1156" s="1084" t="str">
        <f t="shared" si="186"/>
        <v>Gía chùm treo máy biến áp 3x25</v>
      </c>
      <c r="D1156" s="85" t="str">
        <f t="shared" si="187"/>
        <v>cái</v>
      </c>
      <c r="E1156" s="448">
        <f ca="1">SUMIF(OFFSET(tongctvtdd1,0,-(COLUMN(E1156)+7-(COLUMN(E1156)-5)/2)),KLVT!$A1156,tongctvtdd1)+SUMIF(OFFSET(tongctvtpk1,0,-(COLUMN(E1156)+7-(COLUMN(E1156)-5)/2)),KLVT!$A1156,tongctvtpk1)</f>
        <v>0</v>
      </c>
      <c r="F1156" s="449">
        <f ca="1">SUMIF(OFFSET(cttba_vlvt1_1,0,-9,-ROW(cttba_vlvt1_1)+ROW(cttba_vltb1_1)-10),KLVT!$A1156,OFFSET(cttba_vlvt1_1,0,-4,-ROW(cttba_vlvt1_1)+ROW(cttba_vltb1_1)-10))</f>
        <v>0</v>
      </c>
      <c r="G1156" s="451">
        <f t="shared" ca="1" si="188"/>
        <v>0</v>
      </c>
      <c r="H1156" s="450">
        <f t="shared" si="185"/>
        <v>45</v>
      </c>
      <c r="I1156" s="447">
        <f t="shared" ca="1" si="189"/>
        <v>0</v>
      </c>
      <c r="J1156" s="447">
        <f t="shared" ca="1" si="190"/>
        <v>0</v>
      </c>
      <c r="K1156" s="374">
        <f t="shared" ca="1" si="191"/>
        <v>0</v>
      </c>
    </row>
    <row r="1157" spans="1:11" s="373" customFormat="1" ht="15.75" hidden="1">
      <c r="A1157" s="373" t="str">
        <f>IF(AND(COUNTIF($A$5:$A$133,R_DG!A1031)=0,R_DG!R1031&gt;0,ISNUMBER(R_DG!R1031)),R_DG!A1031,"NONE")</f>
        <v>GTMBA37.5</v>
      </c>
      <c r="B1157" s="85">
        <f ca="1">IF(K1157&gt;0,COUNTIF(K$6:K1157,"&gt;0"),B1156)</f>
        <v>34</v>
      </c>
      <c r="C1157" s="1084" t="str">
        <f t="shared" si="186"/>
        <v>Gía chùm treo máy biến áp 3x37,5</v>
      </c>
      <c r="D1157" s="85" t="str">
        <f t="shared" si="187"/>
        <v>cái</v>
      </c>
      <c r="E1157" s="448">
        <f ca="1">SUMIF(OFFSET(tongctvtdd1,0,-(COLUMN(E1157)+7-(COLUMN(E1157)-5)/2)),KLVT!$A1157,tongctvtdd1)+SUMIF(OFFSET(tongctvtpk1,0,-(COLUMN(E1157)+7-(COLUMN(E1157)-5)/2)),KLVT!$A1157,tongctvtpk1)</f>
        <v>0</v>
      </c>
      <c r="F1157" s="449">
        <f ca="1">SUMIF(OFFSET(cttba_vlvt1_1,0,-9,-ROW(cttba_vlvt1_1)+ROW(cttba_vltb1_1)-10),KLVT!$A1157,OFFSET(cttba_vlvt1_1,0,-4,-ROW(cttba_vlvt1_1)+ROW(cttba_vltb1_1)-10))</f>
        <v>0</v>
      </c>
      <c r="G1157" s="451">
        <f t="shared" ca="1" si="188"/>
        <v>0</v>
      </c>
      <c r="H1157" s="450">
        <f t="shared" si="185"/>
        <v>45</v>
      </c>
      <c r="I1157" s="447">
        <f t="shared" ca="1" si="189"/>
        <v>0</v>
      </c>
      <c r="J1157" s="447">
        <f t="shared" ca="1" si="190"/>
        <v>0</v>
      </c>
      <c r="K1157" s="373">
        <f t="shared" ca="1" si="191"/>
        <v>0</v>
      </c>
    </row>
    <row r="1158" spans="1:11" s="373" customFormat="1" hidden="1">
      <c r="A1158" s="373" t="str">
        <f>IF(AND(COUNTIF($A$5:$A$133,R_DG!A1032)=0,R_DG!R1032&gt;0,ISNUMBER(R_DG!R1032)),R_DG!A1032,"NONE")</f>
        <v>GTMBA50</v>
      </c>
      <c r="B1158" s="85">
        <f ca="1">IF(K1158&gt;0,COUNTIF(K$6:K1158,"&gt;0"),B1157)</f>
        <v>34</v>
      </c>
      <c r="C1158" s="1084" t="str">
        <f t="shared" si="186"/>
        <v>Gía chùm treo máy biến áp 3x50kVA</v>
      </c>
      <c r="D1158" s="85" t="str">
        <f t="shared" si="187"/>
        <v>bô</v>
      </c>
      <c r="E1158" s="448">
        <f ca="1">SUMIF(OFFSET(tongctvtdd1,0,-(COLUMN(E1158)+7-(COLUMN(E1158)-5)/2)),KLVT!$A1158,tongctvtdd1)+SUMIF(OFFSET(tongctvtpk1,0,-(COLUMN(E1158)+7-(COLUMN(E1158)-5)/2)),KLVT!$A1158,tongctvtpk1)</f>
        <v>0</v>
      </c>
      <c r="F1158" s="449">
        <f ca="1">SUMIF(OFFSET(cttba_vlvt1_1,0,-9,-ROW(cttba_vlvt1_1)+ROW(cttba_vltb1_1)-10),KLVT!$A1158,OFFSET(cttba_vlvt1_1,0,-4,-ROW(cttba_vlvt1_1)+ROW(cttba_vltb1_1)-10))</f>
        <v>0</v>
      </c>
      <c r="G1158" s="451">
        <f t="shared" ca="1" si="188"/>
        <v>0</v>
      </c>
      <c r="H1158" s="450">
        <f t="shared" ref="H1158:H1221" si="192">VLOOKUP(A1158,DONGIA,18,0)</f>
        <v>45</v>
      </c>
      <c r="I1158" s="447">
        <f t="shared" ca="1" si="189"/>
        <v>0</v>
      </c>
      <c r="J1158" s="447">
        <f t="shared" ca="1" si="190"/>
        <v>0</v>
      </c>
      <c r="K1158" s="1095">
        <f t="shared" ca="1" si="191"/>
        <v>0</v>
      </c>
    </row>
    <row r="1159" spans="1:11" s="373" customFormat="1" ht="15.75" hidden="1">
      <c r="A1159" s="373" t="str">
        <f>IF(AND(COUNTIF($A$5:$A$133,R_DG!A1033)=0,R_DG!R1033&gt;0,ISNUMBER(R_DG!R1033)),R_DG!A1033,"NONE")</f>
        <v>GTMBA75</v>
      </c>
      <c r="B1159" s="85">
        <f ca="1">IF(K1159&gt;0,COUNTIF(K$6:K1159,"&gt;0"),B1158)</f>
        <v>34</v>
      </c>
      <c r="C1159" s="1084" t="str">
        <f t="shared" si="186"/>
        <v>Gía chùm treo máy biến áp 3x75kVA</v>
      </c>
      <c r="D1159" s="85" t="str">
        <f t="shared" si="187"/>
        <v>cái</v>
      </c>
      <c r="E1159" s="448">
        <f ca="1">SUMIF(OFFSET(tongctvtdd1,0,-(COLUMN(E1159)+7-(COLUMN(E1159)-5)/2)),KLVT!$A1159,tongctvtdd1)+SUMIF(OFFSET(tongctvtpk1,0,-(COLUMN(E1159)+7-(COLUMN(E1159)-5)/2)),KLVT!$A1159,tongctvtpk1)</f>
        <v>0</v>
      </c>
      <c r="F1159" s="449">
        <f ca="1">SUMIF(OFFSET(cttba_vlvt1_1,0,-9,-ROW(cttba_vlvt1_1)+ROW(cttba_vltb1_1)-10),KLVT!$A1159,OFFSET(cttba_vlvt1_1,0,-4,-ROW(cttba_vlvt1_1)+ROW(cttba_vltb1_1)-10))</f>
        <v>0</v>
      </c>
      <c r="G1159" s="451">
        <f t="shared" ca="1" si="188"/>
        <v>0</v>
      </c>
      <c r="H1159" s="450">
        <f t="shared" si="192"/>
        <v>51</v>
      </c>
      <c r="I1159" s="447">
        <f t="shared" ca="1" si="189"/>
        <v>0</v>
      </c>
      <c r="J1159" s="447">
        <f t="shared" ca="1" si="190"/>
        <v>0</v>
      </c>
      <c r="K1159" s="373">
        <f t="shared" ca="1" si="191"/>
        <v>0</v>
      </c>
    </row>
    <row r="1160" spans="1:11" s="373" customFormat="1" ht="15.75" hidden="1">
      <c r="A1160" s="373" t="str">
        <f>IF(AND(COUNTIF($A$5:$A$133,R_DG!A1034)=0,R_DG!R1034&gt;0,ISNUMBER(R_DG!R1034)),R_DG!A1034,"NONE")</f>
        <v>GTMBA100</v>
      </c>
      <c r="B1160" s="85">
        <f ca="1">IF(K1160&gt;0,COUNTIF(K$6:K1160,"&gt;0"),B1159)</f>
        <v>34</v>
      </c>
      <c r="C1160" s="1084" t="str">
        <f t="shared" si="186"/>
        <v>Gía chùm treo máy biến áp 3x100kVA</v>
      </c>
      <c r="D1160" s="85" t="str">
        <f t="shared" si="187"/>
        <v>cái</v>
      </c>
      <c r="E1160" s="448">
        <f ca="1">SUMIF(OFFSET(tongctvtdd1,0,-(COLUMN(E1160)+7-(COLUMN(E1160)-5)/2)),KLVT!$A1160,tongctvtdd1)+SUMIF(OFFSET(tongctvtpk1,0,-(COLUMN(E1160)+7-(COLUMN(E1160)-5)/2)),KLVT!$A1160,tongctvtpk1)</f>
        <v>0</v>
      </c>
      <c r="F1160" s="449">
        <f ca="1">SUMIF(OFFSET(cttba_vlvt1_1,0,-9,-ROW(cttba_vlvt1_1)+ROW(cttba_vltb1_1)-10),KLVT!$A1160,OFFSET(cttba_vlvt1_1,0,-4,-ROW(cttba_vlvt1_1)+ROW(cttba_vltb1_1)-10))</f>
        <v>0</v>
      </c>
      <c r="G1160" s="451">
        <f t="shared" ca="1" si="188"/>
        <v>0</v>
      </c>
      <c r="H1160" s="450">
        <f t="shared" si="192"/>
        <v>55</v>
      </c>
      <c r="I1160" s="447">
        <f t="shared" ca="1" si="189"/>
        <v>0</v>
      </c>
      <c r="J1160" s="447">
        <f t="shared" ca="1" si="190"/>
        <v>0</v>
      </c>
      <c r="K1160" s="373">
        <f t="shared" ca="1" si="191"/>
        <v>0</v>
      </c>
    </row>
    <row r="1161" spans="1:11" s="373" customFormat="1" ht="15.75" hidden="1">
      <c r="A1161" s="373" t="str">
        <f>IF(AND(COUNTIF($A$5:$A$133,R_DG!A1035)=0,R_DG!R1035&gt;0,ISNUMBER(R_DG!R1035)),R_DG!A1035,"NONE")</f>
        <v>COSE16</v>
      </c>
      <c r="B1161" s="85">
        <f ca="1">IF(K1161&gt;0,COUNTIF(K$6:K1161,"&gt;0"),B1160)</f>
        <v>34</v>
      </c>
      <c r="C1161" s="1084" t="str">
        <f t="shared" si="186"/>
        <v>Đầu cosse ép Cu-Al 16mm2</v>
      </c>
      <c r="D1161" s="85" t="str">
        <f t="shared" si="187"/>
        <v>cái</v>
      </c>
      <c r="E1161" s="448">
        <f ca="1">SUMIF(OFFSET(tongctvtdd1,0,-(COLUMN(E1161)+7-(COLUMN(E1161)-5)/2)),KLVT!$A1161,tongctvtdd1)+SUMIF(OFFSET(tongctvtpk1,0,-(COLUMN(E1161)+7-(COLUMN(E1161)-5)/2)),KLVT!$A1161,tongctvtpk1)</f>
        <v>0</v>
      </c>
      <c r="F1161" s="449">
        <f ca="1">SUMIF(OFFSET(cttba_vlvt1_1,0,-9,-ROW(cttba_vlvt1_1)+ROW(cttba_vltb1_1)-10),KLVT!$A1161,OFFSET(cttba_vlvt1_1,0,-4,-ROW(cttba_vlvt1_1)+ROW(cttba_vltb1_1)-10))</f>
        <v>0</v>
      </c>
      <c r="G1161" s="451">
        <f t="shared" ca="1" si="188"/>
        <v>0</v>
      </c>
      <c r="H1161" s="450">
        <f t="shared" si="192"/>
        <v>0.2</v>
      </c>
      <c r="I1161" s="447">
        <f t="shared" ca="1" si="189"/>
        <v>0</v>
      </c>
      <c r="J1161" s="447">
        <f t="shared" ca="1" si="190"/>
        <v>0</v>
      </c>
      <c r="K1161" s="373">
        <f t="shared" ca="1" si="191"/>
        <v>0</v>
      </c>
    </row>
    <row r="1162" spans="1:11" s="373" customFormat="1" ht="15.75" hidden="1">
      <c r="A1162" s="373" t="str">
        <f>IF(AND(COUNTIF($A$5:$A$133,R_DG!A1036)=0,R_DG!R1036&gt;0,ISNUMBER(R_DG!R1036)),R_DG!A1036,"NONE")</f>
        <v>COSE25</v>
      </c>
      <c r="B1162" s="85">
        <f ca="1">IF(K1162&gt;0,COUNTIF(K$6:K1162,"&gt;0"),B1161)</f>
        <v>34</v>
      </c>
      <c r="C1162" s="1084" t="str">
        <f t="shared" si="186"/>
        <v>Đầu cosse ép Cu-Al 25mm2</v>
      </c>
      <c r="D1162" s="85" t="str">
        <f t="shared" si="187"/>
        <v>cái</v>
      </c>
      <c r="E1162" s="448">
        <f ca="1">SUMIF(OFFSET(tongctvtdd1,0,-(COLUMN(E1162)+7-(COLUMN(E1162)-5)/2)),KLVT!$A1162,tongctvtdd1)+SUMIF(OFFSET(tongctvtpk1,0,-(COLUMN(E1162)+7-(COLUMN(E1162)-5)/2)),KLVT!$A1162,tongctvtpk1)</f>
        <v>0</v>
      </c>
      <c r="F1162" s="449">
        <f ca="1">SUMIF(OFFSET(cttba_vlvt1_1,0,-9,-ROW(cttba_vlvt1_1)+ROW(cttba_vltb1_1)-10),KLVT!$A1162,OFFSET(cttba_vlvt1_1,0,-4,-ROW(cttba_vlvt1_1)+ROW(cttba_vltb1_1)-10))</f>
        <v>0</v>
      </c>
      <c r="G1162" s="451">
        <f t="shared" ca="1" si="188"/>
        <v>0</v>
      </c>
      <c r="H1162" s="450">
        <f t="shared" si="192"/>
        <v>0.2</v>
      </c>
      <c r="I1162" s="447">
        <f t="shared" ca="1" si="189"/>
        <v>0</v>
      </c>
      <c r="J1162" s="447">
        <f t="shared" ca="1" si="190"/>
        <v>0</v>
      </c>
      <c r="K1162" s="373">
        <f t="shared" ca="1" si="191"/>
        <v>0</v>
      </c>
    </row>
    <row r="1163" spans="1:11" s="373" customFormat="1" hidden="1">
      <c r="A1163" s="373" t="str">
        <f>IF(AND(COUNTIF($A$5:$A$133,R_DG!A1037)=0,R_DG!R1037&gt;0,ISNUMBER(R_DG!R1037)),R_DG!A1037,"NONE")</f>
        <v>COSE50</v>
      </c>
      <c r="B1163" s="85">
        <f ca="1">IF(K1163&gt;0,COUNTIF(K$6:K1163,"&gt;0"),B1162)</f>
        <v>34</v>
      </c>
      <c r="C1163" s="1084" t="str">
        <f t="shared" si="186"/>
        <v>Đầu cosse ép Cu-Al 50mm2</v>
      </c>
      <c r="D1163" s="85" t="str">
        <f t="shared" si="187"/>
        <v>cái</v>
      </c>
      <c r="E1163" s="448">
        <f ca="1">SUMIF(OFFSET(tongctvtdd1,0,-(COLUMN(E1163)+7-(COLUMN(E1163)-5)/2)),KLVT!$A1163,tongctvtdd1)+SUMIF(OFFSET(tongctvtpk1,0,-(COLUMN(E1163)+7-(COLUMN(E1163)-5)/2)),KLVT!$A1163,tongctvtpk1)</f>
        <v>0</v>
      </c>
      <c r="F1163" s="449">
        <f ca="1">SUMIF(OFFSET(cttba_vlvt1_1,0,-9,-ROW(cttba_vlvt1_1)+ROW(cttba_vltb1_1)-10),KLVT!$A1163,OFFSET(cttba_vlvt1_1,0,-4,-ROW(cttba_vlvt1_1)+ROW(cttba_vltb1_1)-10))</f>
        <v>0</v>
      </c>
      <c r="G1163" s="451">
        <f t="shared" ca="1" si="188"/>
        <v>0</v>
      </c>
      <c r="H1163" s="450">
        <f t="shared" si="192"/>
        <v>0.2</v>
      </c>
      <c r="I1163" s="447">
        <f t="shared" ca="1" si="189"/>
        <v>0</v>
      </c>
      <c r="J1163" s="447">
        <f t="shared" ca="1" si="190"/>
        <v>0</v>
      </c>
      <c r="K1163" s="1094">
        <f t="shared" ca="1" si="191"/>
        <v>0</v>
      </c>
    </row>
    <row r="1164" spans="1:11" s="373" customFormat="1" ht="15.75" hidden="1">
      <c r="A1164" s="373" t="str">
        <f>IF(AND(COUNTIF($A$5:$A$133,R_DG!A1038)=0,R_DG!R1038&gt;0,ISNUMBER(R_DG!R1038)),R_DG!A1038,"NONE")</f>
        <v>COSE70</v>
      </c>
      <c r="B1164" s="85">
        <f ca="1">IF(K1164&gt;0,COUNTIF(K$6:K1164,"&gt;0"),B1163)</f>
        <v>34</v>
      </c>
      <c r="C1164" s="1084" t="str">
        <f t="shared" si="186"/>
        <v>Đầu cosse ép Cu-Al 70mm2</v>
      </c>
      <c r="D1164" s="85" t="str">
        <f t="shared" si="187"/>
        <v>cái</v>
      </c>
      <c r="E1164" s="448">
        <f ca="1">SUMIF(OFFSET(tongctvtdd1,0,-(COLUMN(E1164)+7-(COLUMN(E1164)-5)/2)),KLVT!$A1164,tongctvtdd1)+SUMIF(OFFSET(tongctvtpk1,0,-(COLUMN(E1164)+7-(COLUMN(E1164)-5)/2)),KLVT!$A1164,tongctvtpk1)</f>
        <v>0</v>
      </c>
      <c r="F1164" s="449">
        <f ca="1">SUMIF(OFFSET(cttba_vlvt1_1,0,-9,-ROW(cttba_vlvt1_1)+ROW(cttba_vltb1_1)-10),KLVT!$A1164,OFFSET(cttba_vlvt1_1,0,-4,-ROW(cttba_vlvt1_1)+ROW(cttba_vltb1_1)-10))</f>
        <v>0</v>
      </c>
      <c r="G1164" s="451">
        <f t="shared" ca="1" si="188"/>
        <v>0</v>
      </c>
      <c r="H1164" s="450">
        <f t="shared" si="192"/>
        <v>0.2</v>
      </c>
      <c r="I1164" s="447">
        <f t="shared" ca="1" si="189"/>
        <v>0</v>
      </c>
      <c r="J1164" s="447">
        <f t="shared" ca="1" si="190"/>
        <v>0</v>
      </c>
      <c r="K1164" s="373">
        <f t="shared" ca="1" si="191"/>
        <v>0</v>
      </c>
    </row>
    <row r="1165" spans="1:11" s="373" customFormat="1" ht="15.75" hidden="1">
      <c r="A1165" s="373" t="str">
        <f>IF(AND(COUNTIF($A$5:$A$133,R_DG!A1039)=0,R_DG!R1039&gt;0,ISNUMBER(R_DG!R1039)),R_DG!A1039,"NONE")</f>
        <v>COSE95</v>
      </c>
      <c r="B1165" s="85">
        <f ca="1">IF(K1165&gt;0,COUNTIF(K$6:K1165,"&gt;0"),B1164)</f>
        <v>34</v>
      </c>
      <c r="C1165" s="1084" t="str">
        <f t="shared" si="186"/>
        <v>Đầu cosse ép Cu-Al 95mm2</v>
      </c>
      <c r="D1165" s="85" t="str">
        <f t="shared" si="187"/>
        <v>cái</v>
      </c>
      <c r="E1165" s="448">
        <f ca="1">SUMIF(OFFSET(tongctvtdd1,0,-(COLUMN(E1165)+7-(COLUMN(E1165)-5)/2)),KLVT!$A1165,tongctvtdd1)+SUMIF(OFFSET(tongctvtpk1,0,-(COLUMN(E1165)+7-(COLUMN(E1165)-5)/2)),KLVT!$A1165,tongctvtpk1)</f>
        <v>0</v>
      </c>
      <c r="F1165" s="449">
        <f ca="1">SUMIF(OFFSET(cttba_vlvt1_1,0,-9,-ROW(cttba_vlvt1_1)+ROW(cttba_vltb1_1)-10),KLVT!$A1165,OFFSET(cttba_vlvt1_1,0,-4,-ROW(cttba_vlvt1_1)+ROW(cttba_vltb1_1)-10))</f>
        <v>0</v>
      </c>
      <c r="G1165" s="451">
        <f t="shared" ca="1" si="188"/>
        <v>0</v>
      </c>
      <c r="H1165" s="450">
        <f t="shared" si="192"/>
        <v>0.2</v>
      </c>
      <c r="I1165" s="447">
        <f t="shared" ca="1" si="189"/>
        <v>0</v>
      </c>
      <c r="J1165" s="447">
        <f t="shared" ca="1" si="190"/>
        <v>0</v>
      </c>
      <c r="K1165" s="373">
        <f t="shared" ca="1" si="191"/>
        <v>0</v>
      </c>
    </row>
    <row r="1166" spans="1:11" s="373" customFormat="1" ht="15.75" hidden="1">
      <c r="A1166" s="373" t="str">
        <f>IF(AND(COUNTIF($A$5:$A$133,R_DG!A1040)=0,R_DG!R1040&gt;0,ISNUMBER(R_DG!R1040)),R_DG!A1040,"NONE")</f>
        <v>COSE120</v>
      </c>
      <c r="B1166" s="85">
        <f ca="1">IF(K1166&gt;0,COUNTIF(K$6:K1166,"&gt;0"),B1165)</f>
        <v>34</v>
      </c>
      <c r="C1166" s="1084" t="str">
        <f t="shared" si="186"/>
        <v>Đầu cosse ép Cu-Al 120mm2</v>
      </c>
      <c r="D1166" s="85" t="str">
        <f t="shared" si="187"/>
        <v>cái</v>
      </c>
      <c r="E1166" s="448">
        <f ca="1">SUMIF(OFFSET(tongctvtdd1,0,-(COLUMN(E1166)+7-(COLUMN(E1166)-5)/2)),KLVT!$A1166,tongctvtdd1)+SUMIF(OFFSET(tongctvtpk1,0,-(COLUMN(E1166)+7-(COLUMN(E1166)-5)/2)),KLVT!$A1166,tongctvtpk1)</f>
        <v>0</v>
      </c>
      <c r="F1166" s="449">
        <f ca="1">SUMIF(OFFSET(cttba_vlvt1_1,0,-9,-ROW(cttba_vlvt1_1)+ROW(cttba_vltb1_1)-10),KLVT!$A1166,OFFSET(cttba_vlvt1_1,0,-4,-ROW(cttba_vlvt1_1)+ROW(cttba_vltb1_1)-10))</f>
        <v>0</v>
      </c>
      <c r="G1166" s="451">
        <f t="shared" ca="1" si="188"/>
        <v>0</v>
      </c>
      <c r="H1166" s="450">
        <f t="shared" si="192"/>
        <v>0.2</v>
      </c>
      <c r="I1166" s="447">
        <f t="shared" ca="1" si="189"/>
        <v>0</v>
      </c>
      <c r="J1166" s="447">
        <f t="shared" ca="1" si="190"/>
        <v>0</v>
      </c>
      <c r="K1166" s="373">
        <f t="shared" ca="1" si="191"/>
        <v>0</v>
      </c>
    </row>
    <row r="1167" spans="1:11" s="373" customFormat="1" ht="15.75" hidden="1">
      <c r="A1167" s="373" t="str">
        <f>IF(AND(COUNTIF($A$5:$A$133,R_DG!A1041)=0,R_DG!R1041&gt;0,ISNUMBER(R_DG!R1041)),R_DG!A1041,"NONE")</f>
        <v>COSE150</v>
      </c>
      <c r="B1167" s="85">
        <f ca="1">IF(K1167&gt;0,COUNTIF(K$6:K1167,"&gt;0"),B1166)</f>
        <v>34</v>
      </c>
      <c r="C1167" s="1084" t="str">
        <f t="shared" si="186"/>
        <v>Đầu cosse ép Cu-Al 150mm2</v>
      </c>
      <c r="D1167" s="85" t="str">
        <f t="shared" si="187"/>
        <v>cái</v>
      </c>
      <c r="E1167" s="448">
        <f ca="1">SUMIF(OFFSET(tongctvtdd1,0,-(COLUMN(E1167)+7-(COLUMN(E1167)-5)/2)),KLVT!$A1167,tongctvtdd1)+SUMIF(OFFSET(tongctvtpk1,0,-(COLUMN(E1167)+7-(COLUMN(E1167)-5)/2)),KLVT!$A1167,tongctvtpk1)</f>
        <v>0</v>
      </c>
      <c r="F1167" s="449">
        <f ca="1">SUMIF(OFFSET(cttba_vlvt1_1,0,-9,-ROW(cttba_vlvt1_1)+ROW(cttba_vltb1_1)-10),KLVT!$A1167,OFFSET(cttba_vlvt1_1,0,-4,-ROW(cttba_vlvt1_1)+ROW(cttba_vltb1_1)-10))</f>
        <v>0</v>
      </c>
      <c r="G1167" s="451">
        <f t="shared" ca="1" si="188"/>
        <v>0</v>
      </c>
      <c r="H1167" s="450">
        <f t="shared" si="192"/>
        <v>0.2</v>
      </c>
      <c r="I1167" s="447">
        <f t="shared" ca="1" si="189"/>
        <v>0</v>
      </c>
      <c r="J1167" s="447">
        <f t="shared" ca="1" si="190"/>
        <v>0</v>
      </c>
      <c r="K1167" s="373">
        <f t="shared" ca="1" si="191"/>
        <v>0</v>
      </c>
    </row>
    <row r="1168" spans="1:11" s="373" customFormat="1" ht="15.75" hidden="1">
      <c r="A1168" s="373" t="str">
        <f>IF(AND(COUNTIF($A$5:$A$133,R_DG!A1042)=0,R_DG!R1042&gt;0,ISNUMBER(R_DG!R1042)),R_DG!A1042,"NONE")</f>
        <v>COSE185</v>
      </c>
      <c r="B1168" s="85">
        <f ca="1">IF(K1168&gt;0,COUNTIF(K$6:K1168,"&gt;0"),B1167)</f>
        <v>34</v>
      </c>
      <c r="C1168" s="1084" t="str">
        <f t="shared" si="186"/>
        <v>Đầu cosse ép Cu-Al 185mm2</v>
      </c>
      <c r="D1168" s="85" t="str">
        <f t="shared" si="187"/>
        <v>cái</v>
      </c>
      <c r="E1168" s="448">
        <f ca="1">SUMIF(OFFSET(tongctvtdd1,0,-(COLUMN(E1168)+7-(COLUMN(E1168)-5)/2)),KLVT!$A1168,tongctvtdd1)+SUMIF(OFFSET(tongctvtpk1,0,-(COLUMN(E1168)+7-(COLUMN(E1168)-5)/2)),KLVT!$A1168,tongctvtpk1)</f>
        <v>0</v>
      </c>
      <c r="F1168" s="449">
        <f ca="1">SUMIF(OFFSET(cttba_vlvt1_1,0,-9,-ROW(cttba_vlvt1_1)+ROW(cttba_vltb1_1)-10),KLVT!$A1168,OFFSET(cttba_vlvt1_1,0,-4,-ROW(cttba_vlvt1_1)+ROW(cttba_vltb1_1)-10))</f>
        <v>0</v>
      </c>
      <c r="G1168" s="451">
        <f t="shared" ca="1" si="188"/>
        <v>0</v>
      </c>
      <c r="H1168" s="450">
        <f t="shared" si="192"/>
        <v>0.2</v>
      </c>
      <c r="I1168" s="447">
        <f t="shared" ca="1" si="189"/>
        <v>0</v>
      </c>
      <c r="J1168" s="447">
        <f t="shared" ca="1" si="190"/>
        <v>0</v>
      </c>
      <c r="K1168" s="373">
        <f t="shared" ca="1" si="191"/>
        <v>0</v>
      </c>
    </row>
    <row r="1169" spans="1:11" s="373" customFormat="1" ht="15.75" hidden="1">
      <c r="A1169" s="373" t="str">
        <f>IF(AND(COUNTIF($A$5:$A$133,R_DG!A1043)=0,R_DG!R1043&gt;0,ISNUMBER(R_DG!R1043)),R_DG!A1043,"NONE")</f>
        <v>COSE200</v>
      </c>
      <c r="B1169" s="85">
        <f ca="1">IF(K1169&gt;0,COUNTIF(K$6:K1169,"&gt;0"),B1168)</f>
        <v>34</v>
      </c>
      <c r="C1169" s="1084" t="str">
        <f t="shared" si="186"/>
        <v>Đầu cosse ép Cu-Al 200mm2</v>
      </c>
      <c r="D1169" s="85" t="str">
        <f t="shared" si="187"/>
        <v>cái</v>
      </c>
      <c r="E1169" s="448">
        <f ca="1">SUMIF(OFFSET(tongctvtdd1,0,-(COLUMN(E1169)+7-(COLUMN(E1169)-5)/2)),KLVT!$A1169,tongctvtdd1)+SUMIF(OFFSET(tongctvtpk1,0,-(COLUMN(E1169)+7-(COLUMN(E1169)-5)/2)),KLVT!$A1169,tongctvtpk1)</f>
        <v>0</v>
      </c>
      <c r="F1169" s="449">
        <f ca="1">SUMIF(OFFSET(cttba_vlvt1_1,0,-9,-ROW(cttba_vlvt1_1)+ROW(cttba_vltb1_1)-10),KLVT!$A1169,OFFSET(cttba_vlvt1_1,0,-4,-ROW(cttba_vlvt1_1)+ROW(cttba_vltb1_1)-10))</f>
        <v>0</v>
      </c>
      <c r="G1169" s="451">
        <f t="shared" ca="1" si="188"/>
        <v>0</v>
      </c>
      <c r="H1169" s="450">
        <f t="shared" si="192"/>
        <v>0.2</v>
      </c>
      <c r="I1169" s="447">
        <f t="shared" ca="1" si="189"/>
        <v>0</v>
      </c>
      <c r="J1169" s="447">
        <f t="shared" ca="1" si="190"/>
        <v>0</v>
      </c>
      <c r="K1169" s="373">
        <f t="shared" ca="1" si="191"/>
        <v>0</v>
      </c>
    </row>
    <row r="1170" spans="1:11" s="373" customFormat="1" ht="15.75" hidden="1">
      <c r="A1170" s="373" t="str">
        <f>IF(AND(COUNTIF($A$5:$A$133,R_DG!A1044)=0,R_DG!R1044&gt;0,ISNUMBER(R_DG!R1044)),R_DG!A1044,"NONE")</f>
        <v>COSE240</v>
      </c>
      <c r="B1170" s="85">
        <f ca="1">IF(K1170&gt;0,COUNTIF(K$6:K1170,"&gt;0"),B1169)</f>
        <v>34</v>
      </c>
      <c r="C1170" s="1084" t="str">
        <f t="shared" si="186"/>
        <v>Đầu cosse ép Cu-Al 240mm2</v>
      </c>
      <c r="D1170" s="85" t="str">
        <f t="shared" si="187"/>
        <v>cái</v>
      </c>
      <c r="E1170" s="448">
        <f ca="1">SUMIF(OFFSET(tongctvtdd1,0,-(COLUMN(E1170)+7-(COLUMN(E1170)-5)/2)),KLVT!$A1170,tongctvtdd1)+SUMIF(OFFSET(tongctvtpk1,0,-(COLUMN(E1170)+7-(COLUMN(E1170)-5)/2)),KLVT!$A1170,tongctvtpk1)</f>
        <v>0</v>
      </c>
      <c r="F1170" s="449">
        <f ca="1">SUMIF(OFFSET(cttba_vlvt1_1,0,-9,-ROW(cttba_vlvt1_1)+ROW(cttba_vltb1_1)-10),KLVT!$A1170,OFFSET(cttba_vlvt1_1,0,-4,-ROW(cttba_vlvt1_1)+ROW(cttba_vltb1_1)-10))</f>
        <v>0</v>
      </c>
      <c r="G1170" s="451">
        <f t="shared" ca="1" si="188"/>
        <v>0</v>
      </c>
      <c r="H1170" s="450">
        <f t="shared" si="192"/>
        <v>0.2</v>
      </c>
      <c r="I1170" s="447">
        <f t="shared" ca="1" si="189"/>
        <v>0</v>
      </c>
      <c r="J1170" s="447">
        <f t="shared" ca="1" si="190"/>
        <v>0</v>
      </c>
      <c r="K1170" s="373">
        <f t="shared" ca="1" si="191"/>
        <v>0</v>
      </c>
    </row>
    <row r="1171" spans="1:11" s="373" customFormat="1" ht="15.75" hidden="1">
      <c r="A1171" s="373" t="str">
        <f>IF(AND(COUNTIF($A$5:$A$133,R_DG!A1045)=0,R_DG!R1045&gt;0,ISNUMBER(R_DG!R1045)),R_DG!A1045,"NONE")</f>
        <v>COSE250</v>
      </c>
      <c r="B1171" s="85">
        <f ca="1">IF(K1171&gt;0,COUNTIF(K$6:K1171,"&gt;0"),B1170)</f>
        <v>34</v>
      </c>
      <c r="C1171" s="1084" t="str">
        <f t="shared" si="186"/>
        <v>Đầu cosse ép Cu-Al 250mm2</v>
      </c>
      <c r="D1171" s="85" t="str">
        <f t="shared" si="187"/>
        <v>cái</v>
      </c>
      <c r="E1171" s="448">
        <f ca="1">SUMIF(OFFSET(tongctvtdd1,0,-(COLUMN(E1171)+7-(COLUMN(E1171)-5)/2)),KLVT!$A1171,tongctvtdd1)+SUMIF(OFFSET(tongctvtpk1,0,-(COLUMN(E1171)+7-(COLUMN(E1171)-5)/2)),KLVT!$A1171,tongctvtpk1)</f>
        <v>0</v>
      </c>
      <c r="F1171" s="449">
        <f ca="1">SUMIF(OFFSET(cttba_vlvt1_1,0,-9,-ROW(cttba_vlvt1_1)+ROW(cttba_vltb1_1)-10),KLVT!$A1171,OFFSET(cttba_vlvt1_1,0,-4,-ROW(cttba_vlvt1_1)+ROW(cttba_vltb1_1)-10))</f>
        <v>0</v>
      </c>
      <c r="G1171" s="451">
        <f t="shared" ca="1" si="188"/>
        <v>0</v>
      </c>
      <c r="H1171" s="450">
        <f t="shared" si="192"/>
        <v>0.2</v>
      </c>
      <c r="I1171" s="447">
        <f t="shared" ca="1" si="189"/>
        <v>0</v>
      </c>
      <c r="J1171" s="447">
        <f t="shared" ca="1" si="190"/>
        <v>0</v>
      </c>
      <c r="K1171" s="373">
        <f t="shared" ca="1" si="191"/>
        <v>0</v>
      </c>
    </row>
    <row r="1172" spans="1:11" s="373" customFormat="1" ht="15.75" hidden="1">
      <c r="A1172" s="373" t="str">
        <f>IF(AND(COUNTIF($A$5:$A$133,R_DG!A1046)=0,R_DG!R1046&gt;0,ISNUMBER(R_DG!R1046)),R_DG!A1046,"NONE")</f>
        <v>COSE300</v>
      </c>
      <c r="B1172" s="85">
        <f ca="1">IF(K1172&gt;0,COUNTIF(K$6:K1172,"&gt;0"),B1171)</f>
        <v>34</v>
      </c>
      <c r="C1172" s="1084" t="str">
        <f t="shared" si="186"/>
        <v>Đầu cosse ép Cu-Al 300mm2</v>
      </c>
      <c r="D1172" s="85" t="str">
        <f t="shared" si="187"/>
        <v>cái</v>
      </c>
      <c r="E1172" s="448">
        <f ca="1">SUMIF(OFFSET(tongctvtdd1,0,-(COLUMN(E1172)+7-(COLUMN(E1172)-5)/2)),KLVT!$A1172,tongctvtdd1)+SUMIF(OFFSET(tongctvtpk1,0,-(COLUMN(E1172)+7-(COLUMN(E1172)-5)/2)),KLVT!$A1172,tongctvtpk1)</f>
        <v>0</v>
      </c>
      <c r="F1172" s="449">
        <f ca="1">SUMIF(OFFSET(cttba_vlvt1_1,0,-9,-ROW(cttba_vlvt1_1)+ROW(cttba_vltb1_1)-10),KLVT!$A1172,OFFSET(cttba_vlvt1_1,0,-4,-ROW(cttba_vlvt1_1)+ROW(cttba_vltb1_1)-10))</f>
        <v>0</v>
      </c>
      <c r="G1172" s="451">
        <f t="shared" ca="1" si="188"/>
        <v>0</v>
      </c>
      <c r="H1172" s="450">
        <f t="shared" si="192"/>
        <v>0.2</v>
      </c>
      <c r="I1172" s="447">
        <f t="shared" ca="1" si="189"/>
        <v>0</v>
      </c>
      <c r="J1172" s="447">
        <f t="shared" ca="1" si="190"/>
        <v>0</v>
      </c>
      <c r="K1172" s="373">
        <f t="shared" ca="1" si="191"/>
        <v>0</v>
      </c>
    </row>
    <row r="1173" spans="1:11" s="373" customFormat="1" ht="15.75" hidden="1">
      <c r="A1173" s="373" t="str">
        <f>IF(AND(COUNTIF($A$5:$A$133,R_DG!A1047)=0,R_DG!R1047&gt;0,ISNUMBER(R_DG!R1047)),R_DG!A1047,"NONE")</f>
        <v>COSE300</v>
      </c>
      <c r="B1173" s="85">
        <f ca="1">IF(K1173&gt;0,COUNTIF(K$6:K1173,"&gt;0"),B1172)</f>
        <v>34</v>
      </c>
      <c r="C1173" s="1084" t="str">
        <f t="shared" si="186"/>
        <v>Đầu cosse ép Cu-Al 300mm2</v>
      </c>
      <c r="D1173" s="85" t="str">
        <f t="shared" si="187"/>
        <v>cái</v>
      </c>
      <c r="E1173" s="448">
        <f ca="1">SUMIF(OFFSET(tongctvtdd1,0,-(COLUMN(E1173)+7-(COLUMN(E1173)-5)/2)),KLVT!$A1173,tongctvtdd1)+SUMIF(OFFSET(tongctvtpk1,0,-(COLUMN(E1173)+7-(COLUMN(E1173)-5)/2)),KLVT!$A1173,tongctvtpk1)</f>
        <v>0</v>
      </c>
      <c r="F1173" s="449">
        <f ca="1">SUMIF(OFFSET(cttba_vlvt1_1,0,-9,-ROW(cttba_vlvt1_1)+ROW(cttba_vltb1_1)-10),KLVT!$A1173,OFFSET(cttba_vlvt1_1,0,-4,-ROW(cttba_vlvt1_1)+ROW(cttba_vltb1_1)-10))</f>
        <v>0</v>
      </c>
      <c r="G1173" s="451">
        <f t="shared" ca="1" si="188"/>
        <v>0</v>
      </c>
      <c r="H1173" s="450">
        <f t="shared" si="192"/>
        <v>0.2</v>
      </c>
      <c r="I1173" s="447">
        <f t="shared" ca="1" si="189"/>
        <v>0</v>
      </c>
      <c r="J1173" s="447">
        <f t="shared" ca="1" si="190"/>
        <v>0</v>
      </c>
      <c r="K1173" s="373">
        <f t="shared" ca="1" si="191"/>
        <v>0</v>
      </c>
    </row>
    <row r="1174" spans="1:11" s="373" customFormat="1" ht="15.75" hidden="1">
      <c r="A1174" s="373" t="str">
        <f>IF(AND(COUNTIF($A$5:$A$133,R_DG!A1048)=0,R_DG!R1048&gt;0,ISNUMBER(R_DG!R1048)),R_DG!A1048,"NONE")</f>
        <v>COS5</v>
      </c>
      <c r="B1174" s="85">
        <f ca="1">IF(K1174&gt;0,COUNTIF(K$6:K1174,"&gt;0"),B1173)</f>
        <v>34</v>
      </c>
      <c r="C1174" s="1084" t="str">
        <f t="shared" si="186"/>
        <v>Đầu cosse ép Cu 5mm2</v>
      </c>
      <c r="D1174" s="85" t="str">
        <f t="shared" si="187"/>
        <v>cái</v>
      </c>
      <c r="E1174" s="448">
        <f ca="1">SUMIF(OFFSET(tongctvtdd1,0,-(COLUMN(E1174)+7-(COLUMN(E1174)-5)/2)),KLVT!$A1174,tongctvtdd1)+SUMIF(OFFSET(tongctvtpk1,0,-(COLUMN(E1174)+7-(COLUMN(E1174)-5)/2)),KLVT!$A1174,tongctvtpk1)</f>
        <v>0</v>
      </c>
      <c r="F1174" s="449">
        <f ca="1">SUMIF(OFFSET(cttba_vlvt1_1,0,-9,-ROW(cttba_vlvt1_1)+ROW(cttba_vltb1_1)-10),KLVT!$A1174,OFFSET(cttba_vlvt1_1,0,-4,-ROW(cttba_vlvt1_1)+ROW(cttba_vltb1_1)-10))</f>
        <v>0</v>
      </c>
      <c r="G1174" s="451">
        <f t="shared" ca="1" si="188"/>
        <v>0</v>
      </c>
      <c r="H1174" s="450">
        <f t="shared" si="192"/>
        <v>0.1</v>
      </c>
      <c r="I1174" s="447">
        <f t="shared" ca="1" si="189"/>
        <v>0</v>
      </c>
      <c r="J1174" s="447">
        <f t="shared" ca="1" si="190"/>
        <v>0</v>
      </c>
      <c r="K1174" s="373">
        <f t="shared" ca="1" si="191"/>
        <v>0</v>
      </c>
    </row>
    <row r="1175" spans="1:11" s="373" customFormat="1" ht="15.75" hidden="1">
      <c r="A1175" s="373" t="str">
        <f>IF(AND(COUNTIF($A$5:$A$133,R_DG!A1049)=0,R_DG!R1049&gt;0,ISNUMBER(R_DG!R1049)),R_DG!A1049,"NONE")</f>
        <v>COS11</v>
      </c>
      <c r="B1175" s="85">
        <f ca="1">IF(K1175&gt;0,COUNTIF(K$6:K1175,"&gt;0"),B1174)</f>
        <v>34</v>
      </c>
      <c r="C1175" s="1084" t="str">
        <f t="shared" si="186"/>
        <v>Đầu cosse ép Cu 11mm2</v>
      </c>
      <c r="D1175" s="85" t="str">
        <f t="shared" si="187"/>
        <v>cái</v>
      </c>
      <c r="E1175" s="448">
        <f ca="1">SUMIF(OFFSET(tongctvtdd1,0,-(COLUMN(E1175)+7-(COLUMN(E1175)-5)/2)),KLVT!$A1175,tongctvtdd1)+SUMIF(OFFSET(tongctvtpk1,0,-(COLUMN(E1175)+7-(COLUMN(E1175)-5)/2)),KLVT!$A1175,tongctvtpk1)</f>
        <v>0</v>
      </c>
      <c r="F1175" s="449">
        <f ca="1">SUMIF(OFFSET(cttba_vlvt1_1,0,-9,-ROW(cttba_vlvt1_1)+ROW(cttba_vltb1_1)-10),KLVT!$A1175,OFFSET(cttba_vlvt1_1,0,-4,-ROW(cttba_vlvt1_1)+ROW(cttba_vltb1_1)-10))</f>
        <v>0</v>
      </c>
      <c r="G1175" s="451">
        <f t="shared" ca="1" si="188"/>
        <v>0</v>
      </c>
      <c r="H1175" s="450">
        <f t="shared" si="192"/>
        <v>0.1</v>
      </c>
      <c r="I1175" s="447">
        <f t="shared" ca="1" si="189"/>
        <v>0</v>
      </c>
      <c r="J1175" s="447">
        <f t="shared" ca="1" si="190"/>
        <v>0</v>
      </c>
      <c r="K1175" s="374">
        <f t="shared" ca="1" si="191"/>
        <v>0</v>
      </c>
    </row>
    <row r="1176" spans="1:11" s="373" customFormat="1" ht="15.75" hidden="1">
      <c r="A1176" s="373" t="str">
        <f>IF(AND(COUNTIF($A$5:$A$133,R_DG!A1050)=0,R_DG!R1050&gt;0,ISNUMBER(R_DG!R1050)),R_DG!A1050,"NONE")</f>
        <v>COS16</v>
      </c>
      <c r="B1176" s="85">
        <f ca="1">IF(K1176&gt;0,COUNTIF(K$6:K1176,"&gt;0"),B1175)</f>
        <v>34</v>
      </c>
      <c r="C1176" s="1084" t="str">
        <f t="shared" si="186"/>
        <v>Đầu cosse ép Cu 16mm2</v>
      </c>
      <c r="D1176" s="85" t="str">
        <f t="shared" si="187"/>
        <v>cái</v>
      </c>
      <c r="E1176" s="448">
        <f ca="1">SUMIF(OFFSET(tongctvtdd1,0,-(COLUMN(E1176)+7-(COLUMN(E1176)-5)/2)),KLVT!$A1176,tongctvtdd1)+SUMIF(OFFSET(tongctvtpk1,0,-(COLUMN(E1176)+7-(COLUMN(E1176)-5)/2)),KLVT!$A1176,tongctvtpk1)</f>
        <v>0</v>
      </c>
      <c r="F1176" s="449">
        <f ca="1">SUMIF(OFFSET(cttba_vlvt1_1,0,-9,-ROW(cttba_vlvt1_1)+ROW(cttba_vltb1_1)-10),KLVT!$A1176,OFFSET(cttba_vlvt1_1,0,-4,-ROW(cttba_vlvt1_1)+ROW(cttba_vltb1_1)-10))</f>
        <v>0</v>
      </c>
      <c r="G1176" s="451">
        <f t="shared" ca="1" si="188"/>
        <v>0</v>
      </c>
      <c r="H1176" s="450">
        <f t="shared" si="192"/>
        <v>0.1</v>
      </c>
      <c r="I1176" s="447">
        <f t="shared" ca="1" si="189"/>
        <v>0</v>
      </c>
      <c r="J1176" s="447">
        <f t="shared" ca="1" si="190"/>
        <v>0</v>
      </c>
      <c r="K1176" s="373">
        <f t="shared" ca="1" si="191"/>
        <v>0</v>
      </c>
    </row>
    <row r="1177" spans="1:11" s="373" customFormat="1" ht="15.75" hidden="1">
      <c r="A1177" s="373" t="str">
        <f>IF(AND(COUNTIF($A$5:$A$133,R_DG!A1051)=0,R_DG!R1051&gt;0,ISNUMBER(R_DG!R1051)),R_DG!A1051,"NONE")</f>
        <v>COS22</v>
      </c>
      <c r="B1177" s="85">
        <f ca="1">IF(K1177&gt;0,COUNTIF(K$6:K1177,"&gt;0"),B1176)</f>
        <v>34</v>
      </c>
      <c r="C1177" s="1084" t="str">
        <f t="shared" si="186"/>
        <v>Đầu cosse ép Cu 22mm2</v>
      </c>
      <c r="D1177" s="85" t="str">
        <f t="shared" si="187"/>
        <v>cái</v>
      </c>
      <c r="E1177" s="448">
        <f ca="1">SUMIF(OFFSET(tongctvtdd1,0,-(COLUMN(E1177)+7-(COLUMN(E1177)-5)/2)),KLVT!$A1177,tongctvtdd1)+SUMIF(OFFSET(tongctvtpk1,0,-(COLUMN(E1177)+7-(COLUMN(E1177)-5)/2)),KLVT!$A1177,tongctvtpk1)</f>
        <v>0</v>
      </c>
      <c r="F1177" s="449">
        <f ca="1">SUMIF(OFFSET(cttba_vlvt1_1,0,-9,-ROW(cttba_vlvt1_1)+ROW(cttba_vltb1_1)-10),KLVT!$A1177,OFFSET(cttba_vlvt1_1,0,-4,-ROW(cttba_vlvt1_1)+ROW(cttba_vltb1_1)-10))</f>
        <v>0</v>
      </c>
      <c r="G1177" s="451">
        <f t="shared" ca="1" si="188"/>
        <v>0</v>
      </c>
      <c r="H1177" s="450">
        <f t="shared" si="192"/>
        <v>0.1</v>
      </c>
      <c r="I1177" s="447">
        <f t="shared" ca="1" si="189"/>
        <v>0</v>
      </c>
      <c r="J1177" s="447">
        <f t="shared" ca="1" si="190"/>
        <v>0</v>
      </c>
      <c r="K1177" s="373">
        <f t="shared" ca="1" si="191"/>
        <v>0</v>
      </c>
    </row>
    <row r="1178" spans="1:11">
      <c r="A1178" s="1251" t="str">
        <f>IF(AND(COUNTIF($A$5:$A$133,R_DG!A1052)=0,R_DG!R1052&gt;0,ISNUMBER(R_DG!R1052)),R_DG!A1052,"NONE")</f>
        <v>COS25</v>
      </c>
      <c r="B1178" s="438">
        <f ca="1">IF(K1178&gt;0,COUNTIF(K$6:K1178,"&gt;0"),B1177)</f>
        <v>35</v>
      </c>
      <c r="C1178" s="1278" t="str">
        <f t="shared" si="186"/>
        <v>Đầu cosse ép Cu 25mm2</v>
      </c>
      <c r="D1178" s="438" t="str">
        <f t="shared" si="187"/>
        <v>cái</v>
      </c>
      <c r="E1178" s="1276">
        <f ca="1">SUMIF(OFFSET(tongctvtdd1,0,-(COLUMN(E1178)+7-(COLUMN(E1178)-5)/2)),KLVT!$A1178,tongctvtdd1)+SUMIF(OFFSET(tongctvtpk1,0,-(COLUMN(E1178)+7-(COLUMN(E1178)-5)/2)),KLVT!$A1178,tongctvtpk1)</f>
        <v>34</v>
      </c>
      <c r="F1178" s="1277">
        <f ca="1">SUMIF(OFFSET(cttba_vlvt1_1,0,-9,-ROW(cttba_vlvt1_1)+ROW(cttba_vltb1_1)-10),KLVT!$A1178,OFFSET(cttba_vlvt1_1,0,-4,-ROW(cttba_vlvt1_1)+ROW(cttba_vltb1_1)-10))</f>
        <v>0</v>
      </c>
      <c r="G1178" s="1277">
        <f t="shared" ca="1" si="188"/>
        <v>34</v>
      </c>
      <c r="H1178" s="1274">
        <f t="shared" si="192"/>
        <v>0.1</v>
      </c>
      <c r="I1178" s="1279">
        <f t="shared" ca="1" si="189"/>
        <v>3.4000000000000004</v>
      </c>
      <c r="J1178" s="1279">
        <f t="shared" ca="1" si="190"/>
        <v>0</v>
      </c>
      <c r="K1178" s="1268">
        <f t="shared" ca="1" si="191"/>
        <v>1</v>
      </c>
    </row>
    <row r="1179" spans="1:11" s="373" customFormat="1" ht="15.75" hidden="1">
      <c r="A1179" s="373" t="str">
        <f>IF(AND(COUNTIF($A$5:$A$133,R_DG!A1053)=0,R_DG!R1053&gt;0,ISNUMBER(R_DG!R1053)),R_DG!A1053,"NONE")</f>
        <v>COS35</v>
      </c>
      <c r="B1179" s="85">
        <f ca="1">IF(K1179&gt;0,COUNTIF(K$6:K1179,"&gt;0"),B1178)</f>
        <v>35</v>
      </c>
      <c r="C1179" s="1084" t="str">
        <f t="shared" si="186"/>
        <v>Đầu cosse ép Cu 35mm2</v>
      </c>
      <c r="D1179" s="85" t="str">
        <f t="shared" si="187"/>
        <v>cái</v>
      </c>
      <c r="E1179" s="448">
        <f ca="1">SUMIF(OFFSET(tongctvtdd1,0,-(COLUMN(E1179)+7-(COLUMN(E1179)-5)/2)),KLVT!$A1179,tongctvtdd1)+SUMIF(OFFSET(tongctvtpk1,0,-(COLUMN(E1179)+7-(COLUMN(E1179)-5)/2)),KLVT!$A1179,tongctvtpk1)</f>
        <v>0</v>
      </c>
      <c r="F1179" s="449">
        <f ca="1">SUMIF(OFFSET(cttba_vlvt1_1,0,-9,-ROW(cttba_vlvt1_1)+ROW(cttba_vltb1_1)-10),KLVT!$A1179,OFFSET(cttba_vlvt1_1,0,-4,-ROW(cttba_vlvt1_1)+ROW(cttba_vltb1_1)-10))</f>
        <v>0</v>
      </c>
      <c r="G1179" s="451">
        <f t="shared" ca="1" si="188"/>
        <v>0</v>
      </c>
      <c r="H1179" s="450">
        <f t="shared" si="192"/>
        <v>0.1</v>
      </c>
      <c r="I1179" s="447">
        <f t="shared" ca="1" si="189"/>
        <v>0</v>
      </c>
      <c r="J1179" s="447">
        <f t="shared" ca="1" si="190"/>
        <v>0</v>
      </c>
      <c r="K1179" s="374">
        <f t="shared" ca="1" si="191"/>
        <v>0</v>
      </c>
    </row>
    <row r="1180" spans="1:11" s="373" customFormat="1" ht="15.75" hidden="1">
      <c r="A1180" s="373" t="str">
        <f>IF(AND(COUNTIF($A$5:$A$133,R_DG!A1054)=0,R_DG!R1054&gt;0,ISNUMBER(R_DG!R1054)),R_DG!A1054,"NONE")</f>
        <v>COS38</v>
      </c>
      <c r="B1180" s="85">
        <f ca="1">IF(K1180&gt;0,COUNTIF(K$6:K1180,"&gt;0"),B1179)</f>
        <v>35</v>
      </c>
      <c r="C1180" s="1084" t="str">
        <f t="shared" si="186"/>
        <v>Đầu cosse ép Cu 38mm2</v>
      </c>
      <c r="D1180" s="85" t="str">
        <f t="shared" si="187"/>
        <v>cái</v>
      </c>
      <c r="E1180" s="448">
        <f ca="1">SUMIF(OFFSET(tongctvtdd1,0,-(COLUMN(E1180)+7-(COLUMN(E1180)-5)/2)),KLVT!$A1180,tongctvtdd1)+SUMIF(OFFSET(tongctvtpk1,0,-(COLUMN(E1180)+7-(COLUMN(E1180)-5)/2)),KLVT!$A1180,tongctvtpk1)</f>
        <v>0</v>
      </c>
      <c r="F1180" s="449">
        <f ca="1">SUMIF(OFFSET(cttba_vlvt1_1,0,-9,-ROW(cttba_vlvt1_1)+ROW(cttba_vltb1_1)-10),KLVT!$A1180,OFFSET(cttba_vlvt1_1,0,-4,-ROW(cttba_vlvt1_1)+ROW(cttba_vltb1_1)-10))</f>
        <v>0</v>
      </c>
      <c r="G1180" s="451">
        <f t="shared" ca="1" si="188"/>
        <v>0</v>
      </c>
      <c r="H1180" s="450">
        <f t="shared" si="192"/>
        <v>0.1</v>
      </c>
      <c r="I1180" s="447">
        <f t="shared" ca="1" si="189"/>
        <v>0</v>
      </c>
      <c r="J1180" s="447">
        <f t="shared" ca="1" si="190"/>
        <v>0</v>
      </c>
      <c r="K1180" s="373">
        <f t="shared" ca="1" si="191"/>
        <v>0</v>
      </c>
    </row>
    <row r="1181" spans="1:11" s="373" customFormat="1" ht="15.75" hidden="1">
      <c r="A1181" s="373" t="str">
        <f>IF(AND(COUNTIF($A$5:$A$133,R_DG!A1055)=0,R_DG!R1055&gt;0,ISNUMBER(R_DG!R1055)),R_DG!A1055,"NONE")</f>
        <v>COS50</v>
      </c>
      <c r="B1181" s="85">
        <f ca="1">IF(K1181&gt;0,COUNTIF(K$6:K1181,"&gt;0"),B1180)</f>
        <v>35</v>
      </c>
      <c r="C1181" s="1084" t="str">
        <f t="shared" si="186"/>
        <v>Đầu cosse ép Cu 50mm2</v>
      </c>
      <c r="D1181" s="85" t="str">
        <f t="shared" si="187"/>
        <v>cái</v>
      </c>
      <c r="E1181" s="448">
        <f ca="1">SUMIF(OFFSET(tongctvtdd1,0,-(COLUMN(E1181)+7-(COLUMN(E1181)-5)/2)),KLVT!$A1181,tongctvtdd1)+SUMIF(OFFSET(tongctvtpk1,0,-(COLUMN(E1181)+7-(COLUMN(E1181)-5)/2)),KLVT!$A1181,tongctvtpk1)</f>
        <v>0</v>
      </c>
      <c r="F1181" s="449">
        <f ca="1">SUMIF(OFFSET(cttba_vlvt1_1,0,-9,-ROW(cttba_vlvt1_1)+ROW(cttba_vltb1_1)-10),KLVT!$A1181,OFFSET(cttba_vlvt1_1,0,-4,-ROW(cttba_vlvt1_1)+ROW(cttba_vltb1_1)-10))</f>
        <v>0</v>
      </c>
      <c r="G1181" s="451">
        <f t="shared" ca="1" si="188"/>
        <v>0</v>
      </c>
      <c r="H1181" s="450">
        <f t="shared" si="192"/>
        <v>0.1</v>
      </c>
      <c r="I1181" s="447">
        <f t="shared" ca="1" si="189"/>
        <v>0</v>
      </c>
      <c r="J1181" s="447">
        <f t="shared" ca="1" si="190"/>
        <v>0</v>
      </c>
      <c r="K1181" s="374">
        <f t="shared" ca="1" si="191"/>
        <v>0</v>
      </c>
    </row>
    <row r="1182" spans="1:11" s="373" customFormat="1" hidden="1">
      <c r="A1182" s="373" t="str">
        <f>IF(AND(COUNTIF($A$5:$A$133,R_DG!A1056)=0,R_DG!R1056&gt;0,ISNUMBER(R_DG!R1056)),R_DG!A1056,"NONE")</f>
        <v>COS70</v>
      </c>
      <c r="B1182" s="85">
        <f ca="1">IF(K1182&gt;0,COUNTIF(K$6:K1182,"&gt;0"),B1181)</f>
        <v>35</v>
      </c>
      <c r="C1182" s="1084" t="str">
        <f t="shared" si="186"/>
        <v>Đầu cosse ép Cu 70mm2</v>
      </c>
      <c r="D1182" s="85" t="str">
        <f t="shared" si="187"/>
        <v>cái</v>
      </c>
      <c r="E1182" s="448">
        <f ca="1">SUMIF(OFFSET(tongctvtdd1,0,-(COLUMN(E1182)+7-(COLUMN(E1182)-5)/2)),KLVT!$A1182,tongctvtdd1)+SUMIF(OFFSET(tongctvtpk1,0,-(COLUMN(E1182)+7-(COLUMN(E1182)-5)/2)),KLVT!$A1182,tongctvtpk1)</f>
        <v>0</v>
      </c>
      <c r="F1182" s="449">
        <f ca="1">SUMIF(OFFSET(cttba_vlvt1_1,0,-9,-ROW(cttba_vlvt1_1)+ROW(cttba_vltb1_1)-10),KLVT!$A1182,OFFSET(cttba_vlvt1_1,0,-4,-ROW(cttba_vlvt1_1)+ROW(cttba_vltb1_1)-10))</f>
        <v>0</v>
      </c>
      <c r="G1182" s="451">
        <f t="shared" ca="1" si="188"/>
        <v>0</v>
      </c>
      <c r="H1182" s="450">
        <f t="shared" si="192"/>
        <v>0.2</v>
      </c>
      <c r="I1182" s="447">
        <f t="shared" ca="1" si="189"/>
        <v>0</v>
      </c>
      <c r="J1182" s="447">
        <f t="shared" ca="1" si="190"/>
        <v>0</v>
      </c>
      <c r="K1182" s="1094">
        <f t="shared" ca="1" si="191"/>
        <v>0</v>
      </c>
    </row>
    <row r="1183" spans="1:11" s="373" customFormat="1" hidden="1">
      <c r="A1183" s="373" t="str">
        <f>IF(AND(COUNTIF($A$5:$A$133,R_DG!A1057)=0,R_DG!R1057&gt;0,ISNUMBER(R_DG!R1057)),R_DG!A1057,"NONE")</f>
        <v>COS95</v>
      </c>
      <c r="B1183" s="85">
        <f ca="1">IF(K1183&gt;0,COUNTIF(K$6:K1183,"&gt;0"),B1182)</f>
        <v>35</v>
      </c>
      <c r="C1183" s="1084" t="str">
        <f t="shared" si="186"/>
        <v>Đầu cosse ép Cu 95mm2</v>
      </c>
      <c r="D1183" s="85" t="str">
        <f t="shared" si="187"/>
        <v>cái</v>
      </c>
      <c r="E1183" s="448">
        <f ca="1">SUMIF(OFFSET(tongctvtdd1,0,-(COLUMN(E1183)+7-(COLUMN(E1183)-5)/2)),KLVT!$A1183,tongctvtdd1)+SUMIF(OFFSET(tongctvtpk1,0,-(COLUMN(E1183)+7-(COLUMN(E1183)-5)/2)),KLVT!$A1183,tongctvtpk1)</f>
        <v>0</v>
      </c>
      <c r="F1183" s="449">
        <f ca="1">SUMIF(OFFSET(cttba_vlvt1_1,0,-9,-ROW(cttba_vlvt1_1)+ROW(cttba_vltb1_1)-10),KLVT!$A1183,OFFSET(cttba_vlvt1_1,0,-4,-ROW(cttba_vlvt1_1)+ROW(cttba_vltb1_1)-10))</f>
        <v>0</v>
      </c>
      <c r="G1183" s="451">
        <f t="shared" ca="1" si="188"/>
        <v>0</v>
      </c>
      <c r="H1183" s="450">
        <f t="shared" si="192"/>
        <v>0.2</v>
      </c>
      <c r="I1183" s="447">
        <f t="shared" ca="1" si="189"/>
        <v>0</v>
      </c>
      <c r="J1183" s="447">
        <f t="shared" ca="1" si="190"/>
        <v>0</v>
      </c>
      <c r="K1183" s="1095">
        <f t="shared" ca="1" si="191"/>
        <v>0</v>
      </c>
    </row>
    <row r="1184" spans="1:11" s="373" customFormat="1" ht="15.75" hidden="1">
      <c r="A1184" s="373" t="str">
        <f>IF(AND(COUNTIF($A$5:$A$133,R_DG!A1058)=0,R_DG!R1058&gt;0,ISNUMBER(R_DG!R1058)),R_DG!A1058,"NONE")</f>
        <v>COS120</v>
      </c>
      <c r="B1184" s="85">
        <f ca="1">IF(K1184&gt;0,COUNTIF(K$6:K1184,"&gt;0"),B1183)</f>
        <v>35</v>
      </c>
      <c r="C1184" s="1084" t="str">
        <f t="shared" si="186"/>
        <v>Đầu cosse ép Cu 120mm2</v>
      </c>
      <c r="D1184" s="85" t="str">
        <f t="shared" si="187"/>
        <v>cái</v>
      </c>
      <c r="E1184" s="448">
        <f ca="1">SUMIF(OFFSET(tongctvtdd1,0,-(COLUMN(E1184)+7-(COLUMN(E1184)-5)/2)),KLVT!$A1184,tongctvtdd1)+SUMIF(OFFSET(tongctvtpk1,0,-(COLUMN(E1184)+7-(COLUMN(E1184)-5)/2)),KLVT!$A1184,tongctvtpk1)</f>
        <v>0</v>
      </c>
      <c r="F1184" s="449">
        <f ca="1">SUMIF(OFFSET(cttba_vlvt1_1,0,-9,-ROW(cttba_vlvt1_1)+ROW(cttba_vltb1_1)-10),KLVT!$A1184,OFFSET(cttba_vlvt1_1,0,-4,-ROW(cttba_vlvt1_1)+ROW(cttba_vltb1_1)-10))</f>
        <v>0</v>
      </c>
      <c r="G1184" s="451">
        <f t="shared" ca="1" si="188"/>
        <v>0</v>
      </c>
      <c r="H1184" s="450">
        <f t="shared" si="192"/>
        <v>0.1</v>
      </c>
      <c r="I1184" s="447">
        <f t="shared" ca="1" si="189"/>
        <v>0</v>
      </c>
      <c r="J1184" s="447">
        <f t="shared" ca="1" si="190"/>
        <v>0</v>
      </c>
      <c r="K1184" s="374">
        <f t="shared" ca="1" si="191"/>
        <v>0</v>
      </c>
    </row>
    <row r="1185" spans="1:11" s="373" customFormat="1" ht="15.75" hidden="1">
      <c r="A1185" s="373" t="str">
        <f>IF(AND(COUNTIF($A$5:$A$133,R_DG!A1059)=0,R_DG!R1059&gt;0,ISNUMBER(R_DG!R1059)),R_DG!A1059,"NONE")</f>
        <v>COS150</v>
      </c>
      <c r="B1185" s="85">
        <f ca="1">IF(K1185&gt;0,COUNTIF(K$6:K1185,"&gt;0"),B1184)</f>
        <v>35</v>
      </c>
      <c r="C1185" s="1084" t="str">
        <f t="shared" si="186"/>
        <v>Đầu cosse ép Cu 150mm2</v>
      </c>
      <c r="D1185" s="85" t="str">
        <f t="shared" si="187"/>
        <v>cái</v>
      </c>
      <c r="E1185" s="448">
        <f ca="1">SUMIF(OFFSET(tongctvtdd1,0,-(COLUMN(E1185)+7-(COLUMN(E1185)-5)/2)),KLVT!$A1185,tongctvtdd1)+SUMIF(OFFSET(tongctvtpk1,0,-(COLUMN(E1185)+7-(COLUMN(E1185)-5)/2)),KLVT!$A1185,tongctvtpk1)</f>
        <v>0</v>
      </c>
      <c r="F1185" s="449">
        <f ca="1">SUMIF(OFFSET(cttba_vlvt1_1,0,-9,-ROW(cttba_vlvt1_1)+ROW(cttba_vltb1_1)-10),KLVT!$A1185,OFFSET(cttba_vlvt1_1,0,-4,-ROW(cttba_vlvt1_1)+ROW(cttba_vltb1_1)-10))</f>
        <v>0</v>
      </c>
      <c r="G1185" s="451">
        <f t="shared" ca="1" si="188"/>
        <v>0</v>
      </c>
      <c r="H1185" s="450">
        <f t="shared" si="192"/>
        <v>0.2</v>
      </c>
      <c r="I1185" s="447">
        <f t="shared" ca="1" si="189"/>
        <v>0</v>
      </c>
      <c r="J1185" s="447">
        <f t="shared" ca="1" si="190"/>
        <v>0</v>
      </c>
      <c r="K1185" s="373">
        <f t="shared" ca="1" si="191"/>
        <v>0</v>
      </c>
    </row>
    <row r="1186" spans="1:11" s="373" customFormat="1" ht="15.75" hidden="1">
      <c r="A1186" s="373" t="str">
        <f>IF(AND(COUNTIF($A$5:$A$133,R_DG!A1060)=0,R_DG!R1060&gt;0,ISNUMBER(R_DG!R1060)),R_DG!A1060,"NONE")</f>
        <v>COS185</v>
      </c>
      <c r="B1186" s="85">
        <f ca="1">IF(K1186&gt;0,COUNTIF(K$6:K1186,"&gt;0"),B1185)</f>
        <v>35</v>
      </c>
      <c r="C1186" s="1084" t="str">
        <f t="shared" si="186"/>
        <v>Đầu cosse ép Cu 185mm2</v>
      </c>
      <c r="D1186" s="85" t="str">
        <f t="shared" si="187"/>
        <v>cái</v>
      </c>
      <c r="E1186" s="448">
        <f ca="1">SUMIF(OFFSET(tongctvtdd1,0,-(COLUMN(E1186)+7-(COLUMN(E1186)-5)/2)),KLVT!$A1186,tongctvtdd1)+SUMIF(OFFSET(tongctvtpk1,0,-(COLUMN(E1186)+7-(COLUMN(E1186)-5)/2)),KLVT!$A1186,tongctvtpk1)</f>
        <v>0</v>
      </c>
      <c r="F1186" s="449">
        <f ca="1">SUMIF(OFFSET(cttba_vlvt1_1,0,-9,-ROW(cttba_vlvt1_1)+ROW(cttba_vltb1_1)-10),KLVT!$A1186,OFFSET(cttba_vlvt1_1,0,-4,-ROW(cttba_vlvt1_1)+ROW(cttba_vltb1_1)-10))</f>
        <v>0</v>
      </c>
      <c r="G1186" s="451">
        <f t="shared" ca="1" si="188"/>
        <v>0</v>
      </c>
      <c r="H1186" s="450">
        <f t="shared" si="192"/>
        <v>0.2</v>
      </c>
      <c r="I1186" s="447">
        <f t="shared" ca="1" si="189"/>
        <v>0</v>
      </c>
      <c r="J1186" s="447">
        <f t="shared" ca="1" si="190"/>
        <v>0</v>
      </c>
      <c r="K1186" s="373">
        <f t="shared" ca="1" si="191"/>
        <v>0</v>
      </c>
    </row>
    <row r="1187" spans="1:11" s="373" customFormat="1" ht="15.75" hidden="1">
      <c r="A1187" s="373" t="str">
        <f>IF(AND(COUNTIF($A$5:$A$133,R_DG!A1061)=0,R_DG!R1061&gt;0,ISNUMBER(R_DG!R1061)),R_DG!A1061,"NONE")</f>
        <v>COS200</v>
      </c>
      <c r="B1187" s="85">
        <f ca="1">IF(K1187&gt;0,COUNTIF(K$6:K1187,"&gt;0"),B1186)</f>
        <v>35</v>
      </c>
      <c r="C1187" s="1084" t="str">
        <f t="shared" si="186"/>
        <v>Đầu cosse ép Cu 200mm2</v>
      </c>
      <c r="D1187" s="85" t="str">
        <f t="shared" si="187"/>
        <v>cái</v>
      </c>
      <c r="E1187" s="448">
        <f ca="1">SUMIF(OFFSET(tongctvtdd1,0,-(COLUMN(E1187)+7-(COLUMN(E1187)-5)/2)),KLVT!$A1187,tongctvtdd1)+SUMIF(OFFSET(tongctvtpk1,0,-(COLUMN(E1187)+7-(COLUMN(E1187)-5)/2)),KLVT!$A1187,tongctvtpk1)</f>
        <v>0</v>
      </c>
      <c r="F1187" s="449">
        <f ca="1">SUMIF(OFFSET(cttba_vlvt1_1,0,-9,-ROW(cttba_vlvt1_1)+ROW(cttba_vltb1_1)-10),KLVT!$A1187,OFFSET(cttba_vlvt1_1,0,-4,-ROW(cttba_vlvt1_1)+ROW(cttba_vltb1_1)-10))</f>
        <v>0</v>
      </c>
      <c r="G1187" s="451">
        <f t="shared" ca="1" si="188"/>
        <v>0</v>
      </c>
      <c r="H1187" s="450">
        <f t="shared" si="192"/>
        <v>0.2</v>
      </c>
      <c r="I1187" s="447">
        <f t="shared" ca="1" si="189"/>
        <v>0</v>
      </c>
      <c r="J1187" s="447">
        <f t="shared" ca="1" si="190"/>
        <v>0</v>
      </c>
      <c r="K1187" s="373">
        <f t="shared" ca="1" si="191"/>
        <v>0</v>
      </c>
    </row>
    <row r="1188" spans="1:11" s="373" customFormat="1" ht="15.75" hidden="1">
      <c r="A1188" s="373" t="str">
        <f>IF(AND(COUNTIF($A$5:$A$133,R_DG!A1062)=0,R_DG!R1062&gt;0,ISNUMBER(R_DG!R1062)),R_DG!A1062,"NONE")</f>
        <v>COS240</v>
      </c>
      <c r="B1188" s="85">
        <f ca="1">IF(K1188&gt;0,COUNTIF(K$6:K1188,"&gt;0"),B1187)</f>
        <v>35</v>
      </c>
      <c r="C1188" s="1084" t="str">
        <f t="shared" si="186"/>
        <v>Đầu cosse ép Cu 240mm2</v>
      </c>
      <c r="D1188" s="85" t="str">
        <f t="shared" si="187"/>
        <v>cái</v>
      </c>
      <c r="E1188" s="448">
        <f ca="1">SUMIF(OFFSET(tongctvtdd1,0,-(COLUMN(E1188)+7-(COLUMN(E1188)-5)/2)),KLVT!$A1188,tongctvtdd1)+SUMIF(OFFSET(tongctvtpk1,0,-(COLUMN(E1188)+7-(COLUMN(E1188)-5)/2)),KLVT!$A1188,tongctvtpk1)</f>
        <v>0</v>
      </c>
      <c r="F1188" s="449">
        <f ca="1">SUMIF(OFFSET(cttba_vlvt1_1,0,-9,-ROW(cttba_vlvt1_1)+ROW(cttba_vltb1_1)-10),KLVT!$A1188,OFFSET(cttba_vlvt1_1,0,-4,-ROW(cttba_vlvt1_1)+ROW(cttba_vltb1_1)-10))</f>
        <v>0</v>
      </c>
      <c r="G1188" s="451">
        <f t="shared" ca="1" si="188"/>
        <v>0</v>
      </c>
      <c r="H1188" s="450">
        <f t="shared" si="192"/>
        <v>0.2</v>
      </c>
      <c r="I1188" s="447">
        <f t="shared" ca="1" si="189"/>
        <v>0</v>
      </c>
      <c r="J1188" s="447">
        <f t="shared" ca="1" si="190"/>
        <v>0</v>
      </c>
      <c r="K1188" s="373">
        <f t="shared" ca="1" si="191"/>
        <v>0</v>
      </c>
    </row>
    <row r="1189" spans="1:11" s="373" customFormat="1" ht="15.75" hidden="1">
      <c r="A1189" s="373" t="str">
        <f>IF(AND(COUNTIF($A$5:$A$133,R_DG!A1063)=0,R_DG!R1063&gt;0,ISNUMBER(R_DG!R1063)),R_DG!A1063,"NONE")</f>
        <v>COS250</v>
      </c>
      <c r="B1189" s="85">
        <f ca="1">IF(K1189&gt;0,COUNTIF(K$6:K1189,"&gt;0"),B1188)</f>
        <v>35</v>
      </c>
      <c r="C1189" s="1084" t="str">
        <f t="shared" si="186"/>
        <v>Đầu cosse ép Cu 250mm2</v>
      </c>
      <c r="D1189" s="85" t="str">
        <f t="shared" si="187"/>
        <v>cái</v>
      </c>
      <c r="E1189" s="448">
        <f ca="1">SUMIF(OFFSET(tongctvtdd1,0,-(COLUMN(E1189)+7-(COLUMN(E1189)-5)/2)),KLVT!$A1189,tongctvtdd1)+SUMIF(OFFSET(tongctvtpk1,0,-(COLUMN(E1189)+7-(COLUMN(E1189)-5)/2)),KLVT!$A1189,tongctvtpk1)</f>
        <v>0</v>
      </c>
      <c r="F1189" s="449">
        <f ca="1">SUMIF(OFFSET(cttba_vlvt1_1,0,-9,-ROW(cttba_vlvt1_1)+ROW(cttba_vltb1_1)-10),KLVT!$A1189,OFFSET(cttba_vlvt1_1,0,-4,-ROW(cttba_vlvt1_1)+ROW(cttba_vltb1_1)-10))</f>
        <v>0</v>
      </c>
      <c r="G1189" s="451">
        <f t="shared" ca="1" si="188"/>
        <v>0</v>
      </c>
      <c r="H1189" s="450">
        <f t="shared" si="192"/>
        <v>0.2</v>
      </c>
      <c r="I1189" s="447">
        <f t="shared" ca="1" si="189"/>
        <v>0</v>
      </c>
      <c r="J1189" s="447">
        <f t="shared" ca="1" si="190"/>
        <v>0</v>
      </c>
      <c r="K1189" s="373">
        <f t="shared" ca="1" si="191"/>
        <v>0</v>
      </c>
    </row>
    <row r="1190" spans="1:11" s="373" customFormat="1" ht="15.75" hidden="1">
      <c r="A1190" s="373" t="str">
        <f>IF(AND(COUNTIF($A$5:$A$133,R_DG!A1064)=0,R_DG!R1064&gt;0,ISNUMBER(R_DG!R1064)),R_DG!A1064,"NONE")</f>
        <v>COS300</v>
      </c>
      <c r="B1190" s="85">
        <f ca="1">IF(K1190&gt;0,COUNTIF(K$6:K1190,"&gt;0"),B1189)</f>
        <v>35</v>
      </c>
      <c r="C1190" s="1084" t="str">
        <f t="shared" si="186"/>
        <v>Đầu cosse ép Cu 300mm2</v>
      </c>
      <c r="D1190" s="85" t="str">
        <f t="shared" si="187"/>
        <v>cái</v>
      </c>
      <c r="E1190" s="448">
        <f ca="1">SUMIF(OFFSET(tongctvtdd1,0,-(COLUMN(E1190)+7-(COLUMN(E1190)-5)/2)),KLVT!$A1190,tongctvtdd1)+SUMIF(OFFSET(tongctvtpk1,0,-(COLUMN(E1190)+7-(COLUMN(E1190)-5)/2)),KLVT!$A1190,tongctvtpk1)</f>
        <v>0</v>
      </c>
      <c r="F1190" s="449">
        <f ca="1">SUMIF(OFFSET(cttba_vlvt1_1,0,-9,-ROW(cttba_vlvt1_1)+ROW(cttba_vltb1_1)-10),KLVT!$A1190,OFFSET(cttba_vlvt1_1,0,-4,-ROW(cttba_vlvt1_1)+ROW(cttba_vltb1_1)-10))</f>
        <v>0</v>
      </c>
      <c r="G1190" s="451">
        <f t="shared" ca="1" si="188"/>
        <v>0</v>
      </c>
      <c r="H1190" s="450">
        <f t="shared" si="192"/>
        <v>0.2</v>
      </c>
      <c r="I1190" s="447">
        <f t="shared" ca="1" si="189"/>
        <v>0</v>
      </c>
      <c r="J1190" s="447">
        <f t="shared" ca="1" si="190"/>
        <v>0</v>
      </c>
      <c r="K1190" s="373">
        <f t="shared" ca="1" si="191"/>
        <v>0</v>
      </c>
    </row>
    <row r="1191" spans="1:11" s="373" customFormat="1" ht="15.75" hidden="1">
      <c r="A1191" s="373" t="str">
        <f>IF(AND(COUNTIF($A$5:$A$133,R_DG!A1065)=0,R_DG!R1065&gt;0,ISNUMBER(R_DG!R1065)),R_DG!A1065,"NONE")</f>
        <v>CHCOS11</v>
      </c>
      <c r="B1191" s="85">
        <f ca="1">IF(K1191&gt;0,COUNTIF(K$6:K1191,"&gt;0"),B1190)</f>
        <v>35</v>
      </c>
      <c r="C1191" s="1084" t="str">
        <f t="shared" si="186"/>
        <v>Chụp đầu cosse 11mm2</v>
      </c>
      <c r="D1191" s="85" t="str">
        <f t="shared" si="187"/>
        <v>cái</v>
      </c>
      <c r="E1191" s="448">
        <f ca="1">SUMIF(OFFSET(tongctvtdd1,0,-(COLUMN(E1191)+7-(COLUMN(E1191)-5)/2)),KLVT!$A1191,tongctvtdd1)+SUMIF(OFFSET(tongctvtpk1,0,-(COLUMN(E1191)+7-(COLUMN(E1191)-5)/2)),KLVT!$A1191,tongctvtpk1)</f>
        <v>0</v>
      </c>
      <c r="F1191" s="449">
        <f ca="1">SUMIF(OFFSET(cttba_vlvt1_1,0,-9,-ROW(cttba_vlvt1_1)+ROW(cttba_vltb1_1)-10),KLVT!$A1191,OFFSET(cttba_vlvt1_1,0,-4,-ROW(cttba_vlvt1_1)+ROW(cttba_vltb1_1)-10))</f>
        <v>0</v>
      </c>
      <c r="G1191" s="451">
        <f t="shared" ca="1" si="188"/>
        <v>0</v>
      </c>
      <c r="H1191" s="450">
        <f t="shared" si="192"/>
        <v>0.1</v>
      </c>
      <c r="I1191" s="447">
        <f t="shared" ca="1" si="189"/>
        <v>0</v>
      </c>
      <c r="J1191" s="447">
        <f t="shared" ca="1" si="190"/>
        <v>0</v>
      </c>
      <c r="K1191" s="373">
        <f t="shared" ca="1" si="191"/>
        <v>0</v>
      </c>
    </row>
    <row r="1192" spans="1:11" s="373" customFormat="1" ht="15.75" hidden="1">
      <c r="A1192" s="373" t="str">
        <f>IF(AND(COUNTIF($A$5:$A$133,R_DG!A1066)=0,R_DG!R1066&gt;0,ISNUMBER(R_DG!R1066)),R_DG!A1066,"NONE")</f>
        <v>CHCOS16</v>
      </c>
      <c r="B1192" s="85">
        <f ca="1">IF(K1192&gt;0,COUNTIF(K$6:K1192,"&gt;0"),B1191)</f>
        <v>35</v>
      </c>
      <c r="C1192" s="1084" t="str">
        <f t="shared" si="186"/>
        <v>Chụp đầu cosse 16mm2</v>
      </c>
      <c r="D1192" s="85" t="str">
        <f t="shared" si="187"/>
        <v>cái</v>
      </c>
      <c r="E1192" s="448">
        <f ca="1">SUMIF(OFFSET(tongctvtdd1,0,-(COLUMN(E1192)+7-(COLUMN(E1192)-5)/2)),KLVT!$A1192,tongctvtdd1)+SUMIF(OFFSET(tongctvtpk1,0,-(COLUMN(E1192)+7-(COLUMN(E1192)-5)/2)),KLVT!$A1192,tongctvtpk1)</f>
        <v>0</v>
      </c>
      <c r="F1192" s="449">
        <f ca="1">SUMIF(OFFSET(cttba_vlvt1_1,0,-9,-ROW(cttba_vlvt1_1)+ROW(cttba_vltb1_1)-10),KLVT!$A1192,OFFSET(cttba_vlvt1_1,0,-4,-ROW(cttba_vlvt1_1)+ROW(cttba_vltb1_1)-10))</f>
        <v>0</v>
      </c>
      <c r="G1192" s="451">
        <f t="shared" ca="1" si="188"/>
        <v>0</v>
      </c>
      <c r="H1192" s="450">
        <f t="shared" si="192"/>
        <v>0.1</v>
      </c>
      <c r="I1192" s="447">
        <f t="shared" ca="1" si="189"/>
        <v>0</v>
      </c>
      <c r="J1192" s="447">
        <f t="shared" ca="1" si="190"/>
        <v>0</v>
      </c>
      <c r="K1192" s="373">
        <f t="shared" ca="1" si="191"/>
        <v>0</v>
      </c>
    </row>
    <row r="1193" spans="1:11" s="373" customFormat="1" ht="15.75" hidden="1">
      <c r="A1193" s="373" t="str">
        <f>IF(AND(COUNTIF($A$5:$A$133,R_DG!A1067)=0,R_DG!R1067&gt;0,ISNUMBER(R_DG!R1067)),R_DG!A1067,"NONE")</f>
        <v>CHCOS25</v>
      </c>
      <c r="B1193" s="85">
        <f ca="1">IF(K1193&gt;0,COUNTIF(K$6:K1193,"&gt;0"),B1192)</f>
        <v>35</v>
      </c>
      <c r="C1193" s="1084" t="str">
        <f t="shared" si="186"/>
        <v>Chụp đầu cosse 25mm2</v>
      </c>
      <c r="D1193" s="85" t="str">
        <f t="shared" si="187"/>
        <v>cái</v>
      </c>
      <c r="E1193" s="448">
        <f ca="1">SUMIF(OFFSET(tongctvtdd1,0,-(COLUMN(E1193)+7-(COLUMN(E1193)-5)/2)),KLVT!$A1193,tongctvtdd1)+SUMIF(OFFSET(tongctvtpk1,0,-(COLUMN(E1193)+7-(COLUMN(E1193)-5)/2)),KLVT!$A1193,tongctvtpk1)</f>
        <v>0</v>
      </c>
      <c r="F1193" s="449">
        <f ca="1">SUMIF(OFFSET(cttba_vlvt1_1,0,-9,-ROW(cttba_vlvt1_1)+ROW(cttba_vltb1_1)-10),KLVT!$A1193,OFFSET(cttba_vlvt1_1,0,-4,-ROW(cttba_vlvt1_1)+ROW(cttba_vltb1_1)-10))</f>
        <v>0</v>
      </c>
      <c r="G1193" s="451">
        <f t="shared" ca="1" si="188"/>
        <v>0</v>
      </c>
      <c r="H1193" s="450">
        <f t="shared" si="192"/>
        <v>0.1</v>
      </c>
      <c r="I1193" s="447">
        <f t="shared" ca="1" si="189"/>
        <v>0</v>
      </c>
      <c r="J1193" s="447">
        <f t="shared" ca="1" si="190"/>
        <v>0</v>
      </c>
      <c r="K1193" s="373">
        <f t="shared" ca="1" si="191"/>
        <v>0</v>
      </c>
    </row>
    <row r="1194" spans="1:11" s="373" customFormat="1" ht="15.75" hidden="1">
      <c r="A1194" s="373" t="str">
        <f>IF(AND(COUNTIF($A$5:$A$133,R_DG!A1068)=0,R_DG!R1068&gt;0,ISNUMBER(R_DG!R1068)),R_DG!A1068,"NONE")</f>
        <v>CHCOS35</v>
      </c>
      <c r="B1194" s="85">
        <f ca="1">IF(K1194&gt;0,COUNTIF(K$6:K1194,"&gt;0"),B1193)</f>
        <v>35</v>
      </c>
      <c r="C1194" s="1084" t="str">
        <f t="shared" si="186"/>
        <v>Chụp đầu cosse 35mm2</v>
      </c>
      <c r="D1194" s="85" t="str">
        <f t="shared" si="187"/>
        <v>cái</v>
      </c>
      <c r="E1194" s="448">
        <f ca="1">SUMIF(OFFSET(tongctvtdd1,0,-(COLUMN(E1194)+7-(COLUMN(E1194)-5)/2)),KLVT!$A1194,tongctvtdd1)+SUMIF(OFFSET(tongctvtpk1,0,-(COLUMN(E1194)+7-(COLUMN(E1194)-5)/2)),KLVT!$A1194,tongctvtpk1)</f>
        <v>0</v>
      </c>
      <c r="F1194" s="449">
        <f ca="1">SUMIF(OFFSET(cttba_vlvt1_1,0,-9,-ROW(cttba_vlvt1_1)+ROW(cttba_vltb1_1)-10),KLVT!$A1194,OFFSET(cttba_vlvt1_1,0,-4,-ROW(cttba_vlvt1_1)+ROW(cttba_vltb1_1)-10))</f>
        <v>0</v>
      </c>
      <c r="G1194" s="451">
        <f t="shared" ca="1" si="188"/>
        <v>0</v>
      </c>
      <c r="H1194" s="450">
        <f t="shared" si="192"/>
        <v>0.1</v>
      </c>
      <c r="I1194" s="447">
        <f t="shared" ca="1" si="189"/>
        <v>0</v>
      </c>
      <c r="J1194" s="447">
        <f t="shared" ca="1" si="190"/>
        <v>0</v>
      </c>
      <c r="K1194" s="374">
        <f t="shared" ca="1" si="191"/>
        <v>0</v>
      </c>
    </row>
    <row r="1195" spans="1:11" s="373" customFormat="1" ht="15.75" hidden="1">
      <c r="A1195" s="373" t="str">
        <f>IF(AND(COUNTIF($A$5:$A$133,R_DG!A1069)=0,R_DG!R1069&gt;0,ISNUMBER(R_DG!R1069)),R_DG!A1069,"NONE")</f>
        <v>CHCOS50</v>
      </c>
      <c r="B1195" s="85">
        <f ca="1">IF(K1195&gt;0,COUNTIF(K$6:K1195,"&gt;0"),B1194)</f>
        <v>35</v>
      </c>
      <c r="C1195" s="1084" t="str">
        <f t="shared" si="186"/>
        <v>Chụp đầu cosse 50mm2</v>
      </c>
      <c r="D1195" s="85" t="str">
        <f t="shared" si="187"/>
        <v>cái</v>
      </c>
      <c r="E1195" s="448">
        <f ca="1">SUMIF(OFFSET(tongctvtdd1,0,-(COLUMN(E1195)+7-(COLUMN(E1195)-5)/2)),KLVT!$A1195,tongctvtdd1)+SUMIF(OFFSET(tongctvtpk1,0,-(COLUMN(E1195)+7-(COLUMN(E1195)-5)/2)),KLVT!$A1195,tongctvtpk1)</f>
        <v>0</v>
      </c>
      <c r="F1195" s="449">
        <f ca="1">SUMIF(OFFSET(cttba_vlvt1_1,0,-9,-ROW(cttba_vlvt1_1)+ROW(cttba_vltb1_1)-10),KLVT!$A1195,OFFSET(cttba_vlvt1_1,0,-4,-ROW(cttba_vlvt1_1)+ROW(cttba_vltb1_1)-10))</f>
        <v>0</v>
      </c>
      <c r="G1195" s="451">
        <f t="shared" ca="1" si="188"/>
        <v>0</v>
      </c>
      <c r="H1195" s="450">
        <f t="shared" si="192"/>
        <v>0.1</v>
      </c>
      <c r="I1195" s="447">
        <f t="shared" ca="1" si="189"/>
        <v>0</v>
      </c>
      <c r="J1195" s="447">
        <f t="shared" ca="1" si="190"/>
        <v>0</v>
      </c>
      <c r="K1195" s="374">
        <f t="shared" ca="1" si="191"/>
        <v>0</v>
      </c>
    </row>
    <row r="1196" spans="1:11" s="373" customFormat="1" hidden="1">
      <c r="A1196" s="373" t="str">
        <f>IF(AND(COUNTIF($A$5:$A$133,R_DG!A1070)=0,R_DG!R1070&gt;0,ISNUMBER(R_DG!R1070)),R_DG!A1070,"NONE")</f>
        <v>CHCOS70</v>
      </c>
      <c r="B1196" s="85">
        <f ca="1">IF(K1196&gt;0,COUNTIF(K$6:K1196,"&gt;0"),B1195)</f>
        <v>35</v>
      </c>
      <c r="C1196" s="1084" t="str">
        <f t="shared" si="186"/>
        <v>Chụp đầu cosse 70mm2</v>
      </c>
      <c r="D1196" s="85" t="str">
        <f t="shared" si="187"/>
        <v>cái</v>
      </c>
      <c r="E1196" s="448">
        <f ca="1">SUMIF(OFFSET(tongctvtdd1,0,-(COLUMN(E1196)+7-(COLUMN(E1196)-5)/2)),KLVT!$A1196,tongctvtdd1)+SUMIF(OFFSET(tongctvtpk1,0,-(COLUMN(E1196)+7-(COLUMN(E1196)-5)/2)),KLVT!$A1196,tongctvtpk1)</f>
        <v>0</v>
      </c>
      <c r="F1196" s="449">
        <f ca="1">SUMIF(OFFSET(cttba_vlvt1_1,0,-9,-ROW(cttba_vlvt1_1)+ROW(cttba_vltb1_1)-10),KLVT!$A1196,OFFSET(cttba_vlvt1_1,0,-4,-ROW(cttba_vlvt1_1)+ROW(cttba_vltb1_1)-10))</f>
        <v>0</v>
      </c>
      <c r="G1196" s="451">
        <f t="shared" ca="1" si="188"/>
        <v>0</v>
      </c>
      <c r="H1196" s="450">
        <f t="shared" si="192"/>
        <v>0.1</v>
      </c>
      <c r="I1196" s="447">
        <f t="shared" ca="1" si="189"/>
        <v>0</v>
      </c>
      <c r="J1196" s="447">
        <f t="shared" ca="1" si="190"/>
        <v>0</v>
      </c>
      <c r="K1196" s="1094">
        <f t="shared" ca="1" si="191"/>
        <v>0</v>
      </c>
    </row>
    <row r="1197" spans="1:11" s="373" customFormat="1" hidden="1">
      <c r="A1197" s="373" t="str">
        <f>IF(AND(COUNTIF($A$5:$A$133,R_DG!A1071)=0,R_DG!R1071&gt;0,ISNUMBER(R_DG!R1071)),R_DG!A1071,"NONE")</f>
        <v>CHCOS95</v>
      </c>
      <c r="B1197" s="85">
        <f ca="1">IF(K1197&gt;0,COUNTIF(K$6:K1197,"&gt;0"),B1196)</f>
        <v>35</v>
      </c>
      <c r="C1197" s="1084" t="str">
        <f t="shared" si="186"/>
        <v>Chụp đầu cosse 95mm2</v>
      </c>
      <c r="D1197" s="85" t="str">
        <f t="shared" si="187"/>
        <v>cái</v>
      </c>
      <c r="E1197" s="448">
        <f ca="1">SUMIF(OFFSET(tongctvtdd1,0,-(COLUMN(E1197)+7-(COLUMN(E1197)-5)/2)),KLVT!$A1197,tongctvtdd1)+SUMIF(OFFSET(tongctvtpk1,0,-(COLUMN(E1197)+7-(COLUMN(E1197)-5)/2)),KLVT!$A1197,tongctvtpk1)</f>
        <v>0</v>
      </c>
      <c r="F1197" s="449">
        <f ca="1">SUMIF(OFFSET(cttba_vlvt1_1,0,-9,-ROW(cttba_vlvt1_1)+ROW(cttba_vltb1_1)-10),KLVT!$A1197,OFFSET(cttba_vlvt1_1,0,-4,-ROW(cttba_vlvt1_1)+ROW(cttba_vltb1_1)-10))</f>
        <v>0</v>
      </c>
      <c r="G1197" s="451">
        <f t="shared" ca="1" si="188"/>
        <v>0</v>
      </c>
      <c r="H1197" s="450">
        <f t="shared" si="192"/>
        <v>0.1</v>
      </c>
      <c r="I1197" s="447">
        <f t="shared" ca="1" si="189"/>
        <v>0</v>
      </c>
      <c r="J1197" s="447">
        <f t="shared" ca="1" si="190"/>
        <v>0</v>
      </c>
      <c r="K1197" s="1095">
        <f t="shared" ca="1" si="191"/>
        <v>0</v>
      </c>
    </row>
    <row r="1198" spans="1:11" s="373" customFormat="1" ht="15.75" hidden="1">
      <c r="A1198" s="373" t="str">
        <f>IF(AND(COUNTIF($A$5:$A$133,R_DG!A1072)=0,R_DG!R1072&gt;0,ISNUMBER(R_DG!R1072)),R_DG!A1072,"NONE")</f>
        <v>CHCOS120</v>
      </c>
      <c r="B1198" s="85">
        <f ca="1">IF(K1198&gt;0,COUNTIF(K$6:K1198,"&gt;0"),B1197)</f>
        <v>35</v>
      </c>
      <c r="C1198" s="1084" t="str">
        <f t="shared" si="186"/>
        <v>Chụp đầu cosse 120mm2</v>
      </c>
      <c r="D1198" s="85" t="str">
        <f t="shared" si="187"/>
        <v>cái</v>
      </c>
      <c r="E1198" s="448">
        <f ca="1">SUMIF(OFFSET(tongctvtdd1,0,-(COLUMN(E1198)+7-(COLUMN(E1198)-5)/2)),KLVT!$A1198,tongctvtdd1)+SUMIF(OFFSET(tongctvtpk1,0,-(COLUMN(E1198)+7-(COLUMN(E1198)-5)/2)),KLVT!$A1198,tongctvtpk1)</f>
        <v>0</v>
      </c>
      <c r="F1198" s="449">
        <f ca="1">SUMIF(OFFSET(cttba_vlvt1_1,0,-9,-ROW(cttba_vlvt1_1)+ROW(cttba_vltb1_1)-10),KLVT!$A1198,OFFSET(cttba_vlvt1_1,0,-4,-ROW(cttba_vlvt1_1)+ROW(cttba_vltb1_1)-10))</f>
        <v>0</v>
      </c>
      <c r="G1198" s="451">
        <f t="shared" ca="1" si="188"/>
        <v>0</v>
      </c>
      <c r="H1198" s="450">
        <f t="shared" si="192"/>
        <v>0.1</v>
      </c>
      <c r="I1198" s="447">
        <f t="shared" ca="1" si="189"/>
        <v>0</v>
      </c>
      <c r="J1198" s="447">
        <f t="shared" ca="1" si="190"/>
        <v>0</v>
      </c>
      <c r="K1198" s="374">
        <f t="shared" ca="1" si="191"/>
        <v>0</v>
      </c>
    </row>
    <row r="1199" spans="1:11" s="373" customFormat="1" ht="15.75" hidden="1">
      <c r="A1199" s="373" t="str">
        <f>IF(AND(COUNTIF($A$5:$A$133,R_DG!A1073)=0,R_DG!R1073&gt;0,ISNUMBER(R_DG!R1073)),R_DG!A1073,"NONE")</f>
        <v>CHCOS150</v>
      </c>
      <c r="B1199" s="85">
        <f ca="1">IF(K1199&gt;0,COUNTIF(K$6:K1199,"&gt;0"),B1198)</f>
        <v>35</v>
      </c>
      <c r="C1199" s="1084" t="str">
        <f t="shared" si="186"/>
        <v>Chụp đầu cosse 150mm2</v>
      </c>
      <c r="D1199" s="85" t="str">
        <f t="shared" si="187"/>
        <v>cái</v>
      </c>
      <c r="E1199" s="448">
        <f ca="1">SUMIF(OFFSET(tongctvtdd1,0,-(COLUMN(E1199)+7-(COLUMN(E1199)-5)/2)),KLVT!$A1199,tongctvtdd1)+SUMIF(OFFSET(tongctvtpk1,0,-(COLUMN(E1199)+7-(COLUMN(E1199)-5)/2)),KLVT!$A1199,tongctvtpk1)</f>
        <v>0</v>
      </c>
      <c r="F1199" s="449">
        <f ca="1">SUMIF(OFFSET(cttba_vlvt1_1,0,-9,-ROW(cttba_vlvt1_1)+ROW(cttba_vltb1_1)-10),KLVT!$A1199,OFFSET(cttba_vlvt1_1,0,-4,-ROW(cttba_vlvt1_1)+ROW(cttba_vltb1_1)-10))</f>
        <v>0</v>
      </c>
      <c r="G1199" s="451">
        <f t="shared" ca="1" si="188"/>
        <v>0</v>
      </c>
      <c r="H1199" s="450">
        <f t="shared" si="192"/>
        <v>0.1</v>
      </c>
      <c r="I1199" s="447">
        <f t="shared" ca="1" si="189"/>
        <v>0</v>
      </c>
      <c r="J1199" s="447">
        <f t="shared" ca="1" si="190"/>
        <v>0</v>
      </c>
      <c r="K1199" s="373">
        <f t="shared" ca="1" si="191"/>
        <v>0</v>
      </c>
    </row>
    <row r="1200" spans="1:11" s="373" customFormat="1" ht="15.75" hidden="1">
      <c r="A1200" s="373" t="str">
        <f>IF(AND(COUNTIF($A$5:$A$133,R_DG!A1074)=0,R_DG!R1074&gt;0,ISNUMBER(R_DG!R1074)),R_DG!A1074,"NONE")</f>
        <v>CHCOS185</v>
      </c>
      <c r="B1200" s="85">
        <f ca="1">IF(K1200&gt;0,COUNTIF(K$6:K1200,"&gt;0"),B1199)</f>
        <v>35</v>
      </c>
      <c r="C1200" s="1084" t="str">
        <f t="shared" si="186"/>
        <v>Chụp đầu cosse 185mm2</v>
      </c>
      <c r="D1200" s="85" t="str">
        <f t="shared" si="187"/>
        <v>cái</v>
      </c>
      <c r="E1200" s="448">
        <f ca="1">SUMIF(OFFSET(tongctvtdd1,0,-(COLUMN(E1200)+7-(COLUMN(E1200)-5)/2)),KLVT!$A1200,tongctvtdd1)+SUMIF(OFFSET(tongctvtpk1,0,-(COLUMN(E1200)+7-(COLUMN(E1200)-5)/2)),KLVT!$A1200,tongctvtpk1)</f>
        <v>0</v>
      </c>
      <c r="F1200" s="449">
        <f ca="1">SUMIF(OFFSET(cttba_vlvt1_1,0,-9,-ROW(cttba_vlvt1_1)+ROW(cttba_vltb1_1)-10),KLVT!$A1200,OFFSET(cttba_vlvt1_1,0,-4,-ROW(cttba_vlvt1_1)+ROW(cttba_vltb1_1)-10))</f>
        <v>0</v>
      </c>
      <c r="G1200" s="451">
        <f t="shared" ca="1" si="188"/>
        <v>0</v>
      </c>
      <c r="H1200" s="450">
        <f t="shared" si="192"/>
        <v>0.1</v>
      </c>
      <c r="I1200" s="447">
        <f t="shared" ca="1" si="189"/>
        <v>0</v>
      </c>
      <c r="J1200" s="447">
        <f t="shared" ca="1" si="190"/>
        <v>0</v>
      </c>
      <c r="K1200" s="373">
        <f t="shared" ca="1" si="191"/>
        <v>0</v>
      </c>
    </row>
    <row r="1201" spans="1:11" s="373" customFormat="1" ht="15.75" hidden="1">
      <c r="A1201" s="373" t="str">
        <f>IF(AND(COUNTIF($A$5:$A$133,R_DG!A1075)=0,R_DG!R1075&gt;0,ISNUMBER(R_DG!R1075)),R_DG!A1075,"NONE")</f>
        <v>CHCOS200</v>
      </c>
      <c r="B1201" s="85">
        <f ca="1">IF(K1201&gt;0,COUNTIF(K$6:K1201,"&gt;0"),B1200)</f>
        <v>35</v>
      </c>
      <c r="C1201" s="1084" t="str">
        <f t="shared" si="186"/>
        <v>Chụp đầu cosse 200mm2</v>
      </c>
      <c r="D1201" s="85" t="str">
        <f t="shared" si="187"/>
        <v>cái</v>
      </c>
      <c r="E1201" s="448">
        <f ca="1">SUMIF(OFFSET(tongctvtdd1,0,-(COLUMN(E1201)+7-(COLUMN(E1201)-5)/2)),KLVT!$A1201,tongctvtdd1)+SUMIF(OFFSET(tongctvtpk1,0,-(COLUMN(E1201)+7-(COLUMN(E1201)-5)/2)),KLVT!$A1201,tongctvtpk1)</f>
        <v>0</v>
      </c>
      <c r="F1201" s="449">
        <f ca="1">SUMIF(OFFSET(cttba_vlvt1_1,0,-9,-ROW(cttba_vlvt1_1)+ROW(cttba_vltb1_1)-10),KLVT!$A1201,OFFSET(cttba_vlvt1_1,0,-4,-ROW(cttba_vlvt1_1)+ROW(cttba_vltb1_1)-10))</f>
        <v>0</v>
      </c>
      <c r="G1201" s="451">
        <f t="shared" ca="1" si="188"/>
        <v>0</v>
      </c>
      <c r="H1201" s="450">
        <f t="shared" si="192"/>
        <v>0.1</v>
      </c>
      <c r="I1201" s="447">
        <f t="shared" ca="1" si="189"/>
        <v>0</v>
      </c>
      <c r="J1201" s="447">
        <f t="shared" ca="1" si="190"/>
        <v>0</v>
      </c>
      <c r="K1201" s="373">
        <f t="shared" ca="1" si="191"/>
        <v>0</v>
      </c>
    </row>
    <row r="1202" spans="1:11" s="373" customFormat="1" ht="15.75" hidden="1">
      <c r="A1202" s="373" t="str">
        <f>IF(AND(COUNTIF($A$5:$A$133,R_DG!A1076)=0,R_DG!R1076&gt;0,ISNUMBER(R_DG!R1076)),R_DG!A1076,"NONE")</f>
        <v>CHCOS240</v>
      </c>
      <c r="B1202" s="85">
        <f ca="1">IF(K1202&gt;0,COUNTIF(K$6:K1202,"&gt;0"),B1201)</f>
        <v>35</v>
      </c>
      <c r="C1202" s="1084" t="str">
        <f t="shared" si="186"/>
        <v>Chụp đầu cosse 240mm2</v>
      </c>
      <c r="D1202" s="85" t="str">
        <f t="shared" si="187"/>
        <v>cái</v>
      </c>
      <c r="E1202" s="448">
        <f ca="1">SUMIF(OFFSET(tongctvtdd1,0,-(COLUMN(E1202)+7-(COLUMN(E1202)-5)/2)),KLVT!$A1202,tongctvtdd1)+SUMIF(OFFSET(tongctvtpk1,0,-(COLUMN(E1202)+7-(COLUMN(E1202)-5)/2)),KLVT!$A1202,tongctvtpk1)</f>
        <v>0</v>
      </c>
      <c r="F1202" s="449">
        <f ca="1">SUMIF(OFFSET(cttba_vlvt1_1,0,-9,-ROW(cttba_vlvt1_1)+ROW(cttba_vltb1_1)-10),KLVT!$A1202,OFFSET(cttba_vlvt1_1,0,-4,-ROW(cttba_vlvt1_1)+ROW(cttba_vltb1_1)-10))</f>
        <v>0</v>
      </c>
      <c r="G1202" s="451">
        <f t="shared" ca="1" si="188"/>
        <v>0</v>
      </c>
      <c r="H1202" s="450">
        <f t="shared" si="192"/>
        <v>0.1</v>
      </c>
      <c r="I1202" s="447">
        <f t="shared" ca="1" si="189"/>
        <v>0</v>
      </c>
      <c r="J1202" s="447">
        <f t="shared" ca="1" si="190"/>
        <v>0</v>
      </c>
      <c r="K1202" s="373">
        <f t="shared" ca="1" si="191"/>
        <v>0</v>
      </c>
    </row>
    <row r="1203" spans="1:11" s="373" customFormat="1" ht="15.75" hidden="1">
      <c r="A1203" s="373" t="str">
        <f>IF(AND(COUNTIF($A$5:$A$133,R_DG!A1077)=0,R_DG!R1077&gt;0,ISNUMBER(R_DG!R1077)),R_DG!A1077,"NONE")</f>
        <v>CHCOS250</v>
      </c>
      <c r="B1203" s="85">
        <f ca="1">IF(K1203&gt;0,COUNTIF(K$6:K1203,"&gt;0"),B1202)</f>
        <v>35</v>
      </c>
      <c r="C1203" s="1084" t="str">
        <f t="shared" si="186"/>
        <v>Chụp đầu cosse 250mm2</v>
      </c>
      <c r="D1203" s="85" t="str">
        <f t="shared" si="187"/>
        <v>cái</v>
      </c>
      <c r="E1203" s="448">
        <f ca="1">SUMIF(OFFSET(tongctvtdd1,0,-(COLUMN(E1203)+7-(COLUMN(E1203)-5)/2)),KLVT!$A1203,tongctvtdd1)+SUMIF(OFFSET(tongctvtpk1,0,-(COLUMN(E1203)+7-(COLUMN(E1203)-5)/2)),KLVT!$A1203,tongctvtpk1)</f>
        <v>0</v>
      </c>
      <c r="F1203" s="449">
        <f ca="1">SUMIF(OFFSET(cttba_vlvt1_1,0,-9,-ROW(cttba_vlvt1_1)+ROW(cttba_vltb1_1)-10),KLVT!$A1203,OFFSET(cttba_vlvt1_1,0,-4,-ROW(cttba_vlvt1_1)+ROW(cttba_vltb1_1)-10))</f>
        <v>0</v>
      </c>
      <c r="G1203" s="451">
        <f t="shared" ca="1" si="188"/>
        <v>0</v>
      </c>
      <c r="H1203" s="450">
        <f t="shared" si="192"/>
        <v>0.1</v>
      </c>
      <c r="I1203" s="447">
        <f t="shared" ca="1" si="189"/>
        <v>0</v>
      </c>
      <c r="J1203" s="447">
        <f t="shared" ca="1" si="190"/>
        <v>0</v>
      </c>
      <c r="K1203" s="373">
        <f t="shared" ca="1" si="191"/>
        <v>0</v>
      </c>
    </row>
    <row r="1204" spans="1:11" s="373" customFormat="1" ht="15.75" hidden="1">
      <c r="A1204" s="373" t="str">
        <f>IF(AND(COUNTIF($A$5:$A$133,R_DG!A1078)=0,R_DG!R1078&gt;0,ISNUMBER(R_DG!R1078)),R_DG!A1078,"NONE")</f>
        <v>CHCOS300</v>
      </c>
      <c r="B1204" s="85">
        <f ca="1">IF(K1204&gt;0,COUNTIF(K$6:K1204,"&gt;0"),B1203)</f>
        <v>35</v>
      </c>
      <c r="C1204" s="1084" t="str">
        <f t="shared" ref="C1204:C1267" si="193">VLOOKUP(A1204,DONGIA,3,0)</f>
        <v>Chụp đầu cosse 300mm2</v>
      </c>
      <c r="D1204" s="85" t="str">
        <f t="shared" ref="D1204:D1267" si="194">VLOOKUP(A1204,DONGIA,4,0)</f>
        <v>cái</v>
      </c>
      <c r="E1204" s="448">
        <f ca="1">SUMIF(OFFSET(tongctvtdd1,0,-(COLUMN(E1204)+7-(COLUMN(E1204)-5)/2)),KLVT!$A1204,tongctvtdd1)+SUMIF(OFFSET(tongctvtpk1,0,-(COLUMN(E1204)+7-(COLUMN(E1204)-5)/2)),KLVT!$A1204,tongctvtpk1)</f>
        <v>0</v>
      </c>
      <c r="F1204" s="449">
        <f ca="1">SUMIF(OFFSET(cttba_vlvt1_1,0,-9,-ROW(cttba_vlvt1_1)+ROW(cttba_vltb1_1)-10),KLVT!$A1204,OFFSET(cttba_vlvt1_1,0,-4,-ROW(cttba_vlvt1_1)+ROW(cttba_vltb1_1)-10))</f>
        <v>0</v>
      </c>
      <c r="G1204" s="451">
        <f t="shared" ref="G1204:G1267" ca="1" si="195">SUM(E1204:F1204)</f>
        <v>0</v>
      </c>
      <c r="H1204" s="450">
        <f t="shared" si="192"/>
        <v>0.1</v>
      </c>
      <c r="I1204" s="447">
        <f t="shared" ref="I1204:I1267" ca="1" si="196">E1204*$H1204</f>
        <v>0</v>
      </c>
      <c r="J1204" s="447">
        <f t="shared" ref="J1204:J1267" ca="1" si="197">F1204*$H1204</f>
        <v>0</v>
      </c>
      <c r="K1204" s="373">
        <f t="shared" ref="K1204:K1267" ca="1" si="198">IF(G1204&gt;0,1,0)</f>
        <v>0</v>
      </c>
    </row>
    <row r="1205" spans="1:11" s="373" customFormat="1" ht="15.75" hidden="1">
      <c r="A1205" s="373" t="str">
        <f>IF(AND(COUNTIF($A$5:$A$133,R_DG!A1079)=0,R_DG!R1079&gt;0,ISNUMBER(R_DG!R1079)),R_DG!A1079,"NONE")</f>
        <v>DK2X11</v>
      </c>
      <c r="B1205" s="85">
        <f ca="1">IF(K1205&gt;0,COUNTIF(K$6:K1205,"&gt;0"),B1204)</f>
        <v>35</v>
      </c>
      <c r="C1205" s="1084" t="str">
        <f t="shared" si="193"/>
        <v>Cáp điện kế DK - 2x11</v>
      </c>
      <c r="D1205" s="85" t="str">
        <f t="shared" si="194"/>
        <v>m</v>
      </c>
      <c r="E1205" s="448">
        <f ca="1">SUMIF(OFFSET(tongctvtdd1,0,-(COLUMN(E1205)+7-(COLUMN(E1205)-5)/2)),KLVT!$A1205,tongctvtdd1)+SUMIF(OFFSET(tongctvtpk1,0,-(COLUMN(E1205)+7-(COLUMN(E1205)-5)/2)),KLVT!$A1205,tongctvtpk1)</f>
        <v>0</v>
      </c>
      <c r="F1205" s="449">
        <f ca="1">SUMIF(OFFSET(cttba_vlvt1_1,0,-9,-ROW(cttba_vlvt1_1)+ROW(cttba_vltb1_1)-10),KLVT!$A1205,OFFSET(cttba_vlvt1_1,0,-4,-ROW(cttba_vlvt1_1)+ROW(cttba_vltb1_1)-10))</f>
        <v>0</v>
      </c>
      <c r="G1205" s="451">
        <f t="shared" ca="1" si="195"/>
        <v>0</v>
      </c>
      <c r="H1205" s="450">
        <f t="shared" si="192"/>
        <v>0.1</v>
      </c>
      <c r="I1205" s="447">
        <f t="shared" ca="1" si="196"/>
        <v>0</v>
      </c>
      <c r="J1205" s="447">
        <f t="shared" ca="1" si="197"/>
        <v>0</v>
      </c>
      <c r="K1205" s="373">
        <f t="shared" ca="1" si="198"/>
        <v>0</v>
      </c>
    </row>
    <row r="1206" spans="1:11" s="373" customFormat="1" ht="15.75" hidden="1">
      <c r="A1206" s="373" t="str">
        <f>IF(AND(COUNTIF($A$5:$A$133,R_DG!A1080)=0,R_DG!R1080&gt;0,ISNUMBER(R_DG!R1080)),R_DG!A1080,"NONE")</f>
        <v>DVV7X1.5</v>
      </c>
      <c r="B1206" s="85">
        <f ca="1">IF(K1206&gt;0,COUNTIF(K$6:K1206,"&gt;0"),B1205)</f>
        <v>35</v>
      </c>
      <c r="C1206" s="1084" t="str">
        <f t="shared" si="193"/>
        <v>Cáp điều khiển 7x1,5</v>
      </c>
      <c r="D1206" s="85" t="str">
        <f t="shared" si="194"/>
        <v>m</v>
      </c>
      <c r="E1206" s="448">
        <f ca="1">SUMIF(OFFSET(tongctvtdd1,0,-(COLUMN(E1206)+7-(COLUMN(E1206)-5)/2)),KLVT!$A1206,tongctvtdd1)+SUMIF(OFFSET(tongctvtpk1,0,-(COLUMN(E1206)+7-(COLUMN(E1206)-5)/2)),KLVT!$A1206,tongctvtpk1)</f>
        <v>0</v>
      </c>
      <c r="F1206" s="449">
        <f ca="1">SUMIF(OFFSET(cttba_vlvt1_1,0,-9,-ROW(cttba_vlvt1_1)+ROW(cttba_vltb1_1)-10),KLVT!$A1206,OFFSET(cttba_vlvt1_1,0,-4,-ROW(cttba_vlvt1_1)+ROW(cttba_vltb1_1)-10))</f>
        <v>0</v>
      </c>
      <c r="G1206" s="451">
        <f t="shared" ca="1" si="195"/>
        <v>0</v>
      </c>
      <c r="H1206" s="450">
        <f t="shared" si="192"/>
        <v>0.1</v>
      </c>
      <c r="I1206" s="447">
        <f t="shared" ca="1" si="196"/>
        <v>0</v>
      </c>
      <c r="J1206" s="447">
        <f t="shared" ca="1" si="197"/>
        <v>0</v>
      </c>
      <c r="K1206" s="373">
        <f t="shared" ca="1" si="198"/>
        <v>0</v>
      </c>
    </row>
    <row r="1207" spans="1:11" s="373" customFormat="1" ht="15.75" hidden="1">
      <c r="A1207" s="373" t="str">
        <f>IF(AND(COUNTIF($A$5:$A$133,R_DG!A1081)=0,R_DG!R1081&gt;0,ISNUMBER(R_DG!R1081)),R_DG!A1081,"NONE")</f>
        <v>DUPLEX 211</v>
      </c>
      <c r="B1207" s="85">
        <f ca="1">IF(K1207&gt;0,COUNTIF(K$6:K1207,"&gt;0"),B1206)</f>
        <v>35</v>
      </c>
      <c r="C1207" s="1084" t="str">
        <f t="shared" si="193"/>
        <v>Cáp Duplex Cu 2x11</v>
      </c>
      <c r="D1207" s="85" t="str">
        <f t="shared" si="194"/>
        <v>m</v>
      </c>
      <c r="E1207" s="448">
        <f ca="1">SUMIF(OFFSET(tongctvtdd1,0,-(COLUMN(E1207)+7-(COLUMN(E1207)-5)/2)),KLVT!$A1207,tongctvtdd1)+SUMIF(OFFSET(tongctvtpk1,0,-(COLUMN(E1207)+7-(COLUMN(E1207)-5)/2)),KLVT!$A1207,tongctvtpk1)</f>
        <v>0</v>
      </c>
      <c r="F1207" s="449">
        <f ca="1">SUMIF(OFFSET(cttba_vlvt1_1,0,-9,-ROW(cttba_vlvt1_1)+ROW(cttba_vltb1_1)-10),KLVT!$A1207,OFFSET(cttba_vlvt1_1,0,-4,-ROW(cttba_vlvt1_1)+ROW(cttba_vltb1_1)-10))</f>
        <v>0</v>
      </c>
      <c r="G1207" s="451">
        <f t="shared" ca="1" si="195"/>
        <v>0</v>
      </c>
      <c r="H1207" s="450">
        <f t="shared" si="192"/>
        <v>0.1</v>
      </c>
      <c r="I1207" s="447">
        <f t="shared" ca="1" si="196"/>
        <v>0</v>
      </c>
      <c r="J1207" s="447">
        <f t="shared" ca="1" si="197"/>
        <v>0</v>
      </c>
      <c r="K1207" s="373">
        <f t="shared" ca="1" si="198"/>
        <v>0</v>
      </c>
    </row>
    <row r="1208" spans="1:11" ht="15.75">
      <c r="A1208" s="1251" t="str">
        <f>IF(AND(COUNTIF($A$5:$A$133,R_DG!A1082)=0,R_DG!R1082&gt;0,ISNUMBER(R_DG!R1082)),R_DG!A1082,"NONE")</f>
        <v>DUPLEX 216</v>
      </c>
      <c r="B1208" s="438">
        <f ca="1">IF(K1208&gt;0,COUNTIF(K$6:K1208,"&gt;0"),B1207)</f>
        <v>36</v>
      </c>
      <c r="C1208" s="1278" t="str">
        <f t="shared" si="193"/>
        <v>Cáp Duplex Cu 2x16</v>
      </c>
      <c r="D1208" s="438" t="str">
        <f t="shared" si="194"/>
        <v>m</v>
      </c>
      <c r="E1208" s="1276">
        <f ca="1">SUMIF(OFFSET(tongctvtdd1,0,-(COLUMN(E1208)+7-(COLUMN(E1208)-5)/2)),KLVT!$A1208,tongctvtdd1)+SUMIF(OFFSET(tongctvtpk1,0,-(COLUMN(E1208)+7-(COLUMN(E1208)-5)/2)),KLVT!$A1208,tongctvtpk1)</f>
        <v>277.44</v>
      </c>
      <c r="F1208" s="1277">
        <f ca="1">SUMIF(OFFSET(cttba_vlvt1_1,0,-9,-ROW(cttba_vlvt1_1)+ROW(cttba_vltb1_1)-10),KLVT!$A1208,OFFSET(cttba_vlvt1_1,0,-4,-ROW(cttba_vlvt1_1)+ROW(cttba_vltb1_1)-10))</f>
        <v>0</v>
      </c>
      <c r="G1208" s="1277">
        <f t="shared" ca="1" si="195"/>
        <v>277.44</v>
      </c>
      <c r="H1208" s="1274">
        <f t="shared" si="192"/>
        <v>0.1</v>
      </c>
      <c r="I1208" s="1279">
        <f t="shared" ca="1" si="196"/>
        <v>27.744</v>
      </c>
      <c r="J1208" s="1279">
        <f t="shared" ca="1" si="197"/>
        <v>0</v>
      </c>
      <c r="K1208" s="1251">
        <f t="shared" ca="1" si="198"/>
        <v>1</v>
      </c>
    </row>
    <row r="1209" spans="1:11" s="373" customFormat="1" ht="15.75" hidden="1">
      <c r="A1209" s="373" t="str">
        <f>IF(AND(COUNTIF($A$5:$A$133,R_DG!A1083)=0,R_DG!R1083&gt;0,ISNUMBER(R_DG!R1083)),R_DG!A1083,"NONE")</f>
        <v>DUPLEX Al216</v>
      </c>
      <c r="B1209" s="85">
        <f ca="1">IF(K1209&gt;0,COUNTIF(K$6:K1209,"&gt;0"),B1208)</f>
        <v>36</v>
      </c>
      <c r="C1209" s="1084" t="str">
        <f t="shared" si="193"/>
        <v>Cáp Duplex Al 2x16</v>
      </c>
      <c r="D1209" s="85" t="str">
        <f t="shared" si="194"/>
        <v>m</v>
      </c>
      <c r="E1209" s="448">
        <f ca="1">SUMIF(OFFSET(tongctvtdd1,0,-(COLUMN(E1209)+7-(COLUMN(E1209)-5)/2)),KLVT!$A1209,tongctvtdd1)+SUMIF(OFFSET(tongctvtpk1,0,-(COLUMN(E1209)+7-(COLUMN(E1209)-5)/2)),KLVT!$A1209,tongctvtpk1)</f>
        <v>0</v>
      </c>
      <c r="F1209" s="449">
        <f ca="1">SUMIF(OFFSET(cttba_vlvt1_1,0,-9,-ROW(cttba_vlvt1_1)+ROW(cttba_vltb1_1)-10),KLVT!$A1209,OFFSET(cttba_vlvt1_1,0,-4,-ROW(cttba_vlvt1_1)+ROW(cttba_vltb1_1)-10))</f>
        <v>0</v>
      </c>
      <c r="G1209" s="451">
        <f t="shared" ca="1" si="195"/>
        <v>0</v>
      </c>
      <c r="H1209" s="450">
        <f t="shared" si="192"/>
        <v>0.1</v>
      </c>
      <c r="I1209" s="447">
        <f t="shared" ca="1" si="196"/>
        <v>0</v>
      </c>
      <c r="J1209" s="447">
        <f t="shared" ca="1" si="197"/>
        <v>0</v>
      </c>
      <c r="K1209" s="373">
        <f t="shared" ca="1" si="198"/>
        <v>0</v>
      </c>
    </row>
    <row r="1210" spans="1:11" s="373" customFormat="1" ht="15.75" hidden="1">
      <c r="A1210" s="373" t="str">
        <f>IF(AND(COUNTIF($A$5:$A$133,R_DG!A1084)=0,R_DG!R1084&gt;0,ISNUMBER(R_DG!R1084)),R_DG!A1084,"NONE")</f>
        <v>DUPLEX 311</v>
      </c>
      <c r="B1210" s="85">
        <f ca="1">IF(K1210&gt;0,COUNTIF(K$6:K1210,"&gt;0"),B1209)</f>
        <v>36</v>
      </c>
      <c r="C1210" s="1084" t="str">
        <f t="shared" si="193"/>
        <v>Cáp Triplex 3x11</v>
      </c>
      <c r="D1210" s="85" t="str">
        <f t="shared" si="194"/>
        <v>m</v>
      </c>
      <c r="E1210" s="448">
        <f ca="1">SUMIF(OFFSET(tongctvtdd1,0,-(COLUMN(E1210)+7-(COLUMN(E1210)-5)/2)),KLVT!$A1210,tongctvtdd1)+SUMIF(OFFSET(tongctvtpk1,0,-(COLUMN(E1210)+7-(COLUMN(E1210)-5)/2)),KLVT!$A1210,tongctvtpk1)</f>
        <v>0</v>
      </c>
      <c r="F1210" s="449">
        <f ca="1">SUMIF(OFFSET(cttba_vlvt1_1,0,-9,-ROW(cttba_vlvt1_1)+ROW(cttba_vltb1_1)-10),KLVT!$A1210,OFFSET(cttba_vlvt1_1,0,-4,-ROW(cttba_vlvt1_1)+ROW(cttba_vltb1_1)-10))</f>
        <v>0</v>
      </c>
      <c r="G1210" s="451">
        <f t="shared" ca="1" si="195"/>
        <v>0</v>
      </c>
      <c r="H1210" s="450">
        <f t="shared" si="192"/>
        <v>0.1</v>
      </c>
      <c r="I1210" s="447">
        <f t="shared" ca="1" si="196"/>
        <v>0</v>
      </c>
      <c r="J1210" s="447">
        <f t="shared" ca="1" si="197"/>
        <v>0</v>
      </c>
      <c r="K1210" s="373">
        <f t="shared" ca="1" si="198"/>
        <v>0</v>
      </c>
    </row>
    <row r="1211" spans="1:11" s="373" customFormat="1" ht="15.75" hidden="1">
      <c r="A1211" s="373" t="str">
        <f>IF(AND(COUNTIF($A$5:$A$133,R_DG!A1085)=0,R_DG!R1085&gt;0,ISNUMBER(R_DG!R1085)),R_DG!A1085,"NONE")</f>
        <v>DUPLEX 316</v>
      </c>
      <c r="B1211" s="85">
        <f ca="1">IF(K1211&gt;0,COUNTIF(K$6:K1211,"&gt;0"),B1210)</f>
        <v>36</v>
      </c>
      <c r="C1211" s="1084" t="str">
        <f t="shared" si="193"/>
        <v>Cáp Triplex 3x16</v>
      </c>
      <c r="D1211" s="85" t="str">
        <f t="shared" si="194"/>
        <v>m</v>
      </c>
      <c r="E1211" s="448">
        <f ca="1">SUMIF(OFFSET(tongctvtdd1,0,-(COLUMN(E1211)+7-(COLUMN(E1211)-5)/2)),KLVT!$A1211,tongctvtdd1)+SUMIF(OFFSET(tongctvtpk1,0,-(COLUMN(E1211)+7-(COLUMN(E1211)-5)/2)),KLVT!$A1211,tongctvtpk1)</f>
        <v>0</v>
      </c>
      <c r="F1211" s="449">
        <f ca="1">SUMIF(OFFSET(cttba_vlvt1_1,0,-9,-ROW(cttba_vlvt1_1)+ROW(cttba_vltb1_1)-10),KLVT!$A1211,OFFSET(cttba_vlvt1_1,0,-4,-ROW(cttba_vlvt1_1)+ROW(cttba_vltb1_1)-10))</f>
        <v>0</v>
      </c>
      <c r="G1211" s="451">
        <f t="shared" ca="1" si="195"/>
        <v>0</v>
      </c>
      <c r="H1211" s="450">
        <f t="shared" si="192"/>
        <v>0.1</v>
      </c>
      <c r="I1211" s="447">
        <f t="shared" ca="1" si="196"/>
        <v>0</v>
      </c>
      <c r="J1211" s="447">
        <f t="shared" ca="1" si="197"/>
        <v>0</v>
      </c>
      <c r="K1211" s="373">
        <f t="shared" ca="1" si="198"/>
        <v>0</v>
      </c>
    </row>
    <row r="1212" spans="1:11" s="373" customFormat="1" ht="15.75" hidden="1">
      <c r="A1212" s="373" t="str">
        <f>IF(AND(COUNTIF($A$5:$A$133,R_DG!A1086)=0,R_DG!R1086&gt;0,ISNUMBER(R_DG!R1086)),R_DG!A1086,"NONE")</f>
        <v>DUPLEX 411</v>
      </c>
      <c r="B1212" s="85">
        <f ca="1">IF(K1212&gt;0,COUNTIF(K$6:K1212,"&gt;0"),B1211)</f>
        <v>36</v>
      </c>
      <c r="C1212" s="1084" t="str">
        <f t="shared" si="193"/>
        <v>Cáp Quadruplex 4x11</v>
      </c>
      <c r="D1212" s="85" t="str">
        <f t="shared" si="194"/>
        <v>m</v>
      </c>
      <c r="E1212" s="448">
        <f ca="1">SUMIF(OFFSET(tongctvtdd1,0,-(COLUMN(E1212)+7-(COLUMN(E1212)-5)/2)),KLVT!$A1212,tongctvtdd1)+SUMIF(OFFSET(tongctvtpk1,0,-(COLUMN(E1212)+7-(COLUMN(E1212)-5)/2)),KLVT!$A1212,tongctvtpk1)</f>
        <v>0</v>
      </c>
      <c r="F1212" s="449">
        <f ca="1">SUMIF(OFFSET(cttba_vlvt1_1,0,-9,-ROW(cttba_vlvt1_1)+ROW(cttba_vltb1_1)-10),KLVT!$A1212,OFFSET(cttba_vlvt1_1,0,-4,-ROW(cttba_vlvt1_1)+ROW(cttba_vltb1_1)-10))</f>
        <v>0</v>
      </c>
      <c r="G1212" s="451">
        <f t="shared" ca="1" si="195"/>
        <v>0</v>
      </c>
      <c r="H1212" s="450">
        <f t="shared" si="192"/>
        <v>0.1</v>
      </c>
      <c r="I1212" s="447">
        <f t="shared" ca="1" si="196"/>
        <v>0</v>
      </c>
      <c r="J1212" s="447">
        <f t="shared" ca="1" si="197"/>
        <v>0</v>
      </c>
      <c r="K1212" s="373">
        <f t="shared" ca="1" si="198"/>
        <v>0</v>
      </c>
    </row>
    <row r="1213" spans="1:11" s="373" customFormat="1" ht="15.75" hidden="1">
      <c r="A1213" s="373" t="str">
        <f>IF(AND(COUNTIF($A$5:$A$133,R_DG!A1087)=0,R_DG!R1087&gt;0,ISNUMBER(R_DG!R1087)),R_DG!A1087,"NONE")</f>
        <v>DUPLEX 416</v>
      </c>
      <c r="B1213" s="85">
        <f ca="1">IF(K1213&gt;0,COUNTIF(K$6:K1213,"&gt;0"),B1212)</f>
        <v>36</v>
      </c>
      <c r="C1213" s="1084" t="str">
        <f t="shared" si="193"/>
        <v>Cáp Quadruplex 4x16</v>
      </c>
      <c r="D1213" s="85" t="str">
        <f t="shared" si="194"/>
        <v>m</v>
      </c>
      <c r="E1213" s="448">
        <f ca="1">SUMIF(OFFSET(tongctvtdd1,0,-(COLUMN(E1213)+7-(COLUMN(E1213)-5)/2)),KLVT!$A1213,tongctvtdd1)+SUMIF(OFFSET(tongctvtpk1,0,-(COLUMN(E1213)+7-(COLUMN(E1213)-5)/2)),KLVT!$A1213,tongctvtpk1)</f>
        <v>0</v>
      </c>
      <c r="F1213" s="449">
        <f ca="1">SUMIF(OFFSET(cttba_vlvt1_1,0,-9,-ROW(cttba_vlvt1_1)+ROW(cttba_vltb1_1)-10),KLVT!$A1213,OFFSET(cttba_vlvt1_1,0,-4,-ROW(cttba_vlvt1_1)+ROW(cttba_vltb1_1)-10))</f>
        <v>0</v>
      </c>
      <c r="G1213" s="451">
        <f t="shared" ca="1" si="195"/>
        <v>0</v>
      </c>
      <c r="H1213" s="450">
        <f t="shared" si="192"/>
        <v>0.1</v>
      </c>
      <c r="I1213" s="447">
        <f t="shared" ca="1" si="196"/>
        <v>0</v>
      </c>
      <c r="J1213" s="447">
        <f t="shared" ca="1" si="197"/>
        <v>0</v>
      </c>
      <c r="K1213" s="373">
        <f t="shared" ca="1" si="198"/>
        <v>0</v>
      </c>
    </row>
    <row r="1214" spans="1:11" s="373" customFormat="1" ht="15.75" hidden="1">
      <c r="A1214" s="373" t="str">
        <f>IF(AND(COUNTIF($A$5:$A$133,R_DG!A1088)=0,R_DG!R1088&gt;0,ISNUMBER(R_DG!R1088)),R_DG!A1088,"NONE")</f>
        <v>DENHQ</v>
      </c>
      <c r="B1214" s="85">
        <f ca="1">IF(K1214&gt;0,COUNTIF(K$6:K1214,"&gt;0"),B1213)</f>
        <v>36</v>
      </c>
      <c r="C1214" s="1084" t="str">
        <f t="shared" si="193"/>
        <v>Bộ đèn huỳnh quang đơn 1,2m-40W</v>
      </c>
      <c r="D1214" s="85" t="str">
        <f t="shared" si="194"/>
        <v>bộ</v>
      </c>
      <c r="E1214" s="448">
        <f ca="1">SUMIF(OFFSET(tongctvtdd1,0,-(COLUMN(E1214)+7-(COLUMN(E1214)-5)/2)),KLVT!$A1214,tongctvtdd1)+SUMIF(OFFSET(tongctvtpk1,0,-(COLUMN(E1214)+7-(COLUMN(E1214)-5)/2)),KLVT!$A1214,tongctvtpk1)</f>
        <v>0</v>
      </c>
      <c r="F1214" s="449">
        <f ca="1">SUMIF(OFFSET(cttba_vlvt1_1,0,-9,-ROW(cttba_vlvt1_1)+ROW(cttba_vltb1_1)-10),KLVT!$A1214,OFFSET(cttba_vlvt1_1,0,-4,-ROW(cttba_vlvt1_1)+ROW(cttba_vltb1_1)-10))</f>
        <v>0</v>
      </c>
      <c r="G1214" s="451">
        <f t="shared" ca="1" si="195"/>
        <v>0</v>
      </c>
      <c r="H1214" s="450">
        <f t="shared" si="192"/>
        <v>0.1</v>
      </c>
      <c r="I1214" s="447">
        <f t="shared" ca="1" si="196"/>
        <v>0</v>
      </c>
      <c r="J1214" s="447">
        <f t="shared" ca="1" si="197"/>
        <v>0</v>
      </c>
      <c r="K1214" s="373">
        <f t="shared" ca="1" si="198"/>
        <v>0</v>
      </c>
    </row>
    <row r="1215" spans="1:11" s="373" customFormat="1" ht="15.75" hidden="1">
      <c r="A1215" s="373" t="str">
        <f>IF(AND(COUNTIF($A$5:$A$133,R_DG!A1089)=0,R_DG!R1089&gt;0,ISNUMBER(R_DG!R1089)),R_DG!A1089,"NONE")</f>
        <v>D16/10</v>
      </c>
      <c r="B1215" s="85">
        <f ca="1">IF(K1215&gt;0,COUNTIF(K$6:K1215,"&gt;0"),B1214)</f>
        <v>36</v>
      </c>
      <c r="C1215" s="1084" t="str">
        <f t="shared" si="193"/>
        <v>Dây điện đôi 16/10</v>
      </c>
      <c r="D1215" s="85" t="str">
        <f t="shared" si="194"/>
        <v>mét</v>
      </c>
      <c r="E1215" s="448">
        <f ca="1">SUMIF(OFFSET(tongctvtdd1,0,-(COLUMN(E1215)+7-(COLUMN(E1215)-5)/2)),KLVT!$A1215,tongctvtdd1)+SUMIF(OFFSET(tongctvtpk1,0,-(COLUMN(E1215)+7-(COLUMN(E1215)-5)/2)),KLVT!$A1215,tongctvtpk1)</f>
        <v>0</v>
      </c>
      <c r="F1215" s="449">
        <f ca="1">SUMIF(OFFSET(cttba_vlvt1_1,0,-9,-ROW(cttba_vlvt1_1)+ROW(cttba_vltb1_1)-10),KLVT!$A1215,OFFSET(cttba_vlvt1_1,0,-4,-ROW(cttba_vlvt1_1)+ROW(cttba_vltb1_1)-10))</f>
        <v>0</v>
      </c>
      <c r="G1215" s="451">
        <f t="shared" ca="1" si="195"/>
        <v>0</v>
      </c>
      <c r="H1215" s="450">
        <f t="shared" si="192"/>
        <v>0.1</v>
      </c>
      <c r="I1215" s="447">
        <f t="shared" ca="1" si="196"/>
        <v>0</v>
      </c>
      <c r="J1215" s="447">
        <f t="shared" ca="1" si="197"/>
        <v>0</v>
      </c>
      <c r="K1215" s="373">
        <f t="shared" ca="1" si="198"/>
        <v>0</v>
      </c>
    </row>
    <row r="1216" spans="1:11" s="373" customFormat="1" ht="15.75" hidden="1">
      <c r="A1216" s="373" t="str">
        <f>IF(AND(COUNTIF($A$5:$A$133,R_DG!A1090)=0,R_DG!R1090&gt;0,ISNUMBER(R_DG!R1090)),R_DG!A1090,"NONE")</f>
        <v>D20/10</v>
      </c>
      <c r="B1216" s="85">
        <f ca="1">IF(K1216&gt;0,COUNTIF(K$6:K1216,"&gt;0"),B1215)</f>
        <v>36</v>
      </c>
      <c r="C1216" s="1084" t="str">
        <f t="shared" si="193"/>
        <v>Dây điện đôi 20/10</v>
      </c>
      <c r="D1216" s="85" t="str">
        <f t="shared" si="194"/>
        <v>mét</v>
      </c>
      <c r="E1216" s="448">
        <f ca="1">SUMIF(OFFSET(tongctvtdd1,0,-(COLUMN(E1216)+7-(COLUMN(E1216)-5)/2)),KLVT!$A1216,tongctvtdd1)+SUMIF(OFFSET(tongctvtpk1,0,-(COLUMN(E1216)+7-(COLUMN(E1216)-5)/2)),KLVT!$A1216,tongctvtpk1)</f>
        <v>0</v>
      </c>
      <c r="F1216" s="449">
        <f ca="1">SUMIF(OFFSET(cttba_vlvt1_1,0,-9,-ROW(cttba_vlvt1_1)+ROW(cttba_vltb1_1)-10),KLVT!$A1216,OFFSET(cttba_vlvt1_1,0,-4,-ROW(cttba_vlvt1_1)+ROW(cttba_vltb1_1)-10))</f>
        <v>0</v>
      </c>
      <c r="G1216" s="451">
        <f t="shared" ca="1" si="195"/>
        <v>0</v>
      </c>
      <c r="H1216" s="450">
        <f t="shared" si="192"/>
        <v>0.1</v>
      </c>
      <c r="I1216" s="447">
        <f t="shared" ca="1" si="196"/>
        <v>0</v>
      </c>
      <c r="J1216" s="447">
        <f t="shared" ca="1" si="197"/>
        <v>0</v>
      </c>
      <c r="K1216" s="373">
        <f t="shared" ca="1" si="198"/>
        <v>0</v>
      </c>
    </row>
    <row r="1217" spans="1:11" s="373" customFormat="1" ht="15.75" hidden="1">
      <c r="A1217" s="373" t="str">
        <f>IF(AND(COUNTIF($A$5:$A$133,R_DG!A1091)=0,R_DG!R1091&gt;0,ISNUMBER(R_DG!R1091)),R_DG!A1091,"NONE")</f>
        <v>D30/10</v>
      </c>
      <c r="B1217" s="85">
        <f ca="1">IF(K1217&gt;0,COUNTIF(K$6:K1217,"&gt;0"),B1216)</f>
        <v>36</v>
      </c>
      <c r="C1217" s="1084" t="str">
        <f t="shared" si="193"/>
        <v>Dây điện đôi 30/10</v>
      </c>
      <c r="D1217" s="85" t="str">
        <f t="shared" si="194"/>
        <v>mét</v>
      </c>
      <c r="E1217" s="448">
        <f ca="1">SUMIF(OFFSET(tongctvtdd1,0,-(COLUMN(E1217)+7-(COLUMN(E1217)-5)/2)),KLVT!$A1217,tongctvtdd1)+SUMIF(OFFSET(tongctvtpk1,0,-(COLUMN(E1217)+7-(COLUMN(E1217)-5)/2)),KLVT!$A1217,tongctvtpk1)</f>
        <v>0</v>
      </c>
      <c r="F1217" s="449">
        <f ca="1">SUMIF(OFFSET(cttba_vlvt1_1,0,-9,-ROW(cttba_vlvt1_1)+ROW(cttba_vltb1_1)-10),KLVT!$A1217,OFFSET(cttba_vlvt1_1,0,-4,-ROW(cttba_vlvt1_1)+ROW(cttba_vltb1_1)-10))</f>
        <v>0</v>
      </c>
      <c r="G1217" s="451">
        <f t="shared" ca="1" si="195"/>
        <v>0</v>
      </c>
      <c r="H1217" s="450">
        <f t="shared" si="192"/>
        <v>0.1</v>
      </c>
      <c r="I1217" s="447">
        <f t="shared" ca="1" si="196"/>
        <v>0</v>
      </c>
      <c r="J1217" s="447">
        <f t="shared" ca="1" si="197"/>
        <v>0</v>
      </c>
      <c r="K1217" s="373">
        <f t="shared" ca="1" si="198"/>
        <v>0</v>
      </c>
    </row>
    <row r="1218" spans="1:11" s="373" customFormat="1" ht="15.75" hidden="1">
      <c r="A1218" s="373" t="str">
        <f>IF(AND(COUNTIF($A$5:$A$133,R_DG!A1092)=0,R_DG!R1092&gt;0,ISNUMBER(R_DG!R1092)),R_DG!A1092,"NONE")</f>
        <v>DRC</v>
      </c>
      <c r="B1218" s="85">
        <f ca="1">IF(K1218&gt;0,COUNTIF(K$6:K1218,"&gt;0"),B1217)</f>
        <v>36</v>
      </c>
      <c r="C1218" s="1084" t="str">
        <f t="shared" si="193"/>
        <v>Dây rút cáp</v>
      </c>
      <c r="D1218" s="85" t="str">
        <f t="shared" si="194"/>
        <v>bọc</v>
      </c>
      <c r="E1218" s="448">
        <f ca="1">SUMIF(OFFSET(tongctvtdd1,0,-(COLUMN(E1218)+7-(COLUMN(E1218)-5)/2)),KLVT!$A1218,tongctvtdd1)+SUMIF(OFFSET(tongctvtpk1,0,-(COLUMN(E1218)+7-(COLUMN(E1218)-5)/2)),KLVT!$A1218,tongctvtpk1)</f>
        <v>0</v>
      </c>
      <c r="F1218" s="449">
        <f ca="1">SUMIF(OFFSET(cttba_vlvt1_1,0,-9,-ROW(cttba_vlvt1_1)+ROW(cttba_vltb1_1)-10),KLVT!$A1218,OFFSET(cttba_vlvt1_1,0,-4,-ROW(cttba_vlvt1_1)+ROW(cttba_vltb1_1)-10))</f>
        <v>0</v>
      </c>
      <c r="G1218" s="451">
        <f t="shared" ca="1" si="195"/>
        <v>0</v>
      </c>
      <c r="H1218" s="450">
        <f t="shared" si="192"/>
        <v>0.1</v>
      </c>
      <c r="I1218" s="447">
        <f t="shared" ca="1" si="196"/>
        <v>0</v>
      </c>
      <c r="J1218" s="447">
        <f t="shared" ca="1" si="197"/>
        <v>0</v>
      </c>
      <c r="K1218" s="373">
        <f t="shared" ca="1" si="198"/>
        <v>0</v>
      </c>
    </row>
    <row r="1219" spans="1:11" s="373" customFormat="1" ht="15.75" hidden="1">
      <c r="A1219" s="373" t="str">
        <f>IF(AND(COUNTIF($A$5:$A$133,R_DG!A1093)=0,R_DG!R1093&gt;0,ISNUMBER(R_DG!R1093)),R_DG!A1093,"NONE")</f>
        <v>CDAO15</v>
      </c>
      <c r="B1219" s="85">
        <f ca="1">IF(K1219&gt;0,COUNTIF(K$6:K1219,"&gt;0"),B1218)</f>
        <v>36</v>
      </c>
      <c r="C1219" s="1084" t="str">
        <f t="shared" si="193"/>
        <v>Cầu dao 15A - 600V</v>
      </c>
      <c r="D1219" s="85" t="str">
        <f t="shared" si="194"/>
        <v>cái</v>
      </c>
      <c r="E1219" s="448">
        <f ca="1">SUMIF(OFFSET(tongctvtdd1,0,-(COLUMN(E1219)+7-(COLUMN(E1219)-5)/2)),KLVT!$A1219,tongctvtdd1)+SUMIF(OFFSET(tongctvtpk1,0,-(COLUMN(E1219)+7-(COLUMN(E1219)-5)/2)),KLVT!$A1219,tongctvtpk1)</f>
        <v>0</v>
      </c>
      <c r="F1219" s="449">
        <f ca="1">SUMIF(OFFSET(cttba_vlvt1_1,0,-9,-ROW(cttba_vlvt1_1)+ROW(cttba_vltb1_1)-10),KLVT!$A1219,OFFSET(cttba_vlvt1_1,0,-4,-ROW(cttba_vlvt1_1)+ROW(cttba_vltb1_1)-10))</f>
        <v>0</v>
      </c>
      <c r="G1219" s="451">
        <f t="shared" ca="1" si="195"/>
        <v>0</v>
      </c>
      <c r="H1219" s="450">
        <f t="shared" si="192"/>
        <v>0.3</v>
      </c>
      <c r="I1219" s="447">
        <f t="shared" ca="1" si="196"/>
        <v>0</v>
      </c>
      <c r="J1219" s="447">
        <f t="shared" ca="1" si="197"/>
        <v>0</v>
      </c>
      <c r="K1219" s="373">
        <f t="shared" ca="1" si="198"/>
        <v>0</v>
      </c>
    </row>
    <row r="1220" spans="1:11" s="373" customFormat="1" ht="15.75" hidden="1">
      <c r="A1220" s="373" t="str">
        <f>IF(AND(COUNTIF($A$5:$A$133,R_DG!A1094)=0,R_DG!R1094&gt;0,ISNUMBER(R_DG!R1094)),R_DG!A1094,"NONE")</f>
        <v>CDAO30</v>
      </c>
      <c r="B1220" s="85">
        <f ca="1">IF(K1220&gt;0,COUNTIF(K$6:K1220,"&gt;0"),B1219)</f>
        <v>36</v>
      </c>
      <c r="C1220" s="1084" t="str">
        <f t="shared" si="193"/>
        <v>Cầu dao 30A - 600V</v>
      </c>
      <c r="D1220" s="85" t="str">
        <f t="shared" si="194"/>
        <v>cái</v>
      </c>
      <c r="E1220" s="448">
        <f ca="1">SUMIF(OFFSET(tongctvtdd1,0,-(COLUMN(E1220)+7-(COLUMN(E1220)-5)/2)),KLVT!$A1220,tongctvtdd1)+SUMIF(OFFSET(tongctvtpk1,0,-(COLUMN(E1220)+7-(COLUMN(E1220)-5)/2)),KLVT!$A1220,tongctvtpk1)</f>
        <v>0</v>
      </c>
      <c r="F1220" s="449">
        <f ca="1">SUMIF(OFFSET(cttba_vlvt1_1,0,-9,-ROW(cttba_vlvt1_1)+ROW(cttba_vltb1_1)-10),KLVT!$A1220,OFFSET(cttba_vlvt1_1,0,-4,-ROW(cttba_vlvt1_1)+ROW(cttba_vltb1_1)-10))</f>
        <v>0</v>
      </c>
      <c r="G1220" s="451">
        <f t="shared" ca="1" si="195"/>
        <v>0</v>
      </c>
      <c r="H1220" s="450">
        <f t="shared" si="192"/>
        <v>0.3</v>
      </c>
      <c r="I1220" s="447">
        <f t="shared" ca="1" si="196"/>
        <v>0</v>
      </c>
      <c r="J1220" s="447">
        <f t="shared" ca="1" si="197"/>
        <v>0</v>
      </c>
      <c r="K1220" s="373">
        <f t="shared" ca="1" si="198"/>
        <v>0</v>
      </c>
    </row>
    <row r="1221" spans="1:11" s="373" customFormat="1" ht="15.75" hidden="1">
      <c r="A1221" s="373" t="str">
        <f>IF(AND(COUNTIF($A$5:$A$133,R_DG!A1095)=0,R_DG!R1095&gt;0,ISNUMBER(R_DG!R1095)),R_DG!A1095,"NONE")</f>
        <v>CDAO60</v>
      </c>
      <c r="B1221" s="85">
        <f ca="1">IF(K1221&gt;0,COUNTIF(K$6:K1221,"&gt;0"),B1220)</f>
        <v>36</v>
      </c>
      <c r="C1221" s="1084" t="str">
        <f t="shared" si="193"/>
        <v>Cầu dao 60A - 600V</v>
      </c>
      <c r="D1221" s="85" t="str">
        <f t="shared" si="194"/>
        <v>cái</v>
      </c>
      <c r="E1221" s="448">
        <f ca="1">SUMIF(OFFSET(tongctvtdd1,0,-(COLUMN(E1221)+7-(COLUMN(E1221)-5)/2)),KLVT!$A1221,tongctvtdd1)+SUMIF(OFFSET(tongctvtpk1,0,-(COLUMN(E1221)+7-(COLUMN(E1221)-5)/2)),KLVT!$A1221,tongctvtpk1)</f>
        <v>0</v>
      </c>
      <c r="F1221" s="449">
        <f ca="1">SUMIF(OFFSET(cttba_vlvt1_1,0,-9,-ROW(cttba_vlvt1_1)+ROW(cttba_vltb1_1)-10),KLVT!$A1221,OFFSET(cttba_vlvt1_1,0,-4,-ROW(cttba_vlvt1_1)+ROW(cttba_vltb1_1)-10))</f>
        <v>0</v>
      </c>
      <c r="G1221" s="451">
        <f t="shared" ca="1" si="195"/>
        <v>0</v>
      </c>
      <c r="H1221" s="450">
        <f t="shared" si="192"/>
        <v>0.3</v>
      </c>
      <c r="I1221" s="447">
        <f t="shared" ca="1" si="196"/>
        <v>0</v>
      </c>
      <c r="J1221" s="447">
        <f t="shared" ca="1" si="197"/>
        <v>0</v>
      </c>
      <c r="K1221" s="373">
        <f t="shared" ca="1" si="198"/>
        <v>0</v>
      </c>
    </row>
    <row r="1222" spans="1:11" s="373" customFormat="1" ht="15.75" hidden="1">
      <c r="A1222" s="373" t="str">
        <f>IF(AND(COUNTIF($A$5:$A$133,R_DG!A1096)=0,R_DG!R1096&gt;0,ISNUMBER(R_DG!R1096)),R_DG!A1096,"NONE")</f>
        <v>CDAO100</v>
      </c>
      <c r="B1222" s="85">
        <f ca="1">IF(K1222&gt;0,COUNTIF(K$6:K1222,"&gt;0"),B1221)</f>
        <v>36</v>
      </c>
      <c r="C1222" s="1084" t="str">
        <f t="shared" si="193"/>
        <v>Cầu dao 100A - 600V</v>
      </c>
      <c r="D1222" s="85" t="str">
        <f t="shared" si="194"/>
        <v>cái</v>
      </c>
      <c r="E1222" s="448">
        <f ca="1">SUMIF(OFFSET(tongctvtdd1,0,-(COLUMN(E1222)+7-(COLUMN(E1222)-5)/2)),KLVT!$A1222,tongctvtdd1)+SUMIF(OFFSET(tongctvtpk1,0,-(COLUMN(E1222)+7-(COLUMN(E1222)-5)/2)),KLVT!$A1222,tongctvtpk1)</f>
        <v>0</v>
      </c>
      <c r="F1222" s="449">
        <f ca="1">SUMIF(OFFSET(cttba_vlvt1_1,0,-9,-ROW(cttba_vlvt1_1)+ROW(cttba_vltb1_1)-10),KLVT!$A1222,OFFSET(cttba_vlvt1_1,0,-4,-ROW(cttba_vlvt1_1)+ROW(cttba_vltb1_1)-10))</f>
        <v>0</v>
      </c>
      <c r="G1222" s="451">
        <f t="shared" ca="1" si="195"/>
        <v>0</v>
      </c>
      <c r="H1222" s="450">
        <f t="shared" ref="H1222:H1285" si="199">VLOOKUP(A1222,DONGIA,18,0)</f>
        <v>0.3</v>
      </c>
      <c r="I1222" s="447">
        <f t="shared" ca="1" si="196"/>
        <v>0</v>
      </c>
      <c r="J1222" s="447">
        <f t="shared" ca="1" si="197"/>
        <v>0</v>
      </c>
      <c r="K1222" s="373">
        <f t="shared" ca="1" si="198"/>
        <v>0</v>
      </c>
    </row>
    <row r="1223" spans="1:11" s="373" customFormat="1" ht="15.75" hidden="1">
      <c r="A1223" s="373" t="str">
        <f>IF(AND(COUNTIF($A$5:$A$133,R_DG!A1097)=0,R_DG!R1097&gt;0,ISNUMBER(R_DG!R1097)),R_DG!A1097,"NONE")</f>
        <v>CDAO150</v>
      </c>
      <c r="B1223" s="85">
        <f ca="1">IF(K1223&gt;0,COUNTIF(K$6:K1223,"&gt;0"),B1222)</f>
        <v>36</v>
      </c>
      <c r="C1223" s="1084" t="str">
        <f t="shared" si="193"/>
        <v>Cầu dao 150A - 600V</v>
      </c>
      <c r="D1223" s="85" t="str">
        <f t="shared" si="194"/>
        <v>cái</v>
      </c>
      <c r="E1223" s="448">
        <f ca="1">SUMIF(OFFSET(tongctvtdd1,0,-(COLUMN(E1223)+7-(COLUMN(E1223)-5)/2)),KLVT!$A1223,tongctvtdd1)+SUMIF(OFFSET(tongctvtpk1,0,-(COLUMN(E1223)+7-(COLUMN(E1223)-5)/2)),KLVT!$A1223,tongctvtpk1)</f>
        <v>0</v>
      </c>
      <c r="F1223" s="449">
        <f ca="1">SUMIF(OFFSET(cttba_vlvt1_1,0,-9,-ROW(cttba_vlvt1_1)+ROW(cttba_vltb1_1)-10),KLVT!$A1223,OFFSET(cttba_vlvt1_1,0,-4,-ROW(cttba_vlvt1_1)+ROW(cttba_vltb1_1)-10))</f>
        <v>0</v>
      </c>
      <c r="G1223" s="451">
        <f t="shared" ca="1" si="195"/>
        <v>0</v>
      </c>
      <c r="H1223" s="450">
        <f t="shared" si="199"/>
        <v>0.3</v>
      </c>
      <c r="I1223" s="447">
        <f t="shared" ca="1" si="196"/>
        <v>0</v>
      </c>
      <c r="J1223" s="447">
        <f t="shared" ca="1" si="197"/>
        <v>0</v>
      </c>
      <c r="K1223" s="373">
        <f t="shared" ca="1" si="198"/>
        <v>0</v>
      </c>
    </row>
    <row r="1224" spans="1:11" s="373" customFormat="1" ht="15.75" hidden="1">
      <c r="A1224" s="373" t="str">
        <f>IF(AND(COUNTIF($A$5:$A$133,R_DG!A1098)=0,R_DG!R1098&gt;0,ISNUMBER(R_DG!R1098)),R_DG!A1098,"NONE")</f>
        <v>CDAO200</v>
      </c>
      <c r="B1224" s="85">
        <f ca="1">IF(K1224&gt;0,COUNTIF(K$6:K1224,"&gt;0"),B1223)</f>
        <v>36</v>
      </c>
      <c r="C1224" s="1084" t="str">
        <f t="shared" si="193"/>
        <v>Cầu dao 200A - 600V</v>
      </c>
      <c r="D1224" s="85" t="str">
        <f t="shared" si="194"/>
        <v>cái</v>
      </c>
      <c r="E1224" s="448">
        <f ca="1">SUMIF(OFFSET(tongctvtdd1,0,-(COLUMN(E1224)+7-(COLUMN(E1224)-5)/2)),KLVT!$A1224,tongctvtdd1)+SUMIF(OFFSET(tongctvtpk1,0,-(COLUMN(E1224)+7-(COLUMN(E1224)-5)/2)),KLVT!$A1224,tongctvtpk1)</f>
        <v>0</v>
      </c>
      <c r="F1224" s="449">
        <f ca="1">SUMIF(OFFSET(cttba_vlvt1_1,0,-9,-ROW(cttba_vlvt1_1)+ROW(cttba_vltb1_1)-10),KLVT!$A1224,OFFSET(cttba_vlvt1_1,0,-4,-ROW(cttba_vlvt1_1)+ROW(cttba_vltb1_1)-10))</f>
        <v>0</v>
      </c>
      <c r="G1224" s="451">
        <f t="shared" ca="1" si="195"/>
        <v>0</v>
      </c>
      <c r="H1224" s="450">
        <f t="shared" si="199"/>
        <v>0.3</v>
      </c>
      <c r="I1224" s="447">
        <f t="shared" ca="1" si="196"/>
        <v>0</v>
      </c>
      <c r="J1224" s="447">
        <f t="shared" ca="1" si="197"/>
        <v>0</v>
      </c>
      <c r="K1224" s="373">
        <f t="shared" ca="1" si="198"/>
        <v>0</v>
      </c>
    </row>
    <row r="1225" spans="1:11" s="373" customFormat="1" ht="15.75" hidden="1">
      <c r="A1225" s="373" t="str">
        <f>IF(AND(COUNTIF($A$5:$A$133,R_DG!A1099)=0,R_DG!R1099&gt;0,ISNUMBER(R_DG!R1099)),R_DG!A1099,"NONE")</f>
        <v>CDAO250</v>
      </c>
      <c r="B1225" s="85">
        <f ca="1">IF(K1225&gt;0,COUNTIF(K$6:K1225,"&gt;0"),B1224)</f>
        <v>36</v>
      </c>
      <c r="C1225" s="1084" t="str">
        <f t="shared" si="193"/>
        <v>Cầu dao 250A - 600V</v>
      </c>
      <c r="D1225" s="85" t="str">
        <f t="shared" si="194"/>
        <v>cái</v>
      </c>
      <c r="E1225" s="448">
        <f ca="1">SUMIF(OFFSET(tongctvtdd1,0,-(COLUMN(E1225)+7-(COLUMN(E1225)-5)/2)),KLVT!$A1225,tongctvtdd1)+SUMIF(OFFSET(tongctvtpk1,0,-(COLUMN(E1225)+7-(COLUMN(E1225)-5)/2)),KLVT!$A1225,tongctvtpk1)</f>
        <v>0</v>
      </c>
      <c r="F1225" s="449">
        <f ca="1">SUMIF(OFFSET(cttba_vlvt1_1,0,-9,-ROW(cttba_vlvt1_1)+ROW(cttba_vltb1_1)-10),KLVT!$A1225,OFFSET(cttba_vlvt1_1,0,-4,-ROW(cttba_vlvt1_1)+ROW(cttba_vltb1_1)-10))</f>
        <v>0</v>
      </c>
      <c r="G1225" s="451">
        <f t="shared" ca="1" si="195"/>
        <v>0</v>
      </c>
      <c r="H1225" s="450">
        <f t="shared" si="199"/>
        <v>0.3</v>
      </c>
      <c r="I1225" s="447">
        <f t="shared" ca="1" si="196"/>
        <v>0</v>
      </c>
      <c r="J1225" s="447">
        <f t="shared" ca="1" si="197"/>
        <v>0</v>
      </c>
      <c r="K1225" s="373">
        <f t="shared" ca="1" si="198"/>
        <v>0</v>
      </c>
    </row>
    <row r="1226" spans="1:11" s="373" customFormat="1" ht="15.75" hidden="1">
      <c r="A1226" s="373" t="str">
        <f>IF(AND(COUNTIF($A$5:$A$133,R_DG!A1100)=0,R_DG!R1100&gt;0,ISNUMBER(R_DG!R1100)),R_DG!A1100,"NONE")</f>
        <v>CDAO300</v>
      </c>
      <c r="B1226" s="85">
        <f ca="1">IF(K1226&gt;0,COUNTIF(K$6:K1226,"&gt;0"),B1225)</f>
        <v>36</v>
      </c>
      <c r="C1226" s="1084" t="str">
        <f t="shared" si="193"/>
        <v>Cầu dao 300A - 600V</v>
      </c>
      <c r="D1226" s="85" t="str">
        <f t="shared" si="194"/>
        <v>cái</v>
      </c>
      <c r="E1226" s="448">
        <f ca="1">SUMIF(OFFSET(tongctvtdd1,0,-(COLUMN(E1226)+7-(COLUMN(E1226)-5)/2)),KLVT!$A1226,tongctvtdd1)+SUMIF(OFFSET(tongctvtpk1,0,-(COLUMN(E1226)+7-(COLUMN(E1226)-5)/2)),KLVT!$A1226,tongctvtpk1)</f>
        <v>0</v>
      </c>
      <c r="F1226" s="449">
        <f ca="1">SUMIF(OFFSET(cttba_vlvt1_1,0,-9,-ROW(cttba_vlvt1_1)+ROW(cttba_vltb1_1)-10),KLVT!$A1226,OFFSET(cttba_vlvt1_1,0,-4,-ROW(cttba_vlvt1_1)+ROW(cttba_vltb1_1)-10))</f>
        <v>0</v>
      </c>
      <c r="G1226" s="451">
        <f t="shared" ca="1" si="195"/>
        <v>0</v>
      </c>
      <c r="H1226" s="450">
        <f t="shared" si="199"/>
        <v>0.3</v>
      </c>
      <c r="I1226" s="447">
        <f t="shared" ca="1" si="196"/>
        <v>0</v>
      </c>
      <c r="J1226" s="447">
        <f t="shared" ca="1" si="197"/>
        <v>0</v>
      </c>
      <c r="K1226" s="373">
        <f t="shared" ca="1" si="198"/>
        <v>0</v>
      </c>
    </row>
    <row r="1227" spans="1:11" s="373" customFormat="1" ht="15.75" hidden="1">
      <c r="A1227" s="373" t="str">
        <f>IF(AND(COUNTIF($A$5:$A$133,R_DG!A1101)=0,R_DG!R1101&gt;0,ISNUMBER(R_DG!R1101)),R_DG!A1101,"NONE")</f>
        <v>PVC200</v>
      </c>
      <c r="B1227" s="85">
        <f ca="1">IF(K1227&gt;0,COUNTIF(K$6:K1227,"&gt;0"),B1226)</f>
        <v>36</v>
      </c>
      <c r="C1227" s="1084" t="str">
        <f t="shared" si="193"/>
        <v>Ống PVC D200 dày 9,6mm</v>
      </c>
      <c r="D1227" s="85" t="str">
        <f t="shared" si="194"/>
        <v>m</v>
      </c>
      <c r="E1227" s="448">
        <f ca="1">SUMIF(OFFSET(tongctvtdd1,0,-(COLUMN(E1227)+7-(COLUMN(E1227)-5)/2)),KLVT!$A1227,tongctvtdd1)+SUMIF(OFFSET(tongctvtpk1,0,-(COLUMN(E1227)+7-(COLUMN(E1227)-5)/2)),KLVT!$A1227,tongctvtpk1)</f>
        <v>0</v>
      </c>
      <c r="F1227" s="449">
        <f ca="1">SUMIF(OFFSET(cttba_vlvt1_1,0,-9,-ROW(cttba_vlvt1_1)+ROW(cttba_vltb1_1)-10),KLVT!$A1227,OFFSET(cttba_vlvt1_1,0,-4,-ROW(cttba_vlvt1_1)+ROW(cttba_vltb1_1)-10))</f>
        <v>0</v>
      </c>
      <c r="G1227" s="451">
        <f t="shared" ca="1" si="195"/>
        <v>0</v>
      </c>
      <c r="H1227" s="450">
        <f t="shared" si="199"/>
        <v>3</v>
      </c>
      <c r="I1227" s="447">
        <f t="shared" ca="1" si="196"/>
        <v>0</v>
      </c>
      <c r="J1227" s="447">
        <f t="shared" ca="1" si="197"/>
        <v>0</v>
      </c>
      <c r="K1227" s="373">
        <f t="shared" ca="1" si="198"/>
        <v>0</v>
      </c>
    </row>
    <row r="1228" spans="1:11" s="373" customFormat="1" ht="15.75" hidden="1">
      <c r="A1228" s="373" t="str">
        <f>IF(AND(COUNTIF($A$5:$A$133,R_DG!A1102)=0,R_DG!R1102&gt;0,ISNUMBER(R_DG!R1102)),R_DG!A1102,"NONE")</f>
        <v>PVC168</v>
      </c>
      <c r="B1228" s="85">
        <f ca="1">IF(K1228&gt;0,COUNTIF(K$6:K1228,"&gt;0"),B1227)</f>
        <v>36</v>
      </c>
      <c r="C1228" s="1084" t="str">
        <f t="shared" si="193"/>
        <v>Ống PVC D168 dày 7,0mm</v>
      </c>
      <c r="D1228" s="85" t="str">
        <f t="shared" si="194"/>
        <v>m</v>
      </c>
      <c r="E1228" s="448">
        <f ca="1">SUMIF(OFFSET(tongctvtdd1,0,-(COLUMN(E1228)+7-(COLUMN(E1228)-5)/2)),KLVT!$A1228,tongctvtdd1)+SUMIF(OFFSET(tongctvtpk1,0,-(COLUMN(E1228)+7-(COLUMN(E1228)-5)/2)),KLVT!$A1228,tongctvtpk1)</f>
        <v>0</v>
      </c>
      <c r="F1228" s="449">
        <f ca="1">SUMIF(OFFSET(cttba_vlvt1_1,0,-9,-ROW(cttba_vlvt1_1)+ROW(cttba_vltb1_1)-10),KLVT!$A1228,OFFSET(cttba_vlvt1_1,0,-4,-ROW(cttba_vlvt1_1)+ROW(cttba_vltb1_1)-10))</f>
        <v>0</v>
      </c>
      <c r="G1228" s="451">
        <f t="shared" ca="1" si="195"/>
        <v>0</v>
      </c>
      <c r="H1228" s="450">
        <f t="shared" si="199"/>
        <v>3</v>
      </c>
      <c r="I1228" s="447">
        <f t="shared" ca="1" si="196"/>
        <v>0</v>
      </c>
      <c r="J1228" s="447">
        <f t="shared" ca="1" si="197"/>
        <v>0</v>
      </c>
      <c r="K1228" s="373">
        <f t="shared" ca="1" si="198"/>
        <v>0</v>
      </c>
    </row>
    <row r="1229" spans="1:11" s="373" customFormat="1" ht="15.75" hidden="1">
      <c r="A1229" s="373" t="str">
        <f>IF(AND(COUNTIF($A$5:$A$133,R_DG!A1103)=0,R_DG!R1103&gt;0,ISNUMBER(R_DG!R1103)),R_DG!A1103,"NONE")</f>
        <v>PVC140</v>
      </c>
      <c r="B1229" s="85">
        <f ca="1">IF(K1229&gt;0,COUNTIF(K$6:K1229,"&gt;0"),B1228)</f>
        <v>36</v>
      </c>
      <c r="C1229" s="1084" t="str">
        <f t="shared" si="193"/>
        <v>Ống PVC D140x6,7mm</v>
      </c>
      <c r="D1229" s="85" t="str">
        <f t="shared" si="194"/>
        <v>m</v>
      </c>
      <c r="E1229" s="448">
        <f ca="1">SUMIF(OFFSET(tongctvtdd1,0,-(COLUMN(E1229)+7-(COLUMN(E1229)-5)/2)),KLVT!$A1229,tongctvtdd1)+SUMIF(OFFSET(tongctvtpk1,0,-(COLUMN(E1229)+7-(COLUMN(E1229)-5)/2)),KLVT!$A1229,tongctvtpk1)</f>
        <v>0</v>
      </c>
      <c r="F1229" s="449">
        <f ca="1">SUMIF(OFFSET(cttba_vlvt1_1,0,-9,-ROW(cttba_vlvt1_1)+ROW(cttba_vltb1_1)-10),KLVT!$A1229,OFFSET(cttba_vlvt1_1,0,-4,-ROW(cttba_vlvt1_1)+ROW(cttba_vltb1_1)-10))</f>
        <v>0</v>
      </c>
      <c r="G1229" s="451">
        <f t="shared" ca="1" si="195"/>
        <v>0</v>
      </c>
      <c r="H1229" s="450">
        <f t="shared" si="199"/>
        <v>2</v>
      </c>
      <c r="I1229" s="447">
        <f t="shared" ca="1" si="196"/>
        <v>0</v>
      </c>
      <c r="J1229" s="447">
        <f t="shared" ca="1" si="197"/>
        <v>0</v>
      </c>
      <c r="K1229" s="373">
        <f t="shared" ca="1" si="198"/>
        <v>0</v>
      </c>
    </row>
    <row r="1230" spans="1:11" s="373" customFormat="1" hidden="1">
      <c r="A1230" s="373" t="str">
        <f>IF(AND(COUNTIF($A$5:$A$133,R_DG!A1104)=0,R_DG!R1104&gt;0,ISNUMBER(R_DG!R1104)),R_DG!A1104,"NONE")</f>
        <v>PVC114</v>
      </c>
      <c r="B1230" s="85">
        <f ca="1">IF(K1230&gt;0,COUNTIF(K$6:K1230,"&gt;0"),B1229)</f>
        <v>36</v>
      </c>
      <c r="C1230" s="1084" t="str">
        <f t="shared" si="193"/>
        <v xml:space="preserve">Ống PVC D114x4,9mm </v>
      </c>
      <c r="D1230" s="85" t="str">
        <f t="shared" si="194"/>
        <v>m</v>
      </c>
      <c r="E1230" s="448">
        <f ca="1">SUMIF(OFFSET(tongctvtdd1,0,-(COLUMN(E1230)+7-(COLUMN(E1230)-5)/2)),KLVT!$A1230,tongctvtdd1)+SUMIF(OFFSET(tongctvtpk1,0,-(COLUMN(E1230)+7-(COLUMN(E1230)-5)/2)),KLVT!$A1230,tongctvtpk1)</f>
        <v>0</v>
      </c>
      <c r="F1230" s="449">
        <f ca="1">SUMIF(OFFSET(cttba_vlvt1_1,0,-9,-ROW(cttba_vlvt1_1)+ROW(cttba_vltb1_1)-10),KLVT!$A1230,OFFSET(cttba_vlvt1_1,0,-4,-ROW(cttba_vlvt1_1)+ROW(cttba_vltb1_1)-10))</f>
        <v>0</v>
      </c>
      <c r="G1230" s="451">
        <f t="shared" ca="1" si="195"/>
        <v>0</v>
      </c>
      <c r="H1230" s="450">
        <f t="shared" si="199"/>
        <v>2</v>
      </c>
      <c r="I1230" s="447">
        <f t="shared" ca="1" si="196"/>
        <v>0</v>
      </c>
      <c r="J1230" s="447">
        <f t="shared" ca="1" si="197"/>
        <v>0</v>
      </c>
      <c r="K1230" s="1094">
        <f t="shared" ca="1" si="198"/>
        <v>0</v>
      </c>
    </row>
    <row r="1231" spans="1:11" s="373" customFormat="1" ht="15.75" hidden="1">
      <c r="A1231" s="373" t="str">
        <f>IF(AND(COUNTIF($A$5:$A$133,R_DG!A1105)=0,R_DG!R1105&gt;0,ISNUMBER(R_DG!R1105)),R_DG!A1105,"NONE")</f>
        <v>PVC90</v>
      </c>
      <c r="B1231" s="85">
        <f ca="1">IF(K1231&gt;0,COUNTIF(K$6:K1231,"&gt;0"),B1230)</f>
        <v>36</v>
      </c>
      <c r="C1231" s="1084" t="str">
        <f t="shared" si="193"/>
        <v xml:space="preserve">Ống PVC D90x3,8mm </v>
      </c>
      <c r="D1231" s="85" t="str">
        <f t="shared" si="194"/>
        <v>m</v>
      </c>
      <c r="E1231" s="448">
        <f ca="1">SUMIF(OFFSET(tongctvtdd1,0,-(COLUMN(E1231)+7-(COLUMN(E1231)-5)/2)),KLVT!$A1231,tongctvtdd1)+SUMIF(OFFSET(tongctvtpk1,0,-(COLUMN(E1231)+7-(COLUMN(E1231)-5)/2)),KLVT!$A1231,tongctvtpk1)</f>
        <v>0</v>
      </c>
      <c r="F1231" s="449">
        <f ca="1">SUMIF(OFFSET(cttba_vlvt1_1,0,-9,-ROW(cttba_vlvt1_1)+ROW(cttba_vltb1_1)-10),KLVT!$A1231,OFFSET(cttba_vlvt1_1,0,-4,-ROW(cttba_vlvt1_1)+ROW(cttba_vltb1_1)-10))</f>
        <v>0</v>
      </c>
      <c r="G1231" s="451">
        <f t="shared" ca="1" si="195"/>
        <v>0</v>
      </c>
      <c r="H1231" s="450">
        <f t="shared" si="199"/>
        <v>2</v>
      </c>
      <c r="I1231" s="447">
        <f t="shared" ca="1" si="196"/>
        <v>0</v>
      </c>
      <c r="J1231" s="447">
        <f t="shared" ca="1" si="197"/>
        <v>0</v>
      </c>
      <c r="K1231" s="374">
        <f t="shared" ca="1" si="198"/>
        <v>0</v>
      </c>
    </row>
    <row r="1232" spans="1:11" s="373" customFormat="1" ht="15.75" hidden="1">
      <c r="A1232" s="373" t="str">
        <f>IF(AND(COUNTIF($A$5:$A$133,R_DG!A1106)=0,R_DG!R1106&gt;0,ISNUMBER(R_DG!R1106)),R_DG!A1106,"NONE")</f>
        <v>PVC60</v>
      </c>
      <c r="B1232" s="85">
        <f ca="1">IF(K1232&gt;0,COUNTIF(K$6:K1232,"&gt;0"),B1231)</f>
        <v>36</v>
      </c>
      <c r="C1232" s="1084" t="str">
        <f t="shared" si="193"/>
        <v>Ống PVC D60x2,8mm</v>
      </c>
      <c r="D1232" s="85" t="str">
        <f t="shared" si="194"/>
        <v>m</v>
      </c>
      <c r="E1232" s="448">
        <f ca="1">SUMIF(OFFSET(tongctvtdd1,0,-(COLUMN(E1232)+7-(COLUMN(E1232)-5)/2)),KLVT!$A1232,tongctvtdd1)+SUMIF(OFFSET(tongctvtpk1,0,-(COLUMN(E1232)+7-(COLUMN(E1232)-5)/2)),KLVT!$A1232,tongctvtpk1)</f>
        <v>0</v>
      </c>
      <c r="F1232" s="449">
        <f ca="1">SUMIF(OFFSET(cttba_vlvt1_1,0,-9,-ROW(cttba_vlvt1_1)+ROW(cttba_vltb1_1)-10),KLVT!$A1232,OFFSET(cttba_vlvt1_1,0,-4,-ROW(cttba_vlvt1_1)+ROW(cttba_vltb1_1)-10))</f>
        <v>0</v>
      </c>
      <c r="G1232" s="451">
        <f t="shared" ca="1" si="195"/>
        <v>0</v>
      </c>
      <c r="H1232" s="450">
        <f t="shared" si="199"/>
        <v>1.5</v>
      </c>
      <c r="I1232" s="447">
        <f t="shared" ca="1" si="196"/>
        <v>0</v>
      </c>
      <c r="J1232" s="447">
        <f t="shared" ca="1" si="197"/>
        <v>0</v>
      </c>
      <c r="K1232" s="373">
        <f t="shared" ca="1" si="198"/>
        <v>0</v>
      </c>
    </row>
    <row r="1233" spans="1:11" s="373" customFormat="1" ht="15.75" hidden="1">
      <c r="A1233" s="373" t="str">
        <f>IF(AND(COUNTIF($A$5:$A$133,R_DG!A1107)=0,R_DG!R1107&gt;0,ISNUMBER(R_DG!R1107)),R_DG!A1107,"NONE")</f>
        <v>PVC49</v>
      </c>
      <c r="B1233" s="85">
        <f ca="1">IF(K1233&gt;0,COUNTIF(K$6:K1233,"&gt;0"),B1232)</f>
        <v>36</v>
      </c>
      <c r="C1233" s="1084" t="str">
        <f t="shared" si="193"/>
        <v>Ống PVC D49x2,4mm</v>
      </c>
      <c r="D1233" s="85" t="str">
        <f t="shared" si="194"/>
        <v>m</v>
      </c>
      <c r="E1233" s="448">
        <f ca="1">SUMIF(OFFSET(tongctvtdd1,0,-(COLUMN(E1233)+7-(COLUMN(E1233)-5)/2)),KLVT!$A1233,tongctvtdd1)+SUMIF(OFFSET(tongctvtpk1,0,-(COLUMN(E1233)+7-(COLUMN(E1233)-5)/2)),KLVT!$A1233,tongctvtpk1)</f>
        <v>0</v>
      </c>
      <c r="F1233" s="449">
        <f ca="1">SUMIF(OFFSET(cttba_vlvt1_1,0,-9,-ROW(cttba_vlvt1_1)+ROW(cttba_vltb1_1)-10),KLVT!$A1233,OFFSET(cttba_vlvt1_1,0,-4,-ROW(cttba_vlvt1_1)+ROW(cttba_vltb1_1)-10))</f>
        <v>0</v>
      </c>
      <c r="G1233" s="451">
        <f t="shared" ca="1" si="195"/>
        <v>0</v>
      </c>
      <c r="H1233" s="450">
        <f t="shared" si="199"/>
        <v>1.5</v>
      </c>
      <c r="I1233" s="447">
        <f t="shared" ca="1" si="196"/>
        <v>0</v>
      </c>
      <c r="J1233" s="447">
        <f t="shared" ca="1" si="197"/>
        <v>0</v>
      </c>
      <c r="K1233" s="373">
        <f t="shared" ca="1" si="198"/>
        <v>0</v>
      </c>
    </row>
    <row r="1234" spans="1:11" s="373" customFormat="1" ht="15.75" hidden="1">
      <c r="A1234" s="373" t="str">
        <f>IF(AND(COUNTIF($A$5:$A$133,R_DG!A1108)=0,R_DG!R1108&gt;0,ISNUMBER(R_DG!R1108)),R_DG!A1108,"NONE")</f>
        <v>PVC42</v>
      </c>
      <c r="B1234" s="85">
        <f ca="1">IF(K1234&gt;0,COUNTIF(K$6:K1234,"&gt;0"),B1233)</f>
        <v>36</v>
      </c>
      <c r="C1234" s="1084" t="str">
        <f t="shared" si="193"/>
        <v>Ống PVC D42x2,1mm</v>
      </c>
      <c r="D1234" s="85" t="str">
        <f t="shared" si="194"/>
        <v>m</v>
      </c>
      <c r="E1234" s="448">
        <f ca="1">SUMIF(OFFSET(tongctvtdd1,0,-(COLUMN(E1234)+7-(COLUMN(E1234)-5)/2)),KLVT!$A1234,tongctvtdd1)+SUMIF(OFFSET(tongctvtpk1,0,-(COLUMN(E1234)+7-(COLUMN(E1234)-5)/2)),KLVT!$A1234,tongctvtpk1)</f>
        <v>0</v>
      </c>
      <c r="F1234" s="449">
        <f ca="1">SUMIF(OFFSET(cttba_vlvt1_1,0,-9,-ROW(cttba_vlvt1_1)+ROW(cttba_vltb1_1)-10),KLVT!$A1234,OFFSET(cttba_vlvt1_1,0,-4,-ROW(cttba_vlvt1_1)+ROW(cttba_vltb1_1)-10))</f>
        <v>0</v>
      </c>
      <c r="G1234" s="451">
        <f t="shared" ca="1" si="195"/>
        <v>0</v>
      </c>
      <c r="H1234" s="450">
        <f t="shared" si="199"/>
        <v>1</v>
      </c>
      <c r="I1234" s="447">
        <f t="shared" ca="1" si="196"/>
        <v>0</v>
      </c>
      <c r="J1234" s="447">
        <f t="shared" ca="1" si="197"/>
        <v>0</v>
      </c>
      <c r="K1234" s="373">
        <f t="shared" ca="1" si="198"/>
        <v>0</v>
      </c>
    </row>
    <row r="1235" spans="1:11" s="373" customFormat="1" ht="15.75" hidden="1">
      <c r="A1235" s="373" t="str">
        <f>IF(AND(COUNTIF($A$5:$A$133,R_DG!A1109)=0,R_DG!R1109&gt;0,ISNUMBER(R_DG!R1109)),R_DG!A1109,"NONE")</f>
        <v>PVC21</v>
      </c>
      <c r="B1235" s="85">
        <f ca="1">IF(K1235&gt;0,COUNTIF(K$6:K1235,"&gt;0"),B1234)</f>
        <v>36</v>
      </c>
      <c r="C1235" s="1084" t="str">
        <f t="shared" si="193"/>
        <v xml:space="preserve">Ống PVC D21x1,6mm </v>
      </c>
      <c r="D1235" s="85" t="str">
        <f t="shared" si="194"/>
        <v>m</v>
      </c>
      <c r="E1235" s="448">
        <f ca="1">SUMIF(OFFSET(tongctvtdd1,0,-(COLUMN(E1235)+7-(COLUMN(E1235)-5)/2)),KLVT!$A1235,tongctvtdd1)+SUMIF(OFFSET(tongctvtpk1,0,-(COLUMN(E1235)+7-(COLUMN(E1235)-5)/2)),KLVT!$A1235,tongctvtpk1)</f>
        <v>0</v>
      </c>
      <c r="F1235" s="449">
        <f ca="1">SUMIF(OFFSET(cttba_vlvt1_1,0,-9,-ROW(cttba_vlvt1_1)+ROW(cttba_vltb1_1)-10),KLVT!$A1235,OFFSET(cttba_vlvt1_1,0,-4,-ROW(cttba_vlvt1_1)+ROW(cttba_vltb1_1)-10))</f>
        <v>0</v>
      </c>
      <c r="G1235" s="451">
        <f t="shared" ca="1" si="195"/>
        <v>0</v>
      </c>
      <c r="H1235" s="450">
        <f t="shared" si="199"/>
        <v>1</v>
      </c>
      <c r="I1235" s="447">
        <f t="shared" ca="1" si="196"/>
        <v>0</v>
      </c>
      <c r="J1235" s="447">
        <f t="shared" ca="1" si="197"/>
        <v>0</v>
      </c>
      <c r="K1235" s="373">
        <f t="shared" ca="1" si="198"/>
        <v>0</v>
      </c>
    </row>
    <row r="1236" spans="1:11" s="373" customFormat="1" ht="15.75" hidden="1">
      <c r="A1236" s="373" t="str">
        <f>IF(AND(COUNTIF($A$5:$A$133,R_DG!A1110)=0,R_DG!R1110&gt;0,ISNUMBER(R_DG!R1110)),R_DG!A1110,"NONE")</f>
        <v>ODH42</v>
      </c>
      <c r="B1236" s="85">
        <f ca="1">IF(K1236&gt;0,COUNTIF(K$6:K1236,"&gt;0"),B1235)</f>
        <v>36</v>
      </c>
      <c r="C1236" s="1084" t="str">
        <f t="shared" si="193"/>
        <v>Oáng nhựa đàn hồi</v>
      </c>
      <c r="D1236" s="85" t="str">
        <f t="shared" si="194"/>
        <v>mét</v>
      </c>
      <c r="E1236" s="448">
        <f ca="1">SUMIF(OFFSET(tongctvtdd1,0,-(COLUMN(E1236)+7-(COLUMN(E1236)-5)/2)),KLVT!$A1236,tongctvtdd1)+SUMIF(OFFSET(tongctvtpk1,0,-(COLUMN(E1236)+7-(COLUMN(E1236)-5)/2)),KLVT!$A1236,tongctvtpk1)</f>
        <v>0</v>
      </c>
      <c r="F1236" s="449">
        <f ca="1">SUMIF(OFFSET(cttba_vlvt1_1,0,-9,-ROW(cttba_vlvt1_1)+ROW(cttba_vltb1_1)-10),KLVT!$A1236,OFFSET(cttba_vlvt1_1,0,-4,-ROW(cttba_vlvt1_1)+ROW(cttba_vltb1_1)-10))</f>
        <v>0</v>
      </c>
      <c r="G1236" s="451">
        <f t="shared" ca="1" si="195"/>
        <v>0</v>
      </c>
      <c r="H1236" s="450">
        <f t="shared" si="199"/>
        <v>0.2</v>
      </c>
      <c r="I1236" s="447">
        <f t="shared" ca="1" si="196"/>
        <v>0</v>
      </c>
      <c r="J1236" s="447">
        <f t="shared" ca="1" si="197"/>
        <v>0</v>
      </c>
      <c r="K1236" s="373">
        <f t="shared" ca="1" si="198"/>
        <v>0</v>
      </c>
    </row>
    <row r="1237" spans="1:11" s="373" customFormat="1" ht="15.75" hidden="1">
      <c r="A1237" s="373" t="str">
        <f>IF(AND(COUNTIF($A$5:$A$133,R_DG!A1111)=0,R_DG!R1111&gt;0,ISNUMBER(R_DG!R1111)),R_DG!A1111,"NONE")</f>
        <v>ONGDH168</v>
      </c>
      <c r="B1237" s="85">
        <f ca="1">IF(K1237&gt;0,COUNTIF(K$6:K1237,"&gt;0"),B1236)</f>
        <v>36</v>
      </c>
      <c r="C1237" s="1084" t="str">
        <f t="shared" si="193"/>
        <v>Ống đàn hồi 168</v>
      </c>
      <c r="D1237" s="85" t="str">
        <f t="shared" si="194"/>
        <v>m</v>
      </c>
      <c r="E1237" s="448">
        <f ca="1">SUMIF(OFFSET(tongctvtdd1,0,-(COLUMN(E1237)+7-(COLUMN(E1237)-5)/2)),KLVT!$A1237,tongctvtdd1)+SUMIF(OFFSET(tongctvtpk1,0,-(COLUMN(E1237)+7-(COLUMN(E1237)-5)/2)),KLVT!$A1237,tongctvtpk1)</f>
        <v>0</v>
      </c>
      <c r="F1237" s="449">
        <f ca="1">SUMIF(OFFSET(cttba_vlvt1_1,0,-9,-ROW(cttba_vlvt1_1)+ROW(cttba_vltb1_1)-10),KLVT!$A1237,OFFSET(cttba_vlvt1_1,0,-4,-ROW(cttba_vlvt1_1)+ROW(cttba_vltb1_1)-10))</f>
        <v>0</v>
      </c>
      <c r="G1237" s="451">
        <f t="shared" ca="1" si="195"/>
        <v>0</v>
      </c>
      <c r="H1237" s="450">
        <f t="shared" si="199"/>
        <v>0.2</v>
      </c>
      <c r="I1237" s="447">
        <f t="shared" ca="1" si="196"/>
        <v>0</v>
      </c>
      <c r="J1237" s="447">
        <f t="shared" ca="1" si="197"/>
        <v>0</v>
      </c>
      <c r="K1237" s="373">
        <f t="shared" ca="1" si="198"/>
        <v>0</v>
      </c>
    </row>
    <row r="1238" spans="1:11" s="373" customFormat="1" ht="15.75" hidden="1">
      <c r="A1238" s="373" t="str">
        <f>IF(AND(COUNTIF($A$5:$A$133,R_DG!A1112)=0,R_DG!R1112&gt;0,ISNUMBER(R_DG!R1112)),R_DG!A1112,"NONE")</f>
        <v>ONGDH42</v>
      </c>
      <c r="B1238" s="85">
        <f ca="1">IF(K1238&gt;0,COUNTIF(K$6:K1238,"&gt;0"),B1237)</f>
        <v>36</v>
      </c>
      <c r="C1238" s="1084" t="str">
        <f t="shared" si="193"/>
        <v>Ống đàn hồi 42</v>
      </c>
      <c r="D1238" s="85" t="str">
        <f t="shared" si="194"/>
        <v>m</v>
      </c>
      <c r="E1238" s="448">
        <f ca="1">SUMIF(OFFSET(tongctvtdd1,0,-(COLUMN(E1238)+7-(COLUMN(E1238)-5)/2)),KLVT!$A1238,tongctvtdd1)+SUMIF(OFFSET(tongctvtpk1,0,-(COLUMN(E1238)+7-(COLUMN(E1238)-5)/2)),KLVT!$A1238,tongctvtpk1)</f>
        <v>0</v>
      </c>
      <c r="F1238" s="449">
        <f ca="1">SUMIF(OFFSET(cttba_vlvt1_1,0,-9,-ROW(cttba_vlvt1_1)+ROW(cttba_vltb1_1)-10),KLVT!$A1238,OFFSET(cttba_vlvt1_1,0,-4,-ROW(cttba_vlvt1_1)+ROW(cttba_vltb1_1)-10))</f>
        <v>0</v>
      </c>
      <c r="G1238" s="451">
        <f t="shared" ca="1" si="195"/>
        <v>0</v>
      </c>
      <c r="H1238" s="450">
        <f t="shared" si="199"/>
        <v>0.2</v>
      </c>
      <c r="I1238" s="447">
        <f t="shared" ca="1" si="196"/>
        <v>0</v>
      </c>
      <c r="J1238" s="447">
        <f t="shared" ca="1" si="197"/>
        <v>0</v>
      </c>
      <c r="K1238" s="373">
        <f t="shared" ca="1" si="198"/>
        <v>0</v>
      </c>
    </row>
    <row r="1239" spans="1:11" s="373" customFormat="1" ht="15.75" hidden="1">
      <c r="A1239" s="373" t="str">
        <f>IF(AND(COUNTIF($A$5:$A$133,R_DG!A1113)=0,R_DG!R1113&gt;0,ISNUMBER(R_DG!R1113)),R_DG!A1113,"NONE")</f>
        <v>ONGDH114</v>
      </c>
      <c r="B1239" s="85">
        <f ca="1">IF(K1239&gt;0,COUNTIF(K$6:K1239,"&gt;0"),B1238)</f>
        <v>36</v>
      </c>
      <c r="C1239" s="1084" t="str">
        <f t="shared" si="193"/>
        <v>Ống đàn hồi 114</v>
      </c>
      <c r="D1239" s="85" t="str">
        <f t="shared" si="194"/>
        <v>m</v>
      </c>
      <c r="E1239" s="448">
        <f ca="1">SUMIF(OFFSET(tongctvtdd1,0,-(COLUMN(E1239)+7-(COLUMN(E1239)-5)/2)),KLVT!$A1239,tongctvtdd1)+SUMIF(OFFSET(tongctvtpk1,0,-(COLUMN(E1239)+7-(COLUMN(E1239)-5)/2)),KLVT!$A1239,tongctvtpk1)</f>
        <v>0</v>
      </c>
      <c r="F1239" s="449">
        <f ca="1">SUMIF(OFFSET(cttba_vlvt1_1,0,-9,-ROW(cttba_vlvt1_1)+ROW(cttba_vltb1_1)-10),KLVT!$A1239,OFFSET(cttba_vlvt1_1,0,-4,-ROW(cttba_vlvt1_1)+ROW(cttba_vltb1_1)-10))</f>
        <v>0</v>
      </c>
      <c r="G1239" s="451">
        <f t="shared" ca="1" si="195"/>
        <v>0</v>
      </c>
      <c r="H1239" s="450">
        <f t="shared" si="199"/>
        <v>0.2</v>
      </c>
      <c r="I1239" s="447">
        <f t="shared" ca="1" si="196"/>
        <v>0</v>
      </c>
      <c r="J1239" s="447">
        <f t="shared" ca="1" si="197"/>
        <v>0</v>
      </c>
      <c r="K1239" s="373">
        <f t="shared" ca="1" si="198"/>
        <v>0</v>
      </c>
    </row>
    <row r="1240" spans="1:11" s="373" customFormat="1" ht="15.75" hidden="1">
      <c r="A1240" s="373" t="str">
        <f>IF(AND(COUNTIF($A$5:$A$133,R_DG!A1114)=0,R_DG!R1114&gt;0,ISNUMBER(R_DG!R1114)),R_DG!A1114,"NONE")</f>
        <v>CUT21</v>
      </c>
      <c r="B1240" s="85">
        <f ca="1">IF(K1240&gt;0,COUNTIF(K$6:K1240,"&gt;0"),B1239)</f>
        <v>36</v>
      </c>
      <c r="C1240" s="1084" t="str">
        <f t="shared" si="193"/>
        <v>Cut PVC 21</v>
      </c>
      <c r="D1240" s="85" t="str">
        <f t="shared" si="194"/>
        <v>cái</v>
      </c>
      <c r="E1240" s="448">
        <f ca="1">SUMIF(OFFSET(tongctvtdd1,0,-(COLUMN(E1240)+7-(COLUMN(E1240)-5)/2)),KLVT!$A1240,tongctvtdd1)+SUMIF(OFFSET(tongctvtpk1,0,-(COLUMN(E1240)+7-(COLUMN(E1240)-5)/2)),KLVT!$A1240,tongctvtpk1)</f>
        <v>0</v>
      </c>
      <c r="F1240" s="449">
        <f ca="1">SUMIF(OFFSET(cttba_vlvt1_1,0,-9,-ROW(cttba_vlvt1_1)+ROW(cttba_vltb1_1)-10),KLVT!$A1240,OFFSET(cttba_vlvt1_1,0,-4,-ROW(cttba_vlvt1_1)+ROW(cttba_vltb1_1)-10))</f>
        <v>0</v>
      </c>
      <c r="G1240" s="451">
        <f t="shared" ca="1" si="195"/>
        <v>0</v>
      </c>
      <c r="H1240" s="450">
        <f t="shared" si="199"/>
        <v>0.2</v>
      </c>
      <c r="I1240" s="447">
        <f t="shared" ca="1" si="196"/>
        <v>0</v>
      </c>
      <c r="J1240" s="447">
        <f t="shared" ca="1" si="197"/>
        <v>0</v>
      </c>
      <c r="K1240" s="373">
        <f t="shared" ca="1" si="198"/>
        <v>0</v>
      </c>
    </row>
    <row r="1241" spans="1:11" s="373" customFormat="1" ht="15.75" hidden="1">
      <c r="A1241" s="373" t="str">
        <f>IF(AND(COUNTIF($A$5:$A$133,R_DG!A1115)=0,R_DG!R1115&gt;0,ISNUMBER(R_DG!R1115)),R_DG!A1115,"NONE")</f>
        <v>CUT4245</v>
      </c>
      <c r="B1241" s="85">
        <f ca="1">IF(K1241&gt;0,COUNTIF(K$6:K1241,"&gt;0"),B1240)</f>
        <v>36</v>
      </c>
      <c r="C1241" s="1084" t="str">
        <f t="shared" si="193"/>
        <v>Co 45 độ PVC 42</v>
      </c>
      <c r="D1241" s="85" t="str">
        <f t="shared" si="194"/>
        <v>cái</v>
      </c>
      <c r="E1241" s="448">
        <f ca="1">SUMIF(OFFSET(tongctvtdd1,0,-(COLUMN(E1241)+7-(COLUMN(E1241)-5)/2)),KLVT!$A1241,tongctvtdd1)+SUMIF(OFFSET(tongctvtpk1,0,-(COLUMN(E1241)+7-(COLUMN(E1241)-5)/2)),KLVT!$A1241,tongctvtpk1)</f>
        <v>0</v>
      </c>
      <c r="F1241" s="449">
        <f ca="1">SUMIF(OFFSET(cttba_vlvt1_1,0,-9,-ROW(cttba_vlvt1_1)+ROW(cttba_vltb1_1)-10),KLVT!$A1241,OFFSET(cttba_vlvt1_1,0,-4,-ROW(cttba_vlvt1_1)+ROW(cttba_vltb1_1)-10))</f>
        <v>0</v>
      </c>
      <c r="G1241" s="451">
        <f t="shared" ca="1" si="195"/>
        <v>0</v>
      </c>
      <c r="H1241" s="450">
        <f t="shared" si="199"/>
        <v>0.2</v>
      </c>
      <c r="I1241" s="447">
        <f t="shared" ca="1" si="196"/>
        <v>0</v>
      </c>
      <c r="J1241" s="447">
        <f t="shared" ca="1" si="197"/>
        <v>0</v>
      </c>
      <c r="K1241" s="373">
        <f t="shared" ca="1" si="198"/>
        <v>0</v>
      </c>
    </row>
    <row r="1242" spans="1:11" s="373" customFormat="1" ht="15.75" hidden="1">
      <c r="A1242" s="373" t="str">
        <f>IF(AND(COUNTIF($A$5:$A$133,R_DG!A1116)=0,R_DG!R1116&gt;0,ISNUMBER(R_DG!R1116)),R_DG!A1116,"NONE")</f>
        <v>CUT42</v>
      </c>
      <c r="B1242" s="85">
        <f ca="1">IF(K1242&gt;0,COUNTIF(K$6:K1242,"&gt;0"),B1241)</f>
        <v>36</v>
      </c>
      <c r="C1242" s="1084" t="str">
        <f t="shared" si="193"/>
        <v>Co 90 độ PVC 42</v>
      </c>
      <c r="D1242" s="85" t="str">
        <f t="shared" si="194"/>
        <v>cái</v>
      </c>
      <c r="E1242" s="448">
        <f ca="1">SUMIF(OFFSET(tongctvtdd1,0,-(COLUMN(E1242)+7-(COLUMN(E1242)-5)/2)),KLVT!$A1242,tongctvtdd1)+SUMIF(OFFSET(tongctvtpk1,0,-(COLUMN(E1242)+7-(COLUMN(E1242)-5)/2)),KLVT!$A1242,tongctvtpk1)</f>
        <v>0</v>
      </c>
      <c r="F1242" s="449">
        <f ca="1">SUMIF(OFFSET(cttba_vlvt1_1,0,-9,-ROW(cttba_vlvt1_1)+ROW(cttba_vltb1_1)-10),KLVT!$A1242,OFFSET(cttba_vlvt1_1,0,-4,-ROW(cttba_vlvt1_1)+ROW(cttba_vltb1_1)-10))</f>
        <v>0</v>
      </c>
      <c r="G1242" s="451">
        <f t="shared" ca="1" si="195"/>
        <v>0</v>
      </c>
      <c r="H1242" s="450">
        <f t="shared" si="199"/>
        <v>0.2</v>
      </c>
      <c r="I1242" s="447">
        <f t="shared" ca="1" si="196"/>
        <v>0</v>
      </c>
      <c r="J1242" s="447">
        <f t="shared" ca="1" si="197"/>
        <v>0</v>
      </c>
      <c r="K1242" s="373">
        <f t="shared" ca="1" si="198"/>
        <v>0</v>
      </c>
    </row>
    <row r="1243" spans="1:11" s="373" customFormat="1" ht="15.75" hidden="1">
      <c r="A1243" s="373" t="str">
        <f>IF(AND(COUNTIF($A$5:$A$133,R_DG!A1117)=0,R_DG!R1117&gt;0,ISNUMBER(R_DG!R1117)),R_DG!A1117,"NONE")</f>
        <v>CUT42T</v>
      </c>
      <c r="B1243" s="85">
        <f ca="1">IF(K1243&gt;0,COUNTIF(K$6:K1243,"&gt;0"),B1242)</f>
        <v>36</v>
      </c>
      <c r="C1243" s="1084" t="str">
        <f t="shared" si="193"/>
        <v>Co chữ T ống PVC 42</v>
      </c>
      <c r="D1243" s="85" t="str">
        <f t="shared" si="194"/>
        <v>cái</v>
      </c>
      <c r="E1243" s="448">
        <f ca="1">SUMIF(OFFSET(tongctvtdd1,0,-(COLUMN(E1243)+7-(COLUMN(E1243)-5)/2)),KLVT!$A1243,tongctvtdd1)+SUMIF(OFFSET(tongctvtpk1,0,-(COLUMN(E1243)+7-(COLUMN(E1243)-5)/2)),KLVT!$A1243,tongctvtpk1)</f>
        <v>0</v>
      </c>
      <c r="F1243" s="449">
        <f ca="1">SUMIF(OFFSET(cttba_vlvt1_1,0,-9,-ROW(cttba_vlvt1_1)+ROW(cttba_vltb1_1)-10),KLVT!$A1243,OFFSET(cttba_vlvt1_1,0,-4,-ROW(cttba_vlvt1_1)+ROW(cttba_vltb1_1)-10))</f>
        <v>0</v>
      </c>
      <c r="G1243" s="451">
        <f t="shared" ca="1" si="195"/>
        <v>0</v>
      </c>
      <c r="H1243" s="450">
        <f t="shared" si="199"/>
        <v>0.2</v>
      </c>
      <c r="I1243" s="447">
        <f t="shared" ca="1" si="196"/>
        <v>0</v>
      </c>
      <c r="J1243" s="447">
        <f t="shared" ca="1" si="197"/>
        <v>0</v>
      </c>
      <c r="K1243" s="373">
        <f t="shared" ca="1" si="198"/>
        <v>0</v>
      </c>
    </row>
    <row r="1244" spans="1:11" s="373" customFormat="1" ht="15.75" hidden="1">
      <c r="A1244" s="373" t="str">
        <f>IF(AND(COUNTIF($A$5:$A$133,R_DG!A1118)=0,R_DG!R1118&gt;0,ISNUMBER(R_DG!R1118)),R_DG!A1118,"NONE")</f>
        <v>CUT60</v>
      </c>
      <c r="B1244" s="85">
        <f ca="1">IF(K1244&gt;0,COUNTIF(K$6:K1244,"&gt;0"),B1243)</f>
        <v>36</v>
      </c>
      <c r="C1244" s="1084" t="str">
        <f t="shared" si="193"/>
        <v>Co 90 độ PVC 60</v>
      </c>
      <c r="D1244" s="85" t="str">
        <f t="shared" si="194"/>
        <v>cái</v>
      </c>
      <c r="E1244" s="448">
        <f ca="1">SUMIF(OFFSET(tongctvtdd1,0,-(COLUMN(E1244)+7-(COLUMN(E1244)-5)/2)),KLVT!$A1244,tongctvtdd1)+SUMIF(OFFSET(tongctvtpk1,0,-(COLUMN(E1244)+7-(COLUMN(E1244)-5)/2)),KLVT!$A1244,tongctvtpk1)</f>
        <v>0</v>
      </c>
      <c r="F1244" s="449">
        <f ca="1">SUMIF(OFFSET(cttba_vlvt1_1,0,-9,-ROW(cttba_vlvt1_1)+ROW(cttba_vltb1_1)-10),KLVT!$A1244,OFFSET(cttba_vlvt1_1,0,-4,-ROW(cttba_vlvt1_1)+ROW(cttba_vltb1_1)-10))</f>
        <v>0</v>
      </c>
      <c r="G1244" s="451">
        <f t="shared" ca="1" si="195"/>
        <v>0</v>
      </c>
      <c r="H1244" s="450">
        <f t="shared" si="199"/>
        <v>0.2</v>
      </c>
      <c r="I1244" s="447">
        <f t="shared" ca="1" si="196"/>
        <v>0</v>
      </c>
      <c r="J1244" s="447">
        <f t="shared" ca="1" si="197"/>
        <v>0</v>
      </c>
      <c r="K1244" s="373">
        <f t="shared" ca="1" si="198"/>
        <v>0</v>
      </c>
    </row>
    <row r="1245" spans="1:11" s="373" customFormat="1" ht="15.75" hidden="1">
      <c r="A1245" s="373" t="str">
        <f>IF(AND(COUNTIF($A$5:$A$133,R_DG!A1119)=0,R_DG!R1119&gt;0,ISNUMBER(R_DG!R1119)),R_DG!A1119,"NONE")</f>
        <v>CUT60135</v>
      </c>
      <c r="B1245" s="85">
        <f ca="1">IF(K1245&gt;0,COUNTIF(K$6:K1245,"&gt;0"),B1244)</f>
        <v>36</v>
      </c>
      <c r="C1245" s="1084" t="str">
        <f t="shared" si="193"/>
        <v>Co 135 độ PVC 60</v>
      </c>
      <c r="D1245" s="85" t="str">
        <f t="shared" si="194"/>
        <v>cái</v>
      </c>
      <c r="E1245" s="448">
        <f ca="1">SUMIF(OFFSET(tongctvtdd1,0,-(COLUMN(E1245)+7-(COLUMN(E1245)-5)/2)),KLVT!$A1245,tongctvtdd1)+SUMIF(OFFSET(tongctvtpk1,0,-(COLUMN(E1245)+7-(COLUMN(E1245)-5)/2)),KLVT!$A1245,tongctvtpk1)</f>
        <v>0</v>
      </c>
      <c r="F1245" s="449">
        <f ca="1">SUMIF(OFFSET(cttba_vlvt1_1,0,-9,-ROW(cttba_vlvt1_1)+ROW(cttba_vltb1_1)-10),KLVT!$A1245,OFFSET(cttba_vlvt1_1,0,-4,-ROW(cttba_vlvt1_1)+ROW(cttba_vltb1_1)-10))</f>
        <v>0</v>
      </c>
      <c r="G1245" s="451">
        <f t="shared" ca="1" si="195"/>
        <v>0</v>
      </c>
      <c r="H1245" s="450">
        <f t="shared" si="199"/>
        <v>0.2</v>
      </c>
      <c r="I1245" s="447">
        <f t="shared" ca="1" si="196"/>
        <v>0</v>
      </c>
      <c r="J1245" s="447">
        <f t="shared" ca="1" si="197"/>
        <v>0</v>
      </c>
      <c r="K1245" s="373">
        <f t="shared" ca="1" si="198"/>
        <v>0</v>
      </c>
    </row>
    <row r="1246" spans="1:11" s="373" customFormat="1" ht="15.75" hidden="1">
      <c r="A1246" s="373" t="str">
        <f>IF(AND(COUNTIF($A$5:$A$133,R_DG!A1120)=0,R_DG!R1120&gt;0,ISNUMBER(R_DG!R1120)),R_DG!A1120,"NONE")</f>
        <v>CUT90</v>
      </c>
      <c r="B1246" s="85">
        <f ca="1">IF(K1246&gt;0,COUNTIF(K$6:K1246,"&gt;0"),B1245)</f>
        <v>36</v>
      </c>
      <c r="C1246" s="1084" t="str">
        <f t="shared" si="193"/>
        <v>Co sừng 90 độ PVC 90</v>
      </c>
      <c r="D1246" s="85" t="str">
        <f t="shared" si="194"/>
        <v>cái</v>
      </c>
      <c r="E1246" s="448">
        <f ca="1">SUMIF(OFFSET(tongctvtdd1,0,-(COLUMN(E1246)+7-(COLUMN(E1246)-5)/2)),KLVT!$A1246,tongctvtdd1)+SUMIF(OFFSET(tongctvtpk1,0,-(COLUMN(E1246)+7-(COLUMN(E1246)-5)/2)),KLVT!$A1246,tongctvtpk1)</f>
        <v>0</v>
      </c>
      <c r="F1246" s="449">
        <f ca="1">SUMIF(OFFSET(cttba_vlvt1_1,0,-9,-ROW(cttba_vlvt1_1)+ROW(cttba_vltb1_1)-10),KLVT!$A1246,OFFSET(cttba_vlvt1_1,0,-4,-ROW(cttba_vlvt1_1)+ROW(cttba_vltb1_1)-10))</f>
        <v>0</v>
      </c>
      <c r="G1246" s="451">
        <f t="shared" ca="1" si="195"/>
        <v>0</v>
      </c>
      <c r="H1246" s="450">
        <f t="shared" si="199"/>
        <v>0.2</v>
      </c>
      <c r="I1246" s="447">
        <f t="shared" ca="1" si="196"/>
        <v>0</v>
      </c>
      <c r="J1246" s="447">
        <f t="shared" ca="1" si="197"/>
        <v>0</v>
      </c>
      <c r="K1246" s="373">
        <f t="shared" ca="1" si="198"/>
        <v>0</v>
      </c>
    </row>
    <row r="1247" spans="1:11" s="373" customFormat="1" ht="15.75" hidden="1">
      <c r="A1247" s="373" t="str">
        <f>IF(AND(COUNTIF($A$5:$A$133,R_DG!A1121)=0,R_DG!R1121&gt;0,ISNUMBER(R_DG!R1121)),R_DG!A1121,"NONE")</f>
        <v>CUT90135</v>
      </c>
      <c r="B1247" s="85">
        <f ca="1">IF(K1247&gt;0,COUNTIF(K$6:K1247,"&gt;0"),B1246)</f>
        <v>36</v>
      </c>
      <c r="C1247" s="1084" t="str">
        <f t="shared" si="193"/>
        <v>Co 135 độ PVC 90</v>
      </c>
      <c r="D1247" s="85" t="str">
        <f t="shared" si="194"/>
        <v>cái</v>
      </c>
      <c r="E1247" s="448">
        <f ca="1">SUMIF(OFFSET(tongctvtdd1,0,-(COLUMN(E1247)+7-(COLUMN(E1247)-5)/2)),KLVT!$A1247,tongctvtdd1)+SUMIF(OFFSET(tongctvtpk1,0,-(COLUMN(E1247)+7-(COLUMN(E1247)-5)/2)),KLVT!$A1247,tongctvtpk1)</f>
        <v>0</v>
      </c>
      <c r="F1247" s="449">
        <f ca="1">SUMIF(OFFSET(cttba_vlvt1_1,0,-9,-ROW(cttba_vlvt1_1)+ROW(cttba_vltb1_1)-10),KLVT!$A1247,OFFSET(cttba_vlvt1_1,0,-4,-ROW(cttba_vlvt1_1)+ROW(cttba_vltb1_1)-10))</f>
        <v>0</v>
      </c>
      <c r="G1247" s="451">
        <f t="shared" ca="1" si="195"/>
        <v>0</v>
      </c>
      <c r="H1247" s="450">
        <f t="shared" si="199"/>
        <v>0.2</v>
      </c>
      <c r="I1247" s="447">
        <f t="shared" ca="1" si="196"/>
        <v>0</v>
      </c>
      <c r="J1247" s="447">
        <f t="shared" ca="1" si="197"/>
        <v>0</v>
      </c>
      <c r="K1247" s="374">
        <f t="shared" ca="1" si="198"/>
        <v>0</v>
      </c>
    </row>
    <row r="1248" spans="1:11" s="373" customFormat="1" ht="15.75" hidden="1">
      <c r="A1248" s="373" t="str">
        <f>IF(AND(COUNTIF($A$5:$A$133,R_DG!A1122)=0,R_DG!R1122&gt;0,ISNUMBER(R_DG!R1122)),R_DG!A1122,"NONE")</f>
        <v>CUT90T</v>
      </c>
      <c r="B1248" s="85">
        <f ca="1">IF(K1248&gt;0,COUNTIF(K$6:K1248,"&gt;0"),B1247)</f>
        <v>36</v>
      </c>
      <c r="C1248" s="1084" t="str">
        <f t="shared" si="193"/>
        <v>Co 90 độ PVC 90</v>
      </c>
      <c r="D1248" s="85" t="str">
        <f t="shared" si="194"/>
        <v>cái</v>
      </c>
      <c r="E1248" s="448">
        <f ca="1">SUMIF(OFFSET(tongctvtdd1,0,-(COLUMN(E1248)+7-(COLUMN(E1248)-5)/2)),KLVT!$A1248,tongctvtdd1)+SUMIF(OFFSET(tongctvtpk1,0,-(COLUMN(E1248)+7-(COLUMN(E1248)-5)/2)),KLVT!$A1248,tongctvtpk1)</f>
        <v>0</v>
      </c>
      <c r="F1248" s="449">
        <f ca="1">SUMIF(OFFSET(cttba_vlvt1_1,0,-9,-ROW(cttba_vlvt1_1)+ROW(cttba_vltb1_1)-10),KLVT!$A1248,OFFSET(cttba_vlvt1_1,0,-4,-ROW(cttba_vlvt1_1)+ROW(cttba_vltb1_1)-10))</f>
        <v>0</v>
      </c>
      <c r="G1248" s="451">
        <f t="shared" ca="1" si="195"/>
        <v>0</v>
      </c>
      <c r="H1248" s="450">
        <f t="shared" si="199"/>
        <v>0.2</v>
      </c>
      <c r="I1248" s="447">
        <f t="shared" ca="1" si="196"/>
        <v>0</v>
      </c>
      <c r="J1248" s="447">
        <f t="shared" ca="1" si="197"/>
        <v>0</v>
      </c>
      <c r="K1248" s="374">
        <f t="shared" ca="1" si="198"/>
        <v>0</v>
      </c>
    </row>
    <row r="1249" spans="1:11" s="373" customFormat="1" hidden="1">
      <c r="A1249" s="373" t="str">
        <f>IF(AND(COUNTIF($A$5:$A$133,R_DG!A1123)=0,R_DG!R1123&gt;0,ISNUMBER(R_DG!R1123)),R_DG!A1123,"NONE")</f>
        <v>CUT114T</v>
      </c>
      <c r="B1249" s="85">
        <f ca="1">IF(K1249&gt;0,COUNTIF(K$6:K1249,"&gt;0"),B1248)</f>
        <v>36</v>
      </c>
      <c r="C1249" s="1084" t="str">
        <f t="shared" si="193"/>
        <v>Co 90 độ PVC 114</v>
      </c>
      <c r="D1249" s="85" t="str">
        <f t="shared" si="194"/>
        <v>cái</v>
      </c>
      <c r="E1249" s="448">
        <f ca="1">SUMIF(OFFSET(tongctvtdd1,0,-(COLUMN(E1249)+7-(COLUMN(E1249)-5)/2)),KLVT!$A1249,tongctvtdd1)+SUMIF(OFFSET(tongctvtpk1,0,-(COLUMN(E1249)+7-(COLUMN(E1249)-5)/2)),KLVT!$A1249,tongctvtpk1)</f>
        <v>0</v>
      </c>
      <c r="F1249" s="449">
        <f ca="1">SUMIF(OFFSET(cttba_vlvt1_1,0,-9,-ROW(cttba_vlvt1_1)+ROW(cttba_vltb1_1)-10),KLVT!$A1249,OFFSET(cttba_vlvt1_1,0,-4,-ROW(cttba_vlvt1_1)+ROW(cttba_vltb1_1)-10))</f>
        <v>0</v>
      </c>
      <c r="G1249" s="451">
        <f t="shared" ca="1" si="195"/>
        <v>0</v>
      </c>
      <c r="H1249" s="450">
        <f t="shared" si="199"/>
        <v>0.2</v>
      </c>
      <c r="I1249" s="447">
        <f t="shared" ca="1" si="196"/>
        <v>0</v>
      </c>
      <c r="J1249" s="447">
        <f t="shared" ca="1" si="197"/>
        <v>0</v>
      </c>
      <c r="K1249" s="1094">
        <f t="shared" ca="1" si="198"/>
        <v>0</v>
      </c>
    </row>
    <row r="1250" spans="1:11" s="373" customFormat="1" hidden="1">
      <c r="A1250" s="373" t="str">
        <f>IF(AND(COUNTIF($A$5:$A$133,R_DG!A1124)=0,R_DG!R1124&gt;0,ISNUMBER(R_DG!R1124)),R_DG!A1124,"NONE")</f>
        <v>CUT114135</v>
      </c>
      <c r="B1250" s="85">
        <f ca="1">IF(K1250&gt;0,COUNTIF(K$6:K1250,"&gt;0"),B1249)</f>
        <v>36</v>
      </c>
      <c r="C1250" s="1084" t="str">
        <f t="shared" si="193"/>
        <v>Co 135 độ PVC 114</v>
      </c>
      <c r="D1250" s="85" t="str">
        <f t="shared" si="194"/>
        <v>cái</v>
      </c>
      <c r="E1250" s="448">
        <f ca="1">SUMIF(OFFSET(tongctvtdd1,0,-(COLUMN(E1250)+7-(COLUMN(E1250)-5)/2)),KLVT!$A1250,tongctvtdd1)+SUMIF(OFFSET(tongctvtpk1,0,-(COLUMN(E1250)+7-(COLUMN(E1250)-5)/2)),KLVT!$A1250,tongctvtpk1)</f>
        <v>0</v>
      </c>
      <c r="F1250" s="449">
        <f ca="1">SUMIF(OFFSET(cttba_vlvt1_1,0,-9,-ROW(cttba_vlvt1_1)+ROW(cttba_vltb1_1)-10),KLVT!$A1250,OFFSET(cttba_vlvt1_1,0,-4,-ROW(cttba_vlvt1_1)+ROW(cttba_vltb1_1)-10))</f>
        <v>0</v>
      </c>
      <c r="G1250" s="451">
        <f t="shared" ca="1" si="195"/>
        <v>0</v>
      </c>
      <c r="H1250" s="450">
        <f t="shared" si="199"/>
        <v>0.2</v>
      </c>
      <c r="I1250" s="447">
        <f t="shared" ca="1" si="196"/>
        <v>0</v>
      </c>
      <c r="J1250" s="447">
        <f t="shared" ca="1" si="197"/>
        <v>0</v>
      </c>
      <c r="K1250" s="1094">
        <f t="shared" ca="1" si="198"/>
        <v>0</v>
      </c>
    </row>
    <row r="1251" spans="1:11" s="373" customFormat="1" ht="15.75" hidden="1">
      <c r="A1251" s="373" t="str">
        <f>IF(AND(COUNTIF($A$5:$A$133,R_DG!A1125)=0,R_DG!R1125&gt;0,ISNUMBER(R_DG!R1125)),R_DG!A1125,"NONE")</f>
        <v>CUT114</v>
      </c>
      <c r="B1251" s="85">
        <f ca="1">IF(K1251&gt;0,COUNTIF(K$6:K1251,"&gt;0"),B1250)</f>
        <v>36</v>
      </c>
      <c r="C1251" s="1084" t="str">
        <f t="shared" si="193"/>
        <v>Co sừng 90 độ PVC 114</v>
      </c>
      <c r="D1251" s="85" t="str">
        <f t="shared" si="194"/>
        <v>cái</v>
      </c>
      <c r="E1251" s="448">
        <f ca="1">SUMIF(OFFSET(tongctvtdd1,0,-(COLUMN(E1251)+7-(COLUMN(E1251)-5)/2)),KLVT!$A1251,tongctvtdd1)+SUMIF(OFFSET(tongctvtpk1,0,-(COLUMN(E1251)+7-(COLUMN(E1251)-5)/2)),KLVT!$A1251,tongctvtpk1)</f>
        <v>0</v>
      </c>
      <c r="F1251" s="449">
        <f ca="1">SUMIF(OFFSET(cttba_vlvt1_1,0,-9,-ROW(cttba_vlvt1_1)+ROW(cttba_vltb1_1)-10),KLVT!$A1251,OFFSET(cttba_vlvt1_1,0,-4,-ROW(cttba_vlvt1_1)+ROW(cttba_vltb1_1)-10))</f>
        <v>0</v>
      </c>
      <c r="G1251" s="451">
        <f t="shared" ca="1" si="195"/>
        <v>0</v>
      </c>
      <c r="H1251" s="450">
        <f t="shared" si="199"/>
        <v>0.2</v>
      </c>
      <c r="I1251" s="447">
        <f t="shared" ca="1" si="196"/>
        <v>0</v>
      </c>
      <c r="J1251" s="447">
        <f t="shared" ca="1" si="197"/>
        <v>0</v>
      </c>
      <c r="K1251" s="373">
        <f t="shared" ca="1" si="198"/>
        <v>0</v>
      </c>
    </row>
    <row r="1252" spans="1:11" s="373" customFormat="1" ht="15.75" hidden="1">
      <c r="A1252" s="373" t="str">
        <f>IF(AND(COUNTIF($A$5:$A$133,R_DG!A1126)=0,R_DG!R1126&gt;0,ISNUMBER(R_DG!R1126)),R_DG!A1126,"NONE")</f>
        <v>CUT140T</v>
      </c>
      <c r="B1252" s="85">
        <f ca="1">IF(K1252&gt;0,COUNTIF(K$6:K1252,"&gt;0"),B1251)</f>
        <v>36</v>
      </c>
      <c r="C1252" s="1084" t="str">
        <f t="shared" si="193"/>
        <v>Co 90 độ PVC 140</v>
      </c>
      <c r="D1252" s="85" t="str">
        <f t="shared" si="194"/>
        <v>cái</v>
      </c>
      <c r="E1252" s="448">
        <f ca="1">SUMIF(OFFSET(tongctvtdd1,0,-(COLUMN(E1252)+7-(COLUMN(E1252)-5)/2)),KLVT!$A1252,tongctvtdd1)+SUMIF(OFFSET(tongctvtpk1,0,-(COLUMN(E1252)+7-(COLUMN(E1252)-5)/2)),KLVT!$A1252,tongctvtpk1)</f>
        <v>0</v>
      </c>
      <c r="F1252" s="449">
        <f ca="1">SUMIF(OFFSET(cttba_vlvt1_1,0,-9,-ROW(cttba_vlvt1_1)+ROW(cttba_vltb1_1)-10),KLVT!$A1252,OFFSET(cttba_vlvt1_1,0,-4,-ROW(cttba_vlvt1_1)+ROW(cttba_vltb1_1)-10))</f>
        <v>0</v>
      </c>
      <c r="G1252" s="451">
        <f t="shared" ca="1" si="195"/>
        <v>0</v>
      </c>
      <c r="H1252" s="450">
        <f t="shared" si="199"/>
        <v>0.2</v>
      </c>
      <c r="I1252" s="447">
        <f t="shared" ca="1" si="196"/>
        <v>0</v>
      </c>
      <c r="J1252" s="447">
        <f t="shared" ca="1" si="197"/>
        <v>0</v>
      </c>
      <c r="K1252" s="373">
        <f t="shared" ca="1" si="198"/>
        <v>0</v>
      </c>
    </row>
    <row r="1253" spans="1:11" s="373" customFormat="1" ht="15.75" hidden="1">
      <c r="A1253" s="373" t="str">
        <f>IF(AND(COUNTIF($A$5:$A$133,R_DG!A1127)=0,R_DG!R1127&gt;0,ISNUMBER(R_DG!R1127)),R_DG!A1127,"NONE")</f>
        <v>CUT140</v>
      </c>
      <c r="B1253" s="85">
        <f ca="1">IF(K1253&gt;0,COUNTIF(K$6:K1253,"&gt;0"),B1252)</f>
        <v>36</v>
      </c>
      <c r="C1253" s="1084" t="str">
        <f t="shared" si="193"/>
        <v>Co sừng 90 độ PVC 140</v>
      </c>
      <c r="D1253" s="85" t="str">
        <f t="shared" si="194"/>
        <v>cái</v>
      </c>
      <c r="E1253" s="448">
        <f ca="1">SUMIF(OFFSET(tongctvtdd1,0,-(COLUMN(E1253)+7-(COLUMN(E1253)-5)/2)),KLVT!$A1253,tongctvtdd1)+SUMIF(OFFSET(tongctvtpk1,0,-(COLUMN(E1253)+7-(COLUMN(E1253)-5)/2)),KLVT!$A1253,tongctvtpk1)</f>
        <v>0</v>
      </c>
      <c r="F1253" s="449">
        <f ca="1">SUMIF(OFFSET(cttba_vlvt1_1,0,-9,-ROW(cttba_vlvt1_1)+ROW(cttba_vltb1_1)-10),KLVT!$A1253,OFFSET(cttba_vlvt1_1,0,-4,-ROW(cttba_vlvt1_1)+ROW(cttba_vltb1_1)-10))</f>
        <v>0</v>
      </c>
      <c r="G1253" s="451">
        <f t="shared" ca="1" si="195"/>
        <v>0</v>
      </c>
      <c r="H1253" s="450">
        <f t="shared" si="199"/>
        <v>0.2</v>
      </c>
      <c r="I1253" s="447">
        <f t="shared" ca="1" si="196"/>
        <v>0</v>
      </c>
      <c r="J1253" s="447">
        <f t="shared" ca="1" si="197"/>
        <v>0</v>
      </c>
      <c r="K1253" s="373">
        <f t="shared" ca="1" si="198"/>
        <v>0</v>
      </c>
    </row>
    <row r="1254" spans="1:11" s="373" customFormat="1" ht="15.75" hidden="1">
      <c r="A1254" s="373" t="str">
        <f>IF(AND(COUNTIF($A$5:$A$133,R_DG!A1128)=0,R_DG!R1128&gt;0,ISNUMBER(R_DG!R1128)),R_DG!A1128,"NONE")</f>
        <v>CUT168</v>
      </c>
      <c r="B1254" s="85">
        <f ca="1">IF(K1254&gt;0,COUNTIF(K$6:K1254,"&gt;0"),B1253)</f>
        <v>36</v>
      </c>
      <c r="C1254" s="1084" t="str">
        <f t="shared" si="193"/>
        <v>Co sừng 90 độ PVC 168</v>
      </c>
      <c r="D1254" s="85" t="str">
        <f t="shared" si="194"/>
        <v>cái</v>
      </c>
      <c r="E1254" s="448">
        <f ca="1">SUMIF(OFFSET(tongctvtdd1,0,-(COLUMN(E1254)+7-(COLUMN(E1254)-5)/2)),KLVT!$A1254,tongctvtdd1)+SUMIF(OFFSET(tongctvtpk1,0,-(COLUMN(E1254)+7-(COLUMN(E1254)-5)/2)),KLVT!$A1254,tongctvtpk1)</f>
        <v>0</v>
      </c>
      <c r="F1254" s="449">
        <f ca="1">SUMIF(OFFSET(cttba_vlvt1_1,0,-9,-ROW(cttba_vlvt1_1)+ROW(cttba_vltb1_1)-10),KLVT!$A1254,OFFSET(cttba_vlvt1_1,0,-4,-ROW(cttba_vlvt1_1)+ROW(cttba_vltb1_1)-10))</f>
        <v>0</v>
      </c>
      <c r="G1254" s="451">
        <f t="shared" ca="1" si="195"/>
        <v>0</v>
      </c>
      <c r="H1254" s="450">
        <f t="shared" si="199"/>
        <v>0.2</v>
      </c>
      <c r="I1254" s="447">
        <f t="shared" ca="1" si="196"/>
        <v>0</v>
      </c>
      <c r="J1254" s="447">
        <f t="shared" ca="1" si="197"/>
        <v>0</v>
      </c>
      <c r="K1254" s="373">
        <f t="shared" ca="1" si="198"/>
        <v>0</v>
      </c>
    </row>
    <row r="1255" spans="1:11" s="373" customFormat="1" ht="15.75" hidden="1">
      <c r="A1255" s="373" t="str">
        <f>IF(AND(COUNTIF($A$5:$A$133,R_DG!A1129)=0,R_DG!R1129&gt;0,ISNUMBER(R_DG!R1129)),R_DG!A1129,"NONE")</f>
        <v>NPVC140</v>
      </c>
      <c r="B1255" s="85">
        <f ca="1">IF(K1255&gt;0,COUNTIF(K$6:K1255,"&gt;0"),B1254)</f>
        <v>36</v>
      </c>
      <c r="C1255" s="1084" t="str">
        <f t="shared" si="193"/>
        <v>Nối ống PVC 140</v>
      </c>
      <c r="D1255" s="85" t="str">
        <f t="shared" si="194"/>
        <v>cái</v>
      </c>
      <c r="E1255" s="448">
        <f ca="1">SUMIF(OFFSET(tongctvtdd1,0,-(COLUMN(E1255)+7-(COLUMN(E1255)-5)/2)),KLVT!$A1255,tongctvtdd1)+SUMIF(OFFSET(tongctvtpk1,0,-(COLUMN(E1255)+7-(COLUMN(E1255)-5)/2)),KLVT!$A1255,tongctvtpk1)</f>
        <v>0</v>
      </c>
      <c r="F1255" s="449">
        <f ca="1">SUMIF(OFFSET(cttba_vlvt1_1,0,-9,-ROW(cttba_vlvt1_1)+ROW(cttba_vltb1_1)-10),KLVT!$A1255,OFFSET(cttba_vlvt1_1,0,-4,-ROW(cttba_vlvt1_1)+ROW(cttba_vltb1_1)-10))</f>
        <v>0</v>
      </c>
      <c r="G1255" s="451">
        <f t="shared" ca="1" si="195"/>
        <v>0</v>
      </c>
      <c r="H1255" s="450">
        <f t="shared" si="199"/>
        <v>0.2</v>
      </c>
      <c r="I1255" s="447">
        <f t="shared" ca="1" si="196"/>
        <v>0</v>
      </c>
      <c r="J1255" s="447">
        <f t="shared" ca="1" si="197"/>
        <v>0</v>
      </c>
      <c r="K1255" s="373">
        <f t="shared" ca="1" si="198"/>
        <v>0</v>
      </c>
    </row>
    <row r="1256" spans="1:11" s="373" customFormat="1" hidden="1">
      <c r="A1256" s="373" t="str">
        <f>IF(AND(COUNTIF($A$5:$A$133,R_DG!A1130)=0,R_DG!R1130&gt;0,ISNUMBER(R_DG!R1130)),R_DG!A1130,"NONE")</f>
        <v>NPVC114</v>
      </c>
      <c r="B1256" s="85">
        <f ca="1">IF(K1256&gt;0,COUNTIF(K$6:K1256,"&gt;0"),B1255)</f>
        <v>36</v>
      </c>
      <c r="C1256" s="1084" t="str">
        <f t="shared" si="193"/>
        <v>Nối ống PVC 114</v>
      </c>
      <c r="D1256" s="85" t="str">
        <f t="shared" si="194"/>
        <v>cái</v>
      </c>
      <c r="E1256" s="448">
        <f ca="1">SUMIF(OFFSET(tongctvtdd1,0,-(COLUMN(E1256)+7-(COLUMN(E1256)-5)/2)),KLVT!$A1256,tongctvtdd1)+SUMIF(OFFSET(tongctvtpk1,0,-(COLUMN(E1256)+7-(COLUMN(E1256)-5)/2)),KLVT!$A1256,tongctvtpk1)</f>
        <v>0</v>
      </c>
      <c r="F1256" s="449">
        <f ca="1">SUMIF(OFFSET(cttba_vlvt1_1,0,-9,-ROW(cttba_vlvt1_1)+ROW(cttba_vltb1_1)-10),KLVT!$A1256,OFFSET(cttba_vlvt1_1,0,-4,-ROW(cttba_vlvt1_1)+ROW(cttba_vltb1_1)-10))</f>
        <v>0</v>
      </c>
      <c r="G1256" s="451">
        <f t="shared" ca="1" si="195"/>
        <v>0</v>
      </c>
      <c r="H1256" s="450">
        <f t="shared" si="199"/>
        <v>0.2</v>
      </c>
      <c r="I1256" s="447">
        <f t="shared" ca="1" si="196"/>
        <v>0</v>
      </c>
      <c r="J1256" s="447">
        <f t="shared" ca="1" si="197"/>
        <v>0</v>
      </c>
      <c r="K1256" s="1094">
        <f t="shared" ca="1" si="198"/>
        <v>0</v>
      </c>
    </row>
    <row r="1257" spans="1:11" s="373" customFormat="1" ht="15.75" hidden="1">
      <c r="A1257" s="373" t="str">
        <f>IF(AND(COUNTIF($A$5:$A$133,R_DG!A1131)=0,R_DG!R1131&gt;0,ISNUMBER(R_DG!R1131)),R_DG!A1131,"NONE")</f>
        <v>NPVC90</v>
      </c>
      <c r="B1257" s="85">
        <f ca="1">IF(K1257&gt;0,COUNTIF(K$6:K1257,"&gt;0"),B1256)</f>
        <v>36</v>
      </c>
      <c r="C1257" s="1084" t="str">
        <f t="shared" si="193"/>
        <v xml:space="preserve">Nối thẳng ống PVC 90 </v>
      </c>
      <c r="D1257" s="85" t="str">
        <f t="shared" si="194"/>
        <v>cái</v>
      </c>
      <c r="E1257" s="448">
        <f ca="1">SUMIF(OFFSET(tongctvtdd1,0,-(COLUMN(E1257)+7-(COLUMN(E1257)-5)/2)),KLVT!$A1257,tongctvtdd1)+SUMIF(OFFSET(tongctvtpk1,0,-(COLUMN(E1257)+7-(COLUMN(E1257)-5)/2)),KLVT!$A1257,tongctvtpk1)</f>
        <v>0</v>
      </c>
      <c r="F1257" s="449">
        <f ca="1">SUMIF(OFFSET(cttba_vlvt1_1,0,-9,-ROW(cttba_vlvt1_1)+ROW(cttba_vltb1_1)-10),KLVT!$A1257,OFFSET(cttba_vlvt1_1,0,-4,-ROW(cttba_vlvt1_1)+ROW(cttba_vltb1_1)-10))</f>
        <v>0</v>
      </c>
      <c r="G1257" s="451">
        <f t="shared" ca="1" si="195"/>
        <v>0</v>
      </c>
      <c r="H1257" s="450">
        <f t="shared" si="199"/>
        <v>0.2</v>
      </c>
      <c r="I1257" s="447">
        <f t="shared" ca="1" si="196"/>
        <v>0</v>
      </c>
      <c r="J1257" s="447">
        <f t="shared" ca="1" si="197"/>
        <v>0</v>
      </c>
      <c r="K1257" s="374">
        <f t="shared" ca="1" si="198"/>
        <v>0</v>
      </c>
    </row>
    <row r="1258" spans="1:11" s="373" customFormat="1" ht="15.75" hidden="1">
      <c r="A1258" s="373" t="str">
        <f>IF(AND(COUNTIF($A$5:$A$133,R_DG!A1132)=0,R_DG!R1132&gt;0,ISNUMBER(R_DG!R1132)),R_DG!A1132,"NONE")</f>
        <v>NPVC42</v>
      </c>
      <c r="B1258" s="85">
        <f ca="1">IF(K1258&gt;0,COUNTIF(K$6:K1258,"&gt;0"),B1257)</f>
        <v>36</v>
      </c>
      <c r="C1258" s="1084" t="str">
        <f t="shared" si="193"/>
        <v>Nối thẳng ống PVC 42</v>
      </c>
      <c r="D1258" s="85" t="str">
        <f t="shared" si="194"/>
        <v>cái</v>
      </c>
      <c r="E1258" s="448">
        <f ca="1">SUMIF(OFFSET(tongctvtdd1,0,-(COLUMN(E1258)+7-(COLUMN(E1258)-5)/2)),KLVT!$A1258,tongctvtdd1)+SUMIF(OFFSET(tongctvtpk1,0,-(COLUMN(E1258)+7-(COLUMN(E1258)-5)/2)),KLVT!$A1258,tongctvtpk1)</f>
        <v>0</v>
      </c>
      <c r="F1258" s="449">
        <f ca="1">SUMIF(OFFSET(cttba_vlvt1_1,0,-9,-ROW(cttba_vlvt1_1)+ROW(cttba_vltb1_1)-10),KLVT!$A1258,OFFSET(cttba_vlvt1_1,0,-4,-ROW(cttba_vlvt1_1)+ROW(cttba_vltb1_1)-10))</f>
        <v>0</v>
      </c>
      <c r="G1258" s="451">
        <f t="shared" ca="1" si="195"/>
        <v>0</v>
      </c>
      <c r="H1258" s="450">
        <f t="shared" si="199"/>
        <v>0.2</v>
      </c>
      <c r="I1258" s="447">
        <f t="shared" ca="1" si="196"/>
        <v>0</v>
      </c>
      <c r="J1258" s="447">
        <f t="shared" ca="1" si="197"/>
        <v>0</v>
      </c>
      <c r="K1258" s="373">
        <f t="shared" ca="1" si="198"/>
        <v>0</v>
      </c>
    </row>
    <row r="1259" spans="1:11" s="373" customFormat="1" ht="15.75" hidden="1">
      <c r="A1259" s="373" t="str">
        <f>IF(AND(COUNTIF($A$5:$A$133,R_DG!A1133)=0,R_DG!R1133&gt;0,ISNUMBER(R_DG!R1133)),R_DG!A1133,"NONE")</f>
        <v>NPVC21</v>
      </c>
      <c r="B1259" s="85">
        <f ca="1">IF(K1259&gt;0,COUNTIF(K$6:K1259,"&gt;0"),B1258)</f>
        <v>36</v>
      </c>
      <c r="C1259" s="1084" t="str">
        <f t="shared" si="193"/>
        <v>Nối thẳng ống PVC 21</v>
      </c>
      <c r="D1259" s="85" t="str">
        <f t="shared" si="194"/>
        <v>cái</v>
      </c>
      <c r="E1259" s="448">
        <f ca="1">SUMIF(OFFSET(tongctvtdd1,0,-(COLUMN(E1259)+7-(COLUMN(E1259)-5)/2)),KLVT!$A1259,tongctvtdd1)+SUMIF(OFFSET(tongctvtpk1,0,-(COLUMN(E1259)+7-(COLUMN(E1259)-5)/2)),KLVT!$A1259,tongctvtpk1)</f>
        <v>0</v>
      </c>
      <c r="F1259" s="449">
        <f ca="1">SUMIF(OFFSET(cttba_vlvt1_1,0,-9,-ROW(cttba_vlvt1_1)+ROW(cttba_vltb1_1)-10),KLVT!$A1259,OFFSET(cttba_vlvt1_1,0,-4,-ROW(cttba_vlvt1_1)+ROW(cttba_vltb1_1)-10))</f>
        <v>0</v>
      </c>
      <c r="G1259" s="451">
        <f t="shared" ca="1" si="195"/>
        <v>0</v>
      </c>
      <c r="H1259" s="450">
        <f t="shared" si="199"/>
        <v>0.2</v>
      </c>
      <c r="I1259" s="447">
        <f t="shared" ca="1" si="196"/>
        <v>0</v>
      </c>
      <c r="J1259" s="447">
        <f t="shared" ca="1" si="197"/>
        <v>0</v>
      </c>
      <c r="K1259" s="373">
        <f t="shared" ca="1" si="198"/>
        <v>0</v>
      </c>
    </row>
    <row r="1260" spans="1:11" s="373" customFormat="1" ht="15.75" hidden="1">
      <c r="A1260" s="373" t="str">
        <f>IF(AND(COUNTIF($A$5:$A$133,R_DG!A1134)=0,R_DG!R1134&gt;0,ISNUMBER(R_DG!R1134)),R_DG!A1134,"NONE")</f>
        <v>NT42</v>
      </c>
      <c r="B1260" s="85">
        <f ca="1">IF(K1260&gt;0,COUNTIF(K$6:K1260,"&gt;0"),B1259)</f>
        <v>36</v>
      </c>
      <c r="C1260" s="1084" t="str">
        <f t="shared" si="193"/>
        <v>Nối ống PVC 42 chữ T</v>
      </c>
      <c r="D1260" s="85" t="str">
        <f t="shared" si="194"/>
        <v>cái</v>
      </c>
      <c r="E1260" s="448">
        <f ca="1">SUMIF(OFFSET(tongctvtdd1,0,-(COLUMN(E1260)+7-(COLUMN(E1260)-5)/2)),KLVT!$A1260,tongctvtdd1)+SUMIF(OFFSET(tongctvtpk1,0,-(COLUMN(E1260)+7-(COLUMN(E1260)-5)/2)),KLVT!$A1260,tongctvtpk1)</f>
        <v>0</v>
      </c>
      <c r="F1260" s="449">
        <f ca="1">SUMIF(OFFSET(cttba_vlvt1_1,0,-9,-ROW(cttba_vlvt1_1)+ROW(cttba_vltb1_1)-10),KLVT!$A1260,OFFSET(cttba_vlvt1_1,0,-4,-ROW(cttba_vlvt1_1)+ROW(cttba_vltb1_1)-10))</f>
        <v>0</v>
      </c>
      <c r="G1260" s="451">
        <f t="shared" ca="1" si="195"/>
        <v>0</v>
      </c>
      <c r="H1260" s="450">
        <f t="shared" si="199"/>
        <v>0.2</v>
      </c>
      <c r="I1260" s="447">
        <f t="shared" ca="1" si="196"/>
        <v>0</v>
      </c>
      <c r="J1260" s="447">
        <f t="shared" ca="1" si="197"/>
        <v>0</v>
      </c>
      <c r="K1260" s="373">
        <f t="shared" ca="1" si="198"/>
        <v>0</v>
      </c>
    </row>
    <row r="1261" spans="1:11" s="373" customFormat="1" ht="15.75" hidden="1">
      <c r="A1261" s="373" t="str">
        <f>IF(AND(COUNTIF($A$5:$A$133,R_DG!A1135)=0,R_DG!R1135&gt;0,ISNUMBER(R_DG!R1135)),R_DG!A1135,"NONE")</f>
        <v>BAKE6200</v>
      </c>
      <c r="B1261" s="85">
        <f ca="1">IF(K1261&gt;0,COUNTIF(K$6:K1261,"&gt;0"),B1260)</f>
        <v>36</v>
      </c>
      <c r="C1261" s="1084" t="str">
        <f t="shared" si="193"/>
        <v>Tấm bakelit hay nhựa cách điện 600V (200x60x6)</v>
      </c>
      <c r="D1261" s="85" t="str">
        <f t="shared" si="194"/>
        <v>cái</v>
      </c>
      <c r="E1261" s="448">
        <f ca="1">SUMIF(OFFSET(tongctvtdd1,0,-(COLUMN(E1261)+7-(COLUMN(E1261)-5)/2)),KLVT!$A1261,tongctvtdd1)+SUMIF(OFFSET(tongctvtpk1,0,-(COLUMN(E1261)+7-(COLUMN(E1261)-5)/2)),KLVT!$A1261,tongctvtpk1)</f>
        <v>0</v>
      </c>
      <c r="F1261" s="449">
        <f ca="1">SUMIF(OFFSET(cttba_vlvt1_1,0,-9,-ROW(cttba_vlvt1_1)+ROW(cttba_vltb1_1)-10),KLVT!$A1261,OFFSET(cttba_vlvt1_1,0,-4,-ROW(cttba_vlvt1_1)+ROW(cttba_vltb1_1)-10))</f>
        <v>0</v>
      </c>
      <c r="G1261" s="451">
        <f t="shared" ca="1" si="195"/>
        <v>0</v>
      </c>
      <c r="H1261" s="450">
        <f t="shared" si="199"/>
        <v>0.5</v>
      </c>
      <c r="I1261" s="447">
        <f t="shared" ca="1" si="196"/>
        <v>0</v>
      </c>
      <c r="J1261" s="447">
        <f t="shared" ca="1" si="197"/>
        <v>0</v>
      </c>
      <c r="K1261" s="373">
        <f t="shared" ca="1" si="198"/>
        <v>0</v>
      </c>
    </row>
    <row r="1262" spans="1:11" s="373" customFormat="1" hidden="1">
      <c r="A1262" s="373" t="str">
        <f>IF(AND(COUNTIF($A$5:$A$133,R_DG!A1136)=0,R_DG!R1136&gt;0,ISNUMBER(R_DG!R1136)),R_DG!A1136,"NONE")</f>
        <v>BAKE</v>
      </c>
      <c r="B1262" s="85">
        <f ca="1">IF(K1262&gt;0,COUNTIF(K$6:K1262,"&gt;0"),B1261)</f>
        <v>36</v>
      </c>
      <c r="C1262" s="1084" t="str">
        <f t="shared" si="193"/>
        <v xml:space="preserve">Bakelit 500x400 dầy 10mm </v>
      </c>
      <c r="D1262" s="85" t="str">
        <f t="shared" si="194"/>
        <v>cái</v>
      </c>
      <c r="E1262" s="448">
        <f ca="1">SUMIF(OFFSET(tongctvtdd1,0,-(COLUMN(E1262)+7-(COLUMN(E1262)-5)/2)),KLVT!$A1262,tongctvtdd1)+SUMIF(OFFSET(tongctvtpk1,0,-(COLUMN(E1262)+7-(COLUMN(E1262)-5)/2)),KLVT!$A1262,tongctvtpk1)</f>
        <v>0</v>
      </c>
      <c r="F1262" s="449">
        <f ca="1">SUMIF(OFFSET(cttba_vlvt1_1,0,-9,-ROW(cttba_vlvt1_1)+ROW(cttba_vltb1_1)-10),KLVT!$A1262,OFFSET(cttba_vlvt1_1,0,-4,-ROW(cttba_vlvt1_1)+ROW(cttba_vltb1_1)-10))</f>
        <v>0</v>
      </c>
      <c r="G1262" s="451">
        <f t="shared" ca="1" si="195"/>
        <v>0</v>
      </c>
      <c r="H1262" s="450">
        <f t="shared" si="199"/>
        <v>0.5</v>
      </c>
      <c r="I1262" s="447">
        <f t="shared" ca="1" si="196"/>
        <v>0</v>
      </c>
      <c r="J1262" s="447">
        <f t="shared" ca="1" si="197"/>
        <v>0</v>
      </c>
      <c r="K1262" s="1094">
        <f t="shared" ca="1" si="198"/>
        <v>0</v>
      </c>
    </row>
    <row r="1263" spans="1:11" s="373" customFormat="1" ht="15.75" hidden="1">
      <c r="A1263" s="373" t="str">
        <f>IF(AND(COUNTIF($A$5:$A$133,R_DG!A1137)=0,R_DG!R1137&gt;0,ISNUMBER(R_DG!R1137)),R_DG!A1137,"NONE")</f>
        <v>BAKEDKDT</v>
      </c>
      <c r="B1263" s="85">
        <f ca="1">IF(K1263&gt;0,COUNTIF(K$6:K1263,"&gt;0"),B1262)</f>
        <v>36</v>
      </c>
      <c r="C1263" s="1084" t="str">
        <f t="shared" si="193"/>
        <v>Bakelit 350x510 dầy 5mm</v>
      </c>
      <c r="D1263" s="85" t="str">
        <f t="shared" si="194"/>
        <v>cái</v>
      </c>
      <c r="E1263" s="448">
        <f ca="1">SUMIF(OFFSET(tongctvtdd1,0,-(COLUMN(E1263)+7-(COLUMN(E1263)-5)/2)),KLVT!$A1263,tongctvtdd1)+SUMIF(OFFSET(tongctvtpk1,0,-(COLUMN(E1263)+7-(COLUMN(E1263)-5)/2)),KLVT!$A1263,tongctvtpk1)</f>
        <v>0</v>
      </c>
      <c r="F1263" s="449">
        <f ca="1">SUMIF(OFFSET(cttba_vlvt1_1,0,-9,-ROW(cttba_vlvt1_1)+ROW(cttba_vltb1_1)-10),KLVT!$A1263,OFFSET(cttba_vlvt1_1,0,-4,-ROW(cttba_vlvt1_1)+ROW(cttba_vltb1_1)-10))</f>
        <v>0</v>
      </c>
      <c r="G1263" s="451">
        <f t="shared" ca="1" si="195"/>
        <v>0</v>
      </c>
      <c r="H1263" s="450">
        <f t="shared" si="199"/>
        <v>0.5</v>
      </c>
      <c r="I1263" s="447">
        <f t="shared" ca="1" si="196"/>
        <v>0</v>
      </c>
      <c r="J1263" s="447">
        <f t="shared" ca="1" si="197"/>
        <v>0</v>
      </c>
      <c r="K1263" s="373">
        <f t="shared" ca="1" si="198"/>
        <v>0</v>
      </c>
    </row>
    <row r="1264" spans="1:11" s="373" customFormat="1" ht="15.75" hidden="1">
      <c r="A1264" s="373" t="str">
        <f>IF(AND(COUNTIF($A$5:$A$133,R_DG!A1138)=0,R_DG!R1138&gt;0,ISNUMBER(R_DG!R1138)),R_DG!A1138,"NONE")</f>
        <v>BAKETU</v>
      </c>
      <c r="B1264" s="85">
        <f ca="1">IF(K1264&gt;0,COUNTIF(K$6:K1264,"&gt;0"),B1263)</f>
        <v>36</v>
      </c>
      <c r="C1264" s="1084" t="str">
        <f t="shared" si="193"/>
        <v xml:space="preserve">Bakelit 300x200 dầy 5mm </v>
      </c>
      <c r="D1264" s="85" t="str">
        <f t="shared" si="194"/>
        <v>cái</v>
      </c>
      <c r="E1264" s="448">
        <f ca="1">SUMIF(OFFSET(tongctvtdd1,0,-(COLUMN(E1264)+7-(COLUMN(E1264)-5)/2)),KLVT!$A1264,tongctvtdd1)+SUMIF(OFFSET(tongctvtpk1,0,-(COLUMN(E1264)+7-(COLUMN(E1264)-5)/2)),KLVT!$A1264,tongctvtpk1)</f>
        <v>0</v>
      </c>
      <c r="F1264" s="449">
        <f ca="1">SUMIF(OFFSET(cttba_vlvt1_1,0,-9,-ROW(cttba_vlvt1_1)+ROW(cttba_vltb1_1)-10),KLVT!$A1264,OFFSET(cttba_vlvt1_1,0,-4,-ROW(cttba_vlvt1_1)+ROW(cttba_vltb1_1)-10))</f>
        <v>0</v>
      </c>
      <c r="G1264" s="451">
        <f t="shared" ca="1" si="195"/>
        <v>0</v>
      </c>
      <c r="H1264" s="450">
        <f t="shared" si="199"/>
        <v>0.5</v>
      </c>
      <c r="I1264" s="447">
        <f t="shared" ca="1" si="196"/>
        <v>0</v>
      </c>
      <c r="J1264" s="447">
        <f t="shared" ca="1" si="197"/>
        <v>0</v>
      </c>
      <c r="K1264" s="373">
        <f t="shared" ca="1" si="198"/>
        <v>0</v>
      </c>
    </row>
    <row r="1265" spans="1:11" s="373" customFormat="1" ht="15.75" hidden="1">
      <c r="A1265" s="373" t="str">
        <f>IF(AND(COUNTIF($A$5:$A$133,R_DG!A1139)=0,R_DG!R1139&gt;0,ISNUMBER(R_DG!R1139)),R_DG!A1139,"NONE")</f>
        <v>BANGG</v>
      </c>
      <c r="B1265" s="85">
        <f ca="1">IF(K1265&gt;0,COUNTIF(K$6:K1265,"&gt;0"),B1264)</f>
        <v>36</v>
      </c>
      <c r="C1265" s="1084" t="str">
        <f t="shared" si="193"/>
        <v>Bảng gắn aptomat và điện kế dày 15mm</v>
      </c>
      <c r="D1265" s="85" t="str">
        <f t="shared" si="194"/>
        <v>cái</v>
      </c>
      <c r="E1265" s="448">
        <f ca="1">SUMIF(OFFSET(tongctvtdd1,0,-(COLUMN(E1265)+7-(COLUMN(E1265)-5)/2)),KLVT!$A1265,tongctvtdd1)+SUMIF(OFFSET(tongctvtpk1,0,-(COLUMN(E1265)+7-(COLUMN(E1265)-5)/2)),KLVT!$A1265,tongctvtpk1)</f>
        <v>0</v>
      </c>
      <c r="F1265" s="449">
        <f ca="1">SUMIF(OFFSET(cttba_vlvt1_1,0,-9,-ROW(cttba_vlvt1_1)+ROW(cttba_vltb1_1)-10),KLVT!$A1265,OFFSET(cttba_vlvt1_1,0,-4,-ROW(cttba_vlvt1_1)+ROW(cttba_vltb1_1)-10))</f>
        <v>0</v>
      </c>
      <c r="G1265" s="451">
        <f t="shared" ca="1" si="195"/>
        <v>0</v>
      </c>
      <c r="H1265" s="450">
        <f t="shared" si="199"/>
        <v>0.5</v>
      </c>
      <c r="I1265" s="447">
        <f t="shared" ca="1" si="196"/>
        <v>0</v>
      </c>
      <c r="J1265" s="447">
        <f t="shared" ca="1" si="197"/>
        <v>0</v>
      </c>
      <c r="K1265" s="373">
        <f t="shared" ca="1" si="198"/>
        <v>0</v>
      </c>
    </row>
    <row r="1266" spans="1:11" s="373" customFormat="1" ht="15.75" hidden="1">
      <c r="A1266" s="373" t="str">
        <f>IF(AND(COUNTIF($A$5:$A$133,R_DG!A1140)=0,R_DG!R1140&gt;0,ISNUMBER(R_DG!R1140)),R_DG!A1140,"NONE")</f>
        <v>BANGNHUA</v>
      </c>
      <c r="B1266" s="85">
        <f ca="1">IF(K1266&gt;0,COUNTIF(K$6:K1266,"&gt;0"),B1265)</f>
        <v>36</v>
      </c>
      <c r="C1266" s="1084" t="str">
        <f t="shared" si="193"/>
        <v>Bảng nhựa gắn tủ điện kế điện tử</v>
      </c>
      <c r="D1266" s="85" t="str">
        <f t="shared" si="194"/>
        <v>cái</v>
      </c>
      <c r="E1266" s="448">
        <f ca="1">SUMIF(OFFSET(tongctvtdd1,0,-(COLUMN(E1266)+7-(COLUMN(E1266)-5)/2)),KLVT!$A1266,tongctvtdd1)+SUMIF(OFFSET(tongctvtpk1,0,-(COLUMN(E1266)+7-(COLUMN(E1266)-5)/2)),KLVT!$A1266,tongctvtpk1)</f>
        <v>0</v>
      </c>
      <c r="F1266" s="449">
        <f ca="1">SUMIF(OFFSET(cttba_vlvt1_1,0,-9,-ROW(cttba_vlvt1_1)+ROW(cttba_vltb1_1)-10),KLVT!$A1266,OFFSET(cttba_vlvt1_1,0,-4,-ROW(cttba_vlvt1_1)+ROW(cttba_vltb1_1)-10))</f>
        <v>0</v>
      </c>
      <c r="G1266" s="451">
        <f t="shared" ca="1" si="195"/>
        <v>0</v>
      </c>
      <c r="H1266" s="450">
        <f t="shared" si="199"/>
        <v>0.5</v>
      </c>
      <c r="I1266" s="447">
        <f t="shared" ca="1" si="196"/>
        <v>0</v>
      </c>
      <c r="J1266" s="447">
        <f t="shared" ca="1" si="197"/>
        <v>0</v>
      </c>
      <c r="K1266" s="373">
        <f t="shared" ca="1" si="198"/>
        <v>0</v>
      </c>
    </row>
    <row r="1267" spans="1:11" s="373" customFormat="1" hidden="1">
      <c r="A1267" s="373" t="str">
        <f>IF(AND(COUNTIF($A$5:$A$133,R_DG!A1141)=0,R_DG!R1141&gt;0,ISNUMBER(R_DG!R1141)),R_DG!A1141,"NONE")</f>
        <v>BANGKEO</v>
      </c>
      <c r="B1267" s="85">
        <f ca="1">IF(K1267&gt;0,COUNTIF(K$6:K1267,"&gt;0"),B1266)</f>
        <v>36</v>
      </c>
      <c r="C1267" s="1084" t="str">
        <f t="shared" si="193"/>
        <v>Băng keo cách điện (5m/cuộn)</v>
      </c>
      <c r="D1267" s="85" t="str">
        <f t="shared" si="194"/>
        <v>cuộn</v>
      </c>
      <c r="E1267" s="448">
        <f ca="1">SUMIF(OFFSET(tongctvtdd1,0,-(COLUMN(E1267)+7-(COLUMN(E1267)-5)/2)),KLVT!$A1267,tongctvtdd1)+SUMIF(OFFSET(tongctvtpk1,0,-(COLUMN(E1267)+7-(COLUMN(E1267)-5)/2)),KLVT!$A1267,tongctvtpk1)</f>
        <v>0</v>
      </c>
      <c r="F1267" s="449">
        <f ca="1">SUMIF(OFFSET(cttba_vlvt1_1,0,-9,-ROW(cttba_vlvt1_1)+ROW(cttba_vltb1_1)-10),KLVT!$A1267,OFFSET(cttba_vlvt1_1,0,-4,-ROW(cttba_vlvt1_1)+ROW(cttba_vltb1_1)-10))</f>
        <v>0</v>
      </c>
      <c r="G1267" s="451">
        <f t="shared" ca="1" si="195"/>
        <v>0</v>
      </c>
      <c r="H1267" s="450">
        <f t="shared" si="199"/>
        <v>0.1</v>
      </c>
      <c r="I1267" s="447">
        <f t="shared" ca="1" si="196"/>
        <v>0</v>
      </c>
      <c r="J1267" s="447">
        <f t="shared" ca="1" si="197"/>
        <v>0</v>
      </c>
      <c r="K1267" s="1094">
        <f t="shared" ca="1" si="198"/>
        <v>0</v>
      </c>
    </row>
    <row r="1268" spans="1:11" s="373" customFormat="1" hidden="1">
      <c r="A1268" s="373" t="str">
        <f>IF(AND(COUNTIF($A$5:$A$133,R_DG!A1142)=0,R_DG!R1142&gt;0,ISNUMBER(R_DG!R1142)),R_DG!A1142,"NONE")</f>
        <v>KEOBIT</v>
      </c>
      <c r="B1268" s="85">
        <f ca="1">IF(K1268&gt;0,COUNTIF(K$6:K1268,"&gt;0"),B1267)</f>
        <v>36</v>
      </c>
      <c r="C1268" s="1084" t="str">
        <f t="shared" ref="C1268:C1331" si="200">VLOOKUP(A1268,DONGIA,3,0)</f>
        <v>Keo silicon bít miệng ống</v>
      </c>
      <c r="D1268" s="85" t="str">
        <f t="shared" ref="D1268:D1331" si="201">VLOOKUP(A1268,DONGIA,4,0)</f>
        <v>ống</v>
      </c>
      <c r="E1268" s="448">
        <f ca="1">SUMIF(OFFSET(tongctvtdd1,0,-(COLUMN(E1268)+7-(COLUMN(E1268)-5)/2)),KLVT!$A1268,tongctvtdd1)+SUMIF(OFFSET(tongctvtpk1,0,-(COLUMN(E1268)+7-(COLUMN(E1268)-5)/2)),KLVT!$A1268,tongctvtpk1)</f>
        <v>0</v>
      </c>
      <c r="F1268" s="449">
        <f ca="1">SUMIF(OFFSET(cttba_vlvt1_1,0,-9,-ROW(cttba_vlvt1_1)+ROW(cttba_vltb1_1)-10),KLVT!$A1268,OFFSET(cttba_vlvt1_1,0,-4,-ROW(cttba_vlvt1_1)+ROW(cttba_vltb1_1)-10))</f>
        <v>0</v>
      </c>
      <c r="G1268" s="451">
        <f t="shared" ref="G1268:G1331" ca="1" si="202">SUM(E1268:F1268)</f>
        <v>0</v>
      </c>
      <c r="H1268" s="450">
        <f t="shared" si="199"/>
        <v>0.2</v>
      </c>
      <c r="I1268" s="447">
        <f t="shared" ref="I1268:I1331" ca="1" si="203">E1268*$H1268</f>
        <v>0</v>
      </c>
      <c r="J1268" s="447">
        <f t="shared" ref="J1268:J1331" ca="1" si="204">F1268*$H1268</f>
        <v>0</v>
      </c>
      <c r="K1268" s="1094">
        <f t="shared" ref="K1268:K1331" ca="1" si="205">IF(G1268&gt;0,1,0)</f>
        <v>0</v>
      </c>
    </row>
    <row r="1269" spans="1:11" s="373" customFormat="1" hidden="1">
      <c r="A1269" s="373" t="str">
        <f>IF(AND(COUNTIF($A$5:$A$133,R_DG!A1143)=0,R_DG!R1143&gt;0,ISNUMBER(R_DG!R1143)),R_DG!A1143,"NONE")</f>
        <v>KEM</v>
      </c>
      <c r="B1269" s="85">
        <f ca="1">IF(K1269&gt;0,COUNTIF(K$6:K1269,"&gt;0"),B1268)</f>
        <v>36</v>
      </c>
      <c r="C1269" s="1084" t="str">
        <f t="shared" si="200"/>
        <v>Kẽm</v>
      </c>
      <c r="D1269" s="85" t="str">
        <f t="shared" si="201"/>
        <v>kg</v>
      </c>
      <c r="E1269" s="448">
        <f ca="1">SUMIF(OFFSET(tongctvtdd1,0,-(COLUMN(E1269)+7-(COLUMN(E1269)-5)/2)),KLVT!$A1269,tongctvtdd1)+SUMIF(OFFSET(tongctvtpk1,0,-(COLUMN(E1269)+7-(COLUMN(E1269)-5)/2)),KLVT!$A1269,tongctvtpk1)</f>
        <v>0</v>
      </c>
      <c r="F1269" s="449">
        <f ca="1">SUMIF(OFFSET(cttba_vlvt1_1,0,-9,-ROW(cttba_vlvt1_1)+ROW(cttba_vltb1_1)-10),KLVT!$A1269,OFFSET(cttba_vlvt1_1,0,-4,-ROW(cttba_vlvt1_1)+ROW(cttba_vltb1_1)-10))</f>
        <v>0</v>
      </c>
      <c r="G1269" s="451">
        <f t="shared" ca="1" si="202"/>
        <v>0</v>
      </c>
      <c r="H1269" s="450">
        <f t="shared" si="199"/>
        <v>1</v>
      </c>
      <c r="I1269" s="447">
        <f t="shared" ca="1" si="203"/>
        <v>0</v>
      </c>
      <c r="J1269" s="447">
        <f t="shared" ca="1" si="204"/>
        <v>0</v>
      </c>
      <c r="K1269" s="1094">
        <f t="shared" ca="1" si="205"/>
        <v>0</v>
      </c>
    </row>
    <row r="1270" spans="1:11" s="373" customFormat="1" hidden="1">
      <c r="A1270" s="373" t="str">
        <f>IF(AND(COUNTIF($A$5:$A$133,R_DG!A1144)=0,R_DG!R1144&gt;0,ISNUMBER(R_DG!R1144)),R_DG!A1144,"NONE")</f>
        <v>KEODAN</v>
      </c>
      <c r="B1270" s="85">
        <f ca="1">IF(K1270&gt;0,COUNTIF(K$6:K1270,"&gt;0"),B1269)</f>
        <v>36</v>
      </c>
      <c r="C1270" s="1084" t="str">
        <f t="shared" si="200"/>
        <v>Keo dán ống PVC (100gr)</v>
      </c>
      <c r="D1270" s="85" t="str">
        <f t="shared" si="201"/>
        <v>tuýp</v>
      </c>
      <c r="E1270" s="448">
        <f ca="1">SUMIF(OFFSET(tongctvtdd1,0,-(COLUMN(E1270)+7-(COLUMN(E1270)-5)/2)),KLVT!$A1270,tongctvtdd1)+SUMIF(OFFSET(tongctvtpk1,0,-(COLUMN(E1270)+7-(COLUMN(E1270)-5)/2)),KLVT!$A1270,tongctvtpk1)</f>
        <v>0</v>
      </c>
      <c r="F1270" s="449">
        <f ca="1">SUMIF(OFFSET(cttba_vlvt1_1,0,-9,-ROW(cttba_vlvt1_1)+ROW(cttba_vltb1_1)-10),KLVT!$A1270,OFFSET(cttba_vlvt1_1,0,-4,-ROW(cttba_vlvt1_1)+ROW(cttba_vltb1_1)-10))</f>
        <v>0</v>
      </c>
      <c r="G1270" s="451">
        <f t="shared" ca="1" si="202"/>
        <v>0</v>
      </c>
      <c r="H1270" s="450">
        <f t="shared" si="199"/>
        <v>0.2</v>
      </c>
      <c r="I1270" s="447">
        <f t="shared" ca="1" si="203"/>
        <v>0</v>
      </c>
      <c r="J1270" s="447">
        <f t="shared" ca="1" si="204"/>
        <v>0</v>
      </c>
      <c r="K1270" s="1094">
        <f t="shared" ca="1" si="205"/>
        <v>0</v>
      </c>
    </row>
    <row r="1271" spans="1:11" s="373" customFormat="1" hidden="1">
      <c r="A1271" s="373" t="str">
        <f>IF(AND(COUNTIF($A$5:$A$133,R_DG!A1145)=0,R_DG!R1145&gt;0,ISNUMBER(R_DG!R1145)),R_DG!A1145,"NONE")</f>
        <v>KEO</v>
      </c>
      <c r="B1271" s="85">
        <f ca="1">IF(K1271&gt;0,COUNTIF(K$6:K1271,"&gt;0"),B1270)</f>
        <v>36</v>
      </c>
      <c r="C1271" s="1084" t="str">
        <f t="shared" si="200"/>
        <v>Keo dán ống PVC (500gr)</v>
      </c>
      <c r="D1271" s="85" t="str">
        <f t="shared" si="201"/>
        <v>lon</v>
      </c>
      <c r="E1271" s="448">
        <f ca="1">SUMIF(OFFSET(tongctvtdd1,0,-(COLUMN(E1271)+7-(COLUMN(E1271)-5)/2)),KLVT!$A1271,tongctvtdd1)+SUMIF(OFFSET(tongctvtpk1,0,-(COLUMN(E1271)+7-(COLUMN(E1271)-5)/2)),KLVT!$A1271,tongctvtpk1)</f>
        <v>0</v>
      </c>
      <c r="F1271" s="449">
        <f ca="1">SUMIF(OFFSET(cttba_vlvt1_1,0,-9,-ROW(cttba_vlvt1_1)+ROW(cttba_vltb1_1)-10),KLVT!$A1271,OFFSET(cttba_vlvt1_1,0,-4,-ROW(cttba_vlvt1_1)+ROW(cttba_vltb1_1)-10))</f>
        <v>0</v>
      </c>
      <c r="G1271" s="451">
        <f t="shared" ca="1" si="202"/>
        <v>0</v>
      </c>
      <c r="H1271" s="450">
        <f t="shared" si="199"/>
        <v>0.2</v>
      </c>
      <c r="I1271" s="447">
        <f t="shared" ca="1" si="203"/>
        <v>0</v>
      </c>
      <c r="J1271" s="447">
        <f t="shared" ca="1" si="204"/>
        <v>0</v>
      </c>
      <c r="K1271" s="1095">
        <f t="shared" ca="1" si="205"/>
        <v>0</v>
      </c>
    </row>
    <row r="1272" spans="1:11" s="373" customFormat="1" ht="15.75" hidden="1">
      <c r="A1272" s="373" t="str">
        <f>IF(AND(COUNTIF($A$5:$A$133,R_DG!A1146)=0,R_DG!R1146&gt;0,ISNUMBER(R_DG!R1146)),R_DG!A1146,"NONE")</f>
        <v>KVRT42</v>
      </c>
      <c r="B1272" s="85">
        <f ca="1">IF(K1272&gt;0,COUNTIF(K$6:K1272,"&gt;0"),B1271)</f>
        <v>36</v>
      </c>
      <c r="C1272" s="1084" t="str">
        <f t="shared" si="200"/>
        <v>Khâu ven răng trong D42</v>
      </c>
      <c r="D1272" s="85" t="str">
        <f t="shared" si="201"/>
        <v>cái</v>
      </c>
      <c r="E1272" s="448">
        <f ca="1">SUMIF(OFFSET(tongctvtdd1,0,-(COLUMN(E1272)+7-(COLUMN(E1272)-5)/2)),KLVT!$A1272,tongctvtdd1)+SUMIF(OFFSET(tongctvtpk1,0,-(COLUMN(E1272)+7-(COLUMN(E1272)-5)/2)),KLVT!$A1272,tongctvtpk1)</f>
        <v>0</v>
      </c>
      <c r="F1272" s="449">
        <f ca="1">SUMIF(OFFSET(cttba_vlvt1_1,0,-9,-ROW(cttba_vlvt1_1)+ROW(cttba_vltb1_1)-10),KLVT!$A1272,OFFSET(cttba_vlvt1_1,0,-4,-ROW(cttba_vlvt1_1)+ROW(cttba_vltb1_1)-10))</f>
        <v>0</v>
      </c>
      <c r="G1272" s="451">
        <f t="shared" ca="1" si="202"/>
        <v>0</v>
      </c>
      <c r="H1272" s="450">
        <f t="shared" si="199"/>
        <v>0.2</v>
      </c>
      <c r="I1272" s="447">
        <f t="shared" ca="1" si="203"/>
        <v>0</v>
      </c>
      <c r="J1272" s="447">
        <f t="shared" ca="1" si="204"/>
        <v>0</v>
      </c>
      <c r="K1272" s="373">
        <f t="shared" ca="1" si="205"/>
        <v>0</v>
      </c>
    </row>
    <row r="1273" spans="1:11" s="373" customFormat="1" ht="15.75" hidden="1">
      <c r="A1273" s="373" t="str">
        <f>IF(AND(COUNTIF($A$5:$A$133,R_DG!A1147)=0,R_DG!R1147&gt;0,ISNUMBER(R_DG!R1147)),R_DG!A1147,"NONE")</f>
        <v>KVRT90</v>
      </c>
      <c r="B1273" s="85">
        <f ca="1">IF(K1273&gt;0,COUNTIF(K$6:K1273,"&gt;0"),B1272)</f>
        <v>36</v>
      </c>
      <c r="C1273" s="1084" t="str">
        <f t="shared" si="200"/>
        <v>Khâu ven răng trong D90</v>
      </c>
      <c r="D1273" s="85" t="str">
        <f t="shared" si="201"/>
        <v>cái</v>
      </c>
      <c r="E1273" s="448">
        <f ca="1">SUMIF(OFFSET(tongctvtdd1,0,-(COLUMN(E1273)+7-(COLUMN(E1273)-5)/2)),KLVT!$A1273,tongctvtdd1)+SUMIF(OFFSET(tongctvtpk1,0,-(COLUMN(E1273)+7-(COLUMN(E1273)-5)/2)),KLVT!$A1273,tongctvtpk1)</f>
        <v>0</v>
      </c>
      <c r="F1273" s="449">
        <f ca="1">SUMIF(OFFSET(cttba_vlvt1_1,0,-9,-ROW(cttba_vlvt1_1)+ROW(cttba_vltb1_1)-10),KLVT!$A1273,OFFSET(cttba_vlvt1_1,0,-4,-ROW(cttba_vlvt1_1)+ROW(cttba_vltb1_1)-10))</f>
        <v>0</v>
      </c>
      <c r="G1273" s="451">
        <f t="shared" ca="1" si="202"/>
        <v>0</v>
      </c>
      <c r="H1273" s="450">
        <f t="shared" si="199"/>
        <v>0.2</v>
      </c>
      <c r="I1273" s="447">
        <f t="shared" ca="1" si="203"/>
        <v>0</v>
      </c>
      <c r="J1273" s="447">
        <f t="shared" ca="1" si="204"/>
        <v>0</v>
      </c>
      <c r="K1273" s="373">
        <f t="shared" ca="1" si="205"/>
        <v>0</v>
      </c>
    </row>
    <row r="1274" spans="1:11" s="373" customFormat="1" ht="15.75" hidden="1">
      <c r="A1274" s="373" t="str">
        <f>IF(AND(COUNTIF($A$5:$A$133,R_DG!A1148)=0,R_DG!R1148&gt;0,ISNUMBER(R_DG!R1148)),R_DG!A1148,"NONE")</f>
        <v>KVRT114</v>
      </c>
      <c r="B1274" s="85">
        <f ca="1">IF(K1274&gt;0,COUNTIF(K$6:K1274,"&gt;0"),B1273)</f>
        <v>36</v>
      </c>
      <c r="C1274" s="1084" t="str">
        <f t="shared" si="200"/>
        <v>Khâu ven răng trong D114</v>
      </c>
      <c r="D1274" s="85" t="str">
        <f t="shared" si="201"/>
        <v>cái</v>
      </c>
      <c r="E1274" s="448">
        <f ca="1">SUMIF(OFFSET(tongctvtdd1,0,-(COLUMN(E1274)+7-(COLUMN(E1274)-5)/2)),KLVT!$A1274,tongctvtdd1)+SUMIF(OFFSET(tongctvtpk1,0,-(COLUMN(E1274)+7-(COLUMN(E1274)-5)/2)),KLVT!$A1274,tongctvtpk1)</f>
        <v>0</v>
      </c>
      <c r="F1274" s="449">
        <f ca="1">SUMIF(OFFSET(cttba_vlvt1_1,0,-9,-ROW(cttba_vlvt1_1)+ROW(cttba_vltb1_1)-10),KLVT!$A1274,OFFSET(cttba_vlvt1_1,0,-4,-ROW(cttba_vlvt1_1)+ROW(cttba_vltb1_1)-10))</f>
        <v>0</v>
      </c>
      <c r="G1274" s="451">
        <f t="shared" ca="1" si="202"/>
        <v>0</v>
      </c>
      <c r="H1274" s="450">
        <f t="shared" si="199"/>
        <v>0.2</v>
      </c>
      <c r="I1274" s="447">
        <f t="shared" ca="1" si="203"/>
        <v>0</v>
      </c>
      <c r="J1274" s="447">
        <f t="shared" ca="1" si="204"/>
        <v>0</v>
      </c>
      <c r="K1274" s="373">
        <f t="shared" ca="1" si="205"/>
        <v>0</v>
      </c>
    </row>
    <row r="1275" spans="1:11" s="373" customFormat="1" ht="15.75" hidden="1">
      <c r="A1275" s="373" t="str">
        <f>IF(AND(COUNTIF($A$5:$A$133,R_DG!A1149)=0,R_DG!R1149&gt;0,ISNUMBER(R_DG!R1149)),R_DG!A1149,"NONE")</f>
        <v>KVRT140</v>
      </c>
      <c r="B1275" s="85">
        <f ca="1">IF(K1275&gt;0,COUNTIF(K$6:K1275,"&gt;0"),B1274)</f>
        <v>36</v>
      </c>
      <c r="C1275" s="1084" t="str">
        <f t="shared" si="200"/>
        <v>Khâu ven răng trong D140</v>
      </c>
      <c r="D1275" s="85" t="str">
        <f t="shared" si="201"/>
        <v>cái</v>
      </c>
      <c r="E1275" s="448">
        <f ca="1">SUMIF(OFFSET(tongctvtdd1,0,-(COLUMN(E1275)+7-(COLUMN(E1275)-5)/2)),KLVT!$A1275,tongctvtdd1)+SUMIF(OFFSET(tongctvtpk1,0,-(COLUMN(E1275)+7-(COLUMN(E1275)-5)/2)),KLVT!$A1275,tongctvtpk1)</f>
        <v>0</v>
      </c>
      <c r="F1275" s="449">
        <f ca="1">SUMIF(OFFSET(cttba_vlvt1_1,0,-9,-ROW(cttba_vlvt1_1)+ROW(cttba_vltb1_1)-10),KLVT!$A1275,OFFSET(cttba_vlvt1_1,0,-4,-ROW(cttba_vlvt1_1)+ROW(cttba_vltb1_1)-10))</f>
        <v>0</v>
      </c>
      <c r="G1275" s="451">
        <f t="shared" ca="1" si="202"/>
        <v>0</v>
      </c>
      <c r="H1275" s="450">
        <f t="shared" si="199"/>
        <v>0.2</v>
      </c>
      <c r="I1275" s="447">
        <f t="shared" ca="1" si="203"/>
        <v>0</v>
      </c>
      <c r="J1275" s="447">
        <f t="shared" ca="1" si="204"/>
        <v>0</v>
      </c>
      <c r="K1275" s="373">
        <f t="shared" ca="1" si="205"/>
        <v>0</v>
      </c>
    </row>
    <row r="1276" spans="1:11" s="373" customFormat="1" ht="15.75" hidden="1">
      <c r="A1276" s="373" t="str">
        <f>IF(AND(COUNTIF($A$5:$A$133,R_DG!A1150)=0,R_DG!R1150&gt;0,ISNUMBER(R_DG!R1150)),R_DG!A1150,"NONE")</f>
        <v>KVRN42</v>
      </c>
      <c r="B1276" s="85">
        <f ca="1">IF(K1276&gt;0,COUNTIF(K$6:K1276,"&gt;0"),B1275)</f>
        <v>36</v>
      </c>
      <c r="C1276" s="1084" t="str">
        <f t="shared" si="200"/>
        <v>Khâu ven răng ngoài D42</v>
      </c>
      <c r="D1276" s="85" t="str">
        <f t="shared" si="201"/>
        <v>cái</v>
      </c>
      <c r="E1276" s="448">
        <f ca="1">SUMIF(OFFSET(tongctvtdd1,0,-(COLUMN(E1276)+7-(COLUMN(E1276)-5)/2)),KLVT!$A1276,tongctvtdd1)+SUMIF(OFFSET(tongctvtpk1,0,-(COLUMN(E1276)+7-(COLUMN(E1276)-5)/2)),KLVT!$A1276,tongctvtpk1)</f>
        <v>0</v>
      </c>
      <c r="F1276" s="449">
        <f ca="1">SUMIF(OFFSET(cttba_vlvt1_1,0,-9,-ROW(cttba_vlvt1_1)+ROW(cttba_vltb1_1)-10),KLVT!$A1276,OFFSET(cttba_vlvt1_1,0,-4,-ROW(cttba_vlvt1_1)+ROW(cttba_vltb1_1)-10))</f>
        <v>0</v>
      </c>
      <c r="G1276" s="451">
        <f t="shared" ca="1" si="202"/>
        <v>0</v>
      </c>
      <c r="H1276" s="450">
        <f t="shared" si="199"/>
        <v>0.2</v>
      </c>
      <c r="I1276" s="447">
        <f t="shared" ca="1" si="203"/>
        <v>0</v>
      </c>
      <c r="J1276" s="447">
        <f t="shared" ca="1" si="204"/>
        <v>0</v>
      </c>
      <c r="K1276" s="373">
        <f t="shared" ca="1" si="205"/>
        <v>0</v>
      </c>
    </row>
    <row r="1277" spans="1:11" s="373" customFormat="1" ht="15.75" hidden="1">
      <c r="A1277" s="373" t="str">
        <f>IF(AND(COUNTIF($A$5:$A$133,R_DG!A1151)=0,R_DG!R1151&gt;0,ISNUMBER(R_DG!R1151)),R_DG!A1151,"NONE")</f>
        <v>KVRN90</v>
      </c>
      <c r="B1277" s="85">
        <f ca="1">IF(K1277&gt;0,COUNTIF(K$6:K1277,"&gt;0"),B1276)</f>
        <v>36</v>
      </c>
      <c r="C1277" s="1084" t="str">
        <f t="shared" si="200"/>
        <v>Khâu ven răng ngoài D90</v>
      </c>
      <c r="D1277" s="85" t="str">
        <f t="shared" si="201"/>
        <v>cái</v>
      </c>
      <c r="E1277" s="448">
        <f ca="1">SUMIF(OFFSET(tongctvtdd1,0,-(COLUMN(E1277)+7-(COLUMN(E1277)-5)/2)),KLVT!$A1277,tongctvtdd1)+SUMIF(OFFSET(tongctvtpk1,0,-(COLUMN(E1277)+7-(COLUMN(E1277)-5)/2)),KLVT!$A1277,tongctvtpk1)</f>
        <v>0</v>
      </c>
      <c r="F1277" s="449">
        <f ca="1">SUMIF(OFFSET(cttba_vlvt1_1,0,-9,-ROW(cttba_vlvt1_1)+ROW(cttba_vltb1_1)-10),KLVT!$A1277,OFFSET(cttba_vlvt1_1,0,-4,-ROW(cttba_vlvt1_1)+ROW(cttba_vltb1_1)-10))</f>
        <v>0</v>
      </c>
      <c r="G1277" s="451">
        <f t="shared" ca="1" si="202"/>
        <v>0</v>
      </c>
      <c r="H1277" s="450">
        <f t="shared" si="199"/>
        <v>0.2</v>
      </c>
      <c r="I1277" s="447">
        <f t="shared" ca="1" si="203"/>
        <v>0</v>
      </c>
      <c r="J1277" s="447">
        <f t="shared" ca="1" si="204"/>
        <v>0</v>
      </c>
      <c r="K1277" s="373">
        <f t="shared" ca="1" si="205"/>
        <v>0</v>
      </c>
    </row>
    <row r="1278" spans="1:11" s="373" customFormat="1" ht="15.75" hidden="1">
      <c r="A1278" s="373" t="str">
        <f>IF(AND(COUNTIF($A$5:$A$133,R_DG!A1152)=0,R_DG!R1152&gt;0,ISNUMBER(R_DG!R1152)),R_DG!A1152,"NONE")</f>
        <v>KVRN114</v>
      </c>
      <c r="B1278" s="85">
        <f ca="1">IF(K1278&gt;0,COUNTIF(K$6:K1278,"&gt;0"),B1277)</f>
        <v>36</v>
      </c>
      <c r="C1278" s="1084" t="str">
        <f t="shared" si="200"/>
        <v>Khâu ven răng ngoài D114</v>
      </c>
      <c r="D1278" s="85" t="str">
        <f t="shared" si="201"/>
        <v>cái</v>
      </c>
      <c r="E1278" s="448">
        <f ca="1">SUMIF(OFFSET(tongctvtdd1,0,-(COLUMN(E1278)+7-(COLUMN(E1278)-5)/2)),KLVT!$A1278,tongctvtdd1)+SUMIF(OFFSET(tongctvtpk1,0,-(COLUMN(E1278)+7-(COLUMN(E1278)-5)/2)),KLVT!$A1278,tongctvtpk1)</f>
        <v>0</v>
      </c>
      <c r="F1278" s="449">
        <f ca="1">SUMIF(OFFSET(cttba_vlvt1_1,0,-9,-ROW(cttba_vlvt1_1)+ROW(cttba_vltb1_1)-10),KLVT!$A1278,OFFSET(cttba_vlvt1_1,0,-4,-ROW(cttba_vlvt1_1)+ROW(cttba_vltb1_1)-10))</f>
        <v>0</v>
      </c>
      <c r="G1278" s="451">
        <f t="shared" ca="1" si="202"/>
        <v>0</v>
      </c>
      <c r="H1278" s="450">
        <f t="shared" si="199"/>
        <v>0.2</v>
      </c>
      <c r="I1278" s="447">
        <f t="shared" ca="1" si="203"/>
        <v>0</v>
      </c>
      <c r="J1278" s="447">
        <f t="shared" ca="1" si="204"/>
        <v>0</v>
      </c>
      <c r="K1278" s="373">
        <f t="shared" ca="1" si="205"/>
        <v>0</v>
      </c>
    </row>
    <row r="1279" spans="1:11" s="373" customFormat="1" ht="15.75" hidden="1">
      <c r="A1279" s="373" t="str">
        <f>IF(AND(COUNTIF($A$5:$A$133,R_DG!A1153)=0,R_DG!R1153&gt;0,ISNUMBER(R_DG!R1153)),R_DG!A1153,"NONE")</f>
        <v>KVRN140</v>
      </c>
      <c r="B1279" s="85">
        <f ca="1">IF(K1279&gt;0,COUNTIF(K$6:K1279,"&gt;0"),B1278)</f>
        <v>36</v>
      </c>
      <c r="C1279" s="1084" t="str">
        <f t="shared" si="200"/>
        <v>Khâu ven răng ngoài D140</v>
      </c>
      <c r="D1279" s="85" t="str">
        <f t="shared" si="201"/>
        <v>cái</v>
      </c>
      <c r="E1279" s="448">
        <f ca="1">SUMIF(OFFSET(tongctvtdd1,0,-(COLUMN(E1279)+7-(COLUMN(E1279)-5)/2)),KLVT!$A1279,tongctvtdd1)+SUMIF(OFFSET(tongctvtpk1,0,-(COLUMN(E1279)+7-(COLUMN(E1279)-5)/2)),KLVT!$A1279,tongctvtpk1)</f>
        <v>0</v>
      </c>
      <c r="F1279" s="449">
        <f ca="1">SUMIF(OFFSET(cttba_vlvt1_1,0,-9,-ROW(cttba_vlvt1_1)+ROW(cttba_vltb1_1)-10),KLVT!$A1279,OFFSET(cttba_vlvt1_1,0,-4,-ROW(cttba_vlvt1_1)+ROW(cttba_vltb1_1)-10))</f>
        <v>0</v>
      </c>
      <c r="G1279" s="451">
        <f t="shared" ca="1" si="202"/>
        <v>0</v>
      </c>
      <c r="H1279" s="450">
        <f t="shared" si="199"/>
        <v>0.2</v>
      </c>
      <c r="I1279" s="447">
        <f t="shared" ca="1" si="203"/>
        <v>0</v>
      </c>
      <c r="J1279" s="447">
        <f t="shared" ca="1" si="204"/>
        <v>0</v>
      </c>
      <c r="K1279" s="373">
        <f t="shared" ca="1" si="205"/>
        <v>0</v>
      </c>
    </row>
    <row r="1280" spans="1:11" s="373" customFormat="1" ht="15.75" hidden="1">
      <c r="A1280" s="373" t="str">
        <f>IF(AND(COUNTIF($A$5:$A$133,R_DG!A1154)=0,R_DG!R1154&gt;0,ISNUMBER(R_DG!R1154)),R_DG!A1154,"NONE")</f>
        <v>OXC1/0</v>
      </c>
      <c r="B1280" s="85">
        <f ca="1">IF(K1280&gt;0,COUNTIF(K$6:K1280,"&gt;0"),B1279)</f>
        <v>36</v>
      </c>
      <c r="C1280" s="1084" t="str">
        <f t="shared" si="200"/>
        <v>Ốc xiết cáp Cu - Al 1/0</v>
      </c>
      <c r="D1280" s="85" t="str">
        <f t="shared" si="201"/>
        <v>cái</v>
      </c>
      <c r="E1280" s="448">
        <f ca="1">SUMIF(OFFSET(tongctvtdd1,0,-(COLUMN(E1280)+7-(COLUMN(E1280)-5)/2)),KLVT!$A1280,tongctvtdd1)+SUMIF(OFFSET(tongctvtpk1,0,-(COLUMN(E1280)+7-(COLUMN(E1280)-5)/2)),KLVT!$A1280,tongctvtpk1)</f>
        <v>0</v>
      </c>
      <c r="F1280" s="449">
        <f ca="1">SUMIF(OFFSET(cttba_vlvt1_1,0,-9,-ROW(cttba_vlvt1_1)+ROW(cttba_vltb1_1)-10),KLVT!$A1280,OFFSET(cttba_vlvt1_1,0,-4,-ROW(cttba_vlvt1_1)+ROW(cttba_vltb1_1)-10))</f>
        <v>0</v>
      </c>
      <c r="G1280" s="451">
        <f t="shared" ca="1" si="202"/>
        <v>0</v>
      </c>
      <c r="H1280" s="450">
        <f t="shared" si="199"/>
        <v>0.1</v>
      </c>
      <c r="I1280" s="447">
        <f t="shared" ca="1" si="203"/>
        <v>0</v>
      </c>
      <c r="J1280" s="447">
        <f t="shared" ca="1" si="204"/>
        <v>0</v>
      </c>
      <c r="K1280" s="373">
        <f t="shared" ca="1" si="205"/>
        <v>0</v>
      </c>
    </row>
    <row r="1281" spans="1:11" s="373" customFormat="1" ht="15.75" hidden="1">
      <c r="A1281" s="373" t="str">
        <f>IF(AND(COUNTIF($A$5:$A$133,R_DG!A1155)=0,R_DG!R1155&gt;0,ISNUMBER(R_DG!R1155)),R_DG!A1155,"NONE")</f>
        <v>OXC2/0</v>
      </c>
      <c r="B1281" s="85">
        <f ca="1">IF(K1281&gt;0,COUNTIF(K$6:K1281,"&gt;0"),B1280)</f>
        <v>36</v>
      </c>
      <c r="C1281" s="1084" t="str">
        <f t="shared" si="200"/>
        <v>Ốc xiết cáp Cu - Al 2/0</v>
      </c>
      <c r="D1281" s="85" t="str">
        <f t="shared" si="201"/>
        <v>cái</v>
      </c>
      <c r="E1281" s="448">
        <f ca="1">SUMIF(OFFSET(tongctvtdd1,0,-(COLUMN(E1281)+7-(COLUMN(E1281)-5)/2)),KLVT!$A1281,tongctvtdd1)+SUMIF(OFFSET(tongctvtpk1,0,-(COLUMN(E1281)+7-(COLUMN(E1281)-5)/2)),KLVT!$A1281,tongctvtpk1)</f>
        <v>0</v>
      </c>
      <c r="F1281" s="449">
        <f ca="1">SUMIF(OFFSET(cttba_vlvt1_1,0,-9,-ROW(cttba_vlvt1_1)+ROW(cttba_vltb1_1)-10),KLVT!$A1281,OFFSET(cttba_vlvt1_1,0,-4,-ROW(cttba_vlvt1_1)+ROW(cttba_vltb1_1)-10))</f>
        <v>0</v>
      </c>
      <c r="G1281" s="451">
        <f t="shared" ca="1" si="202"/>
        <v>0</v>
      </c>
      <c r="H1281" s="450">
        <f t="shared" si="199"/>
        <v>0.1</v>
      </c>
      <c r="I1281" s="447">
        <f t="shared" ca="1" si="203"/>
        <v>0</v>
      </c>
      <c r="J1281" s="447">
        <f t="shared" ca="1" si="204"/>
        <v>0</v>
      </c>
      <c r="K1281" s="373">
        <f t="shared" ca="1" si="205"/>
        <v>0</v>
      </c>
    </row>
    <row r="1282" spans="1:11" s="373" customFormat="1" ht="15.75" hidden="1">
      <c r="A1282" s="373" t="str">
        <f>IF(AND(COUNTIF($A$5:$A$133,R_DG!A1156)=0,R_DG!R1156&gt;0,ISNUMBER(R_DG!R1156)),R_DG!A1156,"NONE")</f>
        <v>OXCTH</v>
      </c>
      <c r="B1282" s="85">
        <f ca="1">IF(K1282&gt;0,COUNTIF(K$6:K1282,"&gt;0"),B1281)</f>
        <v>36</v>
      </c>
      <c r="C1282" s="1084" t="str">
        <f t="shared" si="200"/>
        <v xml:space="preserve">Ốc xiết cáp Cu-AL cở thích hợp </v>
      </c>
      <c r="D1282" s="85" t="str">
        <f t="shared" si="201"/>
        <v>cái</v>
      </c>
      <c r="E1282" s="448">
        <f ca="1">SUMIF(OFFSET(tongctvtdd1,0,-(COLUMN(E1282)+7-(COLUMN(E1282)-5)/2)),KLVT!$A1282,tongctvtdd1)+SUMIF(OFFSET(tongctvtpk1,0,-(COLUMN(E1282)+7-(COLUMN(E1282)-5)/2)),KLVT!$A1282,tongctvtpk1)</f>
        <v>0</v>
      </c>
      <c r="F1282" s="449">
        <f ca="1">SUMIF(OFFSET(cttba_vlvt1_1,0,-9,-ROW(cttba_vlvt1_1)+ROW(cttba_vltb1_1)-10),KLVT!$A1282,OFFSET(cttba_vlvt1_1,0,-4,-ROW(cttba_vlvt1_1)+ROW(cttba_vltb1_1)-10))</f>
        <v>0</v>
      </c>
      <c r="G1282" s="451">
        <f t="shared" ca="1" si="202"/>
        <v>0</v>
      </c>
      <c r="H1282" s="450">
        <f t="shared" si="199"/>
        <v>0.1</v>
      </c>
      <c r="I1282" s="447">
        <f t="shared" ca="1" si="203"/>
        <v>0</v>
      </c>
      <c r="J1282" s="447">
        <f t="shared" ca="1" si="204"/>
        <v>0</v>
      </c>
      <c r="K1282" s="373">
        <f t="shared" ca="1" si="205"/>
        <v>0</v>
      </c>
    </row>
    <row r="1283" spans="1:11" s="373" customFormat="1" ht="15.75" hidden="1">
      <c r="A1283" s="373" t="str">
        <f>IF(AND(COUNTIF($A$5:$A$133,R_DG!A1157)=0,R_DG!R1157&gt;0,ISNUMBER(R_DG!R1157)),R_DG!A1157,"NONE")</f>
        <v>OXC11</v>
      </c>
      <c r="B1283" s="85">
        <f ca="1">IF(K1283&gt;0,COUNTIF(K$6:K1283,"&gt;0"),B1282)</f>
        <v>36</v>
      </c>
      <c r="C1283" s="1084" t="str">
        <f t="shared" si="200"/>
        <v xml:space="preserve">Ốc xiết cáp cỡ 11mm2 </v>
      </c>
      <c r="D1283" s="85" t="str">
        <f t="shared" si="201"/>
        <v>cái</v>
      </c>
      <c r="E1283" s="448">
        <f ca="1">SUMIF(OFFSET(tongctvtdd1,0,-(COLUMN(E1283)+7-(COLUMN(E1283)-5)/2)),KLVT!$A1283,tongctvtdd1)+SUMIF(OFFSET(tongctvtpk1,0,-(COLUMN(E1283)+7-(COLUMN(E1283)-5)/2)),KLVT!$A1283,tongctvtpk1)</f>
        <v>0</v>
      </c>
      <c r="F1283" s="449">
        <f ca="1">SUMIF(OFFSET(cttba_vlvt1_1,0,-9,-ROW(cttba_vlvt1_1)+ROW(cttba_vltb1_1)-10),KLVT!$A1283,OFFSET(cttba_vlvt1_1,0,-4,-ROW(cttba_vlvt1_1)+ROW(cttba_vltb1_1)-10))</f>
        <v>0</v>
      </c>
      <c r="G1283" s="451">
        <f t="shared" ca="1" si="202"/>
        <v>0</v>
      </c>
      <c r="H1283" s="450">
        <f t="shared" si="199"/>
        <v>0.1</v>
      </c>
      <c r="I1283" s="447">
        <f t="shared" ca="1" si="203"/>
        <v>0</v>
      </c>
      <c r="J1283" s="447">
        <f t="shared" ca="1" si="204"/>
        <v>0</v>
      </c>
      <c r="K1283" s="373">
        <f t="shared" ca="1" si="205"/>
        <v>0</v>
      </c>
    </row>
    <row r="1284" spans="1:11" s="373" customFormat="1" ht="15.75" hidden="1">
      <c r="A1284" s="373" t="str">
        <f>IF(AND(COUNTIF($A$5:$A$133,R_DG!A1158)=0,R_DG!R1158&gt;0,ISNUMBER(R_DG!R1158)),R_DG!A1158,"NONE")</f>
        <v>OXC22</v>
      </c>
      <c r="B1284" s="85">
        <f ca="1">IF(K1284&gt;0,COUNTIF(K$6:K1284,"&gt;0"),B1283)</f>
        <v>36</v>
      </c>
      <c r="C1284" s="1084" t="str">
        <f t="shared" si="200"/>
        <v xml:space="preserve">Ốc xiết cáp cỡ 22mm2 </v>
      </c>
      <c r="D1284" s="85" t="str">
        <f t="shared" si="201"/>
        <v>cái</v>
      </c>
      <c r="E1284" s="448">
        <f ca="1">SUMIF(OFFSET(tongctvtdd1,0,-(COLUMN(E1284)+7-(COLUMN(E1284)-5)/2)),KLVT!$A1284,tongctvtdd1)+SUMIF(OFFSET(tongctvtpk1,0,-(COLUMN(E1284)+7-(COLUMN(E1284)-5)/2)),KLVT!$A1284,tongctvtpk1)</f>
        <v>0</v>
      </c>
      <c r="F1284" s="449">
        <f ca="1">SUMIF(OFFSET(cttba_vlvt1_1,0,-9,-ROW(cttba_vlvt1_1)+ROW(cttba_vltb1_1)-10),KLVT!$A1284,OFFSET(cttba_vlvt1_1,0,-4,-ROW(cttba_vlvt1_1)+ROW(cttba_vltb1_1)-10))</f>
        <v>0</v>
      </c>
      <c r="G1284" s="451">
        <f t="shared" ca="1" si="202"/>
        <v>0</v>
      </c>
      <c r="H1284" s="450">
        <f t="shared" si="199"/>
        <v>0.1</v>
      </c>
      <c r="I1284" s="447">
        <f t="shared" ca="1" si="203"/>
        <v>0</v>
      </c>
      <c r="J1284" s="447">
        <f t="shared" ca="1" si="204"/>
        <v>0</v>
      </c>
      <c r="K1284" s="373">
        <f t="shared" ca="1" si="205"/>
        <v>0</v>
      </c>
    </row>
    <row r="1285" spans="1:11" s="373" customFormat="1" hidden="1">
      <c r="A1285" s="373" t="str">
        <f>IF(AND(COUNTIF($A$5:$A$133,R_DG!A1159)=0,R_DG!R1159&gt;0,ISNUMBER(R_DG!R1159)),R_DG!A1159,"NONE")</f>
        <v>OXC25</v>
      </c>
      <c r="B1285" s="85">
        <f ca="1">IF(K1285&gt;0,COUNTIF(K$6:K1285,"&gt;0"),B1284)</f>
        <v>36</v>
      </c>
      <c r="C1285" s="1084" t="str">
        <f t="shared" si="200"/>
        <v>Ốc xiết cáp cỡ 25mm2</v>
      </c>
      <c r="D1285" s="85" t="str">
        <f t="shared" si="201"/>
        <v>cái</v>
      </c>
      <c r="E1285" s="448">
        <f ca="1">SUMIF(OFFSET(tongctvtdd1,0,-(COLUMN(E1285)+7-(COLUMN(E1285)-5)/2)),KLVT!$A1285,tongctvtdd1)+SUMIF(OFFSET(tongctvtpk1,0,-(COLUMN(E1285)+7-(COLUMN(E1285)-5)/2)),KLVT!$A1285,tongctvtpk1)</f>
        <v>0</v>
      </c>
      <c r="F1285" s="449">
        <f ca="1">SUMIF(OFFSET(cttba_vlvt1_1,0,-9,-ROW(cttba_vlvt1_1)+ROW(cttba_vltb1_1)-10),KLVT!$A1285,OFFSET(cttba_vlvt1_1,0,-4,-ROW(cttba_vlvt1_1)+ROW(cttba_vltb1_1)-10))</f>
        <v>0</v>
      </c>
      <c r="G1285" s="451">
        <f t="shared" ca="1" si="202"/>
        <v>0</v>
      </c>
      <c r="H1285" s="450">
        <f t="shared" si="199"/>
        <v>0.1</v>
      </c>
      <c r="I1285" s="447">
        <f t="shared" ca="1" si="203"/>
        <v>0</v>
      </c>
      <c r="J1285" s="447">
        <f t="shared" ca="1" si="204"/>
        <v>0</v>
      </c>
      <c r="K1285" s="1094">
        <f t="shared" ca="1" si="205"/>
        <v>0</v>
      </c>
    </row>
    <row r="1286" spans="1:11" s="373" customFormat="1" ht="15.75" hidden="1">
      <c r="A1286" s="373" t="str">
        <f>IF(AND(COUNTIF($A$5:$A$133,R_DG!A1160)=0,R_DG!R1160&gt;0,ISNUMBER(R_DG!R1160)),R_DG!A1160,"NONE")</f>
        <v>OXC38</v>
      </c>
      <c r="B1286" s="85">
        <f ca="1">IF(K1286&gt;0,COUNTIF(K$6:K1286,"&gt;0"),B1285)</f>
        <v>36</v>
      </c>
      <c r="C1286" s="1084" t="str">
        <f t="shared" si="200"/>
        <v xml:space="preserve">Ốc xiết cáp cỡ 38mm2 </v>
      </c>
      <c r="D1286" s="85" t="str">
        <f t="shared" si="201"/>
        <v>cái</v>
      </c>
      <c r="E1286" s="448">
        <f ca="1">SUMIF(OFFSET(tongctvtdd1,0,-(COLUMN(E1286)+7-(COLUMN(E1286)-5)/2)),KLVT!$A1286,tongctvtdd1)+SUMIF(OFFSET(tongctvtpk1,0,-(COLUMN(E1286)+7-(COLUMN(E1286)-5)/2)),KLVT!$A1286,tongctvtpk1)</f>
        <v>0</v>
      </c>
      <c r="F1286" s="449">
        <f ca="1">SUMIF(OFFSET(cttba_vlvt1_1,0,-9,-ROW(cttba_vlvt1_1)+ROW(cttba_vltb1_1)-10),KLVT!$A1286,OFFSET(cttba_vlvt1_1,0,-4,-ROW(cttba_vlvt1_1)+ROW(cttba_vltb1_1)-10))</f>
        <v>0</v>
      </c>
      <c r="G1286" s="451">
        <f t="shared" ca="1" si="202"/>
        <v>0</v>
      </c>
      <c r="H1286" s="450">
        <f t="shared" ref="H1286:H1349" si="206">VLOOKUP(A1286,DONGIA,18,0)</f>
        <v>0.1</v>
      </c>
      <c r="I1286" s="447">
        <f t="shared" ca="1" si="203"/>
        <v>0</v>
      </c>
      <c r="J1286" s="447">
        <f t="shared" ca="1" si="204"/>
        <v>0</v>
      </c>
      <c r="K1286" s="373">
        <f t="shared" ca="1" si="205"/>
        <v>0</v>
      </c>
    </row>
    <row r="1287" spans="1:11" s="373" customFormat="1" ht="15.75" hidden="1">
      <c r="A1287" s="373" t="str">
        <f>IF(AND(COUNTIF($A$5:$A$133,R_DG!A1161)=0,R_DG!R1161&gt;0,ISNUMBER(R_DG!R1161)),R_DG!A1161,"NONE")</f>
        <v>OXC50</v>
      </c>
      <c r="B1287" s="85">
        <f ca="1">IF(K1287&gt;0,COUNTIF(K$6:K1287,"&gt;0"),B1286)</f>
        <v>36</v>
      </c>
      <c r="C1287" s="1084" t="str">
        <f t="shared" si="200"/>
        <v xml:space="preserve">Ốc xiết cáp cỡ 50mm2 </v>
      </c>
      <c r="D1287" s="85" t="str">
        <f t="shared" si="201"/>
        <v>cái</v>
      </c>
      <c r="E1287" s="448">
        <f ca="1">SUMIF(OFFSET(tongctvtdd1,0,-(COLUMN(E1287)+7-(COLUMN(E1287)-5)/2)),KLVT!$A1287,tongctvtdd1)+SUMIF(OFFSET(tongctvtpk1,0,-(COLUMN(E1287)+7-(COLUMN(E1287)-5)/2)),KLVT!$A1287,tongctvtpk1)</f>
        <v>0</v>
      </c>
      <c r="F1287" s="449">
        <f ca="1">SUMIF(OFFSET(cttba_vlvt1_1,0,-9,-ROW(cttba_vlvt1_1)+ROW(cttba_vltb1_1)-10),KLVT!$A1287,OFFSET(cttba_vlvt1_1,0,-4,-ROW(cttba_vlvt1_1)+ROW(cttba_vltb1_1)-10))</f>
        <v>0</v>
      </c>
      <c r="G1287" s="451">
        <f t="shared" ca="1" si="202"/>
        <v>0</v>
      </c>
      <c r="H1287" s="450">
        <f t="shared" si="206"/>
        <v>0.1</v>
      </c>
      <c r="I1287" s="447">
        <f t="shared" ca="1" si="203"/>
        <v>0</v>
      </c>
      <c r="J1287" s="447">
        <f t="shared" ca="1" si="204"/>
        <v>0</v>
      </c>
      <c r="K1287" s="373">
        <f t="shared" ca="1" si="205"/>
        <v>0</v>
      </c>
    </row>
    <row r="1288" spans="1:11" s="373" customFormat="1" ht="15.75" hidden="1">
      <c r="A1288" s="373" t="str">
        <f>IF(AND(COUNTIF($A$5:$A$133,R_DG!A1162)=0,R_DG!R1162&gt;0,ISNUMBER(R_DG!R1162)),R_DG!A1162,"NONE")</f>
        <v>OXC70</v>
      </c>
      <c r="B1288" s="85">
        <f ca="1">IF(K1288&gt;0,COUNTIF(K$6:K1288,"&gt;0"),B1287)</f>
        <v>36</v>
      </c>
      <c r="C1288" s="1084" t="str">
        <f t="shared" si="200"/>
        <v xml:space="preserve">Ốc xiết cáp cỡ 70mm2 </v>
      </c>
      <c r="D1288" s="85" t="str">
        <f t="shared" si="201"/>
        <v>cái</v>
      </c>
      <c r="E1288" s="448">
        <f ca="1">SUMIF(OFFSET(tongctvtdd1,0,-(COLUMN(E1288)+7-(COLUMN(E1288)-5)/2)),KLVT!$A1288,tongctvtdd1)+SUMIF(OFFSET(tongctvtpk1,0,-(COLUMN(E1288)+7-(COLUMN(E1288)-5)/2)),KLVT!$A1288,tongctvtpk1)</f>
        <v>0</v>
      </c>
      <c r="F1288" s="449">
        <f ca="1">SUMIF(OFFSET(cttba_vlvt1_1,0,-9,-ROW(cttba_vlvt1_1)+ROW(cttba_vltb1_1)-10),KLVT!$A1288,OFFSET(cttba_vlvt1_1,0,-4,-ROW(cttba_vlvt1_1)+ROW(cttba_vltb1_1)-10))</f>
        <v>0</v>
      </c>
      <c r="G1288" s="451">
        <f t="shared" ca="1" si="202"/>
        <v>0</v>
      </c>
      <c r="H1288" s="450">
        <f t="shared" si="206"/>
        <v>0.1</v>
      </c>
      <c r="I1288" s="447">
        <f t="shared" ca="1" si="203"/>
        <v>0</v>
      </c>
      <c r="J1288" s="447">
        <f t="shared" ca="1" si="204"/>
        <v>0</v>
      </c>
      <c r="K1288" s="373">
        <f t="shared" ca="1" si="205"/>
        <v>0</v>
      </c>
    </row>
    <row r="1289" spans="1:11" s="373" customFormat="1" ht="15.75" hidden="1">
      <c r="A1289" s="373" t="str">
        <f>IF(AND(COUNTIF($A$5:$A$133,R_DG!A1163)=0,R_DG!R1163&gt;0,ISNUMBER(R_DG!R1163)),R_DG!A1163,"NONE")</f>
        <v>OXC95</v>
      </c>
      <c r="B1289" s="85">
        <f ca="1">IF(K1289&gt;0,COUNTIF(K$6:K1289,"&gt;0"),B1288)</f>
        <v>36</v>
      </c>
      <c r="C1289" s="1084" t="str">
        <f t="shared" si="200"/>
        <v xml:space="preserve">Ốc xiết cáp cỡ 95mm2 </v>
      </c>
      <c r="D1289" s="85" t="str">
        <f t="shared" si="201"/>
        <v>cái</v>
      </c>
      <c r="E1289" s="448">
        <f ca="1">SUMIF(OFFSET(tongctvtdd1,0,-(COLUMN(E1289)+7-(COLUMN(E1289)-5)/2)),KLVT!$A1289,tongctvtdd1)+SUMIF(OFFSET(tongctvtpk1,0,-(COLUMN(E1289)+7-(COLUMN(E1289)-5)/2)),KLVT!$A1289,tongctvtpk1)</f>
        <v>0</v>
      </c>
      <c r="F1289" s="449">
        <f ca="1">SUMIF(OFFSET(cttba_vlvt1_1,0,-9,-ROW(cttba_vlvt1_1)+ROW(cttba_vltb1_1)-10),KLVT!$A1289,OFFSET(cttba_vlvt1_1,0,-4,-ROW(cttba_vlvt1_1)+ROW(cttba_vltb1_1)-10))</f>
        <v>0</v>
      </c>
      <c r="G1289" s="451">
        <f t="shared" ca="1" si="202"/>
        <v>0</v>
      </c>
      <c r="H1289" s="450">
        <f t="shared" si="206"/>
        <v>0.1</v>
      </c>
      <c r="I1289" s="447">
        <f t="shared" ca="1" si="203"/>
        <v>0</v>
      </c>
      <c r="J1289" s="447">
        <f t="shared" ca="1" si="204"/>
        <v>0</v>
      </c>
      <c r="K1289" s="373">
        <f t="shared" ca="1" si="205"/>
        <v>0</v>
      </c>
    </row>
    <row r="1290" spans="1:11" s="373" customFormat="1" ht="15.75" hidden="1">
      <c r="A1290" s="373" t="str">
        <f>IF(AND(COUNTIF($A$5:$A$133,R_DG!A1164)=0,R_DG!R1164&gt;0,ISNUMBER(R_DG!R1164)),R_DG!A1164,"NONE")</f>
        <v>OXC120</v>
      </c>
      <c r="B1290" s="85">
        <f ca="1">IF(K1290&gt;0,COUNTIF(K$6:K1290,"&gt;0"),B1289)</f>
        <v>36</v>
      </c>
      <c r="C1290" s="1084" t="str">
        <f t="shared" si="200"/>
        <v xml:space="preserve">Ốc xiết cáp cỡ 120mm2 </v>
      </c>
      <c r="D1290" s="85" t="str">
        <f t="shared" si="201"/>
        <v>cái</v>
      </c>
      <c r="E1290" s="448">
        <f ca="1">SUMIF(OFFSET(tongctvtdd1,0,-(COLUMN(E1290)+7-(COLUMN(E1290)-5)/2)),KLVT!$A1290,tongctvtdd1)+SUMIF(OFFSET(tongctvtpk1,0,-(COLUMN(E1290)+7-(COLUMN(E1290)-5)/2)),KLVT!$A1290,tongctvtpk1)</f>
        <v>0</v>
      </c>
      <c r="F1290" s="449">
        <f ca="1">SUMIF(OFFSET(cttba_vlvt1_1,0,-9,-ROW(cttba_vlvt1_1)+ROW(cttba_vltb1_1)-10),KLVT!$A1290,OFFSET(cttba_vlvt1_1,0,-4,-ROW(cttba_vlvt1_1)+ROW(cttba_vltb1_1)-10))</f>
        <v>0</v>
      </c>
      <c r="G1290" s="451">
        <f t="shared" ca="1" si="202"/>
        <v>0</v>
      </c>
      <c r="H1290" s="450">
        <f t="shared" si="206"/>
        <v>0.1</v>
      </c>
      <c r="I1290" s="447">
        <f t="shared" ca="1" si="203"/>
        <v>0</v>
      </c>
      <c r="J1290" s="447">
        <f t="shared" ca="1" si="204"/>
        <v>0</v>
      </c>
      <c r="K1290" s="373">
        <f t="shared" ca="1" si="205"/>
        <v>0</v>
      </c>
    </row>
    <row r="1291" spans="1:11" s="373" customFormat="1" ht="15.75" hidden="1">
      <c r="A1291" s="373" t="str">
        <f>IF(AND(COUNTIF($A$5:$A$133,R_DG!A1165)=0,R_DG!R1165&gt;0,ISNUMBER(R_DG!R1165)),R_DG!A1165,"NONE")</f>
        <v>OXC150</v>
      </c>
      <c r="B1291" s="85">
        <f ca="1">IF(K1291&gt;0,COUNTIF(K$6:K1291,"&gt;0"),B1290)</f>
        <v>36</v>
      </c>
      <c r="C1291" s="1084" t="str">
        <f t="shared" si="200"/>
        <v>Ốc xiết cáp cỡ 150mm2</v>
      </c>
      <c r="D1291" s="85" t="str">
        <f t="shared" si="201"/>
        <v>cái</v>
      </c>
      <c r="E1291" s="448">
        <f ca="1">SUMIF(OFFSET(tongctvtdd1,0,-(COLUMN(E1291)+7-(COLUMN(E1291)-5)/2)),KLVT!$A1291,tongctvtdd1)+SUMIF(OFFSET(tongctvtpk1,0,-(COLUMN(E1291)+7-(COLUMN(E1291)-5)/2)),KLVT!$A1291,tongctvtpk1)</f>
        <v>0</v>
      </c>
      <c r="F1291" s="449">
        <f ca="1">SUMIF(OFFSET(cttba_vlvt1_1,0,-9,-ROW(cttba_vlvt1_1)+ROW(cttba_vltb1_1)-10),KLVT!$A1291,OFFSET(cttba_vlvt1_1,0,-4,-ROW(cttba_vlvt1_1)+ROW(cttba_vltb1_1)-10))</f>
        <v>0</v>
      </c>
      <c r="G1291" s="451">
        <f t="shared" ca="1" si="202"/>
        <v>0</v>
      </c>
      <c r="H1291" s="450">
        <f t="shared" si="206"/>
        <v>0.1</v>
      </c>
      <c r="I1291" s="447">
        <f t="shared" ca="1" si="203"/>
        <v>0</v>
      </c>
      <c r="J1291" s="447">
        <f t="shared" ca="1" si="204"/>
        <v>0</v>
      </c>
      <c r="K1291" s="373">
        <f t="shared" ca="1" si="205"/>
        <v>0</v>
      </c>
    </row>
    <row r="1292" spans="1:11" s="373" customFormat="1" ht="15.75" hidden="1">
      <c r="A1292" s="373" t="str">
        <f>IF(AND(COUNTIF($A$5:$A$133,R_DG!A1166)=0,R_DG!R1166&gt;0,ISNUMBER(R_DG!R1166)),R_DG!A1166,"NONE")</f>
        <v>OXC185</v>
      </c>
      <c r="B1292" s="85">
        <f ca="1">IF(K1292&gt;0,COUNTIF(K$6:K1292,"&gt;0"),B1291)</f>
        <v>36</v>
      </c>
      <c r="C1292" s="1084" t="str">
        <f t="shared" si="200"/>
        <v>Ốc xiết cáp cỡ 185mm2</v>
      </c>
      <c r="D1292" s="85" t="str">
        <f t="shared" si="201"/>
        <v>cái</v>
      </c>
      <c r="E1292" s="448">
        <f ca="1">SUMIF(OFFSET(tongctvtdd1,0,-(COLUMN(E1292)+7-(COLUMN(E1292)-5)/2)),KLVT!$A1292,tongctvtdd1)+SUMIF(OFFSET(tongctvtpk1,0,-(COLUMN(E1292)+7-(COLUMN(E1292)-5)/2)),KLVT!$A1292,tongctvtpk1)</f>
        <v>0</v>
      </c>
      <c r="F1292" s="449">
        <f ca="1">SUMIF(OFFSET(cttba_vlvt1_1,0,-9,-ROW(cttba_vlvt1_1)+ROW(cttba_vltb1_1)-10),KLVT!$A1292,OFFSET(cttba_vlvt1_1,0,-4,-ROW(cttba_vlvt1_1)+ROW(cttba_vltb1_1)-10))</f>
        <v>0</v>
      </c>
      <c r="G1292" s="451">
        <f t="shared" ca="1" si="202"/>
        <v>0</v>
      </c>
      <c r="H1292" s="450">
        <f t="shared" si="206"/>
        <v>0.1</v>
      </c>
      <c r="I1292" s="447">
        <f t="shared" ca="1" si="203"/>
        <v>0</v>
      </c>
      <c r="J1292" s="447">
        <f t="shared" ca="1" si="204"/>
        <v>0</v>
      </c>
      <c r="K1292" s="373">
        <f t="shared" ca="1" si="205"/>
        <v>0</v>
      </c>
    </row>
    <row r="1293" spans="1:11" s="373" customFormat="1" ht="15.75" hidden="1">
      <c r="A1293" s="373" t="str">
        <f>IF(AND(COUNTIF($A$5:$A$133,R_DG!A1167)=0,R_DG!R1167&gt;0,ISNUMBER(R_DG!R1167)),R_DG!A1167,"NONE")</f>
        <v>OXC240</v>
      </c>
      <c r="B1293" s="85">
        <f ca="1">IF(K1293&gt;0,COUNTIF(K$6:K1293,"&gt;0"),B1292)</f>
        <v>36</v>
      </c>
      <c r="C1293" s="1084" t="str">
        <f t="shared" si="200"/>
        <v>Ốc xiết cáp cỡ 240mm2</v>
      </c>
      <c r="D1293" s="85" t="str">
        <f t="shared" si="201"/>
        <v>cái</v>
      </c>
      <c r="E1293" s="448">
        <f ca="1">SUMIF(OFFSET(tongctvtdd1,0,-(COLUMN(E1293)+7-(COLUMN(E1293)-5)/2)),KLVT!$A1293,tongctvtdd1)+SUMIF(OFFSET(tongctvtpk1,0,-(COLUMN(E1293)+7-(COLUMN(E1293)-5)/2)),KLVT!$A1293,tongctvtpk1)</f>
        <v>0</v>
      </c>
      <c r="F1293" s="449">
        <f ca="1">SUMIF(OFFSET(cttba_vlvt1_1,0,-9,-ROW(cttba_vlvt1_1)+ROW(cttba_vltb1_1)-10),KLVT!$A1293,OFFSET(cttba_vlvt1_1,0,-4,-ROW(cttba_vlvt1_1)+ROW(cttba_vltb1_1)-10))</f>
        <v>0</v>
      </c>
      <c r="G1293" s="451">
        <f t="shared" ca="1" si="202"/>
        <v>0</v>
      </c>
      <c r="H1293" s="450">
        <f t="shared" si="206"/>
        <v>0.1</v>
      </c>
      <c r="I1293" s="447">
        <f t="shared" ca="1" si="203"/>
        <v>0</v>
      </c>
      <c r="J1293" s="447">
        <f t="shared" ca="1" si="204"/>
        <v>0</v>
      </c>
      <c r="K1293" s="373">
        <f t="shared" ca="1" si="205"/>
        <v>0</v>
      </c>
    </row>
    <row r="1294" spans="1:11" s="373" customFormat="1" ht="15.75" hidden="1">
      <c r="A1294" s="373" t="str">
        <f>IF(AND(COUNTIF($A$5:$A$133,R_DG!A1168)=0,R_DG!R1168&gt;0,ISNUMBER(R_DG!R1168)),R_DG!A1168,"NONE")</f>
        <v>KHOA</v>
      </c>
      <c r="B1294" s="85">
        <f ca="1">IF(K1294&gt;0,COUNTIF(K$6:K1294,"&gt;0"),B1293)</f>
        <v>36</v>
      </c>
      <c r="C1294" s="1084" t="str">
        <f t="shared" si="200"/>
        <v>Ổ khóa</v>
      </c>
      <c r="D1294" s="85" t="str">
        <f t="shared" si="201"/>
        <v>cái</v>
      </c>
      <c r="E1294" s="448">
        <f ca="1">SUMIF(OFFSET(tongctvtdd1,0,-(COLUMN(E1294)+7-(COLUMN(E1294)-5)/2)),KLVT!$A1294,tongctvtdd1)+SUMIF(OFFSET(tongctvtpk1,0,-(COLUMN(E1294)+7-(COLUMN(E1294)-5)/2)),KLVT!$A1294,tongctvtpk1)</f>
        <v>0</v>
      </c>
      <c r="F1294" s="449">
        <f ca="1">SUMIF(OFFSET(cttba_vlvt1_1,0,-9,-ROW(cttba_vlvt1_1)+ROW(cttba_vltb1_1)-10),KLVT!$A1294,OFFSET(cttba_vlvt1_1,0,-4,-ROW(cttba_vlvt1_1)+ROW(cttba_vltb1_1)-10))</f>
        <v>0</v>
      </c>
      <c r="G1294" s="451">
        <f t="shared" ca="1" si="202"/>
        <v>0</v>
      </c>
      <c r="H1294" s="450">
        <f t="shared" si="206"/>
        <v>0.2</v>
      </c>
      <c r="I1294" s="447">
        <f t="shared" ca="1" si="203"/>
        <v>0</v>
      </c>
      <c r="J1294" s="447">
        <f t="shared" ca="1" si="204"/>
        <v>0</v>
      </c>
      <c r="K1294" s="373">
        <f t="shared" ca="1" si="205"/>
        <v>0</v>
      </c>
    </row>
    <row r="1295" spans="1:11" s="373" customFormat="1" ht="15.75" hidden="1">
      <c r="A1295" s="373" t="str">
        <f>IF(AND(COUNTIF($A$5:$A$133,R_DG!A1169)=0,R_DG!R1169&gt;0,ISNUMBER(R_DG!R1169)),R_DG!A1169,"NONE")</f>
        <v>OXY</v>
      </c>
      <c r="B1295" s="85">
        <f ca="1">IF(K1295&gt;0,COUNTIF(K$6:K1295,"&gt;0"),B1294)</f>
        <v>36</v>
      </c>
      <c r="C1295" s="1084" t="str">
        <f t="shared" si="200"/>
        <v>Ô xy gió</v>
      </c>
      <c r="D1295" s="85" t="str">
        <f t="shared" si="201"/>
        <v>m3</v>
      </c>
      <c r="E1295" s="448">
        <f ca="1">SUMIF(OFFSET(tongctvtdd1,0,-(COLUMN(E1295)+7-(COLUMN(E1295)-5)/2)),KLVT!$A1295,tongctvtdd1)+SUMIF(OFFSET(tongctvtpk1,0,-(COLUMN(E1295)+7-(COLUMN(E1295)-5)/2)),KLVT!$A1295,tongctvtpk1)</f>
        <v>0</v>
      </c>
      <c r="F1295" s="449">
        <f ca="1">SUMIF(OFFSET(cttba_vlvt1_1,0,-9,-ROW(cttba_vlvt1_1)+ROW(cttba_vltb1_1)-10),KLVT!$A1295,OFFSET(cttba_vlvt1_1,0,-4,-ROW(cttba_vlvt1_1)+ROW(cttba_vltb1_1)-10))</f>
        <v>0</v>
      </c>
      <c r="G1295" s="451">
        <f t="shared" ca="1" si="202"/>
        <v>0</v>
      </c>
      <c r="H1295" s="450">
        <f t="shared" si="206"/>
        <v>100</v>
      </c>
      <c r="I1295" s="447">
        <f t="shared" ca="1" si="203"/>
        <v>0</v>
      </c>
      <c r="J1295" s="447">
        <f t="shared" ca="1" si="204"/>
        <v>0</v>
      </c>
      <c r="K1295" s="373">
        <f t="shared" ca="1" si="205"/>
        <v>0</v>
      </c>
    </row>
    <row r="1296" spans="1:11" s="373" customFormat="1" ht="15.75" hidden="1">
      <c r="A1296" s="373" t="str">
        <f>IF(AND(COUNTIF($A$5:$A$133,R_DG!A1170)=0,R_DG!R1170&gt;0,ISNUMBER(R_DG!R1170)),R_DG!A1170,"NONE")</f>
        <v>NONE</v>
      </c>
      <c r="B1296" s="85">
        <f ca="1">IF(K1296&gt;0,COUNTIF(K$6:K1296,"&gt;0"),B1295)</f>
        <v>36</v>
      </c>
      <c r="C1296" s="1084">
        <f t="shared" si="200"/>
        <v>0</v>
      </c>
      <c r="D1296" s="85">
        <f t="shared" si="201"/>
        <v>0</v>
      </c>
      <c r="E1296" s="448">
        <f ca="1">SUMIF(OFFSET(tongctvtdd1,0,-(COLUMN(E1296)+7-(COLUMN(E1296)-5)/2)),KLVT!$A1296,tongctvtdd1)+SUMIF(OFFSET(tongctvtpk1,0,-(COLUMN(E1296)+7-(COLUMN(E1296)-5)/2)),KLVT!$A1296,tongctvtpk1)</f>
        <v>0</v>
      </c>
      <c r="F1296" s="449">
        <f ca="1">SUMIF(OFFSET(cttba_vlvt1_1,0,-9,-ROW(cttba_vlvt1_1)+ROW(cttba_vltb1_1)-10),KLVT!$A1296,OFFSET(cttba_vlvt1_1,0,-4,-ROW(cttba_vlvt1_1)+ROW(cttba_vltb1_1)-10))</f>
        <v>0</v>
      </c>
      <c r="G1296" s="451">
        <f t="shared" ca="1" si="202"/>
        <v>0</v>
      </c>
      <c r="H1296" s="450">
        <f t="shared" si="206"/>
        <v>1</v>
      </c>
      <c r="I1296" s="447">
        <f t="shared" ca="1" si="203"/>
        <v>0</v>
      </c>
      <c r="J1296" s="447">
        <f t="shared" ca="1" si="204"/>
        <v>0</v>
      </c>
      <c r="K1296" s="373">
        <f t="shared" ca="1" si="205"/>
        <v>0</v>
      </c>
    </row>
    <row r="1297" spans="1:11" s="373" customFormat="1" ht="15.75" hidden="1">
      <c r="A1297" s="373" t="str">
        <f>IF(AND(COUNTIF($A$5:$A$133,R_DG!A1171)=0,R_DG!R1171&gt;0,ISNUMBER(R_DG!R1171)),R_DG!A1171,"NONE")</f>
        <v>NONE</v>
      </c>
      <c r="B1297" s="85">
        <f ca="1">IF(K1297&gt;0,COUNTIF(K$6:K1297,"&gt;0"),B1296)</f>
        <v>36</v>
      </c>
      <c r="C1297" s="1084">
        <f t="shared" si="200"/>
        <v>0</v>
      </c>
      <c r="D1297" s="85">
        <f t="shared" si="201"/>
        <v>0</v>
      </c>
      <c r="E1297" s="448">
        <f ca="1">SUMIF(OFFSET(tongctvtdd1,0,-(COLUMN(E1297)+7-(COLUMN(E1297)-5)/2)),KLVT!$A1297,tongctvtdd1)+SUMIF(OFFSET(tongctvtpk1,0,-(COLUMN(E1297)+7-(COLUMN(E1297)-5)/2)),KLVT!$A1297,tongctvtpk1)</f>
        <v>0</v>
      </c>
      <c r="F1297" s="449">
        <f ca="1">SUMIF(OFFSET(cttba_vlvt1_1,0,-9,-ROW(cttba_vlvt1_1)+ROW(cttba_vltb1_1)-10),KLVT!$A1297,OFFSET(cttba_vlvt1_1,0,-4,-ROW(cttba_vlvt1_1)+ROW(cttba_vltb1_1)-10))</f>
        <v>0</v>
      </c>
      <c r="G1297" s="451">
        <f t="shared" ca="1" si="202"/>
        <v>0</v>
      </c>
      <c r="H1297" s="450">
        <f t="shared" si="206"/>
        <v>1</v>
      </c>
      <c r="I1297" s="447">
        <f t="shared" ca="1" si="203"/>
        <v>0</v>
      </c>
      <c r="J1297" s="447">
        <f t="shared" ca="1" si="204"/>
        <v>0</v>
      </c>
      <c r="K1297" s="373">
        <f t="shared" ca="1" si="205"/>
        <v>0</v>
      </c>
    </row>
    <row r="1298" spans="1:11" s="373" customFormat="1" ht="15.75" hidden="1">
      <c r="A1298" s="373" t="str">
        <f>IF(AND(COUNTIF($A$5:$A$133,R_DG!A1172)=0,R_DG!R1172&gt;0,ISNUMBER(R_DG!R1172)),R_DG!A1172,"NONE")</f>
        <v>NONE</v>
      </c>
      <c r="B1298" s="85">
        <f ca="1">IF(K1298&gt;0,COUNTIF(K$6:K1298,"&gt;0"),B1297)</f>
        <v>36</v>
      </c>
      <c r="C1298" s="1084">
        <f t="shared" si="200"/>
        <v>0</v>
      </c>
      <c r="D1298" s="85">
        <f t="shared" si="201"/>
        <v>0</v>
      </c>
      <c r="E1298" s="448">
        <f ca="1">SUMIF(OFFSET(tongctvtdd1,0,-(COLUMN(E1298)+7-(COLUMN(E1298)-5)/2)),KLVT!$A1298,tongctvtdd1)+SUMIF(OFFSET(tongctvtpk1,0,-(COLUMN(E1298)+7-(COLUMN(E1298)-5)/2)),KLVT!$A1298,tongctvtpk1)</f>
        <v>0</v>
      </c>
      <c r="F1298" s="449">
        <f ca="1">SUMIF(OFFSET(cttba_vlvt1_1,0,-9,-ROW(cttba_vlvt1_1)+ROW(cttba_vltb1_1)-10),KLVT!$A1298,OFFSET(cttba_vlvt1_1,0,-4,-ROW(cttba_vlvt1_1)+ROW(cttba_vltb1_1)-10))</f>
        <v>0</v>
      </c>
      <c r="G1298" s="451">
        <f t="shared" ca="1" si="202"/>
        <v>0</v>
      </c>
      <c r="H1298" s="450">
        <f t="shared" si="206"/>
        <v>1</v>
      </c>
      <c r="I1298" s="447">
        <f t="shared" ca="1" si="203"/>
        <v>0</v>
      </c>
      <c r="J1298" s="447">
        <f t="shared" ca="1" si="204"/>
        <v>0</v>
      </c>
      <c r="K1298" s="373">
        <f t="shared" ca="1" si="205"/>
        <v>0</v>
      </c>
    </row>
    <row r="1299" spans="1:11" s="373" customFormat="1" ht="15.75" hidden="1">
      <c r="A1299" s="373" t="str">
        <f>IF(AND(COUNTIF($A$5:$A$133,R_DG!A1173)=0,R_DG!R1173&gt;0,ISNUMBER(R_DG!R1173)),R_DG!A1173,"NONE")</f>
        <v>SONCBH</v>
      </c>
      <c r="B1299" s="85">
        <f ca="1">IF(K1299&gt;0,COUNTIF(K$6:K1299,"&gt;0"),B1298)</f>
        <v>36</v>
      </c>
      <c r="C1299" s="1084" t="str">
        <f t="shared" si="200"/>
        <v>Sơn cột báo hiệu</v>
      </c>
      <c r="D1299" s="85" t="str">
        <f t="shared" si="201"/>
        <v>m2</v>
      </c>
      <c r="E1299" s="448">
        <f ca="1">SUMIF(OFFSET(tongctvtdd1,0,-(COLUMN(E1299)+7-(COLUMN(E1299)-5)/2)),KLVT!$A1299,tongctvtdd1)+SUMIF(OFFSET(tongctvtpk1,0,-(COLUMN(E1299)+7-(COLUMN(E1299)-5)/2)),KLVT!$A1299,tongctvtpk1)</f>
        <v>0</v>
      </c>
      <c r="F1299" s="449">
        <f ca="1">SUMIF(OFFSET(cttba_vlvt1_1,0,-9,-ROW(cttba_vlvt1_1)+ROW(cttba_vltb1_1)-10),KLVT!$A1299,OFFSET(cttba_vlvt1_1,0,-4,-ROW(cttba_vlvt1_1)+ROW(cttba_vltb1_1)-10))</f>
        <v>0</v>
      </c>
      <c r="G1299" s="451">
        <f t="shared" ca="1" si="202"/>
        <v>0</v>
      </c>
      <c r="H1299" s="450">
        <f t="shared" si="206"/>
        <v>0.5</v>
      </c>
      <c r="I1299" s="447">
        <f t="shared" ca="1" si="203"/>
        <v>0</v>
      </c>
      <c r="J1299" s="447">
        <f t="shared" ca="1" si="204"/>
        <v>0</v>
      </c>
      <c r="K1299" s="373">
        <f t="shared" ca="1" si="205"/>
        <v>0</v>
      </c>
    </row>
    <row r="1300" spans="1:11" s="373" customFormat="1" ht="15.75" hidden="1">
      <c r="A1300" s="373" t="str">
        <f>IF(AND(COUNTIF($A$5:$A$133,R_DG!A1174)=0,R_DG!R1174&gt;0,ISNUMBER(R_DG!R1174)),R_DG!A1174,"NONE")</f>
        <v>SONBBH</v>
      </c>
      <c r="B1300" s="85">
        <f ca="1">IF(K1300&gt;0,COUNTIF(K$6:K1300,"&gt;0"),B1299)</f>
        <v>36</v>
      </c>
      <c r="C1300" s="1084" t="str">
        <f t="shared" si="200"/>
        <v>Sơn biển báo hiệu</v>
      </c>
      <c r="D1300" s="85" t="str">
        <f t="shared" si="201"/>
        <v>m2</v>
      </c>
      <c r="E1300" s="448">
        <f ca="1">SUMIF(OFFSET(tongctvtdd1,0,-(COLUMN(E1300)+7-(COLUMN(E1300)-5)/2)),KLVT!$A1300,tongctvtdd1)+SUMIF(OFFSET(tongctvtpk1,0,-(COLUMN(E1300)+7-(COLUMN(E1300)-5)/2)),KLVT!$A1300,tongctvtpk1)</f>
        <v>0</v>
      </c>
      <c r="F1300" s="449">
        <f ca="1">SUMIF(OFFSET(cttba_vlvt1_1,0,-9,-ROW(cttba_vlvt1_1)+ROW(cttba_vltb1_1)-10),KLVT!$A1300,OFFSET(cttba_vlvt1_1,0,-4,-ROW(cttba_vlvt1_1)+ROW(cttba_vltb1_1)-10))</f>
        <v>0</v>
      </c>
      <c r="G1300" s="451">
        <f t="shared" ca="1" si="202"/>
        <v>0</v>
      </c>
      <c r="H1300" s="450">
        <f t="shared" si="206"/>
        <v>0.5</v>
      </c>
      <c r="I1300" s="447">
        <f t="shared" ca="1" si="203"/>
        <v>0</v>
      </c>
      <c r="J1300" s="447">
        <f t="shared" ca="1" si="204"/>
        <v>0</v>
      </c>
      <c r="K1300" s="373">
        <f t="shared" ca="1" si="205"/>
        <v>0</v>
      </c>
    </row>
    <row r="1301" spans="1:11" s="373" customFormat="1" ht="15.75" hidden="1">
      <c r="A1301" s="373" t="str">
        <f>IF(AND(COUNTIF($A$5:$A$133,R_DG!A1175)=0,R_DG!R1175&gt;0,ISNUMBER(R_DG!R1175)),R_DG!A1175,"NONE")</f>
        <v>NONE</v>
      </c>
      <c r="B1301" s="85">
        <f ca="1">IF(K1301&gt;0,COUNTIF(K$6:K1301,"&gt;0"),B1300)</f>
        <v>36</v>
      </c>
      <c r="C1301" s="1084">
        <f t="shared" si="200"/>
        <v>0</v>
      </c>
      <c r="D1301" s="85">
        <f t="shared" si="201"/>
        <v>0</v>
      </c>
      <c r="E1301" s="448">
        <f ca="1">SUMIF(OFFSET(tongctvtdd1,0,-(COLUMN(E1301)+7-(COLUMN(E1301)-5)/2)),KLVT!$A1301,tongctvtdd1)+SUMIF(OFFSET(tongctvtpk1,0,-(COLUMN(E1301)+7-(COLUMN(E1301)-5)/2)),KLVT!$A1301,tongctvtpk1)</f>
        <v>0</v>
      </c>
      <c r="F1301" s="449">
        <f ca="1">SUMIF(OFFSET(cttba_vlvt1_1,0,-9,-ROW(cttba_vlvt1_1)+ROW(cttba_vltb1_1)-10),KLVT!$A1301,OFFSET(cttba_vlvt1_1,0,-4,-ROW(cttba_vlvt1_1)+ROW(cttba_vltb1_1)-10))</f>
        <v>0</v>
      </c>
      <c r="G1301" s="451">
        <f t="shared" ca="1" si="202"/>
        <v>0</v>
      </c>
      <c r="H1301" s="450">
        <f t="shared" si="206"/>
        <v>1</v>
      </c>
      <c r="I1301" s="447">
        <f t="shared" ca="1" si="203"/>
        <v>0</v>
      </c>
      <c r="J1301" s="447">
        <f t="shared" ca="1" si="204"/>
        <v>0</v>
      </c>
      <c r="K1301" s="373">
        <f t="shared" ca="1" si="205"/>
        <v>0</v>
      </c>
    </row>
    <row r="1302" spans="1:11" s="373" customFormat="1" ht="15.75" hidden="1">
      <c r="A1302" s="373" t="str">
        <f>IF(AND(COUNTIF($A$5:$A$133,R_DG!A1176)=0,R_DG!R1176&gt;0,ISNUMBER(R_DG!R1176)),R_DG!A1176,"NONE")</f>
        <v>U16-280</v>
      </c>
      <c r="B1302" s="85">
        <f ca="1">IF(K1302&gt;0,COUNTIF(K$6:K1302,"&gt;0"),B1301)</f>
        <v>36</v>
      </c>
      <c r="C1302" s="1084" t="str">
        <f t="shared" si="200"/>
        <v>Đà U160x68x5x2800 đỡ MBA (15,3kg/m)</v>
      </c>
      <c r="D1302" s="85" t="str">
        <f t="shared" si="201"/>
        <v>cái</v>
      </c>
      <c r="E1302" s="448">
        <f ca="1">SUMIF(OFFSET(tongctvtdd1,0,-(COLUMN(E1302)+7-(COLUMN(E1302)-5)/2)),KLVT!$A1302,tongctvtdd1)+SUMIF(OFFSET(tongctvtpk1,0,-(COLUMN(E1302)+7-(COLUMN(E1302)-5)/2)),KLVT!$A1302,tongctvtpk1)</f>
        <v>0</v>
      </c>
      <c r="F1302" s="449">
        <f ca="1">SUMIF(OFFSET(cttba_vlvt1_1,0,-9,-ROW(cttba_vlvt1_1)+ROW(cttba_vltb1_1)-10),KLVT!$A1302,OFFSET(cttba_vlvt1_1,0,-4,-ROW(cttba_vlvt1_1)+ROW(cttba_vltb1_1)-10))</f>
        <v>0</v>
      </c>
      <c r="G1302" s="451">
        <f t="shared" ca="1" si="202"/>
        <v>0</v>
      </c>
      <c r="H1302" s="450">
        <f t="shared" si="206"/>
        <v>1</v>
      </c>
      <c r="I1302" s="447">
        <f t="shared" ca="1" si="203"/>
        <v>0</v>
      </c>
      <c r="J1302" s="447">
        <f t="shared" ca="1" si="204"/>
        <v>0</v>
      </c>
      <c r="K1302" s="373">
        <f t="shared" ca="1" si="205"/>
        <v>0</v>
      </c>
    </row>
    <row r="1303" spans="1:11" s="373" customFormat="1" ht="15.75" hidden="1">
      <c r="A1303" s="373" t="str">
        <f>IF(AND(COUNTIF($A$5:$A$133,R_DG!A1177)=0,R_DG!R1177&gt;0,ISNUMBER(R_DG!R1177)),R_DG!A1177,"NONE")</f>
        <v>U20-280</v>
      </c>
      <c r="B1303" s="85">
        <f ca="1">IF(K1303&gt;0,COUNTIF(K$6:K1303,"&gt;0"),B1302)</f>
        <v>36</v>
      </c>
      <c r="C1303" s="1084" t="str">
        <f t="shared" si="200"/>
        <v>Đà U200x80x5x2800 đỡ MBA (19,8kg/m)</v>
      </c>
      <c r="D1303" s="85" t="str">
        <f t="shared" si="201"/>
        <v>cái</v>
      </c>
      <c r="E1303" s="448">
        <f ca="1">SUMIF(OFFSET(tongctvtdd1,0,-(COLUMN(E1303)+7-(COLUMN(E1303)-5)/2)),KLVT!$A1303,tongctvtdd1)+SUMIF(OFFSET(tongctvtpk1,0,-(COLUMN(E1303)+7-(COLUMN(E1303)-5)/2)),KLVT!$A1303,tongctvtpk1)</f>
        <v>0</v>
      </c>
      <c r="F1303" s="449">
        <f ca="1">SUMIF(OFFSET(cttba_vlvt1_1,0,-9,-ROW(cttba_vlvt1_1)+ROW(cttba_vltb1_1)-10),KLVT!$A1303,OFFSET(cttba_vlvt1_1,0,-4,-ROW(cttba_vlvt1_1)+ROW(cttba_vltb1_1)-10))</f>
        <v>0</v>
      </c>
      <c r="G1303" s="451">
        <f t="shared" ca="1" si="202"/>
        <v>0</v>
      </c>
      <c r="H1303" s="450">
        <f t="shared" si="206"/>
        <v>1</v>
      </c>
      <c r="I1303" s="447">
        <f t="shared" ca="1" si="203"/>
        <v>0</v>
      </c>
      <c r="J1303" s="447">
        <f t="shared" ca="1" si="204"/>
        <v>0</v>
      </c>
      <c r="K1303" s="373">
        <f t="shared" ca="1" si="205"/>
        <v>0</v>
      </c>
    </row>
    <row r="1304" spans="1:11" s="373" customFormat="1" ht="15.75" hidden="1">
      <c r="A1304" s="373" t="str">
        <f>IF(AND(COUNTIF($A$5:$A$133,R_DG!A1178)=0,R_DG!R1178&gt;0,ISNUMBER(R_DG!R1178)),R_DG!A1178,"NONE")</f>
        <v>U1008</v>
      </c>
      <c r="B1304" s="85">
        <f ca="1">IF(K1304&gt;0,COUNTIF(K$6:K1304,"&gt;0"),B1303)</f>
        <v>36</v>
      </c>
      <c r="C1304" s="1084" t="str">
        <f t="shared" si="200"/>
        <v>Đà U100x46x4.5x800 (8,59kg/m)</v>
      </c>
      <c r="D1304" s="85" t="str">
        <f t="shared" si="201"/>
        <v>cái</v>
      </c>
      <c r="E1304" s="448">
        <f ca="1">SUMIF(OFFSET(tongctvtdd1,0,-(COLUMN(E1304)+7-(COLUMN(E1304)-5)/2)),KLVT!$A1304,tongctvtdd1)+SUMIF(OFFSET(tongctvtpk1,0,-(COLUMN(E1304)+7-(COLUMN(E1304)-5)/2)),KLVT!$A1304,tongctvtpk1)</f>
        <v>0</v>
      </c>
      <c r="F1304" s="449">
        <f ca="1">SUMIF(OFFSET(cttba_vlvt1_1,0,-9,-ROW(cttba_vlvt1_1)+ROW(cttba_vltb1_1)-10),KLVT!$A1304,OFFSET(cttba_vlvt1_1,0,-4,-ROW(cttba_vlvt1_1)+ROW(cttba_vltb1_1)-10))</f>
        <v>0</v>
      </c>
      <c r="G1304" s="451">
        <f t="shared" ca="1" si="202"/>
        <v>0</v>
      </c>
      <c r="H1304" s="450">
        <f t="shared" si="206"/>
        <v>1</v>
      </c>
      <c r="I1304" s="447">
        <f t="shared" ca="1" si="203"/>
        <v>0</v>
      </c>
      <c r="J1304" s="447">
        <f t="shared" ca="1" si="204"/>
        <v>0</v>
      </c>
      <c r="K1304" s="373">
        <f t="shared" ca="1" si="205"/>
        <v>0</v>
      </c>
    </row>
    <row r="1305" spans="1:11" s="373" customFormat="1" ht="15.75" hidden="1">
      <c r="A1305" s="373" t="str">
        <f>IF(AND(COUNTIF($A$5:$A$133,R_DG!A1179)=0,R_DG!R1179&gt;0,ISNUMBER(R_DG!R1179)),R_DG!A1179,"NONE")</f>
        <v>U8034</v>
      </c>
      <c r="B1305" s="85">
        <f ca="1">IF(K1305&gt;0,COUNTIF(K$6:K1305,"&gt;0"),B1304)</f>
        <v>36</v>
      </c>
      <c r="C1305" s="1084" t="str">
        <f t="shared" si="200"/>
        <v>Đà sắt U80x340</v>
      </c>
      <c r="D1305" s="85" t="str">
        <f t="shared" si="201"/>
        <v>cái</v>
      </c>
      <c r="E1305" s="448">
        <f ca="1">SUMIF(OFFSET(tongctvtdd1,0,-(COLUMN(E1305)+7-(COLUMN(E1305)-5)/2)),KLVT!$A1305,tongctvtdd1)+SUMIF(OFFSET(tongctvtpk1,0,-(COLUMN(E1305)+7-(COLUMN(E1305)-5)/2)),KLVT!$A1305,tongctvtpk1)</f>
        <v>0</v>
      </c>
      <c r="F1305" s="449">
        <f ca="1">SUMIF(OFFSET(cttba_vlvt1_1,0,-9,-ROW(cttba_vlvt1_1)+ROW(cttba_vltb1_1)-10),KLVT!$A1305,OFFSET(cttba_vlvt1_1,0,-4,-ROW(cttba_vlvt1_1)+ROW(cttba_vltb1_1)-10))</f>
        <v>0</v>
      </c>
      <c r="G1305" s="451">
        <f t="shared" ca="1" si="202"/>
        <v>0</v>
      </c>
      <c r="H1305" s="450">
        <f t="shared" si="206"/>
        <v>1</v>
      </c>
      <c r="I1305" s="447">
        <f t="shared" ca="1" si="203"/>
        <v>0</v>
      </c>
      <c r="J1305" s="447">
        <f t="shared" ca="1" si="204"/>
        <v>0</v>
      </c>
      <c r="K1305" s="373">
        <f t="shared" ca="1" si="205"/>
        <v>0</v>
      </c>
    </row>
    <row r="1306" spans="1:11" s="373" customFormat="1" ht="15.75" hidden="1">
      <c r="A1306" s="373" t="str">
        <f>IF(AND(COUNTIF($A$5:$A$133,R_DG!A1180)=0,R_DG!R1180&gt;0,ISNUMBER(R_DG!R1180)),R_DG!A1180,"NONE")</f>
        <v>U1004</v>
      </c>
      <c r="B1306" s="85">
        <f ca="1">IF(K1306&gt;0,COUNTIF(K$6:K1306,"&gt;0"),B1305)</f>
        <v>36</v>
      </c>
      <c r="C1306" s="1084" t="str">
        <f t="shared" si="200"/>
        <v>Đà U100x46x4.5x400 (8,59kg/m)</v>
      </c>
      <c r="D1306" s="85" t="str">
        <f t="shared" si="201"/>
        <v>cái</v>
      </c>
      <c r="E1306" s="448">
        <f ca="1">SUMIF(OFFSET(tongctvtdd1,0,-(COLUMN(E1306)+7-(COLUMN(E1306)-5)/2)),KLVT!$A1306,tongctvtdd1)+SUMIF(OFFSET(tongctvtpk1,0,-(COLUMN(E1306)+7-(COLUMN(E1306)-5)/2)),KLVT!$A1306,tongctvtpk1)</f>
        <v>0</v>
      </c>
      <c r="F1306" s="449">
        <f ca="1">SUMIF(OFFSET(cttba_vlvt1_1,0,-9,-ROW(cttba_vlvt1_1)+ROW(cttba_vltb1_1)-10),KLVT!$A1306,OFFSET(cttba_vlvt1_1,0,-4,-ROW(cttba_vlvt1_1)+ROW(cttba_vltb1_1)-10))</f>
        <v>0</v>
      </c>
      <c r="G1306" s="451">
        <f t="shared" ca="1" si="202"/>
        <v>0</v>
      </c>
      <c r="H1306" s="450">
        <f t="shared" si="206"/>
        <v>1</v>
      </c>
      <c r="I1306" s="447">
        <f t="shared" ca="1" si="203"/>
        <v>0</v>
      </c>
      <c r="J1306" s="447">
        <f t="shared" ca="1" si="204"/>
        <v>0</v>
      </c>
      <c r="K1306" s="373">
        <f t="shared" ca="1" si="205"/>
        <v>0</v>
      </c>
    </row>
    <row r="1307" spans="1:11" s="373" customFormat="1" ht="15.75" hidden="1">
      <c r="A1307" s="373" t="str">
        <f>IF(AND(COUNTIF($A$5:$A$133,R_DG!A1181)=0,R_DG!R1181&gt;0,ISNUMBER(R_DG!R1181)),R_DG!A1181,"NONE")</f>
        <v>U100-500</v>
      </c>
      <c r="B1307" s="85">
        <f ca="1">IF(K1307&gt;0,COUNTIF(K$6:K1307,"&gt;0"),B1306)</f>
        <v>36</v>
      </c>
      <c r="C1307" s="1084" t="str">
        <f t="shared" si="200"/>
        <v>Đà U100x46x4.5x500 (8.59kg/m)</v>
      </c>
      <c r="D1307" s="85" t="str">
        <f t="shared" si="201"/>
        <v>cái</v>
      </c>
      <c r="E1307" s="448">
        <f ca="1">SUMIF(OFFSET(tongctvtdd1,0,-(COLUMN(E1307)+7-(COLUMN(E1307)-5)/2)),KLVT!$A1307,tongctvtdd1)+SUMIF(OFFSET(tongctvtpk1,0,-(COLUMN(E1307)+7-(COLUMN(E1307)-5)/2)),KLVT!$A1307,tongctvtpk1)</f>
        <v>0</v>
      </c>
      <c r="F1307" s="449">
        <f ca="1">SUMIF(OFFSET(cttba_vlvt1_1,0,-9,-ROW(cttba_vlvt1_1)+ROW(cttba_vltb1_1)-10),KLVT!$A1307,OFFSET(cttba_vlvt1_1,0,-4,-ROW(cttba_vlvt1_1)+ROW(cttba_vltb1_1)-10))</f>
        <v>0</v>
      </c>
      <c r="G1307" s="451">
        <f t="shared" ca="1" si="202"/>
        <v>0</v>
      </c>
      <c r="H1307" s="450">
        <f t="shared" si="206"/>
        <v>1</v>
      </c>
      <c r="I1307" s="447">
        <f t="shared" ca="1" si="203"/>
        <v>0</v>
      </c>
      <c r="J1307" s="447">
        <f t="shared" ca="1" si="204"/>
        <v>0</v>
      </c>
      <c r="K1307" s="373">
        <f t="shared" ca="1" si="205"/>
        <v>0</v>
      </c>
    </row>
    <row r="1308" spans="1:11" s="373" customFormat="1" ht="15.75" hidden="1">
      <c r="A1308" s="373" t="str">
        <f>IF(AND(COUNTIF($A$5:$A$133,R_DG!A1182)=0,R_DG!R1182&gt;0,ISNUMBER(R_DG!R1182)),R_DG!A1182,"NONE")</f>
        <v>U100-700</v>
      </c>
      <c r="B1308" s="85">
        <f ca="1">IF(K1308&gt;0,COUNTIF(K$6:K1308,"&gt;0"),B1307)</f>
        <v>36</v>
      </c>
      <c r="C1308" s="1084" t="str">
        <f t="shared" si="200"/>
        <v>Đà U100x46x4.5x700 - 8 lỗ (8,59kg/m)</v>
      </c>
      <c r="D1308" s="85" t="str">
        <f t="shared" si="201"/>
        <v>cái</v>
      </c>
      <c r="E1308" s="448">
        <f ca="1">SUMIF(OFFSET(tongctvtdd1,0,-(COLUMN(E1308)+7-(COLUMN(E1308)-5)/2)),KLVT!$A1308,tongctvtdd1)+SUMIF(OFFSET(tongctvtpk1,0,-(COLUMN(E1308)+7-(COLUMN(E1308)-5)/2)),KLVT!$A1308,tongctvtpk1)</f>
        <v>0</v>
      </c>
      <c r="F1308" s="449">
        <f ca="1">SUMIF(OFFSET(cttba_vlvt1_1,0,-9,-ROW(cttba_vlvt1_1)+ROW(cttba_vltb1_1)-10),KLVT!$A1308,OFFSET(cttba_vlvt1_1,0,-4,-ROW(cttba_vlvt1_1)+ROW(cttba_vltb1_1)-10))</f>
        <v>0</v>
      </c>
      <c r="G1308" s="451">
        <f t="shared" ca="1" si="202"/>
        <v>0</v>
      </c>
      <c r="H1308" s="450">
        <f t="shared" si="206"/>
        <v>1</v>
      </c>
      <c r="I1308" s="447">
        <f t="shared" ca="1" si="203"/>
        <v>0</v>
      </c>
      <c r="J1308" s="447">
        <f t="shared" ca="1" si="204"/>
        <v>0</v>
      </c>
      <c r="K1308" s="373">
        <f t="shared" ca="1" si="205"/>
        <v>0</v>
      </c>
    </row>
    <row r="1309" spans="1:11" s="373" customFormat="1" ht="15.75" hidden="1">
      <c r="A1309" s="373" t="str">
        <f>IF(AND(COUNTIF($A$5:$A$133,R_DG!A1183)=0,R_DG!R1183&gt;0,ISNUMBER(R_DG!R1183)),R_DG!A1183,"NONE")</f>
        <v>U100-700-6</v>
      </c>
      <c r="B1309" s="85">
        <f ca="1">IF(K1309&gt;0,COUNTIF(K$6:K1309,"&gt;0"),B1308)</f>
        <v>36</v>
      </c>
      <c r="C1309" s="1084" t="str">
        <f t="shared" si="200"/>
        <v>Đà U100x46x4.5x700 - 6 lỗ (8,59kg/m)</v>
      </c>
      <c r="D1309" s="85" t="str">
        <f t="shared" si="201"/>
        <v>cái</v>
      </c>
      <c r="E1309" s="448">
        <f ca="1">SUMIF(OFFSET(tongctvtdd1,0,-(COLUMN(E1309)+7-(COLUMN(E1309)-5)/2)),KLVT!$A1309,tongctvtdd1)+SUMIF(OFFSET(tongctvtpk1,0,-(COLUMN(E1309)+7-(COLUMN(E1309)-5)/2)),KLVT!$A1309,tongctvtpk1)</f>
        <v>0</v>
      </c>
      <c r="F1309" s="449">
        <f ca="1">SUMIF(OFFSET(cttba_vlvt1_1,0,-9,-ROW(cttba_vlvt1_1)+ROW(cttba_vltb1_1)-10),KLVT!$A1309,OFFSET(cttba_vlvt1_1,0,-4,-ROW(cttba_vlvt1_1)+ROW(cttba_vltb1_1)-10))</f>
        <v>0</v>
      </c>
      <c r="G1309" s="451">
        <f t="shared" ca="1" si="202"/>
        <v>0</v>
      </c>
      <c r="H1309" s="450">
        <f t="shared" si="206"/>
        <v>1</v>
      </c>
      <c r="I1309" s="447">
        <f t="shared" ca="1" si="203"/>
        <v>0</v>
      </c>
      <c r="J1309" s="447">
        <f t="shared" ca="1" si="204"/>
        <v>0</v>
      </c>
      <c r="K1309" s="373">
        <f t="shared" ca="1" si="205"/>
        <v>0</v>
      </c>
    </row>
    <row r="1310" spans="1:11" s="373" customFormat="1" ht="15.75" hidden="1">
      <c r="A1310" s="373" t="str">
        <f>IF(AND(COUNTIF($A$5:$A$133,R_DG!A1184)=0,R_DG!R1184&gt;0,ISNUMBER(R_DG!R1184)),R_DG!A1184,"NONE")</f>
        <v>U160-740</v>
      </c>
      <c r="B1310" s="85">
        <f ca="1">IF(K1310&gt;0,COUNTIF(K$6:K1310,"&gt;0"),B1309)</f>
        <v>36</v>
      </c>
      <c r="C1310" s="1084" t="str">
        <f t="shared" si="200"/>
        <v>Đà U160x740x64x5 (14,2kg/m)</v>
      </c>
      <c r="D1310" s="85" t="str">
        <f t="shared" si="201"/>
        <v>cái</v>
      </c>
      <c r="E1310" s="448">
        <f ca="1">SUMIF(OFFSET(tongctvtdd1,0,-(COLUMN(E1310)+7-(COLUMN(E1310)-5)/2)),KLVT!$A1310,tongctvtdd1)+SUMIF(OFFSET(tongctvtpk1,0,-(COLUMN(E1310)+7-(COLUMN(E1310)-5)/2)),KLVT!$A1310,tongctvtpk1)</f>
        <v>0</v>
      </c>
      <c r="F1310" s="449">
        <f ca="1">SUMIF(OFFSET(cttba_vlvt1_1,0,-9,-ROW(cttba_vlvt1_1)+ROW(cttba_vltb1_1)-10),KLVT!$A1310,OFFSET(cttba_vlvt1_1,0,-4,-ROW(cttba_vlvt1_1)+ROW(cttba_vltb1_1)-10))</f>
        <v>0</v>
      </c>
      <c r="G1310" s="451">
        <f t="shared" ca="1" si="202"/>
        <v>0</v>
      </c>
      <c r="H1310" s="450">
        <f t="shared" si="206"/>
        <v>1</v>
      </c>
      <c r="I1310" s="447">
        <f t="shared" ca="1" si="203"/>
        <v>0</v>
      </c>
      <c r="J1310" s="447">
        <f t="shared" ca="1" si="204"/>
        <v>0</v>
      </c>
      <c r="K1310" s="373">
        <f t="shared" ca="1" si="205"/>
        <v>0</v>
      </c>
    </row>
    <row r="1311" spans="1:11" s="373" customFormat="1" ht="15.75" hidden="1">
      <c r="A1311" s="373" t="str">
        <f>IF(AND(COUNTIF($A$5:$A$133,R_DG!A1185)=0,R_DG!R1185&gt;0,ISNUMBER(R_DG!R1185)),R_DG!A1185,"NONE")</f>
        <v>U160-1700</v>
      </c>
      <c r="B1311" s="85">
        <f ca="1">IF(K1311&gt;0,COUNTIF(K$6:K1311,"&gt;0"),B1310)</f>
        <v>36</v>
      </c>
      <c r="C1311" s="1084" t="str">
        <f t="shared" si="200"/>
        <v>Đà U160x64x5x1700 (14,2kg/m)</v>
      </c>
      <c r="D1311" s="85" t="str">
        <f t="shared" si="201"/>
        <v>cái</v>
      </c>
      <c r="E1311" s="448">
        <f ca="1">SUMIF(OFFSET(tongctvtdd1,0,-(COLUMN(E1311)+7-(COLUMN(E1311)-5)/2)),KLVT!$A1311,tongctvtdd1)+SUMIF(OFFSET(tongctvtpk1,0,-(COLUMN(E1311)+7-(COLUMN(E1311)-5)/2)),KLVT!$A1311,tongctvtpk1)</f>
        <v>0</v>
      </c>
      <c r="F1311" s="449">
        <f ca="1">SUMIF(OFFSET(cttba_vlvt1_1,0,-9,-ROW(cttba_vlvt1_1)+ROW(cttba_vltb1_1)-10),KLVT!$A1311,OFFSET(cttba_vlvt1_1,0,-4,-ROW(cttba_vlvt1_1)+ROW(cttba_vltb1_1)-10))</f>
        <v>0</v>
      </c>
      <c r="G1311" s="451">
        <f t="shared" ca="1" si="202"/>
        <v>0</v>
      </c>
      <c r="H1311" s="450">
        <f t="shared" si="206"/>
        <v>1</v>
      </c>
      <c r="I1311" s="447">
        <f t="shared" ca="1" si="203"/>
        <v>0</v>
      </c>
      <c r="J1311" s="447">
        <f t="shared" ca="1" si="204"/>
        <v>0</v>
      </c>
      <c r="K1311" s="373">
        <f t="shared" ca="1" si="205"/>
        <v>0</v>
      </c>
    </row>
    <row r="1312" spans="1:11" s="373" customFormat="1" ht="15.75" hidden="1">
      <c r="A1312" s="373" t="str">
        <f>IF(AND(COUNTIF($A$5:$A$133,R_DG!A1186)=0,R_DG!R1186&gt;0,ISNUMBER(R_DG!R1186)),R_DG!A1186,"NONE")</f>
        <v>U160-1457</v>
      </c>
      <c r="B1312" s="85">
        <f ca="1">IF(K1312&gt;0,COUNTIF(K$6:K1312,"&gt;0"),B1311)</f>
        <v>36</v>
      </c>
      <c r="C1312" s="1084" t="str">
        <f t="shared" si="200"/>
        <v>Đà U160x64x5x1810 (14,2kg/m)</v>
      </c>
      <c r="D1312" s="85" t="str">
        <f t="shared" si="201"/>
        <v>cái</v>
      </c>
      <c r="E1312" s="448">
        <f ca="1">SUMIF(OFFSET(tongctvtdd1,0,-(COLUMN(E1312)+7-(COLUMN(E1312)-5)/2)),KLVT!$A1312,tongctvtdd1)+SUMIF(OFFSET(tongctvtpk1,0,-(COLUMN(E1312)+7-(COLUMN(E1312)-5)/2)),KLVT!$A1312,tongctvtpk1)</f>
        <v>0</v>
      </c>
      <c r="F1312" s="449">
        <f ca="1">SUMIF(OFFSET(cttba_vlvt1_1,0,-9,-ROW(cttba_vlvt1_1)+ROW(cttba_vltb1_1)-10),KLVT!$A1312,OFFSET(cttba_vlvt1_1,0,-4,-ROW(cttba_vlvt1_1)+ROW(cttba_vltb1_1)-10))</f>
        <v>0</v>
      </c>
      <c r="G1312" s="451">
        <f t="shared" ca="1" si="202"/>
        <v>0</v>
      </c>
      <c r="H1312" s="450">
        <f t="shared" si="206"/>
        <v>1</v>
      </c>
      <c r="I1312" s="447">
        <f t="shared" ca="1" si="203"/>
        <v>0</v>
      </c>
      <c r="J1312" s="447">
        <f t="shared" ca="1" si="204"/>
        <v>0</v>
      </c>
      <c r="K1312" s="373">
        <f t="shared" ca="1" si="205"/>
        <v>0</v>
      </c>
    </row>
    <row r="1313" spans="1:11" s="373" customFormat="1" ht="15.75" hidden="1">
      <c r="A1313" s="373" t="str">
        <f>IF(AND(COUNTIF($A$5:$A$133,R_DG!A1187)=0,R_DG!R1187&gt;0,ISNUMBER(R_DG!R1187)),R_DG!A1187,"NONE")</f>
        <v>U160-2100</v>
      </c>
      <c r="B1313" s="85">
        <f ca="1">IF(K1313&gt;0,COUNTIF(K$6:K1313,"&gt;0"),B1312)</f>
        <v>36</v>
      </c>
      <c r="C1313" s="1084" t="str">
        <f t="shared" si="200"/>
        <v>Đà U160x64x5x2370 (14,2kg/m)</v>
      </c>
      <c r="D1313" s="85" t="str">
        <f t="shared" si="201"/>
        <v>cái</v>
      </c>
      <c r="E1313" s="448">
        <f ca="1">SUMIF(OFFSET(tongctvtdd1,0,-(COLUMN(E1313)+7-(COLUMN(E1313)-5)/2)),KLVT!$A1313,tongctvtdd1)+SUMIF(OFFSET(tongctvtpk1,0,-(COLUMN(E1313)+7-(COLUMN(E1313)-5)/2)),KLVT!$A1313,tongctvtpk1)</f>
        <v>0</v>
      </c>
      <c r="F1313" s="449">
        <f ca="1">SUMIF(OFFSET(cttba_vlvt1_1,0,-9,-ROW(cttba_vlvt1_1)+ROW(cttba_vltb1_1)-10),KLVT!$A1313,OFFSET(cttba_vlvt1_1,0,-4,-ROW(cttba_vlvt1_1)+ROW(cttba_vltb1_1)-10))</f>
        <v>0</v>
      </c>
      <c r="G1313" s="451">
        <f t="shared" ca="1" si="202"/>
        <v>0</v>
      </c>
      <c r="H1313" s="450">
        <f t="shared" si="206"/>
        <v>1</v>
      </c>
      <c r="I1313" s="447">
        <f t="shared" ca="1" si="203"/>
        <v>0</v>
      </c>
      <c r="J1313" s="447">
        <f t="shared" ca="1" si="204"/>
        <v>0</v>
      </c>
      <c r="K1313" s="373">
        <f t="shared" ca="1" si="205"/>
        <v>0</v>
      </c>
    </row>
    <row r="1314" spans="1:11" s="373" customFormat="1" ht="15.75" hidden="1">
      <c r="A1314" s="373" t="str">
        <f>IF(AND(COUNTIF($A$5:$A$133,R_DG!A1188)=0,R_DG!R1188&gt;0,ISNUMBER(R_DG!R1188)),R_DG!A1188,"NONE")</f>
        <v>U160-1100</v>
      </c>
      <c r="B1314" s="85">
        <f ca="1">IF(K1314&gt;0,COUNTIF(K$6:K1314,"&gt;0"),B1313)</f>
        <v>36</v>
      </c>
      <c r="C1314" s="1084" t="str">
        <f t="shared" si="200"/>
        <v>Đà U160x64x5x1100 (14,2kg/m)</v>
      </c>
      <c r="D1314" s="85" t="str">
        <f t="shared" si="201"/>
        <v>cái</v>
      </c>
      <c r="E1314" s="448">
        <f ca="1">SUMIF(OFFSET(tongctvtdd1,0,-(COLUMN(E1314)+7-(COLUMN(E1314)-5)/2)),KLVT!$A1314,tongctvtdd1)+SUMIF(OFFSET(tongctvtpk1,0,-(COLUMN(E1314)+7-(COLUMN(E1314)-5)/2)),KLVT!$A1314,tongctvtpk1)</f>
        <v>0</v>
      </c>
      <c r="F1314" s="449">
        <f ca="1">SUMIF(OFFSET(cttba_vlvt1_1,0,-9,-ROW(cttba_vlvt1_1)+ROW(cttba_vltb1_1)-10),KLVT!$A1314,OFFSET(cttba_vlvt1_1,0,-4,-ROW(cttba_vlvt1_1)+ROW(cttba_vltb1_1)-10))</f>
        <v>0</v>
      </c>
      <c r="G1314" s="451">
        <f t="shared" ca="1" si="202"/>
        <v>0</v>
      </c>
      <c r="H1314" s="450">
        <f t="shared" si="206"/>
        <v>1</v>
      </c>
      <c r="I1314" s="447">
        <f t="shared" ca="1" si="203"/>
        <v>0</v>
      </c>
      <c r="J1314" s="447">
        <f t="shared" ca="1" si="204"/>
        <v>0</v>
      </c>
      <c r="K1314" s="373">
        <f t="shared" ca="1" si="205"/>
        <v>0</v>
      </c>
    </row>
    <row r="1315" spans="1:11" s="373" customFormat="1" ht="15.75" hidden="1">
      <c r="A1315" s="373" t="str">
        <f>IF(AND(COUNTIF($A$5:$A$133,R_DG!A1189)=0,R_DG!R1189&gt;0,ISNUMBER(R_DG!R1189)),R_DG!A1189,"NONE")</f>
        <v>U100650</v>
      </c>
      <c r="B1315" s="85">
        <f ca="1">IF(K1315&gt;0,COUNTIF(K$6:K1315,"&gt;0"),B1314)</f>
        <v>36</v>
      </c>
      <c r="C1315" s="1084" t="str">
        <f t="shared" si="200"/>
        <v>Đà U100x4.5x650 (1m x 12,34kg/m)</v>
      </c>
      <c r="D1315" s="85" t="str">
        <f t="shared" si="201"/>
        <v>cái</v>
      </c>
      <c r="E1315" s="448">
        <f ca="1">SUMIF(OFFSET(tongctvtdd1,0,-(COLUMN(E1315)+7-(COLUMN(E1315)-5)/2)),KLVT!$A1315,tongctvtdd1)+SUMIF(OFFSET(tongctvtpk1,0,-(COLUMN(E1315)+7-(COLUMN(E1315)-5)/2)),KLVT!$A1315,tongctvtpk1)</f>
        <v>0</v>
      </c>
      <c r="F1315" s="449">
        <f ca="1">SUMIF(OFFSET(cttba_vlvt1_1,0,-9,-ROW(cttba_vlvt1_1)+ROW(cttba_vltb1_1)-10),KLVT!$A1315,OFFSET(cttba_vlvt1_1,0,-4,-ROW(cttba_vlvt1_1)+ROW(cttba_vltb1_1)-10))</f>
        <v>0</v>
      </c>
      <c r="G1315" s="451">
        <f t="shared" ca="1" si="202"/>
        <v>0</v>
      </c>
      <c r="H1315" s="450">
        <f t="shared" si="206"/>
        <v>1.2</v>
      </c>
      <c r="I1315" s="447">
        <f t="shared" ca="1" si="203"/>
        <v>0</v>
      </c>
      <c r="J1315" s="447">
        <f t="shared" ca="1" si="204"/>
        <v>0</v>
      </c>
      <c r="K1315" s="373">
        <f t="shared" ca="1" si="205"/>
        <v>0</v>
      </c>
    </row>
    <row r="1316" spans="1:11" s="373" customFormat="1" ht="15.75" hidden="1">
      <c r="A1316" s="373" t="str">
        <f>IF(AND(COUNTIF($A$5:$A$133,R_DG!A1190)=0,R_DG!R1190&gt;0,ISNUMBER(R_DG!R1190)),R_DG!A1190,"NONE")</f>
        <v>XATUTI</v>
      </c>
      <c r="B1316" s="85">
        <f ca="1">IF(K1316&gt;0,COUNTIF(K$6:K1316,"&gt;0"),B1315)</f>
        <v>36</v>
      </c>
      <c r="C1316" s="1084" t="str">
        <f t="shared" si="200"/>
        <v>Xà kẹp TU, TI U50x32x4x350</v>
      </c>
      <c r="D1316" s="85" t="str">
        <f t="shared" si="201"/>
        <v>Bộ</v>
      </c>
      <c r="E1316" s="448">
        <f ca="1">SUMIF(OFFSET(tongctvtdd1,0,-(COLUMN(E1316)+7-(COLUMN(E1316)-5)/2)),KLVT!$A1316,tongctvtdd1)+SUMIF(OFFSET(tongctvtpk1,0,-(COLUMN(E1316)+7-(COLUMN(E1316)-5)/2)),KLVT!$A1316,tongctvtpk1)</f>
        <v>0</v>
      </c>
      <c r="F1316" s="449">
        <f ca="1">SUMIF(OFFSET(cttba_vlvt1_1,0,-9,-ROW(cttba_vlvt1_1)+ROW(cttba_vltb1_1)-10),KLVT!$A1316,OFFSET(cttba_vlvt1_1,0,-4,-ROW(cttba_vlvt1_1)+ROW(cttba_vltb1_1)-10))</f>
        <v>0</v>
      </c>
      <c r="G1316" s="451">
        <f t="shared" ca="1" si="202"/>
        <v>0</v>
      </c>
      <c r="H1316" s="450">
        <f t="shared" si="206"/>
        <v>2</v>
      </c>
      <c r="I1316" s="447">
        <f t="shared" ca="1" si="203"/>
        <v>0</v>
      </c>
      <c r="J1316" s="447">
        <f t="shared" ca="1" si="204"/>
        <v>0</v>
      </c>
      <c r="K1316" s="373">
        <f t="shared" ca="1" si="205"/>
        <v>0</v>
      </c>
    </row>
    <row r="1317" spans="1:11" s="373" customFormat="1" ht="15.75" hidden="1">
      <c r="A1317" s="373" t="str">
        <f>IF(AND(COUNTIF($A$5:$A$133,R_DG!A1191)=0,R_DG!R1191&gt;0,ISNUMBER(R_DG!R1191)),R_DG!A1191,"NONE")</f>
        <v>L26-3</v>
      </c>
      <c r="B1317" s="85">
        <f ca="1">IF(K1317&gt;0,COUNTIF(K$6:K1317,"&gt;0"),B1316)</f>
        <v>36</v>
      </c>
      <c r="C1317" s="1084" t="str">
        <f t="shared" si="200"/>
        <v>Đà sắt L75x75x8x2600 3 ốp (25,35kg/cái)</v>
      </c>
      <c r="D1317" s="85" t="str">
        <f t="shared" si="201"/>
        <v>cái</v>
      </c>
      <c r="E1317" s="448">
        <f ca="1">SUMIF(OFFSET(tongctvtdd1,0,-(COLUMN(E1317)+7-(COLUMN(E1317)-5)/2)),KLVT!$A1317,tongctvtdd1)+SUMIF(OFFSET(tongctvtpk1,0,-(COLUMN(E1317)+7-(COLUMN(E1317)-5)/2)),KLVT!$A1317,tongctvtpk1)</f>
        <v>0</v>
      </c>
      <c r="F1317" s="449">
        <f ca="1">SUMIF(OFFSET(cttba_vlvt1_1,0,-9,-ROW(cttba_vlvt1_1)+ROW(cttba_vltb1_1)-10),KLVT!$A1317,OFFSET(cttba_vlvt1_1,0,-4,-ROW(cttba_vlvt1_1)+ROW(cttba_vltb1_1)-10))</f>
        <v>0</v>
      </c>
      <c r="G1317" s="451">
        <f t="shared" ca="1" si="202"/>
        <v>0</v>
      </c>
      <c r="H1317" s="450">
        <f t="shared" si="206"/>
        <v>1</v>
      </c>
      <c r="I1317" s="447">
        <f t="shared" ca="1" si="203"/>
        <v>0</v>
      </c>
      <c r="J1317" s="447">
        <f t="shared" ca="1" si="204"/>
        <v>0</v>
      </c>
      <c r="K1317" s="373">
        <f t="shared" ca="1" si="205"/>
        <v>0</v>
      </c>
    </row>
    <row r="1318" spans="1:11" s="373" customFormat="1" ht="15.75" hidden="1">
      <c r="A1318" s="373" t="str">
        <f>IF(AND(COUNTIF($A$5:$A$133,R_DG!A1192)=0,R_DG!R1192&gt;0,ISNUMBER(R_DG!R1192)),R_DG!A1192,"NONE")</f>
        <v>L26</v>
      </c>
      <c r="B1318" s="85">
        <f ca="1">IF(K1318&gt;0,COUNTIF(K$6:K1318,"&gt;0"),B1317)</f>
        <v>36</v>
      </c>
      <c r="C1318" s="1084" t="str">
        <f t="shared" si="200"/>
        <v>Đà sắt L75x75x8x2600 0 ốp (23,45kg/cái)</v>
      </c>
      <c r="D1318" s="85" t="str">
        <f t="shared" si="201"/>
        <v>cái</v>
      </c>
      <c r="E1318" s="448">
        <f ca="1">SUMIF(OFFSET(tongctvtdd1,0,-(COLUMN(E1318)+7-(COLUMN(E1318)-5)/2)),KLVT!$A1318,tongctvtdd1)+SUMIF(OFFSET(tongctvtpk1,0,-(COLUMN(E1318)+7-(COLUMN(E1318)-5)/2)),KLVT!$A1318,tongctvtpk1)</f>
        <v>0</v>
      </c>
      <c r="F1318" s="449">
        <f ca="1">SUMIF(OFFSET(cttba_vlvt1_1,0,-9,-ROW(cttba_vlvt1_1)+ROW(cttba_vltb1_1)-10),KLVT!$A1318,OFFSET(cttba_vlvt1_1,0,-4,-ROW(cttba_vlvt1_1)+ROW(cttba_vltb1_1)-10))</f>
        <v>0</v>
      </c>
      <c r="G1318" s="451">
        <f t="shared" ca="1" si="202"/>
        <v>0</v>
      </c>
      <c r="H1318" s="450">
        <f t="shared" si="206"/>
        <v>1</v>
      </c>
      <c r="I1318" s="447">
        <f t="shared" ca="1" si="203"/>
        <v>0</v>
      </c>
      <c r="J1318" s="447">
        <f t="shared" ca="1" si="204"/>
        <v>0</v>
      </c>
      <c r="K1318" s="373">
        <f t="shared" ca="1" si="205"/>
        <v>0</v>
      </c>
    </row>
    <row r="1319" spans="1:11" s="373" customFormat="1" hidden="1">
      <c r="A1319" s="373" t="str">
        <f>IF(AND(COUNTIF($A$5:$A$133,R_DG!A1193)=0,R_DG!R1193&gt;0,ISNUMBER(R_DG!R1193)),R_DG!A1193,"NONE")</f>
        <v>L22</v>
      </c>
      <c r="B1319" s="85">
        <f ca="1">IF(K1319&gt;0,COUNTIF(K$6:K1319,"&gt;0"),B1318)</f>
        <v>36</v>
      </c>
      <c r="C1319" s="1084" t="str">
        <f t="shared" si="200"/>
        <v>Đà sắt L75x75x8x2200 4 ốp (22,37kg/cái)</v>
      </c>
      <c r="D1319" s="85" t="str">
        <f t="shared" si="201"/>
        <v>cái</v>
      </c>
      <c r="E1319" s="448">
        <f ca="1">SUMIF(OFFSET(tongctvtdd1,0,-(COLUMN(E1319)+7-(COLUMN(E1319)-5)/2)),KLVT!$A1319,tongctvtdd1)+SUMIF(OFFSET(tongctvtpk1,0,-(COLUMN(E1319)+7-(COLUMN(E1319)-5)/2)),KLVT!$A1319,tongctvtpk1)</f>
        <v>0</v>
      </c>
      <c r="F1319" s="449">
        <f ca="1">SUMIF(OFFSET(cttba_vlvt1_1,0,-9,-ROW(cttba_vlvt1_1)+ROW(cttba_vltb1_1)-10),KLVT!$A1319,OFFSET(cttba_vlvt1_1,0,-4,-ROW(cttba_vlvt1_1)+ROW(cttba_vltb1_1)-10))</f>
        <v>0</v>
      </c>
      <c r="G1319" s="451">
        <f t="shared" ca="1" si="202"/>
        <v>0</v>
      </c>
      <c r="H1319" s="450">
        <f t="shared" si="206"/>
        <v>1</v>
      </c>
      <c r="I1319" s="447">
        <f t="shared" ca="1" si="203"/>
        <v>0</v>
      </c>
      <c r="J1319" s="447">
        <f t="shared" ca="1" si="204"/>
        <v>0</v>
      </c>
      <c r="K1319" s="1094">
        <f t="shared" ca="1" si="205"/>
        <v>0</v>
      </c>
    </row>
    <row r="1320" spans="1:11" s="373" customFormat="1" hidden="1">
      <c r="A1320" s="373" t="str">
        <f>IF(AND(COUNTIF($A$5:$A$133,R_DG!A1194)=0,R_DG!R1194&gt;0,ISNUMBER(R_DG!R1194)),R_DG!A1194,"NONE")</f>
        <v>L21</v>
      </c>
      <c r="B1320" s="85">
        <f ca="1">IF(K1320&gt;0,COUNTIF(K$6:K1320,"&gt;0"),B1319)</f>
        <v>36</v>
      </c>
      <c r="C1320" s="1084" t="str">
        <f t="shared" si="200"/>
        <v>Đà sắt L75x75x8x2100 lệch 100% 3 ốp (20,84kg/cái)</v>
      </c>
      <c r="D1320" s="85" t="str">
        <f t="shared" si="201"/>
        <v>cái</v>
      </c>
      <c r="E1320" s="448">
        <f ca="1">SUMIF(OFFSET(tongctvtdd1,0,-(COLUMN(E1320)+7-(COLUMN(E1320)-5)/2)),KLVT!$A1320,tongctvtdd1)+SUMIF(OFFSET(tongctvtpk1,0,-(COLUMN(E1320)+7-(COLUMN(E1320)-5)/2)),KLVT!$A1320,tongctvtpk1)</f>
        <v>0</v>
      </c>
      <c r="F1320" s="449">
        <f ca="1">SUMIF(OFFSET(cttba_vlvt1_1,0,-9,-ROW(cttba_vlvt1_1)+ROW(cttba_vltb1_1)-10),KLVT!$A1320,OFFSET(cttba_vlvt1_1,0,-4,-ROW(cttba_vlvt1_1)+ROW(cttba_vltb1_1)-10))</f>
        <v>0</v>
      </c>
      <c r="G1320" s="451">
        <f t="shared" ca="1" si="202"/>
        <v>0</v>
      </c>
      <c r="H1320" s="450">
        <f t="shared" si="206"/>
        <v>1</v>
      </c>
      <c r="I1320" s="447">
        <f t="shared" ca="1" si="203"/>
        <v>0</v>
      </c>
      <c r="J1320" s="447">
        <f t="shared" ca="1" si="204"/>
        <v>0</v>
      </c>
      <c r="K1320" s="1095">
        <f t="shared" ca="1" si="205"/>
        <v>0</v>
      </c>
    </row>
    <row r="1321" spans="1:11" s="373" customFormat="1" ht="15.75" hidden="1">
      <c r="A1321" s="373" t="str">
        <f>IF(AND(COUNTIF($A$5:$A$133,R_DG!A1195)=0,R_DG!R1195&gt;0,ISNUMBER(R_DG!R1195)),R_DG!A1195,"NONE")</f>
        <v>L20</v>
      </c>
      <c r="B1321" s="85">
        <f ca="1">IF(K1321&gt;0,COUNTIF(K$6:K1321,"&gt;0"),B1320)</f>
        <v>36</v>
      </c>
      <c r="C1321" s="1084" t="str">
        <f t="shared" si="200"/>
        <v>Đà sắt L75x75x8x2000 lệch 2/3 3 ốp (19,93kg/cái)</v>
      </c>
      <c r="D1321" s="85" t="str">
        <f t="shared" si="201"/>
        <v>cái</v>
      </c>
      <c r="E1321" s="448">
        <f ca="1">SUMIF(OFFSET(tongctvtdd1,0,-(COLUMN(E1321)+7-(COLUMN(E1321)-5)/2)),KLVT!$A1321,tongctvtdd1)+SUMIF(OFFSET(tongctvtpk1,0,-(COLUMN(E1321)+7-(COLUMN(E1321)-5)/2)),KLVT!$A1321,tongctvtpk1)</f>
        <v>0</v>
      </c>
      <c r="F1321" s="449">
        <f ca="1">SUMIF(OFFSET(cttba_vlvt1_1,0,-9,-ROW(cttba_vlvt1_1)+ROW(cttba_vltb1_1)-10),KLVT!$A1321,OFFSET(cttba_vlvt1_1,0,-4,-ROW(cttba_vlvt1_1)+ROW(cttba_vltb1_1)-10))</f>
        <v>0</v>
      </c>
      <c r="G1321" s="451">
        <f t="shared" ca="1" si="202"/>
        <v>0</v>
      </c>
      <c r="H1321" s="450">
        <f t="shared" si="206"/>
        <v>1</v>
      </c>
      <c r="I1321" s="447">
        <f t="shared" ca="1" si="203"/>
        <v>0</v>
      </c>
      <c r="J1321" s="447">
        <f t="shared" ca="1" si="204"/>
        <v>0</v>
      </c>
      <c r="K1321" s="373">
        <f t="shared" ca="1" si="205"/>
        <v>0</v>
      </c>
    </row>
    <row r="1322" spans="1:11" s="373" customFormat="1" ht="15.75" hidden="1">
      <c r="A1322" s="373" t="str">
        <f>IF(AND(COUNTIF($A$5:$A$133,R_DG!A1196)=0,R_DG!R1196&gt;0,ISNUMBER(R_DG!R1196)),R_DG!A1196,"NONE")</f>
        <v>L166</v>
      </c>
      <c r="B1322" s="85">
        <f ca="1">IF(K1322&gt;0,COUNTIF(K$6:K1322,"&gt;0"),B1321)</f>
        <v>36</v>
      </c>
      <c r="C1322" s="1084" t="str">
        <f t="shared" si="200"/>
        <v>Đà sắt L75x75x8x1660 2 ốp (16,24kg/cái)</v>
      </c>
      <c r="D1322" s="85" t="str">
        <f t="shared" si="201"/>
        <v>cái</v>
      </c>
      <c r="E1322" s="448">
        <f ca="1">SUMIF(OFFSET(tongctvtdd1,0,-(COLUMN(E1322)+7-(COLUMN(E1322)-5)/2)),KLVT!$A1322,tongctvtdd1)+SUMIF(OFFSET(tongctvtpk1,0,-(COLUMN(E1322)+7-(COLUMN(E1322)-5)/2)),KLVT!$A1322,tongctvtpk1)</f>
        <v>0</v>
      </c>
      <c r="F1322" s="449">
        <f ca="1">SUMIF(OFFSET(cttba_vlvt1_1,0,-9,-ROW(cttba_vlvt1_1)+ROW(cttba_vltb1_1)-10),KLVT!$A1322,OFFSET(cttba_vlvt1_1,0,-4,-ROW(cttba_vlvt1_1)+ROW(cttba_vltb1_1)-10))</f>
        <v>0</v>
      </c>
      <c r="G1322" s="451">
        <f t="shared" ca="1" si="202"/>
        <v>0</v>
      </c>
      <c r="H1322" s="450">
        <f t="shared" si="206"/>
        <v>1</v>
      </c>
      <c r="I1322" s="447">
        <f t="shared" ca="1" si="203"/>
        <v>0</v>
      </c>
      <c r="J1322" s="447">
        <f t="shared" ca="1" si="204"/>
        <v>0</v>
      </c>
      <c r="K1322" s="374">
        <f t="shared" ca="1" si="205"/>
        <v>0</v>
      </c>
    </row>
    <row r="1323" spans="1:11" s="373" customFormat="1" ht="15.75" hidden="1">
      <c r="A1323" s="373" t="str">
        <f>IF(AND(COUNTIF($A$5:$A$133,R_DG!A1197)=0,R_DG!R1197&gt;0,ISNUMBER(R_DG!R1197)),R_DG!A1197,"NONE")</f>
        <v>L08</v>
      </c>
      <c r="B1323" s="85">
        <f ca="1">IF(K1323&gt;0,COUNTIF(K$6:K1323,"&gt;0"),B1322)</f>
        <v>36</v>
      </c>
      <c r="C1323" s="1084" t="str">
        <f t="shared" si="200"/>
        <v>Đà sắt L75x75x8x800 1 ốp (7,85kg/cái)</v>
      </c>
      <c r="D1323" s="85" t="str">
        <f t="shared" si="201"/>
        <v>cái</v>
      </c>
      <c r="E1323" s="448">
        <f ca="1">SUMIF(OFFSET(tongctvtdd1,0,-(COLUMN(E1323)+7-(COLUMN(E1323)-5)/2)),KLVT!$A1323,tongctvtdd1)+SUMIF(OFFSET(tongctvtpk1,0,-(COLUMN(E1323)+7-(COLUMN(E1323)-5)/2)),KLVT!$A1323,tongctvtpk1)</f>
        <v>0</v>
      </c>
      <c r="F1323" s="449">
        <f ca="1">SUMIF(OFFSET(cttba_vlvt1_1,0,-9,-ROW(cttba_vlvt1_1)+ROW(cttba_vltb1_1)-10),KLVT!$A1323,OFFSET(cttba_vlvt1_1,0,-4,-ROW(cttba_vlvt1_1)+ROW(cttba_vltb1_1)-10))</f>
        <v>0</v>
      </c>
      <c r="G1323" s="451">
        <f t="shared" ca="1" si="202"/>
        <v>0</v>
      </c>
      <c r="H1323" s="450">
        <f t="shared" si="206"/>
        <v>1</v>
      </c>
      <c r="I1323" s="447">
        <f t="shared" ca="1" si="203"/>
        <v>0</v>
      </c>
      <c r="J1323" s="447">
        <f t="shared" ca="1" si="204"/>
        <v>0</v>
      </c>
      <c r="K1323" s="373">
        <f t="shared" ca="1" si="205"/>
        <v>0</v>
      </c>
    </row>
    <row r="1324" spans="1:11" s="373" customFormat="1" hidden="1">
      <c r="A1324" s="373" t="str">
        <f>IF(AND(COUNTIF($A$5:$A$133,R_DG!A1198)=0,R_DG!R1198&gt;0,ISNUMBER(R_DG!R1198)),R_DG!A1198,"NONE")</f>
        <v>C800</v>
      </c>
      <c r="B1324" s="85">
        <f ca="1">IF(K1324&gt;0,COUNTIF(K$6:K1324,"&gt;0"),B1323)</f>
        <v>36</v>
      </c>
      <c r="C1324" s="1084" t="str">
        <f t="shared" si="200"/>
        <v>Thanh chống L50x50x5x810 (2,47kg/cái)</v>
      </c>
      <c r="D1324" s="85" t="str">
        <f t="shared" si="201"/>
        <v>cái</v>
      </c>
      <c r="E1324" s="448">
        <f ca="1">SUMIF(OFFSET(tongctvtdd1,0,-(COLUMN(E1324)+7-(COLUMN(E1324)-5)/2)),KLVT!$A1324,tongctvtdd1)+SUMIF(OFFSET(tongctvtpk1,0,-(COLUMN(E1324)+7-(COLUMN(E1324)-5)/2)),KLVT!$A1324,tongctvtpk1)</f>
        <v>0</v>
      </c>
      <c r="F1324" s="449">
        <f ca="1">SUMIF(OFFSET(cttba_vlvt1_1,0,-9,-ROW(cttba_vlvt1_1)+ROW(cttba_vltb1_1)-10),KLVT!$A1324,OFFSET(cttba_vlvt1_1,0,-4,-ROW(cttba_vlvt1_1)+ROW(cttba_vltb1_1)-10))</f>
        <v>0</v>
      </c>
      <c r="G1324" s="451">
        <f t="shared" ca="1" si="202"/>
        <v>0</v>
      </c>
      <c r="H1324" s="450">
        <f t="shared" si="206"/>
        <v>1</v>
      </c>
      <c r="I1324" s="447">
        <f t="shared" ca="1" si="203"/>
        <v>0</v>
      </c>
      <c r="J1324" s="447">
        <f t="shared" ca="1" si="204"/>
        <v>0</v>
      </c>
      <c r="K1324" s="1094">
        <f t="shared" ca="1" si="205"/>
        <v>0</v>
      </c>
    </row>
    <row r="1325" spans="1:11" s="373" customFormat="1" ht="15.75" hidden="1">
      <c r="A1325" s="373" t="str">
        <f>IF(AND(COUNTIF($A$5:$A$133,R_DG!A1199)=0,R_DG!R1199&gt;0,ISNUMBER(R_DG!R1199)),R_DG!A1199,"NONE")</f>
        <v>C920</v>
      </c>
      <c r="B1325" s="85">
        <f ca="1">IF(K1325&gt;0,COUNTIF(K$6:K1325,"&gt;0"),B1324)</f>
        <v>36</v>
      </c>
      <c r="C1325" s="1084" t="str">
        <f t="shared" si="200"/>
        <v>Thanh chống L50x50x5x920 (2,81kg/cái)</v>
      </c>
      <c r="D1325" s="85" t="str">
        <f t="shared" si="201"/>
        <v>cái</v>
      </c>
      <c r="E1325" s="448">
        <f ca="1">SUMIF(OFFSET(tongctvtdd1,0,-(COLUMN(E1325)+7-(COLUMN(E1325)-5)/2)),KLVT!$A1325,tongctvtdd1)+SUMIF(OFFSET(tongctvtpk1,0,-(COLUMN(E1325)+7-(COLUMN(E1325)-5)/2)),KLVT!$A1325,tongctvtpk1)</f>
        <v>0</v>
      </c>
      <c r="F1325" s="449">
        <f ca="1">SUMIF(OFFSET(cttba_vlvt1_1,0,-9,-ROW(cttba_vlvt1_1)+ROW(cttba_vltb1_1)-10),KLVT!$A1325,OFFSET(cttba_vlvt1_1,0,-4,-ROW(cttba_vlvt1_1)+ROW(cttba_vltb1_1)-10))</f>
        <v>0</v>
      </c>
      <c r="G1325" s="451">
        <f t="shared" ca="1" si="202"/>
        <v>0</v>
      </c>
      <c r="H1325" s="450">
        <f t="shared" si="206"/>
        <v>1</v>
      </c>
      <c r="I1325" s="447">
        <f t="shared" ca="1" si="203"/>
        <v>0</v>
      </c>
      <c r="J1325" s="447">
        <f t="shared" ca="1" si="204"/>
        <v>0</v>
      </c>
      <c r="K1325" s="373">
        <f t="shared" ca="1" si="205"/>
        <v>0</v>
      </c>
    </row>
    <row r="1326" spans="1:11" s="373" customFormat="1" ht="15.75" hidden="1">
      <c r="A1326" s="373" t="str">
        <f>IF(AND(COUNTIF($A$5:$A$133,R_DG!A1200)=0,R_DG!R1200&gt;0,ISNUMBER(R_DG!R1200)),R_DG!A1200,"NONE")</f>
        <v>C710</v>
      </c>
      <c r="B1326" s="85">
        <f ca="1">IF(K1326&gt;0,COUNTIF(K$6:K1326,"&gt;0"),B1325)</f>
        <v>36</v>
      </c>
      <c r="C1326" s="1084" t="str">
        <f t="shared" si="200"/>
        <v>Thanh chống L50x50x5x710 (2,17kg/cái)</v>
      </c>
      <c r="D1326" s="85" t="str">
        <f t="shared" si="201"/>
        <v>cái</v>
      </c>
      <c r="E1326" s="448">
        <f ca="1">SUMIF(OFFSET(tongctvtdd1,0,-(COLUMN(E1326)+7-(COLUMN(E1326)-5)/2)),KLVT!$A1326,tongctvtdd1)+SUMIF(OFFSET(tongctvtpk1,0,-(COLUMN(E1326)+7-(COLUMN(E1326)-5)/2)),KLVT!$A1326,tongctvtpk1)</f>
        <v>0</v>
      </c>
      <c r="F1326" s="449">
        <f ca="1">SUMIF(OFFSET(cttba_vlvt1_1,0,-9,-ROW(cttba_vlvt1_1)+ROW(cttba_vltb1_1)-10),KLVT!$A1326,OFFSET(cttba_vlvt1_1,0,-4,-ROW(cttba_vlvt1_1)+ROW(cttba_vltb1_1)-10))</f>
        <v>0</v>
      </c>
      <c r="G1326" s="451">
        <f t="shared" ca="1" si="202"/>
        <v>0</v>
      </c>
      <c r="H1326" s="450">
        <f t="shared" si="206"/>
        <v>1</v>
      </c>
      <c r="I1326" s="447">
        <f t="shared" ca="1" si="203"/>
        <v>0</v>
      </c>
      <c r="J1326" s="447">
        <f t="shared" ca="1" si="204"/>
        <v>0</v>
      </c>
      <c r="K1326" s="373">
        <f t="shared" ca="1" si="205"/>
        <v>0</v>
      </c>
    </row>
    <row r="1327" spans="1:11" s="373" customFormat="1" hidden="1">
      <c r="A1327" s="373" t="str">
        <f>IF(AND(COUNTIF($A$5:$A$133,R_DG!A1201)=0,R_DG!R1201&gt;0,ISNUMBER(R_DG!R1201)),R_DG!A1201,"NONE")</f>
        <v>C1990</v>
      </c>
      <c r="B1327" s="85">
        <f ca="1">IF(K1327&gt;0,COUNTIF(K$6:K1327,"&gt;0"),B1326)</f>
        <v>36</v>
      </c>
      <c r="C1327" s="1084" t="str">
        <f t="shared" si="200"/>
        <v>Thanh chống L50x50x5x1990 (6,07kg/cái)</v>
      </c>
      <c r="D1327" s="85" t="str">
        <f t="shared" si="201"/>
        <v>cái</v>
      </c>
      <c r="E1327" s="448">
        <f ca="1">SUMIF(OFFSET(tongctvtdd1,0,-(COLUMN(E1327)+7-(COLUMN(E1327)-5)/2)),KLVT!$A1327,tongctvtdd1)+SUMIF(OFFSET(tongctvtpk1,0,-(COLUMN(E1327)+7-(COLUMN(E1327)-5)/2)),KLVT!$A1327,tongctvtpk1)</f>
        <v>0</v>
      </c>
      <c r="F1327" s="449">
        <f ca="1">SUMIF(OFFSET(cttba_vlvt1_1,0,-9,-ROW(cttba_vlvt1_1)+ROW(cttba_vltb1_1)-10),KLVT!$A1327,OFFSET(cttba_vlvt1_1,0,-4,-ROW(cttba_vlvt1_1)+ROW(cttba_vltb1_1)-10))</f>
        <v>0</v>
      </c>
      <c r="G1327" s="451">
        <f t="shared" ca="1" si="202"/>
        <v>0</v>
      </c>
      <c r="H1327" s="450">
        <f t="shared" si="206"/>
        <v>1</v>
      </c>
      <c r="I1327" s="447">
        <f t="shared" ca="1" si="203"/>
        <v>0</v>
      </c>
      <c r="J1327" s="447">
        <f t="shared" ca="1" si="204"/>
        <v>0</v>
      </c>
      <c r="K1327" s="1095">
        <f t="shared" ca="1" si="205"/>
        <v>0</v>
      </c>
    </row>
    <row r="1328" spans="1:11" s="373" customFormat="1" ht="15.75" hidden="1">
      <c r="A1328" s="373" t="str">
        <f>IF(AND(COUNTIF($A$5:$A$133,R_DG!A1202)=0,R_DG!R1202&gt;0,ISNUMBER(R_DG!R1202)),R_DG!A1202,"NONE")</f>
        <v>C1150</v>
      </c>
      <c r="B1328" s="85">
        <f ca="1">IF(K1328&gt;0,COUNTIF(K$6:K1328,"&gt;0"),B1327)</f>
        <v>36</v>
      </c>
      <c r="C1328" s="1084" t="str">
        <f t="shared" si="200"/>
        <v>Thanh chống L50x50x5x1150 (3,51kg/cái)</v>
      </c>
      <c r="D1328" s="85" t="str">
        <f t="shared" si="201"/>
        <v>cái</v>
      </c>
      <c r="E1328" s="448">
        <f ca="1">SUMIF(OFFSET(tongctvtdd1,0,-(COLUMN(E1328)+7-(COLUMN(E1328)-5)/2)),KLVT!$A1328,tongctvtdd1)+SUMIF(OFFSET(tongctvtpk1,0,-(COLUMN(E1328)+7-(COLUMN(E1328)-5)/2)),KLVT!$A1328,tongctvtpk1)</f>
        <v>0</v>
      </c>
      <c r="F1328" s="449">
        <f ca="1">SUMIF(OFFSET(cttba_vlvt1_1,0,-9,-ROW(cttba_vlvt1_1)+ROW(cttba_vltb1_1)-10),KLVT!$A1328,OFFSET(cttba_vlvt1_1,0,-4,-ROW(cttba_vlvt1_1)+ROW(cttba_vltb1_1)-10))</f>
        <v>0</v>
      </c>
      <c r="G1328" s="451">
        <f t="shared" ca="1" si="202"/>
        <v>0</v>
      </c>
      <c r="H1328" s="450">
        <f t="shared" si="206"/>
        <v>1</v>
      </c>
      <c r="I1328" s="447">
        <f t="shared" ca="1" si="203"/>
        <v>0</v>
      </c>
      <c r="J1328" s="447">
        <f t="shared" ca="1" si="204"/>
        <v>0</v>
      </c>
      <c r="K1328" s="373">
        <f t="shared" ca="1" si="205"/>
        <v>0</v>
      </c>
    </row>
    <row r="1329" spans="1:11" s="373" customFormat="1" ht="15.75" hidden="1">
      <c r="A1329" s="373" t="str">
        <f>IF(AND(COUNTIF($A$5:$A$133,R_DG!A1203)=0,R_DG!R1203&gt;0,ISNUMBER(R_DG!R1203)),R_DG!A1203,"NONE")</f>
        <v>L50x50x5</v>
      </c>
      <c r="B1329" s="85">
        <f ca="1">IF(K1329&gt;0,COUNTIF(K$6:K1329,"&gt;0"),B1328)</f>
        <v>36</v>
      </c>
      <c r="C1329" s="1084" t="str">
        <f t="shared" si="200"/>
        <v>Thép CT3 V50x50x5/Zn (3,05kg/m)</v>
      </c>
      <c r="D1329" s="85" t="str">
        <f t="shared" si="201"/>
        <v>kg</v>
      </c>
      <c r="E1329" s="448">
        <f ca="1">SUMIF(OFFSET(tongctvtdd1,0,-(COLUMN(E1329)+7-(COLUMN(E1329)-5)/2)),KLVT!$A1329,tongctvtdd1)+SUMIF(OFFSET(tongctvtpk1,0,-(COLUMN(E1329)+7-(COLUMN(E1329)-5)/2)),KLVT!$A1329,tongctvtpk1)</f>
        <v>0</v>
      </c>
      <c r="F1329" s="449">
        <f ca="1">SUMIF(OFFSET(cttba_vlvt1_1,0,-9,-ROW(cttba_vlvt1_1)+ROW(cttba_vltb1_1)-10),KLVT!$A1329,OFFSET(cttba_vlvt1_1,0,-4,-ROW(cttba_vlvt1_1)+ROW(cttba_vltb1_1)-10))</f>
        <v>0</v>
      </c>
      <c r="G1329" s="451">
        <f t="shared" ca="1" si="202"/>
        <v>0</v>
      </c>
      <c r="H1329" s="450">
        <f t="shared" si="206"/>
        <v>1</v>
      </c>
      <c r="I1329" s="447">
        <f t="shared" ca="1" si="203"/>
        <v>0</v>
      </c>
      <c r="J1329" s="447">
        <f t="shared" ca="1" si="204"/>
        <v>0</v>
      </c>
      <c r="K1329" s="373">
        <f t="shared" ca="1" si="205"/>
        <v>0</v>
      </c>
    </row>
    <row r="1330" spans="1:11" s="373" customFormat="1" ht="15.75" hidden="1">
      <c r="A1330" s="373" t="str">
        <f>IF(AND(COUNTIF($A$5:$A$133,R_DG!A1204)=0,R_DG!R1204&gt;0,ISNUMBER(R_DG!R1204)),R_DG!A1204,"NONE")</f>
        <v>L50x5</v>
      </c>
      <c r="B1330" s="85">
        <f ca="1">IF(K1330&gt;0,COUNTIF(K$6:K1330,"&gt;0"),B1329)</f>
        <v>36</v>
      </c>
      <c r="C1330" s="1084" t="str">
        <f t="shared" si="200"/>
        <v>Thép CT3 dẹt 50x5/Zn (1,5kg/m)</v>
      </c>
      <c r="D1330" s="85" t="str">
        <f t="shared" si="201"/>
        <v>kg</v>
      </c>
      <c r="E1330" s="448">
        <f ca="1">SUMIF(OFFSET(tongctvtdd1,0,-(COLUMN(E1330)+7-(COLUMN(E1330)-5)/2)),KLVT!$A1330,tongctvtdd1)+SUMIF(OFFSET(tongctvtpk1,0,-(COLUMN(E1330)+7-(COLUMN(E1330)-5)/2)),KLVT!$A1330,tongctvtpk1)</f>
        <v>0</v>
      </c>
      <c r="F1330" s="449">
        <f ca="1">SUMIF(OFFSET(cttba_vlvt1_1,0,-9,-ROW(cttba_vlvt1_1)+ROW(cttba_vltb1_1)-10),KLVT!$A1330,OFFSET(cttba_vlvt1_1,0,-4,-ROW(cttba_vlvt1_1)+ROW(cttba_vltb1_1)-10))</f>
        <v>0</v>
      </c>
      <c r="G1330" s="451">
        <f t="shared" ca="1" si="202"/>
        <v>0</v>
      </c>
      <c r="H1330" s="450">
        <f t="shared" si="206"/>
        <v>1</v>
      </c>
      <c r="I1330" s="447">
        <f t="shared" ca="1" si="203"/>
        <v>0</v>
      </c>
      <c r="J1330" s="447">
        <f t="shared" ca="1" si="204"/>
        <v>0</v>
      </c>
      <c r="K1330" s="373">
        <f t="shared" ca="1" si="205"/>
        <v>0</v>
      </c>
    </row>
    <row r="1331" spans="1:11" s="373" customFormat="1" ht="15.75" hidden="1">
      <c r="A1331" s="373" t="str">
        <f>IF(AND(COUNTIF($A$5:$A$133,R_DG!A1205)=0,R_DG!R1205&gt;0,ISNUMBER(R_DG!R1205)),R_DG!A1205,"NONE")</f>
        <v>AK1</v>
      </c>
      <c r="B1331" s="85">
        <f ca="1">IF(K1331&gt;0,COUNTIF(K$6:K1331,"&gt;0"),B1330)</f>
        <v>36</v>
      </c>
      <c r="C1331" s="1084" t="str">
        <f t="shared" si="200"/>
        <v xml:space="preserve">Ampe kế 100/5A-600v +AS </v>
      </c>
      <c r="D1331" s="85" t="str">
        <f t="shared" si="201"/>
        <v>Bộ</v>
      </c>
      <c r="E1331" s="448">
        <f ca="1">SUMIF(OFFSET(tongctvtdd1,0,-(COLUMN(E1331)+7-(COLUMN(E1331)-5)/2)),KLVT!$A1331,tongctvtdd1)+SUMIF(OFFSET(tongctvtpk1,0,-(COLUMN(E1331)+7-(COLUMN(E1331)-5)/2)),KLVT!$A1331,tongctvtpk1)</f>
        <v>0</v>
      </c>
      <c r="F1331" s="449">
        <f ca="1">SUMIF(OFFSET(cttba_vlvt1_1,0,-9,-ROW(cttba_vlvt1_1)+ROW(cttba_vltb1_1)-10),KLVT!$A1331,OFFSET(cttba_vlvt1_1,0,-4,-ROW(cttba_vlvt1_1)+ROW(cttba_vltb1_1)-10))</f>
        <v>0</v>
      </c>
      <c r="G1331" s="451">
        <f t="shared" ca="1" si="202"/>
        <v>0</v>
      </c>
      <c r="H1331" s="450">
        <f t="shared" si="206"/>
        <v>1</v>
      </c>
      <c r="I1331" s="447">
        <f t="shared" ca="1" si="203"/>
        <v>0</v>
      </c>
      <c r="J1331" s="447">
        <f t="shared" ca="1" si="204"/>
        <v>0</v>
      </c>
      <c r="K1331" s="373">
        <f t="shared" ca="1" si="205"/>
        <v>0</v>
      </c>
    </row>
    <row r="1332" spans="1:11" s="373" customFormat="1" ht="15.75" hidden="1">
      <c r="A1332" s="373" t="str">
        <f>IF(AND(COUNTIF($A$5:$A$133,R_DG!A1206)=0,R_DG!R1206&gt;0,ISNUMBER(R_DG!R1206)),R_DG!A1206,"NONE")</f>
        <v>VK1</v>
      </c>
      <c r="B1332" s="85">
        <f ca="1">IF(K1332&gt;0,COUNTIF(K$6:K1332,"&gt;0"),B1331)</f>
        <v>36</v>
      </c>
      <c r="C1332" s="1084" t="str">
        <f t="shared" ref="C1332:C1395" si="207">VLOOKUP(A1332,DONGIA,3,0)</f>
        <v>Volt kế 500V + VS + 2xChì ống 1A-230V</v>
      </c>
      <c r="D1332" s="85" t="str">
        <f t="shared" ref="D1332:D1395" si="208">VLOOKUP(A1332,DONGIA,4,0)</f>
        <v>Bộ</v>
      </c>
      <c r="E1332" s="448">
        <f ca="1">SUMIF(OFFSET(tongctvtdd1,0,-(COLUMN(E1332)+7-(COLUMN(E1332)-5)/2)),KLVT!$A1332,tongctvtdd1)+SUMIF(OFFSET(tongctvtpk1,0,-(COLUMN(E1332)+7-(COLUMN(E1332)-5)/2)),KLVT!$A1332,tongctvtpk1)</f>
        <v>0</v>
      </c>
      <c r="F1332" s="449">
        <f ca="1">SUMIF(OFFSET(cttba_vlvt1_1,0,-9,-ROW(cttba_vlvt1_1)+ROW(cttba_vltb1_1)-10),KLVT!$A1332,OFFSET(cttba_vlvt1_1,0,-4,-ROW(cttba_vlvt1_1)+ROW(cttba_vltb1_1)-10))</f>
        <v>0</v>
      </c>
      <c r="G1332" s="451">
        <f t="shared" ref="G1332:G1395" ca="1" si="209">SUM(E1332:F1332)</f>
        <v>0</v>
      </c>
      <c r="H1332" s="450">
        <f t="shared" si="206"/>
        <v>1</v>
      </c>
      <c r="I1332" s="447">
        <f t="shared" ref="I1332:I1395" ca="1" si="210">E1332*$H1332</f>
        <v>0</v>
      </c>
      <c r="J1332" s="447">
        <f t="shared" ref="J1332:J1395" ca="1" si="211">F1332*$H1332</f>
        <v>0</v>
      </c>
      <c r="K1332" s="373">
        <f t="shared" ref="K1332:K1395" ca="1" si="212">IF(G1332&gt;0,1,0)</f>
        <v>0</v>
      </c>
    </row>
    <row r="1333" spans="1:11" s="373" customFormat="1" ht="15.75" hidden="1">
      <c r="A1333" s="373" t="str">
        <f>IF(AND(COUNTIF($A$5:$A$133,R_DG!A1207)=0,R_DG!R1207&gt;0,ISNUMBER(R_DG!R1207)),R_DG!A1207,"NONE")</f>
        <v>AVK1</v>
      </c>
      <c r="B1333" s="85">
        <f ca="1">IF(K1333&gt;0,COUNTIF(K$6:K1333,"&gt;0"),B1332)</f>
        <v>36</v>
      </c>
      <c r="C1333" s="1084" t="str">
        <f t="shared" si="207"/>
        <v>Bộ Ampe kế + Volt kế (trạm 1 pha)</v>
      </c>
      <c r="D1333" s="85" t="str">
        <f t="shared" si="208"/>
        <v>Bộ</v>
      </c>
      <c r="E1333" s="448">
        <f ca="1">SUMIF(OFFSET(tongctvtdd1,0,-(COLUMN(E1333)+7-(COLUMN(E1333)-5)/2)),KLVT!$A1333,tongctvtdd1)+SUMIF(OFFSET(tongctvtpk1,0,-(COLUMN(E1333)+7-(COLUMN(E1333)-5)/2)),KLVT!$A1333,tongctvtpk1)</f>
        <v>0</v>
      </c>
      <c r="F1333" s="449">
        <f ca="1">SUMIF(OFFSET(cttba_vlvt1_1,0,-9,-ROW(cttba_vlvt1_1)+ROW(cttba_vltb1_1)-10),KLVT!$A1333,OFFSET(cttba_vlvt1_1,0,-4,-ROW(cttba_vlvt1_1)+ROW(cttba_vltb1_1)-10))</f>
        <v>0</v>
      </c>
      <c r="G1333" s="451">
        <f t="shared" ca="1" si="209"/>
        <v>0</v>
      </c>
      <c r="H1333" s="450">
        <f t="shared" si="206"/>
        <v>2</v>
      </c>
      <c r="I1333" s="447">
        <f t="shared" ca="1" si="210"/>
        <v>0</v>
      </c>
      <c r="J1333" s="447">
        <f t="shared" ca="1" si="211"/>
        <v>0</v>
      </c>
      <c r="K1333" s="373">
        <f t="shared" ca="1" si="212"/>
        <v>0</v>
      </c>
    </row>
    <row r="1334" spans="1:11" s="373" customFormat="1" ht="15.75" hidden="1">
      <c r="A1334" s="373" t="str">
        <f>IF(AND(COUNTIF($A$5:$A$133,R_DG!A1208)=0,R_DG!R1208&gt;0,ISNUMBER(R_DG!R1208)),R_DG!A1208,"NONE")</f>
        <v>AVK3</v>
      </c>
      <c r="B1334" s="85">
        <f ca="1">IF(K1334&gt;0,COUNTIF(K$6:K1334,"&gt;0"),B1333)</f>
        <v>36</v>
      </c>
      <c r="C1334" s="1084" t="str">
        <f t="shared" si="207"/>
        <v>Bộ Ampe kế + Volt kế (trạm 3 pha)</v>
      </c>
      <c r="D1334" s="85" t="str">
        <f t="shared" si="208"/>
        <v>Bộ</v>
      </c>
      <c r="E1334" s="448">
        <f ca="1">SUMIF(OFFSET(tongctvtdd1,0,-(COLUMN(E1334)+7-(COLUMN(E1334)-5)/2)),KLVT!$A1334,tongctvtdd1)+SUMIF(OFFSET(tongctvtpk1,0,-(COLUMN(E1334)+7-(COLUMN(E1334)-5)/2)),KLVT!$A1334,tongctvtpk1)</f>
        <v>0</v>
      </c>
      <c r="F1334" s="449">
        <f ca="1">SUMIF(OFFSET(cttba_vlvt1_1,0,-9,-ROW(cttba_vlvt1_1)+ROW(cttba_vltb1_1)-10),KLVT!$A1334,OFFSET(cttba_vlvt1_1,0,-4,-ROW(cttba_vlvt1_1)+ROW(cttba_vltb1_1)-10))</f>
        <v>0</v>
      </c>
      <c r="G1334" s="451">
        <f t="shared" ca="1" si="209"/>
        <v>0</v>
      </c>
      <c r="H1334" s="450">
        <f t="shared" si="206"/>
        <v>2</v>
      </c>
      <c r="I1334" s="447">
        <f t="shared" ca="1" si="210"/>
        <v>0</v>
      </c>
      <c r="J1334" s="447">
        <f t="shared" ca="1" si="211"/>
        <v>0</v>
      </c>
      <c r="K1334" s="373">
        <f t="shared" ca="1" si="212"/>
        <v>0</v>
      </c>
    </row>
    <row r="1335" spans="1:11" s="373" customFormat="1" ht="15.75" hidden="1">
      <c r="A1335" s="373" t="str">
        <f>IF(AND(COUNTIF($A$5:$A$133,R_DG!A1209)=0,R_DG!R1209&gt;0,ISNUMBER(R_DG!R1209)),R_DG!A1209,"NONE")</f>
        <v>AXETYLEN</v>
      </c>
      <c r="B1335" s="85">
        <f ca="1">IF(K1335&gt;0,COUNTIF(K$6:K1335,"&gt;0"),B1334)</f>
        <v>36</v>
      </c>
      <c r="C1335" s="1084" t="str">
        <f t="shared" si="207"/>
        <v>Hơi Axetylen</v>
      </c>
      <c r="D1335" s="85" t="str">
        <f t="shared" si="208"/>
        <v>m3</v>
      </c>
      <c r="E1335" s="448">
        <f ca="1">SUMIF(OFFSET(tongctvtdd1,0,-(COLUMN(E1335)+7-(COLUMN(E1335)-5)/2)),KLVT!$A1335,tongctvtdd1)+SUMIF(OFFSET(tongctvtpk1,0,-(COLUMN(E1335)+7-(COLUMN(E1335)-5)/2)),KLVT!$A1335,tongctvtpk1)</f>
        <v>0</v>
      </c>
      <c r="F1335" s="449">
        <f ca="1">SUMIF(OFFSET(cttba_vlvt1_1,0,-9,-ROW(cttba_vlvt1_1)+ROW(cttba_vltb1_1)-10),KLVT!$A1335,OFFSET(cttba_vlvt1_1,0,-4,-ROW(cttba_vlvt1_1)+ROW(cttba_vltb1_1)-10))</f>
        <v>0</v>
      </c>
      <c r="G1335" s="451">
        <f t="shared" ca="1" si="209"/>
        <v>0</v>
      </c>
      <c r="H1335" s="450">
        <f t="shared" si="206"/>
        <v>0.5</v>
      </c>
      <c r="I1335" s="447">
        <f t="shared" ca="1" si="210"/>
        <v>0</v>
      </c>
      <c r="J1335" s="447">
        <f t="shared" ca="1" si="211"/>
        <v>0</v>
      </c>
      <c r="K1335" s="373">
        <f t="shared" ca="1" si="212"/>
        <v>0</v>
      </c>
    </row>
    <row r="1336" spans="1:11" s="373" customFormat="1" ht="15.75" hidden="1">
      <c r="A1336" s="373" t="str">
        <f>IF(AND(COUNTIF($A$5:$A$133,R_DG!A1210)=0,R_DG!R1210&gt;0,ISNUMBER(R_DG!R1210)),R_DG!A1210,"NONE")</f>
        <v>GIP11-11</v>
      </c>
      <c r="B1336" s="85">
        <f ca="1">IF(K1336&gt;0,COUNTIF(K$6:K1336,"&gt;0"),B1335)</f>
        <v>36</v>
      </c>
      <c r="C1336" s="1084" t="str">
        <f t="shared" si="207"/>
        <v>Ghíp nối IPC 11-11 2BL</v>
      </c>
      <c r="D1336" s="85" t="str">
        <f t="shared" si="208"/>
        <v>cái</v>
      </c>
      <c r="E1336" s="448">
        <f ca="1">SUMIF(OFFSET(tongctvtdd1,0,-(COLUMN(E1336)+7-(COLUMN(E1336)-5)/2)),KLVT!$A1336,tongctvtdd1)+SUMIF(OFFSET(tongctvtpk1,0,-(COLUMN(E1336)+7-(COLUMN(E1336)-5)/2)),KLVT!$A1336,tongctvtpk1)</f>
        <v>0</v>
      </c>
      <c r="F1336" s="449">
        <f ca="1">SUMIF(OFFSET(cttba_vlvt1_1,0,-9,-ROW(cttba_vlvt1_1)+ROW(cttba_vltb1_1)-10),KLVT!$A1336,OFFSET(cttba_vlvt1_1,0,-4,-ROW(cttba_vlvt1_1)+ROW(cttba_vltb1_1)-10))</f>
        <v>0</v>
      </c>
      <c r="G1336" s="451">
        <f t="shared" ca="1" si="209"/>
        <v>0</v>
      </c>
      <c r="H1336" s="450">
        <f t="shared" si="206"/>
        <v>0.2</v>
      </c>
      <c r="I1336" s="447">
        <f t="shared" ca="1" si="210"/>
        <v>0</v>
      </c>
      <c r="J1336" s="447">
        <f t="shared" ca="1" si="211"/>
        <v>0</v>
      </c>
      <c r="K1336" s="373">
        <f t="shared" ca="1" si="212"/>
        <v>0</v>
      </c>
    </row>
    <row r="1337" spans="1:11" s="373" customFormat="1" ht="15.75" hidden="1">
      <c r="A1337" s="373" t="str">
        <f>IF(AND(COUNTIF($A$5:$A$133,R_DG!A1211)=0,R_DG!R1211&gt;0,ISNUMBER(R_DG!R1211)),R_DG!A1211,"NONE")</f>
        <v>GIP22-11</v>
      </c>
      <c r="B1337" s="85">
        <f ca="1">IF(K1337&gt;0,COUNTIF(K$6:K1337,"&gt;0"),B1336)</f>
        <v>36</v>
      </c>
      <c r="C1337" s="1084" t="str">
        <f t="shared" si="207"/>
        <v>Ghíp nối IPC 22-11 2BL</v>
      </c>
      <c r="D1337" s="85" t="str">
        <f t="shared" si="208"/>
        <v>cái</v>
      </c>
      <c r="E1337" s="448">
        <f ca="1">SUMIF(OFFSET(tongctvtdd1,0,-(COLUMN(E1337)+7-(COLUMN(E1337)-5)/2)),KLVT!$A1337,tongctvtdd1)+SUMIF(OFFSET(tongctvtpk1,0,-(COLUMN(E1337)+7-(COLUMN(E1337)-5)/2)),KLVT!$A1337,tongctvtpk1)</f>
        <v>0</v>
      </c>
      <c r="F1337" s="449">
        <f ca="1">SUMIF(OFFSET(cttba_vlvt1_1,0,-9,-ROW(cttba_vlvt1_1)+ROW(cttba_vltb1_1)-10),KLVT!$A1337,OFFSET(cttba_vlvt1_1,0,-4,-ROW(cttba_vlvt1_1)+ROW(cttba_vltb1_1)-10))</f>
        <v>0</v>
      </c>
      <c r="G1337" s="451">
        <f t="shared" ca="1" si="209"/>
        <v>0</v>
      </c>
      <c r="H1337" s="450">
        <f t="shared" si="206"/>
        <v>0.2</v>
      </c>
      <c r="I1337" s="447">
        <f t="shared" ca="1" si="210"/>
        <v>0</v>
      </c>
      <c r="J1337" s="447">
        <f t="shared" ca="1" si="211"/>
        <v>0</v>
      </c>
      <c r="K1337" s="373">
        <f t="shared" ca="1" si="212"/>
        <v>0</v>
      </c>
    </row>
    <row r="1338" spans="1:11" s="373" customFormat="1" ht="15.75" hidden="1">
      <c r="A1338" s="373" t="str">
        <f>IF(AND(COUNTIF($A$5:$A$133,R_DG!A1212)=0,R_DG!R1212&gt;0,ISNUMBER(R_DG!R1212)),R_DG!A1212,"NONE")</f>
        <v>GIP22-22</v>
      </c>
      <c r="B1338" s="85">
        <f ca="1">IF(K1338&gt;0,COUNTIF(K$6:K1338,"&gt;0"),B1337)</f>
        <v>36</v>
      </c>
      <c r="C1338" s="1084" t="str">
        <f t="shared" si="207"/>
        <v>Ghíp nối IPC 22-22 2BL</v>
      </c>
      <c r="D1338" s="85" t="str">
        <f t="shared" si="208"/>
        <v>cái</v>
      </c>
      <c r="E1338" s="448">
        <f ca="1">SUMIF(OFFSET(tongctvtdd1,0,-(COLUMN(E1338)+7-(COLUMN(E1338)-5)/2)),KLVT!$A1338,tongctvtdd1)+SUMIF(OFFSET(tongctvtpk1,0,-(COLUMN(E1338)+7-(COLUMN(E1338)-5)/2)),KLVT!$A1338,tongctvtpk1)</f>
        <v>0</v>
      </c>
      <c r="F1338" s="449">
        <f ca="1">SUMIF(OFFSET(cttba_vlvt1_1,0,-9,-ROW(cttba_vlvt1_1)+ROW(cttba_vltb1_1)-10),KLVT!$A1338,OFFSET(cttba_vlvt1_1,0,-4,-ROW(cttba_vlvt1_1)+ROW(cttba_vltb1_1)-10))</f>
        <v>0</v>
      </c>
      <c r="G1338" s="451">
        <f t="shared" ca="1" si="209"/>
        <v>0</v>
      </c>
      <c r="H1338" s="450">
        <f t="shared" si="206"/>
        <v>0.2</v>
      </c>
      <c r="I1338" s="447">
        <f t="shared" ca="1" si="210"/>
        <v>0</v>
      </c>
      <c r="J1338" s="447">
        <f t="shared" ca="1" si="211"/>
        <v>0</v>
      </c>
      <c r="K1338" s="373">
        <f t="shared" ca="1" si="212"/>
        <v>0</v>
      </c>
    </row>
    <row r="1339" spans="1:11" s="373" customFormat="1" ht="15.75" hidden="1">
      <c r="A1339" s="373" t="str">
        <f>IF(AND(COUNTIF($A$5:$A$133,R_DG!A1213)=0,R_DG!R1213&gt;0,ISNUMBER(R_DG!R1213)),R_DG!A1213,"NONE")</f>
        <v>GIP6-35</v>
      </c>
      <c r="B1339" s="85">
        <f ca="1">IF(K1339&gt;0,COUNTIF(K$6:K1339,"&gt;0"),B1338)</f>
        <v>36</v>
      </c>
      <c r="C1339" s="1084" t="str">
        <f t="shared" si="207"/>
        <v>Ghíp nối IPC 6-35 2BL</v>
      </c>
      <c r="D1339" s="85" t="str">
        <f t="shared" si="208"/>
        <v>cái</v>
      </c>
      <c r="E1339" s="448">
        <f ca="1">SUMIF(OFFSET(tongctvtdd1,0,-(COLUMN(E1339)+7-(COLUMN(E1339)-5)/2)),KLVT!$A1339,tongctvtdd1)+SUMIF(OFFSET(tongctvtpk1,0,-(COLUMN(E1339)+7-(COLUMN(E1339)-5)/2)),KLVT!$A1339,tongctvtpk1)</f>
        <v>0</v>
      </c>
      <c r="F1339" s="449">
        <f ca="1">SUMIF(OFFSET(cttba_vlvt1_1,0,-9,-ROW(cttba_vlvt1_1)+ROW(cttba_vltb1_1)-10),KLVT!$A1339,OFFSET(cttba_vlvt1_1,0,-4,-ROW(cttba_vlvt1_1)+ROW(cttba_vltb1_1)-10))</f>
        <v>0</v>
      </c>
      <c r="G1339" s="451">
        <f t="shared" ca="1" si="209"/>
        <v>0</v>
      </c>
      <c r="H1339" s="450">
        <f t="shared" si="206"/>
        <v>0.2</v>
      </c>
      <c r="I1339" s="447">
        <f t="shared" ca="1" si="210"/>
        <v>0</v>
      </c>
      <c r="J1339" s="447">
        <f t="shared" ca="1" si="211"/>
        <v>0</v>
      </c>
      <c r="K1339" s="373">
        <f t="shared" ca="1" si="212"/>
        <v>0</v>
      </c>
    </row>
    <row r="1340" spans="1:11" s="373" customFormat="1" ht="15.75" hidden="1">
      <c r="A1340" s="373" t="str">
        <f>IF(AND(COUNTIF($A$5:$A$133,R_DG!A1214)=0,R_DG!R1214&gt;0,ISNUMBER(R_DG!R1214)),R_DG!A1214,"NONE")</f>
        <v>GIP50-25</v>
      </c>
      <c r="B1340" s="85">
        <f ca="1">IF(K1340&gt;0,COUNTIF(K$6:K1340,"&gt;0"),B1339)</f>
        <v>36</v>
      </c>
      <c r="C1340" s="1084" t="str">
        <f t="shared" si="207"/>
        <v>Ghíp nối IPC 50-25 2BL</v>
      </c>
      <c r="D1340" s="85" t="str">
        <f t="shared" si="208"/>
        <v>cái</v>
      </c>
      <c r="E1340" s="448">
        <f ca="1">SUMIF(OFFSET(tongctvtdd1,0,-(COLUMN(E1340)+7-(COLUMN(E1340)-5)/2)),KLVT!$A1340,tongctvtdd1)+SUMIF(OFFSET(tongctvtpk1,0,-(COLUMN(E1340)+7-(COLUMN(E1340)-5)/2)),KLVT!$A1340,tongctvtpk1)</f>
        <v>0</v>
      </c>
      <c r="F1340" s="449">
        <f ca="1">SUMIF(OFFSET(cttba_vlvt1_1,0,-9,-ROW(cttba_vlvt1_1)+ROW(cttba_vltb1_1)-10),KLVT!$A1340,OFFSET(cttba_vlvt1_1,0,-4,-ROW(cttba_vlvt1_1)+ROW(cttba_vltb1_1)-10))</f>
        <v>0</v>
      </c>
      <c r="G1340" s="451">
        <f t="shared" ca="1" si="209"/>
        <v>0</v>
      </c>
      <c r="H1340" s="450">
        <f t="shared" si="206"/>
        <v>0.2</v>
      </c>
      <c r="I1340" s="447">
        <f t="shared" ca="1" si="210"/>
        <v>0</v>
      </c>
      <c r="J1340" s="447">
        <f t="shared" ca="1" si="211"/>
        <v>0</v>
      </c>
      <c r="K1340" s="373">
        <f t="shared" ca="1" si="212"/>
        <v>0</v>
      </c>
    </row>
    <row r="1341" spans="1:11">
      <c r="A1341" s="1251" t="str">
        <f>IF(AND(COUNTIF($A$5:$A$133,R_DG!A1215)=0,R_DG!R1215&gt;0,ISNUMBER(R_DG!R1215)),R_DG!A1215,"NONE")</f>
        <v>GIP70-35</v>
      </c>
      <c r="B1341" s="438">
        <f ca="1">IF(K1341&gt;0,COUNTIF(K$6:K1341,"&gt;0"),B1340)</f>
        <v>37</v>
      </c>
      <c r="C1341" s="1278" t="str">
        <f t="shared" si="207"/>
        <v>Ghíp nối IPC 70-35 2BL</v>
      </c>
      <c r="D1341" s="438" t="str">
        <f t="shared" si="208"/>
        <v>cái</v>
      </c>
      <c r="E1341" s="1276">
        <f ca="1">SUMIF(OFFSET(tongctvtdd1,0,-(COLUMN(E1341)+7-(COLUMN(E1341)-5)/2)),KLVT!$A1341,tongctvtdd1)+SUMIF(OFFSET(tongctvtpk1,0,-(COLUMN(E1341)+7-(COLUMN(E1341)-5)/2)),KLVT!$A1341,tongctvtpk1)</f>
        <v>17</v>
      </c>
      <c r="F1341" s="1277">
        <f ca="1">SUMIF(OFFSET(cttba_vlvt1_1,0,-9,-ROW(cttba_vlvt1_1)+ROW(cttba_vltb1_1)-10),KLVT!$A1341,OFFSET(cttba_vlvt1_1,0,-4,-ROW(cttba_vlvt1_1)+ROW(cttba_vltb1_1)-10))</f>
        <v>0</v>
      </c>
      <c r="G1341" s="1277">
        <f t="shared" ca="1" si="209"/>
        <v>17</v>
      </c>
      <c r="H1341" s="1274">
        <f t="shared" si="206"/>
        <v>0.2</v>
      </c>
      <c r="I1341" s="1279">
        <f t="shared" ca="1" si="210"/>
        <v>3.4000000000000004</v>
      </c>
      <c r="J1341" s="1279">
        <f t="shared" ca="1" si="211"/>
        <v>0</v>
      </c>
      <c r="K1341" s="1268">
        <f t="shared" ca="1" si="212"/>
        <v>1</v>
      </c>
    </row>
    <row r="1342" spans="1:11" s="373" customFormat="1" ht="15.75" hidden="1">
      <c r="A1342" s="373" t="str">
        <f>IF(AND(COUNTIF($A$5:$A$133,R_DG!A1216)=0,R_DG!R1216&gt;0,ISNUMBER(R_DG!R1216)),R_DG!A1216,"NONE")</f>
        <v>GIP70-25</v>
      </c>
      <c r="B1342" s="85">
        <f ca="1">IF(K1342&gt;0,COUNTIF(K$6:K1342,"&gt;0"),B1341)</f>
        <v>37</v>
      </c>
      <c r="C1342" s="1084" t="str">
        <f t="shared" si="207"/>
        <v>Ghíp nối IPC 70-25 2BL</v>
      </c>
      <c r="D1342" s="85" t="str">
        <f t="shared" si="208"/>
        <v>cái</v>
      </c>
      <c r="E1342" s="448">
        <f ca="1">SUMIF(OFFSET(tongctvtdd1,0,-(COLUMN(E1342)+7-(COLUMN(E1342)-5)/2)),KLVT!$A1342,tongctvtdd1)+SUMIF(OFFSET(tongctvtpk1,0,-(COLUMN(E1342)+7-(COLUMN(E1342)-5)/2)),KLVT!$A1342,tongctvtpk1)</f>
        <v>0</v>
      </c>
      <c r="F1342" s="449">
        <f ca="1">SUMIF(OFFSET(cttba_vlvt1_1,0,-9,-ROW(cttba_vlvt1_1)+ROW(cttba_vltb1_1)-10),KLVT!$A1342,OFFSET(cttba_vlvt1_1,0,-4,-ROW(cttba_vlvt1_1)+ROW(cttba_vltb1_1)-10))</f>
        <v>0</v>
      </c>
      <c r="G1342" s="451">
        <f t="shared" ca="1" si="209"/>
        <v>0</v>
      </c>
      <c r="H1342" s="450">
        <f t="shared" si="206"/>
        <v>0.2</v>
      </c>
      <c r="I1342" s="447">
        <f t="shared" ca="1" si="210"/>
        <v>0</v>
      </c>
      <c r="J1342" s="447">
        <f t="shared" ca="1" si="211"/>
        <v>0</v>
      </c>
      <c r="K1342" s="373">
        <f t="shared" ca="1" si="212"/>
        <v>0</v>
      </c>
    </row>
    <row r="1343" spans="1:11" s="373" customFormat="1" ht="15.75" hidden="1">
      <c r="A1343" s="373" t="str">
        <f>IF(AND(COUNTIF($A$5:$A$133,R_DG!A1217)=0,R_DG!R1217&gt;0,ISNUMBER(R_DG!R1217)),R_DG!A1217,"NONE")</f>
        <v>GIP95-25</v>
      </c>
      <c r="B1343" s="85">
        <f ca="1">IF(K1343&gt;0,COUNTIF(K$6:K1343,"&gt;0"),B1342)</f>
        <v>37</v>
      </c>
      <c r="C1343" s="1084" t="str">
        <f t="shared" si="207"/>
        <v>Ghíp nối IPC 95-25 2BL</v>
      </c>
      <c r="D1343" s="85" t="str">
        <f t="shared" si="208"/>
        <v>cái</v>
      </c>
      <c r="E1343" s="448">
        <f ca="1">SUMIF(OFFSET(tongctvtdd1,0,-(COLUMN(E1343)+7-(COLUMN(E1343)-5)/2)),KLVT!$A1343,tongctvtdd1)+SUMIF(OFFSET(tongctvtpk1,0,-(COLUMN(E1343)+7-(COLUMN(E1343)-5)/2)),KLVT!$A1343,tongctvtpk1)</f>
        <v>0</v>
      </c>
      <c r="F1343" s="449">
        <f ca="1">SUMIF(OFFSET(cttba_vlvt1_1,0,-9,-ROW(cttba_vlvt1_1)+ROW(cttba_vltb1_1)-10),KLVT!$A1343,OFFSET(cttba_vlvt1_1,0,-4,-ROW(cttba_vlvt1_1)+ROW(cttba_vltb1_1)-10))</f>
        <v>0</v>
      </c>
      <c r="G1343" s="451">
        <f t="shared" ca="1" si="209"/>
        <v>0</v>
      </c>
      <c r="H1343" s="450">
        <f t="shared" si="206"/>
        <v>0.2</v>
      </c>
      <c r="I1343" s="447">
        <f t="shared" ca="1" si="210"/>
        <v>0</v>
      </c>
      <c r="J1343" s="447">
        <f t="shared" ca="1" si="211"/>
        <v>0</v>
      </c>
      <c r="K1343" s="374">
        <f t="shared" ca="1" si="212"/>
        <v>0</v>
      </c>
    </row>
    <row r="1344" spans="1:11" s="373" customFormat="1" ht="15.75" hidden="1">
      <c r="A1344" s="373" t="str">
        <f>IF(AND(COUNTIF($A$5:$A$133,R_DG!A1218)=0,R_DG!R1218&gt;0,ISNUMBER(R_DG!R1218)),R_DG!A1218,"NONE")</f>
        <v>GIP120-35</v>
      </c>
      <c r="B1344" s="85">
        <f ca="1">IF(K1344&gt;0,COUNTIF(K$6:K1344,"&gt;0"),B1343)</f>
        <v>37</v>
      </c>
      <c r="C1344" s="1084" t="str">
        <f t="shared" si="207"/>
        <v>Ghíp nối IPC 120-35 2BL</v>
      </c>
      <c r="D1344" s="85" t="str">
        <f t="shared" si="208"/>
        <v>cái</v>
      </c>
      <c r="E1344" s="448">
        <f ca="1">SUMIF(OFFSET(tongctvtdd1,0,-(COLUMN(E1344)+7-(COLUMN(E1344)-5)/2)),KLVT!$A1344,tongctvtdd1)+SUMIF(OFFSET(tongctvtpk1,0,-(COLUMN(E1344)+7-(COLUMN(E1344)-5)/2)),KLVT!$A1344,tongctvtpk1)</f>
        <v>0</v>
      </c>
      <c r="F1344" s="449">
        <f ca="1">SUMIF(OFFSET(cttba_vlvt1_1,0,-9,-ROW(cttba_vlvt1_1)+ROW(cttba_vltb1_1)-10),KLVT!$A1344,OFFSET(cttba_vlvt1_1,0,-4,-ROW(cttba_vlvt1_1)+ROW(cttba_vltb1_1)-10))</f>
        <v>0</v>
      </c>
      <c r="G1344" s="451">
        <f t="shared" ca="1" si="209"/>
        <v>0</v>
      </c>
      <c r="H1344" s="450">
        <f t="shared" si="206"/>
        <v>0.2</v>
      </c>
      <c r="I1344" s="447">
        <f t="shared" ca="1" si="210"/>
        <v>0</v>
      </c>
      <c r="J1344" s="447">
        <f t="shared" ca="1" si="211"/>
        <v>0</v>
      </c>
      <c r="K1344" s="373">
        <f t="shared" ca="1" si="212"/>
        <v>0</v>
      </c>
    </row>
    <row r="1345" spans="1:11">
      <c r="A1345" s="1251" t="str">
        <f>IF(AND(COUNTIF($A$5:$A$133,R_DG!A1219)=0,R_DG!R1219&gt;0,ISNUMBER(R_DG!R1219)),R_DG!A1219,"NONE")</f>
        <v>GIP120-25</v>
      </c>
      <c r="B1345" s="438">
        <f ca="1">IF(K1345&gt;0,COUNTIF(K$6:K1345,"&gt;0"),B1344)</f>
        <v>38</v>
      </c>
      <c r="C1345" s="1278" t="str">
        <f t="shared" si="207"/>
        <v>Ghíp nối IPC 120-25 2BL</v>
      </c>
      <c r="D1345" s="438" t="str">
        <f t="shared" si="208"/>
        <v>cái</v>
      </c>
      <c r="E1345" s="1276">
        <f ca="1">SUMIF(OFFSET(tongctvtdd1,0,-(COLUMN(E1345)+7-(COLUMN(E1345)-5)/2)),KLVT!$A1345,tongctvtdd1)+SUMIF(OFFSET(tongctvtpk1,0,-(COLUMN(E1345)+7-(COLUMN(E1345)-5)/2)),KLVT!$A1345,tongctvtpk1)</f>
        <v>216</v>
      </c>
      <c r="F1345" s="1277">
        <f ca="1">SUMIF(OFFSET(cttba_vlvt1_1,0,-9,-ROW(cttba_vlvt1_1)+ROW(cttba_vltb1_1)-10),KLVT!$A1345,OFFSET(cttba_vlvt1_1,0,-4,-ROW(cttba_vlvt1_1)+ROW(cttba_vltb1_1)-10))</f>
        <v>0</v>
      </c>
      <c r="G1345" s="1277">
        <f t="shared" ca="1" si="209"/>
        <v>216</v>
      </c>
      <c r="H1345" s="1274">
        <f t="shared" si="206"/>
        <v>0.2</v>
      </c>
      <c r="I1345" s="1279">
        <f t="shared" ca="1" si="210"/>
        <v>43.2</v>
      </c>
      <c r="J1345" s="1279">
        <f t="shared" ca="1" si="211"/>
        <v>0</v>
      </c>
      <c r="K1345" s="1268">
        <f t="shared" ca="1" si="212"/>
        <v>1</v>
      </c>
    </row>
    <row r="1346" spans="1:11" s="373" customFormat="1" ht="15.75" hidden="1">
      <c r="A1346" s="373" t="str">
        <f>IF(AND(COUNTIF($A$5:$A$133,R_DG!A1220)=0,R_DG!R1220&gt;0,ISNUMBER(R_DG!R1220)),R_DG!A1220,"NONE")</f>
        <v>GIP120-120</v>
      </c>
      <c r="B1346" s="85">
        <f ca="1">IF(K1346&gt;0,COUNTIF(K$6:K1346,"&gt;0"),B1345)</f>
        <v>38</v>
      </c>
      <c r="C1346" s="1084" t="str">
        <f t="shared" si="207"/>
        <v>Ghíp nối IPC 120-120 2BL</v>
      </c>
      <c r="D1346" s="85" t="str">
        <f t="shared" si="208"/>
        <v>cái</v>
      </c>
      <c r="E1346" s="448">
        <f ca="1">SUMIF(OFFSET(tongctvtdd1,0,-(COLUMN(E1346)+7-(COLUMN(E1346)-5)/2)),KLVT!$A1346,tongctvtdd1)+SUMIF(OFFSET(tongctvtpk1,0,-(COLUMN(E1346)+7-(COLUMN(E1346)-5)/2)),KLVT!$A1346,tongctvtpk1)</f>
        <v>0</v>
      </c>
      <c r="F1346" s="449">
        <f ca="1">SUMIF(OFFSET(cttba_vlvt1_1,0,-9,-ROW(cttba_vlvt1_1)+ROW(cttba_vltb1_1)-10),KLVT!$A1346,OFFSET(cttba_vlvt1_1,0,-4,-ROW(cttba_vlvt1_1)+ROW(cttba_vltb1_1)-10))</f>
        <v>0</v>
      </c>
      <c r="G1346" s="451">
        <f t="shared" ca="1" si="209"/>
        <v>0</v>
      </c>
      <c r="H1346" s="450">
        <f t="shared" si="206"/>
        <v>0.2</v>
      </c>
      <c r="I1346" s="447">
        <f t="shared" ca="1" si="210"/>
        <v>0</v>
      </c>
      <c r="J1346" s="447">
        <f t="shared" ca="1" si="211"/>
        <v>0</v>
      </c>
      <c r="K1346" s="373">
        <f t="shared" ca="1" si="212"/>
        <v>0</v>
      </c>
    </row>
    <row r="1347" spans="1:11" s="373" customFormat="1" ht="15.75" hidden="1">
      <c r="A1347" s="373" t="str">
        <f>IF(AND(COUNTIF($A$5:$A$133,R_DG!A1221)=0,R_DG!R1221&gt;0,ISNUMBER(R_DG!R1221)),R_DG!A1221,"NONE")</f>
        <v>GIP50-50</v>
      </c>
      <c r="B1347" s="85">
        <f ca="1">IF(K1347&gt;0,COUNTIF(K$6:K1347,"&gt;0"),B1346)</f>
        <v>38</v>
      </c>
      <c r="C1347" s="1084" t="str">
        <f t="shared" si="207"/>
        <v>Ghíp nối IPC 50-50</v>
      </c>
      <c r="D1347" s="85" t="str">
        <f t="shared" si="208"/>
        <v>cái</v>
      </c>
      <c r="E1347" s="448">
        <f ca="1">SUMIF(OFFSET(tongctvtdd1,0,-(COLUMN(E1347)+7-(COLUMN(E1347)-5)/2)),KLVT!$A1347,tongctvtdd1)+SUMIF(OFFSET(tongctvtpk1,0,-(COLUMN(E1347)+7-(COLUMN(E1347)-5)/2)),KLVT!$A1347,tongctvtpk1)</f>
        <v>0</v>
      </c>
      <c r="F1347" s="449">
        <f ca="1">SUMIF(OFFSET(cttba_vlvt1_1,0,-9,-ROW(cttba_vlvt1_1)+ROW(cttba_vltb1_1)-10),KLVT!$A1347,OFFSET(cttba_vlvt1_1,0,-4,-ROW(cttba_vlvt1_1)+ROW(cttba_vltb1_1)-10))</f>
        <v>0</v>
      </c>
      <c r="G1347" s="451">
        <f t="shared" ca="1" si="209"/>
        <v>0</v>
      </c>
      <c r="H1347" s="450">
        <f t="shared" si="206"/>
        <v>0.2</v>
      </c>
      <c r="I1347" s="447">
        <f t="shared" ca="1" si="210"/>
        <v>0</v>
      </c>
      <c r="J1347" s="447">
        <f t="shared" ca="1" si="211"/>
        <v>0</v>
      </c>
      <c r="K1347" s="373">
        <f t="shared" ca="1" si="212"/>
        <v>0</v>
      </c>
    </row>
    <row r="1348" spans="1:11" s="373" customFormat="1" ht="15.75" hidden="1">
      <c r="A1348" s="373" t="str">
        <f>IF(AND(COUNTIF($A$5:$A$133,R_DG!A1222)=0,R_DG!R1222&gt;0,ISNUMBER(R_DG!R1222)),R_DG!A1222,"NONE")</f>
        <v>GIP70-50</v>
      </c>
      <c r="B1348" s="85">
        <f ca="1">IF(K1348&gt;0,COUNTIF(K$6:K1348,"&gt;0"),B1347)</f>
        <v>38</v>
      </c>
      <c r="C1348" s="1084" t="str">
        <f t="shared" si="207"/>
        <v>Ghíp nối IPC 70-50</v>
      </c>
      <c r="D1348" s="85" t="str">
        <f t="shared" si="208"/>
        <v>cái</v>
      </c>
      <c r="E1348" s="448">
        <f ca="1">SUMIF(OFFSET(tongctvtdd1,0,-(COLUMN(E1348)+7-(COLUMN(E1348)-5)/2)),KLVT!$A1348,tongctvtdd1)+SUMIF(OFFSET(tongctvtpk1,0,-(COLUMN(E1348)+7-(COLUMN(E1348)-5)/2)),KLVT!$A1348,tongctvtpk1)</f>
        <v>0</v>
      </c>
      <c r="F1348" s="449">
        <f ca="1">SUMIF(OFFSET(cttba_vlvt1_1,0,-9,-ROW(cttba_vlvt1_1)+ROW(cttba_vltb1_1)-10),KLVT!$A1348,OFFSET(cttba_vlvt1_1,0,-4,-ROW(cttba_vlvt1_1)+ROW(cttba_vltb1_1)-10))</f>
        <v>0</v>
      </c>
      <c r="G1348" s="451">
        <f t="shared" ca="1" si="209"/>
        <v>0</v>
      </c>
      <c r="H1348" s="450">
        <f t="shared" si="206"/>
        <v>0.2</v>
      </c>
      <c r="I1348" s="447">
        <f t="shared" ca="1" si="210"/>
        <v>0</v>
      </c>
      <c r="J1348" s="447">
        <f t="shared" ca="1" si="211"/>
        <v>0</v>
      </c>
      <c r="K1348" s="373">
        <f t="shared" ca="1" si="212"/>
        <v>0</v>
      </c>
    </row>
    <row r="1349" spans="1:11" s="373" customFormat="1" ht="15.75" hidden="1">
      <c r="A1349" s="373" t="str">
        <f>IF(AND(COUNTIF($A$5:$A$133,R_DG!A1223)=0,R_DG!R1223&gt;0,ISNUMBER(R_DG!R1223)),R_DG!A1223,"NONE")</f>
        <v>GIP95-50</v>
      </c>
      <c r="B1349" s="85">
        <f ca="1">IF(K1349&gt;0,COUNTIF(K$6:K1349,"&gt;0"),B1348)</f>
        <v>38</v>
      </c>
      <c r="C1349" s="1084" t="str">
        <f t="shared" si="207"/>
        <v>Ghíp nối IPC 95-50</v>
      </c>
      <c r="D1349" s="85" t="str">
        <f t="shared" si="208"/>
        <v>cái</v>
      </c>
      <c r="E1349" s="448">
        <f ca="1">SUMIF(OFFSET(tongctvtdd1,0,-(COLUMN(E1349)+7-(COLUMN(E1349)-5)/2)),KLVT!$A1349,tongctvtdd1)+SUMIF(OFFSET(tongctvtpk1,0,-(COLUMN(E1349)+7-(COLUMN(E1349)-5)/2)),KLVT!$A1349,tongctvtpk1)</f>
        <v>0</v>
      </c>
      <c r="F1349" s="449">
        <f ca="1">SUMIF(OFFSET(cttba_vlvt1_1,0,-9,-ROW(cttba_vlvt1_1)+ROW(cttba_vltb1_1)-10),KLVT!$A1349,OFFSET(cttba_vlvt1_1,0,-4,-ROW(cttba_vlvt1_1)+ROW(cttba_vltb1_1)-10))</f>
        <v>0</v>
      </c>
      <c r="G1349" s="451">
        <f t="shared" ca="1" si="209"/>
        <v>0</v>
      </c>
      <c r="H1349" s="450">
        <f t="shared" si="206"/>
        <v>0.2</v>
      </c>
      <c r="I1349" s="447">
        <f t="shared" ca="1" si="210"/>
        <v>0</v>
      </c>
      <c r="J1349" s="447">
        <f t="shared" ca="1" si="211"/>
        <v>0</v>
      </c>
      <c r="K1349" s="373">
        <f t="shared" ca="1" si="212"/>
        <v>0</v>
      </c>
    </row>
    <row r="1350" spans="1:11" s="373" customFormat="1" ht="15.75" hidden="1">
      <c r="A1350" s="373" t="str">
        <f>IF(AND(COUNTIF($A$5:$A$133,R_DG!A1224)=0,R_DG!R1224&gt;0,ISNUMBER(R_DG!R1224)),R_DG!A1224,"NONE")</f>
        <v>GIP120-50</v>
      </c>
      <c r="B1350" s="85">
        <f ca="1">IF(K1350&gt;0,COUNTIF(K$6:K1350,"&gt;0"),B1349)</f>
        <v>38</v>
      </c>
      <c r="C1350" s="1084" t="str">
        <f t="shared" si="207"/>
        <v>Ghíp nối IPC 120-50</v>
      </c>
      <c r="D1350" s="85" t="str">
        <f t="shared" si="208"/>
        <v>cái</v>
      </c>
      <c r="E1350" s="448">
        <f ca="1">SUMIF(OFFSET(tongctvtdd1,0,-(COLUMN(E1350)+7-(COLUMN(E1350)-5)/2)),KLVT!$A1350,tongctvtdd1)+SUMIF(OFFSET(tongctvtpk1,0,-(COLUMN(E1350)+7-(COLUMN(E1350)-5)/2)),KLVT!$A1350,tongctvtpk1)</f>
        <v>0</v>
      </c>
      <c r="F1350" s="449">
        <f ca="1">SUMIF(OFFSET(cttba_vlvt1_1,0,-9,-ROW(cttba_vlvt1_1)+ROW(cttba_vltb1_1)-10),KLVT!$A1350,OFFSET(cttba_vlvt1_1,0,-4,-ROW(cttba_vlvt1_1)+ROW(cttba_vltb1_1)-10))</f>
        <v>0</v>
      </c>
      <c r="G1350" s="451">
        <f t="shared" ca="1" si="209"/>
        <v>0</v>
      </c>
      <c r="H1350" s="450">
        <f t="shared" ref="H1350:H1413" si="213">VLOOKUP(A1350,DONGIA,18,0)</f>
        <v>0.2</v>
      </c>
      <c r="I1350" s="447">
        <f t="shared" ca="1" si="210"/>
        <v>0</v>
      </c>
      <c r="J1350" s="447">
        <f t="shared" ca="1" si="211"/>
        <v>0</v>
      </c>
      <c r="K1350" s="373">
        <f t="shared" ca="1" si="212"/>
        <v>0</v>
      </c>
    </row>
    <row r="1351" spans="1:11" s="373" customFormat="1" ht="15.75" hidden="1">
      <c r="A1351" s="373" t="str">
        <f>IF(AND(COUNTIF($A$5:$A$133,R_DG!A1225)=0,R_DG!R1225&gt;0,ISNUMBER(R_DG!R1225)),R_DG!A1225,"NONE")</f>
        <v>GIP150-25</v>
      </c>
      <c r="B1351" s="85">
        <f ca="1">IF(K1351&gt;0,COUNTIF(K$6:K1351,"&gt;0"),B1350)</f>
        <v>38</v>
      </c>
      <c r="C1351" s="1084" t="str">
        <f t="shared" si="207"/>
        <v>Ghíp nối IPC 150-25</v>
      </c>
      <c r="D1351" s="85" t="str">
        <f t="shared" si="208"/>
        <v>cái</v>
      </c>
      <c r="E1351" s="448">
        <f ca="1">SUMIF(OFFSET(tongctvtdd1,0,-(COLUMN(E1351)+7-(COLUMN(E1351)-5)/2)),KLVT!$A1351,tongctvtdd1)+SUMIF(OFFSET(tongctvtpk1,0,-(COLUMN(E1351)+7-(COLUMN(E1351)-5)/2)),KLVT!$A1351,tongctvtpk1)</f>
        <v>0</v>
      </c>
      <c r="F1351" s="449">
        <f ca="1">SUMIF(OFFSET(cttba_vlvt1_1,0,-9,-ROW(cttba_vlvt1_1)+ROW(cttba_vltb1_1)-10),KLVT!$A1351,OFFSET(cttba_vlvt1_1,0,-4,-ROW(cttba_vlvt1_1)+ROW(cttba_vltb1_1)-10))</f>
        <v>0</v>
      </c>
      <c r="G1351" s="451">
        <f t="shared" ca="1" si="209"/>
        <v>0</v>
      </c>
      <c r="H1351" s="450">
        <f t="shared" si="213"/>
        <v>0.2</v>
      </c>
      <c r="I1351" s="447">
        <f t="shared" ca="1" si="210"/>
        <v>0</v>
      </c>
      <c r="J1351" s="447">
        <f t="shared" ca="1" si="211"/>
        <v>0</v>
      </c>
      <c r="K1351" s="373">
        <f t="shared" ca="1" si="212"/>
        <v>0</v>
      </c>
    </row>
    <row r="1352" spans="1:11" s="373" customFormat="1" ht="15.75" hidden="1">
      <c r="A1352" s="373" t="str">
        <f>IF(AND(COUNTIF($A$5:$A$133,R_DG!A1226)=0,R_DG!R1226&gt;0,ISNUMBER(R_DG!R1226)),R_DG!A1226,"NONE")</f>
        <v>GIP70-70</v>
      </c>
      <c r="B1352" s="85">
        <f ca="1">IF(K1352&gt;0,COUNTIF(K$6:K1352,"&gt;0"),B1351)</f>
        <v>38</v>
      </c>
      <c r="C1352" s="1084" t="str">
        <f t="shared" si="207"/>
        <v>Ghíp nối IPC 70-70</v>
      </c>
      <c r="D1352" s="85" t="str">
        <f t="shared" si="208"/>
        <v>cái</v>
      </c>
      <c r="E1352" s="448">
        <f ca="1">SUMIF(OFFSET(tongctvtdd1,0,-(COLUMN(E1352)+7-(COLUMN(E1352)-5)/2)),KLVT!$A1352,tongctvtdd1)+SUMIF(OFFSET(tongctvtpk1,0,-(COLUMN(E1352)+7-(COLUMN(E1352)-5)/2)),KLVT!$A1352,tongctvtpk1)</f>
        <v>0</v>
      </c>
      <c r="F1352" s="449">
        <f ca="1">SUMIF(OFFSET(cttba_vlvt1_1,0,-9,-ROW(cttba_vlvt1_1)+ROW(cttba_vltb1_1)-10),KLVT!$A1352,OFFSET(cttba_vlvt1_1,0,-4,-ROW(cttba_vlvt1_1)+ROW(cttba_vltb1_1)-10))</f>
        <v>0</v>
      </c>
      <c r="G1352" s="451">
        <f t="shared" ca="1" si="209"/>
        <v>0</v>
      </c>
      <c r="H1352" s="450">
        <f t="shared" si="213"/>
        <v>0.2</v>
      </c>
      <c r="I1352" s="447">
        <f t="shared" ca="1" si="210"/>
        <v>0</v>
      </c>
      <c r="J1352" s="447">
        <f t="shared" ca="1" si="211"/>
        <v>0</v>
      </c>
      <c r="K1352" s="373">
        <f t="shared" ca="1" si="212"/>
        <v>0</v>
      </c>
    </row>
    <row r="1353" spans="1:11" s="373" customFormat="1" ht="15.75" hidden="1">
      <c r="A1353" s="373" t="str">
        <f>IF(AND(COUNTIF($A$5:$A$133,R_DG!A1227)=0,R_DG!R1227&gt;0,ISNUMBER(R_DG!R1227)),R_DG!A1227,"NONE")</f>
        <v>GIP95-70</v>
      </c>
      <c r="B1353" s="85">
        <f ca="1">IF(K1353&gt;0,COUNTIF(K$6:K1353,"&gt;0"),B1352)</f>
        <v>38</v>
      </c>
      <c r="C1353" s="1084" t="str">
        <f t="shared" si="207"/>
        <v>Ghíp nối IPC 95-70</v>
      </c>
      <c r="D1353" s="85" t="str">
        <f t="shared" si="208"/>
        <v>cái</v>
      </c>
      <c r="E1353" s="448">
        <f ca="1">SUMIF(OFFSET(tongctvtdd1,0,-(COLUMN(E1353)+7-(COLUMN(E1353)-5)/2)),KLVT!$A1353,tongctvtdd1)+SUMIF(OFFSET(tongctvtpk1,0,-(COLUMN(E1353)+7-(COLUMN(E1353)-5)/2)),KLVT!$A1353,tongctvtpk1)</f>
        <v>0</v>
      </c>
      <c r="F1353" s="449">
        <f ca="1">SUMIF(OFFSET(cttba_vlvt1_1,0,-9,-ROW(cttba_vlvt1_1)+ROW(cttba_vltb1_1)-10),KLVT!$A1353,OFFSET(cttba_vlvt1_1,0,-4,-ROW(cttba_vlvt1_1)+ROW(cttba_vltb1_1)-10))</f>
        <v>0</v>
      </c>
      <c r="G1353" s="451">
        <f t="shared" ca="1" si="209"/>
        <v>0</v>
      </c>
      <c r="H1353" s="450">
        <f t="shared" si="213"/>
        <v>0.2</v>
      </c>
      <c r="I1353" s="447">
        <f t="shared" ca="1" si="210"/>
        <v>0</v>
      </c>
      <c r="J1353" s="447">
        <f t="shared" ca="1" si="211"/>
        <v>0</v>
      </c>
      <c r="K1353" s="373">
        <f t="shared" ca="1" si="212"/>
        <v>0</v>
      </c>
    </row>
    <row r="1354" spans="1:11" s="373" customFormat="1" ht="15.75" hidden="1">
      <c r="A1354" s="373" t="str">
        <f>IF(AND(COUNTIF($A$5:$A$133,R_DG!A1228)=0,R_DG!R1228&gt;0,ISNUMBER(R_DG!R1228)),R_DG!A1228,"NONE")</f>
        <v>GIP120-70</v>
      </c>
      <c r="B1354" s="85">
        <f ca="1">IF(K1354&gt;0,COUNTIF(K$6:K1354,"&gt;0"),B1353)</f>
        <v>38</v>
      </c>
      <c r="C1354" s="1084" t="str">
        <f t="shared" si="207"/>
        <v>Ghíp nối IPC 120-70</v>
      </c>
      <c r="D1354" s="85" t="str">
        <f t="shared" si="208"/>
        <v>cái</v>
      </c>
      <c r="E1354" s="448">
        <f ca="1">SUMIF(OFFSET(tongctvtdd1,0,-(COLUMN(E1354)+7-(COLUMN(E1354)-5)/2)),KLVT!$A1354,tongctvtdd1)+SUMIF(OFFSET(tongctvtpk1,0,-(COLUMN(E1354)+7-(COLUMN(E1354)-5)/2)),KLVT!$A1354,tongctvtpk1)</f>
        <v>0</v>
      </c>
      <c r="F1354" s="449">
        <f ca="1">SUMIF(OFFSET(cttba_vlvt1_1,0,-9,-ROW(cttba_vlvt1_1)+ROW(cttba_vltb1_1)-10),KLVT!$A1354,OFFSET(cttba_vlvt1_1,0,-4,-ROW(cttba_vlvt1_1)+ROW(cttba_vltb1_1)-10))</f>
        <v>0</v>
      </c>
      <c r="G1354" s="451">
        <f t="shared" ca="1" si="209"/>
        <v>0</v>
      </c>
      <c r="H1354" s="450">
        <f t="shared" si="213"/>
        <v>0.2</v>
      </c>
      <c r="I1354" s="447">
        <f t="shared" ca="1" si="210"/>
        <v>0</v>
      </c>
      <c r="J1354" s="447">
        <f t="shared" ca="1" si="211"/>
        <v>0</v>
      </c>
      <c r="K1354" s="373">
        <f t="shared" ca="1" si="212"/>
        <v>0</v>
      </c>
    </row>
    <row r="1355" spans="1:11" s="373" customFormat="1" ht="15.75" hidden="1">
      <c r="A1355" s="373" t="str">
        <f>IF(AND(COUNTIF($A$5:$A$133,R_DG!A1229)=0,R_DG!R1229&gt;0,ISNUMBER(R_DG!R1229)),R_DG!A1229,"NONE")</f>
        <v>GIP150-150</v>
      </c>
      <c r="B1355" s="85">
        <f ca="1">IF(K1355&gt;0,COUNTIF(K$6:K1355,"&gt;0"),B1354)</f>
        <v>38</v>
      </c>
      <c r="C1355" s="1084" t="str">
        <f t="shared" si="207"/>
        <v>Ghíp nối IPC 150-150</v>
      </c>
      <c r="D1355" s="85" t="str">
        <f t="shared" si="208"/>
        <v>cái</v>
      </c>
      <c r="E1355" s="448">
        <f ca="1">SUMIF(OFFSET(tongctvtdd1,0,-(COLUMN(E1355)+7-(COLUMN(E1355)-5)/2)),KLVT!$A1355,tongctvtdd1)+SUMIF(OFFSET(tongctvtpk1,0,-(COLUMN(E1355)+7-(COLUMN(E1355)-5)/2)),KLVT!$A1355,tongctvtpk1)</f>
        <v>0</v>
      </c>
      <c r="F1355" s="449">
        <f ca="1">SUMIF(OFFSET(cttba_vlvt1_1,0,-9,-ROW(cttba_vlvt1_1)+ROW(cttba_vltb1_1)-10),KLVT!$A1355,OFFSET(cttba_vlvt1_1,0,-4,-ROW(cttba_vlvt1_1)+ROW(cttba_vltb1_1)-10))</f>
        <v>0</v>
      </c>
      <c r="G1355" s="451">
        <f t="shared" ca="1" si="209"/>
        <v>0</v>
      </c>
      <c r="H1355" s="450">
        <f t="shared" si="213"/>
        <v>0.2</v>
      </c>
      <c r="I1355" s="447">
        <f t="shared" ca="1" si="210"/>
        <v>0</v>
      </c>
      <c r="J1355" s="447">
        <f t="shared" ca="1" si="211"/>
        <v>0</v>
      </c>
      <c r="K1355" s="373">
        <f t="shared" ca="1" si="212"/>
        <v>0</v>
      </c>
    </row>
    <row r="1356" spans="1:11" s="373" customFormat="1" ht="15.75" hidden="1">
      <c r="A1356" s="373" t="str">
        <f>IF(AND(COUNTIF($A$5:$A$133,R_DG!A1230)=0,R_DG!R1230&gt;0,ISNUMBER(R_DG!R1230)),R_DG!A1230,"NONE")</f>
        <v>GIP95-95</v>
      </c>
      <c r="B1356" s="85">
        <f ca="1">IF(K1356&gt;0,COUNTIF(K$6:K1356,"&gt;0"),B1355)</f>
        <v>38</v>
      </c>
      <c r="C1356" s="1084" t="str">
        <f t="shared" si="207"/>
        <v>Ghíp nối IPC 95-95</v>
      </c>
      <c r="D1356" s="85" t="str">
        <f t="shared" si="208"/>
        <v>cái</v>
      </c>
      <c r="E1356" s="448">
        <f ca="1">SUMIF(OFFSET(tongctvtdd1,0,-(COLUMN(E1356)+7-(COLUMN(E1356)-5)/2)),KLVT!$A1356,tongctvtdd1)+SUMIF(OFFSET(tongctvtpk1,0,-(COLUMN(E1356)+7-(COLUMN(E1356)-5)/2)),KLVT!$A1356,tongctvtpk1)</f>
        <v>0</v>
      </c>
      <c r="F1356" s="449">
        <f ca="1">SUMIF(OFFSET(cttba_vlvt1_1,0,-9,-ROW(cttba_vlvt1_1)+ROW(cttba_vltb1_1)-10),KLVT!$A1356,OFFSET(cttba_vlvt1_1,0,-4,-ROW(cttba_vlvt1_1)+ROW(cttba_vltb1_1)-10))</f>
        <v>0</v>
      </c>
      <c r="G1356" s="451">
        <f t="shared" ca="1" si="209"/>
        <v>0</v>
      </c>
      <c r="H1356" s="450">
        <f t="shared" si="213"/>
        <v>0.2</v>
      </c>
      <c r="I1356" s="447">
        <f t="shared" ca="1" si="210"/>
        <v>0</v>
      </c>
      <c r="J1356" s="447">
        <f t="shared" ca="1" si="211"/>
        <v>0</v>
      </c>
      <c r="K1356" s="373">
        <f t="shared" ca="1" si="212"/>
        <v>0</v>
      </c>
    </row>
    <row r="1357" spans="1:11" s="373" customFormat="1" ht="15.75" hidden="1">
      <c r="A1357" s="373" t="str">
        <f>IF(AND(COUNTIF($A$5:$A$133,R_DG!A1231)=0,R_DG!R1231&gt;0,ISNUMBER(R_DG!R1231)),R_DG!A1231,"NONE")</f>
        <v>GIP95-120</v>
      </c>
      <c r="B1357" s="85">
        <f ca="1">IF(K1357&gt;0,COUNTIF(K$6:K1357,"&gt;0"),B1356)</f>
        <v>38</v>
      </c>
      <c r="C1357" s="1084" t="str">
        <f t="shared" si="207"/>
        <v>Ghíp nối IPC 95-120</v>
      </c>
      <c r="D1357" s="85" t="str">
        <f t="shared" si="208"/>
        <v>cái</v>
      </c>
      <c r="E1357" s="448">
        <f ca="1">SUMIF(OFFSET(tongctvtdd1,0,-(COLUMN(E1357)+7-(COLUMN(E1357)-5)/2)),KLVT!$A1357,tongctvtdd1)+SUMIF(OFFSET(tongctvtpk1,0,-(COLUMN(E1357)+7-(COLUMN(E1357)-5)/2)),KLVT!$A1357,tongctvtpk1)</f>
        <v>0</v>
      </c>
      <c r="F1357" s="449">
        <f ca="1">SUMIF(OFFSET(cttba_vlvt1_1,0,-9,-ROW(cttba_vlvt1_1)+ROW(cttba_vltb1_1)-10),KLVT!$A1357,OFFSET(cttba_vlvt1_1,0,-4,-ROW(cttba_vlvt1_1)+ROW(cttba_vltb1_1)-10))</f>
        <v>0</v>
      </c>
      <c r="G1357" s="451">
        <f t="shared" ca="1" si="209"/>
        <v>0</v>
      </c>
      <c r="H1357" s="450">
        <f t="shared" si="213"/>
        <v>0.2</v>
      </c>
      <c r="I1357" s="447">
        <f t="shared" ca="1" si="210"/>
        <v>0</v>
      </c>
      <c r="J1357" s="447">
        <f t="shared" ca="1" si="211"/>
        <v>0</v>
      </c>
      <c r="K1357" s="373">
        <f t="shared" ca="1" si="212"/>
        <v>0</v>
      </c>
    </row>
    <row r="1358" spans="1:11" s="373" customFormat="1" ht="15.75" hidden="1">
      <c r="A1358" s="373" t="str">
        <f>IF(AND(COUNTIF($A$5:$A$133,R_DG!A1232)=0,R_DG!R1232&gt;0,ISNUMBER(R_DG!R1232)),R_DG!A1232,"NONE")</f>
        <v>GIP95-150</v>
      </c>
      <c r="B1358" s="85">
        <f ca="1">IF(K1358&gt;0,COUNTIF(K$6:K1358,"&gt;0"),B1357)</f>
        <v>38</v>
      </c>
      <c r="C1358" s="1084" t="str">
        <f t="shared" si="207"/>
        <v>Ghíp nối IPC 95-150</v>
      </c>
      <c r="D1358" s="85" t="str">
        <f t="shared" si="208"/>
        <v>cái</v>
      </c>
      <c r="E1358" s="448">
        <f ca="1">SUMIF(OFFSET(tongctvtdd1,0,-(COLUMN(E1358)+7-(COLUMN(E1358)-5)/2)),KLVT!$A1358,tongctvtdd1)+SUMIF(OFFSET(tongctvtpk1,0,-(COLUMN(E1358)+7-(COLUMN(E1358)-5)/2)),KLVT!$A1358,tongctvtpk1)</f>
        <v>0</v>
      </c>
      <c r="F1358" s="449">
        <f ca="1">SUMIF(OFFSET(cttba_vlvt1_1,0,-9,-ROW(cttba_vlvt1_1)+ROW(cttba_vltb1_1)-10),KLVT!$A1358,OFFSET(cttba_vlvt1_1,0,-4,-ROW(cttba_vlvt1_1)+ROW(cttba_vltb1_1)-10))</f>
        <v>0</v>
      </c>
      <c r="G1358" s="451">
        <f t="shared" ca="1" si="209"/>
        <v>0</v>
      </c>
      <c r="H1358" s="450">
        <f t="shared" si="213"/>
        <v>0.2</v>
      </c>
      <c r="I1358" s="447">
        <f t="shared" ca="1" si="210"/>
        <v>0</v>
      </c>
      <c r="J1358" s="447">
        <f t="shared" ca="1" si="211"/>
        <v>0</v>
      </c>
      <c r="K1358" s="373">
        <f t="shared" ca="1" si="212"/>
        <v>0</v>
      </c>
    </row>
    <row r="1359" spans="1:11" s="373" customFormat="1" ht="15.75" hidden="1">
      <c r="A1359" s="373" t="str">
        <f>IF(AND(COUNTIF($A$5:$A$133,R_DG!A1233)=0,R_DG!R1233&gt;0,ISNUMBER(R_DG!R1233)),R_DG!A1233,"NONE")</f>
        <v>NONE</v>
      </c>
      <c r="B1359" s="85">
        <f ca="1">IF(K1359&gt;0,COUNTIF(K$6:K1359,"&gt;0"),B1358)</f>
        <v>38</v>
      </c>
      <c r="C1359" s="1084">
        <f t="shared" si="207"/>
        <v>0</v>
      </c>
      <c r="D1359" s="85">
        <f t="shared" si="208"/>
        <v>0</v>
      </c>
      <c r="E1359" s="448">
        <f ca="1">SUMIF(OFFSET(tongctvtdd1,0,-(COLUMN(E1359)+7-(COLUMN(E1359)-5)/2)),KLVT!$A1359,tongctvtdd1)+SUMIF(OFFSET(tongctvtpk1,0,-(COLUMN(E1359)+7-(COLUMN(E1359)-5)/2)),KLVT!$A1359,tongctvtpk1)</f>
        <v>0</v>
      </c>
      <c r="F1359" s="449">
        <f ca="1">SUMIF(OFFSET(cttba_vlvt1_1,0,-9,-ROW(cttba_vlvt1_1)+ROW(cttba_vltb1_1)-10),KLVT!$A1359,OFFSET(cttba_vlvt1_1,0,-4,-ROW(cttba_vlvt1_1)+ROW(cttba_vltb1_1)-10))</f>
        <v>0</v>
      </c>
      <c r="G1359" s="451">
        <f t="shared" ca="1" si="209"/>
        <v>0</v>
      </c>
      <c r="H1359" s="450">
        <f t="shared" si="213"/>
        <v>1</v>
      </c>
      <c r="I1359" s="447">
        <f t="shared" ca="1" si="210"/>
        <v>0</v>
      </c>
      <c r="J1359" s="447">
        <f t="shared" ca="1" si="211"/>
        <v>0</v>
      </c>
      <c r="K1359" s="373">
        <f t="shared" ca="1" si="212"/>
        <v>0</v>
      </c>
    </row>
    <row r="1360" spans="1:11" s="373" customFormat="1" ht="15.75" hidden="1">
      <c r="A1360" s="373" t="str">
        <f>IF(AND(COUNTIF($A$5:$A$133,R_DG!A1234)=0,R_DG!R1234&gt;0,ISNUMBER(R_DG!R1234)),R_DG!A1234,"NONE")</f>
        <v>NONE</v>
      </c>
      <c r="B1360" s="85">
        <f ca="1">IF(K1360&gt;0,COUNTIF(K$6:K1360,"&gt;0"),B1359)</f>
        <v>38</v>
      </c>
      <c r="C1360" s="1084">
        <f t="shared" si="207"/>
        <v>0</v>
      </c>
      <c r="D1360" s="85">
        <f t="shared" si="208"/>
        <v>0</v>
      </c>
      <c r="E1360" s="448">
        <f ca="1">SUMIF(OFFSET(tongctvtdd1,0,-(COLUMN(E1360)+7-(COLUMN(E1360)-5)/2)),KLVT!$A1360,tongctvtdd1)+SUMIF(OFFSET(tongctvtpk1,0,-(COLUMN(E1360)+7-(COLUMN(E1360)-5)/2)),KLVT!$A1360,tongctvtpk1)</f>
        <v>0</v>
      </c>
      <c r="F1360" s="449">
        <f ca="1">SUMIF(OFFSET(cttba_vlvt1_1,0,-9,-ROW(cttba_vlvt1_1)+ROW(cttba_vltb1_1)-10),KLVT!$A1360,OFFSET(cttba_vlvt1_1,0,-4,-ROW(cttba_vlvt1_1)+ROW(cttba_vltb1_1)-10))</f>
        <v>0</v>
      </c>
      <c r="G1360" s="451">
        <f t="shared" ca="1" si="209"/>
        <v>0</v>
      </c>
      <c r="H1360" s="450">
        <f t="shared" si="213"/>
        <v>1</v>
      </c>
      <c r="I1360" s="447">
        <f t="shared" ca="1" si="210"/>
        <v>0</v>
      </c>
      <c r="J1360" s="447">
        <f t="shared" ca="1" si="211"/>
        <v>0</v>
      </c>
      <c r="K1360" s="373">
        <f t="shared" ca="1" si="212"/>
        <v>0</v>
      </c>
    </row>
    <row r="1361" spans="1:11" s="373" customFormat="1" ht="15.75" hidden="1">
      <c r="A1361" s="373" t="str">
        <f>IF(AND(COUNTIF($A$5:$A$133,R_DG!A1235)=0,R_DG!R1235&gt;0,ISNUMBER(R_DG!R1235)),R_DG!A1235,"NONE")</f>
        <v>NONE</v>
      </c>
      <c r="B1361" s="85">
        <f ca="1">IF(K1361&gt;0,COUNTIF(K$6:K1361,"&gt;0"),B1360)</f>
        <v>38</v>
      </c>
      <c r="C1361" s="1084">
        <f t="shared" si="207"/>
        <v>0</v>
      </c>
      <c r="D1361" s="85">
        <f t="shared" si="208"/>
        <v>0</v>
      </c>
      <c r="E1361" s="448">
        <f ca="1">SUMIF(OFFSET(tongctvtdd1,0,-(COLUMN(E1361)+7-(COLUMN(E1361)-5)/2)),KLVT!$A1361,tongctvtdd1)+SUMIF(OFFSET(tongctvtpk1,0,-(COLUMN(E1361)+7-(COLUMN(E1361)-5)/2)),KLVT!$A1361,tongctvtpk1)</f>
        <v>0</v>
      </c>
      <c r="F1361" s="449">
        <f ca="1">SUMIF(OFFSET(cttba_vlvt1_1,0,-9,-ROW(cttba_vlvt1_1)+ROW(cttba_vltb1_1)-10),KLVT!$A1361,OFFSET(cttba_vlvt1_1,0,-4,-ROW(cttba_vlvt1_1)+ROW(cttba_vltb1_1)-10))</f>
        <v>0</v>
      </c>
      <c r="G1361" s="451">
        <f t="shared" ca="1" si="209"/>
        <v>0</v>
      </c>
      <c r="H1361" s="450">
        <f t="shared" si="213"/>
        <v>1</v>
      </c>
      <c r="I1361" s="447">
        <f t="shared" ca="1" si="210"/>
        <v>0</v>
      </c>
      <c r="J1361" s="447">
        <f t="shared" ca="1" si="211"/>
        <v>0</v>
      </c>
      <c r="K1361" s="373">
        <f t="shared" ca="1" si="212"/>
        <v>0</v>
      </c>
    </row>
    <row r="1362" spans="1:11" s="373" customFormat="1" ht="15.75" hidden="1">
      <c r="A1362" s="373" t="str">
        <f>IF(AND(COUNTIF($A$5:$A$133,R_DG!A1236)=0,R_DG!R1236&gt;0,ISNUMBER(R_DG!R1236)),R_DG!A1236,"NONE")</f>
        <v>NONE</v>
      </c>
      <c r="B1362" s="85">
        <f ca="1">IF(K1362&gt;0,COUNTIF(K$6:K1362,"&gt;0"),B1361)</f>
        <v>38</v>
      </c>
      <c r="C1362" s="1084">
        <f t="shared" si="207"/>
        <v>0</v>
      </c>
      <c r="D1362" s="85">
        <f t="shared" si="208"/>
        <v>0</v>
      </c>
      <c r="E1362" s="448">
        <f ca="1">SUMIF(OFFSET(tongctvtdd1,0,-(COLUMN(E1362)+7-(COLUMN(E1362)-5)/2)),KLVT!$A1362,tongctvtdd1)+SUMIF(OFFSET(tongctvtpk1,0,-(COLUMN(E1362)+7-(COLUMN(E1362)-5)/2)),KLVT!$A1362,tongctvtpk1)</f>
        <v>0</v>
      </c>
      <c r="F1362" s="449">
        <f ca="1">SUMIF(OFFSET(cttba_vlvt1_1,0,-9,-ROW(cttba_vlvt1_1)+ROW(cttba_vltb1_1)-10),KLVT!$A1362,OFFSET(cttba_vlvt1_1,0,-4,-ROW(cttba_vlvt1_1)+ROW(cttba_vltb1_1)-10))</f>
        <v>0</v>
      </c>
      <c r="G1362" s="451">
        <f t="shared" ca="1" si="209"/>
        <v>0</v>
      </c>
      <c r="H1362" s="450">
        <f t="shared" si="213"/>
        <v>1</v>
      </c>
      <c r="I1362" s="447">
        <f t="shared" ca="1" si="210"/>
        <v>0</v>
      </c>
      <c r="J1362" s="447">
        <f t="shared" ca="1" si="211"/>
        <v>0</v>
      </c>
      <c r="K1362" s="373">
        <f t="shared" ca="1" si="212"/>
        <v>0</v>
      </c>
    </row>
    <row r="1363" spans="1:11" s="373" customFormat="1" ht="15.75" hidden="1">
      <c r="A1363" s="373" t="str">
        <f>IF(AND(COUNTIF($A$5:$A$133,R_DG!A1237)=0,R_DG!R1237&gt;0,ISNUMBER(R_DG!R1237)),R_DG!A1237,"NONE")</f>
        <v>NONE</v>
      </c>
      <c r="B1363" s="85">
        <f ca="1">IF(K1363&gt;0,COUNTIF(K$6:K1363,"&gt;0"),B1362)</f>
        <v>38</v>
      </c>
      <c r="C1363" s="1084">
        <f t="shared" si="207"/>
        <v>0</v>
      </c>
      <c r="D1363" s="85">
        <f t="shared" si="208"/>
        <v>0</v>
      </c>
      <c r="E1363" s="448">
        <f ca="1">SUMIF(OFFSET(tongctvtdd1,0,-(COLUMN(E1363)+7-(COLUMN(E1363)-5)/2)),KLVT!$A1363,tongctvtdd1)+SUMIF(OFFSET(tongctvtpk1,0,-(COLUMN(E1363)+7-(COLUMN(E1363)-5)/2)),KLVT!$A1363,tongctvtpk1)</f>
        <v>0</v>
      </c>
      <c r="F1363" s="449">
        <f ca="1">SUMIF(OFFSET(cttba_vlvt1_1,0,-9,-ROW(cttba_vlvt1_1)+ROW(cttba_vltb1_1)-10),KLVT!$A1363,OFFSET(cttba_vlvt1_1,0,-4,-ROW(cttba_vlvt1_1)+ROW(cttba_vltb1_1)-10))</f>
        <v>0</v>
      </c>
      <c r="G1363" s="451">
        <f t="shared" ca="1" si="209"/>
        <v>0</v>
      </c>
      <c r="H1363" s="450">
        <f t="shared" si="213"/>
        <v>1</v>
      </c>
      <c r="I1363" s="447">
        <f t="shared" ca="1" si="210"/>
        <v>0</v>
      </c>
      <c r="J1363" s="447">
        <f t="shared" ca="1" si="211"/>
        <v>0</v>
      </c>
      <c r="K1363" s="373">
        <f t="shared" ca="1" si="212"/>
        <v>0</v>
      </c>
    </row>
    <row r="1364" spans="1:11" s="373" customFormat="1" ht="15.75" hidden="1">
      <c r="A1364" s="373" t="str">
        <f>IF(AND(COUNTIF($A$5:$A$133,R_DG!A1238)=0,R_DG!R1238&gt;0,ISNUMBER(R_DG!R1238)),R_DG!A1238,"NONE")</f>
        <v>NONE</v>
      </c>
      <c r="B1364" s="85">
        <f ca="1">IF(K1364&gt;0,COUNTIF(K$6:K1364,"&gt;0"),B1363)</f>
        <v>38</v>
      </c>
      <c r="C1364" s="1084">
        <f t="shared" si="207"/>
        <v>0</v>
      </c>
      <c r="D1364" s="85">
        <f t="shared" si="208"/>
        <v>0</v>
      </c>
      <c r="E1364" s="448">
        <f ca="1">SUMIF(OFFSET(tongctvtdd1,0,-(COLUMN(E1364)+7-(COLUMN(E1364)-5)/2)),KLVT!$A1364,tongctvtdd1)+SUMIF(OFFSET(tongctvtpk1,0,-(COLUMN(E1364)+7-(COLUMN(E1364)-5)/2)),KLVT!$A1364,tongctvtpk1)</f>
        <v>0</v>
      </c>
      <c r="F1364" s="449">
        <f ca="1">SUMIF(OFFSET(cttba_vlvt1_1,0,-9,-ROW(cttba_vlvt1_1)+ROW(cttba_vltb1_1)-10),KLVT!$A1364,OFFSET(cttba_vlvt1_1,0,-4,-ROW(cttba_vlvt1_1)+ROW(cttba_vltb1_1)-10))</f>
        <v>0</v>
      </c>
      <c r="G1364" s="451">
        <f t="shared" ca="1" si="209"/>
        <v>0</v>
      </c>
      <c r="H1364" s="450">
        <f t="shared" si="213"/>
        <v>1</v>
      </c>
      <c r="I1364" s="447">
        <f t="shared" ca="1" si="210"/>
        <v>0</v>
      </c>
      <c r="J1364" s="447">
        <f t="shared" ca="1" si="211"/>
        <v>0</v>
      </c>
      <c r="K1364" s="373">
        <f t="shared" ca="1" si="212"/>
        <v>0</v>
      </c>
    </row>
    <row r="1365" spans="1:11" s="373" customFormat="1" ht="15.75" hidden="1">
      <c r="A1365" s="373" t="str">
        <f>IF(AND(COUNTIF($A$5:$A$133,R_DG!A1239)=0,R_DG!R1239&gt;0,ISNUMBER(R_DG!R1239)),R_DG!A1239,"NONE")</f>
        <v>NONE</v>
      </c>
      <c r="B1365" s="85">
        <f ca="1">IF(K1365&gt;0,COUNTIF(K$6:K1365,"&gt;0"),B1364)</f>
        <v>38</v>
      </c>
      <c r="C1365" s="1084">
        <f t="shared" si="207"/>
        <v>0</v>
      </c>
      <c r="D1365" s="85">
        <f t="shared" si="208"/>
        <v>0</v>
      </c>
      <c r="E1365" s="448">
        <f ca="1">SUMIF(OFFSET(tongctvtdd1,0,-(COLUMN(E1365)+7-(COLUMN(E1365)-5)/2)),KLVT!$A1365,tongctvtdd1)+SUMIF(OFFSET(tongctvtpk1,0,-(COLUMN(E1365)+7-(COLUMN(E1365)-5)/2)),KLVT!$A1365,tongctvtpk1)</f>
        <v>0</v>
      </c>
      <c r="F1365" s="449">
        <f ca="1">SUMIF(OFFSET(cttba_vlvt1_1,0,-9,-ROW(cttba_vlvt1_1)+ROW(cttba_vltb1_1)-10),KLVT!$A1365,OFFSET(cttba_vlvt1_1,0,-4,-ROW(cttba_vlvt1_1)+ROW(cttba_vltb1_1)-10))</f>
        <v>0</v>
      </c>
      <c r="G1365" s="451">
        <f t="shared" ca="1" si="209"/>
        <v>0</v>
      </c>
      <c r="H1365" s="450">
        <f t="shared" si="213"/>
        <v>1</v>
      </c>
      <c r="I1365" s="447">
        <f t="shared" ca="1" si="210"/>
        <v>0</v>
      </c>
      <c r="J1365" s="447">
        <f t="shared" ca="1" si="211"/>
        <v>0</v>
      </c>
      <c r="K1365" s="373">
        <f t="shared" ca="1" si="212"/>
        <v>0</v>
      </c>
    </row>
    <row r="1366" spans="1:11" s="373" customFormat="1" ht="15.75" hidden="1">
      <c r="A1366" s="373" t="str">
        <f>IF(AND(COUNTIF($A$5:$A$133,R_DG!A1240)=0,R_DG!R1240&gt;0,ISNUMBER(R_DG!R1240)),R_DG!A1240,"NONE")</f>
        <v>DIABAOHIEU</v>
      </c>
      <c r="B1366" s="85">
        <f ca="1">IF(K1366&gt;0,COUNTIF(K$6:K1366,"&gt;0"),B1365)</f>
        <v>38</v>
      </c>
      <c r="C1366" s="1084" t="str">
        <f t="shared" si="207"/>
        <v>Đĩa sứ trắng báo hiệu cáp ngầm</v>
      </c>
      <c r="D1366" s="85" t="str">
        <f t="shared" si="208"/>
        <v>cái</v>
      </c>
      <c r="E1366" s="448">
        <f ca="1">SUMIF(OFFSET(tongctvtdd1,0,-(COLUMN(E1366)+7-(COLUMN(E1366)-5)/2)),KLVT!$A1366,tongctvtdd1)+SUMIF(OFFSET(tongctvtpk1,0,-(COLUMN(E1366)+7-(COLUMN(E1366)-5)/2)),KLVT!$A1366,tongctvtpk1)</f>
        <v>0</v>
      </c>
      <c r="F1366" s="449">
        <f ca="1">SUMIF(OFFSET(cttba_vlvt1_1,0,-9,-ROW(cttba_vlvt1_1)+ROW(cttba_vltb1_1)-10),KLVT!$A1366,OFFSET(cttba_vlvt1_1,0,-4,-ROW(cttba_vlvt1_1)+ROW(cttba_vltb1_1)-10))</f>
        <v>0</v>
      </c>
      <c r="G1366" s="451">
        <f t="shared" ca="1" si="209"/>
        <v>0</v>
      </c>
      <c r="H1366" s="450">
        <f t="shared" si="213"/>
        <v>0.2</v>
      </c>
      <c r="I1366" s="447">
        <f t="shared" ca="1" si="210"/>
        <v>0</v>
      </c>
      <c r="J1366" s="447">
        <f t="shared" ca="1" si="211"/>
        <v>0</v>
      </c>
      <c r="K1366" s="373">
        <f t="shared" ca="1" si="212"/>
        <v>0</v>
      </c>
    </row>
    <row r="1367" spans="1:11" s="373" customFormat="1" ht="15.75" hidden="1">
      <c r="A1367" s="373" t="str">
        <f>IF(AND(COUNTIF($A$5:$A$133,R_DG!A1241)=0,R_DG!R1241&gt;0,ISNUMBER(R_DG!R1241)),R_DG!A1241,"NONE")</f>
        <v>DENBAO</v>
      </c>
      <c r="B1367" s="85">
        <f ca="1">IF(K1367&gt;0,COUNTIF(K$6:K1367,"&gt;0"),B1366)</f>
        <v>38</v>
      </c>
      <c r="C1367" s="1084" t="str">
        <f t="shared" si="207"/>
        <v>Đèn báo hiệu pha 5W-220V</v>
      </c>
      <c r="D1367" s="85" t="str">
        <f t="shared" si="208"/>
        <v>cái</v>
      </c>
      <c r="E1367" s="448">
        <f ca="1">SUMIF(OFFSET(tongctvtdd1,0,-(COLUMN(E1367)+7-(COLUMN(E1367)-5)/2)),KLVT!$A1367,tongctvtdd1)+SUMIF(OFFSET(tongctvtpk1,0,-(COLUMN(E1367)+7-(COLUMN(E1367)-5)/2)),KLVT!$A1367,tongctvtpk1)</f>
        <v>0</v>
      </c>
      <c r="F1367" s="449">
        <f ca="1">SUMIF(OFFSET(cttba_vlvt1_1,0,-9,-ROW(cttba_vlvt1_1)+ROW(cttba_vltb1_1)-10),KLVT!$A1367,OFFSET(cttba_vlvt1_1,0,-4,-ROW(cttba_vlvt1_1)+ROW(cttba_vltb1_1)-10))</f>
        <v>0</v>
      </c>
      <c r="G1367" s="451">
        <f t="shared" ca="1" si="209"/>
        <v>0</v>
      </c>
      <c r="H1367" s="450">
        <f t="shared" si="213"/>
        <v>0.2</v>
      </c>
      <c r="I1367" s="447">
        <f t="shared" ca="1" si="210"/>
        <v>0</v>
      </c>
      <c r="J1367" s="447">
        <f t="shared" ca="1" si="211"/>
        <v>0</v>
      </c>
      <c r="K1367" s="373">
        <f t="shared" ca="1" si="212"/>
        <v>0</v>
      </c>
    </row>
    <row r="1368" spans="1:11" s="373" customFormat="1" ht="15.75" hidden="1">
      <c r="A1368" s="373" t="str">
        <f>IF(AND(COUNTIF($A$5:$A$133,R_DG!A1242)=0,R_DG!R1242&gt;0,ISNUMBER(R_DG!R1242)),R_DG!A1242,"NONE")</f>
        <v>LUOIB40</v>
      </c>
      <c r="B1368" s="85">
        <f ca="1">IF(K1368&gt;0,COUNTIF(K$6:K1368,"&gt;0"),B1367)</f>
        <v>38</v>
      </c>
      <c r="C1368" s="1084" t="str">
        <f t="shared" si="207"/>
        <v>Lưới thép B40 3,5mm (2,2kg/m2)</v>
      </c>
      <c r="D1368" s="85" t="str">
        <f t="shared" si="208"/>
        <v>kg</v>
      </c>
      <c r="E1368" s="448">
        <f ca="1">SUMIF(OFFSET(tongctvtdd1,0,-(COLUMN(E1368)+7-(COLUMN(E1368)-5)/2)),KLVT!$A1368,tongctvtdd1)+SUMIF(OFFSET(tongctvtpk1,0,-(COLUMN(E1368)+7-(COLUMN(E1368)-5)/2)),KLVT!$A1368,tongctvtpk1)</f>
        <v>0</v>
      </c>
      <c r="F1368" s="449">
        <f ca="1">SUMIF(OFFSET(cttba_vlvt1_1,0,-9,-ROW(cttba_vlvt1_1)+ROW(cttba_vltb1_1)-10),KLVT!$A1368,OFFSET(cttba_vlvt1_1,0,-4,-ROW(cttba_vlvt1_1)+ROW(cttba_vltb1_1)-10))</f>
        <v>0</v>
      </c>
      <c r="G1368" s="451">
        <f t="shared" ca="1" si="209"/>
        <v>0</v>
      </c>
      <c r="H1368" s="450">
        <f t="shared" si="213"/>
        <v>0.2</v>
      </c>
      <c r="I1368" s="447">
        <f t="shared" ca="1" si="210"/>
        <v>0</v>
      </c>
      <c r="J1368" s="447">
        <f t="shared" ca="1" si="211"/>
        <v>0</v>
      </c>
      <c r="K1368" s="373">
        <f t="shared" ca="1" si="212"/>
        <v>0</v>
      </c>
    </row>
    <row r="1369" spans="1:11" s="373" customFormat="1" ht="15.75" hidden="1">
      <c r="A1369" s="373" t="str">
        <f>IF(AND(COUNTIF($A$5:$A$133,R_DG!A1243)=0,R_DG!R1243&gt;0,ISNUMBER(R_DG!R1243)),R_DG!A1243,"NONE")</f>
        <v>NONE</v>
      </c>
      <c r="B1369" s="85">
        <f ca="1">IF(K1369&gt;0,COUNTIF(K$6:K1369,"&gt;0"),B1368)</f>
        <v>38</v>
      </c>
      <c r="C1369" s="1084">
        <f t="shared" si="207"/>
        <v>0</v>
      </c>
      <c r="D1369" s="85">
        <f t="shared" si="208"/>
        <v>0</v>
      </c>
      <c r="E1369" s="448">
        <f ca="1">SUMIF(OFFSET(tongctvtdd1,0,-(COLUMN(E1369)+7-(COLUMN(E1369)-5)/2)),KLVT!$A1369,tongctvtdd1)+SUMIF(OFFSET(tongctvtpk1,0,-(COLUMN(E1369)+7-(COLUMN(E1369)-5)/2)),KLVT!$A1369,tongctvtpk1)</f>
        <v>0</v>
      </c>
      <c r="F1369" s="449">
        <f ca="1">SUMIF(OFFSET(cttba_vlvt1_1,0,-9,-ROW(cttba_vlvt1_1)+ROW(cttba_vltb1_1)-10),KLVT!$A1369,OFFSET(cttba_vlvt1_1,0,-4,-ROW(cttba_vlvt1_1)+ROW(cttba_vltb1_1)-10))</f>
        <v>0</v>
      </c>
      <c r="G1369" s="451">
        <f t="shared" ca="1" si="209"/>
        <v>0</v>
      </c>
      <c r="H1369" s="450">
        <f t="shared" si="213"/>
        <v>1</v>
      </c>
      <c r="I1369" s="447">
        <f t="shared" ca="1" si="210"/>
        <v>0</v>
      </c>
      <c r="J1369" s="447">
        <f t="shared" ca="1" si="211"/>
        <v>0</v>
      </c>
      <c r="K1369" s="373">
        <f t="shared" ca="1" si="212"/>
        <v>0</v>
      </c>
    </row>
    <row r="1370" spans="1:11" s="373" customFormat="1" ht="15.75" hidden="1">
      <c r="A1370" s="373" t="str">
        <f>IF(AND(COUNTIF($A$5:$A$133,R_DG!A1244)=0,R_DG!R1244&gt;0,ISNUMBER(R_DG!R1244)),R_DG!A1244,"NONE")</f>
        <v>NONE</v>
      </c>
      <c r="B1370" s="85">
        <f ca="1">IF(K1370&gt;0,COUNTIF(K$6:K1370,"&gt;0"),B1369)</f>
        <v>38</v>
      </c>
      <c r="C1370" s="1084">
        <f t="shared" si="207"/>
        <v>0</v>
      </c>
      <c r="D1370" s="85">
        <f t="shared" si="208"/>
        <v>0</v>
      </c>
      <c r="E1370" s="448">
        <f ca="1">SUMIF(OFFSET(tongctvtdd1,0,-(COLUMN(E1370)+7-(COLUMN(E1370)-5)/2)),KLVT!$A1370,tongctvtdd1)+SUMIF(OFFSET(tongctvtpk1,0,-(COLUMN(E1370)+7-(COLUMN(E1370)-5)/2)),KLVT!$A1370,tongctvtpk1)</f>
        <v>0</v>
      </c>
      <c r="F1370" s="449">
        <f ca="1">SUMIF(OFFSET(cttba_vlvt1_1,0,-9,-ROW(cttba_vlvt1_1)+ROW(cttba_vltb1_1)-10),KLVT!$A1370,OFFSET(cttba_vlvt1_1,0,-4,-ROW(cttba_vlvt1_1)+ROW(cttba_vltb1_1)-10))</f>
        <v>0</v>
      </c>
      <c r="G1370" s="451">
        <f t="shared" ca="1" si="209"/>
        <v>0</v>
      </c>
      <c r="H1370" s="450">
        <f t="shared" si="213"/>
        <v>1</v>
      </c>
      <c r="I1370" s="447">
        <f t="shared" ca="1" si="210"/>
        <v>0</v>
      </c>
      <c r="J1370" s="447">
        <f t="shared" ca="1" si="211"/>
        <v>0</v>
      </c>
      <c r="K1370" s="373">
        <f t="shared" ca="1" si="212"/>
        <v>0</v>
      </c>
    </row>
    <row r="1371" spans="1:11" s="373" customFormat="1" ht="15.75" hidden="1">
      <c r="A1371" s="373" t="str">
        <f>IF(AND(COUNTIF($A$5:$A$133,R_DG!A1245)=0,R_DG!R1245&gt;0,ISNUMBER(R_DG!R1245)),R_DG!A1245,"NONE")</f>
        <v>NONE</v>
      </c>
      <c r="B1371" s="85">
        <f ca="1">IF(K1371&gt;0,COUNTIF(K$6:K1371,"&gt;0"),B1370)</f>
        <v>38</v>
      </c>
      <c r="C1371" s="1084">
        <f t="shared" si="207"/>
        <v>0</v>
      </c>
      <c r="D1371" s="85">
        <f t="shared" si="208"/>
        <v>0</v>
      </c>
      <c r="E1371" s="448">
        <f ca="1">SUMIF(OFFSET(tongctvtdd1,0,-(COLUMN(E1371)+7-(COLUMN(E1371)-5)/2)),KLVT!$A1371,tongctvtdd1)+SUMIF(OFFSET(tongctvtpk1,0,-(COLUMN(E1371)+7-(COLUMN(E1371)-5)/2)),KLVT!$A1371,tongctvtpk1)</f>
        <v>0</v>
      </c>
      <c r="F1371" s="449">
        <f ca="1">SUMIF(OFFSET(cttba_vlvt1_1,0,-9,-ROW(cttba_vlvt1_1)+ROW(cttba_vltb1_1)-10),KLVT!$A1371,OFFSET(cttba_vlvt1_1,0,-4,-ROW(cttba_vlvt1_1)+ROW(cttba_vltb1_1)-10))</f>
        <v>0</v>
      </c>
      <c r="G1371" s="451">
        <f t="shared" ca="1" si="209"/>
        <v>0</v>
      </c>
      <c r="H1371" s="450">
        <f t="shared" si="213"/>
        <v>1</v>
      </c>
      <c r="I1371" s="447">
        <f t="shared" ca="1" si="210"/>
        <v>0</v>
      </c>
      <c r="J1371" s="447">
        <f t="shared" ca="1" si="211"/>
        <v>0</v>
      </c>
      <c r="K1371" s="373">
        <f t="shared" ca="1" si="212"/>
        <v>0</v>
      </c>
    </row>
    <row r="1372" spans="1:11" s="373" customFormat="1" ht="15.75" hidden="1">
      <c r="A1372" s="373" t="str">
        <f>IF(AND(COUNTIF($A$5:$A$133,R_DG!A1246)=0,R_DG!R1246&gt;0,ISNUMBER(R_DG!R1246)),R_DG!A1246,"NONE")</f>
        <v>TUDKCS</v>
      </c>
      <c r="B1372" s="85">
        <f ca="1">IF(K1372&gt;0,COUNTIF(K$6:K1372,"&gt;0"),B1371)</f>
        <v>38</v>
      </c>
      <c r="C1372" s="1084" t="str">
        <f t="shared" si="207"/>
        <v>Tủ điều khiển chiếu sáng đứng 01 ngăn, dày 2mm kích thước 650x450x350mm-sơn tĩnh điện (các thiết bị chính gồm: 01 MCCB 3P-75A, 01 Logo siemens, 02 công tắc tơ 50A, đèn báo pha, công tắc gạt, nút nhấn,...)</v>
      </c>
      <c r="D1372" s="85" t="str">
        <f t="shared" si="208"/>
        <v>cái</v>
      </c>
      <c r="E1372" s="448">
        <f ca="1">SUMIF(OFFSET(tongctvtdd1,0,-(COLUMN(E1372)+7-(COLUMN(E1372)-5)/2)),KLVT!$A1372,tongctvtdd1)+SUMIF(OFFSET(tongctvtpk1,0,-(COLUMN(E1372)+7-(COLUMN(E1372)-5)/2)),KLVT!$A1372,tongctvtpk1)</f>
        <v>0</v>
      </c>
      <c r="F1372" s="449">
        <f ca="1">SUMIF(OFFSET(cttba_vlvt1_1,0,-9,-ROW(cttba_vlvt1_1)+ROW(cttba_vltb1_1)-10),KLVT!$A1372,OFFSET(cttba_vlvt1_1,0,-4,-ROW(cttba_vlvt1_1)+ROW(cttba_vltb1_1)-10))</f>
        <v>0</v>
      </c>
      <c r="G1372" s="451">
        <f t="shared" ca="1" si="209"/>
        <v>0</v>
      </c>
      <c r="H1372" s="450">
        <f t="shared" si="213"/>
        <v>50</v>
      </c>
      <c r="I1372" s="447">
        <f t="shared" ca="1" si="210"/>
        <v>0</v>
      </c>
      <c r="J1372" s="447">
        <f t="shared" ca="1" si="211"/>
        <v>0</v>
      </c>
      <c r="K1372" s="373">
        <f t="shared" ca="1" si="212"/>
        <v>0</v>
      </c>
    </row>
    <row r="1373" spans="1:11" s="373" customFormat="1" ht="15.75" hidden="1">
      <c r="A1373" s="373" t="str">
        <f>IF(AND(COUNTIF($A$5:$A$133,R_DG!A1247)=0,R_DG!R1247&gt;0,ISNUMBER(R_DG!R1247)),R_DG!A1247,"NONE")</f>
        <v>LTUDKCS</v>
      </c>
      <c r="B1373" s="85">
        <f ca="1">IF(K1373&gt;0,COUNTIF(K$6:K1373,"&gt;0"),B1372)</f>
        <v>38</v>
      </c>
      <c r="C1373" s="1084" t="str">
        <f t="shared" si="207"/>
        <v>Lắp đặt tủ điều khiển độ cao &lt;2m</v>
      </c>
      <c r="D1373" s="85" t="str">
        <f t="shared" si="208"/>
        <v>cái</v>
      </c>
      <c r="E1373" s="448">
        <f ca="1">SUMIF(OFFSET(tongctvtdd1,0,-(COLUMN(E1373)+7-(COLUMN(E1373)-5)/2)),KLVT!$A1373,tongctvtdd1)+SUMIF(OFFSET(tongctvtpk1,0,-(COLUMN(E1373)+7-(COLUMN(E1373)-5)/2)),KLVT!$A1373,tongctvtpk1)</f>
        <v>0</v>
      </c>
      <c r="F1373" s="449">
        <f ca="1">SUMIF(OFFSET(cttba_vlvt1_1,0,-9,-ROW(cttba_vlvt1_1)+ROW(cttba_vltb1_1)-10),KLVT!$A1373,OFFSET(cttba_vlvt1_1,0,-4,-ROW(cttba_vlvt1_1)+ROW(cttba_vltb1_1)-10))</f>
        <v>0</v>
      </c>
      <c r="G1373" s="451">
        <f t="shared" ca="1" si="209"/>
        <v>0</v>
      </c>
      <c r="H1373" s="450">
        <f t="shared" si="213"/>
        <v>50</v>
      </c>
      <c r="I1373" s="447">
        <f t="shared" ca="1" si="210"/>
        <v>0</v>
      </c>
      <c r="J1373" s="447">
        <f t="shared" ca="1" si="211"/>
        <v>0</v>
      </c>
      <c r="K1373" s="373">
        <f t="shared" ca="1" si="212"/>
        <v>0</v>
      </c>
    </row>
    <row r="1374" spans="1:11" s="373" customFormat="1" ht="15.75" hidden="1">
      <c r="A1374" s="373" t="str">
        <f>IF(AND(COUNTIF($A$5:$A$133,R_DG!A1248)=0,R_DG!R1248&gt;0,ISNUMBER(R_DG!R1248)),R_DG!A1248,"NONE")</f>
        <v>TRTHEP6</v>
      </c>
      <c r="B1374" s="85">
        <f ca="1">IF(K1374&gt;0,COUNTIF(K$6:K1374,"&gt;0"),B1373)</f>
        <v>38</v>
      </c>
      <c r="C1374" s="1084" t="str">
        <f t="shared" si="207"/>
        <v>Trụ đèn chiếu sáng côn tròn STK cao 6m, dày 3mm, D60/150mm. Đế 375x375x10mm</v>
      </c>
      <c r="D1374" s="85" t="str">
        <f t="shared" si="208"/>
        <v>trụ</v>
      </c>
      <c r="E1374" s="448">
        <f ca="1">SUMIF(OFFSET(tongctvtdd1,0,-(COLUMN(E1374)+7-(COLUMN(E1374)-5)/2)),KLVT!$A1374,tongctvtdd1)+SUMIF(OFFSET(tongctvtpk1,0,-(COLUMN(E1374)+7-(COLUMN(E1374)-5)/2)),KLVT!$A1374,tongctvtpk1)</f>
        <v>0</v>
      </c>
      <c r="F1374" s="449">
        <f ca="1">SUMIF(OFFSET(cttba_vlvt1_1,0,-9,-ROW(cttba_vlvt1_1)+ROW(cttba_vltb1_1)-10),KLVT!$A1374,OFFSET(cttba_vlvt1_1,0,-4,-ROW(cttba_vlvt1_1)+ROW(cttba_vltb1_1)-10))</f>
        <v>0</v>
      </c>
      <c r="G1374" s="451">
        <f t="shared" ca="1" si="209"/>
        <v>0</v>
      </c>
      <c r="H1374" s="450">
        <f t="shared" si="213"/>
        <v>200</v>
      </c>
      <c r="I1374" s="447">
        <f t="shared" ca="1" si="210"/>
        <v>0</v>
      </c>
      <c r="J1374" s="447">
        <f t="shared" ca="1" si="211"/>
        <v>0</v>
      </c>
      <c r="K1374" s="373">
        <f t="shared" ca="1" si="212"/>
        <v>0</v>
      </c>
    </row>
    <row r="1375" spans="1:11" s="373" customFormat="1" ht="15.75" hidden="1">
      <c r="A1375" s="373" t="str">
        <f>IF(AND(COUNTIF($A$5:$A$133,R_DG!A1249)=0,R_DG!R1249&gt;0,ISNUMBER(R_DG!R1249)),R_DG!A1249,"NONE")</f>
        <v>TRTHEP7</v>
      </c>
      <c r="B1375" s="85">
        <f ca="1">IF(K1375&gt;0,COUNTIF(K$6:K1375,"&gt;0"),B1374)</f>
        <v>38</v>
      </c>
      <c r="C1375" s="1084" t="str">
        <f t="shared" si="207"/>
        <v>Trụ đèn chiếu sáng côn tròn STK cao 7m, dày 3mm, D60/150mm. Đế 375x375x10mm</v>
      </c>
      <c r="D1375" s="85" t="str">
        <f t="shared" si="208"/>
        <v>trụ</v>
      </c>
      <c r="E1375" s="448">
        <f ca="1">SUMIF(OFFSET(tongctvtdd1,0,-(COLUMN(E1375)+7-(COLUMN(E1375)-5)/2)),KLVT!$A1375,tongctvtdd1)+SUMIF(OFFSET(tongctvtpk1,0,-(COLUMN(E1375)+7-(COLUMN(E1375)-5)/2)),KLVT!$A1375,tongctvtpk1)</f>
        <v>0</v>
      </c>
      <c r="F1375" s="449">
        <f ca="1">SUMIF(OFFSET(cttba_vlvt1_1,0,-9,-ROW(cttba_vlvt1_1)+ROW(cttba_vltb1_1)-10),KLVT!$A1375,OFFSET(cttba_vlvt1_1,0,-4,-ROW(cttba_vlvt1_1)+ROW(cttba_vltb1_1)-10))</f>
        <v>0</v>
      </c>
      <c r="G1375" s="451">
        <f t="shared" ca="1" si="209"/>
        <v>0</v>
      </c>
      <c r="H1375" s="450">
        <f t="shared" si="213"/>
        <v>250</v>
      </c>
      <c r="I1375" s="447">
        <f t="shared" ca="1" si="210"/>
        <v>0</v>
      </c>
      <c r="J1375" s="447">
        <f t="shared" ca="1" si="211"/>
        <v>0</v>
      </c>
      <c r="K1375" s="373">
        <f t="shared" ca="1" si="212"/>
        <v>0</v>
      </c>
    </row>
    <row r="1376" spans="1:11" s="373" customFormat="1" ht="15.75" hidden="1">
      <c r="A1376" s="373" t="str">
        <f>IF(AND(COUNTIF($A$5:$A$133,R_DG!A1250)=0,R_DG!R1250&gt;0,ISNUMBER(R_DG!R1250)),R_DG!A1250,"NONE")</f>
        <v>TRTHEP8</v>
      </c>
      <c r="B1376" s="85">
        <f ca="1">IF(K1376&gt;0,COUNTIF(K$6:K1376,"&gt;0"),B1375)</f>
        <v>38</v>
      </c>
      <c r="C1376" s="1084" t="str">
        <f t="shared" si="207"/>
        <v>Trụ đèn chiếu sáng côn tròn STK cao 8m, dày 3mm, D60/191mm. Đế 375x375x10mm</v>
      </c>
      <c r="D1376" s="85" t="str">
        <f t="shared" si="208"/>
        <v>trụ</v>
      </c>
      <c r="E1376" s="448">
        <f ca="1">SUMIF(OFFSET(tongctvtdd1,0,-(COLUMN(E1376)+7-(COLUMN(E1376)-5)/2)),KLVT!$A1376,tongctvtdd1)+SUMIF(OFFSET(tongctvtpk1,0,-(COLUMN(E1376)+7-(COLUMN(E1376)-5)/2)),KLVT!$A1376,tongctvtpk1)</f>
        <v>0</v>
      </c>
      <c r="F1376" s="449">
        <f ca="1">SUMIF(OFFSET(cttba_vlvt1_1,0,-9,-ROW(cttba_vlvt1_1)+ROW(cttba_vltb1_1)-10),KLVT!$A1376,OFFSET(cttba_vlvt1_1,0,-4,-ROW(cttba_vlvt1_1)+ROW(cttba_vltb1_1)-10))</f>
        <v>0</v>
      </c>
      <c r="G1376" s="451">
        <f t="shared" ca="1" si="209"/>
        <v>0</v>
      </c>
      <c r="H1376" s="450">
        <f t="shared" si="213"/>
        <v>200</v>
      </c>
      <c r="I1376" s="447">
        <f t="shared" ca="1" si="210"/>
        <v>0</v>
      </c>
      <c r="J1376" s="447">
        <f t="shared" ca="1" si="211"/>
        <v>0</v>
      </c>
      <c r="K1376" s="373">
        <f t="shared" ca="1" si="212"/>
        <v>0</v>
      </c>
    </row>
    <row r="1377" spans="1:11" s="373" customFormat="1" ht="15.75" hidden="1">
      <c r="A1377" s="373" t="str">
        <f>IF(AND(COUNTIF($A$5:$A$133,R_DG!A1251)=0,R_DG!R1251&gt;0,ISNUMBER(R_DG!R1251)),R_DG!A1251,"NONE")</f>
        <v>TRTHEP9</v>
      </c>
      <c r="B1377" s="85">
        <f ca="1">IF(K1377&gt;0,COUNTIF(K$6:K1377,"&gt;0"),B1376)</f>
        <v>38</v>
      </c>
      <c r="C1377" s="1084" t="str">
        <f t="shared" si="207"/>
        <v>Trụ đèn chiếu sáng côn tròn STK cao 9m, dày 4mm, D60/150mm. Đế 375x375x10mm</v>
      </c>
      <c r="D1377" s="85" t="str">
        <f t="shared" si="208"/>
        <v>trụ</v>
      </c>
      <c r="E1377" s="448">
        <f ca="1">SUMIF(OFFSET(tongctvtdd1,0,-(COLUMN(E1377)+7-(COLUMN(E1377)-5)/2)),KLVT!$A1377,tongctvtdd1)+SUMIF(OFFSET(tongctvtpk1,0,-(COLUMN(E1377)+7-(COLUMN(E1377)-5)/2)),KLVT!$A1377,tongctvtpk1)</f>
        <v>0</v>
      </c>
      <c r="F1377" s="449">
        <f ca="1">SUMIF(OFFSET(cttba_vlvt1_1,0,-9,-ROW(cttba_vlvt1_1)+ROW(cttba_vltb1_1)-10),KLVT!$A1377,OFFSET(cttba_vlvt1_1,0,-4,-ROW(cttba_vlvt1_1)+ROW(cttba_vltb1_1)-10))</f>
        <v>0</v>
      </c>
      <c r="G1377" s="451">
        <f t="shared" ca="1" si="209"/>
        <v>0</v>
      </c>
      <c r="H1377" s="450">
        <f t="shared" si="213"/>
        <v>250</v>
      </c>
      <c r="I1377" s="447">
        <f t="shared" ca="1" si="210"/>
        <v>0</v>
      </c>
      <c r="J1377" s="447">
        <f t="shared" ca="1" si="211"/>
        <v>0</v>
      </c>
      <c r="K1377" s="373">
        <f t="shared" ca="1" si="212"/>
        <v>0</v>
      </c>
    </row>
    <row r="1378" spans="1:11" s="373" customFormat="1" ht="15.75" hidden="1">
      <c r="A1378" s="373" t="str">
        <f>IF(AND(COUNTIF($A$5:$A$133,R_DG!A1252)=0,R_DG!R1252&gt;0,ISNUMBER(R_DG!R1252)),R_DG!A1252,"NONE")</f>
        <v>TRTHEP10</v>
      </c>
      <c r="B1378" s="85">
        <f ca="1">IF(K1378&gt;0,COUNTIF(K$6:K1378,"&gt;0"),B1377)</f>
        <v>38</v>
      </c>
      <c r="C1378" s="1084" t="str">
        <f t="shared" si="207"/>
        <v>Trụ đèn chiếu sáng côn tròn STK cao 10m, dày 4mm, D60/191mm. Đế 375x375x10mm</v>
      </c>
      <c r="D1378" s="85" t="str">
        <f t="shared" si="208"/>
        <v>trụ</v>
      </c>
      <c r="E1378" s="448">
        <f ca="1">SUMIF(OFFSET(tongctvtdd1,0,-(COLUMN(E1378)+7-(COLUMN(E1378)-5)/2)),KLVT!$A1378,tongctvtdd1)+SUMIF(OFFSET(tongctvtpk1,0,-(COLUMN(E1378)+7-(COLUMN(E1378)-5)/2)),KLVT!$A1378,tongctvtpk1)</f>
        <v>0</v>
      </c>
      <c r="F1378" s="449">
        <f ca="1">SUMIF(OFFSET(cttba_vlvt1_1,0,-9,-ROW(cttba_vlvt1_1)+ROW(cttba_vltb1_1)-10),KLVT!$A1378,OFFSET(cttba_vlvt1_1,0,-4,-ROW(cttba_vlvt1_1)+ROW(cttba_vltb1_1)-10))</f>
        <v>0</v>
      </c>
      <c r="G1378" s="451">
        <f t="shared" ca="1" si="209"/>
        <v>0</v>
      </c>
      <c r="H1378" s="450">
        <f t="shared" si="213"/>
        <v>200</v>
      </c>
      <c r="I1378" s="447">
        <f t="shared" ca="1" si="210"/>
        <v>0</v>
      </c>
      <c r="J1378" s="447">
        <f t="shared" ca="1" si="211"/>
        <v>0</v>
      </c>
      <c r="K1378" s="373">
        <f t="shared" ca="1" si="212"/>
        <v>0</v>
      </c>
    </row>
    <row r="1379" spans="1:11" s="373" customFormat="1" ht="15.75" hidden="1">
      <c r="A1379" s="373" t="str">
        <f>IF(AND(COUNTIF($A$5:$A$133,R_DG!A1253)=0,R_DG!R1253&gt;0,ISNUMBER(R_DG!R1253)),R_DG!A1253,"NONE")</f>
        <v>TRTHEP11</v>
      </c>
      <c r="B1379" s="85">
        <f ca="1">IF(K1379&gt;0,COUNTIF(K$6:K1379,"&gt;0"),B1378)</f>
        <v>38</v>
      </c>
      <c r="C1379" s="1084" t="str">
        <f t="shared" si="207"/>
        <v>Trụ đèn chiếu sáng côn tròn STK cao 11m, dày 4mm, D60/150mm. Đế 375x375x10mm</v>
      </c>
      <c r="D1379" s="85" t="str">
        <f t="shared" si="208"/>
        <v>trụ</v>
      </c>
      <c r="E1379" s="448">
        <f ca="1">SUMIF(OFFSET(tongctvtdd1,0,-(COLUMN(E1379)+7-(COLUMN(E1379)-5)/2)),KLVT!$A1379,tongctvtdd1)+SUMIF(OFFSET(tongctvtpk1,0,-(COLUMN(E1379)+7-(COLUMN(E1379)-5)/2)),KLVT!$A1379,tongctvtpk1)</f>
        <v>0</v>
      </c>
      <c r="F1379" s="449">
        <f ca="1">SUMIF(OFFSET(cttba_vlvt1_1,0,-9,-ROW(cttba_vlvt1_1)+ROW(cttba_vltb1_1)-10),KLVT!$A1379,OFFSET(cttba_vlvt1_1,0,-4,-ROW(cttba_vlvt1_1)+ROW(cttba_vltb1_1)-10))</f>
        <v>0</v>
      </c>
      <c r="G1379" s="451">
        <f t="shared" ca="1" si="209"/>
        <v>0</v>
      </c>
      <c r="H1379" s="450">
        <f t="shared" si="213"/>
        <v>250</v>
      </c>
      <c r="I1379" s="447">
        <f t="shared" ca="1" si="210"/>
        <v>0</v>
      </c>
      <c r="J1379" s="447">
        <f t="shared" ca="1" si="211"/>
        <v>0</v>
      </c>
      <c r="K1379" s="373">
        <f t="shared" ca="1" si="212"/>
        <v>0</v>
      </c>
    </row>
    <row r="1380" spans="1:11" s="373" customFormat="1" ht="15.75" hidden="1">
      <c r="A1380" s="373" t="str">
        <f>IF(AND(COUNTIF($A$5:$A$133,R_DG!A1254)=0,R_DG!R1254&gt;0,ISNUMBER(R_DG!R1254)),R_DG!A1254,"NONE")</f>
        <v>BLED150CS</v>
      </c>
      <c r="B1380" s="85">
        <f ca="1">IF(K1380&gt;0,COUNTIF(K$6:K1380,"&gt;0"),B1379)</f>
        <v>38</v>
      </c>
      <c r="C1380" s="1084" t="str">
        <f t="shared" si="207"/>
        <v>Bộ đèn LED 150W (150x1), ánh sáng trắng, IP66, D49</v>
      </c>
      <c r="D1380" s="85" t="str">
        <f t="shared" si="208"/>
        <v>cái</v>
      </c>
      <c r="E1380" s="448">
        <f ca="1">SUMIF(OFFSET(tongctvtdd1,0,-(COLUMN(E1380)+7-(COLUMN(E1380)-5)/2)),KLVT!$A1380,tongctvtdd1)+SUMIF(OFFSET(tongctvtpk1,0,-(COLUMN(E1380)+7-(COLUMN(E1380)-5)/2)),KLVT!$A1380,tongctvtpk1)</f>
        <v>0</v>
      </c>
      <c r="F1380" s="449">
        <f ca="1">SUMIF(OFFSET(cttba_vlvt1_1,0,-9,-ROW(cttba_vlvt1_1)+ROW(cttba_vltb1_1)-10),KLVT!$A1380,OFFSET(cttba_vlvt1_1,0,-4,-ROW(cttba_vlvt1_1)+ROW(cttba_vltb1_1)-10))</f>
        <v>0</v>
      </c>
      <c r="G1380" s="451">
        <f t="shared" ca="1" si="209"/>
        <v>0</v>
      </c>
      <c r="H1380" s="450">
        <f t="shared" si="213"/>
        <v>200</v>
      </c>
      <c r="I1380" s="447">
        <f t="shared" ca="1" si="210"/>
        <v>0</v>
      </c>
      <c r="J1380" s="447">
        <f t="shared" ca="1" si="211"/>
        <v>0</v>
      </c>
      <c r="K1380" s="373">
        <f t="shared" ca="1" si="212"/>
        <v>0</v>
      </c>
    </row>
    <row r="1381" spans="1:11" s="373" customFormat="1" ht="15.75" hidden="1">
      <c r="A1381" s="373" t="str">
        <f>IF(AND(COUNTIF($A$5:$A$133,R_DG!A1255)=0,R_DG!R1255&gt;0,ISNUMBER(R_DG!R1255)),R_DG!A1255,"NONE")</f>
        <v>BLED180CS</v>
      </c>
      <c r="B1381" s="85">
        <f ca="1">IF(K1381&gt;0,COUNTIF(K$6:K1381,"&gt;0"),B1380)</f>
        <v>38</v>
      </c>
      <c r="C1381" s="1084" t="str">
        <f t="shared" si="207"/>
        <v>Bộ đèn LED 180W (180x1), ánh sáng trắng, IP66, D49</v>
      </c>
      <c r="D1381" s="85" t="str">
        <f t="shared" si="208"/>
        <v>cái</v>
      </c>
      <c r="E1381" s="448">
        <f ca="1">SUMIF(OFFSET(tongctvtdd1,0,-(COLUMN(E1381)+7-(COLUMN(E1381)-5)/2)),KLVT!$A1381,tongctvtdd1)+SUMIF(OFFSET(tongctvtpk1,0,-(COLUMN(E1381)+7-(COLUMN(E1381)-5)/2)),KLVT!$A1381,tongctvtpk1)</f>
        <v>0</v>
      </c>
      <c r="F1381" s="449">
        <f ca="1">SUMIF(OFFSET(cttba_vlvt1_1,0,-9,-ROW(cttba_vlvt1_1)+ROW(cttba_vltb1_1)-10),KLVT!$A1381,OFFSET(cttba_vlvt1_1,0,-4,-ROW(cttba_vlvt1_1)+ROW(cttba_vltb1_1)-10))</f>
        <v>0</v>
      </c>
      <c r="G1381" s="451">
        <f t="shared" ca="1" si="209"/>
        <v>0</v>
      </c>
      <c r="H1381" s="450">
        <f t="shared" si="213"/>
        <v>200</v>
      </c>
      <c r="I1381" s="447">
        <f t="shared" ca="1" si="210"/>
        <v>0</v>
      </c>
      <c r="J1381" s="447">
        <f t="shared" ca="1" si="211"/>
        <v>0</v>
      </c>
      <c r="K1381" s="373">
        <f t="shared" ca="1" si="212"/>
        <v>0</v>
      </c>
    </row>
    <row r="1382" spans="1:11" s="373" customFormat="1" ht="15.75" hidden="1">
      <c r="A1382" s="373" t="str">
        <f>IF(AND(COUNTIF($A$5:$A$133,R_DG!A1256)=0,R_DG!R1256&gt;0,ISNUMBER(R_DG!R1256)),R_DG!A1256,"NONE")</f>
        <v>BLED200CS</v>
      </c>
      <c r="B1382" s="85">
        <f ca="1">IF(K1382&gt;0,COUNTIF(K$6:K1382,"&gt;0"),B1381)</f>
        <v>38</v>
      </c>
      <c r="C1382" s="1084" t="str">
        <f t="shared" si="207"/>
        <v>Bộ đèn LED 200W (200x1), ánh sáng trắng, IP66, D49</v>
      </c>
      <c r="D1382" s="85" t="str">
        <f t="shared" si="208"/>
        <v>cái</v>
      </c>
      <c r="E1382" s="448">
        <f ca="1">SUMIF(OFFSET(tongctvtdd1,0,-(COLUMN(E1382)+7-(COLUMN(E1382)-5)/2)),KLVT!$A1382,tongctvtdd1)+SUMIF(OFFSET(tongctvtpk1,0,-(COLUMN(E1382)+7-(COLUMN(E1382)-5)/2)),KLVT!$A1382,tongctvtpk1)</f>
        <v>0</v>
      </c>
      <c r="F1382" s="449">
        <f ca="1">SUMIF(OFFSET(cttba_vlvt1_1,0,-9,-ROW(cttba_vlvt1_1)+ROW(cttba_vltb1_1)-10),KLVT!$A1382,OFFSET(cttba_vlvt1_1,0,-4,-ROW(cttba_vlvt1_1)+ROW(cttba_vltb1_1)-10))</f>
        <v>0</v>
      </c>
      <c r="G1382" s="451">
        <f t="shared" ca="1" si="209"/>
        <v>0</v>
      </c>
      <c r="H1382" s="450">
        <f t="shared" si="213"/>
        <v>200</v>
      </c>
      <c r="I1382" s="447">
        <f t="shared" ca="1" si="210"/>
        <v>0</v>
      </c>
      <c r="J1382" s="447">
        <f t="shared" ca="1" si="211"/>
        <v>0</v>
      </c>
      <c r="K1382" s="373">
        <f t="shared" ca="1" si="212"/>
        <v>0</v>
      </c>
    </row>
    <row r="1383" spans="1:11" s="373" customFormat="1" ht="15.75" hidden="1">
      <c r="A1383" s="373" t="str">
        <f>IF(AND(COUNTIF($A$5:$A$133,R_DG!A1257)=0,R_DG!R1257&gt;0,ISNUMBER(R_DG!R1257)),R_DG!A1257,"NONE")</f>
        <v>CANDON1.5CS</v>
      </c>
      <c r="B1383" s="85">
        <f ca="1">IF(K1383&gt;0,COUNTIF(K$6:K1383,"&gt;0"),B1382)</f>
        <v>38</v>
      </c>
      <c r="C1383" s="1084" t="str">
        <f t="shared" si="207"/>
        <v>Cần đèn đơn STK cao 2m, vươn xa 1.5m, dày 2mm, D60mm + ống nối D49mm</v>
      </c>
      <c r="D1383" s="85" t="str">
        <f t="shared" si="208"/>
        <v>cần</v>
      </c>
      <c r="E1383" s="448">
        <f ca="1">SUMIF(OFFSET(tongctvtdd1,0,-(COLUMN(E1383)+7-(COLUMN(E1383)-5)/2)),KLVT!$A1383,tongctvtdd1)+SUMIF(OFFSET(tongctvtpk1,0,-(COLUMN(E1383)+7-(COLUMN(E1383)-5)/2)),KLVT!$A1383,tongctvtpk1)</f>
        <v>0</v>
      </c>
      <c r="F1383" s="449">
        <f ca="1">SUMIF(OFFSET(cttba_vlvt1_1,0,-9,-ROW(cttba_vlvt1_1)+ROW(cttba_vltb1_1)-10),KLVT!$A1383,OFFSET(cttba_vlvt1_1,0,-4,-ROW(cttba_vlvt1_1)+ROW(cttba_vltb1_1)-10))</f>
        <v>0</v>
      </c>
      <c r="G1383" s="451">
        <f t="shared" ca="1" si="209"/>
        <v>0</v>
      </c>
      <c r="H1383" s="450">
        <f t="shared" si="213"/>
        <v>30</v>
      </c>
      <c r="I1383" s="447">
        <f t="shared" ca="1" si="210"/>
        <v>0</v>
      </c>
      <c r="J1383" s="447">
        <f t="shared" ca="1" si="211"/>
        <v>0</v>
      </c>
      <c r="K1383" s="373">
        <f t="shared" ca="1" si="212"/>
        <v>0</v>
      </c>
    </row>
    <row r="1384" spans="1:11" s="373" customFormat="1" ht="15.75" hidden="1">
      <c r="A1384" s="373" t="str">
        <f>IF(AND(COUNTIF($A$5:$A$133,R_DG!A1258)=0,R_DG!R1258&gt;0,ISNUMBER(R_DG!R1258)),R_DG!A1258,"NONE")</f>
        <v>CANDOI1.5CS</v>
      </c>
      <c r="B1384" s="85">
        <f ca="1">IF(K1384&gt;0,COUNTIF(K$6:K1384,"&gt;0"),B1383)</f>
        <v>38</v>
      </c>
      <c r="C1384" s="1084" t="str">
        <f t="shared" si="207"/>
        <v>Cần đèn đôi STK cao 2m, vươn xa 1.5m, dày 2mm, D60mm + ống nối D49mm</v>
      </c>
      <c r="D1384" s="85" t="str">
        <f t="shared" si="208"/>
        <v>cần</v>
      </c>
      <c r="E1384" s="448">
        <f ca="1">SUMIF(OFFSET(tongctvtdd1,0,-(COLUMN(E1384)+7-(COLUMN(E1384)-5)/2)),KLVT!$A1384,tongctvtdd1)+SUMIF(OFFSET(tongctvtpk1,0,-(COLUMN(E1384)+7-(COLUMN(E1384)-5)/2)),KLVT!$A1384,tongctvtpk1)</f>
        <v>0</v>
      </c>
      <c r="F1384" s="449">
        <f ca="1">SUMIF(OFFSET(cttba_vlvt1_1,0,-9,-ROW(cttba_vlvt1_1)+ROW(cttba_vltb1_1)-10),KLVT!$A1384,OFFSET(cttba_vlvt1_1,0,-4,-ROW(cttba_vlvt1_1)+ROW(cttba_vltb1_1)-10))</f>
        <v>0</v>
      </c>
      <c r="G1384" s="451">
        <f t="shared" ca="1" si="209"/>
        <v>0</v>
      </c>
      <c r="H1384" s="450">
        <f t="shared" si="213"/>
        <v>30</v>
      </c>
      <c r="I1384" s="447">
        <f t="shared" ca="1" si="210"/>
        <v>0</v>
      </c>
      <c r="J1384" s="447">
        <f t="shared" ca="1" si="211"/>
        <v>0</v>
      </c>
      <c r="K1384" s="373">
        <f t="shared" ca="1" si="212"/>
        <v>0</v>
      </c>
    </row>
    <row r="1385" spans="1:11" s="373" customFormat="1" ht="15.75" hidden="1">
      <c r="A1385" s="373" t="str">
        <f>IF(AND(COUNTIF($A$5:$A$133,R_DG!A1259)=0,R_DG!R1259&gt;0,ISNUMBER(R_DG!R1259)),R_DG!A1259,"NONE")</f>
        <v>CANBA1.5CS</v>
      </c>
      <c r="B1385" s="85">
        <f ca="1">IF(K1385&gt;0,COUNTIF(K$6:K1385,"&gt;0"),B1384)</f>
        <v>38</v>
      </c>
      <c r="C1385" s="1084" t="str">
        <f t="shared" si="207"/>
        <v>Cần đèn ba STK cao 2m, vươn xa 1.5m, dày 2mm, D60mm + ống nối D49mm (1 nhánh để rời bắt bass)</v>
      </c>
      <c r="D1385" s="85" t="str">
        <f t="shared" si="208"/>
        <v>cần</v>
      </c>
      <c r="E1385" s="448">
        <f ca="1">SUMIF(OFFSET(tongctvtdd1,0,-(COLUMN(E1385)+7-(COLUMN(E1385)-5)/2)),KLVT!$A1385,tongctvtdd1)+SUMIF(OFFSET(tongctvtpk1,0,-(COLUMN(E1385)+7-(COLUMN(E1385)-5)/2)),KLVT!$A1385,tongctvtpk1)</f>
        <v>0</v>
      </c>
      <c r="F1385" s="449">
        <f ca="1">SUMIF(OFFSET(cttba_vlvt1_1,0,-9,-ROW(cttba_vlvt1_1)+ROW(cttba_vltb1_1)-10),KLVT!$A1385,OFFSET(cttba_vlvt1_1,0,-4,-ROW(cttba_vlvt1_1)+ROW(cttba_vltb1_1)-10))</f>
        <v>0</v>
      </c>
      <c r="G1385" s="451">
        <f t="shared" ca="1" si="209"/>
        <v>0</v>
      </c>
      <c r="H1385" s="450">
        <f t="shared" si="213"/>
        <v>30</v>
      </c>
      <c r="I1385" s="447">
        <f t="shared" ca="1" si="210"/>
        <v>0</v>
      </c>
      <c r="J1385" s="447">
        <f t="shared" ca="1" si="211"/>
        <v>0</v>
      </c>
      <c r="K1385" s="373">
        <f t="shared" ca="1" si="212"/>
        <v>0</v>
      </c>
    </row>
    <row r="1386" spans="1:11" s="373" customFormat="1" ht="15.75" hidden="1">
      <c r="A1386" s="373" t="str">
        <f>IF(AND(COUNTIF($A$5:$A$133,R_DG!A1260)=0,R_DG!R1260&gt;0,ISNUMBER(R_DG!R1260)),R_DG!A1260,"NONE")</f>
        <v>CANBON1.5CS</v>
      </c>
      <c r="B1386" s="85">
        <f ca="1">IF(K1386&gt;0,COUNTIF(K$6:K1386,"&gt;0"),B1385)</f>
        <v>38</v>
      </c>
      <c r="C1386" s="1084" t="str">
        <f t="shared" si="207"/>
        <v>Cần đèn bốn STK cao 2m, vươn xa 1.5m, dày 2mm, D60mm + ống nối D49mm (2 nhánh để rời bắt bass)</v>
      </c>
      <c r="D1386" s="85" t="str">
        <f t="shared" si="208"/>
        <v>cần</v>
      </c>
      <c r="E1386" s="448">
        <f ca="1">SUMIF(OFFSET(tongctvtdd1,0,-(COLUMN(E1386)+7-(COLUMN(E1386)-5)/2)),KLVT!$A1386,tongctvtdd1)+SUMIF(OFFSET(tongctvtpk1,0,-(COLUMN(E1386)+7-(COLUMN(E1386)-5)/2)),KLVT!$A1386,tongctvtpk1)</f>
        <v>0</v>
      </c>
      <c r="F1386" s="449">
        <f ca="1">SUMIF(OFFSET(cttba_vlvt1_1,0,-9,-ROW(cttba_vlvt1_1)+ROW(cttba_vltb1_1)-10),KLVT!$A1386,OFFSET(cttba_vlvt1_1,0,-4,-ROW(cttba_vlvt1_1)+ROW(cttba_vltb1_1)-10))</f>
        <v>0</v>
      </c>
      <c r="G1386" s="451">
        <f t="shared" ca="1" si="209"/>
        <v>0</v>
      </c>
      <c r="H1386" s="450">
        <f t="shared" si="213"/>
        <v>30</v>
      </c>
      <c r="I1386" s="447">
        <f t="shared" ca="1" si="210"/>
        <v>0</v>
      </c>
      <c r="J1386" s="447">
        <f t="shared" ca="1" si="211"/>
        <v>0</v>
      </c>
      <c r="K1386" s="373">
        <f t="shared" ca="1" si="212"/>
        <v>0</v>
      </c>
    </row>
    <row r="1387" spans="1:11" s="373" customFormat="1" ht="15.75" hidden="1">
      <c r="A1387" s="373" t="str">
        <f>IF(AND(COUNTIF($A$5:$A$133,R_DG!A1261)=0,R_DG!R1261&gt;0,ISNUMBER(R_DG!R1261)),R_DG!A1261,"NONE")</f>
        <v>CANDON1.8CS</v>
      </c>
      <c r="B1387" s="85">
        <f ca="1">IF(K1387&gt;0,COUNTIF(K$6:K1387,"&gt;0"),B1386)</f>
        <v>38</v>
      </c>
      <c r="C1387" s="1084" t="str">
        <f t="shared" si="207"/>
        <v>Cần đèn đơn STK cao 2m, vươn xa 1.8m, dày 2mm, D60mm + ống nối D49mm</v>
      </c>
      <c r="D1387" s="85" t="str">
        <f t="shared" si="208"/>
        <v>cần</v>
      </c>
      <c r="E1387" s="448">
        <f ca="1">SUMIF(OFFSET(tongctvtdd1,0,-(COLUMN(E1387)+7-(COLUMN(E1387)-5)/2)),KLVT!$A1387,tongctvtdd1)+SUMIF(OFFSET(tongctvtpk1,0,-(COLUMN(E1387)+7-(COLUMN(E1387)-5)/2)),KLVT!$A1387,tongctvtpk1)</f>
        <v>0</v>
      </c>
      <c r="F1387" s="449">
        <f ca="1">SUMIF(OFFSET(cttba_vlvt1_1,0,-9,-ROW(cttba_vlvt1_1)+ROW(cttba_vltb1_1)-10),KLVT!$A1387,OFFSET(cttba_vlvt1_1,0,-4,-ROW(cttba_vlvt1_1)+ROW(cttba_vltb1_1)-10))</f>
        <v>0</v>
      </c>
      <c r="G1387" s="451">
        <f t="shared" ca="1" si="209"/>
        <v>0</v>
      </c>
      <c r="H1387" s="450">
        <f t="shared" si="213"/>
        <v>30</v>
      </c>
      <c r="I1387" s="447">
        <f t="shared" ca="1" si="210"/>
        <v>0</v>
      </c>
      <c r="J1387" s="447">
        <f t="shared" ca="1" si="211"/>
        <v>0</v>
      </c>
      <c r="K1387" s="373">
        <f t="shared" ca="1" si="212"/>
        <v>0</v>
      </c>
    </row>
    <row r="1388" spans="1:11" s="373" customFormat="1" ht="15.75" hidden="1">
      <c r="A1388" s="373" t="str">
        <f>IF(AND(COUNTIF($A$5:$A$133,R_DG!A1262)=0,R_DG!R1262&gt;0,ISNUMBER(R_DG!R1262)),R_DG!A1262,"NONE")</f>
        <v>NONE</v>
      </c>
      <c r="B1388" s="85">
        <f ca="1">IF(K1388&gt;0,COUNTIF(K$6:K1388,"&gt;0"),B1387)</f>
        <v>38</v>
      </c>
      <c r="C1388" s="1084">
        <f t="shared" si="207"/>
        <v>0</v>
      </c>
      <c r="D1388" s="85">
        <f t="shared" si="208"/>
        <v>0</v>
      </c>
      <c r="E1388" s="448">
        <f ca="1">SUMIF(OFFSET(tongctvtdd1,0,-(COLUMN(E1388)+7-(COLUMN(E1388)-5)/2)),KLVT!$A1388,tongctvtdd1)+SUMIF(OFFSET(tongctvtpk1,0,-(COLUMN(E1388)+7-(COLUMN(E1388)-5)/2)),KLVT!$A1388,tongctvtpk1)</f>
        <v>0</v>
      </c>
      <c r="F1388" s="449">
        <f ca="1">SUMIF(OFFSET(cttba_vlvt1_1,0,-9,-ROW(cttba_vlvt1_1)+ROW(cttba_vltb1_1)-10),KLVT!$A1388,OFFSET(cttba_vlvt1_1,0,-4,-ROW(cttba_vlvt1_1)+ROW(cttba_vltb1_1)-10))</f>
        <v>0</v>
      </c>
      <c r="G1388" s="451">
        <f t="shared" ca="1" si="209"/>
        <v>0</v>
      </c>
      <c r="H1388" s="450">
        <f t="shared" si="213"/>
        <v>1</v>
      </c>
      <c r="I1388" s="447">
        <f t="shared" ca="1" si="210"/>
        <v>0</v>
      </c>
      <c r="J1388" s="447">
        <f t="shared" ca="1" si="211"/>
        <v>0</v>
      </c>
      <c r="K1388" s="373">
        <f t="shared" ca="1" si="212"/>
        <v>0</v>
      </c>
    </row>
    <row r="1389" spans="1:11" s="373" customFormat="1" ht="15.75" hidden="1">
      <c r="A1389" s="373" t="str">
        <f>IF(AND(COUNTIF($A$5:$A$133,R_DG!A1263)=0,R_DG!R1263&gt;0,ISNUMBER(R_DG!R1263)),R_DG!A1263,"NONE")</f>
        <v>CDEND27V18</v>
      </c>
      <c r="B1389" s="85">
        <f ca="1">IF(K1389&gt;0,COUNTIF(K$6:K1389,"&gt;0"),B1388)</f>
        <v>38</v>
      </c>
      <c r="C1389" s="1084" t="str">
        <f t="shared" si="207"/>
        <v>Cần đèn D27 cao 1m vươn 1,8m nghiêng 15 độ Fe/Zn</v>
      </c>
      <c r="D1389" s="85" t="str">
        <f t="shared" si="208"/>
        <v>cần</v>
      </c>
      <c r="E1389" s="448">
        <f ca="1">SUMIF(OFFSET(tongctvtdd1,0,-(COLUMN(E1389)+7-(COLUMN(E1389)-5)/2)),KLVT!$A1389,tongctvtdd1)+SUMIF(OFFSET(tongctvtpk1,0,-(COLUMN(E1389)+7-(COLUMN(E1389)-5)/2)),KLVT!$A1389,tongctvtpk1)</f>
        <v>0</v>
      </c>
      <c r="F1389" s="449">
        <f ca="1">SUMIF(OFFSET(cttba_vlvt1_1,0,-9,-ROW(cttba_vlvt1_1)+ROW(cttba_vltb1_1)-10),KLVT!$A1389,OFFSET(cttba_vlvt1_1,0,-4,-ROW(cttba_vlvt1_1)+ROW(cttba_vltb1_1)-10))</f>
        <v>0</v>
      </c>
      <c r="G1389" s="451">
        <f t="shared" ca="1" si="209"/>
        <v>0</v>
      </c>
      <c r="H1389" s="450">
        <f t="shared" si="213"/>
        <v>30</v>
      </c>
      <c r="I1389" s="447">
        <f t="shared" ca="1" si="210"/>
        <v>0</v>
      </c>
      <c r="J1389" s="447">
        <f t="shared" ca="1" si="211"/>
        <v>0</v>
      </c>
      <c r="K1389" s="373">
        <f t="shared" ca="1" si="212"/>
        <v>0</v>
      </c>
    </row>
    <row r="1390" spans="1:11" s="373" customFormat="1" ht="15.75" hidden="1">
      <c r="A1390" s="373" t="str">
        <f>IF(AND(COUNTIF($A$5:$A$133,R_DG!A1264)=0,R_DG!R1264&gt;0,ISNUMBER(R_DG!R1264)),R_DG!A1264,"NONE")</f>
        <v>CHOADENLED</v>
      </c>
      <c r="B1390" s="85">
        <f ca="1">IF(K1390&gt;0,COUNTIF(K$6:K1390,"&gt;0"),B1389)</f>
        <v>38</v>
      </c>
      <c r="C1390" s="1084" t="str">
        <f t="shared" si="207"/>
        <v>Bộ đèn hộp ngoài trời bóng LED 4U 40W</v>
      </c>
      <c r="D1390" s="85" t="str">
        <f t="shared" si="208"/>
        <v>bộ</v>
      </c>
      <c r="E1390" s="448">
        <f ca="1">SUMIF(OFFSET(tongctvtdd1,0,-(COLUMN(E1390)+7-(COLUMN(E1390)-5)/2)),KLVT!$A1390,tongctvtdd1)+SUMIF(OFFSET(tongctvtpk1,0,-(COLUMN(E1390)+7-(COLUMN(E1390)-5)/2)),KLVT!$A1390,tongctvtpk1)</f>
        <v>0</v>
      </c>
      <c r="F1390" s="449">
        <f ca="1">SUMIF(OFFSET(cttba_vlvt1_1,0,-9,-ROW(cttba_vlvt1_1)+ROW(cttba_vltb1_1)-10),KLVT!$A1390,OFFSET(cttba_vlvt1_1,0,-4,-ROW(cttba_vlvt1_1)+ROW(cttba_vltb1_1)-10))</f>
        <v>0</v>
      </c>
      <c r="G1390" s="451">
        <f t="shared" ca="1" si="209"/>
        <v>0</v>
      </c>
      <c r="H1390" s="450">
        <f t="shared" si="213"/>
        <v>5</v>
      </c>
      <c r="I1390" s="447">
        <f t="shared" ca="1" si="210"/>
        <v>0</v>
      </c>
      <c r="J1390" s="447">
        <f t="shared" ca="1" si="211"/>
        <v>0</v>
      </c>
      <c r="K1390" s="373">
        <f t="shared" ca="1" si="212"/>
        <v>0</v>
      </c>
    </row>
    <row r="1391" spans="1:11" s="373" customFormat="1" ht="15.75" hidden="1">
      <c r="A1391" s="373" t="str">
        <f>IF(AND(COUNTIF($A$5:$A$133,R_DG!A1265)=0,R_DG!R1265&gt;0,ISNUMBER(R_DG!R1265)),R_DG!A1265,"NONE")</f>
        <v>LED4U40</v>
      </c>
      <c r="B1391" s="85">
        <f ca="1">IF(K1391&gt;0,COUNTIF(K$6:K1391,"&gt;0"),B1390)</f>
        <v>38</v>
      </c>
      <c r="C1391" s="1084" t="str">
        <f t="shared" si="207"/>
        <v>Bóng đèn LED 4U 40W</v>
      </c>
      <c r="D1391" s="85" t="str">
        <f t="shared" si="208"/>
        <v>cái</v>
      </c>
      <c r="E1391" s="448">
        <f ca="1">SUMIF(OFFSET(tongctvtdd1,0,-(COLUMN(E1391)+7-(COLUMN(E1391)-5)/2)),KLVT!$A1391,tongctvtdd1)+SUMIF(OFFSET(tongctvtpk1,0,-(COLUMN(E1391)+7-(COLUMN(E1391)-5)/2)),KLVT!$A1391,tongctvtpk1)</f>
        <v>0</v>
      </c>
      <c r="F1391" s="449">
        <f ca="1">SUMIF(OFFSET(cttba_vlvt1_1,0,-9,-ROW(cttba_vlvt1_1)+ROW(cttba_vltb1_1)-10),KLVT!$A1391,OFFSET(cttba_vlvt1_1,0,-4,-ROW(cttba_vlvt1_1)+ROW(cttba_vltb1_1)-10))</f>
        <v>0</v>
      </c>
      <c r="G1391" s="451">
        <f t="shared" ca="1" si="209"/>
        <v>0</v>
      </c>
      <c r="H1391" s="450">
        <f t="shared" si="213"/>
        <v>0.2</v>
      </c>
      <c r="I1391" s="447">
        <f t="shared" ca="1" si="210"/>
        <v>0</v>
      </c>
      <c r="J1391" s="447">
        <f t="shared" ca="1" si="211"/>
        <v>0</v>
      </c>
      <c r="K1391" s="373">
        <f t="shared" ca="1" si="212"/>
        <v>0</v>
      </c>
    </row>
    <row r="1392" spans="1:11" s="373" customFormat="1" ht="15.75" hidden="1">
      <c r="A1392" s="373" t="str">
        <f>IF(AND(COUNTIF($A$5:$A$133,R_DG!A1266)=0,R_DG!R1266&gt;0,ISNUMBER(R_DG!R1266)),R_DG!A1266,"NONE")</f>
        <v>DEN-SONADEZI</v>
      </c>
      <c r="B1392" s="85">
        <f ca="1">IF(K1392&gt;0,COUNTIF(K$6:K1392,"&gt;0"),B1391)</f>
        <v>38</v>
      </c>
      <c r="C1392" s="1084" t="str">
        <f t="shared" si="207"/>
        <v>Choá đèn + bóng 250W (CĐT cung cấp)</v>
      </c>
      <c r="D1392" s="85" t="str">
        <f t="shared" si="208"/>
        <v>bộ</v>
      </c>
      <c r="E1392" s="448">
        <f ca="1">SUMIF(OFFSET(tongctvtdd1,0,-(COLUMN(E1392)+7-(COLUMN(E1392)-5)/2)),KLVT!$A1392,tongctvtdd1)+SUMIF(OFFSET(tongctvtpk1,0,-(COLUMN(E1392)+7-(COLUMN(E1392)-5)/2)),KLVT!$A1392,tongctvtpk1)</f>
        <v>0</v>
      </c>
      <c r="F1392" s="449">
        <f ca="1">SUMIF(OFFSET(cttba_vlvt1_1,0,-9,-ROW(cttba_vlvt1_1)+ROW(cttba_vltb1_1)-10),KLVT!$A1392,OFFSET(cttba_vlvt1_1,0,-4,-ROW(cttba_vlvt1_1)+ROW(cttba_vltb1_1)-10))</f>
        <v>0</v>
      </c>
      <c r="G1392" s="451">
        <f t="shared" ca="1" si="209"/>
        <v>0</v>
      </c>
      <c r="H1392" s="450">
        <f t="shared" si="213"/>
        <v>1</v>
      </c>
      <c r="I1392" s="447">
        <f t="shared" ca="1" si="210"/>
        <v>0</v>
      </c>
      <c r="J1392" s="447">
        <f t="shared" ca="1" si="211"/>
        <v>0</v>
      </c>
      <c r="K1392" s="373">
        <f t="shared" ca="1" si="212"/>
        <v>0</v>
      </c>
    </row>
    <row r="1393" spans="1:11" s="373" customFormat="1" ht="15.75" hidden="1">
      <c r="A1393" s="373" t="str">
        <f>IF(AND(COUNTIF($A$5:$A$133,R_DG!A1267)=0,R_DG!R1267&gt;0,ISNUMBER(R_DG!R1267)),R_DG!A1267,"NONE")</f>
        <v>CHI2CS</v>
      </c>
      <c r="B1393" s="85">
        <f ca="1">IF(K1393&gt;0,COUNTIF(K$6:K1393,"&gt;0"),B1392)</f>
        <v>38</v>
      </c>
      <c r="C1393" s="1084" t="str">
        <f t="shared" si="207"/>
        <v>Cầu chì đuôi cá 2A</v>
      </c>
      <c r="D1393" s="85" t="str">
        <f t="shared" si="208"/>
        <v>cái</v>
      </c>
      <c r="E1393" s="448">
        <f ca="1">SUMIF(OFFSET(tongctvtdd1,0,-(COLUMN(E1393)+7-(COLUMN(E1393)-5)/2)),KLVT!$A1393,tongctvtdd1)+SUMIF(OFFSET(tongctvtpk1,0,-(COLUMN(E1393)+7-(COLUMN(E1393)-5)/2)),KLVT!$A1393,tongctvtpk1)</f>
        <v>0</v>
      </c>
      <c r="F1393" s="449">
        <f ca="1">SUMIF(OFFSET(cttba_vlvt1_1,0,-9,-ROW(cttba_vlvt1_1)+ROW(cttba_vltb1_1)-10),KLVT!$A1393,OFFSET(cttba_vlvt1_1,0,-4,-ROW(cttba_vlvt1_1)+ROW(cttba_vltb1_1)-10))</f>
        <v>0</v>
      </c>
      <c r="G1393" s="451">
        <f t="shared" ca="1" si="209"/>
        <v>0</v>
      </c>
      <c r="H1393" s="450">
        <f t="shared" si="213"/>
        <v>0.1</v>
      </c>
      <c r="I1393" s="447">
        <f t="shared" ca="1" si="210"/>
        <v>0</v>
      </c>
      <c r="J1393" s="447">
        <f t="shared" ca="1" si="211"/>
        <v>0</v>
      </c>
      <c r="K1393" s="373">
        <f t="shared" ca="1" si="212"/>
        <v>0</v>
      </c>
    </row>
    <row r="1394" spans="1:11" s="373" customFormat="1" ht="15.75" hidden="1">
      <c r="A1394" s="373" t="str">
        <f>IF(AND(COUNTIF($A$5:$A$133,R_DG!A1268)=0,R_DG!R1268&gt;0,ISNUMBER(R_DG!R1268)),R_DG!A1268,"NONE")</f>
        <v>DOMINOCS</v>
      </c>
      <c r="B1394" s="85">
        <f ca="1">IF(K1394&gt;0,COUNTIF(K$6:K1394,"&gt;0"),B1393)</f>
        <v>38</v>
      </c>
      <c r="C1394" s="1084" t="str">
        <f t="shared" si="207"/>
        <v>Domino đấu nối trong trụ đèn</v>
      </c>
      <c r="D1394" s="85" t="str">
        <f t="shared" si="208"/>
        <v>cái</v>
      </c>
      <c r="E1394" s="448">
        <f ca="1">SUMIF(OFFSET(tongctvtdd1,0,-(COLUMN(E1394)+7-(COLUMN(E1394)-5)/2)),KLVT!$A1394,tongctvtdd1)+SUMIF(OFFSET(tongctvtpk1,0,-(COLUMN(E1394)+7-(COLUMN(E1394)-5)/2)),KLVT!$A1394,tongctvtpk1)</f>
        <v>0</v>
      </c>
      <c r="F1394" s="449">
        <f ca="1">SUMIF(OFFSET(cttba_vlvt1_1,0,-9,-ROW(cttba_vlvt1_1)+ROW(cttba_vltb1_1)-10),KLVT!$A1394,OFFSET(cttba_vlvt1_1,0,-4,-ROW(cttba_vlvt1_1)+ROW(cttba_vltb1_1)-10))</f>
        <v>0</v>
      </c>
      <c r="G1394" s="451">
        <f t="shared" ca="1" si="209"/>
        <v>0</v>
      </c>
      <c r="H1394" s="450">
        <f t="shared" si="213"/>
        <v>0.1</v>
      </c>
      <c r="I1394" s="447">
        <f t="shared" ca="1" si="210"/>
        <v>0</v>
      </c>
      <c r="J1394" s="447">
        <f t="shared" ca="1" si="211"/>
        <v>0</v>
      </c>
      <c r="K1394" s="373">
        <f t="shared" ca="1" si="212"/>
        <v>0</v>
      </c>
    </row>
    <row r="1395" spans="1:11" s="373" customFormat="1" ht="15.75" hidden="1">
      <c r="A1395" s="373" t="str">
        <f>IF(AND(COUNTIF($A$5:$A$133,R_DG!A1269)=0,R_DG!R1269&gt;0,ISNUMBER(R_DG!R1269)),R_DG!A1269,"NONE")</f>
        <v>NONE</v>
      </c>
      <c r="B1395" s="85">
        <f ca="1">IF(K1395&gt;0,COUNTIF(K$6:K1395,"&gt;0"),B1394)</f>
        <v>38</v>
      </c>
      <c r="C1395" s="1084">
        <f t="shared" si="207"/>
        <v>0</v>
      </c>
      <c r="D1395" s="85">
        <f t="shared" si="208"/>
        <v>0</v>
      </c>
      <c r="E1395" s="448">
        <f ca="1">SUMIF(OFFSET(tongctvtdd1,0,-(COLUMN(E1395)+7-(COLUMN(E1395)-5)/2)),KLVT!$A1395,tongctvtdd1)+SUMIF(OFFSET(tongctvtpk1,0,-(COLUMN(E1395)+7-(COLUMN(E1395)-5)/2)),KLVT!$A1395,tongctvtpk1)</f>
        <v>0</v>
      </c>
      <c r="F1395" s="449">
        <f ca="1">SUMIF(OFFSET(cttba_vlvt1_1,0,-9,-ROW(cttba_vlvt1_1)+ROW(cttba_vltb1_1)-10),KLVT!$A1395,OFFSET(cttba_vlvt1_1,0,-4,-ROW(cttba_vlvt1_1)+ROW(cttba_vltb1_1)-10))</f>
        <v>0</v>
      </c>
      <c r="G1395" s="451">
        <f t="shared" ca="1" si="209"/>
        <v>0</v>
      </c>
      <c r="H1395" s="450">
        <f t="shared" si="213"/>
        <v>1</v>
      </c>
      <c r="I1395" s="447">
        <f t="shared" ca="1" si="210"/>
        <v>0</v>
      </c>
      <c r="J1395" s="447">
        <f t="shared" ca="1" si="211"/>
        <v>0</v>
      </c>
      <c r="K1395" s="373">
        <f t="shared" ca="1" si="212"/>
        <v>0</v>
      </c>
    </row>
    <row r="1396" spans="1:11" s="373" customFormat="1" ht="15.75" hidden="1">
      <c r="A1396" s="373" t="str">
        <f>IF(AND(COUNTIF($A$5:$A$133,R_DG!A1270)=0,R_DG!R1270&gt;0,ISNUMBER(R_DG!R1270)),R_DG!A1270,"NONE")</f>
        <v>NONE</v>
      </c>
      <c r="B1396" s="85">
        <f ca="1">IF(K1396&gt;0,COUNTIF(K$6:K1396,"&gt;0"),B1395)</f>
        <v>38</v>
      </c>
      <c r="C1396" s="1084">
        <f t="shared" ref="C1396:C1429" si="214">VLOOKUP(A1396,DONGIA,3,0)</f>
        <v>0</v>
      </c>
      <c r="D1396" s="85">
        <f t="shared" ref="D1396:D1429" si="215">VLOOKUP(A1396,DONGIA,4,0)</f>
        <v>0</v>
      </c>
      <c r="E1396" s="448">
        <f ca="1">SUMIF(OFFSET(tongctvtdd1,0,-(COLUMN(E1396)+7-(COLUMN(E1396)-5)/2)),KLVT!$A1396,tongctvtdd1)+SUMIF(OFFSET(tongctvtpk1,0,-(COLUMN(E1396)+7-(COLUMN(E1396)-5)/2)),KLVT!$A1396,tongctvtpk1)</f>
        <v>0</v>
      </c>
      <c r="F1396" s="449">
        <f ca="1">SUMIF(OFFSET(cttba_vlvt1_1,0,-9,-ROW(cttba_vlvt1_1)+ROW(cttba_vltb1_1)-10),KLVT!$A1396,OFFSET(cttba_vlvt1_1,0,-4,-ROW(cttba_vlvt1_1)+ROW(cttba_vltb1_1)-10))</f>
        <v>0</v>
      </c>
      <c r="G1396" s="451">
        <f t="shared" ref="G1396:G1429" ca="1" si="216">SUM(E1396:F1396)</f>
        <v>0</v>
      </c>
      <c r="H1396" s="450">
        <f t="shared" si="213"/>
        <v>1</v>
      </c>
      <c r="I1396" s="447">
        <f t="shared" ref="I1396:I1429" ca="1" si="217">E1396*$H1396</f>
        <v>0</v>
      </c>
      <c r="J1396" s="447">
        <f t="shared" ref="J1396:J1429" ca="1" si="218">F1396*$H1396</f>
        <v>0</v>
      </c>
      <c r="K1396" s="373">
        <f t="shared" ref="K1396:K1429" ca="1" si="219">IF(G1396&gt;0,1,0)</f>
        <v>0</v>
      </c>
    </row>
    <row r="1397" spans="1:11" s="373" customFormat="1" ht="15.75" hidden="1">
      <c r="A1397" s="373" t="str">
        <f>IF(AND(COUNTIF($A$5:$A$133,R_DG!A1271)=0,R_DG!R1271&gt;0,ISNUMBER(R_DG!R1271)),R_DG!A1271,"NONE")</f>
        <v>NONE</v>
      </c>
      <c r="B1397" s="85">
        <f ca="1">IF(K1397&gt;0,COUNTIF(K$6:K1397,"&gt;0"),B1396)</f>
        <v>38</v>
      </c>
      <c r="C1397" s="1084">
        <f t="shared" si="214"/>
        <v>0</v>
      </c>
      <c r="D1397" s="85">
        <f t="shared" si="215"/>
        <v>0</v>
      </c>
      <c r="E1397" s="448">
        <f ca="1">SUMIF(OFFSET(tongctvtdd1,0,-(COLUMN(E1397)+7-(COLUMN(E1397)-5)/2)),KLVT!$A1397,tongctvtdd1)+SUMIF(OFFSET(tongctvtpk1,0,-(COLUMN(E1397)+7-(COLUMN(E1397)-5)/2)),KLVT!$A1397,tongctvtpk1)</f>
        <v>0</v>
      </c>
      <c r="F1397" s="449">
        <f ca="1">SUMIF(OFFSET(cttba_vlvt1_1,0,-9,-ROW(cttba_vlvt1_1)+ROW(cttba_vltb1_1)-10),KLVT!$A1397,OFFSET(cttba_vlvt1_1,0,-4,-ROW(cttba_vlvt1_1)+ROW(cttba_vltb1_1)-10))</f>
        <v>0</v>
      </c>
      <c r="G1397" s="451">
        <f t="shared" ca="1" si="216"/>
        <v>0</v>
      </c>
      <c r="H1397" s="450">
        <f t="shared" si="213"/>
        <v>1</v>
      </c>
      <c r="I1397" s="447">
        <f t="shared" ca="1" si="217"/>
        <v>0</v>
      </c>
      <c r="J1397" s="447">
        <f t="shared" ca="1" si="218"/>
        <v>0</v>
      </c>
      <c r="K1397" s="373">
        <f t="shared" ca="1" si="219"/>
        <v>0</v>
      </c>
    </row>
    <row r="1398" spans="1:11" s="373" customFormat="1" ht="15.75" hidden="1">
      <c r="A1398" s="373" t="str">
        <f>IF(AND(COUNTIF($A$5:$A$133,R_DG!A1272)=0,R_DG!R1272&gt;0,ISNUMBER(R_DG!R1272)),R_DG!A1272,"NONE")</f>
        <v>NONE</v>
      </c>
      <c r="B1398" s="85">
        <f ca="1">IF(K1398&gt;0,COUNTIF(K$6:K1398,"&gt;0"),B1397)</f>
        <v>38</v>
      </c>
      <c r="C1398" s="1084">
        <f t="shared" si="214"/>
        <v>0</v>
      </c>
      <c r="D1398" s="85">
        <f t="shared" si="215"/>
        <v>0</v>
      </c>
      <c r="E1398" s="448">
        <f ca="1">SUMIF(OFFSET(tongctvtdd1,0,-(COLUMN(E1398)+7-(COLUMN(E1398)-5)/2)),KLVT!$A1398,tongctvtdd1)+SUMIF(OFFSET(tongctvtpk1,0,-(COLUMN(E1398)+7-(COLUMN(E1398)-5)/2)),KLVT!$A1398,tongctvtpk1)</f>
        <v>0</v>
      </c>
      <c r="F1398" s="449">
        <f ca="1">SUMIF(OFFSET(cttba_vlvt1_1,0,-9,-ROW(cttba_vlvt1_1)+ROW(cttba_vltb1_1)-10),KLVT!$A1398,OFFSET(cttba_vlvt1_1,0,-4,-ROW(cttba_vlvt1_1)+ROW(cttba_vltb1_1)-10))</f>
        <v>0</v>
      </c>
      <c r="G1398" s="451">
        <f t="shared" ca="1" si="216"/>
        <v>0</v>
      </c>
      <c r="H1398" s="450">
        <f t="shared" si="213"/>
        <v>1</v>
      </c>
      <c r="I1398" s="447">
        <f t="shared" ca="1" si="217"/>
        <v>0</v>
      </c>
      <c r="J1398" s="447">
        <f t="shared" ca="1" si="218"/>
        <v>0</v>
      </c>
      <c r="K1398" s="373">
        <f t="shared" ca="1" si="219"/>
        <v>0</v>
      </c>
    </row>
    <row r="1399" spans="1:11" s="373" customFormat="1" ht="15.75" hidden="1">
      <c r="A1399" s="373" t="str">
        <f>IF(AND(COUNTIF($A$5:$A$133,R_DG!A1273)=0,R_DG!R1273&gt;0,ISNUMBER(R_DG!R1273)),R_DG!A1273,"NONE")</f>
        <v>NONE</v>
      </c>
      <c r="B1399" s="85">
        <f ca="1">IF(K1399&gt;0,COUNTIF(K$6:K1399,"&gt;0"),B1398)</f>
        <v>38</v>
      </c>
      <c r="C1399" s="1084">
        <f t="shared" si="214"/>
        <v>0</v>
      </c>
      <c r="D1399" s="85">
        <f t="shared" si="215"/>
        <v>0</v>
      </c>
      <c r="E1399" s="448">
        <f ca="1">SUMIF(OFFSET(tongctvtdd1,0,-(COLUMN(E1399)+7-(COLUMN(E1399)-5)/2)),KLVT!$A1399,tongctvtdd1)+SUMIF(OFFSET(tongctvtpk1,0,-(COLUMN(E1399)+7-(COLUMN(E1399)-5)/2)),KLVT!$A1399,tongctvtpk1)</f>
        <v>0</v>
      </c>
      <c r="F1399" s="449">
        <f ca="1">SUMIF(OFFSET(cttba_vlvt1_1,0,-9,-ROW(cttba_vlvt1_1)+ROW(cttba_vltb1_1)-10),KLVT!$A1399,OFFSET(cttba_vlvt1_1,0,-4,-ROW(cttba_vlvt1_1)+ROW(cttba_vltb1_1)-10))</f>
        <v>0</v>
      </c>
      <c r="G1399" s="451">
        <f t="shared" ca="1" si="216"/>
        <v>0</v>
      </c>
      <c r="H1399" s="450">
        <f t="shared" si="213"/>
        <v>1</v>
      </c>
      <c r="I1399" s="447">
        <f t="shared" ca="1" si="217"/>
        <v>0</v>
      </c>
      <c r="J1399" s="447">
        <f t="shared" ca="1" si="218"/>
        <v>0</v>
      </c>
      <c r="K1399" s="373">
        <f t="shared" ca="1" si="219"/>
        <v>0</v>
      </c>
    </row>
    <row r="1400" spans="1:11" s="373" customFormat="1" ht="15.75" hidden="1">
      <c r="A1400" s="373" t="str">
        <f>IF(AND(COUNTIF($A$5:$A$133,R_DG!A1274)=0,R_DG!R1274&gt;0,ISNUMBER(R_DG!R1274)),R_DG!A1274,"NONE")</f>
        <v>NONE</v>
      </c>
      <c r="B1400" s="85">
        <f ca="1">IF(K1400&gt;0,COUNTIF(K$6:K1400,"&gt;0"),B1399)</f>
        <v>38</v>
      </c>
      <c r="C1400" s="1084">
        <f t="shared" si="214"/>
        <v>0</v>
      </c>
      <c r="D1400" s="85">
        <f t="shared" si="215"/>
        <v>0</v>
      </c>
      <c r="E1400" s="448">
        <f ca="1">SUMIF(OFFSET(tongctvtdd1,0,-(COLUMN(E1400)+7-(COLUMN(E1400)-5)/2)),KLVT!$A1400,tongctvtdd1)+SUMIF(OFFSET(tongctvtpk1,0,-(COLUMN(E1400)+7-(COLUMN(E1400)-5)/2)),KLVT!$A1400,tongctvtpk1)</f>
        <v>0</v>
      </c>
      <c r="F1400" s="449">
        <f ca="1">SUMIF(OFFSET(cttba_vlvt1_1,0,-9,-ROW(cttba_vlvt1_1)+ROW(cttba_vltb1_1)-10),KLVT!$A1400,OFFSET(cttba_vlvt1_1,0,-4,-ROW(cttba_vlvt1_1)+ROW(cttba_vltb1_1)-10))</f>
        <v>0</v>
      </c>
      <c r="G1400" s="451">
        <f t="shared" ca="1" si="216"/>
        <v>0</v>
      </c>
      <c r="H1400" s="450">
        <f t="shared" si="213"/>
        <v>1</v>
      </c>
      <c r="I1400" s="447">
        <f t="shared" ca="1" si="217"/>
        <v>0</v>
      </c>
      <c r="J1400" s="447">
        <f t="shared" ca="1" si="218"/>
        <v>0</v>
      </c>
      <c r="K1400" s="373">
        <f t="shared" ca="1" si="219"/>
        <v>0</v>
      </c>
    </row>
    <row r="1401" spans="1:11" s="373" customFormat="1" ht="15.75" hidden="1">
      <c r="A1401" s="373" t="str">
        <f>IF(AND(COUNTIF($A$5:$A$133,R_DG!A1275)=0,R_DG!R1275&gt;0,ISNUMBER(R_DG!R1275)),R_DG!A1275,"NONE")</f>
        <v>NONE</v>
      </c>
      <c r="B1401" s="85">
        <f ca="1">IF(K1401&gt;0,COUNTIF(K$6:K1401,"&gt;0"),B1400)</f>
        <v>38</v>
      </c>
      <c r="C1401" s="1084">
        <f t="shared" si="214"/>
        <v>0</v>
      </c>
      <c r="D1401" s="85">
        <f t="shared" si="215"/>
        <v>0</v>
      </c>
      <c r="E1401" s="448">
        <f ca="1">SUMIF(OFFSET(tongctvtdd1,0,-(COLUMN(E1401)+7-(COLUMN(E1401)-5)/2)),KLVT!$A1401,tongctvtdd1)+SUMIF(OFFSET(tongctvtpk1,0,-(COLUMN(E1401)+7-(COLUMN(E1401)-5)/2)),KLVT!$A1401,tongctvtpk1)</f>
        <v>0</v>
      </c>
      <c r="F1401" s="449">
        <f ca="1">SUMIF(OFFSET(cttba_vlvt1_1,0,-9,-ROW(cttba_vlvt1_1)+ROW(cttba_vltb1_1)-10),KLVT!$A1401,OFFSET(cttba_vlvt1_1,0,-4,-ROW(cttba_vlvt1_1)+ROW(cttba_vltb1_1)-10))</f>
        <v>0</v>
      </c>
      <c r="G1401" s="451">
        <f t="shared" ca="1" si="216"/>
        <v>0</v>
      </c>
      <c r="H1401" s="450">
        <f t="shared" si="213"/>
        <v>1</v>
      </c>
      <c r="I1401" s="447">
        <f t="shared" ca="1" si="217"/>
        <v>0</v>
      </c>
      <c r="J1401" s="447">
        <f t="shared" ca="1" si="218"/>
        <v>0</v>
      </c>
      <c r="K1401" s="373">
        <f t="shared" ca="1" si="219"/>
        <v>0</v>
      </c>
    </row>
    <row r="1402" spans="1:11" s="373" customFormat="1" ht="15.75" hidden="1">
      <c r="A1402" s="373" t="str">
        <f>IF(AND(COUNTIF($A$5:$A$133,R_DG!A1276)=0,R_DG!R1276&gt;0,ISNUMBER(R_DG!R1276)),R_DG!A1276,"NONE")</f>
        <v>NONE</v>
      </c>
      <c r="B1402" s="85">
        <f ca="1">IF(K1402&gt;0,COUNTIF(K$6:K1402,"&gt;0"),B1401)</f>
        <v>38</v>
      </c>
      <c r="C1402" s="1084">
        <f t="shared" si="214"/>
        <v>0</v>
      </c>
      <c r="D1402" s="85">
        <f t="shared" si="215"/>
        <v>0</v>
      </c>
      <c r="E1402" s="448">
        <f ca="1">SUMIF(OFFSET(tongctvtdd1,0,-(COLUMN(E1402)+7-(COLUMN(E1402)-5)/2)),KLVT!$A1402,tongctvtdd1)+SUMIF(OFFSET(tongctvtpk1,0,-(COLUMN(E1402)+7-(COLUMN(E1402)-5)/2)),KLVT!$A1402,tongctvtpk1)</f>
        <v>0</v>
      </c>
      <c r="F1402" s="449">
        <f ca="1">SUMIF(OFFSET(cttba_vlvt1_1,0,-9,-ROW(cttba_vlvt1_1)+ROW(cttba_vltb1_1)-10),KLVT!$A1402,OFFSET(cttba_vlvt1_1,0,-4,-ROW(cttba_vlvt1_1)+ROW(cttba_vltb1_1)-10))</f>
        <v>0</v>
      </c>
      <c r="G1402" s="451">
        <f t="shared" ca="1" si="216"/>
        <v>0</v>
      </c>
      <c r="H1402" s="450">
        <f t="shared" si="213"/>
        <v>1</v>
      </c>
      <c r="I1402" s="447">
        <f t="shared" ca="1" si="217"/>
        <v>0</v>
      </c>
      <c r="J1402" s="447">
        <f t="shared" ca="1" si="218"/>
        <v>0</v>
      </c>
      <c r="K1402" s="373">
        <f t="shared" ca="1" si="219"/>
        <v>0</v>
      </c>
    </row>
    <row r="1403" spans="1:11" s="373" customFormat="1" ht="15.75" hidden="1">
      <c r="A1403" s="373" t="str">
        <f>IF(AND(COUNTIF($A$5:$A$133,R_DG!A1277)=0,R_DG!R1277&gt;0,ISNUMBER(R_DG!R1277)),R_DG!A1277,"NONE")</f>
        <v>NONE</v>
      </c>
      <c r="B1403" s="85">
        <f ca="1">IF(K1403&gt;0,COUNTIF(K$6:K1403,"&gt;0"),B1402)</f>
        <v>38</v>
      </c>
      <c r="C1403" s="1084">
        <f t="shared" si="214"/>
        <v>0</v>
      </c>
      <c r="D1403" s="85">
        <f t="shared" si="215"/>
        <v>0</v>
      </c>
      <c r="E1403" s="448">
        <f ca="1">SUMIF(OFFSET(tongctvtdd1,0,-(COLUMN(E1403)+7-(COLUMN(E1403)-5)/2)),KLVT!$A1403,tongctvtdd1)+SUMIF(OFFSET(tongctvtpk1,0,-(COLUMN(E1403)+7-(COLUMN(E1403)-5)/2)),KLVT!$A1403,tongctvtpk1)</f>
        <v>0</v>
      </c>
      <c r="F1403" s="449">
        <f ca="1">SUMIF(OFFSET(cttba_vlvt1_1,0,-9,-ROW(cttba_vlvt1_1)+ROW(cttba_vltb1_1)-10),KLVT!$A1403,OFFSET(cttba_vlvt1_1,0,-4,-ROW(cttba_vlvt1_1)+ROW(cttba_vltb1_1)-10))</f>
        <v>0</v>
      </c>
      <c r="G1403" s="451">
        <f t="shared" ca="1" si="216"/>
        <v>0</v>
      </c>
      <c r="H1403" s="450">
        <f t="shared" si="213"/>
        <v>1</v>
      </c>
      <c r="I1403" s="447">
        <f t="shared" ca="1" si="217"/>
        <v>0</v>
      </c>
      <c r="J1403" s="447">
        <f t="shared" ca="1" si="218"/>
        <v>0</v>
      </c>
      <c r="K1403" s="373">
        <f t="shared" ca="1" si="219"/>
        <v>0</v>
      </c>
    </row>
    <row r="1404" spans="1:11" s="373" customFormat="1" ht="15.75" hidden="1">
      <c r="A1404" s="373" t="str">
        <f>IF(AND(COUNTIF($A$5:$A$133,R_DG!A1278)=0,R_DG!R1278&gt;0,ISNUMBER(R_DG!R1278)),R_DG!A1278,"NONE")</f>
        <v>NONE</v>
      </c>
      <c r="B1404" s="85">
        <f ca="1">IF(K1404&gt;0,COUNTIF(K$6:K1404,"&gt;0"),B1403)</f>
        <v>38</v>
      </c>
      <c r="C1404" s="1084">
        <f t="shared" si="214"/>
        <v>0</v>
      </c>
      <c r="D1404" s="85">
        <f t="shared" si="215"/>
        <v>0</v>
      </c>
      <c r="E1404" s="448">
        <f ca="1">SUMIF(OFFSET(tongctvtdd1,0,-(COLUMN(E1404)+7-(COLUMN(E1404)-5)/2)),KLVT!$A1404,tongctvtdd1)+SUMIF(OFFSET(tongctvtpk1,0,-(COLUMN(E1404)+7-(COLUMN(E1404)-5)/2)),KLVT!$A1404,tongctvtpk1)</f>
        <v>0</v>
      </c>
      <c r="F1404" s="449">
        <f ca="1">SUMIF(OFFSET(cttba_vlvt1_1,0,-9,-ROW(cttba_vlvt1_1)+ROW(cttba_vltb1_1)-10),KLVT!$A1404,OFFSET(cttba_vlvt1_1,0,-4,-ROW(cttba_vlvt1_1)+ROW(cttba_vltb1_1)-10))</f>
        <v>0</v>
      </c>
      <c r="G1404" s="451">
        <f t="shared" ca="1" si="216"/>
        <v>0</v>
      </c>
      <c r="H1404" s="450">
        <f t="shared" si="213"/>
        <v>1</v>
      </c>
      <c r="I1404" s="447">
        <f t="shared" ca="1" si="217"/>
        <v>0</v>
      </c>
      <c r="J1404" s="447">
        <f t="shared" ca="1" si="218"/>
        <v>0</v>
      </c>
      <c r="K1404" s="373">
        <f t="shared" ca="1" si="219"/>
        <v>0</v>
      </c>
    </row>
    <row r="1405" spans="1:11" s="373" customFormat="1" ht="15.75" hidden="1">
      <c r="A1405" s="373" t="str">
        <f>IF(AND(COUNTIF($A$5:$A$133,R_DG!A1279)=0,R_DG!R1279&gt;0,ISNUMBER(R_DG!R1279)),R_DG!A1279,"NONE")</f>
        <v>NONE</v>
      </c>
      <c r="B1405" s="85">
        <f ca="1">IF(K1405&gt;0,COUNTIF(K$6:K1405,"&gt;0"),B1404)</f>
        <v>38</v>
      </c>
      <c r="C1405" s="1084">
        <f t="shared" si="214"/>
        <v>0</v>
      </c>
      <c r="D1405" s="85">
        <f t="shared" si="215"/>
        <v>0</v>
      </c>
      <c r="E1405" s="448">
        <f ca="1">SUMIF(OFFSET(tongctvtdd1,0,-(COLUMN(E1405)+7-(COLUMN(E1405)-5)/2)),KLVT!$A1405,tongctvtdd1)+SUMIF(OFFSET(tongctvtpk1,0,-(COLUMN(E1405)+7-(COLUMN(E1405)-5)/2)),KLVT!$A1405,tongctvtpk1)</f>
        <v>0</v>
      </c>
      <c r="F1405" s="449">
        <f ca="1">SUMIF(OFFSET(cttba_vlvt1_1,0,-9,-ROW(cttba_vlvt1_1)+ROW(cttba_vltb1_1)-10),KLVT!$A1405,OFFSET(cttba_vlvt1_1,0,-4,-ROW(cttba_vlvt1_1)+ROW(cttba_vltb1_1)-10))</f>
        <v>0</v>
      </c>
      <c r="G1405" s="451">
        <f t="shared" ca="1" si="216"/>
        <v>0</v>
      </c>
      <c r="H1405" s="450">
        <f t="shared" si="213"/>
        <v>1</v>
      </c>
      <c r="I1405" s="447">
        <f t="shared" ca="1" si="217"/>
        <v>0</v>
      </c>
      <c r="J1405" s="447">
        <f t="shared" ca="1" si="218"/>
        <v>0</v>
      </c>
      <c r="K1405" s="373">
        <f t="shared" ca="1" si="219"/>
        <v>0</v>
      </c>
    </row>
    <row r="1406" spans="1:11" s="373" customFormat="1" ht="15.75" hidden="1">
      <c r="A1406" s="373" t="str">
        <f>IF(AND(COUNTIF($A$5:$A$133,R_DG!A1280)=0,R_DG!R1280&gt;0,ISNUMBER(R_DG!R1280)),R_DG!A1280,"NONE")</f>
        <v>NONE</v>
      </c>
      <c r="B1406" s="85">
        <f ca="1">IF(K1406&gt;0,COUNTIF(K$6:K1406,"&gt;0"),B1405)</f>
        <v>38</v>
      </c>
      <c r="C1406" s="1084">
        <f t="shared" si="214"/>
        <v>0</v>
      </c>
      <c r="D1406" s="85">
        <f t="shared" si="215"/>
        <v>0</v>
      </c>
      <c r="E1406" s="448">
        <f ca="1">SUMIF(OFFSET(tongctvtdd1,0,-(COLUMN(E1406)+7-(COLUMN(E1406)-5)/2)),KLVT!$A1406,tongctvtdd1)+SUMIF(OFFSET(tongctvtpk1,0,-(COLUMN(E1406)+7-(COLUMN(E1406)-5)/2)),KLVT!$A1406,tongctvtpk1)</f>
        <v>0</v>
      </c>
      <c r="F1406" s="449">
        <f ca="1">SUMIF(OFFSET(cttba_vlvt1_1,0,-9,-ROW(cttba_vlvt1_1)+ROW(cttba_vltb1_1)-10),KLVT!$A1406,OFFSET(cttba_vlvt1_1,0,-4,-ROW(cttba_vlvt1_1)+ROW(cttba_vltb1_1)-10))</f>
        <v>0</v>
      </c>
      <c r="G1406" s="451">
        <f t="shared" ca="1" si="216"/>
        <v>0</v>
      </c>
      <c r="H1406" s="450">
        <f t="shared" si="213"/>
        <v>1</v>
      </c>
      <c r="I1406" s="447">
        <f t="shared" ca="1" si="217"/>
        <v>0</v>
      </c>
      <c r="J1406" s="447">
        <f t="shared" ca="1" si="218"/>
        <v>0</v>
      </c>
      <c r="K1406" s="373">
        <f t="shared" ca="1" si="219"/>
        <v>0</v>
      </c>
    </row>
    <row r="1407" spans="1:11" s="373" customFormat="1" ht="15.75" hidden="1">
      <c r="A1407" s="373" t="str">
        <f>IF(AND(COUNTIF($A$5:$A$133,R_DG!A1281)=0,R_DG!R1281&gt;0,ISNUMBER(R_DG!R1281)),R_DG!A1281,"NONE")</f>
        <v>NONE</v>
      </c>
      <c r="B1407" s="85">
        <f ca="1">IF(K1407&gt;0,COUNTIF(K$6:K1407,"&gt;0"),B1406)</f>
        <v>38</v>
      </c>
      <c r="C1407" s="1084">
        <f t="shared" si="214"/>
        <v>0</v>
      </c>
      <c r="D1407" s="85">
        <f t="shared" si="215"/>
        <v>0</v>
      </c>
      <c r="E1407" s="448">
        <f ca="1">SUMIF(OFFSET(tongctvtdd1,0,-(COLUMN(E1407)+7-(COLUMN(E1407)-5)/2)),KLVT!$A1407,tongctvtdd1)+SUMIF(OFFSET(tongctvtpk1,0,-(COLUMN(E1407)+7-(COLUMN(E1407)-5)/2)),KLVT!$A1407,tongctvtpk1)</f>
        <v>0</v>
      </c>
      <c r="F1407" s="449">
        <f ca="1">SUMIF(OFFSET(cttba_vlvt1_1,0,-9,-ROW(cttba_vlvt1_1)+ROW(cttba_vltb1_1)-10),KLVT!$A1407,OFFSET(cttba_vlvt1_1,0,-4,-ROW(cttba_vlvt1_1)+ROW(cttba_vltb1_1)-10))</f>
        <v>0</v>
      </c>
      <c r="G1407" s="451">
        <f t="shared" ca="1" si="216"/>
        <v>0</v>
      </c>
      <c r="H1407" s="450">
        <f t="shared" si="213"/>
        <v>1</v>
      </c>
      <c r="I1407" s="447">
        <f t="shared" ca="1" si="217"/>
        <v>0</v>
      </c>
      <c r="J1407" s="447">
        <f t="shared" ca="1" si="218"/>
        <v>0</v>
      </c>
      <c r="K1407" s="373">
        <f t="shared" ca="1" si="219"/>
        <v>0</v>
      </c>
    </row>
    <row r="1408" spans="1:11" s="373" customFormat="1" ht="15.75" hidden="1">
      <c r="A1408" s="373" t="str">
        <f>IF(AND(COUNTIF($A$5:$A$133,R_DG!A1282)=0,R_DG!R1282&gt;0,ISNUMBER(R_DG!R1282)),R_DG!A1282,"NONE")</f>
        <v>NONE</v>
      </c>
      <c r="B1408" s="85">
        <f ca="1">IF(K1408&gt;0,COUNTIF(K$6:K1408,"&gt;0"),B1407)</f>
        <v>38</v>
      </c>
      <c r="C1408" s="1084">
        <f t="shared" si="214"/>
        <v>0</v>
      </c>
      <c r="D1408" s="85">
        <f t="shared" si="215"/>
        <v>0</v>
      </c>
      <c r="E1408" s="448">
        <f ca="1">SUMIF(OFFSET(tongctvtdd1,0,-(COLUMN(E1408)+7-(COLUMN(E1408)-5)/2)),KLVT!$A1408,tongctvtdd1)+SUMIF(OFFSET(tongctvtpk1,0,-(COLUMN(E1408)+7-(COLUMN(E1408)-5)/2)),KLVT!$A1408,tongctvtpk1)</f>
        <v>0</v>
      </c>
      <c r="F1408" s="449">
        <f ca="1">SUMIF(OFFSET(cttba_vlvt1_1,0,-9,-ROW(cttba_vlvt1_1)+ROW(cttba_vltb1_1)-10),KLVT!$A1408,OFFSET(cttba_vlvt1_1,0,-4,-ROW(cttba_vlvt1_1)+ROW(cttba_vltb1_1)-10))</f>
        <v>0</v>
      </c>
      <c r="G1408" s="451">
        <f t="shared" ca="1" si="216"/>
        <v>0</v>
      </c>
      <c r="H1408" s="450">
        <f t="shared" si="213"/>
        <v>1</v>
      </c>
      <c r="I1408" s="447">
        <f t="shared" ca="1" si="217"/>
        <v>0</v>
      </c>
      <c r="J1408" s="447">
        <f t="shared" ca="1" si="218"/>
        <v>0</v>
      </c>
      <c r="K1408" s="373">
        <f t="shared" ca="1" si="219"/>
        <v>0</v>
      </c>
    </row>
    <row r="1409" spans="1:11" s="373" customFormat="1" ht="15.75" hidden="1">
      <c r="A1409" s="373" t="str">
        <f>IF(AND(COUNTIF($A$5:$A$133,R_DG!A1283)=0,R_DG!R1283&gt;0,ISNUMBER(R_DG!R1283)),R_DG!A1283,"NONE")</f>
        <v>NONE</v>
      </c>
      <c r="B1409" s="85">
        <f ca="1">IF(K1409&gt;0,COUNTIF(K$6:K1409,"&gt;0"),B1408)</f>
        <v>38</v>
      </c>
      <c r="C1409" s="1084">
        <f t="shared" si="214"/>
        <v>0</v>
      </c>
      <c r="D1409" s="85">
        <f t="shared" si="215"/>
        <v>0</v>
      </c>
      <c r="E1409" s="448">
        <f ca="1">SUMIF(OFFSET(tongctvtdd1,0,-(COLUMN(E1409)+7-(COLUMN(E1409)-5)/2)),KLVT!$A1409,tongctvtdd1)+SUMIF(OFFSET(tongctvtpk1,0,-(COLUMN(E1409)+7-(COLUMN(E1409)-5)/2)),KLVT!$A1409,tongctvtpk1)</f>
        <v>0</v>
      </c>
      <c r="F1409" s="449">
        <f ca="1">SUMIF(OFFSET(cttba_vlvt1_1,0,-9,-ROW(cttba_vlvt1_1)+ROW(cttba_vltb1_1)-10),KLVT!$A1409,OFFSET(cttba_vlvt1_1,0,-4,-ROW(cttba_vlvt1_1)+ROW(cttba_vltb1_1)-10))</f>
        <v>0</v>
      </c>
      <c r="G1409" s="451">
        <f t="shared" ca="1" si="216"/>
        <v>0</v>
      </c>
      <c r="H1409" s="450">
        <f t="shared" si="213"/>
        <v>1</v>
      </c>
      <c r="I1409" s="447">
        <f t="shared" ca="1" si="217"/>
        <v>0</v>
      </c>
      <c r="J1409" s="447">
        <f t="shared" ca="1" si="218"/>
        <v>0</v>
      </c>
      <c r="K1409" s="373">
        <f t="shared" ca="1" si="219"/>
        <v>0</v>
      </c>
    </row>
    <row r="1410" spans="1:11" s="373" customFormat="1" ht="15.75" hidden="1">
      <c r="A1410" s="373" t="str">
        <f>IF(AND(COUNTIF($A$5:$A$133,R_DG!A1284)=0,R_DG!R1284&gt;0,ISNUMBER(R_DG!R1284)),R_DG!A1284,"NONE")</f>
        <v>NONE</v>
      </c>
      <c r="B1410" s="85">
        <f ca="1">IF(K1410&gt;0,COUNTIF(K$6:K1410,"&gt;0"),B1409)</f>
        <v>38</v>
      </c>
      <c r="C1410" s="1084">
        <f t="shared" si="214"/>
        <v>0</v>
      </c>
      <c r="D1410" s="85">
        <f t="shared" si="215"/>
        <v>0</v>
      </c>
      <c r="E1410" s="448">
        <f ca="1">SUMIF(OFFSET(tongctvtdd1,0,-(COLUMN(E1410)+7-(COLUMN(E1410)-5)/2)),KLVT!$A1410,tongctvtdd1)+SUMIF(OFFSET(tongctvtpk1,0,-(COLUMN(E1410)+7-(COLUMN(E1410)-5)/2)),KLVT!$A1410,tongctvtpk1)</f>
        <v>0</v>
      </c>
      <c r="F1410" s="449">
        <f ca="1">SUMIF(OFFSET(cttba_vlvt1_1,0,-9,-ROW(cttba_vlvt1_1)+ROW(cttba_vltb1_1)-10),KLVT!$A1410,OFFSET(cttba_vlvt1_1,0,-4,-ROW(cttba_vlvt1_1)+ROW(cttba_vltb1_1)-10))</f>
        <v>0</v>
      </c>
      <c r="G1410" s="451">
        <f t="shared" ca="1" si="216"/>
        <v>0</v>
      </c>
      <c r="H1410" s="450">
        <f t="shared" si="213"/>
        <v>1</v>
      </c>
      <c r="I1410" s="447">
        <f t="shared" ca="1" si="217"/>
        <v>0</v>
      </c>
      <c r="J1410" s="447">
        <f t="shared" ca="1" si="218"/>
        <v>0</v>
      </c>
      <c r="K1410" s="373">
        <f t="shared" ca="1" si="219"/>
        <v>0</v>
      </c>
    </row>
    <row r="1411" spans="1:11" s="373" customFormat="1" ht="15.75" hidden="1">
      <c r="A1411" s="373" t="str">
        <f>IF(AND(COUNTIF($A$5:$A$133,R_DG!A1285)=0,R_DG!R1285&gt;0,ISNUMBER(R_DG!R1285)),R_DG!A1285,"NONE")</f>
        <v>NONE</v>
      </c>
      <c r="B1411" s="85">
        <f ca="1">IF(K1411&gt;0,COUNTIF(K$6:K1411,"&gt;0"),B1410)</f>
        <v>38</v>
      </c>
      <c r="C1411" s="1084">
        <f t="shared" si="214"/>
        <v>0</v>
      </c>
      <c r="D1411" s="85">
        <f t="shared" si="215"/>
        <v>0</v>
      </c>
      <c r="E1411" s="448">
        <f ca="1">SUMIF(OFFSET(tongctvtdd1,0,-(COLUMN(E1411)+7-(COLUMN(E1411)-5)/2)),KLVT!$A1411,tongctvtdd1)+SUMIF(OFFSET(tongctvtpk1,0,-(COLUMN(E1411)+7-(COLUMN(E1411)-5)/2)),KLVT!$A1411,tongctvtpk1)</f>
        <v>0</v>
      </c>
      <c r="F1411" s="449">
        <f ca="1">SUMIF(OFFSET(cttba_vlvt1_1,0,-9,-ROW(cttba_vlvt1_1)+ROW(cttba_vltb1_1)-10),KLVT!$A1411,OFFSET(cttba_vlvt1_1,0,-4,-ROW(cttba_vlvt1_1)+ROW(cttba_vltb1_1)-10))</f>
        <v>0</v>
      </c>
      <c r="G1411" s="451">
        <f t="shared" ca="1" si="216"/>
        <v>0</v>
      </c>
      <c r="H1411" s="450">
        <f t="shared" si="213"/>
        <v>1</v>
      </c>
      <c r="I1411" s="447">
        <f t="shared" ca="1" si="217"/>
        <v>0</v>
      </c>
      <c r="J1411" s="447">
        <f t="shared" ca="1" si="218"/>
        <v>0</v>
      </c>
      <c r="K1411" s="373">
        <f t="shared" ca="1" si="219"/>
        <v>0</v>
      </c>
    </row>
    <row r="1412" spans="1:11" s="373" customFormat="1" ht="15.75" hidden="1">
      <c r="A1412" s="373" t="str">
        <f>IF(AND(COUNTIF($A$5:$A$133,R_DG!A1286)=0,R_DG!R1286&gt;0,ISNUMBER(R_DG!R1286)),R_DG!A1286,"NONE")</f>
        <v>NONE</v>
      </c>
      <c r="B1412" s="85">
        <f ca="1">IF(K1412&gt;0,COUNTIF(K$6:K1412,"&gt;0"),B1411)</f>
        <v>38</v>
      </c>
      <c r="C1412" s="1084">
        <f t="shared" si="214"/>
        <v>0</v>
      </c>
      <c r="D1412" s="85">
        <f t="shared" si="215"/>
        <v>0</v>
      </c>
      <c r="E1412" s="448">
        <f ca="1">SUMIF(OFFSET(tongctvtdd1,0,-(COLUMN(E1412)+7-(COLUMN(E1412)-5)/2)),KLVT!$A1412,tongctvtdd1)+SUMIF(OFFSET(tongctvtpk1,0,-(COLUMN(E1412)+7-(COLUMN(E1412)-5)/2)),KLVT!$A1412,tongctvtpk1)</f>
        <v>0</v>
      </c>
      <c r="F1412" s="449">
        <f ca="1">SUMIF(OFFSET(cttba_vlvt1_1,0,-9,-ROW(cttba_vlvt1_1)+ROW(cttba_vltb1_1)-10),KLVT!$A1412,OFFSET(cttba_vlvt1_1,0,-4,-ROW(cttba_vlvt1_1)+ROW(cttba_vltb1_1)-10))</f>
        <v>0</v>
      </c>
      <c r="G1412" s="451">
        <f t="shared" ca="1" si="216"/>
        <v>0</v>
      </c>
      <c r="H1412" s="450">
        <f t="shared" si="213"/>
        <v>1</v>
      </c>
      <c r="I1412" s="447">
        <f t="shared" ca="1" si="217"/>
        <v>0</v>
      </c>
      <c r="J1412" s="447">
        <f t="shared" ca="1" si="218"/>
        <v>0</v>
      </c>
      <c r="K1412" s="373">
        <f t="shared" ca="1" si="219"/>
        <v>0</v>
      </c>
    </row>
    <row r="1413" spans="1:11" s="373" customFormat="1" ht="15.75" hidden="1">
      <c r="A1413" s="373" t="str">
        <f>IF(AND(COUNTIF($A$5:$A$133,R_DG!A1287)=0,R_DG!R1287&gt;0,ISNUMBER(R_DG!R1287)),R_DG!A1287,"NONE")</f>
        <v>NONE</v>
      </c>
      <c r="B1413" s="85">
        <f ca="1">IF(K1413&gt;0,COUNTIF(K$6:K1413,"&gt;0"),B1412)</f>
        <v>38</v>
      </c>
      <c r="C1413" s="1084">
        <f t="shared" si="214"/>
        <v>0</v>
      </c>
      <c r="D1413" s="85">
        <f t="shared" si="215"/>
        <v>0</v>
      </c>
      <c r="E1413" s="448">
        <f ca="1">SUMIF(OFFSET(tongctvtdd1,0,-(COLUMN(E1413)+7-(COLUMN(E1413)-5)/2)),KLVT!$A1413,tongctvtdd1)+SUMIF(OFFSET(tongctvtpk1,0,-(COLUMN(E1413)+7-(COLUMN(E1413)-5)/2)),KLVT!$A1413,tongctvtpk1)</f>
        <v>0</v>
      </c>
      <c r="F1413" s="449">
        <f ca="1">SUMIF(OFFSET(cttba_vlvt1_1,0,-9,-ROW(cttba_vlvt1_1)+ROW(cttba_vltb1_1)-10),KLVT!$A1413,OFFSET(cttba_vlvt1_1,0,-4,-ROW(cttba_vlvt1_1)+ROW(cttba_vltb1_1)-10))</f>
        <v>0</v>
      </c>
      <c r="G1413" s="451">
        <f t="shared" ca="1" si="216"/>
        <v>0</v>
      </c>
      <c r="H1413" s="450">
        <f t="shared" si="213"/>
        <v>1</v>
      </c>
      <c r="I1413" s="447">
        <f t="shared" ca="1" si="217"/>
        <v>0</v>
      </c>
      <c r="J1413" s="447">
        <f t="shared" ca="1" si="218"/>
        <v>0</v>
      </c>
      <c r="K1413" s="373">
        <f t="shared" ca="1" si="219"/>
        <v>0</v>
      </c>
    </row>
    <row r="1414" spans="1:11" s="373" customFormat="1" ht="15.75" hidden="1">
      <c r="A1414" s="373" t="str">
        <f>IF(AND(COUNTIF($A$5:$A$133,R_DG!A1288)=0,R_DG!R1288&gt;0,ISNUMBER(R_DG!R1288)),R_DG!A1288,"NONE")</f>
        <v>NONE</v>
      </c>
      <c r="B1414" s="85">
        <f ca="1">IF(K1414&gt;0,COUNTIF(K$6:K1414,"&gt;0"),B1413)</f>
        <v>38</v>
      </c>
      <c r="C1414" s="1084">
        <f t="shared" si="214"/>
        <v>0</v>
      </c>
      <c r="D1414" s="85">
        <f t="shared" si="215"/>
        <v>0</v>
      </c>
      <c r="E1414" s="448">
        <f ca="1">SUMIF(OFFSET(tongctvtdd1,0,-(COLUMN(E1414)+7-(COLUMN(E1414)-5)/2)),KLVT!$A1414,tongctvtdd1)+SUMIF(OFFSET(tongctvtpk1,0,-(COLUMN(E1414)+7-(COLUMN(E1414)-5)/2)),KLVT!$A1414,tongctvtpk1)</f>
        <v>0</v>
      </c>
      <c r="F1414" s="449">
        <f ca="1">SUMIF(OFFSET(cttba_vlvt1_1,0,-9,-ROW(cttba_vlvt1_1)+ROW(cttba_vltb1_1)-10),KLVT!$A1414,OFFSET(cttba_vlvt1_1,0,-4,-ROW(cttba_vlvt1_1)+ROW(cttba_vltb1_1)-10))</f>
        <v>0</v>
      </c>
      <c r="G1414" s="451">
        <f t="shared" ca="1" si="216"/>
        <v>0</v>
      </c>
      <c r="H1414" s="450">
        <f t="shared" ref="H1414:H1429" si="220">VLOOKUP(A1414,DONGIA,18,0)</f>
        <v>1</v>
      </c>
      <c r="I1414" s="447">
        <f t="shared" ca="1" si="217"/>
        <v>0</v>
      </c>
      <c r="J1414" s="447">
        <f t="shared" ca="1" si="218"/>
        <v>0</v>
      </c>
      <c r="K1414" s="373">
        <f t="shared" ca="1" si="219"/>
        <v>0</v>
      </c>
    </row>
    <row r="1415" spans="1:11" s="373" customFormat="1" ht="15.75" hidden="1">
      <c r="A1415" s="373" t="str">
        <f>IF(AND(COUNTIF($A$5:$A$133,R_DG!A1289)=0,R_DG!R1289&gt;0,ISNUMBER(R_DG!R1289)),R_DG!A1289,"NONE")</f>
        <v>NONE</v>
      </c>
      <c r="B1415" s="85">
        <f ca="1">IF(K1415&gt;0,COUNTIF(K$6:K1415,"&gt;0"),B1414)</f>
        <v>38</v>
      </c>
      <c r="C1415" s="1084">
        <f t="shared" si="214"/>
        <v>0</v>
      </c>
      <c r="D1415" s="85">
        <f t="shared" si="215"/>
        <v>0</v>
      </c>
      <c r="E1415" s="448">
        <f ca="1">SUMIF(OFFSET(tongctvtdd1,0,-(COLUMN(E1415)+7-(COLUMN(E1415)-5)/2)),KLVT!$A1415,tongctvtdd1)+SUMIF(OFFSET(tongctvtpk1,0,-(COLUMN(E1415)+7-(COLUMN(E1415)-5)/2)),KLVT!$A1415,tongctvtpk1)</f>
        <v>0</v>
      </c>
      <c r="F1415" s="449">
        <f ca="1">SUMIF(OFFSET(cttba_vlvt1_1,0,-9,-ROW(cttba_vlvt1_1)+ROW(cttba_vltb1_1)-10),KLVT!$A1415,OFFSET(cttba_vlvt1_1,0,-4,-ROW(cttba_vlvt1_1)+ROW(cttba_vltb1_1)-10))</f>
        <v>0</v>
      </c>
      <c r="G1415" s="451">
        <f t="shared" ca="1" si="216"/>
        <v>0</v>
      </c>
      <c r="H1415" s="450">
        <f t="shared" si="220"/>
        <v>1</v>
      </c>
      <c r="I1415" s="447">
        <f t="shared" ca="1" si="217"/>
        <v>0</v>
      </c>
      <c r="J1415" s="447">
        <f t="shared" ca="1" si="218"/>
        <v>0</v>
      </c>
      <c r="K1415" s="373">
        <f t="shared" ca="1" si="219"/>
        <v>0</v>
      </c>
    </row>
    <row r="1416" spans="1:11" s="373" customFormat="1" ht="15.75" hidden="1">
      <c r="A1416" s="373" t="str">
        <f>IF(AND(COUNTIF($A$5:$A$133,R_DG!A1290)=0,R_DG!R1290&gt;0,ISNUMBER(R_DG!R1290)),R_DG!A1290,"NONE")</f>
        <v>NONE</v>
      </c>
      <c r="B1416" s="85">
        <f ca="1">IF(K1416&gt;0,COUNTIF(K$6:K1416,"&gt;0"),B1415)</f>
        <v>38</v>
      </c>
      <c r="C1416" s="1084">
        <f t="shared" si="214"/>
        <v>0</v>
      </c>
      <c r="D1416" s="85">
        <f t="shared" si="215"/>
        <v>0</v>
      </c>
      <c r="E1416" s="448">
        <f ca="1">SUMIF(OFFSET(tongctvtdd1,0,-(COLUMN(E1416)+7-(COLUMN(E1416)-5)/2)),KLVT!$A1416,tongctvtdd1)+SUMIF(OFFSET(tongctvtpk1,0,-(COLUMN(E1416)+7-(COLUMN(E1416)-5)/2)),KLVT!$A1416,tongctvtpk1)</f>
        <v>0</v>
      </c>
      <c r="F1416" s="449">
        <f ca="1">SUMIF(OFFSET(cttba_vlvt1_1,0,-9,-ROW(cttba_vlvt1_1)+ROW(cttba_vltb1_1)-10),KLVT!$A1416,OFFSET(cttba_vlvt1_1,0,-4,-ROW(cttba_vlvt1_1)+ROW(cttba_vltb1_1)-10))</f>
        <v>0</v>
      </c>
      <c r="G1416" s="451">
        <f t="shared" ca="1" si="216"/>
        <v>0</v>
      </c>
      <c r="H1416" s="450">
        <f t="shared" si="220"/>
        <v>1</v>
      </c>
      <c r="I1416" s="447">
        <f t="shared" ca="1" si="217"/>
        <v>0</v>
      </c>
      <c r="J1416" s="447">
        <f t="shared" ca="1" si="218"/>
        <v>0</v>
      </c>
      <c r="K1416" s="373">
        <f t="shared" ca="1" si="219"/>
        <v>0</v>
      </c>
    </row>
    <row r="1417" spans="1:11" s="373" customFormat="1" ht="15.75" hidden="1">
      <c r="A1417" s="373" t="str">
        <f>IF(AND(COUNTIF($A$5:$A$133,R_DG!A1291)=0,R_DG!R1291&gt;0,ISNUMBER(R_DG!R1291)),R_DG!A1291,"NONE")</f>
        <v>NONE</v>
      </c>
      <c r="B1417" s="85">
        <f ca="1">IF(K1417&gt;0,COUNTIF(K$6:K1417,"&gt;0"),B1416)</f>
        <v>38</v>
      </c>
      <c r="C1417" s="1084">
        <f t="shared" si="214"/>
        <v>0</v>
      </c>
      <c r="D1417" s="85">
        <f t="shared" si="215"/>
        <v>0</v>
      </c>
      <c r="E1417" s="448">
        <f ca="1">SUMIF(OFFSET(tongctvtdd1,0,-(COLUMN(E1417)+7-(COLUMN(E1417)-5)/2)),KLVT!$A1417,tongctvtdd1)+SUMIF(OFFSET(tongctvtpk1,0,-(COLUMN(E1417)+7-(COLUMN(E1417)-5)/2)),KLVT!$A1417,tongctvtpk1)</f>
        <v>0</v>
      </c>
      <c r="F1417" s="449">
        <f ca="1">SUMIF(OFFSET(cttba_vlvt1_1,0,-9,-ROW(cttba_vlvt1_1)+ROW(cttba_vltb1_1)-10),KLVT!$A1417,OFFSET(cttba_vlvt1_1,0,-4,-ROW(cttba_vlvt1_1)+ROW(cttba_vltb1_1)-10))</f>
        <v>0</v>
      </c>
      <c r="G1417" s="451">
        <f t="shared" ca="1" si="216"/>
        <v>0</v>
      </c>
      <c r="H1417" s="450">
        <f t="shared" si="220"/>
        <v>1</v>
      </c>
      <c r="I1417" s="447">
        <f t="shared" ca="1" si="217"/>
        <v>0</v>
      </c>
      <c r="J1417" s="447">
        <f t="shared" ca="1" si="218"/>
        <v>0</v>
      </c>
      <c r="K1417" s="373">
        <f t="shared" ca="1" si="219"/>
        <v>0</v>
      </c>
    </row>
    <row r="1418" spans="1:11" s="373" customFormat="1" ht="15.75" hidden="1">
      <c r="A1418" s="373" t="str">
        <f>IF(AND(COUNTIF($A$5:$A$133,R_DG!A1292)=0,R_DG!R1292&gt;0,ISNUMBER(R_DG!R1292)),R_DG!A1292,"NONE")</f>
        <v>NONE</v>
      </c>
      <c r="B1418" s="85">
        <f ca="1">IF(K1418&gt;0,COUNTIF(K$6:K1418,"&gt;0"),B1417)</f>
        <v>38</v>
      </c>
      <c r="C1418" s="1084">
        <f t="shared" si="214"/>
        <v>0</v>
      </c>
      <c r="D1418" s="85">
        <f t="shared" si="215"/>
        <v>0</v>
      </c>
      <c r="E1418" s="448">
        <f ca="1">SUMIF(OFFSET(tongctvtdd1,0,-(COLUMN(E1418)+7-(COLUMN(E1418)-5)/2)),KLVT!$A1418,tongctvtdd1)+SUMIF(OFFSET(tongctvtpk1,0,-(COLUMN(E1418)+7-(COLUMN(E1418)-5)/2)),KLVT!$A1418,tongctvtpk1)</f>
        <v>0</v>
      </c>
      <c r="F1418" s="449">
        <f ca="1">SUMIF(OFFSET(cttba_vlvt1_1,0,-9,-ROW(cttba_vlvt1_1)+ROW(cttba_vltb1_1)-10),KLVT!$A1418,OFFSET(cttba_vlvt1_1,0,-4,-ROW(cttba_vlvt1_1)+ROW(cttba_vltb1_1)-10))</f>
        <v>0</v>
      </c>
      <c r="G1418" s="451">
        <f t="shared" ca="1" si="216"/>
        <v>0</v>
      </c>
      <c r="H1418" s="450">
        <f t="shared" si="220"/>
        <v>1</v>
      </c>
      <c r="I1418" s="447">
        <f t="shared" ca="1" si="217"/>
        <v>0</v>
      </c>
      <c r="J1418" s="447">
        <f t="shared" ca="1" si="218"/>
        <v>0</v>
      </c>
      <c r="K1418" s="373">
        <f t="shared" ca="1" si="219"/>
        <v>0</v>
      </c>
    </row>
    <row r="1419" spans="1:11" s="373" customFormat="1" ht="15.75" hidden="1">
      <c r="A1419" s="373" t="str">
        <f>IF(AND(COUNTIF($A$5:$A$133,R_DG!A1293)=0,R_DG!R1293&gt;0,ISNUMBER(R_DG!R1293)),R_DG!A1293,"NONE")</f>
        <v>NONE</v>
      </c>
      <c r="B1419" s="85">
        <f ca="1">IF(K1419&gt;0,COUNTIF(K$6:K1419,"&gt;0"),B1418)</f>
        <v>38</v>
      </c>
      <c r="C1419" s="1084">
        <f t="shared" si="214"/>
        <v>0</v>
      </c>
      <c r="D1419" s="85">
        <f t="shared" si="215"/>
        <v>0</v>
      </c>
      <c r="E1419" s="448">
        <f ca="1">SUMIF(OFFSET(tongctvtdd1,0,-(COLUMN(E1419)+7-(COLUMN(E1419)-5)/2)),KLVT!$A1419,tongctvtdd1)+SUMIF(OFFSET(tongctvtpk1,0,-(COLUMN(E1419)+7-(COLUMN(E1419)-5)/2)),KLVT!$A1419,tongctvtpk1)</f>
        <v>0</v>
      </c>
      <c r="F1419" s="449">
        <f ca="1">SUMIF(OFFSET(cttba_vlvt1_1,0,-9,-ROW(cttba_vlvt1_1)+ROW(cttba_vltb1_1)-10),KLVT!$A1419,OFFSET(cttba_vlvt1_1,0,-4,-ROW(cttba_vlvt1_1)+ROW(cttba_vltb1_1)-10))</f>
        <v>0</v>
      </c>
      <c r="G1419" s="451">
        <f t="shared" ca="1" si="216"/>
        <v>0</v>
      </c>
      <c r="H1419" s="450">
        <f t="shared" si="220"/>
        <v>1</v>
      </c>
      <c r="I1419" s="447">
        <f t="shared" ca="1" si="217"/>
        <v>0</v>
      </c>
      <c r="J1419" s="447">
        <f t="shared" ca="1" si="218"/>
        <v>0</v>
      </c>
      <c r="K1419" s="373">
        <f t="shared" ca="1" si="219"/>
        <v>0</v>
      </c>
    </row>
    <row r="1420" spans="1:11" s="373" customFormat="1" ht="15.75" hidden="1">
      <c r="A1420" s="373" t="str">
        <f>IF(AND(COUNTIF($A$5:$A$133,R_DG!A1294)=0,R_DG!R1294&gt;0,ISNUMBER(R_DG!R1294)),R_DG!A1294,"NONE")</f>
        <v>NONE</v>
      </c>
      <c r="B1420" s="85">
        <f ca="1">IF(K1420&gt;0,COUNTIF(K$6:K1420,"&gt;0"),B1419)</f>
        <v>38</v>
      </c>
      <c r="C1420" s="1084">
        <f t="shared" si="214"/>
        <v>0</v>
      </c>
      <c r="D1420" s="85">
        <f t="shared" si="215"/>
        <v>0</v>
      </c>
      <c r="E1420" s="448">
        <f ca="1">SUMIF(OFFSET(tongctvtdd1,0,-(COLUMN(E1420)+7-(COLUMN(E1420)-5)/2)),KLVT!$A1420,tongctvtdd1)+SUMIF(OFFSET(tongctvtpk1,0,-(COLUMN(E1420)+7-(COLUMN(E1420)-5)/2)),KLVT!$A1420,tongctvtpk1)</f>
        <v>0</v>
      </c>
      <c r="F1420" s="449">
        <f ca="1">SUMIF(OFFSET(cttba_vlvt1_1,0,-9,-ROW(cttba_vlvt1_1)+ROW(cttba_vltb1_1)-10),KLVT!$A1420,OFFSET(cttba_vlvt1_1,0,-4,-ROW(cttba_vlvt1_1)+ROW(cttba_vltb1_1)-10))</f>
        <v>0</v>
      </c>
      <c r="G1420" s="451">
        <f t="shared" ca="1" si="216"/>
        <v>0</v>
      </c>
      <c r="H1420" s="450">
        <f t="shared" si="220"/>
        <v>1</v>
      </c>
      <c r="I1420" s="447">
        <f t="shared" ca="1" si="217"/>
        <v>0</v>
      </c>
      <c r="J1420" s="447">
        <f t="shared" ca="1" si="218"/>
        <v>0</v>
      </c>
      <c r="K1420" s="373">
        <f t="shared" ca="1" si="219"/>
        <v>0</v>
      </c>
    </row>
    <row r="1421" spans="1:11" s="373" customFormat="1" ht="15.75" hidden="1">
      <c r="A1421" s="373" t="str">
        <f>IF(AND(COUNTIF($A$5:$A$133,R_DG!A1295)=0,R_DG!R1295&gt;0,ISNUMBER(R_DG!R1295)),R_DG!A1295,"NONE")</f>
        <v>NONE</v>
      </c>
      <c r="B1421" s="85">
        <f ca="1">IF(K1421&gt;0,COUNTIF(K$6:K1421,"&gt;0"),B1420)</f>
        <v>38</v>
      </c>
      <c r="C1421" s="1084">
        <f t="shared" si="214"/>
        <v>0</v>
      </c>
      <c r="D1421" s="85">
        <f t="shared" si="215"/>
        <v>0</v>
      </c>
      <c r="E1421" s="448">
        <f ca="1">SUMIF(OFFSET(tongctvtdd1,0,-(COLUMN(E1421)+7-(COLUMN(E1421)-5)/2)),KLVT!$A1421,tongctvtdd1)+SUMIF(OFFSET(tongctvtpk1,0,-(COLUMN(E1421)+7-(COLUMN(E1421)-5)/2)),KLVT!$A1421,tongctvtpk1)</f>
        <v>0</v>
      </c>
      <c r="F1421" s="449">
        <f ca="1">SUMIF(OFFSET(cttba_vlvt1_1,0,-9,-ROW(cttba_vlvt1_1)+ROW(cttba_vltb1_1)-10),KLVT!$A1421,OFFSET(cttba_vlvt1_1,0,-4,-ROW(cttba_vlvt1_1)+ROW(cttba_vltb1_1)-10))</f>
        <v>0</v>
      </c>
      <c r="G1421" s="451">
        <f t="shared" ca="1" si="216"/>
        <v>0</v>
      </c>
      <c r="H1421" s="450">
        <f t="shared" si="220"/>
        <v>1</v>
      </c>
      <c r="I1421" s="447">
        <f t="shared" ca="1" si="217"/>
        <v>0</v>
      </c>
      <c r="J1421" s="447">
        <f t="shared" ca="1" si="218"/>
        <v>0</v>
      </c>
      <c r="K1421" s="373">
        <f t="shared" ca="1" si="219"/>
        <v>0</v>
      </c>
    </row>
    <row r="1422" spans="1:11" s="373" customFormat="1" ht="15.75" hidden="1">
      <c r="A1422" s="373" t="str">
        <f>IF(AND(COUNTIF($A$5:$A$133,R_DG!A1296)=0,R_DG!R1296&gt;0,ISNUMBER(R_DG!R1296)),R_DG!A1296,"NONE")</f>
        <v>NONE</v>
      </c>
      <c r="B1422" s="85">
        <f ca="1">IF(K1422&gt;0,COUNTIF(K$6:K1422,"&gt;0"),B1421)</f>
        <v>38</v>
      </c>
      <c r="C1422" s="1084">
        <f t="shared" si="214"/>
        <v>0</v>
      </c>
      <c r="D1422" s="85">
        <f t="shared" si="215"/>
        <v>0</v>
      </c>
      <c r="E1422" s="448">
        <f ca="1">SUMIF(OFFSET(tongctvtdd1,0,-(COLUMN(E1422)+7-(COLUMN(E1422)-5)/2)),KLVT!$A1422,tongctvtdd1)+SUMIF(OFFSET(tongctvtpk1,0,-(COLUMN(E1422)+7-(COLUMN(E1422)-5)/2)),KLVT!$A1422,tongctvtpk1)</f>
        <v>0</v>
      </c>
      <c r="F1422" s="449">
        <f ca="1">SUMIF(OFFSET(cttba_vlvt1_1,0,-9,-ROW(cttba_vlvt1_1)+ROW(cttba_vltb1_1)-10),KLVT!$A1422,OFFSET(cttba_vlvt1_1,0,-4,-ROW(cttba_vlvt1_1)+ROW(cttba_vltb1_1)-10))</f>
        <v>0</v>
      </c>
      <c r="G1422" s="451">
        <f t="shared" ca="1" si="216"/>
        <v>0</v>
      </c>
      <c r="H1422" s="450">
        <f t="shared" si="220"/>
        <v>1</v>
      </c>
      <c r="I1422" s="447">
        <f t="shared" ca="1" si="217"/>
        <v>0</v>
      </c>
      <c r="J1422" s="447">
        <f t="shared" ca="1" si="218"/>
        <v>0</v>
      </c>
      <c r="K1422" s="373">
        <f t="shared" ca="1" si="219"/>
        <v>0</v>
      </c>
    </row>
    <row r="1423" spans="1:11" s="373" customFormat="1" ht="15.75" hidden="1">
      <c r="A1423" s="373" t="str">
        <f>IF(AND(COUNTIF($A$5:$A$133,R_DG!A1297)=0,R_DG!R1297&gt;0,ISNUMBER(R_DG!R1297)),R_DG!A1297,"NONE")</f>
        <v>NONE</v>
      </c>
      <c r="B1423" s="85">
        <f ca="1">IF(K1423&gt;0,COUNTIF(K$6:K1423,"&gt;0"),B1422)</f>
        <v>38</v>
      </c>
      <c r="C1423" s="1084">
        <f t="shared" si="214"/>
        <v>0</v>
      </c>
      <c r="D1423" s="85">
        <f t="shared" si="215"/>
        <v>0</v>
      </c>
      <c r="E1423" s="448">
        <f ca="1">SUMIF(OFFSET(tongctvtdd1,0,-(COLUMN(E1423)+7-(COLUMN(E1423)-5)/2)),KLVT!$A1423,tongctvtdd1)+SUMIF(OFFSET(tongctvtpk1,0,-(COLUMN(E1423)+7-(COLUMN(E1423)-5)/2)),KLVT!$A1423,tongctvtpk1)</f>
        <v>0</v>
      </c>
      <c r="F1423" s="449">
        <f ca="1">SUMIF(OFFSET(cttba_vlvt1_1,0,-9,-ROW(cttba_vlvt1_1)+ROW(cttba_vltb1_1)-10),KLVT!$A1423,OFFSET(cttba_vlvt1_1,0,-4,-ROW(cttba_vlvt1_1)+ROW(cttba_vltb1_1)-10))</f>
        <v>0</v>
      </c>
      <c r="G1423" s="451">
        <f t="shared" ca="1" si="216"/>
        <v>0</v>
      </c>
      <c r="H1423" s="450">
        <f t="shared" si="220"/>
        <v>1</v>
      </c>
      <c r="I1423" s="447">
        <f t="shared" ca="1" si="217"/>
        <v>0</v>
      </c>
      <c r="J1423" s="447">
        <f t="shared" ca="1" si="218"/>
        <v>0</v>
      </c>
      <c r="K1423" s="373">
        <f t="shared" ca="1" si="219"/>
        <v>0</v>
      </c>
    </row>
    <row r="1424" spans="1:11" s="373" customFormat="1" ht="15.75" hidden="1">
      <c r="A1424" s="373" t="str">
        <f>IF(AND(COUNTIF($A$5:$A$133,R_DG!A1298)=0,R_DG!R1298&gt;0,ISNUMBER(R_DG!R1298)),R_DG!A1298,"NONE")</f>
        <v>NONE</v>
      </c>
      <c r="B1424" s="85">
        <f ca="1">IF(K1424&gt;0,COUNTIF(K$6:K1424,"&gt;0"),B1423)</f>
        <v>38</v>
      </c>
      <c r="C1424" s="1084">
        <f t="shared" si="214"/>
        <v>0</v>
      </c>
      <c r="D1424" s="85">
        <f t="shared" si="215"/>
        <v>0</v>
      </c>
      <c r="E1424" s="448">
        <f ca="1">SUMIF(OFFSET(tongctvtdd1,0,-(COLUMN(E1424)+7-(COLUMN(E1424)-5)/2)),KLVT!$A1424,tongctvtdd1)+SUMIF(OFFSET(tongctvtpk1,0,-(COLUMN(E1424)+7-(COLUMN(E1424)-5)/2)),KLVT!$A1424,tongctvtpk1)</f>
        <v>0</v>
      </c>
      <c r="F1424" s="449">
        <f ca="1">SUMIF(OFFSET(cttba_vlvt1_1,0,-9,-ROW(cttba_vlvt1_1)+ROW(cttba_vltb1_1)-10),KLVT!$A1424,OFFSET(cttba_vlvt1_1,0,-4,-ROW(cttba_vlvt1_1)+ROW(cttba_vltb1_1)-10))</f>
        <v>0</v>
      </c>
      <c r="G1424" s="451">
        <f t="shared" ca="1" si="216"/>
        <v>0</v>
      </c>
      <c r="H1424" s="450">
        <f t="shared" si="220"/>
        <v>1</v>
      </c>
      <c r="I1424" s="447">
        <f t="shared" ca="1" si="217"/>
        <v>0</v>
      </c>
      <c r="J1424" s="447">
        <f t="shared" ca="1" si="218"/>
        <v>0</v>
      </c>
      <c r="K1424" s="373">
        <f t="shared" ca="1" si="219"/>
        <v>0</v>
      </c>
    </row>
    <row r="1425" spans="1:11" s="373" customFormat="1" ht="15.75" hidden="1">
      <c r="A1425" s="373" t="str">
        <f>IF(AND(COUNTIF($A$5:$A$133,R_DG!A1299)=0,R_DG!R1299&gt;0,ISNUMBER(R_DG!R1299)),R_DG!A1299,"NONE")</f>
        <v>NONE</v>
      </c>
      <c r="B1425" s="85">
        <f ca="1">IF(K1425&gt;0,COUNTIF(K$6:K1425,"&gt;0"),B1424)</f>
        <v>38</v>
      </c>
      <c r="C1425" s="1084">
        <f t="shared" si="214"/>
        <v>0</v>
      </c>
      <c r="D1425" s="85">
        <f t="shared" si="215"/>
        <v>0</v>
      </c>
      <c r="E1425" s="448">
        <f ca="1">SUMIF(OFFSET(tongctvtdd1,0,-(COLUMN(E1425)+7-(COLUMN(E1425)-5)/2)),KLVT!$A1425,tongctvtdd1)+SUMIF(OFFSET(tongctvtpk1,0,-(COLUMN(E1425)+7-(COLUMN(E1425)-5)/2)),KLVT!$A1425,tongctvtpk1)</f>
        <v>0</v>
      </c>
      <c r="F1425" s="449">
        <f ca="1">SUMIF(OFFSET(cttba_vlvt1_1,0,-9,-ROW(cttba_vlvt1_1)+ROW(cttba_vltb1_1)-10),KLVT!$A1425,OFFSET(cttba_vlvt1_1,0,-4,-ROW(cttba_vlvt1_1)+ROW(cttba_vltb1_1)-10))</f>
        <v>0</v>
      </c>
      <c r="G1425" s="451">
        <f t="shared" ca="1" si="216"/>
        <v>0</v>
      </c>
      <c r="H1425" s="450">
        <f t="shared" si="220"/>
        <v>1</v>
      </c>
      <c r="I1425" s="447">
        <f t="shared" ca="1" si="217"/>
        <v>0</v>
      </c>
      <c r="J1425" s="447">
        <f t="shared" ca="1" si="218"/>
        <v>0</v>
      </c>
      <c r="K1425" s="373">
        <f t="shared" ca="1" si="219"/>
        <v>0</v>
      </c>
    </row>
    <row r="1426" spans="1:11" s="373" customFormat="1" ht="15.75" hidden="1">
      <c r="A1426" s="373" t="str">
        <f>IF(AND(COUNTIF($A$5:$A$133,R_DG!A1300)=0,R_DG!R1300&gt;0,ISNUMBER(R_DG!R1300)),R_DG!A1300,"NONE")</f>
        <v>NONE</v>
      </c>
      <c r="B1426" s="85">
        <f ca="1">IF(K1426&gt;0,COUNTIF(K$6:K1426,"&gt;0"),B1425)</f>
        <v>38</v>
      </c>
      <c r="C1426" s="1084">
        <f t="shared" si="214"/>
        <v>0</v>
      </c>
      <c r="D1426" s="85">
        <f t="shared" si="215"/>
        <v>0</v>
      </c>
      <c r="E1426" s="448">
        <f ca="1">SUMIF(OFFSET(tongctvtdd1,0,-(COLUMN(E1426)+7-(COLUMN(E1426)-5)/2)),KLVT!$A1426,tongctvtdd1)+SUMIF(OFFSET(tongctvtpk1,0,-(COLUMN(E1426)+7-(COLUMN(E1426)-5)/2)),KLVT!$A1426,tongctvtpk1)</f>
        <v>0</v>
      </c>
      <c r="F1426" s="449">
        <f ca="1">SUMIF(OFFSET(cttba_vlvt1_1,0,-9,-ROW(cttba_vlvt1_1)+ROW(cttba_vltb1_1)-10),KLVT!$A1426,OFFSET(cttba_vlvt1_1,0,-4,-ROW(cttba_vlvt1_1)+ROW(cttba_vltb1_1)-10))</f>
        <v>0</v>
      </c>
      <c r="G1426" s="451">
        <f t="shared" ca="1" si="216"/>
        <v>0</v>
      </c>
      <c r="H1426" s="450">
        <f t="shared" si="220"/>
        <v>1</v>
      </c>
      <c r="I1426" s="447">
        <f t="shared" ca="1" si="217"/>
        <v>0</v>
      </c>
      <c r="J1426" s="447">
        <f t="shared" ca="1" si="218"/>
        <v>0</v>
      </c>
      <c r="K1426" s="373">
        <f t="shared" ca="1" si="219"/>
        <v>0</v>
      </c>
    </row>
    <row r="1427" spans="1:11" s="373" customFormat="1" ht="15.75" hidden="1">
      <c r="A1427" s="373" t="str">
        <f>IF(AND(COUNTIF($A$5:$A$133,R_DG!A1301)=0,R_DG!R1301&gt;0,ISNUMBER(R_DG!R1301)),R_DG!A1301,"NONE")</f>
        <v>NONE</v>
      </c>
      <c r="B1427" s="85">
        <f ca="1">IF(K1427&gt;0,COUNTIF(K$6:K1427,"&gt;0"),B1426)</f>
        <v>38</v>
      </c>
      <c r="C1427" s="1084">
        <f t="shared" si="214"/>
        <v>0</v>
      </c>
      <c r="D1427" s="85">
        <f t="shared" si="215"/>
        <v>0</v>
      </c>
      <c r="E1427" s="448">
        <f ca="1">SUMIF(OFFSET(tongctvtdd1,0,-(COLUMN(E1427)+7-(COLUMN(E1427)-5)/2)),KLVT!$A1427,tongctvtdd1)+SUMIF(OFFSET(tongctvtpk1,0,-(COLUMN(E1427)+7-(COLUMN(E1427)-5)/2)),KLVT!$A1427,tongctvtpk1)</f>
        <v>0</v>
      </c>
      <c r="F1427" s="449">
        <f ca="1">SUMIF(OFFSET(cttba_vlvt1_1,0,-9,-ROW(cttba_vlvt1_1)+ROW(cttba_vltb1_1)-10),KLVT!$A1427,OFFSET(cttba_vlvt1_1,0,-4,-ROW(cttba_vlvt1_1)+ROW(cttba_vltb1_1)-10))</f>
        <v>0</v>
      </c>
      <c r="G1427" s="451">
        <f t="shared" ca="1" si="216"/>
        <v>0</v>
      </c>
      <c r="H1427" s="450">
        <f t="shared" si="220"/>
        <v>1</v>
      </c>
      <c r="I1427" s="447">
        <f t="shared" ca="1" si="217"/>
        <v>0</v>
      </c>
      <c r="J1427" s="447">
        <f t="shared" ca="1" si="218"/>
        <v>0</v>
      </c>
      <c r="K1427" s="373">
        <f t="shared" ca="1" si="219"/>
        <v>0</v>
      </c>
    </row>
    <row r="1428" spans="1:11" s="373" customFormat="1" ht="15.75" hidden="1">
      <c r="A1428" s="373" t="str">
        <f>IF(AND(COUNTIF($A$5:$A$133,R_DG!A1302)=0,R_DG!R1302&gt;0,ISNUMBER(R_DG!R1302)),R_DG!A1302,"NONE")</f>
        <v>NONE</v>
      </c>
      <c r="B1428" s="85">
        <f ca="1">IF(K1428&gt;0,COUNTIF(K$6:K1428,"&gt;0"),B1427)</f>
        <v>38</v>
      </c>
      <c r="C1428" s="1084">
        <f t="shared" si="214"/>
        <v>0</v>
      </c>
      <c r="D1428" s="85">
        <f t="shared" si="215"/>
        <v>0</v>
      </c>
      <c r="E1428" s="448">
        <f ca="1">SUMIF(OFFSET(tongctvtdd1,0,-(COLUMN(E1428)+7-(COLUMN(E1428)-5)/2)),KLVT!$A1428,tongctvtdd1)+SUMIF(OFFSET(tongctvtpk1,0,-(COLUMN(E1428)+7-(COLUMN(E1428)-5)/2)),KLVT!$A1428,tongctvtpk1)</f>
        <v>0</v>
      </c>
      <c r="F1428" s="449">
        <f ca="1">SUMIF(OFFSET(cttba_vlvt1_1,0,-9,-ROW(cttba_vlvt1_1)+ROW(cttba_vltb1_1)-10),KLVT!$A1428,OFFSET(cttba_vlvt1_1,0,-4,-ROW(cttba_vlvt1_1)+ROW(cttba_vltb1_1)-10))</f>
        <v>0</v>
      </c>
      <c r="G1428" s="451">
        <f t="shared" ca="1" si="216"/>
        <v>0</v>
      </c>
      <c r="H1428" s="450">
        <f t="shared" si="220"/>
        <v>1</v>
      </c>
      <c r="I1428" s="447">
        <f t="shared" ca="1" si="217"/>
        <v>0</v>
      </c>
      <c r="J1428" s="447">
        <f t="shared" ca="1" si="218"/>
        <v>0</v>
      </c>
      <c r="K1428" s="373">
        <f t="shared" ca="1" si="219"/>
        <v>0</v>
      </c>
    </row>
    <row r="1429" spans="1:11" s="373" customFormat="1" ht="15.75" hidden="1">
      <c r="A1429" s="373" t="str">
        <f>IF(AND(COUNTIF($A$5:$A$133,R_DG!A1305)=0,R_DG!R1305&gt;0,ISNUMBER(R_DG!R1305)),R_DG!A1305,"NONE")</f>
        <v>NONE</v>
      </c>
      <c r="B1429" s="85">
        <f ca="1">IF(K1429&gt;0,COUNTIF(K$6:K1429,"&gt;0"),B1428)</f>
        <v>38</v>
      </c>
      <c r="C1429" s="1084">
        <f t="shared" si="214"/>
        <v>0</v>
      </c>
      <c r="D1429" s="85">
        <f t="shared" si="215"/>
        <v>0</v>
      </c>
      <c r="E1429" s="448">
        <f ca="1">SUMIF(OFFSET(tongctvtdd1,0,-(COLUMN(E1429)+7-(COLUMN(E1429)-5)/2)),KLVT!$A1429,tongctvtdd1)+SUMIF(OFFSET(tongctvtpk1,0,-(COLUMN(E1429)+7-(COLUMN(E1429)-5)/2)),KLVT!$A1429,tongctvtpk1)</f>
        <v>0</v>
      </c>
      <c r="F1429" s="449">
        <f ca="1">SUMIF(OFFSET(cttba_vlvt1_1,0,-9,-ROW(cttba_vlvt1_1)+ROW(cttba_vltb1_1)-10),KLVT!$A1429,OFFSET(cttba_vlvt1_1,0,-4,-ROW(cttba_vlvt1_1)+ROW(cttba_vltb1_1)-10))</f>
        <v>0</v>
      </c>
      <c r="G1429" s="451">
        <f t="shared" ca="1" si="216"/>
        <v>0</v>
      </c>
      <c r="H1429" s="450">
        <f t="shared" si="220"/>
        <v>1</v>
      </c>
      <c r="I1429" s="447">
        <f t="shared" ca="1" si="217"/>
        <v>0</v>
      </c>
      <c r="J1429" s="447">
        <f t="shared" ca="1" si="218"/>
        <v>0</v>
      </c>
      <c r="K1429" s="373">
        <f t="shared" ca="1" si="219"/>
        <v>0</v>
      </c>
    </row>
    <row r="1430" spans="1:11">
      <c r="I1430" s="1280" t="s">
        <v>3407</v>
      </c>
      <c r="J1430" s="1280">
        <f ca="1">I119+J119</f>
        <v>0</v>
      </c>
      <c r="K1430" s="1268">
        <v>1</v>
      </c>
    </row>
    <row r="1431" spans="1:11">
      <c r="I1431" s="1261" t="s">
        <v>3406</v>
      </c>
      <c r="J1431" s="1261">
        <f ca="1">I133+I5</f>
        <v>782.49500000000012</v>
      </c>
      <c r="K1431" s="1268">
        <v>1</v>
      </c>
    </row>
    <row r="1432" spans="1:11">
      <c r="I1432" s="1261" t="s">
        <v>3408</v>
      </c>
      <c r="J1432" s="1261">
        <f ca="1">J133+J5</f>
        <v>0</v>
      </c>
      <c r="K1432" s="1268">
        <v>1</v>
      </c>
    </row>
    <row r="1433" spans="1:11">
      <c r="I1433" s="1261" t="s">
        <v>3409</v>
      </c>
      <c r="J1433" s="1261">
        <f ca="1">ROUNDUP(J1430/10000,0)</f>
        <v>0</v>
      </c>
      <c r="K1433" s="1268">
        <v>1</v>
      </c>
    </row>
    <row r="1434" spans="1:11">
      <c r="I1434" s="1261" t="s">
        <v>3410</v>
      </c>
      <c r="J1434" s="1261">
        <f ca="1">ROUNDUP(J1431/5000,0)</f>
        <v>1</v>
      </c>
      <c r="K1434" s="1268">
        <v>1</v>
      </c>
    </row>
    <row r="1435" spans="1:11">
      <c r="I1435" s="1261" t="s">
        <v>3411</v>
      </c>
      <c r="J1435" s="1261">
        <f ca="1">ROUNDUP(J1432/5000,0)</f>
        <v>0</v>
      </c>
      <c r="K1435" s="1268">
        <v>1</v>
      </c>
    </row>
  </sheetData>
  <autoFilter ref="K4:K1435">
    <filterColumn colId="0">
      <customFilters>
        <customFilter operator="notEqual" val=" "/>
      </customFilters>
    </filterColumn>
  </autoFilter>
  <printOptions horizontalCentered="1"/>
  <pageMargins left="1.0374015750000001" right="0.45866141700000002" top="0.59055118110236204" bottom="0.59055118110236204" header="0.31496062992126" footer="0.31496062992126"/>
  <pageSetup paperSize="9" scale="88" fitToHeight="0" orientation="portrait"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Y30"/>
  <sheetViews>
    <sheetView topLeftCell="A24" zoomScale="70" zoomScaleNormal="70" workbookViewId="0">
      <selection activeCell="M35" sqref="M35"/>
    </sheetView>
  </sheetViews>
  <sheetFormatPr defaultColWidth="7" defaultRowHeight="24.95" customHeight="1"/>
  <cols>
    <col min="1" max="1" width="10.5703125" style="914" customWidth="1"/>
    <col min="2" max="2" width="7" style="915"/>
    <col min="3" max="18" width="5.5703125" style="914" customWidth="1"/>
    <col min="19" max="23" width="5.5703125" style="928" customWidth="1"/>
    <col min="24" max="25" width="7" style="928"/>
    <col min="26" max="16384" width="7" style="914"/>
  </cols>
  <sheetData>
    <row r="1" spans="1:25" ht="24.95" customHeight="1">
      <c r="A1" s="921" t="s">
        <v>4860</v>
      </c>
      <c r="B1" s="922"/>
      <c r="C1" s="921"/>
      <c r="D1" s="921"/>
      <c r="E1" s="921"/>
      <c r="F1" s="921"/>
      <c r="G1" s="921"/>
      <c r="H1" s="921"/>
      <c r="I1" s="921"/>
      <c r="J1" s="921"/>
      <c r="K1" s="921"/>
      <c r="L1" s="921"/>
      <c r="M1" s="921"/>
      <c r="N1" s="921"/>
      <c r="O1" s="921"/>
      <c r="P1" s="921"/>
      <c r="Q1" s="921"/>
      <c r="R1" s="921"/>
      <c r="S1" s="923"/>
      <c r="T1" s="923"/>
      <c r="U1" s="923"/>
      <c r="V1" s="923"/>
      <c r="W1" s="923"/>
      <c r="X1" s="924"/>
      <c r="Y1" s="924"/>
    </row>
    <row r="2" spans="1:25" ht="231">
      <c r="A2" s="910" t="s">
        <v>4063</v>
      </c>
      <c r="B2" s="911" t="s">
        <v>4061</v>
      </c>
      <c r="C2" s="910" t="s">
        <v>4059</v>
      </c>
      <c r="D2" s="910" t="s">
        <v>4299</v>
      </c>
      <c r="E2" s="910" t="s">
        <v>4873</v>
      </c>
      <c r="F2" s="910" t="s">
        <v>2218</v>
      </c>
      <c r="G2" s="910" t="s">
        <v>2890</v>
      </c>
      <c r="H2" s="910" t="s">
        <v>2155</v>
      </c>
      <c r="I2" s="910" t="s">
        <v>4833</v>
      </c>
      <c r="J2" s="910" t="s">
        <v>4868</v>
      </c>
      <c r="K2" s="910" t="s">
        <v>4869</v>
      </c>
      <c r="L2" s="910" t="s">
        <v>4870</v>
      </c>
      <c r="M2" s="910" t="s">
        <v>4871</v>
      </c>
      <c r="N2" s="910" t="s">
        <v>4872</v>
      </c>
      <c r="O2" s="910" t="s">
        <v>2093</v>
      </c>
      <c r="P2" s="910" t="s">
        <v>4874</v>
      </c>
      <c r="Q2" s="910" t="s">
        <v>4829</v>
      </c>
      <c r="R2" s="910" t="s">
        <v>4875</v>
      </c>
      <c r="S2" s="925" t="s">
        <v>4688</v>
      </c>
      <c r="T2" s="925" t="s">
        <v>4876</v>
      </c>
      <c r="U2" s="925" t="s">
        <v>4692</v>
      </c>
      <c r="V2" s="925" t="s">
        <v>4697</v>
      </c>
      <c r="W2" s="925" t="s">
        <v>4698</v>
      </c>
      <c r="X2" s="925" t="s">
        <v>4701</v>
      </c>
      <c r="Y2" s="925" t="s">
        <v>4703</v>
      </c>
    </row>
    <row r="3" spans="1:25" ht="44.25" customHeight="1">
      <c r="A3" s="910" t="s">
        <v>4062</v>
      </c>
      <c r="B3" s="911" t="s">
        <v>4062</v>
      </c>
      <c r="C3" s="910" t="s">
        <v>4060</v>
      </c>
      <c r="D3" s="910" t="s">
        <v>774</v>
      </c>
      <c r="E3" s="910" t="s">
        <v>774</v>
      </c>
      <c r="F3" s="910" t="s">
        <v>2215</v>
      </c>
      <c r="G3" s="910" t="s">
        <v>2215</v>
      </c>
      <c r="H3" s="910" t="s">
        <v>2146</v>
      </c>
      <c r="I3" s="910" t="s">
        <v>2146</v>
      </c>
      <c r="J3" s="910" t="s">
        <v>2146</v>
      </c>
      <c r="K3" s="910" t="s">
        <v>2146</v>
      </c>
      <c r="L3" s="910" t="s">
        <v>2215</v>
      </c>
      <c r="M3" s="910" t="s">
        <v>9</v>
      </c>
      <c r="N3" s="910" t="s">
        <v>163</v>
      </c>
      <c r="O3" s="910" t="s">
        <v>163</v>
      </c>
      <c r="P3" s="910" t="s">
        <v>163</v>
      </c>
      <c r="Q3" s="910" t="s">
        <v>9</v>
      </c>
      <c r="R3" s="910" t="s">
        <v>9</v>
      </c>
      <c r="S3" s="925" t="s">
        <v>4690</v>
      </c>
      <c r="T3" s="925" t="s">
        <v>9</v>
      </c>
      <c r="U3" s="925" t="s">
        <v>9</v>
      </c>
      <c r="V3" s="925" t="s">
        <v>774</v>
      </c>
      <c r="W3" s="925" t="s">
        <v>9</v>
      </c>
      <c r="X3" s="925" t="s">
        <v>400</v>
      </c>
      <c r="Y3" s="925" t="s">
        <v>400</v>
      </c>
    </row>
    <row r="4" spans="1:25" ht="24.95" customHeight="1">
      <c r="A4" s="913"/>
      <c r="B4" s="912"/>
      <c r="C4" s="913"/>
      <c r="D4" s="913"/>
      <c r="E4" s="913"/>
      <c r="F4" s="913"/>
      <c r="G4" s="913"/>
      <c r="H4" s="913"/>
      <c r="I4" s="913"/>
      <c r="J4" s="913"/>
      <c r="K4" s="913"/>
      <c r="L4" s="913"/>
      <c r="M4" s="913"/>
      <c r="N4" s="913"/>
      <c r="O4" s="913"/>
      <c r="P4" s="913"/>
      <c r="Q4" s="913"/>
      <c r="R4" s="913"/>
      <c r="S4" s="926"/>
      <c r="T4" s="926"/>
      <c r="U4" s="926"/>
      <c r="V4" s="926"/>
      <c r="W4" s="926"/>
      <c r="X4" s="926"/>
      <c r="Y4" s="926"/>
    </row>
    <row r="5" spans="1:25" ht="24.95" customHeight="1">
      <c r="A5" s="912"/>
      <c r="B5" s="912" t="s">
        <v>4877</v>
      </c>
      <c r="C5" s="913" t="s">
        <v>2361</v>
      </c>
      <c r="D5" s="913"/>
      <c r="E5" s="913"/>
      <c r="F5" s="913"/>
      <c r="G5" s="913"/>
      <c r="H5" s="913"/>
      <c r="I5" s="913"/>
      <c r="J5" s="913"/>
      <c r="K5" s="913"/>
      <c r="L5" s="913"/>
      <c r="M5" s="913"/>
      <c r="N5" s="913"/>
      <c r="O5" s="913"/>
      <c r="P5" s="913"/>
      <c r="Q5" s="913"/>
      <c r="R5" s="913"/>
      <c r="S5" s="926"/>
      <c r="T5" s="926"/>
      <c r="U5" s="926"/>
      <c r="V5" s="926"/>
      <c r="W5" s="926"/>
      <c r="X5" s="926"/>
      <c r="Y5" s="926"/>
    </row>
    <row r="6" spans="1:25" ht="24.95" customHeight="1">
      <c r="A6" s="912"/>
      <c r="B6" s="912" t="s">
        <v>4878</v>
      </c>
      <c r="C6" s="913" t="s">
        <v>2361</v>
      </c>
      <c r="D6" s="913"/>
      <c r="E6" s="913"/>
      <c r="F6" s="913"/>
      <c r="G6" s="913"/>
      <c r="H6" s="913"/>
      <c r="I6" s="913"/>
      <c r="J6" s="913"/>
      <c r="K6" s="913"/>
      <c r="L6" s="913"/>
      <c r="M6" s="913"/>
      <c r="N6" s="913"/>
      <c r="O6" s="913"/>
      <c r="P6" s="913"/>
      <c r="Q6" s="913"/>
      <c r="R6" s="913"/>
      <c r="S6" s="926"/>
      <c r="T6" s="926"/>
      <c r="U6" s="926"/>
      <c r="V6" s="926"/>
      <c r="W6" s="926"/>
      <c r="X6" s="926"/>
      <c r="Y6" s="926"/>
    </row>
    <row r="7" spans="1:25" ht="24.95" customHeight="1">
      <c r="A7" s="912"/>
      <c r="B7" s="912" t="s">
        <v>4879</v>
      </c>
      <c r="C7" s="913" t="s">
        <v>2361</v>
      </c>
      <c r="D7" s="913"/>
      <c r="E7" s="913"/>
      <c r="F7" s="913"/>
      <c r="G7" s="913"/>
      <c r="H7" s="913"/>
      <c r="I7" s="913"/>
      <c r="J7" s="913"/>
      <c r="K7" s="913"/>
      <c r="L7" s="913"/>
      <c r="M7" s="913"/>
      <c r="N7" s="913"/>
      <c r="O7" s="913"/>
      <c r="P7" s="913"/>
      <c r="Q7" s="913"/>
      <c r="R7" s="913"/>
      <c r="S7" s="926"/>
      <c r="T7" s="926"/>
      <c r="U7" s="926"/>
      <c r="V7" s="926"/>
      <c r="W7" s="926"/>
      <c r="X7" s="926"/>
      <c r="Y7" s="926"/>
    </row>
    <row r="8" spans="1:25" ht="24.95" customHeight="1">
      <c r="A8" s="912"/>
      <c r="B8" s="912" t="s">
        <v>4880</v>
      </c>
      <c r="C8" s="913" t="s">
        <v>2361</v>
      </c>
      <c r="D8" s="913"/>
      <c r="E8" s="913"/>
      <c r="F8" s="913"/>
      <c r="G8" s="913"/>
      <c r="H8" s="913"/>
      <c r="I8" s="913"/>
      <c r="J8" s="913"/>
      <c r="K8" s="913"/>
      <c r="L8" s="913"/>
      <c r="M8" s="913"/>
      <c r="N8" s="913"/>
      <c r="O8" s="913"/>
      <c r="P8" s="913"/>
      <c r="Q8" s="913"/>
      <c r="R8" s="913"/>
      <c r="S8" s="926"/>
      <c r="T8" s="926"/>
      <c r="U8" s="926"/>
      <c r="V8" s="926"/>
      <c r="W8" s="926"/>
      <c r="X8" s="926"/>
      <c r="Y8" s="926"/>
    </row>
    <row r="9" spans="1:25" ht="24.95" customHeight="1">
      <c r="A9" s="913"/>
      <c r="B9" s="912" t="s">
        <v>4881</v>
      </c>
      <c r="C9" s="913" t="s">
        <v>2361</v>
      </c>
      <c r="D9" s="913"/>
      <c r="E9" s="913"/>
      <c r="F9" s="913"/>
      <c r="G9" s="913"/>
      <c r="H9" s="913"/>
      <c r="I9" s="913"/>
      <c r="J9" s="913"/>
      <c r="K9" s="913"/>
      <c r="L9" s="913"/>
      <c r="M9" s="913"/>
      <c r="N9" s="913"/>
      <c r="O9" s="913"/>
      <c r="P9" s="913"/>
      <c r="Q9" s="913"/>
      <c r="R9" s="913"/>
      <c r="S9" s="926"/>
      <c r="T9" s="926"/>
      <c r="U9" s="926"/>
      <c r="V9" s="926"/>
      <c r="W9" s="926"/>
      <c r="X9" s="926"/>
      <c r="Y9" s="926"/>
    </row>
    <row r="10" spans="1:25" ht="24.95" customHeight="1">
      <c r="A10" s="913"/>
      <c r="B10" s="912" t="s">
        <v>4882</v>
      </c>
      <c r="C10" s="913" t="s">
        <v>2361</v>
      </c>
      <c r="D10" s="913"/>
      <c r="E10" s="913"/>
      <c r="F10" s="913"/>
      <c r="G10" s="913"/>
      <c r="H10" s="913"/>
      <c r="I10" s="913"/>
      <c r="J10" s="913"/>
      <c r="K10" s="913"/>
      <c r="L10" s="913"/>
      <c r="M10" s="913"/>
      <c r="N10" s="913"/>
      <c r="O10" s="913"/>
      <c r="P10" s="913"/>
      <c r="Q10" s="913"/>
      <c r="R10" s="913"/>
      <c r="S10" s="926"/>
      <c r="T10" s="926"/>
      <c r="U10" s="926"/>
      <c r="V10" s="926"/>
      <c r="W10" s="926"/>
      <c r="X10" s="926"/>
      <c r="Y10" s="926"/>
    </row>
    <row r="11" spans="1:25" ht="24.95" customHeight="1">
      <c r="A11" s="913"/>
      <c r="B11" s="912" t="s">
        <v>4883</v>
      </c>
      <c r="C11" s="913" t="s">
        <v>2361</v>
      </c>
      <c r="D11" s="913"/>
      <c r="E11" s="913"/>
      <c r="F11" s="913"/>
      <c r="G11" s="913"/>
      <c r="H11" s="913"/>
      <c r="I11" s="913"/>
      <c r="J11" s="913"/>
      <c r="K11" s="913"/>
      <c r="L11" s="913"/>
      <c r="M11" s="913"/>
      <c r="N11" s="913"/>
      <c r="O11" s="913"/>
      <c r="P11" s="913"/>
      <c r="Q11" s="913"/>
      <c r="R11" s="913"/>
      <c r="S11" s="926"/>
      <c r="T11" s="926"/>
      <c r="U11" s="926"/>
      <c r="V11" s="926"/>
      <c r="W11" s="926"/>
      <c r="X11" s="926"/>
      <c r="Y11" s="926"/>
    </row>
    <row r="12" spans="1:25" ht="24.95" customHeight="1">
      <c r="A12" s="913"/>
      <c r="B12" s="912" t="s">
        <v>4884</v>
      </c>
      <c r="C12" s="913" t="s">
        <v>2361</v>
      </c>
      <c r="D12" s="913"/>
      <c r="E12" s="913"/>
      <c r="F12" s="913"/>
      <c r="G12" s="913"/>
      <c r="H12" s="913"/>
      <c r="I12" s="913"/>
      <c r="J12" s="913"/>
      <c r="K12" s="913"/>
      <c r="L12" s="913"/>
      <c r="M12" s="913"/>
      <c r="N12" s="913"/>
      <c r="O12" s="913"/>
      <c r="P12" s="913"/>
      <c r="Q12" s="913"/>
      <c r="R12" s="913"/>
      <c r="S12" s="926"/>
      <c r="T12" s="926"/>
      <c r="U12" s="926"/>
      <c r="V12" s="926"/>
      <c r="W12" s="926"/>
      <c r="X12" s="926"/>
      <c r="Y12" s="926"/>
    </row>
    <row r="13" spans="1:25" ht="24.95" customHeight="1">
      <c r="A13" s="913"/>
      <c r="B13" s="912" t="s">
        <v>4885</v>
      </c>
      <c r="C13" s="913" t="s">
        <v>2633</v>
      </c>
      <c r="D13" s="913"/>
      <c r="E13" s="913"/>
      <c r="F13" s="913"/>
      <c r="G13" s="913"/>
      <c r="H13" s="913"/>
      <c r="I13" s="913"/>
      <c r="J13" s="913"/>
      <c r="K13" s="913"/>
      <c r="L13" s="913"/>
      <c r="M13" s="913"/>
      <c r="N13" s="913"/>
      <c r="O13" s="913"/>
      <c r="P13" s="913"/>
      <c r="Q13" s="913"/>
      <c r="R13" s="913"/>
      <c r="S13" s="926"/>
      <c r="T13" s="926"/>
      <c r="U13" s="926"/>
      <c r="V13" s="926"/>
      <c r="W13" s="926"/>
      <c r="X13" s="926"/>
      <c r="Y13" s="926"/>
    </row>
    <row r="14" spans="1:25" ht="24.95" customHeight="1">
      <c r="A14" s="913"/>
      <c r="B14" s="912" t="s">
        <v>4886</v>
      </c>
      <c r="C14" s="913" t="s">
        <v>2361</v>
      </c>
      <c r="D14" s="913"/>
      <c r="E14" s="913"/>
      <c r="F14" s="913"/>
      <c r="G14" s="913"/>
      <c r="H14" s="913"/>
      <c r="I14" s="913"/>
      <c r="J14" s="913"/>
      <c r="K14" s="913"/>
      <c r="L14" s="913"/>
      <c r="M14" s="913"/>
      <c r="N14" s="913"/>
      <c r="O14" s="913"/>
      <c r="P14" s="913"/>
      <c r="Q14" s="913"/>
      <c r="R14" s="913"/>
      <c r="S14" s="926"/>
      <c r="T14" s="926"/>
      <c r="U14" s="926"/>
      <c r="V14" s="926"/>
      <c r="W14" s="926"/>
      <c r="X14" s="926"/>
      <c r="Y14" s="926"/>
    </row>
    <row r="15" spans="1:25" ht="24.95" customHeight="1">
      <c r="A15" s="913"/>
      <c r="B15" s="912" t="s">
        <v>4887</v>
      </c>
      <c r="C15" s="913" t="s">
        <v>398</v>
      </c>
      <c r="D15" s="913"/>
      <c r="E15" s="913"/>
      <c r="F15" s="913"/>
      <c r="G15" s="913"/>
      <c r="H15" s="913"/>
      <c r="I15" s="913"/>
      <c r="J15" s="913"/>
      <c r="K15" s="913"/>
      <c r="L15" s="913"/>
      <c r="M15" s="913"/>
      <c r="N15" s="913"/>
      <c r="O15" s="913"/>
      <c r="P15" s="913"/>
      <c r="Q15" s="913"/>
      <c r="R15" s="913"/>
      <c r="S15" s="926"/>
      <c r="T15" s="926"/>
      <c r="U15" s="926"/>
      <c r="V15" s="926"/>
      <c r="W15" s="926"/>
      <c r="X15" s="926"/>
      <c r="Y15" s="926"/>
    </row>
    <row r="16" spans="1:25" ht="24.95" customHeight="1">
      <c r="A16" s="913"/>
      <c r="B16" s="912" t="s">
        <v>4888</v>
      </c>
      <c r="C16" s="913" t="s">
        <v>398</v>
      </c>
      <c r="D16" s="913"/>
      <c r="E16" s="913"/>
      <c r="F16" s="913"/>
      <c r="G16" s="913"/>
      <c r="H16" s="913"/>
      <c r="I16" s="913"/>
      <c r="J16" s="913"/>
      <c r="K16" s="913"/>
      <c r="L16" s="913"/>
      <c r="M16" s="913"/>
      <c r="N16" s="913"/>
      <c r="O16" s="913"/>
      <c r="P16" s="913"/>
      <c r="Q16" s="913"/>
      <c r="R16" s="913"/>
      <c r="S16" s="926"/>
      <c r="T16" s="926"/>
      <c r="U16" s="926"/>
      <c r="V16" s="926"/>
      <c r="W16" s="926"/>
      <c r="X16" s="926"/>
      <c r="Y16" s="926"/>
    </row>
    <row r="17" spans="1:25" ht="24.95" customHeight="1">
      <c r="A17" s="913"/>
      <c r="B17" s="912" t="s">
        <v>4889</v>
      </c>
      <c r="C17" s="913" t="s">
        <v>398</v>
      </c>
      <c r="D17" s="913"/>
      <c r="E17" s="913"/>
      <c r="F17" s="913"/>
      <c r="G17" s="913"/>
      <c r="H17" s="913"/>
      <c r="I17" s="913"/>
      <c r="J17" s="913"/>
      <c r="K17" s="913"/>
      <c r="L17" s="913"/>
      <c r="M17" s="913"/>
      <c r="N17" s="913"/>
      <c r="O17" s="913"/>
      <c r="P17" s="913"/>
      <c r="Q17" s="913"/>
      <c r="R17" s="913"/>
      <c r="S17" s="926"/>
      <c r="T17" s="926"/>
      <c r="U17" s="926"/>
      <c r="V17" s="926"/>
      <c r="W17" s="926"/>
      <c r="X17" s="926"/>
      <c r="Y17" s="926"/>
    </row>
    <row r="18" spans="1:25" ht="24.95" customHeight="1">
      <c r="A18" s="913"/>
      <c r="B18" s="912" t="s">
        <v>4890</v>
      </c>
      <c r="C18" s="913" t="s">
        <v>398</v>
      </c>
      <c r="D18" s="913"/>
      <c r="E18" s="913"/>
      <c r="F18" s="913"/>
      <c r="G18" s="913"/>
      <c r="H18" s="913"/>
      <c r="I18" s="913"/>
      <c r="J18" s="913"/>
      <c r="K18" s="913"/>
      <c r="L18" s="913"/>
      <c r="M18" s="913"/>
      <c r="N18" s="913"/>
      <c r="O18" s="913"/>
      <c r="P18" s="913"/>
      <c r="Q18" s="913"/>
      <c r="R18" s="913"/>
      <c r="S18" s="926"/>
      <c r="T18" s="926"/>
      <c r="U18" s="926"/>
      <c r="V18" s="926"/>
      <c r="W18" s="926"/>
      <c r="X18" s="926"/>
      <c r="Y18" s="926"/>
    </row>
    <row r="19" spans="1:25" ht="24.95" customHeight="1">
      <c r="A19" s="913"/>
      <c r="B19" s="912" t="s">
        <v>4891</v>
      </c>
      <c r="C19" s="913" t="s">
        <v>398</v>
      </c>
      <c r="D19" s="913"/>
      <c r="E19" s="913"/>
      <c r="F19" s="913"/>
      <c r="G19" s="913"/>
      <c r="H19" s="913"/>
      <c r="I19" s="913"/>
      <c r="J19" s="913"/>
      <c r="K19" s="913"/>
      <c r="L19" s="913"/>
      <c r="M19" s="913"/>
      <c r="N19" s="913"/>
      <c r="O19" s="913"/>
      <c r="P19" s="913"/>
      <c r="Q19" s="913"/>
      <c r="R19" s="913"/>
      <c r="S19" s="926"/>
      <c r="T19" s="926"/>
      <c r="U19" s="926"/>
      <c r="V19" s="926"/>
      <c r="W19" s="926"/>
      <c r="X19" s="926"/>
      <c r="Y19" s="926"/>
    </row>
    <row r="20" spans="1:25" ht="24.95" customHeight="1">
      <c r="A20" s="913"/>
      <c r="B20" s="912" t="s">
        <v>4892</v>
      </c>
      <c r="C20" s="913" t="s">
        <v>398</v>
      </c>
      <c r="D20" s="913"/>
      <c r="E20" s="913"/>
      <c r="F20" s="913"/>
      <c r="G20" s="913"/>
      <c r="H20" s="913"/>
      <c r="I20" s="913"/>
      <c r="J20" s="913"/>
      <c r="K20" s="913"/>
      <c r="L20" s="913"/>
      <c r="M20" s="913"/>
      <c r="N20" s="913"/>
      <c r="O20" s="913"/>
      <c r="P20" s="913"/>
      <c r="Q20" s="913"/>
      <c r="R20" s="913"/>
      <c r="S20" s="926"/>
      <c r="T20" s="926"/>
      <c r="U20" s="926"/>
      <c r="V20" s="926"/>
      <c r="W20" s="926"/>
      <c r="X20" s="926"/>
      <c r="Y20" s="926"/>
    </row>
    <row r="21" spans="1:25" ht="24.95" customHeight="1">
      <c r="A21" s="913"/>
      <c r="B21" s="912" t="s">
        <v>4893</v>
      </c>
      <c r="C21" s="913" t="s">
        <v>398</v>
      </c>
      <c r="D21" s="913"/>
      <c r="E21" s="913"/>
      <c r="F21" s="913"/>
      <c r="G21" s="913"/>
      <c r="H21" s="913"/>
      <c r="I21" s="913"/>
      <c r="J21" s="913"/>
      <c r="K21" s="913"/>
      <c r="L21" s="913"/>
      <c r="M21" s="913"/>
      <c r="N21" s="913"/>
      <c r="O21" s="913"/>
      <c r="P21" s="913"/>
      <c r="Q21" s="913"/>
      <c r="R21" s="913"/>
      <c r="S21" s="926"/>
      <c r="T21" s="926"/>
      <c r="U21" s="926"/>
      <c r="V21" s="926"/>
      <c r="W21" s="926"/>
      <c r="X21" s="926"/>
      <c r="Y21" s="926"/>
    </row>
    <row r="22" spans="1:25" ht="24.95" customHeight="1">
      <c r="A22" s="913"/>
      <c r="B22" s="912" t="s">
        <v>4894</v>
      </c>
      <c r="C22" s="913" t="s">
        <v>398</v>
      </c>
      <c r="D22" s="913"/>
      <c r="E22" s="913"/>
      <c r="F22" s="913"/>
      <c r="G22" s="913"/>
      <c r="H22" s="913"/>
      <c r="I22" s="913"/>
      <c r="J22" s="913"/>
      <c r="K22" s="913"/>
      <c r="L22" s="913"/>
      <c r="M22" s="913"/>
      <c r="N22" s="913"/>
      <c r="O22" s="913"/>
      <c r="P22" s="913"/>
      <c r="Q22" s="913"/>
      <c r="R22" s="913"/>
      <c r="S22" s="926"/>
      <c r="T22" s="926"/>
      <c r="U22" s="926"/>
      <c r="V22" s="926"/>
      <c r="W22" s="926"/>
      <c r="X22" s="926"/>
      <c r="Y22" s="926"/>
    </row>
    <row r="23" spans="1:25" ht="24.95" customHeight="1">
      <c r="A23" s="913"/>
      <c r="B23" s="912" t="s">
        <v>4895</v>
      </c>
      <c r="C23" s="913" t="s">
        <v>398</v>
      </c>
      <c r="D23" s="913"/>
      <c r="E23" s="913"/>
      <c r="F23" s="913"/>
      <c r="G23" s="913"/>
      <c r="H23" s="913"/>
      <c r="I23" s="913"/>
      <c r="J23" s="913"/>
      <c r="K23" s="913"/>
      <c r="L23" s="913"/>
      <c r="M23" s="913"/>
      <c r="N23" s="913"/>
      <c r="O23" s="913"/>
      <c r="P23" s="913"/>
      <c r="Q23" s="913"/>
      <c r="R23" s="913"/>
      <c r="S23" s="926"/>
      <c r="T23" s="926"/>
      <c r="U23" s="926"/>
      <c r="V23" s="926"/>
      <c r="W23" s="926"/>
      <c r="X23" s="926"/>
      <c r="Y23" s="926"/>
    </row>
    <row r="24" spans="1:25" ht="24.95" customHeight="1">
      <c r="A24" s="913"/>
      <c r="B24" s="912" t="s">
        <v>4896</v>
      </c>
      <c r="C24" s="913" t="s">
        <v>398</v>
      </c>
      <c r="D24" s="913"/>
      <c r="E24" s="913"/>
      <c r="F24" s="913"/>
      <c r="G24" s="913"/>
      <c r="H24" s="913"/>
      <c r="I24" s="913"/>
      <c r="J24" s="913"/>
      <c r="K24" s="913"/>
      <c r="L24" s="913"/>
      <c r="M24" s="913"/>
      <c r="N24" s="913"/>
      <c r="O24" s="913"/>
      <c r="P24" s="913"/>
      <c r="Q24" s="913"/>
      <c r="R24" s="913"/>
      <c r="S24" s="926"/>
      <c r="T24" s="926"/>
      <c r="U24" s="926"/>
      <c r="V24" s="926"/>
      <c r="W24" s="926"/>
      <c r="X24" s="926"/>
      <c r="Y24" s="926"/>
    </row>
    <row r="25" spans="1:25" ht="24.95" customHeight="1">
      <c r="A25" s="913"/>
      <c r="B25" s="912" t="s">
        <v>4897</v>
      </c>
      <c r="C25" s="913" t="s">
        <v>398</v>
      </c>
      <c r="D25" s="913"/>
      <c r="E25" s="913"/>
      <c r="F25" s="913"/>
      <c r="G25" s="913"/>
      <c r="H25" s="913"/>
      <c r="I25" s="913"/>
      <c r="J25" s="913"/>
      <c r="K25" s="913"/>
      <c r="L25" s="913"/>
      <c r="M25" s="913"/>
      <c r="N25" s="913"/>
      <c r="O25" s="913"/>
      <c r="P25" s="913"/>
      <c r="Q25" s="913"/>
      <c r="R25" s="913"/>
      <c r="S25" s="926"/>
      <c r="T25" s="926"/>
      <c r="U25" s="926"/>
      <c r="V25" s="926"/>
      <c r="W25" s="926"/>
      <c r="X25" s="926"/>
      <c r="Y25" s="926"/>
    </row>
    <row r="26" spans="1:25" ht="24.95" customHeight="1">
      <c r="A26" s="913"/>
      <c r="B26" s="912" t="s">
        <v>4898</v>
      </c>
      <c r="C26" s="913" t="s">
        <v>398</v>
      </c>
      <c r="D26" s="913"/>
      <c r="E26" s="913"/>
      <c r="F26" s="913"/>
      <c r="G26" s="913"/>
      <c r="H26" s="913"/>
      <c r="I26" s="913"/>
      <c r="J26" s="913"/>
      <c r="K26" s="913"/>
      <c r="L26" s="913"/>
      <c r="M26" s="913"/>
      <c r="N26" s="913"/>
      <c r="O26" s="913"/>
      <c r="P26" s="913"/>
      <c r="Q26" s="913"/>
      <c r="R26" s="913"/>
      <c r="S26" s="926"/>
      <c r="T26" s="926"/>
      <c r="U26" s="926"/>
      <c r="V26" s="926"/>
      <c r="W26" s="926"/>
      <c r="X26" s="926"/>
      <c r="Y26" s="926"/>
    </row>
    <row r="27" spans="1:25" ht="24.95" customHeight="1">
      <c r="A27" s="913"/>
      <c r="B27" s="912" t="s">
        <v>4899</v>
      </c>
      <c r="C27" s="913" t="s">
        <v>398</v>
      </c>
      <c r="D27" s="913"/>
      <c r="E27" s="913"/>
      <c r="F27" s="913"/>
      <c r="G27" s="913"/>
      <c r="H27" s="913"/>
      <c r="I27" s="913"/>
      <c r="J27" s="913"/>
      <c r="K27" s="913"/>
      <c r="L27" s="913"/>
      <c r="M27" s="913"/>
      <c r="N27" s="913"/>
      <c r="O27" s="913"/>
      <c r="P27" s="913"/>
      <c r="Q27" s="913"/>
      <c r="R27" s="913"/>
      <c r="S27" s="926"/>
      <c r="T27" s="926"/>
      <c r="U27" s="926"/>
      <c r="V27" s="926"/>
      <c r="W27" s="926"/>
      <c r="X27" s="926"/>
      <c r="Y27" s="926"/>
    </row>
    <row r="28" spans="1:25" ht="24.95" customHeight="1">
      <c r="A28" s="913"/>
      <c r="B28" s="912" t="s">
        <v>4900</v>
      </c>
      <c r="C28" s="913" t="s">
        <v>398</v>
      </c>
      <c r="D28" s="913"/>
      <c r="E28" s="913"/>
      <c r="F28" s="913"/>
      <c r="G28" s="913"/>
      <c r="H28" s="913"/>
      <c r="I28" s="913"/>
      <c r="J28" s="913"/>
      <c r="K28" s="913"/>
      <c r="L28" s="913"/>
      <c r="M28" s="913"/>
      <c r="N28" s="913"/>
      <c r="O28" s="913"/>
      <c r="P28" s="913"/>
      <c r="Q28" s="913"/>
      <c r="R28" s="913"/>
      <c r="S28" s="926"/>
      <c r="T28" s="926"/>
      <c r="U28" s="926"/>
      <c r="V28" s="926"/>
      <c r="W28" s="926"/>
      <c r="X28" s="926"/>
      <c r="Y28" s="926"/>
    </row>
    <row r="29" spans="1:25" ht="24.95" customHeight="1">
      <c r="A29" s="913"/>
      <c r="B29" s="912" t="s">
        <v>4901</v>
      </c>
      <c r="C29" s="913" t="s">
        <v>2634</v>
      </c>
      <c r="D29" s="913"/>
      <c r="E29" s="913"/>
      <c r="F29" s="913"/>
      <c r="G29" s="913"/>
      <c r="H29" s="913"/>
      <c r="I29" s="913"/>
      <c r="J29" s="913"/>
      <c r="K29" s="913"/>
      <c r="L29" s="913"/>
      <c r="M29" s="913"/>
      <c r="N29" s="913"/>
      <c r="O29" s="913"/>
      <c r="P29" s="913"/>
      <c r="Q29" s="913"/>
      <c r="R29" s="913"/>
      <c r="S29" s="926"/>
      <c r="T29" s="926"/>
      <c r="U29" s="926"/>
      <c r="V29" s="926"/>
      <c r="W29" s="926"/>
      <c r="X29" s="926"/>
      <c r="Y29" s="926"/>
    </row>
    <row r="30" spans="1:25" ht="24.95" customHeight="1">
      <c r="A30" s="920" t="s">
        <v>2719</v>
      </c>
      <c r="B30" s="919"/>
      <c r="C30" s="918"/>
      <c r="D30" s="918">
        <f>SUM(D5:D29)</f>
        <v>0</v>
      </c>
      <c r="E30" s="918">
        <f t="shared" ref="E30:Y30" si="0">SUM(E5:E29)</f>
        <v>0</v>
      </c>
      <c r="F30" s="918">
        <f t="shared" si="0"/>
        <v>0</v>
      </c>
      <c r="G30" s="918">
        <f t="shared" si="0"/>
        <v>0</v>
      </c>
      <c r="H30" s="918">
        <f t="shared" si="0"/>
        <v>0</v>
      </c>
      <c r="I30" s="918">
        <f t="shared" si="0"/>
        <v>0</v>
      </c>
      <c r="J30" s="918">
        <f t="shared" si="0"/>
        <v>0</v>
      </c>
      <c r="K30" s="918">
        <f t="shared" si="0"/>
        <v>0</v>
      </c>
      <c r="L30" s="918">
        <f t="shared" si="0"/>
        <v>0</v>
      </c>
      <c r="M30" s="918">
        <f t="shared" si="0"/>
        <v>0</v>
      </c>
      <c r="N30" s="918">
        <f t="shared" si="0"/>
        <v>0</v>
      </c>
      <c r="O30" s="918">
        <f t="shared" si="0"/>
        <v>0</v>
      </c>
      <c r="P30" s="918">
        <f t="shared" si="0"/>
        <v>0</v>
      </c>
      <c r="Q30" s="918">
        <f t="shared" si="0"/>
        <v>0</v>
      </c>
      <c r="R30" s="918">
        <f t="shared" si="0"/>
        <v>0</v>
      </c>
      <c r="S30" s="927">
        <f t="shared" si="0"/>
        <v>0</v>
      </c>
      <c r="T30" s="927">
        <f t="shared" si="0"/>
        <v>0</v>
      </c>
      <c r="U30" s="927">
        <f t="shared" si="0"/>
        <v>0</v>
      </c>
      <c r="V30" s="927">
        <f t="shared" si="0"/>
        <v>0</v>
      </c>
      <c r="W30" s="927">
        <f t="shared" si="0"/>
        <v>0</v>
      </c>
      <c r="X30" s="927">
        <f t="shared" si="0"/>
        <v>0</v>
      </c>
      <c r="Y30" s="927">
        <f t="shared" si="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C4:C29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R138"/>
  <sheetViews>
    <sheetView showGridLines="0" showZeros="0" view="pageBreakPreview" topLeftCell="A45" zoomScale="60" zoomScaleNormal="70" workbookViewId="0">
      <selection activeCell="H147" sqref="H147"/>
    </sheetView>
  </sheetViews>
  <sheetFormatPr defaultColWidth="9.140625" defaultRowHeight="20.100000000000001" customHeight="1"/>
  <cols>
    <col min="1" max="1" width="10.5703125" style="180" customWidth="1"/>
    <col min="2" max="2" width="5.42578125" style="180" bestFit="1" customWidth="1"/>
    <col min="3" max="4" width="5.85546875" style="180" bestFit="1" customWidth="1"/>
    <col min="5" max="6" width="8.7109375" style="180" bestFit="1" customWidth="1"/>
    <col min="7" max="7" width="5.42578125" style="180" bestFit="1" customWidth="1"/>
    <col min="8" max="8" width="6.7109375" style="180" customWidth="1"/>
    <col min="9" max="28" width="5.5703125" style="180" customWidth="1"/>
    <col min="29" max="29" width="6.85546875" style="180" bestFit="1" customWidth="1"/>
    <col min="30" max="30" width="7.5703125" style="180" bestFit="1" customWidth="1"/>
    <col min="31" max="38" width="5.5703125" style="180" customWidth="1"/>
    <col min="39" max="40" width="8.140625" style="180" bestFit="1" customWidth="1"/>
    <col min="41" max="41" width="10.85546875" style="180" bestFit="1" customWidth="1"/>
    <col min="42" max="42" width="6.85546875" style="180" bestFit="1" customWidth="1"/>
    <col min="43" max="45" width="5.5703125" style="180" customWidth="1"/>
    <col min="46" max="46" width="10.5703125" style="180" bestFit="1" customWidth="1"/>
    <col min="47" max="58" width="5.5703125" style="180" customWidth="1"/>
    <col min="59" max="59" width="7" style="180" bestFit="1" customWidth="1"/>
    <col min="60" max="60" width="7.5703125" style="180" bestFit="1" customWidth="1"/>
    <col min="61" max="64" width="5.5703125" style="180" hidden="1" customWidth="1"/>
    <col min="65" max="65" width="20.140625" style="180" bestFit="1" customWidth="1"/>
    <col min="66" max="147" width="5.5703125" style="180" customWidth="1"/>
    <col min="148" max="148" width="5.5703125" style="180" customWidth="1" collapsed="1"/>
    <col min="149" max="198" width="5.5703125" style="180" customWidth="1"/>
    <col min="199" max="16384" width="9.140625" style="180"/>
  </cols>
  <sheetData>
    <row r="1" spans="1:65" ht="39" customHeight="1">
      <c r="A1" s="1281" t="s">
        <v>4969</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c r="AF1" s="792"/>
      <c r="AG1" s="792"/>
      <c r="AH1" s="792"/>
      <c r="AI1" s="792"/>
      <c r="AJ1" s="792"/>
      <c r="AK1" s="792"/>
      <c r="AL1" s="792"/>
      <c r="AM1" s="792"/>
      <c r="AN1" s="792"/>
      <c r="AO1" s="792"/>
      <c r="AP1" s="792"/>
      <c r="AQ1" s="792"/>
      <c r="AR1" s="792"/>
      <c r="AS1" s="792"/>
      <c r="AT1" s="792"/>
      <c r="AU1" s="792"/>
      <c r="AV1" s="792"/>
      <c r="AW1" s="792"/>
      <c r="AX1" s="792"/>
      <c r="AY1" s="792"/>
      <c r="AZ1" s="792"/>
      <c r="BA1" s="792"/>
      <c r="BB1" s="792"/>
      <c r="BC1" s="792"/>
      <c r="BD1" s="792"/>
      <c r="BE1" s="792"/>
      <c r="BF1" s="792"/>
      <c r="BG1" s="792"/>
      <c r="BH1" s="792"/>
      <c r="BI1" s="792"/>
      <c r="BJ1" s="792"/>
      <c r="BK1" s="792"/>
      <c r="BL1" s="792"/>
      <c r="BM1" s="792"/>
    </row>
    <row r="2" spans="1:65" s="1085" customFormat="1" ht="93">
      <c r="A2" s="1282" t="s">
        <v>2378</v>
      </c>
      <c r="B2" s="1282" t="s">
        <v>2630</v>
      </c>
      <c r="C2" s="1282" t="s">
        <v>4058</v>
      </c>
      <c r="D2" s="1282" t="s">
        <v>4970</v>
      </c>
      <c r="E2" s="1282" t="s">
        <v>4057</v>
      </c>
      <c r="F2" s="1282" t="s">
        <v>4989</v>
      </c>
      <c r="G2" s="1282" t="s">
        <v>295</v>
      </c>
      <c r="H2" s="1282" t="s">
        <v>221</v>
      </c>
      <c r="I2" s="1282" t="s">
        <v>323</v>
      </c>
      <c r="J2" s="1282" t="s">
        <v>2154</v>
      </c>
      <c r="K2" s="1282" t="s">
        <v>2339</v>
      </c>
      <c r="L2" s="1282" t="s">
        <v>2340</v>
      </c>
      <c r="M2" s="1282" t="s">
        <v>876</v>
      </c>
      <c r="N2" s="1282" t="s">
        <v>2343</v>
      </c>
      <c r="O2" s="1282" t="s">
        <v>2344</v>
      </c>
      <c r="P2" s="1282" t="s">
        <v>2191</v>
      </c>
      <c r="Q2" s="1282" t="s">
        <v>2198</v>
      </c>
      <c r="R2" s="1282" t="s">
        <v>2271</v>
      </c>
      <c r="S2" s="1282" t="s">
        <v>2273</v>
      </c>
      <c r="T2" s="1282" t="s">
        <v>2579</v>
      </c>
      <c r="U2" s="1282" t="s">
        <v>2581</v>
      </c>
      <c r="V2" s="1282" t="s">
        <v>2277</v>
      </c>
      <c r="W2" s="1282" t="s">
        <v>2280</v>
      </c>
      <c r="X2" s="1282" t="s">
        <v>2591</v>
      </c>
      <c r="Y2" s="1282" t="s">
        <v>2592</v>
      </c>
      <c r="Z2" s="1282" t="s">
        <v>4956</v>
      </c>
      <c r="AA2" s="1282" t="s">
        <v>2208</v>
      </c>
      <c r="AB2" s="1282" t="s">
        <v>604</v>
      </c>
      <c r="AC2" s="1282" t="s">
        <v>3021</v>
      </c>
      <c r="AD2" s="1282" t="s">
        <v>4131</v>
      </c>
      <c r="AE2" s="1282" t="s">
        <v>461</v>
      </c>
      <c r="AF2" s="1282" t="s">
        <v>4959</v>
      </c>
      <c r="AG2" s="1282" t="s">
        <v>4974</v>
      </c>
      <c r="AH2" s="1282" t="s">
        <v>4866</v>
      </c>
      <c r="AI2" s="1282" t="s">
        <v>3913</v>
      </c>
      <c r="AJ2" s="1282" t="s">
        <v>3914</v>
      </c>
      <c r="AK2" s="1282" t="s">
        <v>3916</v>
      </c>
      <c r="AL2" s="1282" t="s">
        <v>3917</v>
      </c>
      <c r="AM2" s="1282" t="s">
        <v>3918</v>
      </c>
      <c r="AN2" s="1282" t="s">
        <v>3926</v>
      </c>
      <c r="AO2" s="1282" t="s">
        <v>3930</v>
      </c>
      <c r="AP2" s="1282" t="s">
        <v>4958</v>
      </c>
      <c r="AQ2" s="1282" t="s">
        <v>3935</v>
      </c>
      <c r="AR2" s="1282" t="s">
        <v>3937</v>
      </c>
      <c r="AS2" s="1282" t="s">
        <v>4026</v>
      </c>
      <c r="AT2" s="1282" t="s">
        <v>4031</v>
      </c>
      <c r="AU2" s="1282" t="s">
        <v>4033</v>
      </c>
      <c r="AV2" s="1282" t="s">
        <v>4039</v>
      </c>
      <c r="AW2" s="1282" t="s">
        <v>3946</v>
      </c>
      <c r="AX2" s="1282" t="s">
        <v>3947</v>
      </c>
      <c r="AY2" s="1282" t="s">
        <v>3953</v>
      </c>
      <c r="AZ2" s="1282" t="s">
        <v>3964</v>
      </c>
      <c r="BA2" s="1282" t="s">
        <v>3965</v>
      </c>
      <c r="BB2" s="1282" t="s">
        <v>3966</v>
      </c>
      <c r="BC2" s="1282" t="s">
        <v>3972</v>
      </c>
      <c r="BD2" s="1282" t="s">
        <v>3976</v>
      </c>
      <c r="BE2" s="1282" t="s">
        <v>3978</v>
      </c>
      <c r="BF2" s="1282" t="s">
        <v>4735</v>
      </c>
      <c r="BG2" s="1283" t="s">
        <v>4978</v>
      </c>
      <c r="BH2" s="1282" t="s">
        <v>4993</v>
      </c>
      <c r="BI2" s="1282" t="s">
        <v>4997</v>
      </c>
      <c r="BJ2" s="1282" t="s">
        <v>4996</v>
      </c>
      <c r="BK2" s="1282" t="s">
        <v>4999</v>
      </c>
      <c r="BL2" s="1282" t="s">
        <v>5001</v>
      </c>
      <c r="BM2" s="1282" t="s">
        <v>4677</v>
      </c>
    </row>
    <row r="3" spans="1:65" s="1085" customFormat="1" ht="123.75" customHeight="1">
      <c r="A3" s="1284" t="s">
        <v>4063</v>
      </c>
      <c r="B3" s="1284" t="s">
        <v>4061</v>
      </c>
      <c r="C3" s="1284" t="s">
        <v>4971</v>
      </c>
      <c r="D3" s="1284" t="s">
        <v>4972</v>
      </c>
      <c r="E3" s="1284" t="s">
        <v>4987</v>
      </c>
      <c r="F3" s="1284" t="s">
        <v>4988</v>
      </c>
      <c r="G3" s="1284" t="s">
        <v>296</v>
      </c>
      <c r="H3" s="1284" t="s">
        <v>4992</v>
      </c>
      <c r="I3" s="1284" t="s">
        <v>328</v>
      </c>
      <c r="J3" s="1284" t="s">
        <v>2155</v>
      </c>
      <c r="K3" s="1284" t="s">
        <v>2158</v>
      </c>
      <c r="L3" s="1284" t="s">
        <v>2160</v>
      </c>
      <c r="M3" s="1284" t="s">
        <v>2167</v>
      </c>
      <c r="N3" s="1284" t="s">
        <v>2172</v>
      </c>
      <c r="O3" s="1284" t="s">
        <v>2176</v>
      </c>
      <c r="P3" s="1284" t="s">
        <v>2192</v>
      </c>
      <c r="Q3" s="1284" t="s">
        <v>2199</v>
      </c>
      <c r="R3" s="1284" t="s">
        <v>2272</v>
      </c>
      <c r="S3" s="1284" t="s">
        <v>2274</v>
      </c>
      <c r="T3" s="1284" t="s">
        <v>2578</v>
      </c>
      <c r="U3" s="1284" t="s">
        <v>2580</v>
      </c>
      <c r="V3" s="1284" t="s">
        <v>2278</v>
      </c>
      <c r="W3" s="1284" t="s">
        <v>2281</v>
      </c>
      <c r="X3" s="1284" t="s">
        <v>2590</v>
      </c>
      <c r="Y3" s="1284" t="s">
        <v>2597</v>
      </c>
      <c r="Z3" s="1284" t="s">
        <v>4957</v>
      </c>
      <c r="AA3" s="1284" t="s">
        <v>501</v>
      </c>
      <c r="AB3" s="1284" t="s">
        <v>605</v>
      </c>
      <c r="AC3" s="1284" t="s">
        <v>2995</v>
      </c>
      <c r="AD3" s="1284" t="s">
        <v>4840</v>
      </c>
      <c r="AE3" s="1284" t="s">
        <v>462</v>
      </c>
      <c r="AF3" s="1284" t="s">
        <v>2849</v>
      </c>
      <c r="AG3" s="1284" t="s">
        <v>4975</v>
      </c>
      <c r="AH3" s="1284" t="s">
        <v>5041</v>
      </c>
      <c r="AI3" s="1284" t="s">
        <v>2964</v>
      </c>
      <c r="AJ3" s="1284" t="s">
        <v>3489</v>
      </c>
      <c r="AK3" s="1284" t="s">
        <v>2962</v>
      </c>
      <c r="AL3" s="1284" t="s">
        <v>2963</v>
      </c>
      <c r="AM3" s="1284" t="s">
        <v>3514</v>
      </c>
      <c r="AN3" s="1284" t="s">
        <v>3474</v>
      </c>
      <c r="AO3" s="1284" t="s">
        <v>3487</v>
      </c>
      <c r="AP3" s="1284" t="s">
        <v>4985</v>
      </c>
      <c r="AQ3" s="1284" t="s">
        <v>2975</v>
      </c>
      <c r="AR3" s="1284" t="s">
        <v>2977</v>
      </c>
      <c r="AS3" s="1284" t="s">
        <v>2974</v>
      </c>
      <c r="AT3" s="1284" t="s">
        <v>4707</v>
      </c>
      <c r="AU3" s="1284" t="s">
        <v>3554</v>
      </c>
      <c r="AV3" s="1284" t="s">
        <v>2772</v>
      </c>
      <c r="AW3" s="1284" t="s">
        <v>2930</v>
      </c>
      <c r="AX3" s="1284" t="s">
        <v>2932</v>
      </c>
      <c r="AY3" s="1284" t="s">
        <v>2953</v>
      </c>
      <c r="AZ3" s="1284" t="s">
        <v>2967</v>
      </c>
      <c r="BA3" s="1284" t="s">
        <v>2968</v>
      </c>
      <c r="BB3" s="1284" t="s">
        <v>2969</v>
      </c>
      <c r="BC3" s="1284" t="s">
        <v>3526</v>
      </c>
      <c r="BD3" s="1284" t="s">
        <v>2973</v>
      </c>
      <c r="BE3" s="1284" t="s">
        <v>2974</v>
      </c>
      <c r="BF3" s="1284" t="s">
        <v>4736</v>
      </c>
      <c r="BG3" s="1285" t="s">
        <v>4979</v>
      </c>
      <c r="BH3" s="1284" t="s">
        <v>4994</v>
      </c>
      <c r="BI3" s="1284" t="s">
        <v>4995</v>
      </c>
      <c r="BJ3" s="1284" t="s">
        <v>4998</v>
      </c>
      <c r="BK3" s="1284" t="s">
        <v>5000</v>
      </c>
      <c r="BL3" s="1284" t="s">
        <v>5002</v>
      </c>
      <c r="BM3" s="1284" t="s">
        <v>4676</v>
      </c>
    </row>
    <row r="4" spans="1:65" s="1085" customFormat="1" ht="36.75">
      <c r="A4" s="1282" t="s">
        <v>4062</v>
      </c>
      <c r="B4" s="1282" t="s">
        <v>4062</v>
      </c>
      <c r="C4" s="1282" t="s">
        <v>4060</v>
      </c>
      <c r="D4" s="1282" t="s">
        <v>4060</v>
      </c>
      <c r="E4" s="1282" t="s">
        <v>774</v>
      </c>
      <c r="F4" s="1282" t="s">
        <v>774</v>
      </c>
      <c r="G4" s="1282" t="s">
        <v>182</v>
      </c>
      <c r="H4" s="1282" t="s">
        <v>196</v>
      </c>
      <c r="I4" s="1282" t="s">
        <v>196</v>
      </c>
      <c r="J4" s="1282" t="s">
        <v>2146</v>
      </c>
      <c r="K4" s="1282" t="s">
        <v>2146</v>
      </c>
      <c r="L4" s="1282" t="s">
        <v>2146</v>
      </c>
      <c r="M4" s="1282" t="s">
        <v>2146</v>
      </c>
      <c r="N4" s="1282" t="s">
        <v>2146</v>
      </c>
      <c r="O4" s="1282" t="s">
        <v>2146</v>
      </c>
      <c r="P4" s="1282" t="s">
        <v>163</v>
      </c>
      <c r="Q4" s="1282" t="s">
        <v>163</v>
      </c>
      <c r="R4" s="1282" t="s">
        <v>163</v>
      </c>
      <c r="S4" s="1282" t="s">
        <v>163</v>
      </c>
      <c r="T4" s="1282" t="s">
        <v>163</v>
      </c>
      <c r="U4" s="1282" t="s">
        <v>163</v>
      </c>
      <c r="V4" s="1282" t="s">
        <v>163</v>
      </c>
      <c r="W4" s="1282" t="s">
        <v>163</v>
      </c>
      <c r="X4" s="1282" t="s">
        <v>163</v>
      </c>
      <c r="Y4" s="1282" t="s">
        <v>163</v>
      </c>
      <c r="Z4" s="1282" t="s">
        <v>163</v>
      </c>
      <c r="AA4" s="1282" t="s">
        <v>9</v>
      </c>
      <c r="AB4" s="1282" t="s">
        <v>9</v>
      </c>
      <c r="AC4" s="1282" t="s">
        <v>774</v>
      </c>
      <c r="AD4" s="1282" t="s">
        <v>9</v>
      </c>
      <c r="AE4" s="1282" t="s">
        <v>9</v>
      </c>
      <c r="AF4" s="1282" t="s">
        <v>9</v>
      </c>
      <c r="AG4" s="1282" t="s">
        <v>9</v>
      </c>
      <c r="AH4" s="1282" t="s">
        <v>9</v>
      </c>
      <c r="AI4" s="1282" t="s">
        <v>9</v>
      </c>
      <c r="AJ4" s="1282" t="s">
        <v>9</v>
      </c>
      <c r="AK4" s="1282" t="s">
        <v>163</v>
      </c>
      <c r="AL4" s="1282" t="s">
        <v>37</v>
      </c>
      <c r="AM4" s="1282" t="s">
        <v>1265</v>
      </c>
      <c r="AN4" s="1282" t="s">
        <v>1265</v>
      </c>
      <c r="AO4" s="1282" t="s">
        <v>1265</v>
      </c>
      <c r="AP4" s="1282" t="s">
        <v>37</v>
      </c>
      <c r="AQ4" s="1282" t="s">
        <v>37</v>
      </c>
      <c r="AR4" s="1282" t="s">
        <v>37</v>
      </c>
      <c r="AS4" s="1282" t="s">
        <v>9</v>
      </c>
      <c r="AT4" s="1282" t="s">
        <v>3553</v>
      </c>
      <c r="AU4" s="1282" t="s">
        <v>9</v>
      </c>
      <c r="AV4" s="1282" t="s">
        <v>37</v>
      </c>
      <c r="AW4" s="1282" t="s">
        <v>2785</v>
      </c>
      <c r="AX4" s="1282" t="s">
        <v>2785</v>
      </c>
      <c r="AY4" s="1282" t="s">
        <v>1480</v>
      </c>
      <c r="AZ4" s="1282" t="s">
        <v>774</v>
      </c>
      <c r="BA4" s="1282" t="s">
        <v>774</v>
      </c>
      <c r="BB4" s="1282" t="s">
        <v>774</v>
      </c>
      <c r="BC4" s="1282" t="s">
        <v>9</v>
      </c>
      <c r="BD4" s="1282" t="s">
        <v>9</v>
      </c>
      <c r="BE4" s="1282" t="s">
        <v>9</v>
      </c>
      <c r="BF4" s="1282" t="s">
        <v>9</v>
      </c>
      <c r="BG4" s="1283" t="s">
        <v>4980</v>
      </c>
      <c r="BH4" s="1282" t="s">
        <v>9</v>
      </c>
      <c r="BI4" s="1282" t="s">
        <v>9</v>
      </c>
      <c r="BJ4" s="1282" t="s">
        <v>163</v>
      </c>
      <c r="BK4" s="1282" t="s">
        <v>163</v>
      </c>
      <c r="BL4" s="1282" t="s">
        <v>9</v>
      </c>
      <c r="BM4" s="1282" t="s">
        <v>4678</v>
      </c>
    </row>
    <row r="5" spans="1:65" ht="24.75" customHeight="1">
      <c r="A5" s="1286" t="s">
        <v>4973</v>
      </c>
      <c r="B5" s="438"/>
      <c r="C5" s="438"/>
      <c r="D5" s="438"/>
      <c r="E5" s="438"/>
      <c r="F5" s="438"/>
      <c r="G5" s="438"/>
      <c r="H5" s="438"/>
      <c r="I5" s="438"/>
      <c r="J5" s="438"/>
      <c r="K5" s="438"/>
      <c r="L5" s="438"/>
      <c r="M5" s="438"/>
      <c r="N5" s="438"/>
      <c r="O5" s="438"/>
      <c r="P5" s="438"/>
      <c r="Q5" s="438"/>
      <c r="R5" s="438"/>
      <c r="S5" s="438"/>
      <c r="T5" s="438"/>
      <c r="U5" s="438"/>
      <c r="V5" s="438"/>
      <c r="W5" s="438"/>
      <c r="X5" s="438"/>
      <c r="Y5" s="438"/>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1287"/>
      <c r="BH5" s="438"/>
      <c r="BI5" s="438"/>
      <c r="BJ5" s="438"/>
      <c r="BK5" s="438"/>
      <c r="BL5" s="438"/>
      <c r="BM5" s="438"/>
    </row>
    <row r="6" spans="1:65" ht="24.75" customHeight="1">
      <c r="A6" s="1288"/>
      <c r="B6" s="1254"/>
      <c r="C6" s="1254"/>
      <c r="D6" s="1254"/>
      <c r="E6" s="1254"/>
      <c r="F6" s="1254"/>
      <c r="G6" s="1254"/>
      <c r="H6" s="1254"/>
      <c r="I6" s="1254"/>
      <c r="J6" s="1254"/>
      <c r="K6" s="1254"/>
      <c r="L6" s="1254"/>
      <c r="M6" s="1254"/>
      <c r="N6" s="1254"/>
      <c r="O6" s="1254"/>
      <c r="P6" s="1254"/>
      <c r="Q6" s="1254"/>
      <c r="R6" s="1254"/>
      <c r="S6" s="1254"/>
      <c r="T6" s="1254"/>
      <c r="U6" s="1254"/>
      <c r="V6" s="1254"/>
      <c r="W6" s="1254"/>
      <c r="X6" s="1254"/>
      <c r="Y6" s="1254"/>
      <c r="Z6" s="1254"/>
      <c r="AA6" s="1254"/>
      <c r="AB6" s="1254"/>
      <c r="AC6" s="1254"/>
      <c r="AD6" s="1254"/>
      <c r="AE6" s="1254"/>
      <c r="AF6" s="1254"/>
      <c r="AG6" s="1254"/>
      <c r="AH6" s="1254"/>
      <c r="AI6" s="1254"/>
      <c r="AJ6" s="1254"/>
      <c r="AK6" s="1254"/>
      <c r="AL6" s="1254"/>
      <c r="AM6" s="1254"/>
      <c r="AN6" s="1254"/>
      <c r="AO6" s="1254"/>
      <c r="AP6" s="1254"/>
      <c r="AQ6" s="1254"/>
      <c r="AR6" s="1254"/>
      <c r="AS6" s="1254"/>
      <c r="AT6" s="1254"/>
      <c r="AU6" s="1254"/>
      <c r="AV6" s="1254"/>
      <c r="AW6" s="1254"/>
      <c r="AX6" s="1254"/>
      <c r="AY6" s="1254"/>
      <c r="AZ6" s="1254"/>
      <c r="BA6" s="1254"/>
      <c r="BB6" s="1254"/>
      <c r="BC6" s="1254"/>
      <c r="BD6" s="1254"/>
      <c r="BE6" s="1254"/>
      <c r="BF6" s="1254"/>
      <c r="BG6" s="1289"/>
      <c r="BH6" s="1254"/>
      <c r="BI6" s="1254"/>
      <c r="BJ6" s="1254"/>
      <c r="BK6" s="1254"/>
      <c r="BL6" s="1254"/>
      <c r="BM6" s="1254" t="s">
        <v>4986</v>
      </c>
    </row>
    <row r="7" spans="1:65" ht="24.75" customHeight="1">
      <c r="A7" s="1288" t="s">
        <v>3671</v>
      </c>
      <c r="B7" s="1254"/>
      <c r="C7" s="1254" t="s">
        <v>2633</v>
      </c>
      <c r="D7" s="1254"/>
      <c r="E7" s="1254"/>
      <c r="F7" s="1254"/>
      <c r="G7" s="1254"/>
      <c r="H7" s="1254"/>
      <c r="I7" s="1254"/>
      <c r="J7" s="1254"/>
      <c r="K7" s="1254"/>
      <c r="L7" s="1254"/>
      <c r="M7" s="1254"/>
      <c r="N7" s="1254"/>
      <c r="O7" s="1254"/>
      <c r="P7" s="1254"/>
      <c r="Q7" s="1254"/>
      <c r="R7" s="1254"/>
      <c r="S7" s="1254"/>
      <c r="T7" s="1254"/>
      <c r="U7" s="1254"/>
      <c r="V7" s="1254"/>
      <c r="W7" s="1254"/>
      <c r="X7" s="1254"/>
      <c r="Y7" s="1254"/>
      <c r="Z7" s="1254"/>
      <c r="AA7" s="1254"/>
      <c r="AB7" s="1254"/>
      <c r="AC7" s="1254"/>
      <c r="AD7" s="1254"/>
      <c r="AE7" s="1254"/>
      <c r="AF7" s="1254"/>
      <c r="AG7" s="1254"/>
      <c r="AH7" s="1254"/>
      <c r="AI7" s="1254"/>
      <c r="AJ7" s="1254"/>
      <c r="AK7" s="1254"/>
      <c r="AL7" s="1254"/>
      <c r="AM7" s="1254"/>
      <c r="AN7" s="1254"/>
      <c r="AO7" s="1254"/>
      <c r="AP7" s="1254"/>
      <c r="AQ7" s="1254"/>
      <c r="AR7" s="1254"/>
      <c r="AS7" s="1254"/>
      <c r="AT7" s="1254"/>
      <c r="AU7" s="1254"/>
      <c r="AV7" s="1254"/>
      <c r="AW7" s="1254"/>
      <c r="AX7" s="1254"/>
      <c r="AY7" s="1254"/>
      <c r="AZ7" s="1254"/>
      <c r="BA7" s="1254"/>
      <c r="BB7" s="1254"/>
      <c r="BC7" s="1254"/>
      <c r="BD7" s="1254"/>
      <c r="BE7" s="1254"/>
      <c r="BF7" s="1254"/>
      <c r="BG7" s="1289"/>
      <c r="BH7" s="1254"/>
      <c r="BI7" s="1254"/>
      <c r="BJ7" s="1254"/>
      <c r="BK7" s="1254"/>
      <c r="BL7" s="1254"/>
      <c r="BM7" s="1254"/>
    </row>
    <row r="8" spans="1:65" ht="24.75" customHeight="1">
      <c r="A8" s="1290" t="s">
        <v>5003</v>
      </c>
      <c r="B8" s="86"/>
      <c r="C8" s="86" t="s">
        <v>2361</v>
      </c>
      <c r="D8" s="86"/>
      <c r="E8" s="86">
        <f>F8</f>
        <v>35.799999999999997</v>
      </c>
      <c r="F8" s="86">
        <v>35.799999999999997</v>
      </c>
      <c r="G8" s="86"/>
      <c r="H8" s="86"/>
      <c r="I8" s="86"/>
      <c r="J8" s="86"/>
      <c r="K8" s="86"/>
      <c r="L8" s="86"/>
      <c r="M8" s="86">
        <v>1</v>
      </c>
      <c r="N8" s="86"/>
      <c r="O8" s="86"/>
      <c r="P8" s="86"/>
      <c r="Q8" s="86">
        <v>1</v>
      </c>
      <c r="R8" s="86"/>
      <c r="S8" s="86"/>
      <c r="T8" s="86"/>
      <c r="U8" s="86"/>
      <c r="V8" s="86"/>
      <c r="W8" s="86"/>
      <c r="X8" s="86"/>
      <c r="Y8" s="86"/>
      <c r="Z8" s="86"/>
      <c r="AA8" s="86"/>
      <c r="AB8" s="86"/>
      <c r="AC8" s="86"/>
      <c r="AD8" s="86">
        <v>8</v>
      </c>
      <c r="AE8" s="86"/>
      <c r="AF8" s="86"/>
      <c r="AG8" s="86"/>
      <c r="AH8" s="86">
        <v>3</v>
      </c>
      <c r="AI8" s="86"/>
      <c r="AJ8" s="86">
        <v>3</v>
      </c>
      <c r="AK8" s="86"/>
      <c r="AL8" s="86"/>
      <c r="AM8" s="1254"/>
      <c r="AN8" s="86"/>
      <c r="AO8" s="86">
        <f>AD8</f>
        <v>8</v>
      </c>
      <c r="AP8" s="86">
        <v>10</v>
      </c>
      <c r="AQ8" s="86">
        <v>1</v>
      </c>
      <c r="AR8" s="86"/>
      <c r="AS8" s="86"/>
      <c r="AT8" s="86">
        <v>2</v>
      </c>
      <c r="AU8" s="86">
        <v>1</v>
      </c>
      <c r="AV8" s="86"/>
      <c r="AW8" s="86"/>
      <c r="AX8" s="86">
        <v>1</v>
      </c>
      <c r="AY8" s="86"/>
      <c r="AZ8" s="86"/>
      <c r="BA8" s="86"/>
      <c r="BB8" s="86"/>
      <c r="BC8" s="86"/>
      <c r="BD8" s="86"/>
      <c r="BE8" s="86"/>
      <c r="BF8" s="86"/>
      <c r="BG8" s="1291">
        <v>2</v>
      </c>
      <c r="BH8" s="1254">
        <v>4</v>
      </c>
      <c r="BI8" s="86"/>
      <c r="BJ8" s="86"/>
      <c r="BK8" s="86"/>
      <c r="BL8" s="86"/>
      <c r="BM8" s="86"/>
    </row>
    <row r="9" spans="1:65" ht="24.75" customHeight="1">
      <c r="A9" s="1290"/>
      <c r="B9" s="86" t="s">
        <v>5042</v>
      </c>
      <c r="C9" s="86"/>
      <c r="D9" s="86" t="s">
        <v>2361</v>
      </c>
      <c r="E9" s="86">
        <f t="shared" ref="E9:E72" si="0">F9</f>
        <v>40</v>
      </c>
      <c r="F9" s="86">
        <v>40</v>
      </c>
      <c r="G9" s="86"/>
      <c r="H9" s="86"/>
      <c r="I9" s="86"/>
      <c r="J9" s="86">
        <v>1</v>
      </c>
      <c r="K9" s="86"/>
      <c r="L9" s="86"/>
      <c r="M9" s="86"/>
      <c r="N9" s="86"/>
      <c r="O9" s="86"/>
      <c r="P9" s="86">
        <v>1</v>
      </c>
      <c r="Q9" s="86"/>
      <c r="R9" s="86"/>
      <c r="S9" s="86"/>
      <c r="T9" s="86"/>
      <c r="U9" s="86"/>
      <c r="V9" s="86"/>
      <c r="W9" s="86"/>
      <c r="X9" s="86"/>
      <c r="Y9" s="86"/>
      <c r="Z9" s="86"/>
      <c r="AA9" s="86"/>
      <c r="AB9" s="86"/>
      <c r="AC9" s="86"/>
      <c r="AD9" s="86">
        <v>8</v>
      </c>
      <c r="AE9" s="86"/>
      <c r="AF9" s="86"/>
      <c r="AG9" s="86"/>
      <c r="AH9" s="86"/>
      <c r="AI9" s="86"/>
      <c r="AJ9" s="86">
        <v>3</v>
      </c>
      <c r="AK9" s="86"/>
      <c r="AL9" s="86"/>
      <c r="AM9" s="1254"/>
      <c r="AN9" s="86"/>
      <c r="AO9" s="86">
        <f t="shared" ref="AO9:AO72" si="1">AD9</f>
        <v>8</v>
      </c>
      <c r="AP9" s="86">
        <v>5</v>
      </c>
      <c r="AQ9" s="86"/>
      <c r="AR9" s="86"/>
      <c r="AS9" s="86"/>
      <c r="AT9" s="86">
        <v>1</v>
      </c>
      <c r="AU9" s="86">
        <v>1</v>
      </c>
      <c r="AV9" s="86"/>
      <c r="AW9" s="86">
        <v>2</v>
      </c>
      <c r="AX9" s="86"/>
      <c r="AY9" s="86"/>
      <c r="AZ9" s="86"/>
      <c r="BA9" s="86"/>
      <c r="BB9" s="86"/>
      <c r="BC9" s="86"/>
      <c r="BD9" s="86"/>
      <c r="BE9" s="86"/>
      <c r="BF9" s="86"/>
      <c r="BG9" s="1291">
        <v>1</v>
      </c>
      <c r="BH9" s="1254">
        <v>4</v>
      </c>
      <c r="BI9" s="86"/>
      <c r="BJ9" s="86"/>
      <c r="BK9" s="86"/>
      <c r="BL9" s="86"/>
      <c r="BM9" s="86"/>
    </row>
    <row r="10" spans="1:65" ht="24.75" customHeight="1">
      <c r="A10" s="1290" t="s">
        <v>5004</v>
      </c>
      <c r="B10" s="86"/>
      <c r="C10" s="86" t="s">
        <v>398</v>
      </c>
      <c r="D10" s="86"/>
      <c r="E10" s="86">
        <f t="shared" si="0"/>
        <v>36.747</v>
      </c>
      <c r="F10" s="86">
        <v>36.747</v>
      </c>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1254"/>
      <c r="AN10" s="86"/>
      <c r="AO10" s="86">
        <f t="shared" si="1"/>
        <v>0</v>
      </c>
      <c r="AP10" s="86"/>
      <c r="AQ10" s="86"/>
      <c r="AR10" s="86"/>
      <c r="AS10" s="86"/>
      <c r="AT10" s="86"/>
      <c r="AU10" s="86"/>
      <c r="AV10" s="86"/>
      <c r="AW10" s="86"/>
      <c r="AX10" s="86"/>
      <c r="AY10" s="86"/>
      <c r="AZ10" s="86"/>
      <c r="BA10" s="86"/>
      <c r="BB10" s="86"/>
      <c r="BC10" s="86"/>
      <c r="BD10" s="86"/>
      <c r="BE10" s="86"/>
      <c r="BF10" s="86"/>
      <c r="BG10" s="1291"/>
      <c r="BH10" s="1254"/>
      <c r="BI10" s="86"/>
      <c r="BJ10" s="86"/>
      <c r="BK10" s="86"/>
      <c r="BL10" s="86"/>
      <c r="BM10" s="86"/>
    </row>
    <row r="11" spans="1:65" ht="24.75" customHeight="1">
      <c r="A11" s="1290" t="s">
        <v>5005</v>
      </c>
      <c r="B11" s="86"/>
      <c r="C11" s="86" t="s">
        <v>2361</v>
      </c>
      <c r="D11" s="86"/>
      <c r="E11" s="86">
        <f t="shared" si="0"/>
        <v>39.4</v>
      </c>
      <c r="F11" s="86">
        <v>39.4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1254"/>
      <c r="AN11" s="86"/>
      <c r="AO11" s="86">
        <f t="shared" si="1"/>
        <v>0</v>
      </c>
      <c r="AP11" s="86"/>
      <c r="AQ11" s="86"/>
      <c r="AR11" s="86"/>
      <c r="AS11" s="86"/>
      <c r="AT11" s="86"/>
      <c r="AU11" s="86"/>
      <c r="AV11" s="86"/>
      <c r="AW11" s="86"/>
      <c r="AX11" s="86"/>
      <c r="AY11" s="86"/>
      <c r="AZ11" s="86"/>
      <c r="BA11" s="86"/>
      <c r="BB11" s="86"/>
      <c r="BC11" s="86"/>
      <c r="BD11" s="86"/>
      <c r="BE11" s="86"/>
      <c r="BF11" s="86"/>
      <c r="BG11" s="1291"/>
      <c r="BH11" s="1254"/>
      <c r="BI11" s="86"/>
      <c r="BJ11" s="86"/>
      <c r="BK11" s="86"/>
      <c r="BL11" s="86"/>
      <c r="BM11" s="86"/>
    </row>
    <row r="12" spans="1:65" ht="24.75" customHeight="1">
      <c r="A12" s="1290" t="s">
        <v>5006</v>
      </c>
      <c r="B12" s="86"/>
      <c r="C12" s="86" t="s">
        <v>2361</v>
      </c>
      <c r="D12" s="86"/>
      <c r="E12" s="86">
        <f t="shared" si="0"/>
        <v>37.700000000000003</v>
      </c>
      <c r="F12" s="86">
        <v>37.700000000000003</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1254"/>
      <c r="AN12" s="86"/>
      <c r="AO12" s="86">
        <f t="shared" si="1"/>
        <v>0</v>
      </c>
      <c r="AP12" s="86"/>
      <c r="AQ12" s="86"/>
      <c r="AR12" s="86"/>
      <c r="AS12" s="86"/>
      <c r="AT12" s="86"/>
      <c r="AU12" s="86"/>
      <c r="AV12" s="86"/>
      <c r="AW12" s="86"/>
      <c r="AX12" s="86"/>
      <c r="AY12" s="86"/>
      <c r="AZ12" s="86"/>
      <c r="BA12" s="86"/>
      <c r="BB12" s="86"/>
      <c r="BC12" s="86"/>
      <c r="BD12" s="86"/>
      <c r="BE12" s="86"/>
      <c r="BF12" s="86"/>
      <c r="BG12" s="1291"/>
      <c r="BH12" s="1254"/>
      <c r="BI12" s="86"/>
      <c r="BJ12" s="86"/>
      <c r="BK12" s="86"/>
      <c r="BL12" s="86"/>
      <c r="BM12" s="86"/>
    </row>
    <row r="13" spans="1:65" ht="24.75" customHeight="1">
      <c r="A13" s="1290" t="s">
        <v>5007</v>
      </c>
      <c r="B13" s="86"/>
      <c r="C13" s="86" t="s">
        <v>398</v>
      </c>
      <c r="D13" s="86"/>
      <c r="E13" s="86">
        <f t="shared" si="0"/>
        <v>36</v>
      </c>
      <c r="F13" s="86">
        <v>36</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1254"/>
      <c r="AN13" s="86"/>
      <c r="AO13" s="86">
        <f t="shared" si="1"/>
        <v>0</v>
      </c>
      <c r="AP13" s="86"/>
      <c r="AQ13" s="86"/>
      <c r="AR13" s="86"/>
      <c r="AS13" s="86"/>
      <c r="AT13" s="86"/>
      <c r="AU13" s="86"/>
      <c r="AV13" s="86"/>
      <c r="AW13" s="86"/>
      <c r="AX13" s="86"/>
      <c r="AY13" s="86"/>
      <c r="AZ13" s="86"/>
      <c r="BA13" s="86"/>
      <c r="BB13" s="86"/>
      <c r="BC13" s="86"/>
      <c r="BD13" s="86"/>
      <c r="BE13" s="86"/>
      <c r="BF13" s="86"/>
      <c r="BG13" s="1291"/>
      <c r="BH13" s="1254"/>
      <c r="BI13" s="86"/>
      <c r="BJ13" s="86"/>
      <c r="BK13" s="86"/>
      <c r="BL13" s="86"/>
      <c r="BM13" s="86"/>
    </row>
    <row r="14" spans="1:65" ht="24.75" customHeight="1">
      <c r="A14" s="1290"/>
      <c r="B14" s="86" t="s">
        <v>5043</v>
      </c>
      <c r="C14" s="86"/>
      <c r="D14" s="86" t="s">
        <v>2361</v>
      </c>
      <c r="E14" s="86">
        <f t="shared" si="0"/>
        <v>45.2</v>
      </c>
      <c r="F14" s="86">
        <v>45.2</v>
      </c>
      <c r="G14" s="86"/>
      <c r="H14" s="86"/>
      <c r="I14" s="86"/>
      <c r="J14" s="86"/>
      <c r="K14" s="86"/>
      <c r="L14" s="86"/>
      <c r="M14" s="86"/>
      <c r="N14" s="86"/>
      <c r="O14" s="86"/>
      <c r="P14" s="86">
        <v>1</v>
      </c>
      <c r="Q14" s="86"/>
      <c r="R14" s="86"/>
      <c r="S14" s="86"/>
      <c r="T14" s="86"/>
      <c r="U14" s="86"/>
      <c r="V14" s="86"/>
      <c r="W14" s="86"/>
      <c r="X14" s="86"/>
      <c r="Y14" s="86"/>
      <c r="Z14" s="86"/>
      <c r="AA14" s="86"/>
      <c r="AB14" s="86"/>
      <c r="AC14" s="86"/>
      <c r="AD14" s="86">
        <v>8</v>
      </c>
      <c r="AE14" s="86"/>
      <c r="AF14" s="86"/>
      <c r="AG14" s="86"/>
      <c r="AH14" s="86"/>
      <c r="AI14" s="86"/>
      <c r="AJ14" s="86"/>
      <c r="AK14" s="86"/>
      <c r="AL14" s="86"/>
      <c r="AM14" s="1254"/>
      <c r="AN14" s="86"/>
      <c r="AO14" s="86">
        <f t="shared" si="1"/>
        <v>8</v>
      </c>
      <c r="AP14" s="86">
        <v>10</v>
      </c>
      <c r="AQ14" s="86"/>
      <c r="AR14" s="86"/>
      <c r="AS14" s="86"/>
      <c r="AT14" s="86">
        <v>2</v>
      </c>
      <c r="AU14" s="86">
        <v>1</v>
      </c>
      <c r="AV14" s="86"/>
      <c r="AW14" s="86">
        <v>1</v>
      </c>
      <c r="AX14" s="86"/>
      <c r="AY14" s="86"/>
      <c r="AZ14" s="86"/>
      <c r="BA14" s="86"/>
      <c r="BB14" s="86"/>
      <c r="BC14" s="86"/>
      <c r="BD14" s="86"/>
      <c r="BE14" s="86"/>
      <c r="BF14" s="86"/>
      <c r="BG14" s="1291">
        <v>2</v>
      </c>
      <c r="BH14" s="1254">
        <v>3</v>
      </c>
      <c r="BI14" s="86"/>
      <c r="BJ14" s="86"/>
      <c r="BK14" s="86"/>
      <c r="BL14" s="86"/>
      <c r="BM14" s="86"/>
    </row>
    <row r="15" spans="1:65" ht="24.75" customHeight="1">
      <c r="A15" s="1290" t="s">
        <v>5008</v>
      </c>
      <c r="B15" s="86"/>
      <c r="C15" s="86" t="s">
        <v>398</v>
      </c>
      <c r="D15" s="86"/>
      <c r="E15" s="86">
        <f t="shared" si="0"/>
        <v>46.3</v>
      </c>
      <c r="F15" s="86">
        <v>46.3</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1254"/>
      <c r="AN15" s="86"/>
      <c r="AO15" s="86">
        <f t="shared" si="1"/>
        <v>0</v>
      </c>
      <c r="AP15" s="86"/>
      <c r="AQ15" s="86"/>
      <c r="AR15" s="86"/>
      <c r="AS15" s="86"/>
      <c r="AT15" s="86"/>
      <c r="AU15" s="86"/>
      <c r="AV15" s="86"/>
      <c r="AW15" s="86"/>
      <c r="AX15" s="86"/>
      <c r="AY15" s="86"/>
      <c r="AZ15" s="86"/>
      <c r="BA15" s="86"/>
      <c r="BB15" s="86"/>
      <c r="BC15" s="86"/>
      <c r="BD15" s="86"/>
      <c r="BE15" s="86"/>
      <c r="BF15" s="86"/>
      <c r="BG15" s="1291"/>
      <c r="BH15" s="1254"/>
      <c r="BI15" s="86"/>
      <c r="BJ15" s="86"/>
      <c r="BK15" s="86"/>
      <c r="BL15" s="86"/>
      <c r="BM15" s="86"/>
    </row>
    <row r="16" spans="1:65" ht="24.75" customHeight="1">
      <c r="A16" s="1290"/>
      <c r="B16" s="86" t="s">
        <v>5044</v>
      </c>
      <c r="C16" s="86"/>
      <c r="D16" s="86" t="s">
        <v>2361</v>
      </c>
      <c r="E16" s="86">
        <f t="shared" si="0"/>
        <v>34.299999999999997</v>
      </c>
      <c r="F16" s="86">
        <v>34.299999999999997</v>
      </c>
      <c r="G16" s="86"/>
      <c r="H16" s="86"/>
      <c r="I16" s="86"/>
      <c r="J16" s="86"/>
      <c r="K16" s="86"/>
      <c r="L16" s="86"/>
      <c r="M16" s="86"/>
      <c r="N16" s="86"/>
      <c r="O16" s="86"/>
      <c r="P16" s="86">
        <v>1</v>
      </c>
      <c r="Q16" s="86"/>
      <c r="R16" s="86"/>
      <c r="S16" s="86"/>
      <c r="T16" s="86"/>
      <c r="U16" s="86"/>
      <c r="V16" s="86"/>
      <c r="W16" s="86"/>
      <c r="X16" s="86"/>
      <c r="Y16" s="86"/>
      <c r="Z16" s="86"/>
      <c r="AA16" s="86"/>
      <c r="AB16" s="86"/>
      <c r="AC16" s="86"/>
      <c r="AD16" s="86">
        <v>8</v>
      </c>
      <c r="AE16" s="86"/>
      <c r="AF16" s="86"/>
      <c r="AG16" s="86"/>
      <c r="AH16" s="86"/>
      <c r="AI16" s="86"/>
      <c r="AJ16" s="86"/>
      <c r="AK16" s="86"/>
      <c r="AL16" s="86"/>
      <c r="AM16" s="1254"/>
      <c r="AN16" s="86"/>
      <c r="AO16" s="86">
        <f t="shared" si="1"/>
        <v>8</v>
      </c>
      <c r="AP16" s="86">
        <v>10</v>
      </c>
      <c r="AQ16" s="86"/>
      <c r="AR16" s="86"/>
      <c r="AS16" s="86"/>
      <c r="AT16" s="86">
        <v>5</v>
      </c>
      <c r="AU16" s="86">
        <v>1</v>
      </c>
      <c r="AV16" s="86"/>
      <c r="AW16" s="86">
        <v>2</v>
      </c>
      <c r="AX16" s="86"/>
      <c r="AY16" s="86"/>
      <c r="AZ16" s="86"/>
      <c r="BA16" s="86"/>
      <c r="BB16" s="86"/>
      <c r="BC16" s="86"/>
      <c r="BD16" s="86"/>
      <c r="BE16" s="86"/>
      <c r="BF16" s="86"/>
      <c r="BG16" s="1291">
        <v>5</v>
      </c>
      <c r="BH16" s="1254">
        <v>4</v>
      </c>
      <c r="BI16" s="86"/>
      <c r="BJ16" s="86"/>
      <c r="BK16" s="86"/>
      <c r="BL16" s="86"/>
      <c r="BM16" s="86"/>
    </row>
    <row r="17" spans="1:65" ht="24.75" customHeight="1">
      <c r="A17" s="1290" t="s">
        <v>5009</v>
      </c>
      <c r="B17" s="86"/>
      <c r="C17" s="86" t="s">
        <v>2633</v>
      </c>
      <c r="D17" s="86"/>
      <c r="E17" s="86">
        <f t="shared" si="0"/>
        <v>42.1</v>
      </c>
      <c r="F17" s="86">
        <v>42.1</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1254"/>
      <c r="AN17" s="86"/>
      <c r="AO17" s="86">
        <f t="shared" si="1"/>
        <v>0</v>
      </c>
      <c r="AP17" s="86"/>
      <c r="AQ17" s="86"/>
      <c r="AR17" s="86"/>
      <c r="AS17" s="86"/>
      <c r="AT17" s="86"/>
      <c r="AU17" s="86"/>
      <c r="AV17" s="86"/>
      <c r="AW17" s="86"/>
      <c r="AX17" s="86"/>
      <c r="AY17" s="86"/>
      <c r="AZ17" s="86"/>
      <c r="BA17" s="86"/>
      <c r="BB17" s="86"/>
      <c r="BC17" s="86"/>
      <c r="BD17" s="86"/>
      <c r="BE17" s="86"/>
      <c r="BF17" s="86"/>
      <c r="BG17" s="1291"/>
      <c r="BH17" s="1254"/>
      <c r="BI17" s="86"/>
      <c r="BJ17" s="86"/>
      <c r="BK17" s="86"/>
      <c r="BL17" s="86"/>
      <c r="BM17" s="86"/>
    </row>
    <row r="18" spans="1:65" ht="24.75" customHeight="1">
      <c r="A18" s="1290"/>
      <c r="B18" s="86" t="s">
        <v>5045</v>
      </c>
      <c r="C18" s="86"/>
      <c r="D18" s="86" t="s">
        <v>2361</v>
      </c>
      <c r="E18" s="86">
        <f t="shared" si="0"/>
        <v>34.700000000000003</v>
      </c>
      <c r="F18" s="86">
        <v>34.700000000000003</v>
      </c>
      <c r="G18" s="86"/>
      <c r="H18" s="86"/>
      <c r="I18" s="86"/>
      <c r="J18" s="86"/>
      <c r="K18" s="86"/>
      <c r="L18" s="86"/>
      <c r="M18" s="86"/>
      <c r="N18" s="86"/>
      <c r="O18" s="86"/>
      <c r="P18" s="86">
        <v>1</v>
      </c>
      <c r="Q18" s="86"/>
      <c r="R18" s="86"/>
      <c r="S18" s="86"/>
      <c r="T18" s="86"/>
      <c r="U18" s="86"/>
      <c r="V18" s="86"/>
      <c r="W18" s="86"/>
      <c r="X18" s="86"/>
      <c r="Y18" s="86"/>
      <c r="Z18" s="86"/>
      <c r="AA18" s="86"/>
      <c r="AB18" s="86"/>
      <c r="AC18" s="86"/>
      <c r="AD18" s="86">
        <v>8</v>
      </c>
      <c r="AE18" s="86"/>
      <c r="AF18" s="86"/>
      <c r="AG18" s="86"/>
      <c r="AH18" s="86"/>
      <c r="AI18" s="86"/>
      <c r="AJ18" s="86"/>
      <c r="AK18" s="86"/>
      <c r="AL18" s="86"/>
      <c r="AM18" s="1254"/>
      <c r="AN18" s="86"/>
      <c r="AO18" s="86">
        <f t="shared" si="1"/>
        <v>8</v>
      </c>
      <c r="AP18" s="86">
        <v>12</v>
      </c>
      <c r="AQ18" s="86"/>
      <c r="AR18" s="86"/>
      <c r="AS18" s="86"/>
      <c r="AT18" s="86">
        <v>4</v>
      </c>
      <c r="AU18" s="86">
        <v>1</v>
      </c>
      <c r="AV18" s="86"/>
      <c r="AW18" s="86">
        <v>2</v>
      </c>
      <c r="AX18" s="86"/>
      <c r="AY18" s="86"/>
      <c r="AZ18" s="86"/>
      <c r="BA18" s="86"/>
      <c r="BB18" s="86"/>
      <c r="BC18" s="86"/>
      <c r="BD18" s="86"/>
      <c r="BE18" s="86"/>
      <c r="BF18" s="86"/>
      <c r="BG18" s="1291">
        <v>4</v>
      </c>
      <c r="BH18" s="1254">
        <v>4</v>
      </c>
      <c r="BI18" s="86"/>
      <c r="BJ18" s="86"/>
      <c r="BK18" s="86"/>
      <c r="BL18" s="86"/>
      <c r="BM18" s="86"/>
    </row>
    <row r="19" spans="1:65" ht="24.75" customHeight="1">
      <c r="A19" s="1290" t="s">
        <v>5010</v>
      </c>
      <c r="B19" s="86"/>
      <c r="C19" s="86" t="s">
        <v>2633</v>
      </c>
      <c r="D19" s="86"/>
      <c r="E19" s="86">
        <f t="shared" si="0"/>
        <v>49</v>
      </c>
      <c r="F19" s="86">
        <v>49</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1254"/>
      <c r="AN19" s="86"/>
      <c r="AO19" s="86">
        <f t="shared" si="1"/>
        <v>0</v>
      </c>
      <c r="AP19" s="86"/>
      <c r="AQ19" s="86"/>
      <c r="AR19" s="86"/>
      <c r="AS19" s="86"/>
      <c r="AT19" s="86"/>
      <c r="AU19" s="86"/>
      <c r="AV19" s="86"/>
      <c r="AW19" s="86"/>
      <c r="AX19" s="86"/>
      <c r="AY19" s="86"/>
      <c r="AZ19" s="86"/>
      <c r="BA19" s="86"/>
      <c r="BB19" s="86"/>
      <c r="BC19" s="86"/>
      <c r="BD19" s="86"/>
      <c r="BE19" s="86"/>
      <c r="BF19" s="86"/>
      <c r="BG19" s="1291"/>
      <c r="BH19" s="1254"/>
      <c r="BI19" s="86"/>
      <c r="BJ19" s="86"/>
      <c r="BK19" s="86"/>
      <c r="BL19" s="86"/>
      <c r="BM19" s="86"/>
    </row>
    <row r="20" spans="1:65" ht="24.75" customHeight="1">
      <c r="A20" s="1290" t="s">
        <v>5011</v>
      </c>
      <c r="B20" s="86"/>
      <c r="C20" s="86" t="s">
        <v>398</v>
      </c>
      <c r="D20" s="86"/>
      <c r="E20" s="86">
        <f t="shared" si="0"/>
        <v>39.200000000000003</v>
      </c>
      <c r="F20" s="86">
        <v>39.200000000000003</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1254"/>
      <c r="AN20" s="86"/>
      <c r="AO20" s="86">
        <f t="shared" si="1"/>
        <v>0</v>
      </c>
      <c r="AP20" s="86"/>
      <c r="AQ20" s="86"/>
      <c r="AR20" s="86"/>
      <c r="AS20" s="86"/>
      <c r="AT20" s="86"/>
      <c r="AU20" s="86"/>
      <c r="AV20" s="86"/>
      <c r="AW20" s="86"/>
      <c r="AX20" s="86"/>
      <c r="AY20" s="86"/>
      <c r="AZ20" s="86"/>
      <c r="BA20" s="86"/>
      <c r="BB20" s="86"/>
      <c r="BC20" s="86"/>
      <c r="BD20" s="86"/>
      <c r="BE20" s="86"/>
      <c r="BF20" s="86"/>
      <c r="BG20" s="1291"/>
      <c r="BH20" s="1254"/>
      <c r="BI20" s="86"/>
      <c r="BJ20" s="86"/>
      <c r="BK20" s="86"/>
      <c r="BL20" s="86"/>
      <c r="BM20" s="86"/>
    </row>
    <row r="21" spans="1:65" ht="24.75" customHeight="1">
      <c r="A21" s="1290" t="s">
        <v>5012</v>
      </c>
      <c r="B21" s="86"/>
      <c r="C21" s="86" t="s">
        <v>398</v>
      </c>
      <c r="D21" s="86"/>
      <c r="E21" s="86">
        <f t="shared" si="0"/>
        <v>38.200000000000003</v>
      </c>
      <c r="F21" s="86">
        <v>38.200000000000003</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1254"/>
      <c r="AN21" s="86"/>
      <c r="AO21" s="86">
        <f t="shared" si="1"/>
        <v>0</v>
      </c>
      <c r="AP21" s="86"/>
      <c r="AQ21" s="86"/>
      <c r="AR21" s="86"/>
      <c r="AS21" s="86"/>
      <c r="AT21" s="86"/>
      <c r="AU21" s="86"/>
      <c r="AV21" s="86"/>
      <c r="AW21" s="86"/>
      <c r="AX21" s="86"/>
      <c r="AY21" s="86"/>
      <c r="AZ21" s="86"/>
      <c r="BA21" s="86"/>
      <c r="BB21" s="86"/>
      <c r="BC21" s="86"/>
      <c r="BD21" s="86"/>
      <c r="BE21" s="86"/>
      <c r="BF21" s="86"/>
      <c r="BG21" s="1291"/>
      <c r="BH21" s="1254"/>
      <c r="BI21" s="86"/>
      <c r="BJ21" s="86"/>
      <c r="BK21" s="86"/>
      <c r="BL21" s="86"/>
      <c r="BM21" s="86"/>
    </row>
    <row r="22" spans="1:65" ht="24.75" customHeight="1">
      <c r="A22" s="1290"/>
      <c r="B22" s="86" t="s">
        <v>5046</v>
      </c>
      <c r="C22" s="86"/>
      <c r="D22" s="86" t="s">
        <v>2361</v>
      </c>
      <c r="E22" s="86">
        <f t="shared" si="0"/>
        <v>40.5</v>
      </c>
      <c r="F22" s="86">
        <v>40.5</v>
      </c>
      <c r="G22" s="86"/>
      <c r="H22" s="86"/>
      <c r="I22" s="86"/>
      <c r="J22" s="86"/>
      <c r="K22" s="86"/>
      <c r="L22" s="86"/>
      <c r="M22" s="86"/>
      <c r="N22" s="86"/>
      <c r="O22" s="86"/>
      <c r="P22" s="86">
        <v>1</v>
      </c>
      <c r="Q22" s="86"/>
      <c r="R22" s="86"/>
      <c r="S22" s="86"/>
      <c r="T22" s="86"/>
      <c r="U22" s="86"/>
      <c r="V22" s="86"/>
      <c r="W22" s="86"/>
      <c r="X22" s="86"/>
      <c r="Y22" s="86"/>
      <c r="Z22" s="86"/>
      <c r="AA22" s="86"/>
      <c r="AB22" s="86"/>
      <c r="AC22" s="86"/>
      <c r="AD22" s="86">
        <v>8</v>
      </c>
      <c r="AE22" s="86"/>
      <c r="AF22" s="86"/>
      <c r="AG22" s="86"/>
      <c r="AH22" s="86"/>
      <c r="AI22" s="86"/>
      <c r="AJ22" s="86"/>
      <c r="AK22" s="86"/>
      <c r="AL22" s="86"/>
      <c r="AM22" s="1254"/>
      <c r="AN22" s="86"/>
      <c r="AO22" s="86">
        <f t="shared" si="1"/>
        <v>8</v>
      </c>
      <c r="AP22" s="86">
        <v>10</v>
      </c>
      <c r="AQ22" s="86"/>
      <c r="AR22" s="86"/>
      <c r="AS22" s="86"/>
      <c r="AT22" s="86">
        <v>2</v>
      </c>
      <c r="AU22" s="86">
        <v>1</v>
      </c>
      <c r="AV22" s="86"/>
      <c r="AW22" s="86">
        <v>2</v>
      </c>
      <c r="AX22" s="86"/>
      <c r="AY22" s="86"/>
      <c r="AZ22" s="86"/>
      <c r="BA22" s="86"/>
      <c r="BB22" s="86"/>
      <c r="BC22" s="86"/>
      <c r="BD22" s="86"/>
      <c r="BE22" s="86"/>
      <c r="BF22" s="86"/>
      <c r="BG22" s="1291">
        <v>2</v>
      </c>
      <c r="BH22" s="1254">
        <v>2</v>
      </c>
      <c r="BI22" s="86"/>
      <c r="BJ22" s="86"/>
      <c r="BK22" s="86"/>
      <c r="BL22" s="86"/>
      <c r="BM22" s="86"/>
    </row>
    <row r="23" spans="1:65" ht="24.75" customHeight="1">
      <c r="A23" s="1290" t="s">
        <v>5013</v>
      </c>
      <c r="B23" s="86"/>
      <c r="C23" s="86" t="s">
        <v>2361</v>
      </c>
      <c r="D23" s="86"/>
      <c r="E23" s="86">
        <f t="shared" si="0"/>
        <v>31</v>
      </c>
      <c r="F23" s="86">
        <v>31</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1254"/>
      <c r="AN23" s="86"/>
      <c r="AO23" s="86">
        <f t="shared" si="1"/>
        <v>0</v>
      </c>
      <c r="AP23" s="86"/>
      <c r="AQ23" s="86"/>
      <c r="AR23" s="86"/>
      <c r="AS23" s="86"/>
      <c r="AT23" s="86"/>
      <c r="AU23" s="86"/>
      <c r="AV23" s="86"/>
      <c r="AW23" s="86"/>
      <c r="AX23" s="86"/>
      <c r="AY23" s="86"/>
      <c r="AZ23" s="86"/>
      <c r="BA23" s="86"/>
      <c r="BB23" s="86"/>
      <c r="BC23" s="86"/>
      <c r="BD23" s="86"/>
      <c r="BE23" s="86"/>
      <c r="BF23" s="86"/>
      <c r="BG23" s="1291"/>
      <c r="BH23" s="1254"/>
      <c r="BI23" s="86"/>
      <c r="BJ23" s="86"/>
      <c r="BK23" s="86"/>
      <c r="BL23" s="86"/>
      <c r="BM23" s="86"/>
    </row>
    <row r="24" spans="1:65" ht="24.75" customHeight="1">
      <c r="A24" s="1290" t="s">
        <v>5014</v>
      </c>
      <c r="B24" s="86"/>
      <c r="C24" s="86" t="s">
        <v>2633</v>
      </c>
      <c r="D24" s="86"/>
      <c r="E24" s="86">
        <f t="shared" si="0"/>
        <v>32.299999999999997</v>
      </c>
      <c r="F24" s="86">
        <v>32.299999999999997</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1254"/>
      <c r="AN24" s="86"/>
      <c r="AO24" s="86">
        <f t="shared" si="1"/>
        <v>0</v>
      </c>
      <c r="AP24" s="86"/>
      <c r="AQ24" s="86"/>
      <c r="AR24" s="86"/>
      <c r="AS24" s="86"/>
      <c r="AT24" s="86"/>
      <c r="AU24" s="86"/>
      <c r="AV24" s="86"/>
      <c r="AW24" s="86"/>
      <c r="AX24" s="86"/>
      <c r="AY24" s="86"/>
      <c r="AZ24" s="86"/>
      <c r="BA24" s="86"/>
      <c r="BB24" s="86"/>
      <c r="BC24" s="86"/>
      <c r="BD24" s="86"/>
      <c r="BE24" s="86"/>
      <c r="BF24" s="86"/>
      <c r="BG24" s="1291"/>
      <c r="BH24" s="1254"/>
      <c r="BI24" s="86"/>
      <c r="BJ24" s="86"/>
      <c r="BK24" s="86"/>
      <c r="BL24" s="86"/>
      <c r="BM24" s="86"/>
    </row>
    <row r="25" spans="1:65" ht="24.75" customHeight="1">
      <c r="A25" s="1290"/>
      <c r="B25" s="86" t="s">
        <v>5047</v>
      </c>
      <c r="C25" s="86"/>
      <c r="D25" s="86" t="s">
        <v>2361</v>
      </c>
      <c r="E25" s="86">
        <f t="shared" si="0"/>
        <v>46.2</v>
      </c>
      <c r="F25" s="86">
        <v>46.2</v>
      </c>
      <c r="G25" s="86"/>
      <c r="H25" s="86"/>
      <c r="I25" s="86"/>
      <c r="J25" s="86"/>
      <c r="K25" s="86"/>
      <c r="L25" s="86"/>
      <c r="M25" s="86"/>
      <c r="N25" s="86"/>
      <c r="O25" s="86"/>
      <c r="P25" s="86">
        <v>1</v>
      </c>
      <c r="Q25" s="86"/>
      <c r="R25" s="86"/>
      <c r="S25" s="86"/>
      <c r="T25" s="86"/>
      <c r="U25" s="86"/>
      <c r="V25" s="86"/>
      <c r="W25" s="86"/>
      <c r="X25" s="86"/>
      <c r="Y25" s="86"/>
      <c r="Z25" s="86"/>
      <c r="AA25" s="86"/>
      <c r="AB25" s="86"/>
      <c r="AC25" s="86"/>
      <c r="AD25" s="86">
        <v>8</v>
      </c>
      <c r="AE25" s="86"/>
      <c r="AF25" s="86"/>
      <c r="AG25" s="86"/>
      <c r="AH25" s="86"/>
      <c r="AI25" s="86"/>
      <c r="AJ25" s="86"/>
      <c r="AK25" s="86"/>
      <c r="AL25" s="86"/>
      <c r="AM25" s="1254"/>
      <c r="AN25" s="86"/>
      <c r="AO25" s="86">
        <f t="shared" si="1"/>
        <v>8</v>
      </c>
      <c r="AP25" s="86">
        <v>9</v>
      </c>
      <c r="AQ25" s="86"/>
      <c r="AR25" s="86"/>
      <c r="AS25" s="86"/>
      <c r="AT25" s="86">
        <v>3</v>
      </c>
      <c r="AU25" s="86">
        <v>1</v>
      </c>
      <c r="AV25" s="86"/>
      <c r="AW25" s="86">
        <v>2</v>
      </c>
      <c r="AX25" s="86"/>
      <c r="AY25" s="86"/>
      <c r="AZ25" s="86"/>
      <c r="BA25" s="86"/>
      <c r="BB25" s="86"/>
      <c r="BC25" s="86"/>
      <c r="BD25" s="86"/>
      <c r="BE25" s="86"/>
      <c r="BF25" s="86"/>
      <c r="BG25" s="1291">
        <v>3</v>
      </c>
      <c r="BH25" s="1254">
        <v>3</v>
      </c>
      <c r="BI25" s="86"/>
      <c r="BJ25" s="86"/>
      <c r="BK25" s="86"/>
      <c r="BL25" s="86"/>
      <c r="BM25" s="86"/>
    </row>
    <row r="26" spans="1:65" ht="24.75" customHeight="1">
      <c r="A26" s="1290" t="s">
        <v>5015</v>
      </c>
      <c r="B26" s="86"/>
      <c r="C26" s="86" t="s">
        <v>398</v>
      </c>
      <c r="D26" s="86"/>
      <c r="E26" s="86">
        <f t="shared" si="0"/>
        <v>34</v>
      </c>
      <c r="F26" s="86">
        <v>34</v>
      </c>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1254"/>
      <c r="AN26" s="86"/>
      <c r="AO26" s="86">
        <f t="shared" si="1"/>
        <v>0</v>
      </c>
      <c r="AP26" s="86"/>
      <c r="AQ26" s="86"/>
      <c r="AR26" s="86"/>
      <c r="AS26" s="86"/>
      <c r="AT26" s="86"/>
      <c r="AU26" s="86"/>
      <c r="AV26" s="86"/>
      <c r="AW26" s="86"/>
      <c r="AX26" s="86"/>
      <c r="AY26" s="86"/>
      <c r="AZ26" s="86"/>
      <c r="BA26" s="86"/>
      <c r="BB26" s="86"/>
      <c r="BC26" s="86"/>
      <c r="BD26" s="86"/>
      <c r="BE26" s="86"/>
      <c r="BF26" s="86"/>
      <c r="BG26" s="1291"/>
      <c r="BH26" s="1254"/>
      <c r="BI26" s="86"/>
      <c r="BJ26" s="86"/>
      <c r="BK26" s="86"/>
      <c r="BL26" s="86"/>
      <c r="BM26" s="86"/>
    </row>
    <row r="27" spans="1:65" ht="24.75" customHeight="1">
      <c r="A27" s="1290"/>
      <c r="B27" s="86" t="s">
        <v>5048</v>
      </c>
      <c r="C27" s="86"/>
      <c r="D27" s="86" t="s">
        <v>2361</v>
      </c>
      <c r="E27" s="86">
        <f t="shared" si="0"/>
        <v>36.299999999999997</v>
      </c>
      <c r="F27" s="86">
        <v>36.299999999999997</v>
      </c>
      <c r="G27" s="86"/>
      <c r="H27" s="86"/>
      <c r="I27" s="86"/>
      <c r="J27" s="86"/>
      <c r="K27" s="86"/>
      <c r="L27" s="86"/>
      <c r="M27" s="86"/>
      <c r="N27" s="86"/>
      <c r="O27" s="86"/>
      <c r="P27" s="86">
        <v>1</v>
      </c>
      <c r="Q27" s="86"/>
      <c r="R27" s="86"/>
      <c r="S27" s="86"/>
      <c r="T27" s="86"/>
      <c r="U27" s="86"/>
      <c r="V27" s="86"/>
      <c r="W27" s="86"/>
      <c r="X27" s="86"/>
      <c r="Y27" s="86"/>
      <c r="Z27" s="86"/>
      <c r="AA27" s="86"/>
      <c r="AB27" s="86"/>
      <c r="AC27" s="86"/>
      <c r="AD27" s="86">
        <v>8</v>
      </c>
      <c r="AE27" s="86"/>
      <c r="AF27" s="86"/>
      <c r="AG27" s="86"/>
      <c r="AH27" s="86"/>
      <c r="AI27" s="86"/>
      <c r="AJ27" s="86"/>
      <c r="AK27" s="86"/>
      <c r="AL27" s="86"/>
      <c r="AM27" s="1254"/>
      <c r="AN27" s="86"/>
      <c r="AO27" s="86">
        <f t="shared" si="1"/>
        <v>8</v>
      </c>
      <c r="AP27" s="86">
        <v>10</v>
      </c>
      <c r="AQ27" s="86"/>
      <c r="AR27" s="86"/>
      <c r="AS27" s="86"/>
      <c r="AT27" s="86">
        <v>3</v>
      </c>
      <c r="AU27" s="86">
        <v>1</v>
      </c>
      <c r="AV27" s="86"/>
      <c r="AW27" s="86">
        <v>2</v>
      </c>
      <c r="AX27" s="86"/>
      <c r="AY27" s="86"/>
      <c r="AZ27" s="86"/>
      <c r="BA27" s="86"/>
      <c r="BB27" s="86"/>
      <c r="BC27" s="86"/>
      <c r="BD27" s="86"/>
      <c r="BE27" s="86"/>
      <c r="BF27" s="86"/>
      <c r="BG27" s="1291">
        <v>3</v>
      </c>
      <c r="BH27" s="1254">
        <v>4</v>
      </c>
      <c r="BI27" s="86"/>
      <c r="BJ27" s="86"/>
      <c r="BK27" s="86"/>
      <c r="BL27" s="86"/>
      <c r="BM27" s="86"/>
    </row>
    <row r="28" spans="1:65" ht="24.75" customHeight="1">
      <c r="A28" s="1290" t="s">
        <v>5016</v>
      </c>
      <c r="B28" s="86"/>
      <c r="C28" s="86" t="s">
        <v>2361</v>
      </c>
      <c r="D28" s="86"/>
      <c r="E28" s="86">
        <f t="shared" si="0"/>
        <v>43.9</v>
      </c>
      <c r="F28" s="86">
        <v>43.9</v>
      </c>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1254"/>
      <c r="AN28" s="86"/>
      <c r="AO28" s="86">
        <f t="shared" si="1"/>
        <v>0</v>
      </c>
      <c r="AP28" s="86"/>
      <c r="AQ28" s="86"/>
      <c r="AR28" s="86"/>
      <c r="AS28" s="86"/>
      <c r="AT28" s="86"/>
      <c r="AU28" s="86"/>
      <c r="AV28" s="86"/>
      <c r="AW28" s="86"/>
      <c r="AX28" s="86"/>
      <c r="AY28" s="86"/>
      <c r="AZ28" s="86"/>
      <c r="BA28" s="86"/>
      <c r="BB28" s="86"/>
      <c r="BC28" s="86"/>
      <c r="BD28" s="86"/>
      <c r="BE28" s="86"/>
      <c r="BF28" s="86"/>
      <c r="BG28" s="1291"/>
      <c r="BH28" s="1254"/>
      <c r="BI28" s="86"/>
      <c r="BJ28" s="86"/>
      <c r="BK28" s="86"/>
      <c r="BL28" s="86"/>
      <c r="BM28" s="86"/>
    </row>
    <row r="29" spans="1:65" ht="24.75" customHeight="1">
      <c r="A29" s="1290"/>
      <c r="B29" s="86" t="s">
        <v>5049</v>
      </c>
      <c r="C29" s="86"/>
      <c r="D29" s="86" t="s">
        <v>2361</v>
      </c>
      <c r="E29" s="86">
        <f t="shared" si="0"/>
        <v>42.3</v>
      </c>
      <c r="F29" s="86">
        <v>42.3</v>
      </c>
      <c r="G29" s="86"/>
      <c r="H29" s="86"/>
      <c r="I29" s="86"/>
      <c r="J29" s="86"/>
      <c r="K29" s="86"/>
      <c r="L29" s="86"/>
      <c r="M29" s="86"/>
      <c r="N29" s="86"/>
      <c r="O29" s="86"/>
      <c r="P29" s="86">
        <v>1</v>
      </c>
      <c r="Q29" s="86"/>
      <c r="R29" s="86"/>
      <c r="S29" s="86"/>
      <c r="T29" s="86"/>
      <c r="U29" s="86"/>
      <c r="V29" s="86"/>
      <c r="W29" s="86"/>
      <c r="X29" s="86"/>
      <c r="Y29" s="86"/>
      <c r="Z29" s="86"/>
      <c r="AA29" s="86"/>
      <c r="AB29" s="86"/>
      <c r="AC29" s="86"/>
      <c r="AD29" s="86">
        <v>8</v>
      </c>
      <c r="AE29" s="86"/>
      <c r="AF29" s="86"/>
      <c r="AG29" s="86"/>
      <c r="AH29" s="86"/>
      <c r="AI29" s="86"/>
      <c r="AJ29" s="86"/>
      <c r="AK29" s="86"/>
      <c r="AL29" s="86"/>
      <c r="AM29" s="1254"/>
      <c r="AN29" s="86"/>
      <c r="AO29" s="86">
        <f t="shared" si="1"/>
        <v>8</v>
      </c>
      <c r="AP29" s="86">
        <v>11</v>
      </c>
      <c r="AQ29" s="86"/>
      <c r="AR29" s="86"/>
      <c r="AS29" s="86"/>
      <c r="AT29" s="86">
        <v>5</v>
      </c>
      <c r="AU29" s="86">
        <v>1</v>
      </c>
      <c r="AV29" s="86"/>
      <c r="AW29" s="86">
        <v>2</v>
      </c>
      <c r="AX29" s="86"/>
      <c r="AY29" s="86"/>
      <c r="AZ29" s="86"/>
      <c r="BA29" s="86"/>
      <c r="BB29" s="86"/>
      <c r="BC29" s="86"/>
      <c r="BD29" s="86"/>
      <c r="BE29" s="86"/>
      <c r="BF29" s="86"/>
      <c r="BG29" s="1291">
        <v>5</v>
      </c>
      <c r="BH29" s="1254">
        <v>4</v>
      </c>
      <c r="BI29" s="86"/>
      <c r="BJ29" s="86"/>
      <c r="BK29" s="86"/>
      <c r="BL29" s="86"/>
      <c r="BM29" s="86"/>
    </row>
    <row r="30" spans="1:65" ht="24.75" customHeight="1">
      <c r="A30" s="1290" t="s">
        <v>5017</v>
      </c>
      <c r="B30" s="86"/>
      <c r="C30" s="86" t="s">
        <v>2361</v>
      </c>
      <c r="D30" s="86"/>
      <c r="E30" s="86">
        <f t="shared" si="0"/>
        <v>39.299999999999997</v>
      </c>
      <c r="F30" s="86">
        <v>39.299999999999997</v>
      </c>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1254"/>
      <c r="AN30" s="86"/>
      <c r="AO30" s="86">
        <f t="shared" si="1"/>
        <v>0</v>
      </c>
      <c r="AP30" s="86"/>
      <c r="AQ30" s="86"/>
      <c r="AR30" s="86"/>
      <c r="AS30" s="86"/>
      <c r="AT30" s="86"/>
      <c r="AU30" s="86"/>
      <c r="AV30" s="86"/>
      <c r="AW30" s="86"/>
      <c r="AX30" s="86"/>
      <c r="AY30" s="86"/>
      <c r="AZ30" s="86"/>
      <c r="BA30" s="86"/>
      <c r="BB30" s="86"/>
      <c r="BC30" s="86"/>
      <c r="BD30" s="86"/>
      <c r="BE30" s="86"/>
      <c r="BF30" s="86"/>
      <c r="BG30" s="1291"/>
      <c r="BH30" s="1254"/>
      <c r="BI30" s="86"/>
      <c r="BJ30" s="86"/>
      <c r="BK30" s="86"/>
      <c r="BL30" s="86"/>
      <c r="BM30" s="86"/>
    </row>
    <row r="31" spans="1:65" ht="24.75" customHeight="1">
      <c r="A31" s="1290" t="s">
        <v>5018</v>
      </c>
      <c r="B31" s="86"/>
      <c r="C31" s="86" t="s">
        <v>2361</v>
      </c>
      <c r="D31" s="86"/>
      <c r="E31" s="86">
        <f t="shared" si="0"/>
        <v>34.4</v>
      </c>
      <c r="F31" s="86">
        <v>34.4</v>
      </c>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1254"/>
      <c r="AN31" s="86"/>
      <c r="AO31" s="86">
        <f t="shared" si="1"/>
        <v>0</v>
      </c>
      <c r="AP31" s="86"/>
      <c r="AQ31" s="86"/>
      <c r="AR31" s="86"/>
      <c r="AS31" s="86"/>
      <c r="AT31" s="86"/>
      <c r="AU31" s="86"/>
      <c r="AV31" s="86"/>
      <c r="AW31" s="86"/>
      <c r="AX31" s="86"/>
      <c r="AY31" s="86"/>
      <c r="AZ31" s="86"/>
      <c r="BA31" s="86"/>
      <c r="BB31" s="86"/>
      <c r="BC31" s="86"/>
      <c r="BD31" s="86"/>
      <c r="BE31" s="86"/>
      <c r="BF31" s="86"/>
      <c r="BG31" s="1291"/>
      <c r="BH31" s="1254"/>
      <c r="BI31" s="86"/>
      <c r="BJ31" s="86"/>
      <c r="BK31" s="86"/>
      <c r="BL31" s="86"/>
      <c r="BM31" s="86"/>
    </row>
    <row r="32" spans="1:65" ht="24.75" customHeight="1">
      <c r="A32" s="1290"/>
      <c r="B32" s="86" t="s">
        <v>5050</v>
      </c>
      <c r="C32" s="86"/>
      <c r="D32" s="86" t="s">
        <v>2361</v>
      </c>
      <c r="E32" s="86">
        <f t="shared" si="0"/>
        <v>37.4</v>
      </c>
      <c r="F32" s="86">
        <v>37.4</v>
      </c>
      <c r="G32" s="86"/>
      <c r="H32" s="86"/>
      <c r="I32" s="86"/>
      <c r="J32" s="86"/>
      <c r="K32" s="86"/>
      <c r="L32" s="86"/>
      <c r="M32" s="86"/>
      <c r="N32" s="86"/>
      <c r="O32" s="86"/>
      <c r="P32" s="86">
        <v>1</v>
      </c>
      <c r="Q32" s="86"/>
      <c r="R32" s="86"/>
      <c r="S32" s="86"/>
      <c r="T32" s="86"/>
      <c r="U32" s="86"/>
      <c r="V32" s="86"/>
      <c r="W32" s="86"/>
      <c r="X32" s="86"/>
      <c r="Y32" s="86"/>
      <c r="Z32" s="86"/>
      <c r="AA32" s="86"/>
      <c r="AB32" s="86"/>
      <c r="AC32" s="86"/>
      <c r="AD32" s="86">
        <v>8</v>
      </c>
      <c r="AE32" s="86"/>
      <c r="AF32" s="86"/>
      <c r="AG32" s="86"/>
      <c r="AH32" s="86"/>
      <c r="AI32" s="86"/>
      <c r="AJ32" s="86"/>
      <c r="AK32" s="86"/>
      <c r="AL32" s="86"/>
      <c r="AM32" s="1254"/>
      <c r="AN32" s="86"/>
      <c r="AO32" s="86">
        <f t="shared" si="1"/>
        <v>8</v>
      </c>
      <c r="AP32" s="86">
        <v>10</v>
      </c>
      <c r="AQ32" s="86"/>
      <c r="AR32" s="86"/>
      <c r="AS32" s="86"/>
      <c r="AT32" s="86">
        <v>2</v>
      </c>
      <c r="AU32" s="86">
        <v>1</v>
      </c>
      <c r="AV32" s="86"/>
      <c r="AW32" s="86">
        <v>1</v>
      </c>
      <c r="AX32" s="86"/>
      <c r="AY32" s="86"/>
      <c r="AZ32" s="86"/>
      <c r="BA32" s="86"/>
      <c r="BB32" s="86"/>
      <c r="BC32" s="86"/>
      <c r="BD32" s="86"/>
      <c r="BE32" s="86"/>
      <c r="BF32" s="86"/>
      <c r="BG32" s="1291">
        <v>2</v>
      </c>
      <c r="BH32" s="1254">
        <v>3</v>
      </c>
      <c r="BI32" s="86"/>
      <c r="BJ32" s="86"/>
      <c r="BK32" s="86"/>
      <c r="BL32" s="86"/>
      <c r="BM32" s="86"/>
    </row>
    <row r="33" spans="1:65" ht="24.75" customHeight="1">
      <c r="A33" s="1290" t="s">
        <v>5019</v>
      </c>
      <c r="B33" s="86"/>
      <c r="C33" s="86" t="s">
        <v>2361</v>
      </c>
      <c r="D33" s="86"/>
      <c r="E33" s="86">
        <f t="shared" si="0"/>
        <v>44.7</v>
      </c>
      <c r="F33" s="86">
        <v>44.7</v>
      </c>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1254"/>
      <c r="AN33" s="86"/>
      <c r="AO33" s="86">
        <f t="shared" si="1"/>
        <v>0</v>
      </c>
      <c r="AP33" s="86"/>
      <c r="AQ33" s="86"/>
      <c r="AR33" s="86"/>
      <c r="AS33" s="86"/>
      <c r="AT33" s="86"/>
      <c r="AU33" s="86"/>
      <c r="AV33" s="86"/>
      <c r="AW33" s="86"/>
      <c r="AX33" s="86"/>
      <c r="AY33" s="86"/>
      <c r="AZ33" s="86"/>
      <c r="BA33" s="86"/>
      <c r="BB33" s="86"/>
      <c r="BC33" s="86"/>
      <c r="BD33" s="86"/>
      <c r="BE33" s="86"/>
      <c r="BF33" s="86"/>
      <c r="BG33" s="1291"/>
      <c r="BH33" s="1254"/>
      <c r="BI33" s="86"/>
      <c r="BJ33" s="86"/>
      <c r="BK33" s="86"/>
      <c r="BL33" s="86"/>
      <c r="BM33" s="86"/>
    </row>
    <row r="34" spans="1:65" ht="24.75" customHeight="1">
      <c r="A34" s="1290"/>
      <c r="B34" s="86" t="s">
        <v>5051</v>
      </c>
      <c r="C34" s="86"/>
      <c r="D34" s="86" t="s">
        <v>2361</v>
      </c>
      <c r="E34" s="86">
        <f t="shared" si="0"/>
        <v>43.9</v>
      </c>
      <c r="F34" s="86">
        <v>43.9</v>
      </c>
      <c r="G34" s="86"/>
      <c r="H34" s="86"/>
      <c r="I34" s="86"/>
      <c r="J34" s="86"/>
      <c r="K34" s="86"/>
      <c r="L34" s="86"/>
      <c r="M34" s="86"/>
      <c r="N34" s="86"/>
      <c r="O34" s="86"/>
      <c r="P34" s="86">
        <v>1</v>
      </c>
      <c r="Q34" s="86"/>
      <c r="R34" s="86"/>
      <c r="S34" s="86"/>
      <c r="T34" s="86"/>
      <c r="U34" s="86"/>
      <c r="V34" s="86"/>
      <c r="W34" s="86"/>
      <c r="X34" s="86"/>
      <c r="Y34" s="86"/>
      <c r="Z34" s="86"/>
      <c r="AA34" s="86"/>
      <c r="AB34" s="86"/>
      <c r="AC34" s="86"/>
      <c r="AD34" s="86">
        <v>8</v>
      </c>
      <c r="AE34" s="86"/>
      <c r="AF34" s="86"/>
      <c r="AG34" s="86"/>
      <c r="AH34" s="86"/>
      <c r="AI34" s="86"/>
      <c r="AJ34" s="86"/>
      <c r="AK34" s="86"/>
      <c r="AL34" s="86"/>
      <c r="AM34" s="1254"/>
      <c r="AN34" s="86"/>
      <c r="AO34" s="86">
        <f t="shared" si="1"/>
        <v>8</v>
      </c>
      <c r="AP34" s="86">
        <v>10</v>
      </c>
      <c r="AQ34" s="86"/>
      <c r="AR34" s="86"/>
      <c r="AS34" s="86"/>
      <c r="AT34" s="86">
        <v>6</v>
      </c>
      <c r="AU34" s="86">
        <v>1</v>
      </c>
      <c r="AV34" s="86"/>
      <c r="AW34" s="86">
        <v>2</v>
      </c>
      <c r="AX34" s="86"/>
      <c r="AY34" s="86"/>
      <c r="AZ34" s="86"/>
      <c r="BA34" s="86"/>
      <c r="BB34" s="86"/>
      <c r="BC34" s="86"/>
      <c r="BD34" s="86"/>
      <c r="BE34" s="86"/>
      <c r="BF34" s="86"/>
      <c r="BG34" s="1291">
        <v>6</v>
      </c>
      <c r="BH34" s="1254">
        <v>4</v>
      </c>
      <c r="BI34" s="86"/>
      <c r="BJ34" s="86"/>
      <c r="BK34" s="86"/>
      <c r="BL34" s="86"/>
      <c r="BM34" s="86"/>
    </row>
    <row r="35" spans="1:65" ht="24.75" customHeight="1">
      <c r="A35" s="1290" t="s">
        <v>4886</v>
      </c>
      <c r="B35" s="86"/>
      <c r="C35" s="86" t="s">
        <v>2361</v>
      </c>
      <c r="D35" s="86"/>
      <c r="E35" s="86">
        <f t="shared" si="0"/>
        <v>44.2</v>
      </c>
      <c r="F35" s="86">
        <v>44.2</v>
      </c>
      <c r="G35" s="86"/>
      <c r="H35" s="86"/>
      <c r="I35" s="86"/>
      <c r="J35" s="86"/>
      <c r="K35" s="86"/>
      <c r="L35" s="86"/>
      <c r="M35" s="86">
        <v>1</v>
      </c>
      <c r="N35" s="86"/>
      <c r="O35" s="86"/>
      <c r="P35" s="86"/>
      <c r="Q35" s="86"/>
      <c r="R35" s="86"/>
      <c r="S35" s="86"/>
      <c r="T35" s="86"/>
      <c r="U35" s="86"/>
      <c r="V35" s="86"/>
      <c r="W35" s="86"/>
      <c r="X35" s="86"/>
      <c r="Y35" s="86"/>
      <c r="Z35" s="86"/>
      <c r="AA35" s="86"/>
      <c r="AB35" s="86"/>
      <c r="AC35" s="86"/>
      <c r="AD35" s="86">
        <v>8</v>
      </c>
      <c r="AE35" s="86"/>
      <c r="AF35" s="86"/>
      <c r="AG35" s="86"/>
      <c r="AH35" s="86"/>
      <c r="AI35" s="86"/>
      <c r="AJ35" s="86"/>
      <c r="AK35" s="86"/>
      <c r="AL35" s="86"/>
      <c r="AM35" s="1254"/>
      <c r="AN35" s="86"/>
      <c r="AO35" s="86">
        <f t="shared" si="1"/>
        <v>8</v>
      </c>
      <c r="AP35" s="86">
        <v>12</v>
      </c>
      <c r="AQ35" s="86">
        <v>2</v>
      </c>
      <c r="AR35" s="86"/>
      <c r="AS35" s="86"/>
      <c r="AT35" s="86">
        <v>5</v>
      </c>
      <c r="AU35" s="86">
        <v>1</v>
      </c>
      <c r="AV35" s="86"/>
      <c r="AW35" s="86"/>
      <c r="AX35" s="86">
        <v>2</v>
      </c>
      <c r="AY35" s="86"/>
      <c r="AZ35" s="86"/>
      <c r="BA35" s="86"/>
      <c r="BB35" s="86"/>
      <c r="BC35" s="86"/>
      <c r="BD35" s="86"/>
      <c r="BE35" s="86"/>
      <c r="BF35" s="86"/>
      <c r="BG35" s="1291">
        <v>5</v>
      </c>
      <c r="BH35" s="1254">
        <v>3</v>
      </c>
      <c r="BI35" s="86"/>
      <c r="BJ35" s="86"/>
      <c r="BK35" s="86"/>
      <c r="BL35" s="86"/>
      <c r="BM35" s="86"/>
    </row>
    <row r="36" spans="1:65" ht="24.75" customHeight="1">
      <c r="A36" s="1290"/>
      <c r="B36" s="86" t="s">
        <v>5052</v>
      </c>
      <c r="C36" s="86"/>
      <c r="D36" s="86" t="s">
        <v>2361</v>
      </c>
      <c r="E36" s="86">
        <f t="shared" si="0"/>
        <v>37.299999999999997</v>
      </c>
      <c r="F36" s="86">
        <v>37.299999999999997</v>
      </c>
      <c r="G36" s="86"/>
      <c r="H36" s="86"/>
      <c r="I36" s="86"/>
      <c r="J36" s="86"/>
      <c r="K36" s="86"/>
      <c r="L36" s="86"/>
      <c r="M36" s="86"/>
      <c r="N36" s="86"/>
      <c r="O36" s="86"/>
      <c r="P36" s="86">
        <v>1</v>
      </c>
      <c r="Q36" s="86"/>
      <c r="R36" s="86"/>
      <c r="S36" s="86"/>
      <c r="T36" s="86"/>
      <c r="U36" s="86"/>
      <c r="V36" s="86"/>
      <c r="W36" s="86"/>
      <c r="X36" s="86"/>
      <c r="Y36" s="86"/>
      <c r="Z36" s="86"/>
      <c r="AA36" s="86"/>
      <c r="AB36" s="86"/>
      <c r="AC36" s="86"/>
      <c r="AD36" s="86">
        <v>8</v>
      </c>
      <c r="AE36" s="86"/>
      <c r="AF36" s="86"/>
      <c r="AG36" s="86"/>
      <c r="AH36" s="86"/>
      <c r="AI36" s="86"/>
      <c r="AJ36" s="86"/>
      <c r="AK36" s="86"/>
      <c r="AL36" s="86"/>
      <c r="AM36" s="1254"/>
      <c r="AN36" s="86"/>
      <c r="AO36" s="86">
        <f t="shared" si="1"/>
        <v>8</v>
      </c>
      <c r="AP36" s="86">
        <v>10</v>
      </c>
      <c r="AQ36" s="86"/>
      <c r="AR36" s="86"/>
      <c r="AS36" s="86"/>
      <c r="AT36" s="86">
        <v>5</v>
      </c>
      <c r="AU36" s="86">
        <v>1</v>
      </c>
      <c r="AV36" s="86"/>
      <c r="AW36" s="86">
        <v>2</v>
      </c>
      <c r="AX36" s="86"/>
      <c r="AY36" s="86"/>
      <c r="AZ36" s="86"/>
      <c r="BA36" s="86"/>
      <c r="BB36" s="86"/>
      <c r="BC36" s="86"/>
      <c r="BD36" s="86"/>
      <c r="BE36" s="86"/>
      <c r="BF36" s="86"/>
      <c r="BG36" s="1291">
        <v>5</v>
      </c>
      <c r="BH36" s="1254">
        <v>4</v>
      </c>
      <c r="BI36" s="86"/>
      <c r="BJ36" s="86"/>
      <c r="BK36" s="86"/>
      <c r="BL36" s="86"/>
      <c r="BM36" s="86"/>
    </row>
    <row r="37" spans="1:65" ht="24.75" customHeight="1">
      <c r="A37" s="1290" t="s">
        <v>5020</v>
      </c>
      <c r="B37" s="86"/>
      <c r="C37" s="86" t="s">
        <v>2361</v>
      </c>
      <c r="D37" s="86"/>
      <c r="E37" s="86">
        <f t="shared" si="0"/>
        <v>41.8</v>
      </c>
      <c r="F37" s="86">
        <v>41.8</v>
      </c>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1254"/>
      <c r="AN37" s="86"/>
      <c r="AO37" s="86">
        <f t="shared" si="1"/>
        <v>0</v>
      </c>
      <c r="AP37" s="86"/>
      <c r="AQ37" s="86"/>
      <c r="AR37" s="86"/>
      <c r="AS37" s="86"/>
      <c r="AT37" s="86"/>
      <c r="AU37" s="86"/>
      <c r="AV37" s="86"/>
      <c r="AW37" s="86"/>
      <c r="AX37" s="86"/>
      <c r="AY37" s="86"/>
      <c r="AZ37" s="86"/>
      <c r="BA37" s="86"/>
      <c r="BB37" s="86"/>
      <c r="BC37" s="86"/>
      <c r="BD37" s="86"/>
      <c r="BE37" s="86"/>
      <c r="BF37" s="86"/>
      <c r="BG37" s="1291"/>
      <c r="BH37" s="1254"/>
      <c r="BI37" s="86"/>
      <c r="BJ37" s="86"/>
      <c r="BK37" s="86"/>
      <c r="BL37" s="86"/>
      <c r="BM37" s="86"/>
    </row>
    <row r="38" spans="1:65" ht="24.75" customHeight="1">
      <c r="A38" s="1290"/>
      <c r="B38" s="86" t="s">
        <v>5053</v>
      </c>
      <c r="C38" s="86"/>
      <c r="D38" s="86" t="s">
        <v>2361</v>
      </c>
      <c r="E38" s="86">
        <f t="shared" si="0"/>
        <v>41.1</v>
      </c>
      <c r="F38" s="86">
        <v>41.1</v>
      </c>
      <c r="G38" s="86"/>
      <c r="H38" s="86"/>
      <c r="I38" s="86"/>
      <c r="J38" s="86"/>
      <c r="K38" s="86"/>
      <c r="L38" s="86"/>
      <c r="M38" s="86"/>
      <c r="N38" s="86"/>
      <c r="O38" s="86"/>
      <c r="P38" s="86">
        <v>1</v>
      </c>
      <c r="Q38" s="86"/>
      <c r="R38" s="86"/>
      <c r="S38" s="86"/>
      <c r="T38" s="86"/>
      <c r="U38" s="86"/>
      <c r="V38" s="86"/>
      <c r="W38" s="86"/>
      <c r="X38" s="86"/>
      <c r="Y38" s="86"/>
      <c r="Z38" s="86"/>
      <c r="AA38" s="86"/>
      <c r="AB38" s="86"/>
      <c r="AC38" s="86"/>
      <c r="AD38" s="86">
        <v>8</v>
      </c>
      <c r="AE38" s="86"/>
      <c r="AF38" s="86"/>
      <c r="AG38" s="86"/>
      <c r="AH38" s="86"/>
      <c r="AI38" s="86"/>
      <c r="AJ38" s="86"/>
      <c r="AK38" s="86"/>
      <c r="AL38" s="86"/>
      <c r="AM38" s="1254"/>
      <c r="AN38" s="86"/>
      <c r="AO38" s="86">
        <f t="shared" si="1"/>
        <v>8</v>
      </c>
      <c r="AP38" s="86">
        <v>8</v>
      </c>
      <c r="AQ38" s="86"/>
      <c r="AR38" s="86"/>
      <c r="AS38" s="86"/>
      <c r="AT38" s="86">
        <v>3</v>
      </c>
      <c r="AU38" s="86">
        <v>1</v>
      </c>
      <c r="AV38" s="86"/>
      <c r="AW38" s="86">
        <v>2</v>
      </c>
      <c r="AX38" s="86"/>
      <c r="AY38" s="86"/>
      <c r="AZ38" s="86"/>
      <c r="BA38" s="86"/>
      <c r="BB38" s="86"/>
      <c r="BC38" s="86"/>
      <c r="BD38" s="86"/>
      <c r="BE38" s="86"/>
      <c r="BF38" s="86"/>
      <c r="BG38" s="1291">
        <v>3</v>
      </c>
      <c r="BH38" s="1254">
        <v>4</v>
      </c>
      <c r="BI38" s="86"/>
      <c r="BJ38" s="86"/>
      <c r="BK38" s="86"/>
      <c r="BL38" s="86"/>
      <c r="BM38" s="86"/>
    </row>
    <row r="39" spans="1:65" ht="24.75" customHeight="1">
      <c r="A39" s="1290" t="s">
        <v>4887</v>
      </c>
      <c r="B39" s="86"/>
      <c r="C39" s="86" t="s">
        <v>2361</v>
      </c>
      <c r="D39" s="86"/>
      <c r="E39" s="86">
        <f t="shared" si="0"/>
        <v>44.5</v>
      </c>
      <c r="F39" s="86">
        <v>44.5</v>
      </c>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1254"/>
      <c r="AN39" s="86"/>
      <c r="AO39" s="86">
        <f t="shared" si="1"/>
        <v>0</v>
      </c>
      <c r="AP39" s="86"/>
      <c r="AQ39" s="86"/>
      <c r="AR39" s="86"/>
      <c r="AS39" s="86"/>
      <c r="AT39" s="86"/>
      <c r="AU39" s="86"/>
      <c r="AV39" s="86"/>
      <c r="AW39" s="86"/>
      <c r="AX39" s="86"/>
      <c r="AY39" s="86"/>
      <c r="AZ39" s="86"/>
      <c r="BA39" s="86"/>
      <c r="BB39" s="86"/>
      <c r="BC39" s="86"/>
      <c r="BD39" s="86"/>
      <c r="BE39" s="86"/>
      <c r="BF39" s="86"/>
      <c r="BG39" s="1291"/>
      <c r="BH39" s="1254"/>
      <c r="BI39" s="86"/>
      <c r="BJ39" s="86"/>
      <c r="BK39" s="86"/>
      <c r="BL39" s="86"/>
      <c r="BM39" s="86"/>
    </row>
    <row r="40" spans="1:65" ht="24.75" customHeight="1">
      <c r="A40" s="1290"/>
      <c r="B40" s="86" t="s">
        <v>5054</v>
      </c>
      <c r="C40" s="86"/>
      <c r="D40" s="86" t="s">
        <v>2361</v>
      </c>
      <c r="E40" s="86">
        <f t="shared" si="0"/>
        <v>43.3</v>
      </c>
      <c r="F40" s="86">
        <v>43.3</v>
      </c>
      <c r="G40" s="86"/>
      <c r="H40" s="86"/>
      <c r="I40" s="86"/>
      <c r="J40" s="86"/>
      <c r="K40" s="86"/>
      <c r="L40" s="86"/>
      <c r="M40" s="86"/>
      <c r="N40" s="86"/>
      <c r="O40" s="86"/>
      <c r="P40" s="86">
        <v>1</v>
      </c>
      <c r="Q40" s="86"/>
      <c r="R40" s="86"/>
      <c r="S40" s="86"/>
      <c r="T40" s="86"/>
      <c r="U40" s="86"/>
      <c r="V40" s="86"/>
      <c r="W40" s="86"/>
      <c r="X40" s="86"/>
      <c r="Y40" s="86"/>
      <c r="Z40" s="86"/>
      <c r="AA40" s="86"/>
      <c r="AB40" s="86"/>
      <c r="AC40" s="86"/>
      <c r="AD40" s="86">
        <v>8</v>
      </c>
      <c r="AE40" s="86"/>
      <c r="AF40" s="86"/>
      <c r="AG40" s="86"/>
      <c r="AH40" s="86"/>
      <c r="AI40" s="86"/>
      <c r="AJ40" s="86"/>
      <c r="AK40" s="86"/>
      <c r="AL40" s="86"/>
      <c r="AM40" s="1254"/>
      <c r="AN40" s="86"/>
      <c r="AO40" s="86">
        <f t="shared" si="1"/>
        <v>8</v>
      </c>
      <c r="AP40" s="86">
        <v>10</v>
      </c>
      <c r="AQ40" s="86"/>
      <c r="AR40" s="86"/>
      <c r="AS40" s="86"/>
      <c r="AT40" s="86">
        <v>3</v>
      </c>
      <c r="AU40" s="86">
        <v>1</v>
      </c>
      <c r="AV40" s="86"/>
      <c r="AW40" s="86">
        <v>2</v>
      </c>
      <c r="AX40" s="86"/>
      <c r="AY40" s="86"/>
      <c r="AZ40" s="86"/>
      <c r="BA40" s="86"/>
      <c r="BB40" s="86"/>
      <c r="BC40" s="86"/>
      <c r="BD40" s="86"/>
      <c r="BE40" s="86"/>
      <c r="BF40" s="86"/>
      <c r="BG40" s="1291">
        <v>3</v>
      </c>
      <c r="BH40" s="1254">
        <v>4</v>
      </c>
      <c r="BI40" s="86"/>
      <c r="BJ40" s="86"/>
      <c r="BK40" s="86"/>
      <c r="BL40" s="86"/>
      <c r="BM40" s="86"/>
    </row>
    <row r="41" spans="1:65" ht="24.75" customHeight="1">
      <c r="A41" s="1290" t="s">
        <v>5021</v>
      </c>
      <c r="B41" s="86"/>
      <c r="C41" s="86" t="s">
        <v>2361</v>
      </c>
      <c r="D41" s="86"/>
      <c r="E41" s="86">
        <f t="shared" si="0"/>
        <v>36.700000000000003</v>
      </c>
      <c r="F41" s="86">
        <v>36.700000000000003</v>
      </c>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1254"/>
      <c r="AN41" s="86"/>
      <c r="AO41" s="86">
        <f t="shared" si="1"/>
        <v>0</v>
      </c>
      <c r="AP41" s="86"/>
      <c r="AQ41" s="86"/>
      <c r="AR41" s="86"/>
      <c r="AS41" s="86"/>
      <c r="AT41" s="86"/>
      <c r="AU41" s="86"/>
      <c r="AV41" s="86"/>
      <c r="AW41" s="86"/>
      <c r="AX41" s="86"/>
      <c r="AY41" s="86"/>
      <c r="AZ41" s="86"/>
      <c r="BA41" s="86"/>
      <c r="BB41" s="86"/>
      <c r="BC41" s="86"/>
      <c r="BD41" s="86"/>
      <c r="BE41" s="86"/>
      <c r="BF41" s="86"/>
      <c r="BG41" s="1291"/>
      <c r="BH41" s="1254"/>
      <c r="BI41" s="86"/>
      <c r="BJ41" s="86"/>
      <c r="BK41" s="86"/>
      <c r="BL41" s="86"/>
      <c r="BM41" s="86"/>
    </row>
    <row r="42" spans="1:65" ht="24.75" customHeight="1">
      <c r="A42" s="1290"/>
      <c r="B42" s="86" t="s">
        <v>5055</v>
      </c>
      <c r="C42" s="86"/>
      <c r="D42" s="86" t="s">
        <v>2361</v>
      </c>
      <c r="E42" s="86">
        <f t="shared" si="0"/>
        <v>39.1</v>
      </c>
      <c r="F42" s="86">
        <v>39.1</v>
      </c>
      <c r="G42" s="86"/>
      <c r="H42" s="86"/>
      <c r="I42" s="86"/>
      <c r="J42" s="86"/>
      <c r="K42" s="86"/>
      <c r="L42" s="86"/>
      <c r="M42" s="86"/>
      <c r="N42" s="86"/>
      <c r="O42" s="86"/>
      <c r="P42" s="86">
        <v>1</v>
      </c>
      <c r="Q42" s="86"/>
      <c r="R42" s="86"/>
      <c r="S42" s="86"/>
      <c r="T42" s="86"/>
      <c r="U42" s="86"/>
      <c r="V42" s="86"/>
      <c r="W42" s="86"/>
      <c r="X42" s="86"/>
      <c r="Y42" s="86"/>
      <c r="Z42" s="86"/>
      <c r="AA42" s="86"/>
      <c r="AB42" s="86"/>
      <c r="AC42" s="86"/>
      <c r="AD42" s="86">
        <v>8</v>
      </c>
      <c r="AE42" s="86"/>
      <c r="AF42" s="86"/>
      <c r="AG42" s="86"/>
      <c r="AH42" s="86"/>
      <c r="AI42" s="86"/>
      <c r="AJ42" s="86"/>
      <c r="AK42" s="86"/>
      <c r="AL42" s="86"/>
      <c r="AM42" s="1254"/>
      <c r="AN42" s="86"/>
      <c r="AO42" s="86">
        <f t="shared" si="1"/>
        <v>8</v>
      </c>
      <c r="AP42" s="86">
        <v>10</v>
      </c>
      <c r="AQ42" s="86"/>
      <c r="AR42" s="86"/>
      <c r="AS42" s="86"/>
      <c r="AT42" s="86">
        <v>3</v>
      </c>
      <c r="AU42" s="86">
        <v>1</v>
      </c>
      <c r="AV42" s="86"/>
      <c r="AW42" s="86">
        <v>2</v>
      </c>
      <c r="AX42" s="86"/>
      <c r="AY42" s="86"/>
      <c r="AZ42" s="86"/>
      <c r="BA42" s="86"/>
      <c r="BB42" s="86"/>
      <c r="BC42" s="86"/>
      <c r="BD42" s="86"/>
      <c r="BE42" s="86"/>
      <c r="BF42" s="86"/>
      <c r="BG42" s="1291">
        <v>3</v>
      </c>
      <c r="BH42" s="1254">
        <v>4</v>
      </c>
      <c r="BI42" s="86"/>
      <c r="BJ42" s="86"/>
      <c r="BK42" s="86"/>
      <c r="BL42" s="86"/>
      <c r="BM42" s="86"/>
    </row>
    <row r="43" spans="1:65" ht="24.75" customHeight="1">
      <c r="A43" s="1290" t="s">
        <v>4888</v>
      </c>
      <c r="B43" s="86"/>
      <c r="C43" s="86" t="s">
        <v>2361</v>
      </c>
      <c r="D43" s="86"/>
      <c r="E43" s="86">
        <f t="shared" si="0"/>
        <v>42.2</v>
      </c>
      <c r="F43" s="86">
        <v>42.2</v>
      </c>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1254"/>
      <c r="AN43" s="86"/>
      <c r="AO43" s="86">
        <f t="shared" si="1"/>
        <v>0</v>
      </c>
      <c r="AP43" s="86"/>
      <c r="AQ43" s="86"/>
      <c r="AR43" s="86"/>
      <c r="AS43" s="86"/>
      <c r="AT43" s="86"/>
      <c r="AU43" s="86"/>
      <c r="AV43" s="86"/>
      <c r="AW43" s="86"/>
      <c r="AX43" s="86"/>
      <c r="AY43" s="86"/>
      <c r="AZ43" s="86"/>
      <c r="BA43" s="86"/>
      <c r="BB43" s="86"/>
      <c r="BC43" s="86"/>
      <c r="BD43" s="86"/>
      <c r="BE43" s="86"/>
      <c r="BF43" s="86"/>
      <c r="BG43" s="1291"/>
      <c r="BH43" s="1254"/>
      <c r="BI43" s="86"/>
      <c r="BJ43" s="86"/>
      <c r="BK43" s="86"/>
      <c r="BL43" s="86"/>
      <c r="BM43" s="86"/>
    </row>
    <row r="44" spans="1:65" ht="24.75" customHeight="1">
      <c r="A44" s="1290"/>
      <c r="B44" s="86" t="s">
        <v>5056</v>
      </c>
      <c r="C44" s="86"/>
      <c r="D44" s="86" t="s">
        <v>2361</v>
      </c>
      <c r="E44" s="86">
        <f t="shared" si="0"/>
        <v>39</v>
      </c>
      <c r="F44" s="86">
        <v>39</v>
      </c>
      <c r="G44" s="86"/>
      <c r="H44" s="86"/>
      <c r="I44" s="86"/>
      <c r="J44" s="86"/>
      <c r="K44" s="86"/>
      <c r="L44" s="86"/>
      <c r="M44" s="86"/>
      <c r="N44" s="86"/>
      <c r="O44" s="86"/>
      <c r="P44" s="86">
        <v>1</v>
      </c>
      <c r="Q44" s="86"/>
      <c r="R44" s="86"/>
      <c r="S44" s="86"/>
      <c r="T44" s="86"/>
      <c r="U44" s="86"/>
      <c r="V44" s="86"/>
      <c r="W44" s="86"/>
      <c r="X44" s="86"/>
      <c r="Y44" s="86"/>
      <c r="Z44" s="86"/>
      <c r="AA44" s="86"/>
      <c r="AB44" s="86"/>
      <c r="AC44" s="86"/>
      <c r="AD44" s="86">
        <v>8</v>
      </c>
      <c r="AE44" s="86"/>
      <c r="AF44" s="86"/>
      <c r="AG44" s="86"/>
      <c r="AH44" s="86"/>
      <c r="AI44" s="86"/>
      <c r="AJ44" s="86"/>
      <c r="AK44" s="86"/>
      <c r="AL44" s="86"/>
      <c r="AM44" s="1254"/>
      <c r="AN44" s="86"/>
      <c r="AO44" s="86">
        <f t="shared" si="1"/>
        <v>8</v>
      </c>
      <c r="AP44" s="86">
        <v>7</v>
      </c>
      <c r="AQ44" s="86"/>
      <c r="AR44" s="86"/>
      <c r="AS44" s="86"/>
      <c r="AT44" s="86">
        <v>5</v>
      </c>
      <c r="AU44" s="86">
        <v>1</v>
      </c>
      <c r="AV44" s="86"/>
      <c r="AW44" s="86">
        <v>2</v>
      </c>
      <c r="AX44" s="86"/>
      <c r="AY44" s="86"/>
      <c r="AZ44" s="86"/>
      <c r="BA44" s="86"/>
      <c r="BB44" s="86"/>
      <c r="BC44" s="86"/>
      <c r="BD44" s="86"/>
      <c r="BE44" s="86"/>
      <c r="BF44" s="86"/>
      <c r="BG44" s="1291">
        <v>5</v>
      </c>
      <c r="BH44" s="1254">
        <v>4</v>
      </c>
      <c r="BI44" s="86"/>
      <c r="BJ44" s="86"/>
      <c r="BK44" s="86"/>
      <c r="BL44" s="86"/>
      <c r="BM44" s="86"/>
    </row>
    <row r="45" spans="1:65" ht="24.75" customHeight="1">
      <c r="A45" s="1290" t="s">
        <v>5022</v>
      </c>
      <c r="B45" s="86"/>
      <c r="C45" s="86" t="s">
        <v>2361</v>
      </c>
      <c r="D45" s="86"/>
      <c r="E45" s="86">
        <f t="shared" si="0"/>
        <v>45.1</v>
      </c>
      <c r="F45" s="86">
        <v>45.1</v>
      </c>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1254"/>
      <c r="AN45" s="86"/>
      <c r="AO45" s="86">
        <f t="shared" si="1"/>
        <v>0</v>
      </c>
      <c r="AP45" s="86"/>
      <c r="AQ45" s="86"/>
      <c r="AR45" s="86"/>
      <c r="AS45" s="86"/>
      <c r="AT45" s="86"/>
      <c r="AU45" s="86"/>
      <c r="AV45" s="86"/>
      <c r="AW45" s="86"/>
      <c r="AX45" s="86"/>
      <c r="AY45" s="86"/>
      <c r="AZ45" s="86"/>
      <c r="BA45" s="86"/>
      <c r="BB45" s="86"/>
      <c r="BC45" s="86"/>
      <c r="BD45" s="86"/>
      <c r="BE45" s="86"/>
      <c r="BF45" s="86"/>
      <c r="BG45" s="1291"/>
      <c r="BH45" s="1254"/>
      <c r="BI45" s="86"/>
      <c r="BJ45" s="86"/>
      <c r="BK45" s="86"/>
      <c r="BL45" s="86"/>
      <c r="BM45" s="86"/>
    </row>
    <row r="46" spans="1:65" ht="24.75" customHeight="1">
      <c r="A46" s="1290"/>
      <c r="B46" s="86" t="s">
        <v>5057</v>
      </c>
      <c r="C46" s="86"/>
      <c r="D46" s="86" t="s">
        <v>2361</v>
      </c>
      <c r="E46" s="86">
        <f t="shared" si="0"/>
        <v>38.4</v>
      </c>
      <c r="F46" s="86">
        <v>38.4</v>
      </c>
      <c r="G46" s="86"/>
      <c r="H46" s="86"/>
      <c r="I46" s="86"/>
      <c r="J46" s="86"/>
      <c r="K46" s="86"/>
      <c r="L46" s="86"/>
      <c r="M46" s="86"/>
      <c r="N46" s="86"/>
      <c r="O46" s="86"/>
      <c r="P46" s="86">
        <v>1</v>
      </c>
      <c r="Q46" s="86"/>
      <c r="R46" s="86"/>
      <c r="S46" s="86"/>
      <c r="T46" s="86"/>
      <c r="U46" s="86"/>
      <c r="V46" s="86"/>
      <c r="W46" s="86"/>
      <c r="X46" s="86"/>
      <c r="Y46" s="86"/>
      <c r="Z46" s="86"/>
      <c r="AA46" s="86"/>
      <c r="AB46" s="86"/>
      <c r="AC46" s="86"/>
      <c r="AD46" s="86">
        <v>8</v>
      </c>
      <c r="AE46" s="86"/>
      <c r="AF46" s="86"/>
      <c r="AG46" s="86"/>
      <c r="AH46" s="86"/>
      <c r="AI46" s="86"/>
      <c r="AJ46" s="86"/>
      <c r="AK46" s="86"/>
      <c r="AL46" s="86"/>
      <c r="AM46" s="1254"/>
      <c r="AN46" s="86"/>
      <c r="AO46" s="86">
        <f t="shared" si="1"/>
        <v>8</v>
      </c>
      <c r="AP46" s="86">
        <v>10</v>
      </c>
      <c r="AQ46" s="86"/>
      <c r="AR46" s="86"/>
      <c r="AS46" s="86"/>
      <c r="AT46" s="86">
        <v>7</v>
      </c>
      <c r="AU46" s="86">
        <v>1</v>
      </c>
      <c r="AV46" s="86"/>
      <c r="AW46" s="86">
        <v>2</v>
      </c>
      <c r="AX46" s="86"/>
      <c r="AY46" s="86"/>
      <c r="AZ46" s="86"/>
      <c r="BA46" s="86"/>
      <c r="BB46" s="86"/>
      <c r="BC46" s="86"/>
      <c r="BD46" s="86"/>
      <c r="BE46" s="86"/>
      <c r="BF46" s="86"/>
      <c r="BG46" s="1291">
        <v>7</v>
      </c>
      <c r="BH46" s="1254">
        <v>2</v>
      </c>
      <c r="BI46" s="86"/>
      <c r="BJ46" s="86"/>
      <c r="BK46" s="86"/>
      <c r="BL46" s="86"/>
      <c r="BM46" s="86"/>
    </row>
    <row r="47" spans="1:65" ht="24.75" customHeight="1">
      <c r="A47" s="1290" t="s">
        <v>4889</v>
      </c>
      <c r="B47" s="86"/>
      <c r="C47" s="86" t="s">
        <v>2361</v>
      </c>
      <c r="D47" s="86"/>
      <c r="E47" s="86">
        <f t="shared" si="0"/>
        <v>29.3</v>
      </c>
      <c r="F47" s="86">
        <v>29.3</v>
      </c>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1254"/>
      <c r="AN47" s="86"/>
      <c r="AO47" s="86">
        <f t="shared" si="1"/>
        <v>0</v>
      </c>
      <c r="AP47" s="86"/>
      <c r="AQ47" s="86"/>
      <c r="AR47" s="86"/>
      <c r="AS47" s="86"/>
      <c r="AT47" s="86"/>
      <c r="AU47" s="86"/>
      <c r="AV47" s="86"/>
      <c r="AW47" s="86"/>
      <c r="AX47" s="86"/>
      <c r="AY47" s="86"/>
      <c r="AZ47" s="86"/>
      <c r="BA47" s="86"/>
      <c r="BB47" s="86"/>
      <c r="BC47" s="86"/>
      <c r="BD47" s="86"/>
      <c r="BE47" s="86"/>
      <c r="BF47" s="86"/>
      <c r="BG47" s="1291"/>
      <c r="BH47" s="1254"/>
      <c r="BI47" s="86"/>
      <c r="BJ47" s="86"/>
      <c r="BK47" s="86"/>
      <c r="BL47" s="86"/>
      <c r="BM47" s="86"/>
    </row>
    <row r="48" spans="1:65" ht="24.75" customHeight="1">
      <c r="A48" s="1290" t="s">
        <v>5023</v>
      </c>
      <c r="B48" s="86"/>
      <c r="C48" s="86" t="s">
        <v>2361</v>
      </c>
      <c r="D48" s="86"/>
      <c r="E48" s="86">
        <f t="shared" si="0"/>
        <v>42.9</v>
      </c>
      <c r="F48" s="86">
        <v>42.9</v>
      </c>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1254"/>
      <c r="AN48" s="86"/>
      <c r="AO48" s="86">
        <f t="shared" si="1"/>
        <v>0</v>
      </c>
      <c r="AP48" s="86"/>
      <c r="AQ48" s="86"/>
      <c r="AR48" s="86"/>
      <c r="AS48" s="86"/>
      <c r="AT48" s="86"/>
      <c r="AU48" s="86"/>
      <c r="AV48" s="86"/>
      <c r="AW48" s="86"/>
      <c r="AX48" s="86"/>
      <c r="AY48" s="86"/>
      <c r="AZ48" s="86"/>
      <c r="BA48" s="86"/>
      <c r="BB48" s="86"/>
      <c r="BC48" s="86"/>
      <c r="BD48" s="86"/>
      <c r="BE48" s="86"/>
      <c r="BF48" s="86"/>
      <c r="BG48" s="1291"/>
      <c r="BH48" s="1254"/>
      <c r="BI48" s="86"/>
      <c r="BJ48" s="86"/>
      <c r="BK48" s="86"/>
      <c r="BL48" s="86"/>
      <c r="BM48" s="86"/>
    </row>
    <row r="49" spans="1:65" ht="24.75" customHeight="1">
      <c r="A49" s="1290" t="s">
        <v>4890</v>
      </c>
      <c r="B49" s="86"/>
      <c r="C49" s="86" t="s">
        <v>2361</v>
      </c>
      <c r="D49" s="86"/>
      <c r="E49" s="86">
        <f t="shared" si="0"/>
        <v>38.9</v>
      </c>
      <c r="F49" s="86">
        <v>38.9</v>
      </c>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1254"/>
      <c r="AN49" s="86"/>
      <c r="AO49" s="86">
        <f t="shared" si="1"/>
        <v>0</v>
      </c>
      <c r="AP49" s="86"/>
      <c r="AQ49" s="86"/>
      <c r="AR49" s="86"/>
      <c r="AS49" s="86"/>
      <c r="AT49" s="86"/>
      <c r="AU49" s="86"/>
      <c r="AV49" s="86"/>
      <c r="AW49" s="86"/>
      <c r="AX49" s="86"/>
      <c r="AY49" s="86"/>
      <c r="AZ49" s="86"/>
      <c r="BA49" s="86"/>
      <c r="BB49" s="86"/>
      <c r="BC49" s="86"/>
      <c r="BD49" s="86"/>
      <c r="BE49" s="86"/>
      <c r="BF49" s="86"/>
      <c r="BG49" s="1291"/>
      <c r="BH49" s="1254"/>
      <c r="BI49" s="86"/>
      <c r="BJ49" s="86"/>
      <c r="BK49" s="86"/>
      <c r="BL49" s="86"/>
      <c r="BM49" s="86"/>
    </row>
    <row r="50" spans="1:65" ht="24.75" customHeight="1">
      <c r="A50" s="1290" t="s">
        <v>5024</v>
      </c>
      <c r="B50" s="86"/>
      <c r="C50" s="86" t="s">
        <v>2361</v>
      </c>
      <c r="D50" s="86"/>
      <c r="E50" s="86">
        <f t="shared" si="0"/>
        <v>42.3</v>
      </c>
      <c r="F50" s="86">
        <v>42.3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1254"/>
      <c r="AN50" s="86"/>
      <c r="AO50" s="86">
        <f t="shared" si="1"/>
        <v>0</v>
      </c>
      <c r="AP50" s="86"/>
      <c r="AQ50" s="86"/>
      <c r="AR50" s="86"/>
      <c r="AS50" s="86"/>
      <c r="AT50" s="86"/>
      <c r="AU50" s="86"/>
      <c r="AV50" s="86"/>
      <c r="AW50" s="86"/>
      <c r="AX50" s="86"/>
      <c r="AY50" s="86"/>
      <c r="AZ50" s="86"/>
      <c r="BA50" s="86"/>
      <c r="BB50" s="86"/>
      <c r="BC50" s="86"/>
      <c r="BD50" s="86"/>
      <c r="BE50" s="86"/>
      <c r="BF50" s="86"/>
      <c r="BG50" s="1291"/>
      <c r="BH50" s="1254"/>
      <c r="BI50" s="86"/>
      <c r="BJ50" s="86"/>
      <c r="BK50" s="86"/>
      <c r="BL50" s="86"/>
      <c r="BM50" s="86"/>
    </row>
    <row r="51" spans="1:65" ht="24.75" customHeight="1">
      <c r="A51" s="1290" t="s">
        <v>4891</v>
      </c>
      <c r="B51" s="86"/>
      <c r="C51" s="86" t="s">
        <v>2361</v>
      </c>
      <c r="D51" s="86"/>
      <c r="E51" s="86">
        <f t="shared" si="0"/>
        <v>46.6</v>
      </c>
      <c r="F51" s="86">
        <v>46.6</v>
      </c>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1254"/>
      <c r="AN51" s="86"/>
      <c r="AO51" s="86">
        <f t="shared" si="1"/>
        <v>0</v>
      </c>
      <c r="AP51" s="86"/>
      <c r="AQ51" s="86"/>
      <c r="AR51" s="86"/>
      <c r="AS51" s="86"/>
      <c r="AT51" s="86"/>
      <c r="AU51" s="86"/>
      <c r="AV51" s="86"/>
      <c r="AW51" s="86"/>
      <c r="AX51" s="86"/>
      <c r="AY51" s="86"/>
      <c r="AZ51" s="86"/>
      <c r="BA51" s="86"/>
      <c r="BB51" s="86"/>
      <c r="BC51" s="86"/>
      <c r="BD51" s="86"/>
      <c r="BE51" s="86"/>
      <c r="BF51" s="86"/>
      <c r="BG51" s="1291"/>
      <c r="BH51" s="1254"/>
      <c r="BI51" s="86"/>
      <c r="BJ51" s="86"/>
      <c r="BK51" s="86"/>
      <c r="BL51" s="86"/>
      <c r="BM51" s="86"/>
    </row>
    <row r="52" spans="1:65" ht="24.75" customHeight="1">
      <c r="A52" s="1290" t="s">
        <v>5025</v>
      </c>
      <c r="B52" s="86"/>
      <c r="C52" s="86" t="s">
        <v>2361</v>
      </c>
      <c r="D52" s="86"/>
      <c r="E52" s="86">
        <f t="shared" si="0"/>
        <v>39.4</v>
      </c>
      <c r="F52" s="86">
        <v>39.4</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1254"/>
      <c r="AN52" s="86"/>
      <c r="AO52" s="86">
        <f t="shared" si="1"/>
        <v>0</v>
      </c>
      <c r="AP52" s="86"/>
      <c r="AQ52" s="86"/>
      <c r="AR52" s="86"/>
      <c r="AS52" s="86"/>
      <c r="AT52" s="86"/>
      <c r="AU52" s="86"/>
      <c r="AV52" s="86"/>
      <c r="AW52" s="86"/>
      <c r="AX52" s="86"/>
      <c r="AY52" s="86"/>
      <c r="AZ52" s="86"/>
      <c r="BA52" s="86"/>
      <c r="BB52" s="86"/>
      <c r="BC52" s="86"/>
      <c r="BD52" s="86"/>
      <c r="BE52" s="86"/>
      <c r="BF52" s="86"/>
      <c r="BG52" s="1291"/>
      <c r="BH52" s="1254"/>
      <c r="BI52" s="86"/>
      <c r="BJ52" s="86"/>
      <c r="BK52" s="86"/>
      <c r="BL52" s="86"/>
      <c r="BM52" s="86"/>
    </row>
    <row r="53" spans="1:65" ht="24.75" customHeight="1">
      <c r="A53" s="1290" t="s">
        <v>4892</v>
      </c>
      <c r="B53" s="86"/>
      <c r="C53" s="86" t="s">
        <v>2361</v>
      </c>
      <c r="D53" s="86"/>
      <c r="E53" s="86">
        <f t="shared" si="0"/>
        <v>45.2</v>
      </c>
      <c r="F53" s="86">
        <v>45.2</v>
      </c>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1254"/>
      <c r="AN53" s="86"/>
      <c r="AO53" s="86">
        <f t="shared" si="1"/>
        <v>0</v>
      </c>
      <c r="AP53" s="86"/>
      <c r="AQ53" s="86"/>
      <c r="AR53" s="86"/>
      <c r="AS53" s="86"/>
      <c r="AT53" s="86"/>
      <c r="AU53" s="86"/>
      <c r="AV53" s="86"/>
      <c r="AW53" s="86"/>
      <c r="AX53" s="86"/>
      <c r="AY53" s="86"/>
      <c r="AZ53" s="86"/>
      <c r="BA53" s="86"/>
      <c r="BB53" s="86"/>
      <c r="BC53" s="86"/>
      <c r="BD53" s="86"/>
      <c r="BE53" s="86"/>
      <c r="BF53" s="86"/>
      <c r="BG53" s="1291"/>
      <c r="BH53" s="1254"/>
      <c r="BI53" s="86"/>
      <c r="BJ53" s="86"/>
      <c r="BK53" s="86"/>
      <c r="BL53" s="86"/>
      <c r="BM53" s="86"/>
    </row>
    <row r="54" spans="1:65" ht="24.75" customHeight="1">
      <c r="A54" s="1290" t="s">
        <v>5026</v>
      </c>
      <c r="B54" s="86"/>
      <c r="C54" s="86" t="s">
        <v>2361</v>
      </c>
      <c r="D54" s="86"/>
      <c r="E54" s="86">
        <f t="shared" si="0"/>
        <v>36.1</v>
      </c>
      <c r="F54" s="86">
        <v>36.1</v>
      </c>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1254"/>
      <c r="AN54" s="86"/>
      <c r="AO54" s="86">
        <f t="shared" si="1"/>
        <v>0</v>
      </c>
      <c r="AP54" s="86"/>
      <c r="AQ54" s="86"/>
      <c r="AR54" s="86"/>
      <c r="AS54" s="86"/>
      <c r="AT54" s="86"/>
      <c r="AU54" s="86"/>
      <c r="AV54" s="86"/>
      <c r="AW54" s="86"/>
      <c r="AX54" s="86"/>
      <c r="AY54" s="86"/>
      <c r="AZ54" s="86"/>
      <c r="BA54" s="86"/>
      <c r="BB54" s="86"/>
      <c r="BC54" s="86"/>
      <c r="BD54" s="86"/>
      <c r="BE54" s="86"/>
      <c r="BF54" s="86"/>
      <c r="BG54" s="1291"/>
      <c r="BH54" s="1254"/>
      <c r="BI54" s="86"/>
      <c r="BJ54" s="86"/>
      <c r="BK54" s="86"/>
      <c r="BL54" s="86"/>
      <c r="BM54" s="86"/>
    </row>
    <row r="55" spans="1:65" ht="24.75" customHeight="1">
      <c r="A55" s="1290" t="s">
        <v>4893</v>
      </c>
      <c r="B55" s="86"/>
      <c r="C55" s="86" t="s">
        <v>2361</v>
      </c>
      <c r="D55" s="86"/>
      <c r="E55" s="86">
        <f t="shared" si="0"/>
        <v>46.5</v>
      </c>
      <c r="F55" s="86">
        <v>46.5</v>
      </c>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1254"/>
      <c r="AN55" s="86"/>
      <c r="AO55" s="86">
        <f t="shared" si="1"/>
        <v>0</v>
      </c>
      <c r="AP55" s="86"/>
      <c r="AQ55" s="86"/>
      <c r="AR55" s="86"/>
      <c r="AS55" s="86"/>
      <c r="AT55" s="86"/>
      <c r="AU55" s="86"/>
      <c r="AV55" s="86"/>
      <c r="AW55" s="86"/>
      <c r="AX55" s="86"/>
      <c r="AY55" s="86"/>
      <c r="AZ55" s="86"/>
      <c r="BA55" s="86"/>
      <c r="BB55" s="86"/>
      <c r="BC55" s="86"/>
      <c r="BD55" s="86"/>
      <c r="BE55" s="86"/>
      <c r="BF55" s="86"/>
      <c r="BG55" s="1291"/>
      <c r="BH55" s="1254"/>
      <c r="BI55" s="86"/>
      <c r="BJ55" s="86"/>
      <c r="BK55" s="86"/>
      <c r="BL55" s="86"/>
      <c r="BM55" s="86"/>
    </row>
    <row r="56" spans="1:65" ht="24.75" customHeight="1">
      <c r="A56" s="1290" t="s">
        <v>5027</v>
      </c>
      <c r="B56" s="86"/>
      <c r="C56" s="86" t="s">
        <v>2361</v>
      </c>
      <c r="D56" s="86"/>
      <c r="E56" s="86">
        <f t="shared" si="0"/>
        <v>35.299999999999997</v>
      </c>
      <c r="F56" s="86">
        <v>35.299999999999997</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1254"/>
      <c r="AN56" s="86"/>
      <c r="AO56" s="86">
        <f t="shared" si="1"/>
        <v>0</v>
      </c>
      <c r="AP56" s="86"/>
      <c r="AQ56" s="86"/>
      <c r="AR56" s="86"/>
      <c r="AS56" s="86"/>
      <c r="AT56" s="86"/>
      <c r="AU56" s="86"/>
      <c r="AV56" s="86"/>
      <c r="AW56" s="86"/>
      <c r="AX56" s="86"/>
      <c r="AY56" s="86"/>
      <c r="AZ56" s="86"/>
      <c r="BA56" s="86"/>
      <c r="BB56" s="86"/>
      <c r="BC56" s="86"/>
      <c r="BD56" s="86"/>
      <c r="BE56" s="86"/>
      <c r="BF56" s="86"/>
      <c r="BG56" s="1291"/>
      <c r="BH56" s="1254"/>
      <c r="BI56" s="86"/>
      <c r="BJ56" s="86"/>
      <c r="BK56" s="86"/>
      <c r="BL56" s="86"/>
      <c r="BM56" s="86"/>
    </row>
    <row r="57" spans="1:65" ht="24.75" customHeight="1">
      <c r="A57" s="1290" t="s">
        <v>4894</v>
      </c>
      <c r="B57" s="86"/>
      <c r="C57" s="86" t="s">
        <v>2361</v>
      </c>
      <c r="D57" s="86"/>
      <c r="E57" s="86">
        <f t="shared" si="0"/>
        <v>42.3</v>
      </c>
      <c r="F57" s="86">
        <v>42.3</v>
      </c>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1254"/>
      <c r="AN57" s="86"/>
      <c r="AO57" s="86">
        <f t="shared" si="1"/>
        <v>0</v>
      </c>
      <c r="AP57" s="86"/>
      <c r="AQ57" s="86"/>
      <c r="AR57" s="86"/>
      <c r="AS57" s="86"/>
      <c r="AT57" s="86"/>
      <c r="AU57" s="86"/>
      <c r="AV57" s="86"/>
      <c r="AW57" s="86"/>
      <c r="AX57" s="86"/>
      <c r="AY57" s="86"/>
      <c r="AZ57" s="86"/>
      <c r="BA57" s="86"/>
      <c r="BB57" s="86"/>
      <c r="BC57" s="86"/>
      <c r="BD57" s="86"/>
      <c r="BE57" s="86"/>
      <c r="BF57" s="86"/>
      <c r="BG57" s="1291"/>
      <c r="BH57" s="1254"/>
      <c r="BI57" s="86"/>
      <c r="BJ57" s="86"/>
      <c r="BK57" s="86"/>
      <c r="BL57" s="86"/>
      <c r="BM57" s="86"/>
    </row>
    <row r="58" spans="1:65" ht="24.75" customHeight="1">
      <c r="A58" s="1290" t="s">
        <v>5028</v>
      </c>
      <c r="B58" s="86"/>
      <c r="C58" s="86" t="s">
        <v>2633</v>
      </c>
      <c r="D58" s="86"/>
      <c r="E58" s="86">
        <f t="shared" si="0"/>
        <v>38.6</v>
      </c>
      <c r="F58" s="86">
        <v>38.6</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1254"/>
      <c r="AN58" s="86"/>
      <c r="AO58" s="86">
        <f t="shared" si="1"/>
        <v>0</v>
      </c>
      <c r="AP58" s="86"/>
      <c r="AQ58" s="86"/>
      <c r="AR58" s="86"/>
      <c r="AS58" s="86"/>
      <c r="AT58" s="86"/>
      <c r="AU58" s="86"/>
      <c r="AV58" s="86"/>
      <c r="AW58" s="86"/>
      <c r="AX58" s="86"/>
      <c r="AY58" s="86"/>
      <c r="AZ58" s="86"/>
      <c r="BA58" s="86"/>
      <c r="BB58" s="86"/>
      <c r="BC58" s="86"/>
      <c r="BD58" s="86"/>
      <c r="BE58" s="86"/>
      <c r="BF58" s="86"/>
      <c r="BG58" s="1291"/>
      <c r="BH58" s="1254"/>
      <c r="BI58" s="86"/>
      <c r="BJ58" s="86"/>
      <c r="BK58" s="86"/>
      <c r="BL58" s="86"/>
      <c r="BM58" s="86"/>
    </row>
    <row r="59" spans="1:65" ht="24.75" customHeight="1">
      <c r="A59" s="1290" t="s">
        <v>4895</v>
      </c>
      <c r="B59" s="86"/>
      <c r="C59" s="86" t="s">
        <v>2361</v>
      </c>
      <c r="D59" s="86"/>
      <c r="E59" s="86">
        <f t="shared" si="0"/>
        <v>38.700000000000003</v>
      </c>
      <c r="F59" s="86">
        <v>38.700000000000003</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1254"/>
      <c r="AN59" s="86"/>
      <c r="AO59" s="86">
        <f t="shared" si="1"/>
        <v>0</v>
      </c>
      <c r="AP59" s="86"/>
      <c r="AQ59" s="86"/>
      <c r="AR59" s="86"/>
      <c r="AS59" s="86"/>
      <c r="AT59" s="86"/>
      <c r="AU59" s="86"/>
      <c r="AV59" s="86"/>
      <c r="AW59" s="86"/>
      <c r="AX59" s="86"/>
      <c r="AY59" s="86"/>
      <c r="AZ59" s="86"/>
      <c r="BA59" s="86"/>
      <c r="BB59" s="86"/>
      <c r="BC59" s="86"/>
      <c r="BD59" s="86"/>
      <c r="BE59" s="86"/>
      <c r="BF59" s="86"/>
      <c r="BG59" s="1291"/>
      <c r="BH59" s="1254"/>
      <c r="BI59" s="86"/>
      <c r="BJ59" s="86"/>
      <c r="BK59" s="86"/>
      <c r="BL59" s="86"/>
      <c r="BM59" s="86"/>
    </row>
    <row r="60" spans="1:65" ht="24.75" customHeight="1">
      <c r="A60" s="1290" t="s">
        <v>5029</v>
      </c>
      <c r="B60" s="86"/>
      <c r="C60" s="86" t="s">
        <v>398</v>
      </c>
      <c r="D60" s="86"/>
      <c r="E60" s="86">
        <f t="shared" si="0"/>
        <v>48.3</v>
      </c>
      <c r="F60" s="86">
        <v>48.3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1254"/>
      <c r="AN60" s="86"/>
      <c r="AO60" s="86">
        <f t="shared" si="1"/>
        <v>0</v>
      </c>
      <c r="AP60" s="86"/>
      <c r="AQ60" s="86"/>
      <c r="AR60" s="86"/>
      <c r="AS60" s="86"/>
      <c r="AT60" s="86"/>
      <c r="AU60" s="86"/>
      <c r="AV60" s="86"/>
      <c r="AW60" s="86"/>
      <c r="AX60" s="86"/>
      <c r="AY60" s="86"/>
      <c r="AZ60" s="86"/>
      <c r="BA60" s="86"/>
      <c r="BB60" s="86"/>
      <c r="BC60" s="86"/>
      <c r="BD60" s="86"/>
      <c r="BE60" s="86"/>
      <c r="BF60" s="86"/>
      <c r="BG60" s="1291"/>
      <c r="BH60" s="1254"/>
      <c r="BI60" s="86"/>
      <c r="BJ60" s="86"/>
      <c r="BK60" s="86"/>
      <c r="BL60" s="86"/>
      <c r="BM60" s="86"/>
    </row>
    <row r="61" spans="1:65" ht="24.75" customHeight="1">
      <c r="A61" s="1290" t="s">
        <v>4896</v>
      </c>
      <c r="B61" s="86"/>
      <c r="C61" s="86" t="s">
        <v>2361</v>
      </c>
      <c r="D61" s="86"/>
      <c r="E61" s="86">
        <f t="shared" si="0"/>
        <v>35</v>
      </c>
      <c r="F61" s="86">
        <v>35</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1254"/>
      <c r="AN61" s="86"/>
      <c r="AO61" s="86">
        <f t="shared" si="1"/>
        <v>0</v>
      </c>
      <c r="AP61" s="86"/>
      <c r="AQ61" s="86"/>
      <c r="AR61" s="86"/>
      <c r="AS61" s="86"/>
      <c r="AT61" s="86"/>
      <c r="AU61" s="86"/>
      <c r="AV61" s="86"/>
      <c r="AW61" s="86"/>
      <c r="AX61" s="86"/>
      <c r="AY61" s="86"/>
      <c r="AZ61" s="86"/>
      <c r="BA61" s="86"/>
      <c r="BB61" s="86"/>
      <c r="BC61" s="86"/>
      <c r="BD61" s="86"/>
      <c r="BE61" s="86"/>
      <c r="BF61" s="86"/>
      <c r="BG61" s="1291"/>
      <c r="BH61" s="1254"/>
      <c r="BI61" s="86"/>
      <c r="BJ61" s="86"/>
      <c r="BK61" s="86"/>
      <c r="BL61" s="86"/>
      <c r="BM61" s="86"/>
    </row>
    <row r="62" spans="1:65" ht="24.75" customHeight="1">
      <c r="A62" s="1290" t="s">
        <v>5030</v>
      </c>
      <c r="B62" s="86"/>
      <c r="C62" s="86" t="s">
        <v>2361</v>
      </c>
      <c r="D62" s="86"/>
      <c r="E62" s="86">
        <f t="shared" si="0"/>
        <v>42.7</v>
      </c>
      <c r="F62" s="86">
        <v>42.7</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1254"/>
      <c r="AN62" s="86"/>
      <c r="AO62" s="86">
        <f t="shared" si="1"/>
        <v>0</v>
      </c>
      <c r="AP62" s="86"/>
      <c r="AQ62" s="86"/>
      <c r="AR62" s="86"/>
      <c r="AS62" s="86"/>
      <c r="AT62" s="86"/>
      <c r="AU62" s="86"/>
      <c r="AV62" s="86"/>
      <c r="AW62" s="86"/>
      <c r="AX62" s="86"/>
      <c r="AY62" s="86"/>
      <c r="AZ62" s="86"/>
      <c r="BA62" s="86"/>
      <c r="BB62" s="86"/>
      <c r="BC62" s="86"/>
      <c r="BD62" s="86"/>
      <c r="BE62" s="86"/>
      <c r="BF62" s="86"/>
      <c r="BG62" s="1291"/>
      <c r="BH62" s="1254"/>
      <c r="BI62" s="86"/>
      <c r="BJ62" s="86"/>
      <c r="BK62" s="86"/>
      <c r="BL62" s="86"/>
      <c r="BM62" s="86"/>
    </row>
    <row r="63" spans="1:65" ht="24.75" customHeight="1">
      <c r="A63" s="1290" t="s">
        <v>4897</v>
      </c>
      <c r="B63" s="86"/>
      <c r="C63" s="86" t="s">
        <v>2361</v>
      </c>
      <c r="D63" s="86"/>
      <c r="E63" s="86">
        <f t="shared" si="0"/>
        <v>43</v>
      </c>
      <c r="F63" s="86">
        <v>43</v>
      </c>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1254"/>
      <c r="AN63" s="86"/>
      <c r="AO63" s="86">
        <f t="shared" si="1"/>
        <v>0</v>
      </c>
      <c r="AP63" s="86"/>
      <c r="AQ63" s="86"/>
      <c r="AR63" s="86"/>
      <c r="AS63" s="86"/>
      <c r="AT63" s="86"/>
      <c r="AU63" s="86"/>
      <c r="AV63" s="86"/>
      <c r="AW63" s="86"/>
      <c r="AX63" s="86"/>
      <c r="AY63" s="86"/>
      <c r="AZ63" s="86"/>
      <c r="BA63" s="86"/>
      <c r="BB63" s="86"/>
      <c r="BC63" s="86"/>
      <c r="BD63" s="86"/>
      <c r="BE63" s="86"/>
      <c r="BF63" s="86"/>
      <c r="BG63" s="1291"/>
      <c r="BH63" s="1254"/>
      <c r="BI63" s="86"/>
      <c r="BJ63" s="86"/>
      <c r="BK63" s="86"/>
      <c r="BL63" s="86"/>
      <c r="BM63" s="86"/>
    </row>
    <row r="64" spans="1:65" ht="24.75" customHeight="1">
      <c r="A64" s="1290" t="s">
        <v>5031</v>
      </c>
      <c r="B64" s="86"/>
      <c r="C64" s="86" t="s">
        <v>2361</v>
      </c>
      <c r="D64" s="86"/>
      <c r="E64" s="86">
        <f t="shared" si="0"/>
        <v>36.1</v>
      </c>
      <c r="F64" s="86">
        <v>36.1</v>
      </c>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1254"/>
      <c r="AN64" s="86"/>
      <c r="AO64" s="86">
        <f t="shared" si="1"/>
        <v>0</v>
      </c>
      <c r="AP64" s="86"/>
      <c r="AQ64" s="86"/>
      <c r="AR64" s="86"/>
      <c r="AS64" s="86"/>
      <c r="AT64" s="86"/>
      <c r="AU64" s="86"/>
      <c r="AV64" s="86"/>
      <c r="AW64" s="86"/>
      <c r="AX64" s="86"/>
      <c r="AY64" s="86"/>
      <c r="AZ64" s="86"/>
      <c r="BA64" s="86"/>
      <c r="BB64" s="86"/>
      <c r="BC64" s="86"/>
      <c r="BD64" s="86"/>
      <c r="BE64" s="86"/>
      <c r="BF64" s="86"/>
      <c r="BG64" s="1291"/>
      <c r="BH64" s="1254"/>
      <c r="BI64" s="86"/>
      <c r="BJ64" s="86"/>
      <c r="BK64" s="86"/>
      <c r="BL64" s="86"/>
      <c r="BM64" s="86"/>
    </row>
    <row r="65" spans="1:65" ht="24.75" customHeight="1">
      <c r="A65" s="1290" t="s">
        <v>4898</v>
      </c>
      <c r="B65" s="86"/>
      <c r="C65" s="86" t="s">
        <v>2361</v>
      </c>
      <c r="D65" s="86"/>
      <c r="E65" s="86">
        <f t="shared" si="0"/>
        <v>38.6</v>
      </c>
      <c r="F65" s="86">
        <v>38.6</v>
      </c>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1254"/>
      <c r="AN65" s="86"/>
      <c r="AO65" s="86">
        <f t="shared" si="1"/>
        <v>0</v>
      </c>
      <c r="AP65" s="86"/>
      <c r="AQ65" s="86"/>
      <c r="AR65" s="86"/>
      <c r="AS65" s="86"/>
      <c r="AT65" s="86"/>
      <c r="AU65" s="86"/>
      <c r="AV65" s="86"/>
      <c r="AW65" s="86"/>
      <c r="AX65" s="86"/>
      <c r="AY65" s="86"/>
      <c r="AZ65" s="86"/>
      <c r="BA65" s="86"/>
      <c r="BB65" s="86"/>
      <c r="BC65" s="86"/>
      <c r="BD65" s="86"/>
      <c r="BE65" s="86"/>
      <c r="BF65" s="86"/>
      <c r="BG65" s="1291"/>
      <c r="BH65" s="1254"/>
      <c r="BI65" s="86"/>
      <c r="BJ65" s="86"/>
      <c r="BK65" s="86"/>
      <c r="BL65" s="86"/>
      <c r="BM65" s="86"/>
    </row>
    <row r="66" spans="1:65" ht="24.75" customHeight="1">
      <c r="A66" s="1290" t="s">
        <v>5032</v>
      </c>
      <c r="B66" s="86"/>
      <c r="C66" s="86" t="s">
        <v>2361</v>
      </c>
      <c r="D66" s="86"/>
      <c r="E66" s="86">
        <f t="shared" si="0"/>
        <v>41.9</v>
      </c>
      <c r="F66" s="86">
        <v>41.9</v>
      </c>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1254"/>
      <c r="AN66" s="86"/>
      <c r="AO66" s="86">
        <f t="shared" si="1"/>
        <v>0</v>
      </c>
      <c r="AP66" s="86"/>
      <c r="AQ66" s="86"/>
      <c r="AR66" s="86"/>
      <c r="AS66" s="86"/>
      <c r="AT66" s="86"/>
      <c r="AU66" s="86"/>
      <c r="AV66" s="86"/>
      <c r="AW66" s="86"/>
      <c r="AX66" s="86"/>
      <c r="AY66" s="86"/>
      <c r="AZ66" s="86"/>
      <c r="BA66" s="86"/>
      <c r="BB66" s="86"/>
      <c r="BC66" s="86"/>
      <c r="BD66" s="86"/>
      <c r="BE66" s="86"/>
      <c r="BF66" s="86"/>
      <c r="BG66" s="1291"/>
      <c r="BH66" s="1254"/>
      <c r="BI66" s="86"/>
      <c r="BJ66" s="86"/>
      <c r="BK66" s="86"/>
      <c r="BL66" s="86"/>
      <c r="BM66" s="86"/>
    </row>
    <row r="67" spans="1:65" ht="24.75" customHeight="1">
      <c r="A67" s="1290" t="s">
        <v>4899</v>
      </c>
      <c r="B67" s="86"/>
      <c r="C67" s="86" t="s">
        <v>2361</v>
      </c>
      <c r="D67" s="86"/>
      <c r="E67" s="86">
        <f t="shared" si="0"/>
        <v>42.9</v>
      </c>
      <c r="F67" s="86">
        <v>42.9</v>
      </c>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1254"/>
      <c r="AN67" s="86"/>
      <c r="AO67" s="86">
        <f t="shared" si="1"/>
        <v>0</v>
      </c>
      <c r="AP67" s="86"/>
      <c r="AQ67" s="86"/>
      <c r="AR67" s="86"/>
      <c r="AS67" s="86"/>
      <c r="AT67" s="86"/>
      <c r="AU67" s="86"/>
      <c r="AV67" s="86"/>
      <c r="AW67" s="86"/>
      <c r="AX67" s="86"/>
      <c r="AY67" s="86"/>
      <c r="AZ67" s="86"/>
      <c r="BA67" s="86"/>
      <c r="BB67" s="86"/>
      <c r="BC67" s="86"/>
      <c r="BD67" s="86"/>
      <c r="BE67" s="86"/>
      <c r="BF67" s="86"/>
      <c r="BG67" s="1291"/>
      <c r="BH67" s="1254"/>
      <c r="BI67" s="86"/>
      <c r="BJ67" s="86"/>
      <c r="BK67" s="86"/>
      <c r="BL67" s="86"/>
      <c r="BM67" s="86"/>
    </row>
    <row r="68" spans="1:65" ht="24.75" customHeight="1">
      <c r="A68" s="1290" t="s">
        <v>5033</v>
      </c>
      <c r="B68" s="86"/>
      <c r="C68" s="86" t="s">
        <v>2361</v>
      </c>
      <c r="D68" s="86"/>
      <c r="E68" s="86">
        <f t="shared" si="0"/>
        <v>38.799999999999997</v>
      </c>
      <c r="F68" s="86">
        <v>38.799999999999997</v>
      </c>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1254"/>
      <c r="AN68" s="86"/>
      <c r="AO68" s="86">
        <f t="shared" si="1"/>
        <v>0</v>
      </c>
      <c r="AP68" s="86"/>
      <c r="AQ68" s="86"/>
      <c r="AR68" s="86"/>
      <c r="AS68" s="86"/>
      <c r="AT68" s="86"/>
      <c r="AU68" s="86"/>
      <c r="AV68" s="86"/>
      <c r="AW68" s="86"/>
      <c r="AX68" s="86"/>
      <c r="AY68" s="86"/>
      <c r="AZ68" s="86"/>
      <c r="BA68" s="86"/>
      <c r="BB68" s="86"/>
      <c r="BC68" s="86"/>
      <c r="BD68" s="86"/>
      <c r="BE68" s="86"/>
      <c r="BF68" s="86"/>
      <c r="BG68" s="1291"/>
      <c r="BH68" s="1254"/>
      <c r="BI68" s="86"/>
      <c r="BJ68" s="86"/>
      <c r="BK68" s="86"/>
      <c r="BL68" s="86"/>
      <c r="BM68" s="86"/>
    </row>
    <row r="69" spans="1:65" ht="24.75" customHeight="1">
      <c r="A69" s="1290" t="s">
        <v>4900</v>
      </c>
      <c r="B69" s="86"/>
      <c r="C69" s="86" t="s">
        <v>2361</v>
      </c>
      <c r="D69" s="86"/>
      <c r="E69" s="86">
        <f t="shared" si="0"/>
        <v>39.799999999999997</v>
      </c>
      <c r="F69" s="86">
        <v>39.799999999999997</v>
      </c>
      <c r="G69" s="86"/>
      <c r="H69" s="86"/>
      <c r="I69" s="86"/>
      <c r="J69" s="86"/>
      <c r="K69" s="86"/>
      <c r="L69" s="86"/>
      <c r="M69" s="86">
        <v>1</v>
      </c>
      <c r="N69" s="86"/>
      <c r="O69" s="86"/>
      <c r="P69" s="86"/>
      <c r="Q69" s="86"/>
      <c r="R69" s="86"/>
      <c r="S69" s="86"/>
      <c r="T69" s="86"/>
      <c r="U69" s="86"/>
      <c r="V69" s="86"/>
      <c r="W69" s="86"/>
      <c r="X69" s="86"/>
      <c r="Y69" s="86"/>
      <c r="Z69" s="86"/>
      <c r="AA69" s="86"/>
      <c r="AB69" s="86"/>
      <c r="AC69" s="86"/>
      <c r="AD69" s="86">
        <v>8</v>
      </c>
      <c r="AE69" s="86"/>
      <c r="AF69" s="86"/>
      <c r="AG69" s="86"/>
      <c r="AH69" s="86"/>
      <c r="AI69" s="86"/>
      <c r="AJ69" s="86"/>
      <c r="AK69" s="86"/>
      <c r="AL69" s="86"/>
      <c r="AM69" s="1254"/>
      <c r="AN69" s="86"/>
      <c r="AO69" s="86">
        <f t="shared" si="1"/>
        <v>8</v>
      </c>
      <c r="AP69" s="86">
        <v>8</v>
      </c>
      <c r="AQ69" s="86">
        <v>2</v>
      </c>
      <c r="AR69" s="86"/>
      <c r="AS69" s="86"/>
      <c r="AT69" s="86">
        <v>5</v>
      </c>
      <c r="AU69" s="86">
        <v>1</v>
      </c>
      <c r="AV69" s="86"/>
      <c r="AW69" s="86"/>
      <c r="AX69" s="86">
        <v>2</v>
      </c>
      <c r="AY69" s="86"/>
      <c r="AZ69" s="86"/>
      <c r="BA69" s="86"/>
      <c r="BB69" s="86"/>
      <c r="BC69" s="86"/>
      <c r="BD69" s="86"/>
      <c r="BE69" s="86"/>
      <c r="BF69" s="86"/>
      <c r="BG69" s="1291">
        <v>5</v>
      </c>
      <c r="BH69" s="1254">
        <v>3</v>
      </c>
      <c r="BI69" s="86"/>
      <c r="BJ69" s="86"/>
      <c r="BK69" s="86"/>
      <c r="BL69" s="86"/>
      <c r="BM69" s="86"/>
    </row>
    <row r="70" spans="1:65" ht="24.75" customHeight="1">
      <c r="A70" s="1290" t="s">
        <v>5034</v>
      </c>
      <c r="B70" s="86"/>
      <c r="C70" s="86" t="s">
        <v>2361</v>
      </c>
      <c r="D70" s="86"/>
      <c r="E70" s="86">
        <f t="shared" si="0"/>
        <v>37.4</v>
      </c>
      <c r="F70" s="86">
        <v>37.4</v>
      </c>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1254"/>
      <c r="AN70" s="86"/>
      <c r="AO70" s="86">
        <f t="shared" si="1"/>
        <v>0</v>
      </c>
      <c r="AP70" s="86"/>
      <c r="AQ70" s="86"/>
      <c r="AR70" s="86"/>
      <c r="AS70" s="86"/>
      <c r="AT70" s="86"/>
      <c r="AU70" s="86"/>
      <c r="AV70" s="86"/>
      <c r="AW70" s="86"/>
      <c r="AX70" s="86"/>
      <c r="AY70" s="86"/>
      <c r="AZ70" s="86"/>
      <c r="BA70" s="86"/>
      <c r="BB70" s="86"/>
      <c r="BC70" s="86"/>
      <c r="BD70" s="86"/>
      <c r="BE70" s="86"/>
      <c r="BF70" s="86"/>
      <c r="BG70" s="1291"/>
      <c r="BH70" s="1254"/>
      <c r="BI70" s="86"/>
      <c r="BJ70" s="86"/>
      <c r="BK70" s="86"/>
      <c r="BL70" s="86"/>
      <c r="BM70" s="86"/>
    </row>
    <row r="71" spans="1:65" ht="24.75" customHeight="1">
      <c r="A71" s="1290" t="s">
        <v>4901</v>
      </c>
      <c r="B71" s="86"/>
      <c r="C71" s="86" t="s">
        <v>2361</v>
      </c>
      <c r="D71" s="86"/>
      <c r="E71" s="86">
        <f t="shared" si="0"/>
        <v>43.7</v>
      </c>
      <c r="F71" s="86">
        <v>43.7</v>
      </c>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1254"/>
      <c r="AN71" s="86"/>
      <c r="AO71" s="86">
        <f t="shared" si="1"/>
        <v>0</v>
      </c>
      <c r="AP71" s="86"/>
      <c r="AQ71" s="86"/>
      <c r="AR71" s="86"/>
      <c r="AS71" s="86"/>
      <c r="AT71" s="86"/>
      <c r="AU71" s="86"/>
      <c r="AV71" s="86"/>
      <c r="AW71" s="86"/>
      <c r="AX71" s="86"/>
      <c r="AY71" s="86"/>
      <c r="AZ71" s="86"/>
      <c r="BA71" s="86"/>
      <c r="BB71" s="86"/>
      <c r="BC71" s="86"/>
      <c r="BD71" s="86"/>
      <c r="BE71" s="86"/>
      <c r="BF71" s="86"/>
      <c r="BG71" s="1291"/>
      <c r="BH71" s="1254"/>
      <c r="BI71" s="86"/>
      <c r="BJ71" s="86"/>
      <c r="BK71" s="86"/>
      <c r="BL71" s="86"/>
      <c r="BM71" s="86"/>
    </row>
    <row r="72" spans="1:65" ht="24.75" customHeight="1">
      <c r="A72" s="1290" t="s">
        <v>5035</v>
      </c>
      <c r="B72" s="86"/>
      <c r="C72" s="86" t="s">
        <v>2361</v>
      </c>
      <c r="D72" s="86"/>
      <c r="E72" s="86">
        <f t="shared" si="0"/>
        <v>40</v>
      </c>
      <c r="F72" s="86">
        <v>40</v>
      </c>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1254"/>
      <c r="AN72" s="86"/>
      <c r="AO72" s="86">
        <f t="shared" si="1"/>
        <v>0</v>
      </c>
      <c r="AP72" s="86"/>
      <c r="AQ72" s="86"/>
      <c r="AR72" s="86"/>
      <c r="AS72" s="86"/>
      <c r="AT72" s="86"/>
      <c r="AU72" s="86"/>
      <c r="AV72" s="86"/>
      <c r="AW72" s="86"/>
      <c r="AX72" s="86"/>
      <c r="AY72" s="86"/>
      <c r="AZ72" s="86"/>
      <c r="BA72" s="86"/>
      <c r="BB72" s="86"/>
      <c r="BC72" s="86"/>
      <c r="BD72" s="86"/>
      <c r="BE72" s="86"/>
      <c r="BF72" s="86"/>
      <c r="BG72" s="1291"/>
      <c r="BH72" s="1254"/>
      <c r="BI72" s="86"/>
      <c r="BJ72" s="86"/>
      <c r="BK72" s="86"/>
      <c r="BL72" s="86"/>
      <c r="BM72" s="86"/>
    </row>
    <row r="73" spans="1:65" ht="24.75" customHeight="1">
      <c r="A73" s="1290" t="s">
        <v>5036</v>
      </c>
      <c r="B73" s="86"/>
      <c r="C73" s="86" t="s">
        <v>2361</v>
      </c>
      <c r="D73" s="86"/>
      <c r="E73" s="86">
        <f t="shared" ref="E73:E111" si="2">F73</f>
        <v>37.799999999999997</v>
      </c>
      <c r="F73" s="86">
        <v>37.799999999999997</v>
      </c>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1254"/>
      <c r="AN73" s="86"/>
      <c r="AO73" s="86">
        <f t="shared" ref="AO73:AO135" si="3">AD73</f>
        <v>0</v>
      </c>
      <c r="AP73" s="86"/>
      <c r="AQ73" s="86"/>
      <c r="AR73" s="86"/>
      <c r="AS73" s="86"/>
      <c r="AT73" s="86"/>
      <c r="AU73" s="86"/>
      <c r="AV73" s="86"/>
      <c r="AW73" s="86"/>
      <c r="AX73" s="86"/>
      <c r="AY73" s="86"/>
      <c r="AZ73" s="86"/>
      <c r="BA73" s="86"/>
      <c r="BB73" s="86"/>
      <c r="BC73" s="86"/>
      <c r="BD73" s="86"/>
      <c r="BE73" s="86"/>
      <c r="BF73" s="86"/>
      <c r="BG73" s="1291"/>
      <c r="BH73" s="1254"/>
      <c r="BI73" s="86"/>
      <c r="BJ73" s="86"/>
      <c r="BK73" s="86"/>
      <c r="BL73" s="86"/>
      <c r="BM73" s="86"/>
    </row>
    <row r="74" spans="1:65" ht="24.75" customHeight="1">
      <c r="A74" s="1290" t="s">
        <v>5037</v>
      </c>
      <c r="B74" s="86"/>
      <c r="C74" s="86" t="s">
        <v>2361</v>
      </c>
      <c r="D74" s="86"/>
      <c r="E74" s="86">
        <f t="shared" si="2"/>
        <v>39.799999999999997</v>
      </c>
      <c r="F74" s="86">
        <v>39.799999999999997</v>
      </c>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1254"/>
      <c r="AN74" s="86"/>
      <c r="AO74" s="86">
        <f t="shared" si="3"/>
        <v>0</v>
      </c>
      <c r="AP74" s="86"/>
      <c r="AQ74" s="86"/>
      <c r="AR74" s="86"/>
      <c r="AS74" s="86"/>
      <c r="AT74" s="86"/>
      <c r="AU74" s="86"/>
      <c r="AV74" s="86"/>
      <c r="AW74" s="86"/>
      <c r="AX74" s="86"/>
      <c r="AY74" s="86"/>
      <c r="AZ74" s="86"/>
      <c r="BA74" s="86"/>
      <c r="BB74" s="86"/>
      <c r="BC74" s="86"/>
      <c r="BD74" s="86"/>
      <c r="BE74" s="86"/>
      <c r="BF74" s="86"/>
      <c r="BG74" s="1291"/>
      <c r="BH74" s="1254"/>
      <c r="BI74" s="86"/>
      <c r="BJ74" s="86"/>
      <c r="BK74" s="86"/>
      <c r="BL74" s="86"/>
      <c r="BM74" s="86"/>
    </row>
    <row r="75" spans="1:65" ht="24.75" customHeight="1">
      <c r="A75" s="1290" t="s">
        <v>5038</v>
      </c>
      <c r="B75" s="86"/>
      <c r="C75" s="86" t="s">
        <v>2361</v>
      </c>
      <c r="D75" s="86"/>
      <c r="E75" s="86">
        <f t="shared" si="2"/>
        <v>42.7</v>
      </c>
      <c r="F75" s="86">
        <v>42.7</v>
      </c>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1254"/>
      <c r="AN75" s="86"/>
      <c r="AO75" s="86">
        <f t="shared" si="3"/>
        <v>0</v>
      </c>
      <c r="AP75" s="86"/>
      <c r="AQ75" s="86"/>
      <c r="AR75" s="86"/>
      <c r="AS75" s="86"/>
      <c r="AT75" s="86"/>
      <c r="AU75" s="86"/>
      <c r="AV75" s="86"/>
      <c r="AW75" s="86"/>
      <c r="AX75" s="86"/>
      <c r="AY75" s="86"/>
      <c r="AZ75" s="86"/>
      <c r="BA75" s="86"/>
      <c r="BB75" s="86"/>
      <c r="BC75" s="86"/>
      <c r="BD75" s="86"/>
      <c r="BE75" s="86"/>
      <c r="BF75" s="86"/>
      <c r="BG75" s="1291"/>
      <c r="BH75" s="1254"/>
      <c r="BI75" s="86"/>
      <c r="BJ75" s="86"/>
      <c r="BK75" s="86"/>
      <c r="BL75" s="86"/>
      <c r="BM75" s="86"/>
    </row>
    <row r="76" spans="1:65" ht="24.75" customHeight="1">
      <c r="A76" s="1290" t="s">
        <v>5039</v>
      </c>
      <c r="B76" s="86"/>
      <c r="C76" s="86" t="s">
        <v>2361</v>
      </c>
      <c r="D76" s="86"/>
      <c r="E76" s="86">
        <f t="shared" si="2"/>
        <v>40.299999999999997</v>
      </c>
      <c r="F76" s="86">
        <v>40.299999999999997</v>
      </c>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1254"/>
      <c r="AN76" s="86"/>
      <c r="AO76" s="86">
        <f t="shared" si="3"/>
        <v>0</v>
      </c>
      <c r="AP76" s="86"/>
      <c r="AQ76" s="86"/>
      <c r="AR76" s="86"/>
      <c r="AS76" s="86"/>
      <c r="AT76" s="86"/>
      <c r="AU76" s="86"/>
      <c r="AV76" s="86"/>
      <c r="AW76" s="86"/>
      <c r="AX76" s="86"/>
      <c r="AY76" s="86"/>
      <c r="AZ76" s="86"/>
      <c r="BA76" s="86"/>
      <c r="BB76" s="86"/>
      <c r="BC76" s="86"/>
      <c r="BD76" s="86"/>
      <c r="BE76" s="86"/>
      <c r="BF76" s="86"/>
      <c r="BG76" s="1291"/>
      <c r="BH76" s="1254"/>
      <c r="BI76" s="86"/>
      <c r="BJ76" s="86"/>
      <c r="BK76" s="86"/>
      <c r="BL76" s="86"/>
      <c r="BM76" s="86"/>
    </row>
    <row r="77" spans="1:65" ht="24.75" customHeight="1">
      <c r="A77" s="1290" t="s">
        <v>5040</v>
      </c>
      <c r="B77" s="86"/>
      <c r="C77" s="86"/>
      <c r="D77" s="86"/>
      <c r="E77" s="86">
        <f t="shared" si="2"/>
        <v>50.7</v>
      </c>
      <c r="F77" s="86">
        <v>50.7</v>
      </c>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1254"/>
      <c r="AN77" s="86"/>
      <c r="AO77" s="86">
        <f t="shared" si="3"/>
        <v>0</v>
      </c>
      <c r="AP77" s="86"/>
      <c r="AQ77" s="86"/>
      <c r="AR77" s="86"/>
      <c r="AS77" s="86"/>
      <c r="AT77" s="86"/>
      <c r="AU77" s="86"/>
      <c r="AV77" s="86"/>
      <c r="AW77" s="86"/>
      <c r="AX77" s="86"/>
      <c r="AY77" s="86"/>
      <c r="AZ77" s="86"/>
      <c r="BA77" s="86"/>
      <c r="BB77" s="86"/>
      <c r="BC77" s="86"/>
      <c r="BD77" s="86"/>
      <c r="BE77" s="86"/>
      <c r="BF77" s="86"/>
      <c r="BG77" s="1291"/>
      <c r="BH77" s="1254"/>
      <c r="BI77" s="86"/>
      <c r="BJ77" s="86"/>
      <c r="BK77" s="86"/>
      <c r="BL77" s="86"/>
      <c r="BM77" s="86"/>
    </row>
    <row r="78" spans="1:65" ht="24.75" customHeight="1">
      <c r="A78" s="1290" t="s">
        <v>5058</v>
      </c>
      <c r="B78" s="86"/>
      <c r="C78" s="86"/>
      <c r="D78" s="86"/>
      <c r="E78" s="86">
        <f t="shared" si="2"/>
        <v>26</v>
      </c>
      <c r="F78" s="86">
        <v>26</v>
      </c>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1254"/>
      <c r="AN78" s="86"/>
      <c r="AO78" s="86">
        <f t="shared" si="3"/>
        <v>0</v>
      </c>
      <c r="AP78" s="86"/>
      <c r="AQ78" s="86"/>
      <c r="AR78" s="86"/>
      <c r="AS78" s="86"/>
      <c r="AT78" s="86"/>
      <c r="AU78" s="86"/>
      <c r="AV78" s="86"/>
      <c r="AW78" s="86"/>
      <c r="AX78" s="86"/>
      <c r="AY78" s="86"/>
      <c r="AZ78" s="86"/>
      <c r="BA78" s="86"/>
      <c r="BB78" s="86"/>
      <c r="BC78" s="86"/>
      <c r="BD78" s="86"/>
      <c r="BE78" s="86"/>
      <c r="BF78" s="86"/>
      <c r="BG78" s="1291"/>
      <c r="BH78" s="1254"/>
      <c r="BI78" s="86"/>
      <c r="BJ78" s="86"/>
      <c r="BK78" s="86"/>
      <c r="BL78" s="86"/>
      <c r="BM78" s="86"/>
    </row>
    <row r="79" spans="1:65" ht="24.75" customHeight="1">
      <c r="A79" s="1290" t="s">
        <v>5059</v>
      </c>
      <c r="B79" s="86"/>
      <c r="C79" s="86"/>
      <c r="D79" s="86"/>
      <c r="E79" s="86">
        <f t="shared" si="2"/>
        <v>42.8</v>
      </c>
      <c r="F79" s="86">
        <v>42.8</v>
      </c>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1254"/>
      <c r="AN79" s="86"/>
      <c r="AO79" s="86">
        <f t="shared" si="3"/>
        <v>0</v>
      </c>
      <c r="AP79" s="86"/>
      <c r="AQ79" s="86"/>
      <c r="AR79" s="86"/>
      <c r="AS79" s="86"/>
      <c r="AT79" s="86"/>
      <c r="AU79" s="86"/>
      <c r="AV79" s="86"/>
      <c r="AW79" s="86"/>
      <c r="AX79" s="86"/>
      <c r="AY79" s="86"/>
      <c r="AZ79" s="86"/>
      <c r="BA79" s="86"/>
      <c r="BB79" s="86"/>
      <c r="BC79" s="86"/>
      <c r="BD79" s="86"/>
      <c r="BE79" s="86"/>
      <c r="BF79" s="86"/>
      <c r="BG79" s="1291"/>
      <c r="BH79" s="1254"/>
      <c r="BI79" s="86"/>
      <c r="BJ79" s="86"/>
      <c r="BK79" s="86"/>
      <c r="BL79" s="86"/>
      <c r="BM79" s="86"/>
    </row>
    <row r="80" spans="1:65" ht="24.75" customHeight="1">
      <c r="A80" s="1290" t="s">
        <v>5060</v>
      </c>
      <c r="B80" s="86"/>
      <c r="C80" s="86"/>
      <c r="D80" s="86"/>
      <c r="E80" s="86">
        <f t="shared" si="2"/>
        <v>36.799999999999997</v>
      </c>
      <c r="F80" s="86">
        <v>36.799999999999997</v>
      </c>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1254"/>
      <c r="AN80" s="86"/>
      <c r="AO80" s="86">
        <f t="shared" si="3"/>
        <v>0</v>
      </c>
      <c r="AP80" s="86"/>
      <c r="AQ80" s="86"/>
      <c r="AR80" s="86"/>
      <c r="AS80" s="86"/>
      <c r="AT80" s="86"/>
      <c r="AU80" s="86"/>
      <c r="AV80" s="86"/>
      <c r="AW80" s="86"/>
      <c r="AX80" s="86"/>
      <c r="AY80" s="86"/>
      <c r="AZ80" s="86"/>
      <c r="BA80" s="86"/>
      <c r="BB80" s="86"/>
      <c r="BC80" s="86"/>
      <c r="BD80" s="86"/>
      <c r="BE80" s="86"/>
      <c r="BF80" s="86"/>
      <c r="BG80" s="1291"/>
      <c r="BH80" s="1254"/>
      <c r="BI80" s="86"/>
      <c r="BJ80" s="86"/>
      <c r="BK80" s="86"/>
      <c r="BL80" s="86"/>
      <c r="BM80" s="86"/>
    </row>
    <row r="81" spans="1:65" ht="24.75" customHeight="1">
      <c r="A81" s="1290" t="s">
        <v>5061</v>
      </c>
      <c r="B81" s="86"/>
      <c r="C81" s="86" t="s">
        <v>2361</v>
      </c>
      <c r="D81" s="86"/>
      <c r="E81" s="86">
        <f t="shared" si="2"/>
        <v>42.1</v>
      </c>
      <c r="F81" s="86">
        <v>42.1</v>
      </c>
      <c r="G81" s="86"/>
      <c r="H81" s="86"/>
      <c r="I81" s="86"/>
      <c r="J81" s="86"/>
      <c r="K81" s="86"/>
      <c r="L81" s="86"/>
      <c r="M81" s="86">
        <v>1</v>
      </c>
      <c r="N81" s="86"/>
      <c r="O81" s="86"/>
      <c r="P81" s="86"/>
      <c r="Q81" s="86"/>
      <c r="R81" s="86"/>
      <c r="S81" s="86"/>
      <c r="T81" s="86"/>
      <c r="U81" s="86"/>
      <c r="V81" s="86"/>
      <c r="W81" s="86"/>
      <c r="X81" s="86"/>
      <c r="Y81" s="86"/>
      <c r="Z81" s="86"/>
      <c r="AA81" s="86"/>
      <c r="AB81" s="86"/>
      <c r="AC81" s="86"/>
      <c r="AD81" s="86">
        <v>8</v>
      </c>
      <c r="AE81" s="86"/>
      <c r="AF81" s="86"/>
      <c r="AG81" s="86"/>
      <c r="AH81" s="86"/>
      <c r="AI81" s="86"/>
      <c r="AJ81" s="86"/>
      <c r="AK81" s="86"/>
      <c r="AL81" s="86"/>
      <c r="AM81" s="1254"/>
      <c r="AN81" s="86"/>
      <c r="AO81" s="86">
        <f t="shared" si="3"/>
        <v>8</v>
      </c>
      <c r="AP81" s="86">
        <v>8</v>
      </c>
      <c r="AQ81" s="86">
        <v>2</v>
      </c>
      <c r="AR81" s="86"/>
      <c r="AS81" s="86"/>
      <c r="AT81" s="86">
        <v>4</v>
      </c>
      <c r="AU81" s="86">
        <v>1</v>
      </c>
      <c r="AV81" s="86"/>
      <c r="AW81" s="86"/>
      <c r="AX81" s="86">
        <v>2</v>
      </c>
      <c r="AY81" s="86"/>
      <c r="AZ81" s="86"/>
      <c r="BA81" s="86"/>
      <c r="BB81" s="86"/>
      <c r="BC81" s="86"/>
      <c r="BD81" s="86"/>
      <c r="BE81" s="86"/>
      <c r="BF81" s="86"/>
      <c r="BG81" s="1291">
        <v>4</v>
      </c>
      <c r="BH81" s="1254">
        <v>3</v>
      </c>
      <c r="BI81" s="86"/>
      <c r="BJ81" s="86"/>
      <c r="BK81" s="86"/>
      <c r="BL81" s="86"/>
      <c r="BM81" s="86"/>
    </row>
    <row r="82" spans="1:65" ht="24.75" customHeight="1">
      <c r="A82" s="1290" t="s">
        <v>5062</v>
      </c>
      <c r="B82" s="86"/>
      <c r="C82" s="86" t="s">
        <v>2361</v>
      </c>
      <c r="D82" s="86"/>
      <c r="E82" s="86">
        <f t="shared" si="2"/>
        <v>39.6</v>
      </c>
      <c r="F82" s="86">
        <v>39.6</v>
      </c>
      <c r="G82" s="86"/>
      <c r="H82" s="86"/>
      <c r="I82" s="86"/>
      <c r="J82" s="86"/>
      <c r="K82" s="86"/>
      <c r="L82" s="86"/>
      <c r="M82" s="86">
        <v>1</v>
      </c>
      <c r="N82" s="86"/>
      <c r="O82" s="86"/>
      <c r="P82" s="86"/>
      <c r="Q82" s="86"/>
      <c r="R82" s="86"/>
      <c r="S82" s="86"/>
      <c r="T82" s="86"/>
      <c r="U82" s="86"/>
      <c r="V82" s="86"/>
      <c r="W82" s="86"/>
      <c r="X82" s="86"/>
      <c r="Y82" s="86"/>
      <c r="Z82" s="86"/>
      <c r="AA82" s="86"/>
      <c r="AB82" s="86"/>
      <c r="AC82" s="86"/>
      <c r="AD82" s="86">
        <v>8</v>
      </c>
      <c r="AE82" s="86"/>
      <c r="AF82" s="86"/>
      <c r="AG82" s="86"/>
      <c r="AH82" s="86"/>
      <c r="AI82" s="86"/>
      <c r="AJ82" s="86"/>
      <c r="AK82" s="86"/>
      <c r="AL82" s="86"/>
      <c r="AM82" s="1254"/>
      <c r="AN82" s="86"/>
      <c r="AO82" s="86">
        <f t="shared" si="3"/>
        <v>8</v>
      </c>
      <c r="AP82" s="86">
        <v>15</v>
      </c>
      <c r="AQ82" s="86">
        <v>2</v>
      </c>
      <c r="AR82" s="86"/>
      <c r="AS82" s="86"/>
      <c r="AT82" s="86">
        <v>6</v>
      </c>
      <c r="AU82" s="86">
        <v>1</v>
      </c>
      <c r="AV82" s="86"/>
      <c r="AW82" s="86"/>
      <c r="AX82" s="86">
        <v>2</v>
      </c>
      <c r="AY82" s="86"/>
      <c r="AZ82" s="86"/>
      <c r="BA82" s="86"/>
      <c r="BB82" s="86"/>
      <c r="BC82" s="86"/>
      <c r="BD82" s="86"/>
      <c r="BE82" s="86"/>
      <c r="BF82" s="86"/>
      <c r="BG82" s="1291">
        <v>6</v>
      </c>
      <c r="BH82" s="1254">
        <v>3</v>
      </c>
      <c r="BI82" s="86"/>
      <c r="BJ82" s="86"/>
      <c r="BK82" s="86"/>
      <c r="BL82" s="86"/>
      <c r="BM82" s="86"/>
    </row>
    <row r="83" spans="1:65" ht="24.75" customHeight="1">
      <c r="A83" s="1290" t="s">
        <v>5063</v>
      </c>
      <c r="B83" s="86"/>
      <c r="C83" s="86" t="s">
        <v>2361</v>
      </c>
      <c r="D83" s="86"/>
      <c r="E83" s="86">
        <f t="shared" si="2"/>
        <v>42.1</v>
      </c>
      <c r="F83" s="86">
        <v>42.1</v>
      </c>
      <c r="G83" s="86"/>
      <c r="H83" s="86"/>
      <c r="I83" s="86"/>
      <c r="J83" s="86"/>
      <c r="K83" s="86"/>
      <c r="L83" s="86"/>
      <c r="M83" s="86">
        <v>1</v>
      </c>
      <c r="N83" s="86"/>
      <c r="O83" s="86"/>
      <c r="P83" s="86"/>
      <c r="Q83" s="86"/>
      <c r="R83" s="86"/>
      <c r="S83" s="86"/>
      <c r="T83" s="86"/>
      <c r="U83" s="86"/>
      <c r="V83" s="86"/>
      <c r="W83" s="86"/>
      <c r="X83" s="86"/>
      <c r="Y83" s="86"/>
      <c r="Z83" s="86"/>
      <c r="AA83" s="86"/>
      <c r="AB83" s="86"/>
      <c r="AC83" s="86"/>
      <c r="AD83" s="86">
        <v>8</v>
      </c>
      <c r="AE83" s="86"/>
      <c r="AF83" s="86"/>
      <c r="AG83" s="86"/>
      <c r="AH83" s="86"/>
      <c r="AI83" s="86"/>
      <c r="AJ83" s="86"/>
      <c r="AK83" s="86"/>
      <c r="AL83" s="86"/>
      <c r="AM83" s="1254"/>
      <c r="AN83" s="86"/>
      <c r="AO83" s="86">
        <f t="shared" si="3"/>
        <v>8</v>
      </c>
      <c r="AP83" s="86">
        <v>6</v>
      </c>
      <c r="AQ83" s="86">
        <v>2</v>
      </c>
      <c r="AR83" s="86"/>
      <c r="AS83" s="86"/>
      <c r="AT83" s="86">
        <v>3</v>
      </c>
      <c r="AU83" s="86">
        <v>1</v>
      </c>
      <c r="AV83" s="86"/>
      <c r="AW83" s="86"/>
      <c r="AX83" s="86">
        <v>2</v>
      </c>
      <c r="AY83" s="86"/>
      <c r="AZ83" s="86"/>
      <c r="BA83" s="86"/>
      <c r="BB83" s="86"/>
      <c r="BC83" s="86"/>
      <c r="BD83" s="86"/>
      <c r="BE83" s="86"/>
      <c r="BF83" s="86"/>
      <c r="BG83" s="1291">
        <v>3</v>
      </c>
      <c r="BH83" s="1254">
        <v>3</v>
      </c>
      <c r="BI83" s="86"/>
      <c r="BJ83" s="86"/>
      <c r="BK83" s="86"/>
      <c r="BL83" s="86"/>
      <c r="BM83" s="86"/>
    </row>
    <row r="84" spans="1:65" ht="24.75" customHeight="1">
      <c r="A84" s="1290" t="s">
        <v>5114</v>
      </c>
      <c r="B84" s="86"/>
      <c r="C84" s="86"/>
      <c r="D84" s="86"/>
      <c r="E84" s="86">
        <f t="shared" si="2"/>
        <v>40.200000000000003</v>
      </c>
      <c r="F84" s="86">
        <v>40.200000000000003</v>
      </c>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1254"/>
      <c r="AN84" s="86"/>
      <c r="AO84" s="86">
        <f t="shared" si="3"/>
        <v>0</v>
      </c>
      <c r="AP84" s="86"/>
      <c r="AQ84" s="86"/>
      <c r="AR84" s="86"/>
      <c r="AS84" s="86"/>
      <c r="AT84" s="86"/>
      <c r="AU84" s="86"/>
      <c r="AV84" s="86"/>
      <c r="AW84" s="86"/>
      <c r="AX84" s="86"/>
      <c r="AY84" s="86"/>
      <c r="AZ84" s="86"/>
      <c r="BA84" s="86"/>
      <c r="BB84" s="86"/>
      <c r="BC84" s="86"/>
      <c r="BD84" s="86"/>
      <c r="BE84" s="86"/>
      <c r="BF84" s="86"/>
      <c r="BG84" s="1291"/>
      <c r="BH84" s="1254"/>
      <c r="BI84" s="86"/>
      <c r="BJ84" s="86"/>
      <c r="BK84" s="86"/>
      <c r="BL84" s="86"/>
      <c r="BM84" s="86"/>
    </row>
    <row r="85" spans="1:65" ht="24.75" customHeight="1">
      <c r="A85" s="1290" t="s">
        <v>5064</v>
      </c>
      <c r="B85" s="86"/>
      <c r="C85" s="86" t="s">
        <v>2361</v>
      </c>
      <c r="D85" s="86"/>
      <c r="E85" s="86">
        <f t="shared" si="2"/>
        <v>42.3</v>
      </c>
      <c r="F85" s="86">
        <v>42.3</v>
      </c>
      <c r="G85" s="86"/>
      <c r="H85" s="86"/>
      <c r="I85" s="86"/>
      <c r="J85" s="86"/>
      <c r="K85" s="86"/>
      <c r="L85" s="86"/>
      <c r="M85" s="86">
        <v>1</v>
      </c>
      <c r="N85" s="86"/>
      <c r="O85" s="86"/>
      <c r="P85" s="86"/>
      <c r="Q85" s="86"/>
      <c r="R85" s="86"/>
      <c r="S85" s="86"/>
      <c r="T85" s="86"/>
      <c r="U85" s="86"/>
      <c r="V85" s="86"/>
      <c r="W85" s="86"/>
      <c r="X85" s="86"/>
      <c r="Y85" s="86"/>
      <c r="Z85" s="86"/>
      <c r="AA85" s="86"/>
      <c r="AB85" s="86"/>
      <c r="AC85" s="86"/>
      <c r="AD85" s="86">
        <v>8</v>
      </c>
      <c r="AE85" s="86"/>
      <c r="AF85" s="86"/>
      <c r="AG85" s="86"/>
      <c r="AH85" s="86"/>
      <c r="AI85" s="86"/>
      <c r="AJ85" s="86"/>
      <c r="AK85" s="86"/>
      <c r="AL85" s="86"/>
      <c r="AM85" s="1254"/>
      <c r="AN85" s="86"/>
      <c r="AO85" s="86">
        <f t="shared" si="3"/>
        <v>8</v>
      </c>
      <c r="AP85" s="86">
        <v>8</v>
      </c>
      <c r="AQ85" s="86">
        <v>2</v>
      </c>
      <c r="AR85" s="86"/>
      <c r="AS85" s="86"/>
      <c r="AT85" s="86">
        <v>4</v>
      </c>
      <c r="AU85" s="86">
        <v>1</v>
      </c>
      <c r="AV85" s="86"/>
      <c r="AW85" s="86"/>
      <c r="AX85" s="86">
        <v>2</v>
      </c>
      <c r="AY85" s="86"/>
      <c r="AZ85" s="86"/>
      <c r="BA85" s="86"/>
      <c r="BB85" s="86"/>
      <c r="BC85" s="86"/>
      <c r="BD85" s="86"/>
      <c r="BE85" s="86"/>
      <c r="BF85" s="86"/>
      <c r="BG85" s="1291">
        <v>4</v>
      </c>
      <c r="BH85" s="1254">
        <v>3</v>
      </c>
      <c r="BI85" s="86"/>
      <c r="BJ85" s="86"/>
      <c r="BK85" s="86"/>
      <c r="BL85" s="86"/>
      <c r="BM85" s="86"/>
    </row>
    <row r="86" spans="1:65" ht="24.75" customHeight="1">
      <c r="A86" s="1290" t="s">
        <v>5065</v>
      </c>
      <c r="B86" s="86"/>
      <c r="C86" s="86" t="s">
        <v>2361</v>
      </c>
      <c r="D86" s="86"/>
      <c r="E86" s="86">
        <f t="shared" si="2"/>
        <v>38.1</v>
      </c>
      <c r="F86" s="86">
        <v>38.1</v>
      </c>
      <c r="G86" s="86"/>
      <c r="H86" s="86"/>
      <c r="I86" s="86"/>
      <c r="J86" s="86"/>
      <c r="K86" s="86"/>
      <c r="L86" s="86"/>
      <c r="M86" s="86">
        <v>1</v>
      </c>
      <c r="N86" s="86"/>
      <c r="O86" s="86"/>
      <c r="P86" s="86"/>
      <c r="Q86" s="86"/>
      <c r="R86" s="86"/>
      <c r="S86" s="86"/>
      <c r="T86" s="86"/>
      <c r="U86" s="86"/>
      <c r="V86" s="86"/>
      <c r="W86" s="86"/>
      <c r="X86" s="86"/>
      <c r="Y86" s="86"/>
      <c r="Z86" s="86"/>
      <c r="AA86" s="86"/>
      <c r="AB86" s="86"/>
      <c r="AC86" s="86"/>
      <c r="AD86" s="86">
        <v>8</v>
      </c>
      <c r="AE86" s="86"/>
      <c r="AF86" s="86"/>
      <c r="AG86" s="86"/>
      <c r="AH86" s="86"/>
      <c r="AI86" s="86"/>
      <c r="AJ86" s="86"/>
      <c r="AK86" s="86"/>
      <c r="AL86" s="86"/>
      <c r="AM86" s="1254"/>
      <c r="AN86" s="86"/>
      <c r="AO86" s="86">
        <f t="shared" si="3"/>
        <v>8</v>
      </c>
      <c r="AP86" s="86">
        <v>8</v>
      </c>
      <c r="AQ86" s="86">
        <v>2</v>
      </c>
      <c r="AR86" s="86"/>
      <c r="AS86" s="86"/>
      <c r="AT86" s="86">
        <v>4</v>
      </c>
      <c r="AU86" s="86">
        <v>1</v>
      </c>
      <c r="AV86" s="86"/>
      <c r="AW86" s="86"/>
      <c r="AX86" s="86">
        <v>2</v>
      </c>
      <c r="AY86" s="86"/>
      <c r="AZ86" s="86"/>
      <c r="BA86" s="86"/>
      <c r="BB86" s="86"/>
      <c r="BC86" s="86"/>
      <c r="BD86" s="86"/>
      <c r="BE86" s="86"/>
      <c r="BF86" s="86"/>
      <c r="BG86" s="1291">
        <v>4</v>
      </c>
      <c r="BH86" s="1254">
        <v>3</v>
      </c>
      <c r="BI86" s="86"/>
      <c r="BJ86" s="86"/>
      <c r="BK86" s="86"/>
      <c r="BL86" s="86"/>
      <c r="BM86" s="86"/>
    </row>
    <row r="87" spans="1:65" ht="24.75" customHeight="1">
      <c r="A87" s="1290" t="s">
        <v>5066</v>
      </c>
      <c r="B87" s="86"/>
      <c r="C87" s="86"/>
      <c r="D87" s="86"/>
      <c r="E87" s="86">
        <f t="shared" si="2"/>
        <v>37.9</v>
      </c>
      <c r="F87" s="86">
        <v>37.9</v>
      </c>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1254"/>
      <c r="AN87" s="86"/>
      <c r="AO87" s="86">
        <f t="shared" si="3"/>
        <v>0</v>
      </c>
      <c r="AP87" s="86"/>
      <c r="AQ87" s="86"/>
      <c r="AR87" s="86"/>
      <c r="AS87" s="86"/>
      <c r="AT87" s="86"/>
      <c r="AU87" s="86"/>
      <c r="AV87" s="86"/>
      <c r="AW87" s="86"/>
      <c r="AX87" s="86"/>
      <c r="AY87" s="86"/>
      <c r="AZ87" s="86"/>
      <c r="BA87" s="86"/>
      <c r="BB87" s="86"/>
      <c r="BC87" s="86"/>
      <c r="BD87" s="86"/>
      <c r="BE87" s="86"/>
      <c r="BF87" s="86"/>
      <c r="BG87" s="1291"/>
      <c r="BH87" s="1254"/>
      <c r="BI87" s="86"/>
      <c r="BJ87" s="86"/>
      <c r="BK87" s="86"/>
      <c r="BL87" s="86"/>
      <c r="BM87" s="86"/>
    </row>
    <row r="88" spans="1:65" ht="24.75" customHeight="1">
      <c r="A88" s="1290" t="s">
        <v>5067</v>
      </c>
      <c r="B88" s="86"/>
      <c r="C88" s="86"/>
      <c r="D88" s="86"/>
      <c r="E88" s="86">
        <f t="shared" si="2"/>
        <v>41.5</v>
      </c>
      <c r="F88" s="86">
        <v>41.5</v>
      </c>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1254"/>
      <c r="AN88" s="86"/>
      <c r="AO88" s="86">
        <f t="shared" si="3"/>
        <v>0</v>
      </c>
      <c r="AP88" s="86"/>
      <c r="AQ88" s="86"/>
      <c r="AR88" s="86"/>
      <c r="AS88" s="86"/>
      <c r="AT88" s="86"/>
      <c r="AU88" s="86"/>
      <c r="AV88" s="86"/>
      <c r="AW88" s="86"/>
      <c r="AX88" s="86"/>
      <c r="AY88" s="86"/>
      <c r="AZ88" s="86"/>
      <c r="BA88" s="86"/>
      <c r="BB88" s="86"/>
      <c r="BC88" s="86"/>
      <c r="BD88" s="86"/>
      <c r="BE88" s="86"/>
      <c r="BF88" s="86"/>
      <c r="BG88" s="1291"/>
      <c r="BH88" s="1254"/>
      <c r="BI88" s="86"/>
      <c r="BJ88" s="86"/>
      <c r="BK88" s="86"/>
      <c r="BL88" s="86"/>
      <c r="BM88" s="86"/>
    </row>
    <row r="89" spans="1:65" ht="24.75" customHeight="1">
      <c r="A89" s="1290" t="s">
        <v>5068</v>
      </c>
      <c r="B89" s="86"/>
      <c r="C89" s="86"/>
      <c r="D89" s="86"/>
      <c r="E89" s="86">
        <f t="shared" si="2"/>
        <v>43.3</v>
      </c>
      <c r="F89" s="86">
        <v>43.3</v>
      </c>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1254"/>
      <c r="AN89" s="86"/>
      <c r="AO89" s="86">
        <f t="shared" si="3"/>
        <v>0</v>
      </c>
      <c r="AP89" s="86"/>
      <c r="AQ89" s="86"/>
      <c r="AR89" s="86"/>
      <c r="AS89" s="86"/>
      <c r="AT89" s="86"/>
      <c r="AU89" s="86"/>
      <c r="AV89" s="86"/>
      <c r="AW89" s="86"/>
      <c r="AX89" s="86"/>
      <c r="AY89" s="86"/>
      <c r="AZ89" s="86"/>
      <c r="BA89" s="86"/>
      <c r="BB89" s="86"/>
      <c r="BC89" s="86"/>
      <c r="BD89" s="86"/>
      <c r="BE89" s="86"/>
      <c r="BF89" s="86"/>
      <c r="BG89" s="1291"/>
      <c r="BH89" s="1254"/>
      <c r="BI89" s="86"/>
      <c r="BJ89" s="86"/>
      <c r="BK89" s="86"/>
      <c r="BL89" s="86"/>
      <c r="BM89" s="86"/>
    </row>
    <row r="90" spans="1:65" ht="24.75" customHeight="1">
      <c r="A90" s="1290" t="s">
        <v>5069</v>
      </c>
      <c r="B90" s="86"/>
      <c r="C90" s="86"/>
      <c r="D90" s="86"/>
      <c r="E90" s="86">
        <f t="shared" si="2"/>
        <v>37.6</v>
      </c>
      <c r="F90" s="86">
        <v>37.6</v>
      </c>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1254"/>
      <c r="AN90" s="86"/>
      <c r="AO90" s="86">
        <f t="shared" si="3"/>
        <v>0</v>
      </c>
      <c r="AP90" s="86"/>
      <c r="AQ90" s="86"/>
      <c r="AR90" s="86"/>
      <c r="AS90" s="86"/>
      <c r="AT90" s="86"/>
      <c r="AU90" s="86"/>
      <c r="AV90" s="86"/>
      <c r="AW90" s="86"/>
      <c r="AX90" s="86"/>
      <c r="AY90" s="86"/>
      <c r="AZ90" s="86"/>
      <c r="BA90" s="86"/>
      <c r="BB90" s="86"/>
      <c r="BC90" s="86"/>
      <c r="BD90" s="86"/>
      <c r="BE90" s="86"/>
      <c r="BF90" s="86"/>
      <c r="BG90" s="1291"/>
      <c r="BH90" s="1254"/>
      <c r="BI90" s="86"/>
      <c r="BJ90" s="86"/>
      <c r="BK90" s="86"/>
      <c r="BL90" s="86"/>
      <c r="BM90" s="86"/>
    </row>
    <row r="91" spans="1:65" ht="24.75" customHeight="1">
      <c r="A91" s="1290" t="s">
        <v>5070</v>
      </c>
      <c r="B91" s="86"/>
      <c r="C91" s="86"/>
      <c r="D91" s="86"/>
      <c r="E91" s="86">
        <f t="shared" si="2"/>
        <v>41.6</v>
      </c>
      <c r="F91" s="86">
        <v>41.6</v>
      </c>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1254"/>
      <c r="AN91" s="86"/>
      <c r="AO91" s="86">
        <f t="shared" si="3"/>
        <v>0</v>
      </c>
      <c r="AP91" s="86"/>
      <c r="AQ91" s="86"/>
      <c r="AR91" s="86"/>
      <c r="AS91" s="86"/>
      <c r="AT91" s="86"/>
      <c r="AU91" s="86"/>
      <c r="AV91" s="86"/>
      <c r="AW91" s="86"/>
      <c r="AX91" s="86"/>
      <c r="AY91" s="86"/>
      <c r="AZ91" s="86"/>
      <c r="BA91" s="86"/>
      <c r="BB91" s="86"/>
      <c r="BC91" s="86"/>
      <c r="BD91" s="86"/>
      <c r="BE91" s="86"/>
      <c r="BF91" s="86"/>
      <c r="BG91" s="1291"/>
      <c r="BH91" s="1254"/>
      <c r="BI91" s="86"/>
      <c r="BJ91" s="86"/>
      <c r="BK91" s="86"/>
      <c r="BL91" s="86"/>
      <c r="BM91" s="86"/>
    </row>
    <row r="92" spans="1:65" ht="24.75" customHeight="1">
      <c r="A92" s="1290" t="s">
        <v>5071</v>
      </c>
      <c r="B92" s="86"/>
      <c r="C92" s="86"/>
      <c r="D92" s="86"/>
      <c r="E92" s="86">
        <f t="shared" si="2"/>
        <v>41.9</v>
      </c>
      <c r="F92" s="86">
        <v>41.9</v>
      </c>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1254"/>
      <c r="AN92" s="86"/>
      <c r="AO92" s="86">
        <f t="shared" si="3"/>
        <v>0</v>
      </c>
      <c r="AP92" s="86"/>
      <c r="AQ92" s="86"/>
      <c r="AR92" s="86"/>
      <c r="AS92" s="86"/>
      <c r="AT92" s="86"/>
      <c r="AU92" s="86"/>
      <c r="AV92" s="86"/>
      <c r="AW92" s="86"/>
      <c r="AX92" s="86"/>
      <c r="AY92" s="86"/>
      <c r="AZ92" s="86"/>
      <c r="BA92" s="86"/>
      <c r="BB92" s="86"/>
      <c r="BC92" s="86"/>
      <c r="BD92" s="86"/>
      <c r="BE92" s="86"/>
      <c r="BF92" s="86"/>
      <c r="BG92" s="1291"/>
      <c r="BH92" s="1254"/>
      <c r="BI92" s="86"/>
      <c r="BJ92" s="86"/>
      <c r="BK92" s="86"/>
      <c r="BL92" s="86"/>
      <c r="BM92" s="86"/>
    </row>
    <row r="93" spans="1:65" ht="24.75" customHeight="1">
      <c r="A93" s="1290" t="s">
        <v>5072</v>
      </c>
      <c r="B93" s="86"/>
      <c r="C93" s="86"/>
      <c r="D93" s="86"/>
      <c r="E93" s="86">
        <f t="shared" si="2"/>
        <v>38.9</v>
      </c>
      <c r="F93" s="86">
        <v>38.9</v>
      </c>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1254"/>
      <c r="AN93" s="86"/>
      <c r="AO93" s="86">
        <f t="shared" si="3"/>
        <v>0</v>
      </c>
      <c r="AP93" s="86"/>
      <c r="AQ93" s="86"/>
      <c r="AR93" s="86"/>
      <c r="AS93" s="86"/>
      <c r="AT93" s="86"/>
      <c r="AU93" s="86"/>
      <c r="AV93" s="86"/>
      <c r="AW93" s="86"/>
      <c r="AX93" s="86"/>
      <c r="AY93" s="86"/>
      <c r="AZ93" s="86"/>
      <c r="BA93" s="86"/>
      <c r="BB93" s="86"/>
      <c r="BC93" s="86"/>
      <c r="BD93" s="86"/>
      <c r="BE93" s="86"/>
      <c r="BF93" s="86"/>
      <c r="BG93" s="1291"/>
      <c r="BH93" s="1254"/>
      <c r="BI93" s="86"/>
      <c r="BJ93" s="86"/>
      <c r="BK93" s="86"/>
      <c r="BL93" s="86"/>
      <c r="BM93" s="86"/>
    </row>
    <row r="94" spans="1:65" ht="24.75" customHeight="1">
      <c r="A94" s="1290" t="s">
        <v>5073</v>
      </c>
      <c r="B94" s="86"/>
      <c r="C94" s="86"/>
      <c r="D94" s="86"/>
      <c r="E94" s="86">
        <f t="shared" si="2"/>
        <v>42.3</v>
      </c>
      <c r="F94" s="86">
        <v>42.3</v>
      </c>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1254"/>
      <c r="AN94" s="86"/>
      <c r="AO94" s="86">
        <f t="shared" si="3"/>
        <v>0</v>
      </c>
      <c r="AP94" s="86"/>
      <c r="AQ94" s="86"/>
      <c r="AR94" s="86"/>
      <c r="AS94" s="86"/>
      <c r="AT94" s="86"/>
      <c r="AU94" s="86"/>
      <c r="AV94" s="86"/>
      <c r="AW94" s="86"/>
      <c r="AX94" s="86"/>
      <c r="AY94" s="86"/>
      <c r="AZ94" s="86"/>
      <c r="BA94" s="86"/>
      <c r="BB94" s="86"/>
      <c r="BC94" s="86"/>
      <c r="BD94" s="86"/>
      <c r="BE94" s="86"/>
      <c r="BF94" s="86"/>
      <c r="BG94" s="1291"/>
      <c r="BH94" s="1254"/>
      <c r="BI94" s="86"/>
      <c r="BJ94" s="86"/>
      <c r="BK94" s="86"/>
      <c r="BL94" s="86"/>
      <c r="BM94" s="86"/>
    </row>
    <row r="95" spans="1:65" ht="24.75" customHeight="1">
      <c r="A95" s="1290" t="s">
        <v>5074</v>
      </c>
      <c r="B95" s="86"/>
      <c r="C95" s="86"/>
      <c r="D95" s="86"/>
      <c r="E95" s="86">
        <f t="shared" si="2"/>
        <v>34.5</v>
      </c>
      <c r="F95" s="86">
        <v>34.5</v>
      </c>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1254"/>
      <c r="AN95" s="86"/>
      <c r="AO95" s="86">
        <f t="shared" si="3"/>
        <v>0</v>
      </c>
      <c r="AP95" s="86"/>
      <c r="AQ95" s="86"/>
      <c r="AR95" s="86"/>
      <c r="AS95" s="86"/>
      <c r="AT95" s="86"/>
      <c r="AU95" s="86"/>
      <c r="AV95" s="86"/>
      <c r="AW95" s="86"/>
      <c r="AX95" s="86"/>
      <c r="AY95" s="86"/>
      <c r="AZ95" s="86"/>
      <c r="BA95" s="86"/>
      <c r="BB95" s="86"/>
      <c r="BC95" s="86"/>
      <c r="BD95" s="86"/>
      <c r="BE95" s="86"/>
      <c r="BF95" s="86"/>
      <c r="BG95" s="1291"/>
      <c r="BH95" s="1254"/>
      <c r="BI95" s="86"/>
      <c r="BJ95" s="86"/>
      <c r="BK95" s="86"/>
      <c r="BL95" s="86"/>
      <c r="BM95" s="86"/>
    </row>
    <row r="96" spans="1:65" ht="24.75" customHeight="1">
      <c r="A96" s="1290" t="s">
        <v>5075</v>
      </c>
      <c r="B96" s="86"/>
      <c r="C96" s="86"/>
      <c r="D96" s="86"/>
      <c r="E96" s="86">
        <f t="shared" si="2"/>
        <v>30.9</v>
      </c>
      <c r="F96" s="86">
        <v>30.9</v>
      </c>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1254"/>
      <c r="AN96" s="86"/>
      <c r="AO96" s="86">
        <f t="shared" si="3"/>
        <v>0</v>
      </c>
      <c r="AP96" s="86"/>
      <c r="AQ96" s="86"/>
      <c r="AR96" s="86"/>
      <c r="AS96" s="86"/>
      <c r="AT96" s="86"/>
      <c r="AU96" s="86"/>
      <c r="AV96" s="86"/>
      <c r="AW96" s="86"/>
      <c r="AX96" s="86"/>
      <c r="AY96" s="86"/>
      <c r="AZ96" s="86"/>
      <c r="BA96" s="86"/>
      <c r="BB96" s="86"/>
      <c r="BC96" s="86"/>
      <c r="BD96" s="86"/>
      <c r="BE96" s="86"/>
      <c r="BF96" s="86"/>
      <c r="BG96" s="1291"/>
      <c r="BH96" s="1254"/>
      <c r="BI96" s="86"/>
      <c r="BJ96" s="86"/>
      <c r="BK96" s="86"/>
      <c r="BL96" s="86"/>
      <c r="BM96" s="86"/>
    </row>
    <row r="97" spans="1:65" ht="24.75" customHeight="1">
      <c r="A97" s="1290" t="s">
        <v>5076</v>
      </c>
      <c r="B97" s="86"/>
      <c r="C97" s="86"/>
      <c r="D97" s="86"/>
      <c r="E97" s="86">
        <f t="shared" si="2"/>
        <v>41.5</v>
      </c>
      <c r="F97" s="86">
        <v>41.5</v>
      </c>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1254"/>
      <c r="AN97" s="86"/>
      <c r="AO97" s="86">
        <f t="shared" si="3"/>
        <v>0</v>
      </c>
      <c r="AP97" s="86"/>
      <c r="AQ97" s="86"/>
      <c r="AR97" s="86"/>
      <c r="AS97" s="86"/>
      <c r="AT97" s="86"/>
      <c r="AU97" s="86"/>
      <c r="AV97" s="86"/>
      <c r="AW97" s="86"/>
      <c r="AX97" s="86"/>
      <c r="AY97" s="86"/>
      <c r="AZ97" s="86"/>
      <c r="BA97" s="86"/>
      <c r="BB97" s="86"/>
      <c r="BC97" s="86"/>
      <c r="BD97" s="86"/>
      <c r="BE97" s="86"/>
      <c r="BF97" s="86"/>
      <c r="BG97" s="1291"/>
      <c r="BH97" s="1254"/>
      <c r="BI97" s="86"/>
      <c r="BJ97" s="86"/>
      <c r="BK97" s="86"/>
      <c r="BL97" s="86"/>
      <c r="BM97" s="86"/>
    </row>
    <row r="98" spans="1:65" ht="24.75" customHeight="1">
      <c r="A98" s="1290" t="s">
        <v>5077</v>
      </c>
      <c r="B98" s="86"/>
      <c r="C98" s="86"/>
      <c r="D98" s="86"/>
      <c r="E98" s="86">
        <f t="shared" si="2"/>
        <v>39.6</v>
      </c>
      <c r="F98" s="86">
        <v>39.6</v>
      </c>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1254"/>
      <c r="AN98" s="86"/>
      <c r="AO98" s="86">
        <f t="shared" si="3"/>
        <v>0</v>
      </c>
      <c r="AP98" s="86"/>
      <c r="AQ98" s="86"/>
      <c r="AR98" s="86"/>
      <c r="AS98" s="86"/>
      <c r="AT98" s="86"/>
      <c r="AU98" s="86"/>
      <c r="AV98" s="86"/>
      <c r="AW98" s="86"/>
      <c r="AX98" s="86"/>
      <c r="AY98" s="86"/>
      <c r="AZ98" s="86"/>
      <c r="BA98" s="86"/>
      <c r="BB98" s="86"/>
      <c r="BC98" s="86"/>
      <c r="BD98" s="86"/>
      <c r="BE98" s="86"/>
      <c r="BF98" s="86"/>
      <c r="BG98" s="1291"/>
      <c r="BH98" s="1254"/>
      <c r="BI98" s="86"/>
      <c r="BJ98" s="86"/>
      <c r="BK98" s="86"/>
      <c r="BL98" s="86"/>
      <c r="BM98" s="86"/>
    </row>
    <row r="99" spans="1:65" ht="24.75" customHeight="1">
      <c r="A99" s="1290" t="s">
        <v>5078</v>
      </c>
      <c r="B99" s="86"/>
      <c r="C99" s="86"/>
      <c r="D99" s="86"/>
      <c r="E99" s="86">
        <f t="shared" si="2"/>
        <v>35.1</v>
      </c>
      <c r="F99" s="86">
        <v>35.1</v>
      </c>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1254"/>
      <c r="AN99" s="86"/>
      <c r="AO99" s="86">
        <f t="shared" si="3"/>
        <v>0</v>
      </c>
      <c r="AP99" s="86"/>
      <c r="AQ99" s="86"/>
      <c r="AR99" s="86"/>
      <c r="AS99" s="86"/>
      <c r="AT99" s="86"/>
      <c r="AU99" s="86"/>
      <c r="AV99" s="86"/>
      <c r="AW99" s="86"/>
      <c r="AX99" s="86"/>
      <c r="AY99" s="86"/>
      <c r="AZ99" s="86"/>
      <c r="BA99" s="86"/>
      <c r="BB99" s="86"/>
      <c r="BC99" s="86"/>
      <c r="BD99" s="86"/>
      <c r="BE99" s="86"/>
      <c r="BF99" s="86"/>
      <c r="BG99" s="1291"/>
      <c r="BH99" s="1254"/>
      <c r="BI99" s="86"/>
      <c r="BJ99" s="86"/>
      <c r="BK99" s="86"/>
      <c r="BL99" s="86"/>
      <c r="BM99" s="86"/>
    </row>
    <row r="100" spans="1:65" ht="24.75" customHeight="1">
      <c r="A100" s="1290" t="s">
        <v>5079</v>
      </c>
      <c r="B100" s="86"/>
      <c r="C100" s="86"/>
      <c r="D100" s="86"/>
      <c r="E100" s="86">
        <f t="shared" si="2"/>
        <v>43.7</v>
      </c>
      <c r="F100" s="86">
        <v>43.7</v>
      </c>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1254"/>
      <c r="AN100" s="86"/>
      <c r="AO100" s="86">
        <f t="shared" si="3"/>
        <v>0</v>
      </c>
      <c r="AP100" s="86"/>
      <c r="AQ100" s="86"/>
      <c r="AR100" s="86"/>
      <c r="AS100" s="86"/>
      <c r="AT100" s="86"/>
      <c r="AU100" s="86"/>
      <c r="AV100" s="86"/>
      <c r="AW100" s="86"/>
      <c r="AX100" s="86"/>
      <c r="AY100" s="86"/>
      <c r="AZ100" s="86"/>
      <c r="BA100" s="86"/>
      <c r="BB100" s="86"/>
      <c r="BC100" s="86"/>
      <c r="BD100" s="86"/>
      <c r="BE100" s="86"/>
      <c r="BF100" s="86"/>
      <c r="BG100" s="1291"/>
      <c r="BH100" s="1254"/>
      <c r="BI100" s="86"/>
      <c r="BJ100" s="86"/>
      <c r="BK100" s="86"/>
      <c r="BL100" s="86"/>
      <c r="BM100" s="86"/>
    </row>
    <row r="101" spans="1:65" ht="24.75" customHeight="1">
      <c r="A101" s="1290" t="s">
        <v>5080</v>
      </c>
      <c r="B101" s="86"/>
      <c r="C101" s="86"/>
      <c r="D101" s="86"/>
      <c r="E101" s="86">
        <f t="shared" si="2"/>
        <v>35.9</v>
      </c>
      <c r="F101" s="86">
        <v>35.9</v>
      </c>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1254"/>
      <c r="AN101" s="86"/>
      <c r="AO101" s="86">
        <f t="shared" si="3"/>
        <v>0</v>
      </c>
      <c r="AP101" s="86"/>
      <c r="AQ101" s="86"/>
      <c r="AR101" s="86"/>
      <c r="AS101" s="86"/>
      <c r="AT101" s="86"/>
      <c r="AU101" s="86"/>
      <c r="AV101" s="86"/>
      <c r="AW101" s="86"/>
      <c r="AX101" s="86"/>
      <c r="AY101" s="86"/>
      <c r="AZ101" s="86"/>
      <c r="BA101" s="86"/>
      <c r="BB101" s="86"/>
      <c r="BC101" s="86"/>
      <c r="BD101" s="86"/>
      <c r="BE101" s="86"/>
      <c r="BF101" s="86"/>
      <c r="BG101" s="1291"/>
      <c r="BH101" s="1254"/>
      <c r="BI101" s="86"/>
      <c r="BJ101" s="86"/>
      <c r="BK101" s="86"/>
      <c r="BL101" s="86"/>
      <c r="BM101" s="86"/>
    </row>
    <row r="102" spans="1:65" ht="24.75" customHeight="1">
      <c r="A102" s="1290" t="s">
        <v>5081</v>
      </c>
      <c r="B102" s="86"/>
      <c r="C102" s="86"/>
      <c r="D102" s="86"/>
      <c r="E102" s="86">
        <f t="shared" si="2"/>
        <v>36.200000000000003</v>
      </c>
      <c r="F102" s="86">
        <v>36.200000000000003</v>
      </c>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1254"/>
      <c r="AN102" s="86"/>
      <c r="AO102" s="86">
        <f t="shared" si="3"/>
        <v>0</v>
      </c>
      <c r="AP102" s="86"/>
      <c r="AQ102" s="86"/>
      <c r="AR102" s="86"/>
      <c r="AS102" s="86"/>
      <c r="AT102" s="86"/>
      <c r="AU102" s="86"/>
      <c r="AV102" s="86"/>
      <c r="AW102" s="86"/>
      <c r="AX102" s="86"/>
      <c r="AY102" s="86"/>
      <c r="AZ102" s="86"/>
      <c r="BA102" s="86"/>
      <c r="BB102" s="86"/>
      <c r="BC102" s="86"/>
      <c r="BD102" s="86"/>
      <c r="BE102" s="86"/>
      <c r="BF102" s="86"/>
      <c r="BG102" s="1291"/>
      <c r="BH102" s="1254"/>
      <c r="BI102" s="86"/>
      <c r="BJ102" s="86"/>
      <c r="BK102" s="86"/>
      <c r="BL102" s="86"/>
      <c r="BM102" s="86"/>
    </row>
    <row r="103" spans="1:65" ht="24.75" customHeight="1">
      <c r="A103" s="1290" t="s">
        <v>5082</v>
      </c>
      <c r="B103" s="86"/>
      <c r="C103" s="86"/>
      <c r="D103" s="86"/>
      <c r="E103" s="86">
        <f t="shared" si="2"/>
        <v>37.5</v>
      </c>
      <c r="F103" s="86">
        <v>37.5</v>
      </c>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1254"/>
      <c r="AN103" s="86"/>
      <c r="AO103" s="86">
        <f t="shared" si="3"/>
        <v>0</v>
      </c>
      <c r="AP103" s="86"/>
      <c r="AQ103" s="86"/>
      <c r="AR103" s="86"/>
      <c r="AS103" s="86"/>
      <c r="AT103" s="86"/>
      <c r="AU103" s="86"/>
      <c r="AV103" s="86"/>
      <c r="AW103" s="86"/>
      <c r="AX103" s="86"/>
      <c r="AY103" s="86"/>
      <c r="AZ103" s="86"/>
      <c r="BA103" s="86"/>
      <c r="BB103" s="86"/>
      <c r="BC103" s="86"/>
      <c r="BD103" s="86"/>
      <c r="BE103" s="86"/>
      <c r="BF103" s="86"/>
      <c r="BG103" s="1291"/>
      <c r="BH103" s="1254"/>
      <c r="BI103" s="86"/>
      <c r="BJ103" s="86"/>
      <c r="BK103" s="86"/>
      <c r="BL103" s="86"/>
      <c r="BM103" s="86"/>
    </row>
    <row r="104" spans="1:65" ht="24.75" customHeight="1">
      <c r="A104" s="1290" t="s">
        <v>5083</v>
      </c>
      <c r="B104" s="86"/>
      <c r="C104" s="86"/>
      <c r="D104" s="86"/>
      <c r="E104" s="86">
        <f t="shared" si="2"/>
        <v>38.700000000000003</v>
      </c>
      <c r="F104" s="86">
        <v>38.700000000000003</v>
      </c>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1254"/>
      <c r="AN104" s="86"/>
      <c r="AO104" s="86">
        <f t="shared" si="3"/>
        <v>0</v>
      </c>
      <c r="AP104" s="86"/>
      <c r="AQ104" s="86"/>
      <c r="AR104" s="86"/>
      <c r="AS104" s="86"/>
      <c r="AT104" s="86"/>
      <c r="AU104" s="86"/>
      <c r="AV104" s="86"/>
      <c r="AW104" s="86"/>
      <c r="AX104" s="86"/>
      <c r="AY104" s="86"/>
      <c r="AZ104" s="86"/>
      <c r="BA104" s="86"/>
      <c r="BB104" s="86"/>
      <c r="BC104" s="86"/>
      <c r="BD104" s="86"/>
      <c r="BE104" s="86"/>
      <c r="BF104" s="86"/>
      <c r="BG104" s="1291"/>
      <c r="BH104" s="1254"/>
      <c r="BI104" s="86"/>
      <c r="BJ104" s="86"/>
      <c r="BK104" s="86"/>
      <c r="BL104" s="86"/>
      <c r="BM104" s="86"/>
    </row>
    <row r="105" spans="1:65" ht="24.75" customHeight="1">
      <c r="A105" s="1290" t="s">
        <v>5084</v>
      </c>
      <c r="B105" s="86"/>
      <c r="C105" s="86"/>
      <c r="D105" s="86"/>
      <c r="E105" s="86">
        <f t="shared" si="2"/>
        <v>34</v>
      </c>
      <c r="F105" s="86">
        <v>34</v>
      </c>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1254"/>
      <c r="AN105" s="86"/>
      <c r="AO105" s="86">
        <f t="shared" si="3"/>
        <v>0</v>
      </c>
      <c r="AP105" s="86"/>
      <c r="AQ105" s="86"/>
      <c r="AR105" s="86"/>
      <c r="AS105" s="86"/>
      <c r="AT105" s="86"/>
      <c r="AU105" s="86"/>
      <c r="AV105" s="86"/>
      <c r="AW105" s="86"/>
      <c r="AX105" s="86"/>
      <c r="AY105" s="86"/>
      <c r="AZ105" s="86"/>
      <c r="BA105" s="86"/>
      <c r="BB105" s="86"/>
      <c r="BC105" s="86"/>
      <c r="BD105" s="86"/>
      <c r="BE105" s="86"/>
      <c r="BF105" s="86"/>
      <c r="BG105" s="1291"/>
      <c r="BH105" s="1254"/>
      <c r="BI105" s="86"/>
      <c r="BJ105" s="86"/>
      <c r="BK105" s="86"/>
      <c r="BL105" s="86"/>
      <c r="BM105" s="86"/>
    </row>
    <row r="106" spans="1:65" ht="24.75" customHeight="1">
      <c r="A106" s="1290" t="s">
        <v>5085</v>
      </c>
      <c r="B106" s="86"/>
      <c r="C106" s="86"/>
      <c r="D106" s="86"/>
      <c r="E106" s="86">
        <f t="shared" si="2"/>
        <v>37</v>
      </c>
      <c r="F106" s="86">
        <v>37</v>
      </c>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1254"/>
      <c r="AN106" s="86"/>
      <c r="AO106" s="86">
        <f t="shared" si="3"/>
        <v>0</v>
      </c>
      <c r="AP106" s="86"/>
      <c r="AQ106" s="86"/>
      <c r="AR106" s="86"/>
      <c r="AS106" s="86"/>
      <c r="AT106" s="86"/>
      <c r="AU106" s="86"/>
      <c r="AV106" s="86"/>
      <c r="AW106" s="86"/>
      <c r="AX106" s="86"/>
      <c r="AY106" s="86"/>
      <c r="AZ106" s="86"/>
      <c r="BA106" s="86"/>
      <c r="BB106" s="86"/>
      <c r="BC106" s="86"/>
      <c r="BD106" s="86"/>
      <c r="BE106" s="86"/>
      <c r="BF106" s="86"/>
      <c r="BG106" s="1291"/>
      <c r="BH106" s="1254"/>
      <c r="BI106" s="86"/>
      <c r="BJ106" s="86"/>
      <c r="BK106" s="86"/>
      <c r="BL106" s="86"/>
      <c r="BM106" s="86"/>
    </row>
    <row r="107" spans="1:65" ht="24.75" customHeight="1">
      <c r="A107" s="1290" t="s">
        <v>5086</v>
      </c>
      <c r="B107" s="86"/>
      <c r="C107" s="86"/>
      <c r="D107" s="86"/>
      <c r="E107" s="86">
        <f t="shared" si="2"/>
        <v>39.299999999999997</v>
      </c>
      <c r="F107" s="86">
        <v>39.299999999999997</v>
      </c>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1254"/>
      <c r="AN107" s="86"/>
      <c r="AO107" s="86">
        <f t="shared" si="3"/>
        <v>0</v>
      </c>
      <c r="AP107" s="86"/>
      <c r="AQ107" s="86"/>
      <c r="AR107" s="86"/>
      <c r="AS107" s="86"/>
      <c r="AT107" s="86"/>
      <c r="AU107" s="86"/>
      <c r="AV107" s="86"/>
      <c r="AW107" s="86"/>
      <c r="AX107" s="86"/>
      <c r="AY107" s="86"/>
      <c r="AZ107" s="86"/>
      <c r="BA107" s="86"/>
      <c r="BB107" s="86"/>
      <c r="BC107" s="86"/>
      <c r="BD107" s="86"/>
      <c r="BE107" s="86"/>
      <c r="BF107" s="86"/>
      <c r="BG107" s="1291"/>
      <c r="BH107" s="1254"/>
      <c r="BI107" s="86"/>
      <c r="BJ107" s="86"/>
      <c r="BK107" s="86"/>
      <c r="BL107" s="86"/>
      <c r="BM107" s="86"/>
    </row>
    <row r="108" spans="1:65" ht="24.75" customHeight="1">
      <c r="A108" s="1290" t="s">
        <v>5087</v>
      </c>
      <c r="B108" s="86"/>
      <c r="C108" s="86"/>
      <c r="D108" s="86"/>
      <c r="E108" s="86">
        <f t="shared" si="2"/>
        <v>38.9</v>
      </c>
      <c r="F108" s="86">
        <v>38.9</v>
      </c>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1254"/>
      <c r="AN108" s="86"/>
      <c r="AO108" s="86">
        <f t="shared" si="3"/>
        <v>0</v>
      </c>
      <c r="AP108" s="86"/>
      <c r="AQ108" s="86"/>
      <c r="AR108" s="86"/>
      <c r="AS108" s="86"/>
      <c r="AT108" s="86"/>
      <c r="AU108" s="86"/>
      <c r="AV108" s="86"/>
      <c r="AW108" s="86"/>
      <c r="AX108" s="86"/>
      <c r="AY108" s="86"/>
      <c r="AZ108" s="86"/>
      <c r="BA108" s="86"/>
      <c r="BB108" s="86"/>
      <c r="BC108" s="86"/>
      <c r="BD108" s="86"/>
      <c r="BE108" s="86"/>
      <c r="BF108" s="86"/>
      <c r="BG108" s="1291"/>
      <c r="BH108" s="1254"/>
      <c r="BI108" s="86"/>
      <c r="BJ108" s="86"/>
      <c r="BK108" s="86"/>
      <c r="BL108" s="86"/>
      <c r="BM108" s="86"/>
    </row>
    <row r="109" spans="1:65" ht="24.75" customHeight="1">
      <c r="A109" s="1290" t="s">
        <v>5088</v>
      </c>
      <c r="B109" s="86"/>
      <c r="C109" s="86"/>
      <c r="D109" s="86"/>
      <c r="E109" s="86">
        <f t="shared" si="2"/>
        <v>60.1</v>
      </c>
      <c r="F109" s="86">
        <v>60.1</v>
      </c>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1254"/>
      <c r="AN109" s="86"/>
      <c r="AO109" s="86">
        <f t="shared" si="3"/>
        <v>0</v>
      </c>
      <c r="AP109" s="86"/>
      <c r="AQ109" s="86"/>
      <c r="AR109" s="86"/>
      <c r="AS109" s="86"/>
      <c r="AT109" s="86"/>
      <c r="AU109" s="86"/>
      <c r="AV109" s="86"/>
      <c r="AW109" s="86"/>
      <c r="AX109" s="86"/>
      <c r="AY109" s="86"/>
      <c r="AZ109" s="86"/>
      <c r="BA109" s="86"/>
      <c r="BB109" s="86"/>
      <c r="BC109" s="86"/>
      <c r="BD109" s="86"/>
      <c r="BE109" s="86"/>
      <c r="BF109" s="86"/>
      <c r="BG109" s="1291"/>
      <c r="BH109" s="1254"/>
      <c r="BI109" s="86"/>
      <c r="BJ109" s="86"/>
      <c r="BK109" s="86"/>
      <c r="BL109" s="86"/>
      <c r="BM109" s="86"/>
    </row>
    <row r="110" spans="1:65" ht="24.75" customHeight="1">
      <c r="A110" s="1290" t="s">
        <v>5089</v>
      </c>
      <c r="B110" s="86"/>
      <c r="C110" s="86"/>
      <c r="D110" s="86"/>
      <c r="E110" s="86">
        <f t="shared" si="2"/>
        <v>20</v>
      </c>
      <c r="F110" s="86">
        <v>20</v>
      </c>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1254"/>
      <c r="AN110" s="86"/>
      <c r="AO110" s="86">
        <f t="shared" si="3"/>
        <v>0</v>
      </c>
      <c r="AP110" s="86"/>
      <c r="AQ110" s="86"/>
      <c r="AR110" s="86"/>
      <c r="AS110" s="86"/>
      <c r="AT110" s="86"/>
      <c r="AU110" s="86"/>
      <c r="AV110" s="86"/>
      <c r="AW110" s="86"/>
      <c r="AX110" s="86"/>
      <c r="AY110" s="86"/>
      <c r="AZ110" s="86"/>
      <c r="BA110" s="86"/>
      <c r="BB110" s="86"/>
      <c r="BC110" s="86"/>
      <c r="BD110" s="86"/>
      <c r="BE110" s="86"/>
      <c r="BF110" s="86"/>
      <c r="BG110" s="1291"/>
      <c r="BH110" s="1254"/>
      <c r="BI110" s="86"/>
      <c r="BJ110" s="86"/>
      <c r="BK110" s="86"/>
      <c r="BL110" s="86"/>
      <c r="BM110" s="86"/>
    </row>
    <row r="111" spans="1:65" ht="24.75" customHeight="1">
      <c r="A111" s="1290" t="s">
        <v>5090</v>
      </c>
      <c r="B111" s="86"/>
      <c r="C111" s="86"/>
      <c r="D111" s="86"/>
      <c r="E111" s="86">
        <f t="shared" si="2"/>
        <v>3.5</v>
      </c>
      <c r="F111" s="86">
        <v>3.5</v>
      </c>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1254"/>
      <c r="AN111" s="86"/>
      <c r="AO111" s="86">
        <f t="shared" si="3"/>
        <v>0</v>
      </c>
      <c r="AP111" s="86"/>
      <c r="AQ111" s="86"/>
      <c r="AR111" s="86"/>
      <c r="AS111" s="86"/>
      <c r="AT111" s="86"/>
      <c r="AU111" s="86"/>
      <c r="AV111" s="86"/>
      <c r="AW111" s="86"/>
      <c r="AX111" s="86"/>
      <c r="AY111" s="86"/>
      <c r="AZ111" s="86"/>
      <c r="BA111" s="86"/>
      <c r="BB111" s="86"/>
      <c r="BC111" s="86"/>
      <c r="BD111" s="86"/>
      <c r="BE111" s="86"/>
      <c r="BF111" s="86"/>
      <c r="BG111" s="1291"/>
      <c r="BH111" s="1254"/>
      <c r="BI111" s="86"/>
      <c r="BJ111" s="86"/>
      <c r="BK111" s="86"/>
      <c r="BL111" s="86"/>
      <c r="BM111" s="86"/>
    </row>
    <row r="112" spans="1:65" ht="24.75" customHeight="1">
      <c r="A112" s="1290" t="s">
        <v>5091</v>
      </c>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1254"/>
      <c r="AN112" s="86"/>
      <c r="AO112" s="86">
        <f t="shared" si="3"/>
        <v>0</v>
      </c>
      <c r="AP112" s="86"/>
      <c r="AQ112" s="86"/>
      <c r="AR112" s="86"/>
      <c r="AS112" s="86"/>
      <c r="AT112" s="86"/>
      <c r="AU112" s="86"/>
      <c r="AV112" s="86"/>
      <c r="AW112" s="86"/>
      <c r="AX112" s="86"/>
      <c r="AY112" s="86"/>
      <c r="AZ112" s="86"/>
      <c r="BA112" s="86"/>
      <c r="BB112" s="86"/>
      <c r="BC112" s="86"/>
      <c r="BD112" s="86"/>
      <c r="BE112" s="86"/>
      <c r="BF112" s="86"/>
      <c r="BG112" s="1291"/>
      <c r="BH112" s="1254"/>
      <c r="BI112" s="86"/>
      <c r="BJ112" s="86"/>
      <c r="BK112" s="86"/>
      <c r="BL112" s="86"/>
      <c r="BM112" s="86"/>
    </row>
    <row r="113" spans="1:65" ht="24.75" customHeight="1">
      <c r="A113" s="1290" t="s">
        <v>5092</v>
      </c>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1254"/>
      <c r="AN113" s="86"/>
      <c r="AO113" s="86">
        <f t="shared" si="3"/>
        <v>0</v>
      </c>
      <c r="AP113" s="86"/>
      <c r="AQ113" s="86"/>
      <c r="AR113" s="86"/>
      <c r="AS113" s="86"/>
      <c r="AT113" s="86"/>
      <c r="AU113" s="86"/>
      <c r="AV113" s="86"/>
      <c r="AW113" s="86"/>
      <c r="AX113" s="86"/>
      <c r="AY113" s="86"/>
      <c r="AZ113" s="86"/>
      <c r="BA113" s="86"/>
      <c r="BB113" s="86"/>
      <c r="BC113" s="86"/>
      <c r="BD113" s="86"/>
      <c r="BE113" s="86"/>
      <c r="BF113" s="86"/>
      <c r="BG113" s="1291"/>
      <c r="BH113" s="1254"/>
      <c r="BI113" s="86"/>
      <c r="BJ113" s="86"/>
      <c r="BK113" s="86"/>
      <c r="BL113" s="86"/>
      <c r="BM113" s="86"/>
    </row>
    <row r="114" spans="1:65" ht="24.75" customHeight="1">
      <c r="A114" s="1290" t="s">
        <v>5093</v>
      </c>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1254"/>
      <c r="AN114" s="86"/>
      <c r="AO114" s="86">
        <f t="shared" si="3"/>
        <v>0</v>
      </c>
      <c r="AP114" s="86"/>
      <c r="AQ114" s="86"/>
      <c r="AR114" s="86"/>
      <c r="AS114" s="86"/>
      <c r="AT114" s="86"/>
      <c r="AU114" s="86"/>
      <c r="AV114" s="86"/>
      <c r="AW114" s="86"/>
      <c r="AX114" s="86"/>
      <c r="AY114" s="86"/>
      <c r="AZ114" s="86"/>
      <c r="BA114" s="86"/>
      <c r="BB114" s="86"/>
      <c r="BC114" s="86"/>
      <c r="BD114" s="86"/>
      <c r="BE114" s="86"/>
      <c r="BF114" s="86"/>
      <c r="BG114" s="1291"/>
      <c r="BH114" s="1254"/>
      <c r="BI114" s="86"/>
      <c r="BJ114" s="86"/>
      <c r="BK114" s="86"/>
      <c r="BL114" s="86"/>
      <c r="BM114" s="86"/>
    </row>
    <row r="115" spans="1:65" ht="24.75" customHeight="1">
      <c r="A115" s="1290"/>
      <c r="B115" s="86" t="s">
        <v>5115</v>
      </c>
      <c r="C115" s="86"/>
      <c r="D115" s="86" t="s">
        <v>2361</v>
      </c>
      <c r="E115" s="86"/>
      <c r="F115" s="86"/>
      <c r="G115" s="86"/>
      <c r="H115" s="86"/>
      <c r="I115" s="86"/>
      <c r="J115" s="86"/>
      <c r="K115" s="86"/>
      <c r="L115" s="86">
        <v>1</v>
      </c>
      <c r="M115" s="86"/>
      <c r="N115" s="86"/>
      <c r="O115" s="86"/>
      <c r="P115" s="86">
        <v>1</v>
      </c>
      <c r="Q115" s="86"/>
      <c r="R115" s="86"/>
      <c r="S115" s="86"/>
      <c r="T115" s="86"/>
      <c r="U115" s="86"/>
      <c r="V115" s="86"/>
      <c r="W115" s="86"/>
      <c r="X115" s="86"/>
      <c r="Y115" s="86"/>
      <c r="Z115" s="86"/>
      <c r="AA115" s="86"/>
      <c r="AB115" s="86"/>
      <c r="AC115" s="86"/>
      <c r="AD115" s="86">
        <v>8</v>
      </c>
      <c r="AE115" s="86"/>
      <c r="AF115" s="86"/>
      <c r="AG115" s="86"/>
      <c r="AH115" s="86"/>
      <c r="AI115" s="86"/>
      <c r="AJ115" s="86"/>
      <c r="AK115" s="86"/>
      <c r="AL115" s="86"/>
      <c r="AM115" s="1254"/>
      <c r="AN115" s="86"/>
      <c r="AO115" s="86">
        <f t="shared" si="3"/>
        <v>8</v>
      </c>
      <c r="AP115" s="86">
        <v>7</v>
      </c>
      <c r="AQ115" s="86"/>
      <c r="AR115" s="86"/>
      <c r="AS115" s="86"/>
      <c r="AT115" s="86">
        <v>5</v>
      </c>
      <c r="AU115" s="86">
        <v>1</v>
      </c>
      <c r="AV115" s="86"/>
      <c r="AW115" s="86">
        <v>3</v>
      </c>
      <c r="AX115" s="86"/>
      <c r="AY115" s="86"/>
      <c r="AZ115" s="86"/>
      <c r="BA115" s="86"/>
      <c r="BB115" s="86"/>
      <c r="BC115" s="86"/>
      <c r="BD115" s="86"/>
      <c r="BE115" s="86"/>
      <c r="BF115" s="86"/>
      <c r="BG115" s="1291">
        <v>5</v>
      </c>
      <c r="BH115" s="1254">
        <v>4</v>
      </c>
      <c r="BI115" s="86"/>
      <c r="BJ115" s="86"/>
      <c r="BK115" s="86"/>
      <c r="BL115" s="1292"/>
      <c r="BM115" s="86"/>
    </row>
    <row r="116" spans="1:65" ht="24.75" customHeight="1">
      <c r="A116" s="1290" t="s">
        <v>5094</v>
      </c>
      <c r="B116" s="86"/>
      <c r="C116" s="86" t="s">
        <v>2361</v>
      </c>
      <c r="D116" s="86"/>
      <c r="E116" s="86"/>
      <c r="F116" s="86"/>
      <c r="G116" s="86"/>
      <c r="H116" s="86"/>
      <c r="I116" s="86"/>
      <c r="J116" s="86"/>
      <c r="K116" s="86"/>
      <c r="L116" s="86"/>
      <c r="M116" s="86"/>
      <c r="N116" s="86"/>
      <c r="O116" s="86">
        <v>1</v>
      </c>
      <c r="P116" s="86"/>
      <c r="Q116" s="86"/>
      <c r="R116" s="86"/>
      <c r="S116" s="86"/>
      <c r="T116" s="86"/>
      <c r="U116" s="86"/>
      <c r="V116" s="86"/>
      <c r="W116" s="86"/>
      <c r="X116" s="86"/>
      <c r="Y116" s="86"/>
      <c r="Z116" s="86"/>
      <c r="AA116" s="86"/>
      <c r="AB116" s="86"/>
      <c r="AC116" s="86"/>
      <c r="AD116" s="86">
        <v>8</v>
      </c>
      <c r="AE116" s="86"/>
      <c r="AF116" s="86"/>
      <c r="AG116" s="86"/>
      <c r="AH116" s="86"/>
      <c r="AI116" s="86"/>
      <c r="AJ116" s="86"/>
      <c r="AK116" s="86"/>
      <c r="AL116" s="86"/>
      <c r="AM116" s="1254"/>
      <c r="AN116" s="86"/>
      <c r="AO116" s="86">
        <f t="shared" si="3"/>
        <v>8</v>
      </c>
      <c r="AP116" s="86">
        <v>8</v>
      </c>
      <c r="AQ116" s="86">
        <v>2</v>
      </c>
      <c r="AR116" s="86"/>
      <c r="AS116" s="86"/>
      <c r="AT116" s="86">
        <v>4</v>
      </c>
      <c r="AU116" s="86">
        <v>1</v>
      </c>
      <c r="AV116" s="86"/>
      <c r="AW116" s="86"/>
      <c r="AX116" s="86">
        <v>2</v>
      </c>
      <c r="AY116" s="86"/>
      <c r="AZ116" s="86"/>
      <c r="BA116" s="86"/>
      <c r="BB116" s="86"/>
      <c r="BC116" s="86"/>
      <c r="BD116" s="86"/>
      <c r="BE116" s="86"/>
      <c r="BF116" s="86"/>
      <c r="BG116" s="1291">
        <v>4</v>
      </c>
      <c r="BH116" s="1254">
        <v>3</v>
      </c>
      <c r="BI116" s="86"/>
      <c r="BJ116" s="86"/>
      <c r="BK116" s="86"/>
      <c r="BL116" s="86"/>
      <c r="BM116" s="86"/>
    </row>
    <row r="117" spans="1:65" ht="24.75" customHeight="1">
      <c r="A117" s="1290" t="s">
        <v>5095</v>
      </c>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1254"/>
      <c r="AN117" s="86"/>
      <c r="AO117" s="86">
        <f t="shared" si="3"/>
        <v>0</v>
      </c>
      <c r="AP117" s="86"/>
      <c r="AQ117" s="86"/>
      <c r="AR117" s="86"/>
      <c r="AS117" s="86"/>
      <c r="AT117" s="86"/>
      <c r="AU117" s="86"/>
      <c r="AV117" s="86"/>
      <c r="AW117" s="86"/>
      <c r="AX117" s="86"/>
      <c r="AY117" s="86"/>
      <c r="AZ117" s="86"/>
      <c r="BA117" s="86"/>
      <c r="BB117" s="86"/>
      <c r="BC117" s="86"/>
      <c r="BD117" s="86"/>
      <c r="BE117" s="86"/>
      <c r="BF117" s="86"/>
      <c r="BG117" s="1291"/>
      <c r="BH117" s="1254"/>
      <c r="BI117" s="86"/>
      <c r="BJ117" s="86"/>
      <c r="BK117" s="86"/>
      <c r="BL117" s="86"/>
      <c r="BM117" s="86"/>
    </row>
    <row r="118" spans="1:65" ht="24.75" customHeight="1">
      <c r="A118" s="1290" t="s">
        <v>5096</v>
      </c>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1254"/>
      <c r="AN118" s="86"/>
      <c r="AO118" s="86">
        <f t="shared" si="3"/>
        <v>0</v>
      </c>
      <c r="AP118" s="86"/>
      <c r="AQ118" s="86"/>
      <c r="AR118" s="86"/>
      <c r="AS118" s="86"/>
      <c r="AT118" s="86"/>
      <c r="AU118" s="86"/>
      <c r="AV118" s="86"/>
      <c r="AW118" s="86"/>
      <c r="AX118" s="86"/>
      <c r="AY118" s="86"/>
      <c r="AZ118" s="86"/>
      <c r="BA118" s="86"/>
      <c r="BB118" s="86"/>
      <c r="BC118" s="86"/>
      <c r="BD118" s="86"/>
      <c r="BE118" s="86"/>
      <c r="BF118" s="86"/>
      <c r="BG118" s="1291"/>
      <c r="BH118" s="1254"/>
      <c r="BI118" s="86"/>
      <c r="BJ118" s="86"/>
      <c r="BK118" s="86"/>
      <c r="BL118" s="86"/>
      <c r="BM118" s="86"/>
    </row>
    <row r="119" spans="1:65" ht="24.75" customHeight="1">
      <c r="A119" s="1290" t="s">
        <v>5097</v>
      </c>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1254"/>
      <c r="AN119" s="86"/>
      <c r="AO119" s="86">
        <f t="shared" si="3"/>
        <v>0</v>
      </c>
      <c r="AP119" s="86"/>
      <c r="AQ119" s="86"/>
      <c r="AR119" s="86"/>
      <c r="AS119" s="86"/>
      <c r="AT119" s="86"/>
      <c r="AU119" s="86"/>
      <c r="AV119" s="86"/>
      <c r="AW119" s="86"/>
      <c r="AX119" s="86"/>
      <c r="AY119" s="86"/>
      <c r="AZ119" s="86"/>
      <c r="BA119" s="86"/>
      <c r="BB119" s="86"/>
      <c r="BC119" s="86"/>
      <c r="BD119" s="86"/>
      <c r="BE119" s="86"/>
      <c r="BF119" s="86"/>
      <c r="BG119" s="1291"/>
      <c r="BH119" s="1254"/>
      <c r="BI119" s="86"/>
      <c r="BJ119" s="86"/>
      <c r="BK119" s="86"/>
      <c r="BL119" s="86"/>
      <c r="BM119" s="86"/>
    </row>
    <row r="120" spans="1:65" ht="24.75" customHeight="1">
      <c r="A120" s="1290" t="s">
        <v>5098</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1254"/>
      <c r="AN120" s="86"/>
      <c r="AO120" s="86">
        <f t="shared" si="3"/>
        <v>0</v>
      </c>
      <c r="AP120" s="86"/>
      <c r="AQ120" s="86"/>
      <c r="AR120" s="86"/>
      <c r="AS120" s="86"/>
      <c r="AT120" s="86"/>
      <c r="AU120" s="86"/>
      <c r="AV120" s="86"/>
      <c r="AW120" s="86"/>
      <c r="AX120" s="86"/>
      <c r="AY120" s="86"/>
      <c r="AZ120" s="86"/>
      <c r="BA120" s="86"/>
      <c r="BB120" s="86"/>
      <c r="BC120" s="86"/>
      <c r="BD120" s="86"/>
      <c r="BE120" s="86"/>
      <c r="BF120" s="86"/>
      <c r="BG120" s="1291"/>
      <c r="BH120" s="1254"/>
      <c r="BI120" s="86"/>
      <c r="BJ120" s="86"/>
      <c r="BK120" s="86"/>
      <c r="BL120" s="86"/>
      <c r="BM120" s="86"/>
    </row>
    <row r="121" spans="1:65" ht="24.75" customHeight="1">
      <c r="A121" s="1290" t="s">
        <v>5099</v>
      </c>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1254"/>
      <c r="AN121" s="86"/>
      <c r="AO121" s="86">
        <f t="shared" si="3"/>
        <v>0</v>
      </c>
      <c r="AP121" s="86"/>
      <c r="AQ121" s="86"/>
      <c r="AR121" s="86"/>
      <c r="AS121" s="86"/>
      <c r="AT121" s="86"/>
      <c r="AU121" s="86"/>
      <c r="AV121" s="86"/>
      <c r="AW121" s="86"/>
      <c r="AX121" s="86"/>
      <c r="AY121" s="86"/>
      <c r="AZ121" s="86"/>
      <c r="BA121" s="86"/>
      <c r="BB121" s="86"/>
      <c r="BC121" s="86"/>
      <c r="BD121" s="86"/>
      <c r="BE121" s="86"/>
      <c r="BF121" s="86"/>
      <c r="BG121" s="1291"/>
      <c r="BH121" s="1254"/>
      <c r="BI121" s="86"/>
      <c r="BJ121" s="86"/>
      <c r="BK121" s="86"/>
      <c r="BL121" s="86"/>
      <c r="BM121" s="86"/>
    </row>
    <row r="122" spans="1:65" ht="24.75" customHeight="1">
      <c r="A122" s="1290" t="s">
        <v>5100</v>
      </c>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1254"/>
      <c r="AN122" s="86"/>
      <c r="AO122" s="86">
        <f t="shared" si="3"/>
        <v>0</v>
      </c>
      <c r="AP122" s="86"/>
      <c r="AQ122" s="86"/>
      <c r="AR122" s="86"/>
      <c r="AS122" s="86"/>
      <c r="AT122" s="86"/>
      <c r="AU122" s="86"/>
      <c r="AV122" s="86"/>
      <c r="AW122" s="86"/>
      <c r="AX122" s="86"/>
      <c r="AY122" s="86"/>
      <c r="AZ122" s="86"/>
      <c r="BA122" s="86"/>
      <c r="BB122" s="86"/>
      <c r="BC122" s="86"/>
      <c r="BD122" s="86"/>
      <c r="BE122" s="86"/>
      <c r="BF122" s="86"/>
      <c r="BG122" s="1291"/>
      <c r="BH122" s="1254"/>
      <c r="BI122" s="86"/>
      <c r="BJ122" s="86"/>
      <c r="BK122" s="86"/>
      <c r="BL122" s="86"/>
      <c r="BM122" s="86"/>
    </row>
    <row r="123" spans="1:65" ht="24.75" customHeight="1">
      <c r="A123" s="1290" t="s">
        <v>5101</v>
      </c>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1254"/>
      <c r="AN123" s="86"/>
      <c r="AO123" s="86">
        <f t="shared" si="3"/>
        <v>0</v>
      </c>
      <c r="AP123" s="86"/>
      <c r="AQ123" s="86"/>
      <c r="AR123" s="86"/>
      <c r="AS123" s="86"/>
      <c r="AT123" s="86"/>
      <c r="AU123" s="86"/>
      <c r="AV123" s="86"/>
      <c r="AW123" s="86"/>
      <c r="AX123" s="86"/>
      <c r="AY123" s="86"/>
      <c r="AZ123" s="86"/>
      <c r="BA123" s="86"/>
      <c r="BB123" s="86"/>
      <c r="BC123" s="86"/>
      <c r="BD123" s="86"/>
      <c r="BE123" s="86"/>
      <c r="BF123" s="86"/>
      <c r="BG123" s="1291"/>
      <c r="BH123" s="1254"/>
      <c r="BI123" s="86"/>
      <c r="BJ123" s="86"/>
      <c r="BK123" s="86"/>
      <c r="BL123" s="86"/>
      <c r="BM123" s="86"/>
    </row>
    <row r="124" spans="1:65" ht="24.75" customHeight="1">
      <c r="A124" s="1290" t="s">
        <v>5102</v>
      </c>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1254"/>
      <c r="AN124" s="86"/>
      <c r="AO124" s="86">
        <f t="shared" si="3"/>
        <v>0</v>
      </c>
      <c r="AP124" s="86"/>
      <c r="AQ124" s="86"/>
      <c r="AR124" s="86"/>
      <c r="AS124" s="86"/>
      <c r="AT124" s="86"/>
      <c r="AU124" s="86"/>
      <c r="AV124" s="86"/>
      <c r="AW124" s="86"/>
      <c r="AX124" s="86"/>
      <c r="AY124" s="86"/>
      <c r="AZ124" s="86"/>
      <c r="BA124" s="86"/>
      <c r="BB124" s="86"/>
      <c r="BC124" s="86"/>
      <c r="BD124" s="86"/>
      <c r="BE124" s="86"/>
      <c r="BF124" s="86"/>
      <c r="BG124" s="1291"/>
      <c r="BH124" s="1254"/>
      <c r="BI124" s="86"/>
      <c r="BJ124" s="86"/>
      <c r="BK124" s="86"/>
      <c r="BL124" s="86"/>
      <c r="BM124" s="86"/>
    </row>
    <row r="125" spans="1:65" ht="24.75" customHeight="1">
      <c r="A125" s="1290" t="s">
        <v>5103</v>
      </c>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1254"/>
      <c r="AN125" s="86"/>
      <c r="AO125" s="86">
        <f t="shared" si="3"/>
        <v>0</v>
      </c>
      <c r="AP125" s="86"/>
      <c r="AQ125" s="86"/>
      <c r="AR125" s="86"/>
      <c r="AS125" s="86"/>
      <c r="AT125" s="86"/>
      <c r="AU125" s="86"/>
      <c r="AV125" s="86"/>
      <c r="AW125" s="86"/>
      <c r="AX125" s="86"/>
      <c r="AY125" s="86"/>
      <c r="AZ125" s="86"/>
      <c r="BA125" s="86"/>
      <c r="BB125" s="86"/>
      <c r="BC125" s="86"/>
      <c r="BD125" s="86"/>
      <c r="BE125" s="86"/>
      <c r="BF125" s="86"/>
      <c r="BG125" s="1291"/>
      <c r="BH125" s="1254"/>
      <c r="BI125" s="86"/>
      <c r="BJ125" s="86"/>
      <c r="BK125" s="86"/>
      <c r="BL125" s="86"/>
      <c r="BM125" s="86"/>
    </row>
    <row r="126" spans="1:65" ht="24.75" customHeight="1">
      <c r="A126" s="1290" t="s">
        <v>5104</v>
      </c>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1254"/>
      <c r="AN126" s="86"/>
      <c r="AO126" s="86">
        <f t="shared" si="3"/>
        <v>0</v>
      </c>
      <c r="AP126" s="86"/>
      <c r="AQ126" s="86"/>
      <c r="AR126" s="86"/>
      <c r="AS126" s="86"/>
      <c r="AT126" s="86"/>
      <c r="AU126" s="86"/>
      <c r="AV126" s="86"/>
      <c r="AW126" s="86"/>
      <c r="AX126" s="86"/>
      <c r="AY126" s="86"/>
      <c r="AZ126" s="86"/>
      <c r="BA126" s="86"/>
      <c r="BB126" s="86"/>
      <c r="BC126" s="86"/>
      <c r="BD126" s="86"/>
      <c r="BE126" s="86"/>
      <c r="BF126" s="86"/>
      <c r="BG126" s="1291"/>
      <c r="BH126" s="1254"/>
      <c r="BI126" s="86"/>
      <c r="BJ126" s="86"/>
      <c r="BK126" s="86"/>
      <c r="BL126" s="86"/>
      <c r="BM126" s="86"/>
    </row>
    <row r="127" spans="1:65" ht="24.75" customHeight="1">
      <c r="A127" s="1290" t="s">
        <v>5105</v>
      </c>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1254"/>
      <c r="AN127" s="86"/>
      <c r="AO127" s="86">
        <f t="shared" si="3"/>
        <v>0</v>
      </c>
      <c r="AP127" s="86"/>
      <c r="AQ127" s="86"/>
      <c r="AR127" s="86"/>
      <c r="AS127" s="86"/>
      <c r="AT127" s="86"/>
      <c r="AU127" s="86"/>
      <c r="AV127" s="86"/>
      <c r="AW127" s="86"/>
      <c r="AX127" s="86"/>
      <c r="AY127" s="86"/>
      <c r="AZ127" s="86"/>
      <c r="BA127" s="86"/>
      <c r="BB127" s="86"/>
      <c r="BC127" s="86"/>
      <c r="BD127" s="86"/>
      <c r="BE127" s="86"/>
      <c r="BF127" s="86"/>
      <c r="BG127" s="1291"/>
      <c r="BH127" s="1254"/>
      <c r="BI127" s="86"/>
      <c r="BJ127" s="86"/>
      <c r="BK127" s="86"/>
      <c r="BL127" s="86"/>
      <c r="BM127" s="86"/>
    </row>
    <row r="128" spans="1:65" ht="24.75" customHeight="1">
      <c r="A128" s="1290" t="s">
        <v>5106</v>
      </c>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1254"/>
      <c r="AN128" s="86"/>
      <c r="AO128" s="86">
        <f t="shared" si="3"/>
        <v>0</v>
      </c>
      <c r="AP128" s="86"/>
      <c r="AQ128" s="86"/>
      <c r="AR128" s="86"/>
      <c r="AS128" s="86"/>
      <c r="AT128" s="86"/>
      <c r="AU128" s="86"/>
      <c r="AV128" s="86"/>
      <c r="AW128" s="86"/>
      <c r="AX128" s="86"/>
      <c r="AY128" s="86"/>
      <c r="AZ128" s="86"/>
      <c r="BA128" s="86"/>
      <c r="BB128" s="86"/>
      <c r="BC128" s="86"/>
      <c r="BD128" s="86"/>
      <c r="BE128" s="86"/>
      <c r="BF128" s="86"/>
      <c r="BG128" s="1291"/>
      <c r="BH128" s="1254"/>
      <c r="BI128" s="86"/>
      <c r="BJ128" s="86"/>
      <c r="BK128" s="86"/>
      <c r="BL128" s="86"/>
      <c r="BM128" s="86"/>
    </row>
    <row r="129" spans="1:65" ht="24.75" customHeight="1">
      <c r="A129" s="1290" t="s">
        <v>5107</v>
      </c>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1254"/>
      <c r="AN129" s="86"/>
      <c r="AO129" s="86">
        <f t="shared" si="3"/>
        <v>0</v>
      </c>
      <c r="AP129" s="86"/>
      <c r="AQ129" s="86"/>
      <c r="AR129" s="86"/>
      <c r="AS129" s="86"/>
      <c r="AT129" s="86"/>
      <c r="AU129" s="86"/>
      <c r="AV129" s="86"/>
      <c r="AW129" s="86"/>
      <c r="AX129" s="86"/>
      <c r="AY129" s="86"/>
      <c r="AZ129" s="86"/>
      <c r="BA129" s="86"/>
      <c r="BB129" s="86"/>
      <c r="BC129" s="86"/>
      <c r="BD129" s="86"/>
      <c r="BE129" s="86"/>
      <c r="BF129" s="86"/>
      <c r="BG129" s="1291"/>
      <c r="BH129" s="1254"/>
      <c r="BI129" s="86"/>
      <c r="BJ129" s="86"/>
      <c r="BK129" s="86"/>
      <c r="BL129" s="86"/>
      <c r="BM129" s="86"/>
    </row>
    <row r="130" spans="1:65" ht="24.75" customHeight="1">
      <c r="A130" s="1290" t="s">
        <v>5108</v>
      </c>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1254"/>
      <c r="AN130" s="86"/>
      <c r="AO130" s="86">
        <f t="shared" si="3"/>
        <v>0</v>
      </c>
      <c r="AP130" s="86"/>
      <c r="AQ130" s="86"/>
      <c r="AR130" s="86"/>
      <c r="AS130" s="86"/>
      <c r="AT130" s="86"/>
      <c r="AU130" s="86"/>
      <c r="AV130" s="86"/>
      <c r="AW130" s="86"/>
      <c r="AX130" s="86"/>
      <c r="AY130" s="86"/>
      <c r="AZ130" s="86"/>
      <c r="BA130" s="86"/>
      <c r="BB130" s="86"/>
      <c r="BC130" s="86"/>
      <c r="BD130" s="86"/>
      <c r="BE130" s="86"/>
      <c r="BF130" s="86"/>
      <c r="BG130" s="1291"/>
      <c r="BH130" s="1254"/>
      <c r="BI130" s="86"/>
      <c r="BJ130" s="86"/>
      <c r="BK130" s="86"/>
      <c r="BL130" s="86"/>
      <c r="BM130" s="86"/>
    </row>
    <row r="131" spans="1:65" ht="24.75" customHeight="1">
      <c r="A131" s="1290" t="s">
        <v>5109</v>
      </c>
      <c r="B131" s="86"/>
      <c r="C131" s="86"/>
      <c r="D131" s="86"/>
      <c r="E131" s="86"/>
      <c r="F131" s="86"/>
      <c r="G131" s="86"/>
      <c r="H131" s="86"/>
      <c r="I131" s="86"/>
      <c r="J131" s="86"/>
      <c r="K131" s="86"/>
      <c r="L131" s="86"/>
      <c r="M131" s="86"/>
      <c r="N131" s="86">
        <v>1</v>
      </c>
      <c r="O131" s="86"/>
      <c r="P131" s="86"/>
      <c r="Q131" s="86"/>
      <c r="R131" s="86"/>
      <c r="S131" s="86"/>
      <c r="T131" s="86"/>
      <c r="U131" s="86"/>
      <c r="V131" s="86"/>
      <c r="W131" s="86"/>
      <c r="X131" s="86"/>
      <c r="Y131" s="86"/>
      <c r="Z131" s="86"/>
      <c r="AA131" s="86"/>
      <c r="AB131" s="86"/>
      <c r="AC131" s="86"/>
      <c r="AD131" s="86"/>
      <c r="AE131" s="86"/>
      <c r="AF131" s="86"/>
      <c r="AG131" s="86"/>
      <c r="AH131" s="86"/>
      <c r="AI131" s="86">
        <v>3</v>
      </c>
      <c r="AJ131" s="86">
        <v>6</v>
      </c>
      <c r="AK131" s="86"/>
      <c r="AL131" s="86"/>
      <c r="AM131" s="1254"/>
      <c r="AN131" s="86"/>
      <c r="AO131" s="86">
        <f t="shared" si="3"/>
        <v>0</v>
      </c>
      <c r="AP131" s="86"/>
      <c r="AQ131" s="86">
        <v>2</v>
      </c>
      <c r="AR131" s="86">
        <v>3</v>
      </c>
      <c r="AS131" s="86">
        <v>1</v>
      </c>
      <c r="AT131" s="86">
        <v>2</v>
      </c>
      <c r="AU131" s="86">
        <v>2</v>
      </c>
      <c r="AV131" s="86"/>
      <c r="AW131" s="86"/>
      <c r="AX131" s="86">
        <v>2</v>
      </c>
      <c r="AY131" s="86">
        <v>3</v>
      </c>
      <c r="AZ131" s="86">
        <v>48</v>
      </c>
      <c r="BA131" s="86">
        <v>30</v>
      </c>
      <c r="BB131" s="86"/>
      <c r="BC131" s="86">
        <v>1</v>
      </c>
      <c r="BD131" s="86">
        <v>3</v>
      </c>
      <c r="BE131" s="86"/>
      <c r="BF131" s="86">
        <v>1</v>
      </c>
      <c r="BG131" s="1291">
        <v>9</v>
      </c>
      <c r="BH131" s="1254">
        <v>8</v>
      </c>
      <c r="BI131" s="86"/>
      <c r="BJ131" s="86"/>
      <c r="BK131" s="86"/>
      <c r="BL131" s="86"/>
      <c r="BM131" s="86"/>
    </row>
    <row r="132" spans="1:65" ht="24.75" customHeight="1">
      <c r="A132" s="1290" t="s">
        <v>5110</v>
      </c>
      <c r="B132" s="86"/>
      <c r="C132" s="86" t="s">
        <v>2631</v>
      </c>
      <c r="D132" s="86"/>
      <c r="E132" s="86"/>
      <c r="F132" s="86"/>
      <c r="G132" s="86"/>
      <c r="H132" s="86"/>
      <c r="I132" s="86"/>
      <c r="J132" s="86"/>
      <c r="K132" s="86"/>
      <c r="L132" s="86"/>
      <c r="M132" s="86"/>
      <c r="N132" s="86"/>
      <c r="O132" s="86">
        <v>1</v>
      </c>
      <c r="P132" s="86"/>
      <c r="Q132" s="86"/>
      <c r="R132" s="86"/>
      <c r="S132" s="86"/>
      <c r="T132" s="86"/>
      <c r="U132" s="86"/>
      <c r="V132" s="86"/>
      <c r="W132" s="86"/>
      <c r="X132" s="86"/>
      <c r="Y132" s="86"/>
      <c r="Z132" s="86"/>
      <c r="AA132" s="86"/>
      <c r="AB132" s="86"/>
      <c r="AC132" s="86"/>
      <c r="AD132" s="86">
        <v>8</v>
      </c>
      <c r="AE132" s="86"/>
      <c r="AF132" s="86"/>
      <c r="AG132" s="86"/>
      <c r="AH132" s="86"/>
      <c r="AI132" s="86"/>
      <c r="AJ132" s="86"/>
      <c r="AK132" s="86"/>
      <c r="AL132" s="86"/>
      <c r="AM132" s="1254"/>
      <c r="AN132" s="86"/>
      <c r="AO132" s="86">
        <f t="shared" si="3"/>
        <v>8</v>
      </c>
      <c r="AP132" s="86">
        <v>30</v>
      </c>
      <c r="AQ132" s="86">
        <v>4</v>
      </c>
      <c r="AR132" s="86"/>
      <c r="AS132" s="86"/>
      <c r="AT132" s="86">
        <v>3</v>
      </c>
      <c r="AU132" s="86">
        <v>1</v>
      </c>
      <c r="AV132" s="86"/>
      <c r="AW132" s="86"/>
      <c r="AX132" s="86">
        <v>4</v>
      </c>
      <c r="AY132" s="86"/>
      <c r="AZ132" s="86"/>
      <c r="BA132" s="86"/>
      <c r="BB132" s="86"/>
      <c r="BC132" s="86"/>
      <c r="BD132" s="86"/>
      <c r="BE132" s="86"/>
      <c r="BF132" s="86"/>
      <c r="BG132" s="1291">
        <v>12</v>
      </c>
      <c r="BH132" s="1254">
        <v>6</v>
      </c>
      <c r="BI132" s="86"/>
      <c r="BJ132" s="86"/>
      <c r="BK132" s="86"/>
      <c r="BL132" s="86"/>
      <c r="BM132" s="86"/>
    </row>
    <row r="133" spans="1:65" ht="24.75" customHeight="1">
      <c r="A133" s="1290" t="s">
        <v>5111</v>
      </c>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1254"/>
      <c r="AN133" s="86"/>
      <c r="AO133" s="86">
        <f t="shared" si="3"/>
        <v>0</v>
      </c>
      <c r="AP133" s="86"/>
      <c r="AQ133" s="86"/>
      <c r="AR133" s="86"/>
      <c r="AS133" s="86"/>
      <c r="AT133" s="86"/>
      <c r="AU133" s="86"/>
      <c r="AV133" s="86"/>
      <c r="AW133" s="86"/>
      <c r="AX133" s="86"/>
      <c r="AY133" s="86"/>
      <c r="AZ133" s="86"/>
      <c r="BA133" s="86"/>
      <c r="BB133" s="86"/>
      <c r="BC133" s="86"/>
      <c r="BD133" s="86"/>
      <c r="BE133" s="86"/>
      <c r="BF133" s="86"/>
      <c r="BG133" s="1291"/>
      <c r="BH133" s="1254"/>
      <c r="BI133" s="86"/>
      <c r="BJ133" s="86"/>
      <c r="BK133" s="86"/>
      <c r="BL133" s="86"/>
      <c r="BM133" s="86"/>
    </row>
    <row r="134" spans="1:65" ht="24.75" customHeight="1">
      <c r="A134" s="1290" t="s">
        <v>5112</v>
      </c>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1254"/>
      <c r="AN134" s="86"/>
      <c r="AO134" s="86">
        <f t="shared" si="3"/>
        <v>0</v>
      </c>
      <c r="AP134" s="86"/>
      <c r="AQ134" s="86"/>
      <c r="AR134" s="86"/>
      <c r="AS134" s="86"/>
      <c r="AT134" s="86"/>
      <c r="AU134" s="86"/>
      <c r="AV134" s="86"/>
      <c r="AW134" s="86"/>
      <c r="AX134" s="86"/>
      <c r="AY134" s="86"/>
      <c r="AZ134" s="86"/>
      <c r="BA134" s="86"/>
      <c r="BB134" s="86"/>
      <c r="BC134" s="86"/>
      <c r="BD134" s="86"/>
      <c r="BE134" s="86"/>
      <c r="BF134" s="86"/>
      <c r="BG134" s="1291"/>
      <c r="BH134" s="1254"/>
      <c r="BI134" s="86"/>
      <c r="BJ134" s="86"/>
      <c r="BK134" s="86"/>
      <c r="BL134" s="86"/>
      <c r="BM134" s="86"/>
    </row>
    <row r="135" spans="1:65" ht="24.75" customHeight="1">
      <c r="A135" s="1290"/>
      <c r="B135" s="86" t="s">
        <v>5113</v>
      </c>
      <c r="C135" s="86" t="s">
        <v>3670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1254"/>
      <c r="AN135" s="86"/>
      <c r="AO135" s="86">
        <f t="shared" si="3"/>
        <v>0</v>
      </c>
      <c r="AP135" s="86"/>
      <c r="AQ135" s="86"/>
      <c r="AR135" s="86"/>
      <c r="AS135" s="86"/>
      <c r="AT135" s="86"/>
      <c r="AU135" s="86"/>
      <c r="AV135" s="86"/>
      <c r="AW135" s="86"/>
      <c r="AX135" s="86"/>
      <c r="AY135" s="86"/>
      <c r="AZ135" s="86"/>
      <c r="BA135" s="86"/>
      <c r="BB135" s="86"/>
      <c r="BC135" s="86"/>
      <c r="BD135" s="86"/>
      <c r="BE135" s="86"/>
      <c r="BF135" s="86"/>
      <c r="BG135" s="1291"/>
      <c r="BH135" s="1254"/>
      <c r="BI135" s="86"/>
      <c r="BJ135" s="86"/>
      <c r="BK135" s="86"/>
      <c r="BL135" s="86"/>
      <c r="BM135" s="86"/>
    </row>
    <row r="136" spans="1:65" ht="24.75" hidden="1" customHeight="1">
      <c r="A136" s="1290"/>
      <c r="B136" s="86"/>
      <c r="C136" s="86"/>
      <c r="D136" s="86"/>
      <c r="E136" s="86"/>
      <c r="F136" s="86">
        <v>0</v>
      </c>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1291"/>
      <c r="BH136" s="1254">
        <f t="shared" ref="BH136:BH137" si="4">AD136</f>
        <v>0</v>
      </c>
      <c r="BI136" s="86"/>
      <c r="BJ136" s="86"/>
      <c r="BK136" s="86"/>
      <c r="BL136" s="86"/>
      <c r="BM136" s="86"/>
    </row>
    <row r="137" spans="1:65" ht="24.75" hidden="1" customHeight="1">
      <c r="A137" s="1293"/>
      <c r="B137" s="1293"/>
      <c r="C137" s="1293"/>
      <c r="D137" s="1293"/>
      <c r="E137" s="1293"/>
      <c r="F137" s="1293">
        <v>0</v>
      </c>
      <c r="G137" s="1293"/>
      <c r="H137" s="1293"/>
      <c r="I137" s="1293"/>
      <c r="J137" s="1293"/>
      <c r="K137" s="1293"/>
      <c r="L137" s="1293"/>
      <c r="M137" s="1293"/>
      <c r="N137" s="1293"/>
      <c r="O137" s="1293"/>
      <c r="P137" s="1293"/>
      <c r="Q137" s="1293"/>
      <c r="R137" s="1293"/>
      <c r="S137" s="1293"/>
      <c r="T137" s="1293"/>
      <c r="U137" s="1293"/>
      <c r="V137" s="1293"/>
      <c r="W137" s="1293"/>
      <c r="X137" s="1293"/>
      <c r="Y137" s="1293"/>
      <c r="Z137" s="1293"/>
      <c r="AA137" s="1293"/>
      <c r="AB137" s="1293"/>
      <c r="AC137" s="1293"/>
      <c r="AD137" s="1293"/>
      <c r="AE137" s="1293"/>
      <c r="AF137" s="1293"/>
      <c r="AG137" s="1293"/>
      <c r="AH137" s="1293"/>
      <c r="AI137" s="1293"/>
      <c r="AJ137" s="1293"/>
      <c r="AK137" s="1293"/>
      <c r="AL137" s="1293"/>
      <c r="AM137" s="1293"/>
      <c r="AN137" s="1293"/>
      <c r="AO137" s="1293"/>
      <c r="AP137" s="1293"/>
      <c r="AQ137" s="1293"/>
      <c r="AR137" s="1293"/>
      <c r="AS137" s="1293"/>
      <c r="AT137" s="1293"/>
      <c r="AU137" s="1293"/>
      <c r="AV137" s="1293"/>
      <c r="AW137" s="1293"/>
      <c r="AX137" s="1293"/>
      <c r="AY137" s="1293"/>
      <c r="AZ137" s="1293"/>
      <c r="BA137" s="1293"/>
      <c r="BB137" s="1293"/>
      <c r="BC137" s="1293"/>
      <c r="BD137" s="1293"/>
      <c r="BE137" s="1293"/>
      <c r="BF137" s="1293"/>
      <c r="BG137" s="1294"/>
      <c r="BH137" s="1295">
        <f t="shared" si="4"/>
        <v>0</v>
      </c>
      <c r="BI137" s="1293"/>
      <c r="BJ137" s="1293"/>
      <c r="BK137" s="1293"/>
      <c r="BL137" s="1293"/>
      <c r="BM137" s="1293"/>
    </row>
    <row r="138" spans="1:65" s="1129" customFormat="1" ht="24.75" customHeight="1">
      <c r="A138" s="1252" t="s">
        <v>4064</v>
      </c>
      <c r="B138" s="1252"/>
      <c r="C138" s="1252"/>
      <c r="D138" s="1252"/>
      <c r="E138" s="1252">
        <f t="shared" ref="E138:AJ138" si="5">SUM(E7:E137)</f>
        <v>4096.5470000000005</v>
      </c>
      <c r="F138" s="1252">
        <f t="shared" si="5"/>
        <v>4096.5470000000005</v>
      </c>
      <c r="G138" s="1252">
        <f t="shared" si="5"/>
        <v>0</v>
      </c>
      <c r="H138" s="1252">
        <f t="shared" si="5"/>
        <v>0</v>
      </c>
      <c r="I138" s="1252">
        <v>50</v>
      </c>
      <c r="J138" s="1252">
        <f t="shared" si="5"/>
        <v>1</v>
      </c>
      <c r="K138" s="1252">
        <f t="shared" si="5"/>
        <v>0</v>
      </c>
      <c r="L138" s="1252">
        <f t="shared" si="5"/>
        <v>1</v>
      </c>
      <c r="M138" s="1252">
        <v>10</v>
      </c>
      <c r="N138" s="1252">
        <f t="shared" si="5"/>
        <v>1</v>
      </c>
      <c r="O138" s="1252">
        <v>4</v>
      </c>
      <c r="P138" s="1252">
        <f t="shared" si="5"/>
        <v>17</v>
      </c>
      <c r="Q138" s="1252">
        <v>2</v>
      </c>
      <c r="R138" s="1252">
        <f t="shared" si="5"/>
        <v>0</v>
      </c>
      <c r="S138" s="1252">
        <f t="shared" si="5"/>
        <v>0</v>
      </c>
      <c r="T138" s="1252">
        <f t="shared" si="5"/>
        <v>0</v>
      </c>
      <c r="U138" s="1252">
        <f t="shared" si="5"/>
        <v>0</v>
      </c>
      <c r="V138" s="1252">
        <f t="shared" si="5"/>
        <v>0</v>
      </c>
      <c r="W138" s="1252">
        <f t="shared" si="5"/>
        <v>0</v>
      </c>
      <c r="X138" s="1252">
        <f t="shared" si="5"/>
        <v>0</v>
      </c>
      <c r="Y138" s="1252">
        <f t="shared" si="5"/>
        <v>0</v>
      </c>
      <c r="Z138" s="1252">
        <f t="shared" si="5"/>
        <v>0</v>
      </c>
      <c r="AA138" s="1252">
        <f t="shared" si="5"/>
        <v>0</v>
      </c>
      <c r="AB138" s="1252">
        <f t="shared" si="5"/>
        <v>0</v>
      </c>
      <c r="AC138" s="1252">
        <f t="shared" si="5"/>
        <v>0</v>
      </c>
      <c r="AD138" s="1252">
        <f t="shared" si="5"/>
        <v>216</v>
      </c>
      <c r="AE138" s="1252">
        <f t="shared" si="5"/>
        <v>0</v>
      </c>
      <c r="AF138" s="1252">
        <f t="shared" si="5"/>
        <v>0</v>
      </c>
      <c r="AG138" s="1252">
        <f t="shared" si="5"/>
        <v>0</v>
      </c>
      <c r="AH138" s="1252">
        <f t="shared" si="5"/>
        <v>3</v>
      </c>
      <c r="AI138" s="1252">
        <f t="shared" si="5"/>
        <v>3</v>
      </c>
      <c r="AJ138" s="1252">
        <f t="shared" si="5"/>
        <v>12</v>
      </c>
      <c r="AK138" s="1252">
        <f t="shared" ref="AK138:BG138" si="6">SUM(AK7:AK137)</f>
        <v>0</v>
      </c>
      <c r="AL138" s="1252">
        <f t="shared" si="6"/>
        <v>0</v>
      </c>
      <c r="AM138" s="1252">
        <f t="shared" si="6"/>
        <v>0</v>
      </c>
      <c r="AN138" s="1252">
        <f t="shared" si="6"/>
        <v>0</v>
      </c>
      <c r="AO138" s="1296">
        <f t="shared" si="6"/>
        <v>216</v>
      </c>
      <c r="AP138" s="1252">
        <f t="shared" si="6"/>
        <v>272</v>
      </c>
      <c r="AQ138" s="1252">
        <f t="shared" si="6"/>
        <v>23</v>
      </c>
      <c r="AR138" s="1252">
        <f t="shared" si="6"/>
        <v>3</v>
      </c>
      <c r="AS138" s="1252">
        <f t="shared" si="6"/>
        <v>1</v>
      </c>
      <c r="AT138" s="1252">
        <f t="shared" si="6"/>
        <v>106</v>
      </c>
      <c r="AU138" s="1252">
        <f t="shared" si="6"/>
        <v>29</v>
      </c>
      <c r="AV138" s="1252">
        <f t="shared" si="6"/>
        <v>0</v>
      </c>
      <c r="AW138" s="1252">
        <f t="shared" si="6"/>
        <v>33</v>
      </c>
      <c r="AX138" s="1252">
        <f t="shared" si="6"/>
        <v>23</v>
      </c>
      <c r="AY138" s="1252">
        <f t="shared" si="6"/>
        <v>3</v>
      </c>
      <c r="AZ138" s="1252">
        <f t="shared" si="6"/>
        <v>48</v>
      </c>
      <c r="BA138" s="1252">
        <f t="shared" si="6"/>
        <v>30</v>
      </c>
      <c r="BB138" s="1252">
        <f t="shared" si="6"/>
        <v>0</v>
      </c>
      <c r="BC138" s="1252">
        <f t="shared" si="6"/>
        <v>1</v>
      </c>
      <c r="BD138" s="1252">
        <f t="shared" si="6"/>
        <v>3</v>
      </c>
      <c r="BE138" s="1252">
        <f t="shared" si="6"/>
        <v>0</v>
      </c>
      <c r="BF138" s="1252">
        <f t="shared" si="6"/>
        <v>1</v>
      </c>
      <c r="BG138" s="1252">
        <f t="shared" si="6"/>
        <v>122</v>
      </c>
      <c r="BH138" s="1252">
        <f t="shared" ref="BH138:BL138" si="7">SUM(BH7:BH137)</f>
        <v>103</v>
      </c>
      <c r="BI138" s="1252">
        <f t="shared" si="7"/>
        <v>0</v>
      </c>
      <c r="BJ138" s="1252">
        <f t="shared" si="7"/>
        <v>0</v>
      </c>
      <c r="BK138" s="1252">
        <f t="shared" si="7"/>
        <v>0</v>
      </c>
      <c r="BL138" s="1252">
        <f t="shared" si="7"/>
        <v>0</v>
      </c>
      <c r="BM138" s="1252">
        <f>SUM(BM7:BM137)</f>
        <v>0</v>
      </c>
    </row>
  </sheetData>
  <printOptions horizontalCentered="1"/>
  <pageMargins left="0.75" right="0" top="0.5" bottom="0.5" header="0.31496062992126" footer="0.31496062992126"/>
  <pageSetup paperSize="8" scale="50" fitToHeight="0" orientation="landscape" blackAndWhite="1"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C5:D136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Q34"/>
  <sheetViews>
    <sheetView zoomScaleNormal="100" workbookViewId="0">
      <selection activeCell="G12" sqref="G12"/>
    </sheetView>
  </sheetViews>
  <sheetFormatPr defaultColWidth="9.140625" defaultRowHeight="24.95" customHeight="1"/>
  <cols>
    <col min="1" max="2" width="4.5703125" style="46" customWidth="1"/>
    <col min="3" max="3" width="9.85546875" style="46" bestFit="1" customWidth="1"/>
    <col min="4" max="4" width="7.42578125" style="46" bestFit="1" customWidth="1"/>
    <col min="5" max="5" width="9.42578125" style="46" bestFit="1" customWidth="1"/>
    <col min="6" max="6" width="9.140625" style="46" bestFit="1" customWidth="1"/>
    <col min="7" max="7" width="39" style="397" bestFit="1" customWidth="1"/>
    <col min="8" max="8" width="32.42578125" style="46" customWidth="1"/>
    <col min="9" max="9" width="6.42578125" style="46" customWidth="1"/>
    <col min="10" max="10" width="24.5703125" style="46" bestFit="1" customWidth="1"/>
    <col min="11" max="11" width="33.42578125" style="46" bestFit="1" customWidth="1"/>
    <col min="12" max="26" width="9.140625" style="46"/>
    <col min="27" max="27" width="13.5703125" style="46" customWidth="1"/>
    <col min="28" max="16384" width="9.140625" style="46"/>
  </cols>
  <sheetData>
    <row r="1" spans="1:17" ht="24.95" customHeight="1">
      <c r="A1" s="46">
        <v>1</v>
      </c>
      <c r="I1" s="46">
        <v>1</v>
      </c>
      <c r="J1" s="46">
        <v>1</v>
      </c>
      <c r="K1" s="397" t="s">
        <v>4434</v>
      </c>
    </row>
    <row r="4" spans="1:17" ht="24.95" customHeight="1">
      <c r="J4" s="822" t="s">
        <v>4661</v>
      </c>
      <c r="K4" s="822" t="s">
        <v>4662</v>
      </c>
    </row>
    <row r="5" spans="1:17" ht="24.95" customHeight="1">
      <c r="B5" s="85">
        <v>1</v>
      </c>
      <c r="C5" s="85" t="s">
        <v>3062</v>
      </c>
      <c r="D5" s="85" t="s">
        <v>3094</v>
      </c>
      <c r="E5" s="85" t="s">
        <v>2349</v>
      </c>
      <c r="F5" s="811" t="s">
        <v>2679</v>
      </c>
      <c r="H5" s="397"/>
      <c r="I5" s="397"/>
      <c r="J5" s="824" t="s">
        <v>4663</v>
      </c>
      <c r="K5" s="824" t="s">
        <v>4664</v>
      </c>
    </row>
    <row r="6" spans="1:17" ht="24.95" customHeight="1">
      <c r="B6" s="85">
        <v>2</v>
      </c>
      <c r="C6" s="85" t="s">
        <v>3063</v>
      </c>
      <c r="D6" s="85" t="s">
        <v>3103</v>
      </c>
      <c r="E6" s="85" t="s">
        <v>3104</v>
      </c>
      <c r="F6" s="811" t="s">
        <v>3105</v>
      </c>
      <c r="H6" s="397"/>
      <c r="I6" s="397"/>
      <c r="J6" s="824" t="s">
        <v>4666</v>
      </c>
      <c r="K6" s="824" t="s">
        <v>4667</v>
      </c>
    </row>
    <row r="7" spans="1:17" ht="24.95" customHeight="1">
      <c r="B7" s="85">
        <v>3</v>
      </c>
      <c r="C7" s="85" t="s">
        <v>3064</v>
      </c>
      <c r="D7" s="85" t="s">
        <v>3106</v>
      </c>
      <c r="E7" s="85" t="s">
        <v>3127</v>
      </c>
      <c r="F7" s="811" t="s">
        <v>3148</v>
      </c>
      <c r="G7" s="812" t="s">
        <v>4435</v>
      </c>
      <c r="H7" s="813">
        <v>0</v>
      </c>
      <c r="I7" s="397"/>
      <c r="J7" s="824" t="s">
        <v>4673</v>
      </c>
      <c r="K7" s="824" t="s">
        <v>4674</v>
      </c>
      <c r="P7" s="374"/>
      <c r="Q7" s="374"/>
    </row>
    <row r="8" spans="1:17" ht="24.95" customHeight="1">
      <c r="B8" s="85">
        <v>4</v>
      </c>
      <c r="C8" s="85" t="s">
        <v>3065</v>
      </c>
      <c r="D8" s="85" t="s">
        <v>3107</v>
      </c>
      <c r="E8" s="85" t="s">
        <v>3128</v>
      </c>
      <c r="F8" s="811" t="s">
        <v>3149</v>
      </c>
      <c r="G8" s="812" t="s">
        <v>4436</v>
      </c>
      <c r="H8" s="814">
        <v>43783.586585648147</v>
      </c>
      <c r="I8" s="397"/>
      <c r="J8" s="824" t="s">
        <v>4738</v>
      </c>
      <c r="K8" s="824" t="s">
        <v>4739</v>
      </c>
    </row>
    <row r="9" spans="1:17" ht="24.95" customHeight="1">
      <c r="B9" s="85">
        <v>5</v>
      </c>
      <c r="C9" s="85" t="s">
        <v>3066</v>
      </c>
      <c r="D9" s="85" t="s">
        <v>3108</v>
      </c>
      <c r="E9" s="85" t="s">
        <v>3129</v>
      </c>
      <c r="F9" s="811" t="s">
        <v>3150</v>
      </c>
      <c r="G9" s="812" t="s">
        <v>4437</v>
      </c>
      <c r="H9" s="814">
        <f ca="1">NOW()</f>
        <v>44102.866016319444</v>
      </c>
      <c r="I9" s="397"/>
      <c r="J9" s="824" t="s">
        <v>4742</v>
      </c>
      <c r="K9" s="824" t="s">
        <v>4667</v>
      </c>
      <c r="P9" s="374"/>
      <c r="Q9" s="374"/>
    </row>
    <row r="10" spans="1:17" ht="24.95" customHeight="1">
      <c r="B10" s="85">
        <v>6</v>
      </c>
      <c r="C10" s="85" t="s">
        <v>3067</v>
      </c>
      <c r="D10" s="85" t="s">
        <v>3109</v>
      </c>
      <c r="E10" s="85" t="s">
        <v>3130</v>
      </c>
      <c r="F10" s="811" t="s">
        <v>3151</v>
      </c>
      <c r="G10" s="812" t="s">
        <v>4665</v>
      </c>
      <c r="H10" s="823">
        <f ca="1">(H8+3)-H9</f>
        <v>-316.27943067129672</v>
      </c>
      <c r="I10" s="397"/>
      <c r="J10" s="824" t="s">
        <v>4961</v>
      </c>
      <c r="K10" s="824" t="s">
        <v>4962</v>
      </c>
    </row>
    <row r="11" spans="1:17" ht="24.95" customHeight="1">
      <c r="B11" s="85">
        <v>7</v>
      </c>
      <c r="C11" s="85" t="s">
        <v>3068</v>
      </c>
      <c r="D11" s="85" t="s">
        <v>3110</v>
      </c>
      <c r="E11" s="85" t="s">
        <v>3131</v>
      </c>
      <c r="F11" s="811" t="s">
        <v>3152</v>
      </c>
      <c r="H11" s="397"/>
      <c r="I11" s="397"/>
      <c r="J11" s="824" t="s">
        <v>4984</v>
      </c>
      <c r="K11" s="824" t="s">
        <v>4962</v>
      </c>
    </row>
    <row r="12" spans="1:17" ht="24.95" customHeight="1">
      <c r="B12" s="85">
        <v>8</v>
      </c>
      <c r="C12" s="85" t="s">
        <v>3069</v>
      </c>
      <c r="D12" s="85" t="s">
        <v>3111</v>
      </c>
      <c r="E12" s="85" t="s">
        <v>3132</v>
      </c>
      <c r="F12" s="811" t="s">
        <v>3153</v>
      </c>
      <c r="H12" s="397"/>
      <c r="I12" s="397"/>
      <c r="J12" s="824"/>
      <c r="K12" s="824"/>
    </row>
    <row r="13" spans="1:17" ht="24.95" customHeight="1">
      <c r="B13" s="85">
        <v>9</v>
      </c>
      <c r="C13" s="85" t="s">
        <v>3070</v>
      </c>
      <c r="D13" s="85" t="s">
        <v>3112</v>
      </c>
      <c r="E13" s="85" t="s">
        <v>3133</v>
      </c>
      <c r="F13" s="811" t="s">
        <v>3154</v>
      </c>
      <c r="H13" s="397"/>
      <c r="I13" s="397"/>
      <c r="J13" s="824"/>
      <c r="K13" s="824"/>
    </row>
    <row r="14" spans="1:17" ht="24.95" customHeight="1">
      <c r="B14" s="85">
        <v>10</v>
      </c>
      <c r="C14" s="85" t="s">
        <v>3071</v>
      </c>
      <c r="D14" s="85" t="s">
        <v>3113</v>
      </c>
      <c r="E14" s="85" t="s">
        <v>3134</v>
      </c>
      <c r="F14" s="811" t="s">
        <v>3155</v>
      </c>
      <c r="H14" s="397"/>
      <c r="I14" s="397"/>
      <c r="J14" s="824"/>
      <c r="K14" s="824"/>
    </row>
    <row r="15" spans="1:17" ht="24.95" customHeight="1">
      <c r="B15" s="85">
        <v>11</v>
      </c>
      <c r="C15" s="85" t="s">
        <v>3072</v>
      </c>
      <c r="D15" s="85" t="s">
        <v>3114</v>
      </c>
      <c r="E15" s="85" t="s">
        <v>3135</v>
      </c>
      <c r="F15" s="85" t="s">
        <v>3156</v>
      </c>
    </row>
    <row r="16" spans="1:17" ht="24.95" customHeight="1">
      <c r="B16" s="85">
        <v>12</v>
      </c>
      <c r="C16" s="85" t="s">
        <v>3073</v>
      </c>
      <c r="D16" s="85" t="s">
        <v>3115</v>
      </c>
      <c r="E16" s="85" t="s">
        <v>3136</v>
      </c>
      <c r="F16" s="85" t="s">
        <v>3157</v>
      </c>
    </row>
    <row r="17" spans="2:6" ht="24.95" customHeight="1">
      <c r="B17" s="85">
        <v>13</v>
      </c>
      <c r="C17" s="85" t="s">
        <v>3074</v>
      </c>
      <c r="D17" s="85" t="s">
        <v>3116</v>
      </c>
      <c r="E17" s="85" t="s">
        <v>3137</v>
      </c>
      <c r="F17" s="85" t="s">
        <v>3158</v>
      </c>
    </row>
    <row r="18" spans="2:6" ht="24.95" customHeight="1">
      <c r="B18" s="85">
        <v>14</v>
      </c>
      <c r="C18" s="85" t="s">
        <v>3075</v>
      </c>
      <c r="D18" s="85" t="s">
        <v>3117</v>
      </c>
      <c r="E18" s="85" t="s">
        <v>3138</v>
      </c>
      <c r="F18" s="85" t="s">
        <v>3159</v>
      </c>
    </row>
    <row r="19" spans="2:6" ht="24.95" customHeight="1">
      <c r="B19" s="85">
        <v>15</v>
      </c>
      <c r="C19" s="85" t="s">
        <v>3076</v>
      </c>
      <c r="D19" s="85" t="s">
        <v>3118</v>
      </c>
      <c r="E19" s="85" t="s">
        <v>3139</v>
      </c>
      <c r="F19" s="85" t="s">
        <v>3160</v>
      </c>
    </row>
    <row r="20" spans="2:6" ht="24.95" customHeight="1">
      <c r="B20" s="85">
        <v>16</v>
      </c>
      <c r="C20" s="85" t="s">
        <v>3077</v>
      </c>
      <c r="D20" s="85" t="s">
        <v>3119</v>
      </c>
      <c r="E20" s="85" t="s">
        <v>3140</v>
      </c>
      <c r="F20" s="85" t="s">
        <v>3161</v>
      </c>
    </row>
    <row r="21" spans="2:6" ht="24.95" customHeight="1">
      <c r="B21" s="85">
        <v>17</v>
      </c>
      <c r="C21" s="85" t="s">
        <v>3078</v>
      </c>
      <c r="D21" s="85" t="s">
        <v>3120</v>
      </c>
      <c r="E21" s="85" t="s">
        <v>3141</v>
      </c>
      <c r="F21" s="85" t="s">
        <v>3162</v>
      </c>
    </row>
    <row r="22" spans="2:6" ht="24.95" customHeight="1">
      <c r="B22" s="85">
        <v>18</v>
      </c>
      <c r="C22" s="85" t="s">
        <v>3079</v>
      </c>
      <c r="D22" s="85" t="s">
        <v>3121</v>
      </c>
      <c r="E22" s="85" t="s">
        <v>3142</v>
      </c>
      <c r="F22" s="85" t="s">
        <v>3163</v>
      </c>
    </row>
    <row r="23" spans="2:6" ht="24.95" customHeight="1">
      <c r="B23" s="85">
        <v>19</v>
      </c>
      <c r="C23" s="85" t="s">
        <v>3080</v>
      </c>
      <c r="D23" s="85" t="s">
        <v>3122</v>
      </c>
      <c r="E23" s="85" t="s">
        <v>3143</v>
      </c>
      <c r="F23" s="85" t="s">
        <v>3164</v>
      </c>
    </row>
    <row r="24" spans="2:6" ht="24.95" customHeight="1">
      <c r="B24" s="85">
        <v>20</v>
      </c>
      <c r="C24" s="85" t="s">
        <v>3081</v>
      </c>
      <c r="D24" s="85" t="s">
        <v>3123</v>
      </c>
      <c r="E24" s="85" t="s">
        <v>3144</v>
      </c>
      <c r="F24" s="85" t="s">
        <v>3165</v>
      </c>
    </row>
    <row r="25" spans="2:6" ht="24.95" customHeight="1">
      <c r="B25" s="85">
        <v>21</v>
      </c>
      <c r="C25" s="85" t="s">
        <v>3082</v>
      </c>
      <c r="D25" s="85" t="s">
        <v>3124</v>
      </c>
      <c r="E25" s="85" t="s">
        <v>3145</v>
      </c>
      <c r="F25" s="85" t="s">
        <v>3166</v>
      </c>
    </row>
    <row r="26" spans="2:6" ht="24.95" customHeight="1">
      <c r="B26" s="85">
        <v>22</v>
      </c>
      <c r="C26" s="85" t="s">
        <v>3083</v>
      </c>
      <c r="D26" s="85" t="s">
        <v>3125</v>
      </c>
      <c r="E26" s="85" t="s">
        <v>3146</v>
      </c>
      <c r="F26" s="85" t="s">
        <v>3167</v>
      </c>
    </row>
    <row r="27" spans="2:6" ht="24.95" customHeight="1">
      <c r="B27" s="85">
        <v>23</v>
      </c>
      <c r="C27" s="85" t="s">
        <v>3084</v>
      </c>
      <c r="D27" s="85" t="s">
        <v>3126</v>
      </c>
      <c r="E27" s="85" t="s">
        <v>3147</v>
      </c>
      <c r="F27" s="85" t="s">
        <v>3168</v>
      </c>
    </row>
    <row r="28" spans="2:6" ht="24.95" customHeight="1">
      <c r="B28" s="85">
        <v>24</v>
      </c>
      <c r="C28" s="85" t="s">
        <v>3085</v>
      </c>
      <c r="D28" s="85" t="s">
        <v>3169</v>
      </c>
      <c r="E28" s="85" t="s">
        <v>3170</v>
      </c>
      <c r="F28" s="85" t="s">
        <v>3171</v>
      </c>
    </row>
    <row r="29" spans="2:6" ht="24.95" customHeight="1">
      <c r="B29" s="85">
        <v>25</v>
      </c>
      <c r="C29" s="85" t="s">
        <v>3086</v>
      </c>
      <c r="D29" s="85" t="s">
        <v>3172</v>
      </c>
      <c r="E29" s="85" t="s">
        <v>3173</v>
      </c>
      <c r="F29" s="85" t="s">
        <v>3174</v>
      </c>
    </row>
    <row r="30" spans="2:6" ht="24.95" customHeight="1">
      <c r="B30" s="85">
        <v>26</v>
      </c>
      <c r="C30" s="85" t="s">
        <v>3087</v>
      </c>
      <c r="D30" s="85" t="s">
        <v>3175</v>
      </c>
      <c r="E30" s="85" t="s">
        <v>3176</v>
      </c>
      <c r="F30" s="85" t="s">
        <v>3177</v>
      </c>
    </row>
    <row r="31" spans="2:6" ht="24.95" customHeight="1">
      <c r="B31" s="85">
        <v>27</v>
      </c>
      <c r="C31" s="85" t="s">
        <v>3088</v>
      </c>
      <c r="D31" s="85" t="s">
        <v>3178</v>
      </c>
      <c r="E31" s="85" t="s">
        <v>3179</v>
      </c>
      <c r="F31" s="85" t="s">
        <v>3180</v>
      </c>
    </row>
    <row r="32" spans="2:6" ht="24.95" customHeight="1">
      <c r="B32" s="85">
        <v>28</v>
      </c>
      <c r="C32" s="85" t="s">
        <v>3089</v>
      </c>
      <c r="D32" s="85" t="s">
        <v>3181</v>
      </c>
      <c r="E32" s="85" t="s">
        <v>3182</v>
      </c>
      <c r="F32" s="85" t="s">
        <v>3183</v>
      </c>
    </row>
    <row r="33" spans="2:6" ht="24.95" customHeight="1">
      <c r="B33" s="85">
        <v>29</v>
      </c>
      <c r="C33" s="85" t="s">
        <v>3090</v>
      </c>
      <c r="D33" s="85" t="s">
        <v>3184</v>
      </c>
      <c r="E33" s="85" t="s">
        <v>3185</v>
      </c>
      <c r="F33" s="85" t="s">
        <v>3186</v>
      </c>
    </row>
    <row r="34" spans="2:6" ht="24.95" customHeight="1">
      <c r="B34" s="85">
        <v>30</v>
      </c>
      <c r="C34" s="85" t="s">
        <v>3091</v>
      </c>
      <c r="D34" s="85" t="s">
        <v>3187</v>
      </c>
      <c r="E34" s="85" t="s">
        <v>3188</v>
      </c>
      <c r="F34" s="85" t="s">
        <v>3189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R190"/>
  <sheetViews>
    <sheetView showZeros="0" view="pageBreakPreview" topLeftCell="B109" zoomScale="70" zoomScaleNormal="100" zoomScaleSheetLayoutView="70" workbookViewId="0">
      <selection activeCell="M4" sqref="M4"/>
    </sheetView>
  </sheetViews>
  <sheetFormatPr defaultColWidth="9.140625" defaultRowHeight="15.75"/>
  <cols>
    <col min="1" max="1" width="12" style="371" bestFit="1" customWidth="1"/>
    <col min="2" max="2" width="19.85546875" style="371" bestFit="1" customWidth="1"/>
    <col min="3" max="3" width="7.42578125" style="371" customWidth="1"/>
    <col min="4" max="4" width="26.85546875" style="371" bestFit="1" customWidth="1"/>
    <col min="5" max="5" width="62.42578125" style="371" bestFit="1" customWidth="1"/>
    <col min="6" max="6" width="9.140625" style="371"/>
    <col min="7" max="8" width="8.42578125" style="371" customWidth="1"/>
    <col min="9" max="9" width="9.42578125" style="371" customWidth="1"/>
    <col min="10" max="14" width="8.42578125" style="371" customWidth="1"/>
    <col min="15" max="17" width="13.5703125" style="371" customWidth="1"/>
    <col min="18" max="18" width="5" style="371" customWidth="1"/>
    <col min="19" max="16384" width="9.140625" style="371"/>
  </cols>
  <sheetData>
    <row r="1" spans="1:18">
      <c r="B1" s="361"/>
      <c r="C1" s="381" t="str">
        <f ca="1">R_SETTING!$E$20</f>
        <v>BẢNG 4: CHI PHÍ NHÂN CÔNG, MÁY THI CÔNG THÁO LẮP</v>
      </c>
      <c r="D1" s="454"/>
      <c r="E1" s="454"/>
      <c r="F1" s="454"/>
      <c r="G1" s="454"/>
      <c r="H1" s="454"/>
      <c r="I1" s="455"/>
      <c r="J1" s="456"/>
      <c r="K1" s="454"/>
      <c r="L1" s="454"/>
      <c r="M1" s="455"/>
      <c r="N1" s="456"/>
      <c r="O1" s="454"/>
      <c r="P1" s="454"/>
      <c r="Q1" s="454"/>
      <c r="R1" s="360"/>
    </row>
    <row r="2" spans="1:18">
      <c r="B2" s="361"/>
      <c r="C2" s="209"/>
      <c r="D2" s="209"/>
      <c r="E2" s="209"/>
      <c r="F2" s="209"/>
      <c r="G2" s="209"/>
      <c r="H2" s="209"/>
      <c r="I2" s="209"/>
      <c r="J2" s="209"/>
      <c r="K2" s="209"/>
      <c r="L2" s="209"/>
      <c r="M2" s="209"/>
      <c r="N2" s="209"/>
      <c r="O2" s="209"/>
      <c r="P2" s="209"/>
      <c r="Q2" s="209"/>
      <c r="R2" s="457"/>
    </row>
    <row r="3" spans="1:18">
      <c r="B3" s="361"/>
      <c r="C3" s="361"/>
      <c r="D3" s="381"/>
      <c r="E3" s="381"/>
      <c r="F3" s="381"/>
      <c r="G3" s="381"/>
      <c r="H3" s="381"/>
      <c r="I3" s="381"/>
      <c r="J3" s="381"/>
      <c r="K3" s="381"/>
      <c r="L3" s="381"/>
      <c r="M3" s="381"/>
      <c r="N3" s="381"/>
      <c r="O3" s="381"/>
      <c r="P3" s="381"/>
      <c r="Q3" s="381"/>
      <c r="R3" s="458"/>
    </row>
    <row r="4" spans="1:18" ht="63">
      <c r="B4" s="361" t="s">
        <v>2808</v>
      </c>
      <c r="C4" s="452" t="s">
        <v>2347</v>
      </c>
      <c r="D4" s="452" t="s">
        <v>2446</v>
      </c>
      <c r="E4" s="452" t="s">
        <v>2728</v>
      </c>
      <c r="F4" s="459" t="s">
        <v>2352</v>
      </c>
      <c r="G4" s="459" t="s">
        <v>2694</v>
      </c>
      <c r="H4" s="459" t="s">
        <v>2729</v>
      </c>
      <c r="I4" s="459" t="s">
        <v>2730</v>
      </c>
      <c r="J4" s="459" t="s">
        <v>2731</v>
      </c>
      <c r="K4" s="459" t="s">
        <v>2732</v>
      </c>
      <c r="L4" s="459" t="s">
        <v>2733</v>
      </c>
      <c r="M4" s="459" t="s">
        <v>2734</v>
      </c>
      <c r="N4" s="459" t="s">
        <v>2735</v>
      </c>
      <c r="O4" s="459" t="s">
        <v>2736</v>
      </c>
      <c r="P4" s="459" t="s">
        <v>2737</v>
      </c>
      <c r="Q4" s="459" t="s">
        <v>2348</v>
      </c>
      <c r="R4" s="460">
        <v>1</v>
      </c>
    </row>
    <row r="5" spans="1:18">
      <c r="A5" s="209" t="s">
        <v>2922</v>
      </c>
      <c r="C5" s="461" t="s">
        <v>2361</v>
      </c>
      <c r="D5" s="462" t="s">
        <v>2788</v>
      </c>
      <c r="E5" s="463"/>
      <c r="F5" s="464"/>
      <c r="G5" s="465"/>
      <c r="H5" s="466"/>
      <c r="I5" s="467"/>
      <c r="J5" s="468"/>
      <c r="K5" s="469"/>
      <c r="L5" s="466"/>
      <c r="M5" s="467"/>
      <c r="N5" s="468"/>
      <c r="O5" s="470"/>
      <c r="P5" s="470"/>
      <c r="Q5" s="470"/>
      <c r="R5" s="471"/>
    </row>
    <row r="6" spans="1:18">
      <c r="B6" s="361" t="s">
        <v>3913</v>
      </c>
      <c r="C6" s="472">
        <f ca="1">IF(G6=0,"",COUNTIF($G$6:$G6,"&gt;0"))</f>
        <v>1</v>
      </c>
      <c r="D6" s="473" t="s">
        <v>3457</v>
      </c>
      <c r="E6" s="474" t="s">
        <v>2964</v>
      </c>
      <c r="F6" s="475" t="s">
        <v>9</v>
      </c>
      <c r="G6" s="476">
        <f t="shared" ref="G6:G95" ca="1" si="0">SUMIF(maBK,B6,tongBK1)</f>
        <v>3</v>
      </c>
      <c r="H6" s="477" t="s">
        <v>3403</v>
      </c>
      <c r="I6" s="478">
        <v>0.40679999999999999</v>
      </c>
      <c r="J6" s="479">
        <v>0.45</v>
      </c>
      <c r="K6" s="480">
        <f t="shared" ref="K6:K69" ca="1" si="1">G6</f>
        <v>3</v>
      </c>
      <c r="L6" s="477" t="s">
        <v>3403</v>
      </c>
      <c r="M6" s="478">
        <f>I6</f>
        <v>0.40679999999999999</v>
      </c>
      <c r="N6" s="479">
        <v>0.55000000000000004</v>
      </c>
      <c r="O6" s="481">
        <f t="shared" ref="O6:O41" si="2">VLOOKUP(H6,TIENLUONG,4)*I6*J6</f>
        <v>47241.561959999999</v>
      </c>
      <c r="P6" s="481">
        <f t="shared" ref="P6:P41" si="3">VLOOKUP(L6,TIENLUONG,4)*M6*N6</f>
        <v>57739.686840000002</v>
      </c>
      <c r="Q6" s="481">
        <f ca="1">G6*O6+K6*P6</f>
        <v>314943.7464</v>
      </c>
      <c r="R6" s="482">
        <f t="shared" ref="R6:R63" ca="1" si="4">IF(G6&lt;&gt;0,1,0)</f>
        <v>1</v>
      </c>
    </row>
    <row r="7" spans="1:18">
      <c r="B7" s="361" t="s">
        <v>3914</v>
      </c>
      <c r="C7" s="472">
        <f ca="1">IF(G7=0,"",COUNTIF($G$6:$G7,"&gt;0"))</f>
        <v>2</v>
      </c>
      <c r="D7" s="473" t="s">
        <v>3458</v>
      </c>
      <c r="E7" s="474" t="s">
        <v>3489</v>
      </c>
      <c r="F7" s="475" t="s">
        <v>9</v>
      </c>
      <c r="G7" s="476">
        <f t="shared" ca="1" si="0"/>
        <v>12</v>
      </c>
      <c r="H7" s="477" t="s">
        <v>3403</v>
      </c>
      <c r="I7" s="478">
        <v>0.108</v>
      </c>
      <c r="J7" s="479">
        <v>0.45</v>
      </c>
      <c r="K7" s="480">
        <f t="shared" ca="1" si="1"/>
        <v>12</v>
      </c>
      <c r="L7" s="477" t="s">
        <v>3403</v>
      </c>
      <c r="M7" s="478">
        <f t="shared" ref="M7:M62" si="5">I7</f>
        <v>0.108</v>
      </c>
      <c r="N7" s="479">
        <v>0.55000000000000004</v>
      </c>
      <c r="O7" s="481">
        <f t="shared" si="2"/>
        <v>12542.007600000001</v>
      </c>
      <c r="P7" s="481">
        <f t="shared" si="3"/>
        <v>15329.120400000002</v>
      </c>
      <c r="Q7" s="481">
        <f t="shared" ref="Q7:Q96" ca="1" si="6">G7*O7+K7*P7</f>
        <v>334453.53600000008</v>
      </c>
      <c r="R7" s="471">
        <f t="shared" ca="1" si="4"/>
        <v>1</v>
      </c>
    </row>
    <row r="8" spans="1:18">
      <c r="B8" s="361" t="s">
        <v>3915</v>
      </c>
      <c r="C8" s="472" t="str">
        <f ca="1">IF(G8=0,"",COUNTIF($G$6:$G8,"&gt;0"))</f>
        <v/>
      </c>
      <c r="D8" s="483" t="s">
        <v>3490</v>
      </c>
      <c r="E8" s="474" t="s">
        <v>3491</v>
      </c>
      <c r="F8" s="475" t="s">
        <v>37</v>
      </c>
      <c r="G8" s="476">
        <f t="shared" ca="1" si="0"/>
        <v>0</v>
      </c>
      <c r="H8" s="477" t="s">
        <v>3404</v>
      </c>
      <c r="I8" s="478">
        <v>0.32400000000000001</v>
      </c>
      <c r="J8" s="479">
        <v>0.45</v>
      </c>
      <c r="K8" s="480">
        <f t="shared" ca="1" si="1"/>
        <v>0</v>
      </c>
      <c r="L8" s="477" t="s">
        <v>3404</v>
      </c>
      <c r="M8" s="478">
        <f t="shared" si="5"/>
        <v>0.32400000000000001</v>
      </c>
      <c r="N8" s="479">
        <v>0.55000000000000004</v>
      </c>
      <c r="O8" s="481">
        <f t="shared" si="2"/>
        <v>37626.022800000006</v>
      </c>
      <c r="P8" s="481">
        <f t="shared" si="3"/>
        <v>45987.361200000007</v>
      </c>
      <c r="Q8" s="481">
        <f t="shared" ca="1" si="6"/>
        <v>0</v>
      </c>
      <c r="R8" s="471">
        <f t="shared" ca="1" si="4"/>
        <v>0</v>
      </c>
    </row>
    <row r="9" spans="1:18">
      <c r="B9" s="361" t="s">
        <v>3916</v>
      </c>
      <c r="C9" s="472" t="str">
        <f ca="1">IF(G9=0,"",COUNTIF($G$6:$G9,"&gt;0"))</f>
        <v/>
      </c>
      <c r="D9" s="483" t="s">
        <v>3459</v>
      </c>
      <c r="E9" s="474" t="s">
        <v>2962</v>
      </c>
      <c r="F9" s="475" t="s">
        <v>163</v>
      </c>
      <c r="G9" s="476">
        <f t="shared" ca="1" si="0"/>
        <v>0</v>
      </c>
      <c r="H9" s="477" t="s">
        <v>3404</v>
      </c>
      <c r="I9" s="478">
        <v>0.45400000000000001</v>
      </c>
      <c r="J9" s="479">
        <v>0.45</v>
      </c>
      <c r="K9" s="480">
        <f t="shared" ca="1" si="1"/>
        <v>0</v>
      </c>
      <c r="L9" s="477" t="s">
        <v>3404</v>
      </c>
      <c r="M9" s="478">
        <f t="shared" si="5"/>
        <v>0.45400000000000001</v>
      </c>
      <c r="N9" s="479">
        <v>0.55000000000000004</v>
      </c>
      <c r="O9" s="481">
        <f t="shared" si="2"/>
        <v>52722.883800000003</v>
      </c>
      <c r="P9" s="481">
        <f t="shared" si="3"/>
        <v>64439.080200000011</v>
      </c>
      <c r="Q9" s="481">
        <f t="shared" ca="1" si="6"/>
        <v>0</v>
      </c>
      <c r="R9" s="471">
        <f t="shared" ca="1" si="4"/>
        <v>0</v>
      </c>
    </row>
    <row r="10" spans="1:18">
      <c r="B10" s="361" t="s">
        <v>3917</v>
      </c>
      <c r="C10" s="472" t="str">
        <f ca="1">IF(G10=0,"",COUNTIF($G$6:$G10,"&gt;0"))</f>
        <v/>
      </c>
      <c r="D10" s="483" t="s">
        <v>3500</v>
      </c>
      <c r="E10" s="474" t="s">
        <v>2963</v>
      </c>
      <c r="F10" s="475" t="s">
        <v>37</v>
      </c>
      <c r="G10" s="476">
        <f t="shared" ca="1" si="0"/>
        <v>0</v>
      </c>
      <c r="H10" s="477" t="s">
        <v>3403</v>
      </c>
      <c r="I10" s="478">
        <v>0.91800000000000004</v>
      </c>
      <c r="J10" s="479">
        <v>0.45</v>
      </c>
      <c r="K10" s="480">
        <f t="shared" ca="1" si="1"/>
        <v>0</v>
      </c>
      <c r="L10" s="477" t="s">
        <v>3404</v>
      </c>
      <c r="M10" s="478">
        <f t="shared" si="5"/>
        <v>0.91800000000000004</v>
      </c>
      <c r="N10" s="479">
        <v>0.55000000000000004</v>
      </c>
      <c r="O10" s="481">
        <f t="shared" si="2"/>
        <v>106607.06460000001</v>
      </c>
      <c r="P10" s="481">
        <f t="shared" si="3"/>
        <v>130297.52340000002</v>
      </c>
      <c r="Q10" s="481">
        <f t="shared" ca="1" si="6"/>
        <v>0</v>
      </c>
      <c r="R10" s="471">
        <f t="shared" ca="1" si="4"/>
        <v>0</v>
      </c>
    </row>
    <row r="11" spans="1:18">
      <c r="B11" s="361" t="s">
        <v>3918</v>
      </c>
      <c r="C11" s="472" t="str">
        <f ca="1">IF(G11=0,"",COUNTIF($G$6:$G11,"&gt;0"))</f>
        <v/>
      </c>
      <c r="D11" s="483" t="s">
        <v>3467</v>
      </c>
      <c r="E11" s="474" t="s">
        <v>3514</v>
      </c>
      <c r="F11" s="413" t="s">
        <v>1265</v>
      </c>
      <c r="G11" s="476">
        <f t="shared" ref="G11:G32" ca="1" si="7">SUMIF(maBK,B11,tongBK1)/1000</f>
        <v>0</v>
      </c>
      <c r="H11" s="477" t="s">
        <v>3405</v>
      </c>
      <c r="I11" s="478">
        <v>28.925999999999998</v>
      </c>
      <c r="J11" s="479">
        <v>0.45</v>
      </c>
      <c r="K11" s="480">
        <f t="shared" ca="1" si="1"/>
        <v>0</v>
      </c>
      <c r="L11" s="477" t="s">
        <v>3405</v>
      </c>
      <c r="M11" s="478">
        <f t="shared" si="5"/>
        <v>28.925999999999998</v>
      </c>
      <c r="N11" s="479">
        <v>0.55000000000000004</v>
      </c>
      <c r="O11" s="481">
        <f t="shared" si="2"/>
        <v>3359167.7021999997</v>
      </c>
      <c r="P11" s="481">
        <f t="shared" si="3"/>
        <v>4105649.4138000002</v>
      </c>
      <c r="Q11" s="481">
        <f t="shared" ca="1" si="6"/>
        <v>0</v>
      </c>
      <c r="R11" s="471">
        <f t="shared" ca="1" si="4"/>
        <v>0</v>
      </c>
    </row>
    <row r="12" spans="1:18">
      <c r="B12" s="361" t="s">
        <v>3919</v>
      </c>
      <c r="C12" s="472" t="str">
        <f ca="1">IF(G12=0,"",COUNTIF($G$6:$G12,"&gt;0"))</f>
        <v/>
      </c>
      <c r="D12" s="483" t="s">
        <v>3468</v>
      </c>
      <c r="E12" s="474" t="s">
        <v>3461</v>
      </c>
      <c r="F12" s="413" t="s">
        <v>1265</v>
      </c>
      <c r="G12" s="476">
        <f t="shared" ca="1" si="7"/>
        <v>0</v>
      </c>
      <c r="H12" s="477" t="s">
        <v>3405</v>
      </c>
      <c r="I12" s="478">
        <v>38.646000000000001</v>
      </c>
      <c r="J12" s="479">
        <v>0.45</v>
      </c>
      <c r="K12" s="480">
        <f t="shared" ca="1" si="1"/>
        <v>0</v>
      </c>
      <c r="L12" s="477" t="s">
        <v>3405</v>
      </c>
      <c r="M12" s="478">
        <f t="shared" si="5"/>
        <v>38.646000000000001</v>
      </c>
      <c r="N12" s="479">
        <v>0.55000000000000004</v>
      </c>
      <c r="O12" s="481">
        <f t="shared" si="2"/>
        <v>4487948.3862000005</v>
      </c>
      <c r="P12" s="481">
        <f t="shared" si="3"/>
        <v>5485270.2498000003</v>
      </c>
      <c r="Q12" s="481">
        <f t="shared" ca="1" si="6"/>
        <v>0</v>
      </c>
      <c r="R12" s="471">
        <f t="shared" ca="1" si="4"/>
        <v>0</v>
      </c>
    </row>
    <row r="13" spans="1:18">
      <c r="B13" s="361" t="s">
        <v>3920</v>
      </c>
      <c r="C13" s="472" t="str">
        <f ca="1">IF(G13=0,"",COUNTIF($G$6:$G13,"&gt;0"))</f>
        <v/>
      </c>
      <c r="D13" s="483" t="s">
        <v>3469</v>
      </c>
      <c r="E13" s="474" t="s">
        <v>3462</v>
      </c>
      <c r="F13" s="413" t="s">
        <v>1265</v>
      </c>
      <c r="G13" s="476">
        <f t="shared" ca="1" si="7"/>
        <v>0</v>
      </c>
      <c r="H13" s="477" t="s">
        <v>3405</v>
      </c>
      <c r="I13" s="478">
        <v>52.631999999999998</v>
      </c>
      <c r="J13" s="479">
        <v>0.45</v>
      </c>
      <c r="K13" s="480">
        <f t="shared" ca="1" si="1"/>
        <v>0</v>
      </c>
      <c r="L13" s="477" t="s">
        <v>3405</v>
      </c>
      <c r="M13" s="478">
        <f t="shared" si="5"/>
        <v>52.631999999999998</v>
      </c>
      <c r="N13" s="479">
        <v>0.55000000000000004</v>
      </c>
      <c r="O13" s="481">
        <f t="shared" si="2"/>
        <v>6112138.3703999994</v>
      </c>
      <c r="P13" s="481">
        <f t="shared" si="3"/>
        <v>7470391.3415999999</v>
      </c>
      <c r="Q13" s="481">
        <f t="shared" ca="1" si="6"/>
        <v>0</v>
      </c>
      <c r="R13" s="471">
        <f t="shared" ca="1" si="4"/>
        <v>0</v>
      </c>
    </row>
    <row r="14" spans="1:18">
      <c r="B14" s="361" t="s">
        <v>3921</v>
      </c>
      <c r="C14" s="472" t="str">
        <f ca="1">IF(G14=0,"",COUNTIF($G$6:$G14,"&gt;0"))</f>
        <v/>
      </c>
      <c r="D14" s="483" t="s">
        <v>3470</v>
      </c>
      <c r="E14" s="474" t="s">
        <v>3463</v>
      </c>
      <c r="F14" s="413" t="s">
        <v>1265</v>
      </c>
      <c r="G14" s="476">
        <f t="shared" ca="1" si="7"/>
        <v>0</v>
      </c>
      <c r="H14" s="477" t="s">
        <v>3405</v>
      </c>
      <c r="I14" s="478">
        <v>59.13</v>
      </c>
      <c r="J14" s="479">
        <v>0.45</v>
      </c>
      <c r="K14" s="480">
        <f t="shared" ca="1" si="1"/>
        <v>0</v>
      </c>
      <c r="L14" s="477" t="s">
        <v>3405</v>
      </c>
      <c r="M14" s="478">
        <f t="shared" si="5"/>
        <v>59.13</v>
      </c>
      <c r="N14" s="479">
        <v>0.55000000000000004</v>
      </c>
      <c r="O14" s="481">
        <f t="shared" si="2"/>
        <v>6866749.1610000003</v>
      </c>
      <c r="P14" s="481">
        <f t="shared" si="3"/>
        <v>8392693.4190000016</v>
      </c>
      <c r="Q14" s="481">
        <f t="shared" ca="1" si="6"/>
        <v>0</v>
      </c>
      <c r="R14" s="471">
        <f t="shared" ca="1" si="4"/>
        <v>0</v>
      </c>
    </row>
    <row r="15" spans="1:18">
      <c r="B15" s="361" t="s">
        <v>3922</v>
      </c>
      <c r="C15" s="472" t="str">
        <f ca="1">IF(G15=0,"",COUNTIF($G$6:$G15,"&gt;0"))</f>
        <v/>
      </c>
      <c r="D15" s="483" t="s">
        <v>3471</v>
      </c>
      <c r="E15" s="474" t="s">
        <v>3464</v>
      </c>
      <c r="F15" s="413" t="s">
        <v>1265</v>
      </c>
      <c r="G15" s="476">
        <f t="shared" ca="1" si="7"/>
        <v>0</v>
      </c>
      <c r="H15" s="477" t="s">
        <v>3405</v>
      </c>
      <c r="I15" s="478">
        <v>71.55</v>
      </c>
      <c r="J15" s="479">
        <v>0.45</v>
      </c>
      <c r="K15" s="480">
        <f t="shared" ca="1" si="1"/>
        <v>0</v>
      </c>
      <c r="L15" s="477" t="s">
        <v>3405</v>
      </c>
      <c r="M15" s="478">
        <f t="shared" si="5"/>
        <v>71.55</v>
      </c>
      <c r="N15" s="479">
        <v>0.55000000000000004</v>
      </c>
      <c r="O15" s="481">
        <f t="shared" si="2"/>
        <v>8309080.0350000001</v>
      </c>
      <c r="P15" s="481">
        <f t="shared" si="3"/>
        <v>10155542.265000001</v>
      </c>
      <c r="Q15" s="481">
        <f t="shared" ca="1" si="6"/>
        <v>0</v>
      </c>
      <c r="R15" s="471">
        <f t="shared" ca="1" si="4"/>
        <v>0</v>
      </c>
    </row>
    <row r="16" spans="1:18">
      <c r="B16" s="361" t="s">
        <v>3923</v>
      </c>
      <c r="C16" s="472" t="str">
        <f ca="1">IF(G16=0,"",COUNTIF($G$6:$G16,"&gt;0"))</f>
        <v/>
      </c>
      <c r="D16" s="483" t="s">
        <v>3472</v>
      </c>
      <c r="E16" s="474" t="s">
        <v>3465</v>
      </c>
      <c r="F16" s="413" t="s">
        <v>1265</v>
      </c>
      <c r="G16" s="476">
        <f t="shared" ca="1" si="7"/>
        <v>0</v>
      </c>
      <c r="H16" s="477" t="s">
        <v>3405</v>
      </c>
      <c r="I16" s="478">
        <v>84.438000000000002</v>
      </c>
      <c r="J16" s="479">
        <v>0.45</v>
      </c>
      <c r="K16" s="480">
        <f t="shared" ca="1" si="1"/>
        <v>0</v>
      </c>
      <c r="L16" s="477" t="s">
        <v>3405</v>
      </c>
      <c r="M16" s="478">
        <f t="shared" si="5"/>
        <v>84.438000000000002</v>
      </c>
      <c r="N16" s="479">
        <v>0.55000000000000004</v>
      </c>
      <c r="O16" s="481">
        <f t="shared" si="2"/>
        <v>9805759.6085999999</v>
      </c>
      <c r="P16" s="481">
        <f t="shared" si="3"/>
        <v>11984817.299400002</v>
      </c>
      <c r="Q16" s="481">
        <f t="shared" ca="1" si="6"/>
        <v>0</v>
      </c>
      <c r="R16" s="471">
        <f t="shared" ca="1" si="4"/>
        <v>0</v>
      </c>
    </row>
    <row r="17" spans="2:18">
      <c r="B17" s="361" t="s">
        <v>3924</v>
      </c>
      <c r="C17" s="472" t="str">
        <f ca="1">IF(G17=0,"",COUNTIF($G$6:$G17,"&gt;0"))</f>
        <v/>
      </c>
      <c r="D17" s="483" t="s">
        <v>3473</v>
      </c>
      <c r="E17" s="474" t="s">
        <v>3466</v>
      </c>
      <c r="F17" s="413" t="s">
        <v>1265</v>
      </c>
      <c r="G17" s="476">
        <f t="shared" ca="1" si="7"/>
        <v>0</v>
      </c>
      <c r="H17" s="477" t="s">
        <v>3405</v>
      </c>
      <c r="I17" s="478">
        <v>92.861999999999995</v>
      </c>
      <c r="J17" s="479">
        <v>0.45</v>
      </c>
      <c r="K17" s="480">
        <f t="shared" ca="1" si="1"/>
        <v>0</v>
      </c>
      <c r="L17" s="477" t="s">
        <v>3405</v>
      </c>
      <c r="M17" s="478">
        <f t="shared" si="5"/>
        <v>92.861999999999995</v>
      </c>
      <c r="N17" s="479">
        <v>0.55000000000000004</v>
      </c>
      <c r="O17" s="481">
        <f t="shared" si="2"/>
        <v>10784036.201399999</v>
      </c>
      <c r="P17" s="481">
        <f t="shared" si="3"/>
        <v>13180488.6906</v>
      </c>
      <c r="Q17" s="481">
        <f t="shared" ca="1" si="6"/>
        <v>0</v>
      </c>
      <c r="R17" s="471">
        <f t="shared" ca="1" si="4"/>
        <v>0</v>
      </c>
    </row>
    <row r="18" spans="2:18">
      <c r="B18" s="361" t="s">
        <v>4145</v>
      </c>
      <c r="C18" s="472" t="str">
        <f ca="1">IF(G18=0,"",COUNTIF($G$6:$G18,"&gt;0"))</f>
        <v/>
      </c>
      <c r="D18" s="483" t="s">
        <v>3478</v>
      </c>
      <c r="E18" s="474" t="s">
        <v>4144</v>
      </c>
      <c r="F18" s="413" t="s">
        <v>1265</v>
      </c>
      <c r="G18" s="476">
        <f t="shared" ca="1" si="7"/>
        <v>0</v>
      </c>
      <c r="H18" s="477" t="s">
        <v>3405</v>
      </c>
      <c r="I18" s="478">
        <v>23.04</v>
      </c>
      <c r="J18" s="484">
        <f>0.45*0.7</f>
        <v>0.315</v>
      </c>
      <c r="K18" s="480">
        <f t="shared" ref="K18:K28" ca="1" si="8">G18</f>
        <v>0</v>
      </c>
      <c r="L18" s="477" t="s">
        <v>3405</v>
      </c>
      <c r="M18" s="478">
        <f t="shared" si="5"/>
        <v>23.04</v>
      </c>
      <c r="N18" s="484">
        <f>0.55*0.7</f>
        <v>0.38500000000000001</v>
      </c>
      <c r="O18" s="481">
        <f t="shared" si="2"/>
        <v>1872939.8015999999</v>
      </c>
      <c r="P18" s="481">
        <f t="shared" si="3"/>
        <v>2289148.6464</v>
      </c>
      <c r="Q18" s="481">
        <f t="shared" ca="1" si="6"/>
        <v>0</v>
      </c>
      <c r="R18" s="471">
        <f t="shared" ca="1" si="4"/>
        <v>0</v>
      </c>
    </row>
    <row r="19" spans="2:18">
      <c r="B19" s="361" t="s">
        <v>3925</v>
      </c>
      <c r="C19" s="472" t="str">
        <f ca="1">IF(G19=0,"",COUNTIF($G$6:$G19,"&gt;0"))</f>
        <v/>
      </c>
      <c r="D19" s="483" t="s">
        <v>3478</v>
      </c>
      <c r="E19" s="474" t="s">
        <v>4146</v>
      </c>
      <c r="F19" s="413" t="s">
        <v>1265</v>
      </c>
      <c r="G19" s="476">
        <f t="shared" ca="1" si="7"/>
        <v>0</v>
      </c>
      <c r="H19" s="477" t="s">
        <v>3405</v>
      </c>
      <c r="I19" s="478">
        <v>23.04</v>
      </c>
      <c r="J19" s="484">
        <f>0.45*0.7</f>
        <v>0.315</v>
      </c>
      <c r="K19" s="480">
        <f t="shared" ref="K19:K20" ca="1" si="9">G19</f>
        <v>0</v>
      </c>
      <c r="L19" s="477" t="s">
        <v>3405</v>
      </c>
      <c r="M19" s="478">
        <f t="shared" ref="M19:M20" si="10">I19</f>
        <v>23.04</v>
      </c>
      <c r="N19" s="484">
        <f>0.55*0.7</f>
        <v>0.38500000000000001</v>
      </c>
      <c r="O19" s="481">
        <f t="shared" ref="O19:O20" si="11">VLOOKUP(H19,TIENLUONG,4)*I19*J19</f>
        <v>1872939.8015999999</v>
      </c>
      <c r="P19" s="481">
        <f t="shared" ref="P19:P20" si="12">VLOOKUP(L19,TIENLUONG,4)*M19*N19</f>
        <v>2289148.6464</v>
      </c>
      <c r="Q19" s="481">
        <f t="shared" ref="Q19:Q20" ca="1" si="13">G19*O19+K19*P19</f>
        <v>0</v>
      </c>
      <c r="R19" s="471">
        <f t="shared" ref="R19:R20" ca="1" si="14">IF(G19&lt;&gt;0,1,0)</f>
        <v>0</v>
      </c>
    </row>
    <row r="20" spans="2:18">
      <c r="B20" s="361" t="s">
        <v>4151</v>
      </c>
      <c r="C20" s="472" t="str">
        <f ca="1">IF(G20=0,"",COUNTIF($G$6:$G20,"&gt;0"))</f>
        <v/>
      </c>
      <c r="D20" s="483" t="s">
        <v>3478</v>
      </c>
      <c r="E20" s="474" t="s">
        <v>4152</v>
      </c>
      <c r="F20" s="413" t="s">
        <v>1265</v>
      </c>
      <c r="G20" s="476">
        <f t="shared" ca="1" si="7"/>
        <v>0</v>
      </c>
      <c r="H20" s="477" t="s">
        <v>3405</v>
      </c>
      <c r="I20" s="478">
        <v>23.04</v>
      </c>
      <c r="J20" s="484">
        <f>0.45*0.7</f>
        <v>0.315</v>
      </c>
      <c r="K20" s="480">
        <f t="shared" ca="1" si="9"/>
        <v>0</v>
      </c>
      <c r="L20" s="477" t="s">
        <v>3405</v>
      </c>
      <c r="M20" s="478">
        <f t="shared" si="10"/>
        <v>23.04</v>
      </c>
      <c r="N20" s="484">
        <f>0.55*0.7</f>
        <v>0.38500000000000001</v>
      </c>
      <c r="O20" s="481">
        <f t="shared" si="11"/>
        <v>1872939.8015999999</v>
      </c>
      <c r="P20" s="481">
        <f t="shared" si="12"/>
        <v>2289148.6464</v>
      </c>
      <c r="Q20" s="481">
        <f t="shared" ca="1" si="13"/>
        <v>0</v>
      </c>
      <c r="R20" s="471">
        <f t="shared" ca="1" si="14"/>
        <v>0</v>
      </c>
    </row>
    <row r="21" spans="2:18">
      <c r="B21" s="361" t="s">
        <v>4149</v>
      </c>
      <c r="C21" s="472" t="str">
        <f ca="1">IF(G21=0,"",COUNTIF($G$6:$G21,"&gt;0"))</f>
        <v/>
      </c>
      <c r="D21" s="483" t="s">
        <v>3478</v>
      </c>
      <c r="E21" s="474" t="s">
        <v>4150</v>
      </c>
      <c r="F21" s="413" t="s">
        <v>1265</v>
      </c>
      <c r="G21" s="476">
        <f t="shared" ca="1" si="7"/>
        <v>0</v>
      </c>
      <c r="H21" s="477" t="s">
        <v>3405</v>
      </c>
      <c r="I21" s="478">
        <v>23.04</v>
      </c>
      <c r="J21" s="484">
        <f>0.45*0.7</f>
        <v>0.315</v>
      </c>
      <c r="K21" s="480">
        <f t="shared" ref="K21" ca="1" si="15">G21</f>
        <v>0</v>
      </c>
      <c r="L21" s="477" t="s">
        <v>3405</v>
      </c>
      <c r="M21" s="478">
        <f t="shared" ref="M21" si="16">I21</f>
        <v>23.04</v>
      </c>
      <c r="N21" s="484">
        <f>0.55*0.7</f>
        <v>0.38500000000000001</v>
      </c>
      <c r="O21" s="481">
        <f t="shared" ref="O21" si="17">VLOOKUP(H21,TIENLUONG,4)*I21*J21</f>
        <v>1872939.8015999999</v>
      </c>
      <c r="P21" s="481">
        <f t="shared" ref="P21" si="18">VLOOKUP(L21,TIENLUONG,4)*M21*N21</f>
        <v>2289148.6464</v>
      </c>
      <c r="Q21" s="481">
        <f t="shared" ref="Q21" ca="1" si="19">G21*O21+K21*P21</f>
        <v>0</v>
      </c>
      <c r="R21" s="471">
        <f t="shared" ref="R21" ca="1" si="20">IF(G21&lt;&gt;0,1,0)</f>
        <v>0</v>
      </c>
    </row>
    <row r="22" spans="2:18">
      <c r="B22" s="361" t="s">
        <v>4154</v>
      </c>
      <c r="C22" s="472" t="str">
        <f ca="1">IF(G22=0,"",COUNTIF($G$6:$G22,"&gt;0"))</f>
        <v/>
      </c>
      <c r="D22" s="483" t="s">
        <v>3479</v>
      </c>
      <c r="E22" s="474" t="s">
        <v>4153</v>
      </c>
      <c r="F22" s="413" t="s">
        <v>1265</v>
      </c>
      <c r="G22" s="476">
        <f t="shared" ca="1" si="7"/>
        <v>0</v>
      </c>
      <c r="H22" s="477" t="s">
        <v>3405</v>
      </c>
      <c r="I22" s="478">
        <v>30.96</v>
      </c>
      <c r="J22" s="484">
        <f t="shared" ref="J22:J28" si="21">0.45*0.7</f>
        <v>0.315</v>
      </c>
      <c r="K22" s="480">
        <f t="shared" ca="1" si="8"/>
        <v>0</v>
      </c>
      <c r="L22" s="477" t="s">
        <v>3405</v>
      </c>
      <c r="M22" s="478">
        <f t="shared" si="5"/>
        <v>30.96</v>
      </c>
      <c r="N22" s="484">
        <f t="shared" ref="N22:N28" si="22">0.55*0.7</f>
        <v>0.38500000000000001</v>
      </c>
      <c r="O22" s="481">
        <f t="shared" si="2"/>
        <v>2516762.8584000003</v>
      </c>
      <c r="P22" s="481">
        <f t="shared" si="3"/>
        <v>3076043.4936000002</v>
      </c>
      <c r="Q22" s="481">
        <f t="shared" ca="1" si="6"/>
        <v>0</v>
      </c>
      <c r="R22" s="471">
        <f t="shared" ca="1" si="4"/>
        <v>0</v>
      </c>
    </row>
    <row r="23" spans="2:18">
      <c r="B23" s="361" t="s">
        <v>4155</v>
      </c>
      <c r="C23" s="472" t="str">
        <f ca="1">IF(G23=0,"",COUNTIF($G$6:$G23,"&gt;0"))</f>
        <v/>
      </c>
      <c r="D23" s="483" t="s">
        <v>3479</v>
      </c>
      <c r="E23" s="474" t="s">
        <v>4156</v>
      </c>
      <c r="F23" s="413" t="s">
        <v>1265</v>
      </c>
      <c r="G23" s="476">
        <f t="shared" ca="1" si="7"/>
        <v>0</v>
      </c>
      <c r="H23" s="477" t="s">
        <v>3405</v>
      </c>
      <c r="I23" s="478">
        <v>30.96</v>
      </c>
      <c r="J23" s="484">
        <f t="shared" si="21"/>
        <v>0.315</v>
      </c>
      <c r="K23" s="480">
        <f t="shared" ref="K23" ca="1" si="23">G23</f>
        <v>0</v>
      </c>
      <c r="L23" s="477" t="s">
        <v>3405</v>
      </c>
      <c r="M23" s="478">
        <f t="shared" ref="M23" si="24">I23</f>
        <v>30.96</v>
      </c>
      <c r="N23" s="484">
        <f t="shared" si="22"/>
        <v>0.38500000000000001</v>
      </c>
      <c r="O23" s="481">
        <f t="shared" ref="O23" si="25">VLOOKUP(H23,TIENLUONG,4)*I23*J23</f>
        <v>2516762.8584000003</v>
      </c>
      <c r="P23" s="481">
        <f t="shared" ref="P23" si="26">VLOOKUP(L23,TIENLUONG,4)*M23*N23</f>
        <v>3076043.4936000002</v>
      </c>
      <c r="Q23" s="481">
        <f t="shared" ref="Q23" ca="1" si="27">G23*O23+K23*P23</f>
        <v>0</v>
      </c>
      <c r="R23" s="471">
        <f t="shared" ref="R23" ca="1" si="28">IF(G23&lt;&gt;0,1,0)</f>
        <v>0</v>
      </c>
    </row>
    <row r="24" spans="2:18">
      <c r="B24" s="361" t="s">
        <v>4147</v>
      </c>
      <c r="C24" s="472" t="str">
        <f ca="1">IF(G24=0,"",COUNTIF($G$6:$G24,"&gt;0"))</f>
        <v/>
      </c>
      <c r="D24" s="483" t="s">
        <v>3480</v>
      </c>
      <c r="E24" s="474" t="s">
        <v>4148</v>
      </c>
      <c r="F24" s="413" t="s">
        <v>1265</v>
      </c>
      <c r="G24" s="476">
        <f t="shared" ca="1" si="7"/>
        <v>0</v>
      </c>
      <c r="H24" s="477" t="s">
        <v>3405</v>
      </c>
      <c r="I24" s="478">
        <v>42.3</v>
      </c>
      <c r="J24" s="484">
        <f t="shared" si="21"/>
        <v>0.315</v>
      </c>
      <c r="K24" s="480">
        <f t="shared" ca="1" si="8"/>
        <v>0</v>
      </c>
      <c r="L24" s="477" t="s">
        <v>3405</v>
      </c>
      <c r="M24" s="478">
        <f t="shared" si="5"/>
        <v>42.3</v>
      </c>
      <c r="N24" s="484">
        <f t="shared" si="22"/>
        <v>0.38500000000000001</v>
      </c>
      <c r="O24" s="481">
        <f t="shared" si="2"/>
        <v>3438600.4169999999</v>
      </c>
      <c r="P24" s="481">
        <f t="shared" si="3"/>
        <v>4202733.8429999994</v>
      </c>
      <c r="Q24" s="481">
        <f t="shared" ca="1" si="6"/>
        <v>0</v>
      </c>
      <c r="R24" s="471">
        <f t="shared" ca="1" si="4"/>
        <v>0</v>
      </c>
    </row>
    <row r="25" spans="2:18">
      <c r="B25" s="361" t="s">
        <v>3926</v>
      </c>
      <c r="C25" s="472" t="str">
        <f ca="1">IF(G25=0,"",COUNTIF($G$6:$G25,"&gt;0"))</f>
        <v/>
      </c>
      <c r="D25" s="483" t="s">
        <v>3481</v>
      </c>
      <c r="E25" s="474" t="s">
        <v>3474</v>
      </c>
      <c r="F25" s="413" t="s">
        <v>1265</v>
      </c>
      <c r="G25" s="476">
        <f t="shared" ca="1" si="7"/>
        <v>0</v>
      </c>
      <c r="H25" s="477" t="s">
        <v>3405</v>
      </c>
      <c r="I25" s="478">
        <v>48.24</v>
      </c>
      <c r="J25" s="484">
        <f t="shared" si="21"/>
        <v>0.315</v>
      </c>
      <c r="K25" s="480">
        <f t="shared" ca="1" si="8"/>
        <v>0</v>
      </c>
      <c r="L25" s="477" t="s">
        <v>3405</v>
      </c>
      <c r="M25" s="478">
        <f t="shared" si="5"/>
        <v>48.24</v>
      </c>
      <c r="N25" s="484">
        <f t="shared" si="22"/>
        <v>0.38500000000000001</v>
      </c>
      <c r="O25" s="481">
        <f t="shared" si="2"/>
        <v>3921467.7096000002</v>
      </c>
      <c r="P25" s="481">
        <f t="shared" si="3"/>
        <v>4792904.9784000004</v>
      </c>
      <c r="Q25" s="481">
        <f t="shared" ca="1" si="6"/>
        <v>0</v>
      </c>
      <c r="R25" s="471">
        <f t="shared" ca="1" si="4"/>
        <v>0</v>
      </c>
    </row>
    <row r="26" spans="2:18">
      <c r="B26" s="361" t="s">
        <v>3927</v>
      </c>
      <c r="C26" s="472" t="str">
        <f ca="1">IF(G26=0,"",COUNTIF($G$6:$G26,"&gt;0"))</f>
        <v/>
      </c>
      <c r="D26" s="483" t="s">
        <v>3482</v>
      </c>
      <c r="E26" s="474" t="s">
        <v>3475</v>
      </c>
      <c r="F26" s="413" t="s">
        <v>1265</v>
      </c>
      <c r="G26" s="476">
        <f t="shared" ca="1" si="7"/>
        <v>0</v>
      </c>
      <c r="H26" s="477" t="s">
        <v>3405</v>
      </c>
      <c r="I26" s="478">
        <v>57.24</v>
      </c>
      <c r="J26" s="484">
        <f t="shared" si="21"/>
        <v>0.315</v>
      </c>
      <c r="K26" s="480">
        <f t="shared" ca="1" si="8"/>
        <v>0</v>
      </c>
      <c r="L26" s="477" t="s">
        <v>3405</v>
      </c>
      <c r="M26" s="478">
        <f t="shared" si="5"/>
        <v>57.24</v>
      </c>
      <c r="N26" s="484">
        <f t="shared" si="22"/>
        <v>0.38500000000000001</v>
      </c>
      <c r="O26" s="481">
        <f t="shared" si="2"/>
        <v>4653084.8196</v>
      </c>
      <c r="P26" s="481">
        <f t="shared" si="3"/>
        <v>5687103.6683999998</v>
      </c>
      <c r="Q26" s="481">
        <f t="shared" ca="1" si="6"/>
        <v>0</v>
      </c>
      <c r="R26" s="471">
        <f t="shared" ca="1" si="4"/>
        <v>0</v>
      </c>
    </row>
    <row r="27" spans="2:18">
      <c r="B27" s="361" t="s">
        <v>3928</v>
      </c>
      <c r="C27" s="472" t="str">
        <f ca="1">IF(G27=0,"",COUNTIF($G$6:$G27,"&gt;0"))</f>
        <v/>
      </c>
      <c r="D27" s="483" t="s">
        <v>3483</v>
      </c>
      <c r="E27" s="474" t="s">
        <v>3476</v>
      </c>
      <c r="F27" s="413" t="s">
        <v>1265</v>
      </c>
      <c r="G27" s="476">
        <f t="shared" ca="1" si="7"/>
        <v>0</v>
      </c>
      <c r="H27" s="477" t="s">
        <v>3405</v>
      </c>
      <c r="I27" s="478">
        <v>67.554000000000002</v>
      </c>
      <c r="J27" s="484">
        <f t="shared" si="21"/>
        <v>0.315</v>
      </c>
      <c r="K27" s="480">
        <f t="shared" ca="1" si="8"/>
        <v>0</v>
      </c>
      <c r="L27" s="477" t="s">
        <v>3405</v>
      </c>
      <c r="M27" s="478">
        <f t="shared" si="5"/>
        <v>67.554000000000002</v>
      </c>
      <c r="N27" s="484">
        <f t="shared" si="22"/>
        <v>0.38500000000000001</v>
      </c>
      <c r="O27" s="481">
        <f t="shared" si="2"/>
        <v>5491518.0276600001</v>
      </c>
      <c r="P27" s="481">
        <f t="shared" si="3"/>
        <v>6711855.3671399998</v>
      </c>
      <c r="Q27" s="481">
        <f t="shared" ca="1" si="6"/>
        <v>0</v>
      </c>
      <c r="R27" s="471">
        <f t="shared" ca="1" si="4"/>
        <v>0</v>
      </c>
    </row>
    <row r="28" spans="2:18">
      <c r="B28" s="361" t="s">
        <v>3929</v>
      </c>
      <c r="C28" s="472" t="str">
        <f ca="1">IF(G28=0,"",COUNTIF($G$6:$G28,"&gt;0"))</f>
        <v/>
      </c>
      <c r="D28" s="483" t="s">
        <v>3484</v>
      </c>
      <c r="E28" s="474" t="s">
        <v>3477</v>
      </c>
      <c r="F28" s="413" t="s">
        <v>1265</v>
      </c>
      <c r="G28" s="476">
        <f t="shared" ca="1" si="7"/>
        <v>0</v>
      </c>
      <c r="H28" s="477" t="s">
        <v>3405</v>
      </c>
      <c r="I28" s="478">
        <v>74.286000000000001</v>
      </c>
      <c r="J28" s="484">
        <f t="shared" si="21"/>
        <v>0.315</v>
      </c>
      <c r="K28" s="480">
        <f t="shared" ca="1" si="8"/>
        <v>0</v>
      </c>
      <c r="L28" s="477" t="s">
        <v>3405</v>
      </c>
      <c r="M28" s="478">
        <f t="shared" si="5"/>
        <v>74.286000000000001</v>
      </c>
      <c r="N28" s="484">
        <f t="shared" si="22"/>
        <v>0.38500000000000001</v>
      </c>
      <c r="O28" s="481">
        <f t="shared" si="2"/>
        <v>6038767.6259400006</v>
      </c>
      <c r="P28" s="481">
        <f t="shared" si="3"/>
        <v>7380715.9872600008</v>
      </c>
      <c r="Q28" s="481">
        <f t="shared" ca="1" si="6"/>
        <v>0</v>
      </c>
      <c r="R28" s="471">
        <f t="shared" ca="1" si="4"/>
        <v>0</v>
      </c>
    </row>
    <row r="29" spans="2:18">
      <c r="B29" s="361" t="s">
        <v>3930</v>
      </c>
      <c r="C29" s="472">
        <f ca="1">IF(G29=0,"",COUNTIF($G$6:$G29,"&gt;0"))</f>
        <v>3</v>
      </c>
      <c r="D29" s="483" t="s">
        <v>3485</v>
      </c>
      <c r="E29" s="485" t="s">
        <v>3487</v>
      </c>
      <c r="F29" s="413" t="s">
        <v>1265</v>
      </c>
      <c r="G29" s="476">
        <f t="shared" ca="1" si="7"/>
        <v>0.216</v>
      </c>
      <c r="H29" s="477" t="s">
        <v>3405</v>
      </c>
      <c r="I29" s="478">
        <v>28.547999999999998</v>
      </c>
      <c r="J29" s="479">
        <v>0.45</v>
      </c>
      <c r="K29" s="480">
        <f t="shared" ca="1" si="1"/>
        <v>0.216</v>
      </c>
      <c r="L29" s="477" t="s">
        <v>3405</v>
      </c>
      <c r="M29" s="478">
        <f t="shared" si="5"/>
        <v>28.547999999999998</v>
      </c>
      <c r="N29" s="479">
        <v>0.55000000000000004</v>
      </c>
      <c r="O29" s="481">
        <f t="shared" si="2"/>
        <v>3315270.6755999997</v>
      </c>
      <c r="P29" s="481">
        <f t="shared" si="3"/>
        <v>4051997.4924000003</v>
      </c>
      <c r="Q29" s="481">
        <f t="shared" ca="1" si="6"/>
        <v>1591329.924288</v>
      </c>
      <c r="R29" s="471">
        <f t="shared" ca="1" si="4"/>
        <v>1</v>
      </c>
    </row>
    <row r="30" spans="2:18">
      <c r="B30" s="361" t="s">
        <v>3931</v>
      </c>
      <c r="C30" s="472" t="str">
        <f ca="1">IF(G30=0,"",COUNTIF($G$6:$G30,"&gt;0"))</f>
        <v/>
      </c>
      <c r="D30" s="483" t="s">
        <v>3486</v>
      </c>
      <c r="E30" s="485" t="s">
        <v>3488</v>
      </c>
      <c r="F30" s="413" t="s">
        <v>1265</v>
      </c>
      <c r="G30" s="476">
        <f t="shared" ca="1" si="7"/>
        <v>0</v>
      </c>
      <c r="H30" s="477" t="s">
        <v>3405</v>
      </c>
      <c r="I30" s="478">
        <v>17.64</v>
      </c>
      <c r="J30" s="479">
        <v>0.45</v>
      </c>
      <c r="K30" s="480">
        <f t="shared" ref="K30" ca="1" si="29">G30</f>
        <v>0</v>
      </c>
      <c r="L30" s="477" t="s">
        <v>3405</v>
      </c>
      <c r="M30" s="478">
        <f t="shared" si="5"/>
        <v>17.64</v>
      </c>
      <c r="N30" s="479">
        <v>0.55000000000000004</v>
      </c>
      <c r="O30" s="481">
        <f t="shared" si="2"/>
        <v>2048527.9080000001</v>
      </c>
      <c r="P30" s="481">
        <f t="shared" si="3"/>
        <v>2503756.3320000004</v>
      </c>
      <c r="Q30" s="481">
        <f t="shared" ca="1" si="6"/>
        <v>0</v>
      </c>
      <c r="R30" s="471">
        <f t="shared" ref="R30" ca="1" si="30">IF(G30&lt;&gt;0,1,0)</f>
        <v>0</v>
      </c>
    </row>
    <row r="31" spans="2:18">
      <c r="B31" s="361" t="s">
        <v>3932</v>
      </c>
      <c r="C31" s="472" t="str">
        <f ca="1">IF(G31=0,"",COUNTIF($G$6:$G31,"&gt;0"))</f>
        <v/>
      </c>
      <c r="D31" s="483" t="s">
        <v>3533</v>
      </c>
      <c r="E31" s="485" t="s">
        <v>3532</v>
      </c>
      <c r="F31" s="413" t="s">
        <v>1265</v>
      </c>
      <c r="G31" s="476">
        <f t="shared" ca="1" si="7"/>
        <v>0</v>
      </c>
      <c r="H31" s="477" t="s">
        <v>3404</v>
      </c>
      <c r="I31" s="478">
        <v>8.82</v>
      </c>
      <c r="J31" s="479">
        <v>0.45</v>
      </c>
      <c r="K31" s="480">
        <f t="shared" ref="K31" ca="1" si="31">G31</f>
        <v>0</v>
      </c>
      <c r="L31" s="477" t="s">
        <v>3405</v>
      </c>
      <c r="M31" s="478">
        <f t="shared" si="5"/>
        <v>8.82</v>
      </c>
      <c r="N31" s="479">
        <v>0.55000000000000004</v>
      </c>
      <c r="O31" s="481">
        <f t="shared" si="2"/>
        <v>1024263.954</v>
      </c>
      <c r="P31" s="481">
        <f t="shared" si="3"/>
        <v>1251878.1660000002</v>
      </c>
      <c r="Q31" s="481">
        <f t="shared" ref="Q31" ca="1" si="32">G31*O31+K31*P31</f>
        <v>0</v>
      </c>
      <c r="R31" s="471">
        <f t="shared" ref="R31" ca="1" si="33">IF(G31&lt;&gt;0,1,0)</f>
        <v>0</v>
      </c>
    </row>
    <row r="32" spans="2:18">
      <c r="B32" s="361" t="s">
        <v>3933</v>
      </c>
      <c r="C32" s="472" t="str">
        <f ca="1">IF(G32=0,"",COUNTIF($G$6:$G32,"&gt;0"))</f>
        <v/>
      </c>
      <c r="D32" s="483" t="s">
        <v>3533</v>
      </c>
      <c r="E32" s="485" t="s">
        <v>3532</v>
      </c>
      <c r="F32" s="413" t="s">
        <v>1265</v>
      </c>
      <c r="G32" s="476">
        <f t="shared" ca="1" si="7"/>
        <v>0</v>
      </c>
      <c r="H32" s="477" t="s">
        <v>3404</v>
      </c>
      <c r="I32" s="478">
        <v>14.273999999999999</v>
      </c>
      <c r="J32" s="479">
        <v>0.45</v>
      </c>
      <c r="K32" s="480">
        <f t="shared" ref="K32" ca="1" si="34">G32</f>
        <v>0</v>
      </c>
      <c r="L32" s="477" t="s">
        <v>3405</v>
      </c>
      <c r="M32" s="478">
        <f t="shared" si="5"/>
        <v>14.273999999999999</v>
      </c>
      <c r="N32" s="479">
        <v>0.55000000000000004</v>
      </c>
      <c r="O32" s="481">
        <f t="shared" si="2"/>
        <v>1657635.3377999999</v>
      </c>
      <c r="P32" s="481">
        <f t="shared" si="3"/>
        <v>2025998.7462000002</v>
      </c>
      <c r="Q32" s="481">
        <f t="shared" ref="Q32" ca="1" si="35">G32*O32+K32*P32</f>
        <v>0</v>
      </c>
      <c r="R32" s="471">
        <f t="shared" ref="R32" ca="1" si="36">IF(G32&lt;&gt;0,1,0)</f>
        <v>0</v>
      </c>
    </row>
    <row r="33" spans="2:18">
      <c r="B33" s="361" t="s">
        <v>3934</v>
      </c>
      <c r="C33" s="472" t="str">
        <f ca="1">IF(G33=0,"",COUNTIF($G$6:$G33,"&gt;0"))</f>
        <v/>
      </c>
      <c r="D33" s="483" t="s">
        <v>3500</v>
      </c>
      <c r="E33" s="485" t="s">
        <v>3515</v>
      </c>
      <c r="F33" s="413" t="s">
        <v>37</v>
      </c>
      <c r="G33" s="476">
        <f t="shared" ca="1" si="0"/>
        <v>0</v>
      </c>
      <c r="H33" s="477" t="s">
        <v>3403</v>
      </c>
      <c r="I33" s="478">
        <v>0.91800000000000004</v>
      </c>
      <c r="J33" s="479">
        <v>0.45</v>
      </c>
      <c r="K33" s="480">
        <f t="shared" ca="1" si="1"/>
        <v>0</v>
      </c>
      <c r="L33" s="477" t="s">
        <v>3404</v>
      </c>
      <c r="M33" s="478">
        <f t="shared" si="5"/>
        <v>0.91800000000000004</v>
      </c>
      <c r="N33" s="479">
        <v>0.55000000000000004</v>
      </c>
      <c r="O33" s="481">
        <f t="shared" si="2"/>
        <v>106607.06460000001</v>
      </c>
      <c r="P33" s="481">
        <f t="shared" si="3"/>
        <v>130297.52340000002</v>
      </c>
      <c r="Q33" s="481">
        <f t="shared" ca="1" si="6"/>
        <v>0</v>
      </c>
      <c r="R33" s="471">
        <f t="shared" ca="1" si="4"/>
        <v>0</v>
      </c>
    </row>
    <row r="34" spans="2:18">
      <c r="B34" s="361" t="s">
        <v>3935</v>
      </c>
      <c r="C34" s="472">
        <f ca="1">IF(G34=0,"",COUNTIF($G$6:$G34,"&gt;0"))</f>
        <v>4</v>
      </c>
      <c r="D34" s="483" t="s">
        <v>3501</v>
      </c>
      <c r="E34" s="485" t="s">
        <v>2975</v>
      </c>
      <c r="F34" s="413" t="s">
        <v>37</v>
      </c>
      <c r="G34" s="476">
        <f t="shared" ca="1" si="0"/>
        <v>23</v>
      </c>
      <c r="H34" s="477" t="s">
        <v>3403</v>
      </c>
      <c r="I34" s="478">
        <v>1.53</v>
      </c>
      <c r="J34" s="479">
        <v>0.45</v>
      </c>
      <c r="K34" s="480">
        <f t="shared" ca="1" si="1"/>
        <v>23</v>
      </c>
      <c r="L34" s="477" t="s">
        <v>3404</v>
      </c>
      <c r="M34" s="478">
        <f t="shared" si="5"/>
        <v>1.53</v>
      </c>
      <c r="N34" s="479">
        <v>0.55000000000000004</v>
      </c>
      <c r="O34" s="481">
        <f t="shared" si="2"/>
        <v>177678.44099999999</v>
      </c>
      <c r="P34" s="481">
        <f t="shared" si="3"/>
        <v>217162.53900000002</v>
      </c>
      <c r="Q34" s="481">
        <f t="shared" ca="1" si="6"/>
        <v>9081342.540000001</v>
      </c>
      <c r="R34" s="471">
        <f t="shared" ca="1" si="4"/>
        <v>1</v>
      </c>
    </row>
    <row r="35" spans="2:18">
      <c r="B35" s="361" t="s">
        <v>3936</v>
      </c>
      <c r="C35" s="472" t="str">
        <f ca="1">IF(G35=0,"",COUNTIF($G$6:$G35,"&gt;0"))</f>
        <v/>
      </c>
      <c r="D35" s="483" t="s">
        <v>3502</v>
      </c>
      <c r="E35" s="485" t="s">
        <v>2976</v>
      </c>
      <c r="F35" s="413" t="s">
        <v>37</v>
      </c>
      <c r="G35" s="476">
        <f t="shared" ca="1" si="0"/>
        <v>0</v>
      </c>
      <c r="H35" s="477" t="s">
        <v>3403</v>
      </c>
      <c r="I35" s="478">
        <v>2.0699999999999998</v>
      </c>
      <c r="J35" s="479">
        <v>0.45</v>
      </c>
      <c r="K35" s="480">
        <f t="shared" ca="1" si="1"/>
        <v>0</v>
      </c>
      <c r="L35" s="477" t="s">
        <v>3404</v>
      </c>
      <c r="M35" s="478">
        <f t="shared" si="5"/>
        <v>2.0699999999999998</v>
      </c>
      <c r="N35" s="479">
        <v>0.55000000000000004</v>
      </c>
      <c r="O35" s="481">
        <f t="shared" si="2"/>
        <v>240388.47899999999</v>
      </c>
      <c r="P35" s="481">
        <f t="shared" si="3"/>
        <v>293808.141</v>
      </c>
      <c r="Q35" s="481">
        <f t="shared" ca="1" si="6"/>
        <v>0</v>
      </c>
      <c r="R35" s="471">
        <f t="shared" ca="1" si="4"/>
        <v>0</v>
      </c>
    </row>
    <row r="36" spans="2:18">
      <c r="B36" s="361" t="s">
        <v>3937</v>
      </c>
      <c r="C36" s="472">
        <f ca="1">IF(G36=0,"",COUNTIF($G$6:$G36,"&gt;0"))</f>
        <v>5</v>
      </c>
      <c r="D36" s="483" t="s">
        <v>3503</v>
      </c>
      <c r="E36" s="485" t="s">
        <v>2977</v>
      </c>
      <c r="F36" s="413" t="s">
        <v>37</v>
      </c>
      <c r="G36" s="476">
        <f t="shared" ca="1" si="0"/>
        <v>3</v>
      </c>
      <c r="H36" s="477" t="s">
        <v>3403</v>
      </c>
      <c r="I36" s="478">
        <v>2.79</v>
      </c>
      <c r="J36" s="479">
        <v>0.45</v>
      </c>
      <c r="K36" s="480">
        <f t="shared" ca="1" si="1"/>
        <v>3</v>
      </c>
      <c r="L36" s="477" t="s">
        <v>3404</v>
      </c>
      <c r="M36" s="478">
        <f t="shared" si="5"/>
        <v>2.79</v>
      </c>
      <c r="N36" s="479">
        <v>0.55000000000000004</v>
      </c>
      <c r="O36" s="481">
        <f t="shared" si="2"/>
        <v>324001.86300000001</v>
      </c>
      <c r="P36" s="481">
        <f t="shared" si="3"/>
        <v>396002.27700000006</v>
      </c>
      <c r="Q36" s="481">
        <f t="shared" ca="1" si="6"/>
        <v>2160012.4200000004</v>
      </c>
      <c r="R36" s="471">
        <f t="shared" ca="1" si="4"/>
        <v>1</v>
      </c>
    </row>
    <row r="37" spans="2:18">
      <c r="B37" s="361" t="s">
        <v>3938</v>
      </c>
      <c r="C37" s="472" t="str">
        <f ca="1">IF(G37=0,"",COUNTIF($G$6:$G37,"&gt;0"))</f>
        <v/>
      </c>
      <c r="D37" s="483" t="s">
        <v>3504</v>
      </c>
      <c r="E37" s="485" t="s">
        <v>2978</v>
      </c>
      <c r="F37" s="413" t="s">
        <v>37</v>
      </c>
      <c r="G37" s="476">
        <f t="shared" ca="1" si="0"/>
        <v>0</v>
      </c>
      <c r="H37" s="477" t="s">
        <v>3403</v>
      </c>
      <c r="I37" s="478">
        <v>3.3479999999999999</v>
      </c>
      <c r="J37" s="479">
        <v>0.45</v>
      </c>
      <c r="K37" s="480">
        <f t="shared" ca="1" si="1"/>
        <v>0</v>
      </c>
      <c r="L37" s="477" t="s">
        <v>3404</v>
      </c>
      <c r="M37" s="478">
        <f t="shared" si="5"/>
        <v>3.3479999999999999</v>
      </c>
      <c r="N37" s="479">
        <v>0.55000000000000004</v>
      </c>
      <c r="O37" s="481">
        <f t="shared" si="2"/>
        <v>388802.23560000001</v>
      </c>
      <c r="P37" s="481">
        <f t="shared" si="3"/>
        <v>475202.73240000004</v>
      </c>
      <c r="Q37" s="481">
        <f t="shared" ca="1" si="6"/>
        <v>0</v>
      </c>
      <c r="R37" s="471">
        <f t="shared" ca="1" si="4"/>
        <v>0</v>
      </c>
    </row>
    <row r="38" spans="2:18">
      <c r="B38" s="361" t="s">
        <v>3939</v>
      </c>
      <c r="C38" s="472" t="str">
        <f ca="1">IF(G38=0,"",COUNTIF($G$6:$G38,"&gt;0"))</f>
        <v/>
      </c>
      <c r="D38" s="483" t="s">
        <v>3505</v>
      </c>
      <c r="E38" s="485" t="s">
        <v>2979</v>
      </c>
      <c r="F38" s="413" t="s">
        <v>37</v>
      </c>
      <c r="G38" s="476">
        <f t="shared" ca="1" si="0"/>
        <v>0</v>
      </c>
      <c r="H38" s="477" t="s">
        <v>3403</v>
      </c>
      <c r="I38" s="478">
        <v>4.6260000000000003</v>
      </c>
      <c r="J38" s="479">
        <v>0.45</v>
      </c>
      <c r="K38" s="480">
        <f t="shared" ca="1" si="1"/>
        <v>0</v>
      </c>
      <c r="L38" s="477" t="s">
        <v>3404</v>
      </c>
      <c r="M38" s="478">
        <f t="shared" si="5"/>
        <v>4.6260000000000003</v>
      </c>
      <c r="N38" s="479">
        <v>0.55000000000000004</v>
      </c>
      <c r="O38" s="481">
        <f t="shared" si="2"/>
        <v>537215.9922000001</v>
      </c>
      <c r="P38" s="481">
        <f t="shared" si="3"/>
        <v>656597.32380000013</v>
      </c>
      <c r="Q38" s="481">
        <f t="shared" ca="1" si="6"/>
        <v>0</v>
      </c>
      <c r="R38" s="471">
        <f t="shared" ca="1" si="4"/>
        <v>0</v>
      </c>
    </row>
    <row r="39" spans="2:18">
      <c r="B39" s="361" t="s">
        <v>3940</v>
      </c>
      <c r="C39" s="472" t="str">
        <f ca="1">IF(G39=0,"",COUNTIF($G$6:$G39,"&gt;0"))</f>
        <v/>
      </c>
      <c r="D39" s="483" t="s">
        <v>3506</v>
      </c>
      <c r="E39" s="485" t="s">
        <v>2980</v>
      </c>
      <c r="F39" s="413" t="s">
        <v>37</v>
      </c>
      <c r="G39" s="476">
        <f t="shared" ca="1" si="0"/>
        <v>0</v>
      </c>
      <c r="H39" s="477" t="s">
        <v>3403</v>
      </c>
      <c r="I39" s="478">
        <v>5.9039999999999999</v>
      </c>
      <c r="J39" s="479">
        <v>0.45</v>
      </c>
      <c r="K39" s="480">
        <f t="shared" ca="1" si="1"/>
        <v>0</v>
      </c>
      <c r="L39" s="477" t="s">
        <v>3404</v>
      </c>
      <c r="M39" s="478">
        <f t="shared" si="5"/>
        <v>5.9039999999999999</v>
      </c>
      <c r="N39" s="479">
        <v>0.55000000000000004</v>
      </c>
      <c r="O39" s="481">
        <f t="shared" si="2"/>
        <v>685629.74879999994</v>
      </c>
      <c r="P39" s="481">
        <f t="shared" si="3"/>
        <v>837991.91520000005</v>
      </c>
      <c r="Q39" s="481">
        <f t="shared" ca="1" si="6"/>
        <v>0</v>
      </c>
      <c r="R39" s="471">
        <f t="shared" ca="1" si="4"/>
        <v>0</v>
      </c>
    </row>
    <row r="40" spans="2:18">
      <c r="B40" s="361" t="s">
        <v>3941</v>
      </c>
      <c r="C40" s="472" t="str">
        <f ca="1">IF(G40=0,"",COUNTIF($G$6:$G40,"&gt;0"))</f>
        <v/>
      </c>
      <c r="D40" s="483" t="s">
        <v>3507</v>
      </c>
      <c r="E40" s="485" t="s">
        <v>2981</v>
      </c>
      <c r="F40" s="413" t="s">
        <v>37</v>
      </c>
      <c r="G40" s="476">
        <f t="shared" ca="1" si="0"/>
        <v>0</v>
      </c>
      <c r="H40" s="477" t="s">
        <v>3403</v>
      </c>
      <c r="I40" s="478">
        <v>6.9660000000000002</v>
      </c>
      <c r="J40" s="479">
        <v>0.45</v>
      </c>
      <c r="K40" s="480">
        <f t="shared" ca="1" si="1"/>
        <v>0</v>
      </c>
      <c r="L40" s="477" t="s">
        <v>3404</v>
      </c>
      <c r="M40" s="478">
        <f t="shared" si="5"/>
        <v>6.9660000000000002</v>
      </c>
      <c r="N40" s="479">
        <v>0.55000000000000004</v>
      </c>
      <c r="O40" s="481">
        <f t="shared" si="2"/>
        <v>808959.4902</v>
      </c>
      <c r="P40" s="481">
        <f t="shared" si="3"/>
        <v>988728.26580000005</v>
      </c>
      <c r="Q40" s="481">
        <f t="shared" ca="1" si="6"/>
        <v>0</v>
      </c>
      <c r="R40" s="471">
        <f t="shared" ca="1" si="4"/>
        <v>0</v>
      </c>
    </row>
    <row r="41" spans="2:18">
      <c r="B41" s="361" t="s">
        <v>3942</v>
      </c>
      <c r="C41" s="472" t="str">
        <f ca="1">IF(G41=0,"",COUNTIF($G$6:$G41,"&gt;0"))</f>
        <v/>
      </c>
      <c r="D41" s="483" t="s">
        <v>3508</v>
      </c>
      <c r="E41" s="485" t="s">
        <v>2982</v>
      </c>
      <c r="F41" s="413" t="s">
        <v>37</v>
      </c>
      <c r="G41" s="476">
        <f t="shared" ca="1" si="0"/>
        <v>0</v>
      </c>
      <c r="H41" s="477" t="s">
        <v>3403</v>
      </c>
      <c r="I41" s="478">
        <v>8.2260000000000009</v>
      </c>
      <c r="J41" s="479">
        <v>0.45</v>
      </c>
      <c r="K41" s="480">
        <f t="shared" ca="1" si="1"/>
        <v>0</v>
      </c>
      <c r="L41" s="477" t="s">
        <v>3404</v>
      </c>
      <c r="M41" s="478">
        <f t="shared" si="5"/>
        <v>8.2260000000000009</v>
      </c>
      <c r="N41" s="479">
        <v>0.55000000000000004</v>
      </c>
      <c r="O41" s="481">
        <f t="shared" si="2"/>
        <v>955282.91220000014</v>
      </c>
      <c r="P41" s="481">
        <f t="shared" si="3"/>
        <v>1167568.0038000003</v>
      </c>
      <c r="Q41" s="481">
        <f t="shared" ca="1" si="6"/>
        <v>0</v>
      </c>
      <c r="R41" s="471">
        <f t="shared" ca="1" si="4"/>
        <v>0</v>
      </c>
    </row>
    <row r="42" spans="2:18">
      <c r="B42" s="361" t="s">
        <v>3943</v>
      </c>
      <c r="C42" s="472" t="str">
        <f ca="1">IF(G42=0,"",COUNTIF($G$6:$G42,"&gt;0"))</f>
        <v/>
      </c>
      <c r="D42" s="483" t="s">
        <v>3509</v>
      </c>
      <c r="E42" s="485" t="s">
        <v>2983</v>
      </c>
      <c r="F42" s="413" t="s">
        <v>37</v>
      </c>
      <c r="G42" s="476">
        <f t="shared" ca="1" si="0"/>
        <v>0</v>
      </c>
      <c r="H42" s="477" t="s">
        <v>3403</v>
      </c>
      <c r="I42" s="478">
        <v>10.422000000000001</v>
      </c>
      <c r="J42" s="479">
        <v>0.45</v>
      </c>
      <c r="K42" s="480">
        <f t="shared" ca="1" si="1"/>
        <v>0</v>
      </c>
      <c r="L42" s="477" t="s">
        <v>3404</v>
      </c>
      <c r="M42" s="478">
        <f t="shared" si="5"/>
        <v>10.422000000000001</v>
      </c>
      <c r="N42" s="479">
        <v>0.55000000000000004</v>
      </c>
      <c r="O42" s="481">
        <f t="shared" ref="O42:O95" si="37">VLOOKUP(H42,TIENLUONG,4)*I42*J42</f>
        <v>1210303.7334</v>
      </c>
      <c r="P42" s="481">
        <f t="shared" ref="P42:P95" si="38">VLOOKUP(L42,TIENLUONG,4)*M42*N42</f>
        <v>1479260.1186000002</v>
      </c>
      <c r="Q42" s="481">
        <f t="shared" ca="1" si="6"/>
        <v>0</v>
      </c>
      <c r="R42" s="471">
        <f t="shared" ca="1" si="4"/>
        <v>0</v>
      </c>
    </row>
    <row r="43" spans="2:18">
      <c r="B43" s="361" t="s">
        <v>3944</v>
      </c>
      <c r="C43" s="472" t="str">
        <f ca="1">IF(G43=0,"",COUNTIF($G$6:$G43,"&gt;0"))</f>
        <v/>
      </c>
      <c r="D43" s="483" t="s">
        <v>3510</v>
      </c>
      <c r="E43" s="485" t="s">
        <v>2984</v>
      </c>
      <c r="F43" s="413" t="s">
        <v>37</v>
      </c>
      <c r="G43" s="476">
        <f t="shared" ca="1" si="0"/>
        <v>0</v>
      </c>
      <c r="H43" s="477" t="s">
        <v>3403</v>
      </c>
      <c r="I43" s="478">
        <v>12.294</v>
      </c>
      <c r="J43" s="479">
        <v>0.45</v>
      </c>
      <c r="K43" s="480">
        <f t="shared" ca="1" si="1"/>
        <v>0</v>
      </c>
      <c r="L43" s="477" t="s">
        <v>3404</v>
      </c>
      <c r="M43" s="478">
        <f t="shared" si="5"/>
        <v>12.294</v>
      </c>
      <c r="N43" s="479">
        <v>0.55000000000000004</v>
      </c>
      <c r="O43" s="481">
        <f t="shared" si="37"/>
        <v>1427698.5318</v>
      </c>
      <c r="P43" s="481">
        <f t="shared" si="38"/>
        <v>1744964.8722000001</v>
      </c>
      <c r="Q43" s="481">
        <f t="shared" ca="1" si="6"/>
        <v>0</v>
      </c>
      <c r="R43" s="471">
        <f t="shared" ca="1" si="4"/>
        <v>0</v>
      </c>
    </row>
    <row r="44" spans="2:18">
      <c r="B44" s="361" t="s">
        <v>4024</v>
      </c>
      <c r="C44" s="472" t="str">
        <f ca="1">IF(G44=0,"",COUNTIF($G$6:$G44,"&gt;0"))</f>
        <v/>
      </c>
      <c r="D44" s="489" t="s">
        <v>3525</v>
      </c>
      <c r="E44" s="488" t="s">
        <v>2973</v>
      </c>
      <c r="F44" s="413" t="s">
        <v>9</v>
      </c>
      <c r="G44" s="476">
        <f t="shared" ca="1" si="0"/>
        <v>0</v>
      </c>
      <c r="H44" s="477" t="s">
        <v>3404</v>
      </c>
      <c r="I44" s="478">
        <f>4.32/3</f>
        <v>1.4400000000000002</v>
      </c>
      <c r="J44" s="479">
        <v>0.45</v>
      </c>
      <c r="K44" s="480">
        <f t="shared" ca="1" si="1"/>
        <v>0</v>
      </c>
      <c r="L44" s="477" t="s">
        <v>3404</v>
      </c>
      <c r="M44" s="478">
        <f t="shared" si="5"/>
        <v>1.4400000000000002</v>
      </c>
      <c r="N44" s="479">
        <v>0.55000000000000004</v>
      </c>
      <c r="O44" s="481">
        <f t="shared" si="37"/>
        <v>167226.76800000001</v>
      </c>
      <c r="P44" s="481">
        <f t="shared" si="38"/>
        <v>204388.27200000003</v>
      </c>
      <c r="Q44" s="481">
        <f t="shared" ca="1" si="6"/>
        <v>0</v>
      </c>
      <c r="R44" s="471">
        <f t="shared" ca="1" si="4"/>
        <v>0</v>
      </c>
    </row>
    <row r="45" spans="2:18">
      <c r="B45" s="361" t="s">
        <v>4025</v>
      </c>
      <c r="C45" s="472" t="str">
        <f ca="1">IF(G45=0,"",COUNTIF($G$6:$G45,"&gt;0"))</f>
        <v/>
      </c>
      <c r="D45" s="475" t="s">
        <v>2748</v>
      </c>
      <c r="E45" s="488" t="s">
        <v>2749</v>
      </c>
      <c r="F45" s="413" t="s">
        <v>9</v>
      </c>
      <c r="G45" s="476">
        <f t="shared" ca="1" si="0"/>
        <v>0</v>
      </c>
      <c r="H45" s="477" t="s">
        <v>3404</v>
      </c>
      <c r="I45" s="478">
        <v>2</v>
      </c>
      <c r="J45" s="479">
        <v>0.45</v>
      </c>
      <c r="K45" s="480">
        <f t="shared" ca="1" si="1"/>
        <v>0</v>
      </c>
      <c r="L45" s="477" t="s">
        <v>3404</v>
      </c>
      <c r="M45" s="478">
        <f t="shared" si="5"/>
        <v>2</v>
      </c>
      <c r="N45" s="479">
        <v>0.55000000000000004</v>
      </c>
      <c r="O45" s="481">
        <f t="shared" si="37"/>
        <v>232259.4</v>
      </c>
      <c r="P45" s="481">
        <f t="shared" si="38"/>
        <v>283872.60000000003</v>
      </c>
      <c r="Q45" s="481">
        <f t="shared" ca="1" si="6"/>
        <v>0</v>
      </c>
      <c r="R45" s="471">
        <f t="shared" ca="1" si="4"/>
        <v>0</v>
      </c>
    </row>
    <row r="46" spans="2:18">
      <c r="B46" s="361" t="s">
        <v>4026</v>
      </c>
      <c r="C46" s="472">
        <f ca="1">IF(G46=0,"",COUNTIF($G$6:$G46,"&gt;0"))</f>
        <v>6</v>
      </c>
      <c r="D46" s="483" t="s">
        <v>3555</v>
      </c>
      <c r="E46" s="488" t="s">
        <v>2974</v>
      </c>
      <c r="F46" s="413" t="s">
        <v>9</v>
      </c>
      <c r="G46" s="476">
        <f t="shared" ca="1" si="0"/>
        <v>1</v>
      </c>
      <c r="H46" s="477" t="s">
        <v>3404</v>
      </c>
      <c r="I46" s="478">
        <f>2.7/3</f>
        <v>0.9</v>
      </c>
      <c r="J46" s="479">
        <v>0.45</v>
      </c>
      <c r="K46" s="480">
        <f t="shared" ca="1" si="1"/>
        <v>1</v>
      </c>
      <c r="L46" s="477" t="s">
        <v>3403</v>
      </c>
      <c r="M46" s="478">
        <f t="shared" si="5"/>
        <v>0.9</v>
      </c>
      <c r="N46" s="479">
        <v>0.55000000000000004</v>
      </c>
      <c r="O46" s="481">
        <f t="shared" si="37"/>
        <v>104516.73</v>
      </c>
      <c r="P46" s="481">
        <f t="shared" si="38"/>
        <v>127742.67000000001</v>
      </c>
      <c r="Q46" s="481">
        <f t="shared" ca="1" si="6"/>
        <v>232259.40000000002</v>
      </c>
      <c r="R46" s="471">
        <f t="shared" ca="1" si="4"/>
        <v>1</v>
      </c>
    </row>
    <row r="47" spans="2:18">
      <c r="B47" s="361" t="s">
        <v>4027</v>
      </c>
      <c r="C47" s="472" t="str">
        <f ca="1">IF(G47=0,"",COUNTIF($G$6:$G47,"&gt;0"))</f>
        <v/>
      </c>
      <c r="D47" s="475" t="s">
        <v>2751</v>
      </c>
      <c r="E47" s="488" t="s">
        <v>2752</v>
      </c>
      <c r="F47" s="413" t="s">
        <v>9</v>
      </c>
      <c r="G47" s="476">
        <f t="shared" ca="1" si="0"/>
        <v>0</v>
      </c>
      <c r="H47" s="477" t="s">
        <v>3404</v>
      </c>
      <c r="I47" s="478">
        <v>3.7120000000000002</v>
      </c>
      <c r="J47" s="479">
        <v>0.45</v>
      </c>
      <c r="K47" s="480">
        <f t="shared" ca="1" si="1"/>
        <v>0</v>
      </c>
      <c r="L47" s="477" t="s">
        <v>3404</v>
      </c>
      <c r="M47" s="478">
        <f t="shared" si="5"/>
        <v>3.7120000000000002</v>
      </c>
      <c r="N47" s="479">
        <v>0.55000000000000004</v>
      </c>
      <c r="O47" s="481">
        <f t="shared" si="37"/>
        <v>431073.44640000007</v>
      </c>
      <c r="P47" s="481">
        <f t="shared" si="38"/>
        <v>526867.54560000007</v>
      </c>
      <c r="Q47" s="481">
        <f t="shared" ca="1" si="6"/>
        <v>0</v>
      </c>
      <c r="R47" s="471">
        <f t="shared" ca="1" si="4"/>
        <v>0</v>
      </c>
    </row>
    <row r="48" spans="2:18">
      <c r="B48" s="361" t="s">
        <v>4028</v>
      </c>
      <c r="C48" s="472" t="str">
        <f ca="1">IF(G48=0,"",COUNTIF($G$6:$G48,"&gt;0"))</f>
        <v/>
      </c>
      <c r="D48" s="487">
        <v>51104</v>
      </c>
      <c r="E48" s="488" t="s">
        <v>2753</v>
      </c>
      <c r="F48" s="413" t="s">
        <v>37</v>
      </c>
      <c r="G48" s="476">
        <f t="shared" ca="1" si="0"/>
        <v>0</v>
      </c>
      <c r="H48" s="477" t="s">
        <v>3404</v>
      </c>
      <c r="I48" s="478">
        <v>5</v>
      </c>
      <c r="J48" s="479">
        <v>0.45</v>
      </c>
      <c r="K48" s="480">
        <f t="shared" ca="1" si="1"/>
        <v>0</v>
      </c>
      <c r="L48" s="477" t="s">
        <v>3404</v>
      </c>
      <c r="M48" s="478">
        <f t="shared" si="5"/>
        <v>5</v>
      </c>
      <c r="N48" s="479">
        <v>0.55000000000000004</v>
      </c>
      <c r="O48" s="481">
        <f t="shared" si="37"/>
        <v>580648.5</v>
      </c>
      <c r="P48" s="481">
        <f t="shared" si="38"/>
        <v>709681.5</v>
      </c>
      <c r="Q48" s="481">
        <f t="shared" ca="1" si="6"/>
        <v>0</v>
      </c>
      <c r="R48" s="471">
        <f t="shared" ca="1" si="4"/>
        <v>0</v>
      </c>
    </row>
    <row r="49" spans="2:18">
      <c r="B49" s="361" t="s">
        <v>4029</v>
      </c>
      <c r="C49" s="472" t="str">
        <f ca="1">IF(G49=0,"",COUNTIF($G$6:$G49,"&gt;0"))</f>
        <v/>
      </c>
      <c r="D49" s="487" t="s">
        <v>2754</v>
      </c>
      <c r="E49" s="488" t="s">
        <v>2755</v>
      </c>
      <c r="F49" s="413" t="s">
        <v>37</v>
      </c>
      <c r="G49" s="476">
        <f t="shared" ca="1" si="0"/>
        <v>0</v>
      </c>
      <c r="H49" s="477" t="s">
        <v>3404</v>
      </c>
      <c r="I49" s="478">
        <v>14</v>
      </c>
      <c r="J49" s="479">
        <v>0.45</v>
      </c>
      <c r="K49" s="480">
        <f t="shared" ca="1" si="1"/>
        <v>0</v>
      </c>
      <c r="L49" s="477" t="s">
        <v>3404</v>
      </c>
      <c r="M49" s="478">
        <f t="shared" si="5"/>
        <v>14</v>
      </c>
      <c r="N49" s="479">
        <v>0.55000000000000004</v>
      </c>
      <c r="O49" s="481">
        <f t="shared" si="37"/>
        <v>1625815.8</v>
      </c>
      <c r="P49" s="481">
        <f t="shared" si="38"/>
        <v>1987108.2000000002</v>
      </c>
      <c r="Q49" s="481">
        <f t="shared" ca="1" si="6"/>
        <v>0</v>
      </c>
      <c r="R49" s="471">
        <f t="shared" ca="1" si="4"/>
        <v>0</v>
      </c>
    </row>
    <row r="50" spans="2:18">
      <c r="B50" s="361" t="s">
        <v>4030</v>
      </c>
      <c r="C50" s="472" t="str">
        <f ca="1">IF(G50=0,"",COUNTIF($G$6:$G50,"&gt;0"))</f>
        <v/>
      </c>
      <c r="D50" s="475" t="s">
        <v>2742</v>
      </c>
      <c r="E50" s="488" t="s">
        <v>2756</v>
      </c>
      <c r="F50" s="413" t="s">
        <v>163</v>
      </c>
      <c r="G50" s="476">
        <f t="shared" ca="1" si="0"/>
        <v>0</v>
      </c>
      <c r="H50" s="477" t="s">
        <v>3404</v>
      </c>
      <c r="I50" s="478">
        <v>1.1200000000000001</v>
      </c>
      <c r="J50" s="479">
        <v>0.45</v>
      </c>
      <c r="K50" s="480">
        <f t="shared" ca="1" si="1"/>
        <v>0</v>
      </c>
      <c r="L50" s="477" t="s">
        <v>3404</v>
      </c>
      <c r="M50" s="478">
        <f t="shared" si="5"/>
        <v>1.1200000000000001</v>
      </c>
      <c r="N50" s="479">
        <v>0.55000000000000004</v>
      </c>
      <c r="O50" s="481">
        <f t="shared" si="37"/>
        <v>130065.26400000002</v>
      </c>
      <c r="P50" s="481">
        <f t="shared" si="38"/>
        <v>158968.65600000005</v>
      </c>
      <c r="Q50" s="481">
        <f t="shared" ca="1" si="6"/>
        <v>0</v>
      </c>
      <c r="R50" s="471">
        <f t="shared" ca="1" si="4"/>
        <v>0</v>
      </c>
    </row>
    <row r="51" spans="2:18">
      <c r="B51" s="361" t="s">
        <v>4031</v>
      </c>
      <c r="C51" s="472">
        <f ca="1">IF(G51=0,"",COUNTIF($G$6:$G51,"&gt;0"))</f>
        <v>7</v>
      </c>
      <c r="D51" s="483" t="s">
        <v>4706</v>
      </c>
      <c r="E51" s="488" t="s">
        <v>4707</v>
      </c>
      <c r="F51" s="413" t="s">
        <v>3553</v>
      </c>
      <c r="G51" s="476">
        <f t="shared" ca="1" si="0"/>
        <v>106</v>
      </c>
      <c r="H51" s="477" t="s">
        <v>3404</v>
      </c>
      <c r="I51" s="478">
        <f>0.368*1.5</f>
        <v>0.55200000000000005</v>
      </c>
      <c r="J51" s="479">
        <v>0.4</v>
      </c>
      <c r="K51" s="480">
        <f t="shared" ca="1" si="1"/>
        <v>106</v>
      </c>
      <c r="L51" s="477" t="s">
        <v>3404</v>
      </c>
      <c r="M51" s="478">
        <f t="shared" si="5"/>
        <v>0.55200000000000005</v>
      </c>
      <c r="N51" s="479">
        <v>0.6</v>
      </c>
      <c r="O51" s="481">
        <f t="shared" si="37"/>
        <v>56980.972800000003</v>
      </c>
      <c r="P51" s="481">
        <f t="shared" si="38"/>
        <v>85471.459199999998</v>
      </c>
      <c r="Q51" s="481">
        <f t="shared" ca="1" si="6"/>
        <v>15099957.791999999</v>
      </c>
      <c r="R51" s="471">
        <f t="shared" ca="1" si="4"/>
        <v>1</v>
      </c>
    </row>
    <row r="52" spans="2:18">
      <c r="B52" s="361" t="s">
        <v>4713</v>
      </c>
      <c r="C52" s="472" t="str">
        <f ca="1">IF(G52=0,"",COUNTIF($G$6:$G52,"&gt;0"))</f>
        <v/>
      </c>
      <c r="D52" s="483" t="s">
        <v>3552</v>
      </c>
      <c r="E52" s="488" t="s">
        <v>4708</v>
      </c>
      <c r="F52" s="413" t="s">
        <v>3553</v>
      </c>
      <c r="G52" s="476">
        <f t="shared" ref="G52" ca="1" si="39">SUMIF(maBK,B52,tongBK1)</f>
        <v>0</v>
      </c>
      <c r="H52" s="477" t="s">
        <v>3404</v>
      </c>
      <c r="I52" s="478">
        <v>1.1200000000000001</v>
      </c>
      <c r="J52" s="479">
        <v>0.4</v>
      </c>
      <c r="K52" s="492">
        <f t="shared" ref="K52" ca="1" si="40">G52</f>
        <v>0</v>
      </c>
      <c r="L52" s="477" t="s">
        <v>3404</v>
      </c>
      <c r="M52" s="478">
        <f t="shared" ref="M52" si="41">I52</f>
        <v>1.1200000000000001</v>
      </c>
      <c r="N52" s="479">
        <v>0.6</v>
      </c>
      <c r="O52" s="481">
        <f t="shared" ref="O52" si="42">VLOOKUP(H52,TIENLUONG,4)*I52*J52</f>
        <v>115613.56800000003</v>
      </c>
      <c r="P52" s="481">
        <f t="shared" ref="P52" si="43">VLOOKUP(L52,TIENLUONG,4)*M52*N52</f>
        <v>173420.35200000001</v>
      </c>
      <c r="Q52" s="481">
        <f t="shared" ref="Q52" ca="1" si="44">G52*O52+K52*P52</f>
        <v>0</v>
      </c>
      <c r="R52" s="471">
        <f t="shared" ref="R52" ca="1" si="45">IF(G52&lt;&gt;0,1,0)</f>
        <v>0</v>
      </c>
    </row>
    <row r="53" spans="2:18">
      <c r="B53" s="361" t="s">
        <v>4714</v>
      </c>
      <c r="C53" s="472" t="str">
        <f ca="1">IF(G53=0,"",COUNTIF($G$6:$G53,"&gt;0"))</f>
        <v/>
      </c>
      <c r="D53" s="483" t="s">
        <v>4711</v>
      </c>
      <c r="E53" s="488" t="s">
        <v>4709</v>
      </c>
      <c r="F53" s="413" t="s">
        <v>3553</v>
      </c>
      <c r="G53" s="476">
        <f t="shared" ref="G53" ca="1" si="46">SUMIF(maBK,B53,tongBK1)</f>
        <v>0</v>
      </c>
      <c r="H53" s="477" t="s">
        <v>3404</v>
      </c>
      <c r="I53" s="478">
        <v>1.44</v>
      </c>
      <c r="J53" s="479">
        <v>0.4</v>
      </c>
      <c r="K53" s="492">
        <f t="shared" ref="K53" ca="1" si="47">G53</f>
        <v>0</v>
      </c>
      <c r="L53" s="477" t="s">
        <v>3404</v>
      </c>
      <c r="M53" s="478">
        <f t="shared" ref="M53" si="48">I53</f>
        <v>1.44</v>
      </c>
      <c r="N53" s="479">
        <v>0.6</v>
      </c>
      <c r="O53" s="481">
        <f t="shared" ref="O53" si="49">VLOOKUP(H53,TIENLUONG,4)*I53*J53</f>
        <v>148646.016</v>
      </c>
      <c r="P53" s="481">
        <f t="shared" ref="P53" si="50">VLOOKUP(L53,TIENLUONG,4)*M53*N53</f>
        <v>222969.02399999998</v>
      </c>
      <c r="Q53" s="481">
        <f t="shared" ref="Q53" ca="1" si="51">G53*O53+K53*P53</f>
        <v>0</v>
      </c>
      <c r="R53" s="471">
        <f t="shared" ref="R53" ca="1" si="52">IF(G53&lt;&gt;0,1,0)</f>
        <v>0</v>
      </c>
    </row>
    <row r="54" spans="2:18">
      <c r="B54" s="361" t="s">
        <v>4715</v>
      </c>
      <c r="C54" s="472" t="str">
        <f ca="1">IF(G54=0,"",COUNTIF($G$6:$G54,"&gt;0"))</f>
        <v/>
      </c>
      <c r="D54" s="483" t="s">
        <v>4712</v>
      </c>
      <c r="E54" s="488" t="s">
        <v>4710</v>
      </c>
      <c r="F54" s="413" t="s">
        <v>3553</v>
      </c>
      <c r="G54" s="476">
        <f t="shared" ref="G54" ca="1" si="53">SUMIF(maBK,B54,tongBK1)</f>
        <v>0</v>
      </c>
      <c r="H54" s="477" t="s">
        <v>3404</v>
      </c>
      <c r="I54" s="478">
        <v>1.6</v>
      </c>
      <c r="J54" s="479">
        <v>0.4</v>
      </c>
      <c r="K54" s="492">
        <f t="shared" ref="K54" ca="1" si="54">G54</f>
        <v>0</v>
      </c>
      <c r="L54" s="477" t="s">
        <v>3404</v>
      </c>
      <c r="M54" s="478">
        <f t="shared" ref="M54" si="55">I54</f>
        <v>1.6</v>
      </c>
      <c r="N54" s="479">
        <v>0.6</v>
      </c>
      <c r="O54" s="481">
        <f t="shared" ref="O54" si="56">VLOOKUP(H54,TIENLUONG,4)*I54*J54</f>
        <v>165162.24000000002</v>
      </c>
      <c r="P54" s="481">
        <f t="shared" ref="P54" si="57">VLOOKUP(L54,TIENLUONG,4)*M54*N54</f>
        <v>247743.36000000002</v>
      </c>
      <c r="Q54" s="481">
        <f t="shared" ref="Q54" ca="1" si="58">G54*O54+K54*P54</f>
        <v>0</v>
      </c>
      <c r="R54" s="471">
        <f t="shared" ref="R54" ca="1" si="59">IF(G54&lt;&gt;0,1,0)</f>
        <v>0</v>
      </c>
    </row>
    <row r="55" spans="2:18">
      <c r="B55" s="361" t="s">
        <v>4032</v>
      </c>
      <c r="C55" s="472" t="str">
        <f ca="1">IF(G55=0,"",COUNTIF($G$6:$G55,"&gt;0"))</f>
        <v/>
      </c>
      <c r="D55" s="489" t="s">
        <v>3550</v>
      </c>
      <c r="E55" s="491" t="s">
        <v>2758</v>
      </c>
      <c r="F55" s="492" t="s">
        <v>3549</v>
      </c>
      <c r="G55" s="476">
        <f t="shared" ca="1" si="0"/>
        <v>0</v>
      </c>
      <c r="H55" s="477" t="s">
        <v>3404</v>
      </c>
      <c r="I55" s="478">
        <v>3.4380000000000002</v>
      </c>
      <c r="J55" s="479">
        <v>0.45</v>
      </c>
      <c r="K55" s="480">
        <f t="shared" ca="1" si="1"/>
        <v>0</v>
      </c>
      <c r="L55" s="477" t="s">
        <v>3404</v>
      </c>
      <c r="M55" s="478">
        <f t="shared" si="5"/>
        <v>3.4380000000000002</v>
      </c>
      <c r="N55" s="479">
        <v>0.55000000000000004</v>
      </c>
      <c r="O55" s="481">
        <f t="shared" si="37"/>
        <v>399253.90860000002</v>
      </c>
      <c r="P55" s="481">
        <f t="shared" si="38"/>
        <v>487976.99940000009</v>
      </c>
      <c r="Q55" s="481">
        <f t="shared" ca="1" si="6"/>
        <v>0</v>
      </c>
      <c r="R55" s="471">
        <f t="shared" ca="1" si="4"/>
        <v>0</v>
      </c>
    </row>
    <row r="56" spans="2:18">
      <c r="B56" s="361" t="s">
        <v>4033</v>
      </c>
      <c r="C56" s="472">
        <f ca="1">IF(G56=0,"",COUNTIF($G$6:$G56,"&gt;0"))</f>
        <v>8</v>
      </c>
      <c r="D56" s="483" t="s">
        <v>3521</v>
      </c>
      <c r="E56" s="493" t="s">
        <v>3554</v>
      </c>
      <c r="F56" s="492" t="s">
        <v>9</v>
      </c>
      <c r="G56" s="476">
        <f t="shared" ca="1" si="0"/>
        <v>29</v>
      </c>
      <c r="H56" s="477" t="s">
        <v>3403</v>
      </c>
      <c r="I56" s="478">
        <f>0.944*1.5</f>
        <v>1.4159999999999999</v>
      </c>
      <c r="J56" s="479">
        <v>0.4</v>
      </c>
      <c r="K56" s="480">
        <f t="shared" ca="1" si="1"/>
        <v>29</v>
      </c>
      <c r="L56" s="477" t="s">
        <v>3404</v>
      </c>
      <c r="M56" s="478">
        <f t="shared" si="5"/>
        <v>1.4159999999999999</v>
      </c>
      <c r="N56" s="479">
        <v>0.6</v>
      </c>
      <c r="O56" s="481">
        <f t="shared" si="37"/>
        <v>146168.58240000001</v>
      </c>
      <c r="P56" s="481">
        <f t="shared" si="38"/>
        <v>219252.87359999999</v>
      </c>
      <c r="Q56" s="481">
        <f t="shared" ca="1" si="6"/>
        <v>10597222.223999999</v>
      </c>
      <c r="R56" s="471">
        <f t="shared" ca="1" si="4"/>
        <v>1</v>
      </c>
    </row>
    <row r="57" spans="2:18">
      <c r="B57" s="361" t="s">
        <v>4034</v>
      </c>
      <c r="C57" s="472" t="str">
        <f ca="1">IF(G57=0,"",COUNTIF($G$6:$G57,"&gt;0"))</f>
        <v/>
      </c>
      <c r="D57" s="483" t="s">
        <v>3530</v>
      </c>
      <c r="E57" s="493" t="s">
        <v>3531</v>
      </c>
      <c r="F57" s="492" t="s">
        <v>9</v>
      </c>
      <c r="G57" s="476">
        <f t="shared" ca="1" si="0"/>
        <v>0</v>
      </c>
      <c r="H57" s="477" t="s">
        <v>3404</v>
      </c>
      <c r="I57" s="478">
        <v>0.63</v>
      </c>
      <c r="J57" s="479">
        <v>0.45</v>
      </c>
      <c r="K57" s="480">
        <f t="shared" ca="1" si="1"/>
        <v>0</v>
      </c>
      <c r="L57" s="477" t="s">
        <v>3404</v>
      </c>
      <c r="M57" s="478">
        <f t="shared" si="5"/>
        <v>0.63</v>
      </c>
      <c r="N57" s="479">
        <v>0.6</v>
      </c>
      <c r="O57" s="481">
        <f t="shared" si="37"/>
        <v>73161.710999999996</v>
      </c>
      <c r="P57" s="481">
        <f t="shared" si="38"/>
        <v>97548.947999999989</v>
      </c>
      <c r="Q57" s="481">
        <f t="shared" ca="1" si="6"/>
        <v>0</v>
      </c>
      <c r="R57" s="471">
        <f t="shared" ca="1" si="4"/>
        <v>0</v>
      </c>
    </row>
    <row r="58" spans="2:18">
      <c r="B58" s="361" t="s">
        <v>4035</v>
      </c>
      <c r="C58" s="472" t="str">
        <f ca="1">IF(G58=0,"",COUNTIF($G$6:$G58,"&gt;0"))</f>
        <v/>
      </c>
      <c r="D58" s="483" t="s">
        <v>4705</v>
      </c>
      <c r="E58" s="494" t="s">
        <v>2762</v>
      </c>
      <c r="F58" s="492" t="s">
        <v>163</v>
      </c>
      <c r="G58" s="476">
        <f t="shared" ca="1" si="0"/>
        <v>0</v>
      </c>
      <c r="H58" s="477" t="s">
        <v>3404</v>
      </c>
      <c r="I58" s="478">
        <f>1.26</f>
        <v>1.26</v>
      </c>
      <c r="J58" s="479">
        <v>0.5</v>
      </c>
      <c r="K58" s="480">
        <f t="shared" ca="1" si="1"/>
        <v>0</v>
      </c>
      <c r="L58" s="477" t="s">
        <v>3404</v>
      </c>
      <c r="M58" s="478">
        <f t="shared" si="5"/>
        <v>1.26</v>
      </c>
      <c r="N58" s="479">
        <v>0.55000000000000004</v>
      </c>
      <c r="O58" s="481">
        <f t="shared" si="37"/>
        <v>162581.57999999999</v>
      </c>
      <c r="P58" s="481">
        <f t="shared" si="38"/>
        <v>178839.73800000001</v>
      </c>
      <c r="Q58" s="481">
        <f t="shared" ca="1" si="6"/>
        <v>0</v>
      </c>
      <c r="R58" s="471">
        <f t="shared" ca="1" si="4"/>
        <v>0</v>
      </c>
    </row>
    <row r="59" spans="2:18">
      <c r="B59" s="361" t="s">
        <v>4036</v>
      </c>
      <c r="C59" s="472" t="str">
        <f ca="1">IF(G59=0,"",COUNTIF($G$6:$G59,"&gt;0"))</f>
        <v/>
      </c>
      <c r="D59" s="483" t="s">
        <v>4705</v>
      </c>
      <c r="E59" s="494" t="s">
        <v>2763</v>
      </c>
      <c r="F59" s="492" t="s">
        <v>163</v>
      </c>
      <c r="G59" s="476">
        <f t="shared" ca="1" si="0"/>
        <v>0</v>
      </c>
      <c r="H59" s="477" t="s">
        <v>3404</v>
      </c>
      <c r="I59" s="478">
        <f t="shared" ref="I59:I60" si="60">1.26</f>
        <v>1.26</v>
      </c>
      <c r="J59" s="479">
        <v>0.5</v>
      </c>
      <c r="K59" s="480">
        <f t="shared" ca="1" si="1"/>
        <v>0</v>
      </c>
      <c r="L59" s="477" t="s">
        <v>3404</v>
      </c>
      <c r="M59" s="478">
        <f t="shared" si="5"/>
        <v>1.26</v>
      </c>
      <c r="N59" s="479">
        <v>0.55000000000000004</v>
      </c>
      <c r="O59" s="481">
        <f t="shared" si="37"/>
        <v>162581.57999999999</v>
      </c>
      <c r="P59" s="481">
        <f t="shared" si="38"/>
        <v>178839.73800000001</v>
      </c>
      <c r="Q59" s="481">
        <f t="shared" ca="1" si="6"/>
        <v>0</v>
      </c>
      <c r="R59" s="471">
        <f t="shared" ca="1" si="4"/>
        <v>0</v>
      </c>
    </row>
    <row r="60" spans="2:18">
      <c r="B60" s="361" t="s">
        <v>4037</v>
      </c>
      <c r="C60" s="472" t="str">
        <f ca="1">IF(G60=0,"",COUNTIF($G$6:$G60,"&gt;0"))</f>
        <v/>
      </c>
      <c r="D60" s="483" t="s">
        <v>4705</v>
      </c>
      <c r="E60" s="493" t="s">
        <v>2764</v>
      </c>
      <c r="F60" s="492" t="s">
        <v>37</v>
      </c>
      <c r="G60" s="476">
        <f t="shared" ca="1" si="0"/>
        <v>0</v>
      </c>
      <c r="H60" s="477" t="s">
        <v>3404</v>
      </c>
      <c r="I60" s="478">
        <f t="shared" si="60"/>
        <v>1.26</v>
      </c>
      <c r="J60" s="479">
        <v>0.5</v>
      </c>
      <c r="K60" s="480">
        <f t="shared" ca="1" si="1"/>
        <v>0</v>
      </c>
      <c r="L60" s="477" t="s">
        <v>3404</v>
      </c>
      <c r="M60" s="478">
        <f t="shared" si="5"/>
        <v>1.26</v>
      </c>
      <c r="N60" s="479">
        <v>0.55000000000000004</v>
      </c>
      <c r="O60" s="481">
        <f t="shared" si="37"/>
        <v>162581.57999999999</v>
      </c>
      <c r="P60" s="481">
        <f t="shared" si="38"/>
        <v>178839.73800000001</v>
      </c>
      <c r="Q60" s="481">
        <f t="shared" ca="1" si="6"/>
        <v>0</v>
      </c>
      <c r="R60" s="471">
        <f t="shared" ca="1" si="4"/>
        <v>0</v>
      </c>
    </row>
    <row r="61" spans="2:18">
      <c r="B61" s="361" t="s">
        <v>4038</v>
      </c>
      <c r="C61" s="472" t="str">
        <f ca="1">IF(G61=0,"",COUNTIF($G$6:$G61,"&gt;0"))</f>
        <v/>
      </c>
      <c r="D61" s="475" t="s">
        <v>2739</v>
      </c>
      <c r="E61" s="491" t="s">
        <v>2766</v>
      </c>
      <c r="F61" s="413" t="s">
        <v>1265</v>
      </c>
      <c r="G61" s="476">
        <f ca="1">SUMIF(maBK,B61,tongBK1)/1000</f>
        <v>0</v>
      </c>
      <c r="H61" s="477" t="s">
        <v>3404</v>
      </c>
      <c r="I61" s="478">
        <v>10.42</v>
      </c>
      <c r="J61" s="479">
        <v>0.45</v>
      </c>
      <c r="K61" s="480">
        <f t="shared" ca="1" si="1"/>
        <v>0</v>
      </c>
      <c r="L61" s="477" t="s">
        <v>3404</v>
      </c>
      <c r="M61" s="478">
        <f t="shared" si="5"/>
        <v>10.42</v>
      </c>
      <c r="N61" s="479">
        <v>0.55000000000000004</v>
      </c>
      <c r="O61" s="481">
        <f t="shared" si="37"/>
        <v>1210071.4740000002</v>
      </c>
      <c r="P61" s="481">
        <f t="shared" si="38"/>
        <v>1478976.2460000003</v>
      </c>
      <c r="Q61" s="481">
        <f t="shared" ca="1" si="6"/>
        <v>0</v>
      </c>
      <c r="R61" s="471">
        <f t="shared" ca="1" si="4"/>
        <v>0</v>
      </c>
    </row>
    <row r="62" spans="2:18">
      <c r="B62" s="361" t="s">
        <v>4039</v>
      </c>
      <c r="C62" s="472" t="str">
        <f ca="1">IF(G62=0,"",COUNTIF($G$6:$G62,"&gt;0"))</f>
        <v/>
      </c>
      <c r="D62" s="483" t="s">
        <v>3460</v>
      </c>
      <c r="E62" s="495" t="s">
        <v>2772</v>
      </c>
      <c r="F62" s="475" t="s">
        <v>37</v>
      </c>
      <c r="G62" s="476">
        <f t="shared" ca="1" si="0"/>
        <v>0</v>
      </c>
      <c r="H62" s="477" t="s">
        <v>3404</v>
      </c>
      <c r="I62" s="478">
        <v>0.81</v>
      </c>
      <c r="J62" s="479">
        <v>0.45</v>
      </c>
      <c r="K62" s="480">
        <f ca="1">G62</f>
        <v>0</v>
      </c>
      <c r="L62" s="477" t="s">
        <v>3404</v>
      </c>
      <c r="M62" s="478">
        <f t="shared" si="5"/>
        <v>0.81</v>
      </c>
      <c r="N62" s="479">
        <v>0.55000000000000004</v>
      </c>
      <c r="O62" s="481">
        <f t="shared" si="37"/>
        <v>94065.057000000015</v>
      </c>
      <c r="P62" s="481">
        <f t="shared" si="38"/>
        <v>114968.40300000002</v>
      </c>
      <c r="Q62" s="481">
        <f t="shared" ca="1" si="6"/>
        <v>0</v>
      </c>
      <c r="R62" s="471">
        <f t="shared" ca="1" si="4"/>
        <v>0</v>
      </c>
    </row>
    <row r="63" spans="2:18">
      <c r="B63" s="361" t="s">
        <v>3945</v>
      </c>
      <c r="C63" s="472" t="str">
        <f ca="1">IF(G63=0,"",COUNTIF($G$6:$G63,"&gt;0"))</f>
        <v/>
      </c>
      <c r="D63" s="483" t="s">
        <v>3492</v>
      </c>
      <c r="E63" s="486" t="s">
        <v>2931</v>
      </c>
      <c r="F63" s="413" t="s">
        <v>2785</v>
      </c>
      <c r="G63" s="476">
        <f t="shared" ca="1" si="0"/>
        <v>0</v>
      </c>
      <c r="H63" s="477" t="s">
        <v>3403</v>
      </c>
      <c r="I63" s="478">
        <v>3.33</v>
      </c>
      <c r="J63" s="479">
        <v>0.45</v>
      </c>
      <c r="K63" s="480">
        <f t="shared" ca="1" si="1"/>
        <v>0</v>
      </c>
      <c r="L63" s="477" t="s">
        <v>3404</v>
      </c>
      <c r="M63" s="478">
        <f t="shared" ref="M63:M98" si="61">I63</f>
        <v>3.33</v>
      </c>
      <c r="N63" s="479">
        <v>0.55000000000000004</v>
      </c>
      <c r="O63" s="481">
        <f t="shared" si="37"/>
        <v>386711.90100000001</v>
      </c>
      <c r="P63" s="481">
        <f t="shared" si="38"/>
        <v>472647.87900000007</v>
      </c>
      <c r="Q63" s="481">
        <f t="shared" ca="1" si="6"/>
        <v>0</v>
      </c>
      <c r="R63" s="471">
        <f t="shared" ca="1" si="4"/>
        <v>0</v>
      </c>
    </row>
    <row r="64" spans="2:18">
      <c r="B64" s="361" t="s">
        <v>3946</v>
      </c>
      <c r="C64" s="472">
        <f ca="1">IF(G64=0,"",COUNTIF($G$6:$G64,"&gt;0"))</f>
        <v>9</v>
      </c>
      <c r="D64" s="483" t="s">
        <v>3493</v>
      </c>
      <c r="E64" s="486" t="s">
        <v>2930</v>
      </c>
      <c r="F64" s="413" t="s">
        <v>2785</v>
      </c>
      <c r="G64" s="476">
        <f t="shared" ca="1" si="0"/>
        <v>33</v>
      </c>
      <c r="H64" s="477" t="s">
        <v>3403</v>
      </c>
      <c r="I64" s="478">
        <v>3.5640000000000001</v>
      </c>
      <c r="J64" s="479">
        <v>0.45</v>
      </c>
      <c r="K64" s="480">
        <f t="shared" ca="1" si="1"/>
        <v>33</v>
      </c>
      <c r="L64" s="477" t="s">
        <v>3404</v>
      </c>
      <c r="M64" s="478">
        <f t="shared" si="61"/>
        <v>3.5640000000000001</v>
      </c>
      <c r="N64" s="479">
        <v>0.55000000000000004</v>
      </c>
      <c r="O64" s="481">
        <f t="shared" si="37"/>
        <v>413886.25080000004</v>
      </c>
      <c r="P64" s="481">
        <f t="shared" si="38"/>
        <v>505860.97320000007</v>
      </c>
      <c r="Q64" s="481">
        <f t="shared" ca="1" si="6"/>
        <v>30351658.392000005</v>
      </c>
      <c r="R64" s="471">
        <f t="shared" ref="R64:R84" ca="1" si="62">IF(G64&lt;&gt;0,1,0)</f>
        <v>1</v>
      </c>
    </row>
    <row r="65" spans="1:18">
      <c r="B65" s="361" t="s">
        <v>3947</v>
      </c>
      <c r="C65" s="472">
        <f ca="1">IF(G65=0,"",COUNTIF($G$6:$G65,"&gt;0"))</f>
        <v>10</v>
      </c>
      <c r="D65" s="483" t="s">
        <v>3494</v>
      </c>
      <c r="E65" s="486" t="s">
        <v>2932</v>
      </c>
      <c r="F65" s="413" t="s">
        <v>2785</v>
      </c>
      <c r="G65" s="476">
        <f t="shared" ca="1" si="0"/>
        <v>23</v>
      </c>
      <c r="H65" s="477" t="s">
        <v>3403</v>
      </c>
      <c r="I65" s="478">
        <v>3.8159999999999998</v>
      </c>
      <c r="J65" s="479">
        <v>0.45</v>
      </c>
      <c r="K65" s="480">
        <f t="shared" ca="1" si="1"/>
        <v>23</v>
      </c>
      <c r="L65" s="477" t="s">
        <v>3404</v>
      </c>
      <c r="M65" s="478">
        <f t="shared" si="61"/>
        <v>3.8159999999999998</v>
      </c>
      <c r="N65" s="479">
        <v>0.55000000000000004</v>
      </c>
      <c r="O65" s="481">
        <f t="shared" si="37"/>
        <v>443150.93519999995</v>
      </c>
      <c r="P65" s="481">
        <f t="shared" si="38"/>
        <v>541628.92079999996</v>
      </c>
      <c r="Q65" s="481">
        <f t="shared" ca="1" si="6"/>
        <v>22649936.687999997</v>
      </c>
      <c r="R65" s="471">
        <f t="shared" ca="1" si="62"/>
        <v>1</v>
      </c>
    </row>
    <row r="66" spans="1:18">
      <c r="B66" s="361" t="s">
        <v>3948</v>
      </c>
      <c r="C66" s="472" t="str">
        <f ca="1">IF(G66=0,"",COUNTIF($G$6:$G66,"&gt;0"))</f>
        <v/>
      </c>
      <c r="D66" s="483" t="s">
        <v>3495</v>
      </c>
      <c r="E66" s="486" t="s">
        <v>2933</v>
      </c>
      <c r="F66" s="413" t="s">
        <v>2785</v>
      </c>
      <c r="G66" s="476">
        <f t="shared" ca="1" si="0"/>
        <v>0</v>
      </c>
      <c r="H66" s="477" t="s">
        <v>3403</v>
      </c>
      <c r="I66" s="478">
        <v>4.7519999999999998</v>
      </c>
      <c r="J66" s="479">
        <v>0.45</v>
      </c>
      <c r="K66" s="480">
        <f t="shared" ca="1" si="1"/>
        <v>0</v>
      </c>
      <c r="L66" s="477" t="s">
        <v>3404</v>
      </c>
      <c r="M66" s="478">
        <f t="shared" si="61"/>
        <v>4.7519999999999998</v>
      </c>
      <c r="N66" s="479">
        <v>0.55000000000000004</v>
      </c>
      <c r="O66" s="481">
        <f t="shared" si="37"/>
        <v>551848.33440000005</v>
      </c>
      <c r="P66" s="481">
        <f t="shared" si="38"/>
        <v>674481.29760000005</v>
      </c>
      <c r="Q66" s="481">
        <f t="shared" ca="1" si="6"/>
        <v>0</v>
      </c>
      <c r="R66" s="471">
        <f t="shared" ca="1" si="62"/>
        <v>0</v>
      </c>
    </row>
    <row r="67" spans="1:18">
      <c r="B67" s="361" t="s">
        <v>3949</v>
      </c>
      <c r="C67" s="472" t="str">
        <f ca="1">IF(G67=0,"",COUNTIF($G$6:$G67,"&gt;0"))</f>
        <v/>
      </c>
      <c r="D67" s="483" t="s">
        <v>3496</v>
      </c>
      <c r="E67" s="486" t="s">
        <v>2934</v>
      </c>
      <c r="F67" s="413" t="s">
        <v>2785</v>
      </c>
      <c r="G67" s="476">
        <f t="shared" ca="1" si="0"/>
        <v>0</v>
      </c>
      <c r="H67" s="477" t="s">
        <v>3403</v>
      </c>
      <c r="I67" s="478">
        <v>5.1840000000000002</v>
      </c>
      <c r="J67" s="479">
        <v>0.45</v>
      </c>
      <c r="K67" s="480">
        <f t="shared" ca="1" si="1"/>
        <v>0</v>
      </c>
      <c r="L67" s="477" t="s">
        <v>3404</v>
      </c>
      <c r="M67" s="478">
        <f t="shared" si="61"/>
        <v>5.1840000000000002</v>
      </c>
      <c r="N67" s="479">
        <v>0.55000000000000004</v>
      </c>
      <c r="O67" s="481">
        <f t="shared" si="37"/>
        <v>602016.3648000001</v>
      </c>
      <c r="P67" s="481">
        <f t="shared" si="38"/>
        <v>735797.77920000011</v>
      </c>
      <c r="Q67" s="481">
        <f t="shared" ca="1" si="6"/>
        <v>0</v>
      </c>
      <c r="R67" s="471">
        <f t="shared" ca="1" si="62"/>
        <v>0</v>
      </c>
    </row>
    <row r="68" spans="1:18">
      <c r="B68" s="361" t="s">
        <v>3950</v>
      </c>
      <c r="C68" s="472" t="str">
        <f ca="1">IF(G68=0,"",COUNTIF($G$6:$G68,"&gt;0"))</f>
        <v/>
      </c>
      <c r="D68" s="483" t="s">
        <v>3497</v>
      </c>
      <c r="E68" s="486" t="s">
        <v>2935</v>
      </c>
      <c r="F68" s="413" t="s">
        <v>2785</v>
      </c>
      <c r="G68" s="476">
        <f t="shared" ca="1" si="0"/>
        <v>0</v>
      </c>
      <c r="H68" s="477" t="s">
        <v>3403</v>
      </c>
      <c r="I68" s="478">
        <v>6.75</v>
      </c>
      <c r="J68" s="479">
        <v>0.45</v>
      </c>
      <c r="K68" s="480">
        <f t="shared" ca="1" si="1"/>
        <v>0</v>
      </c>
      <c r="L68" s="477" t="s">
        <v>3404</v>
      </c>
      <c r="M68" s="478">
        <f t="shared" si="61"/>
        <v>6.75</v>
      </c>
      <c r="N68" s="479">
        <v>0.55000000000000004</v>
      </c>
      <c r="O68" s="481">
        <f t="shared" si="37"/>
        <v>783875.47499999998</v>
      </c>
      <c r="P68" s="481">
        <f t="shared" si="38"/>
        <v>958070.02500000002</v>
      </c>
      <c r="Q68" s="481">
        <f t="shared" ca="1" si="6"/>
        <v>0</v>
      </c>
      <c r="R68" s="471">
        <f t="shared" ca="1" si="62"/>
        <v>0</v>
      </c>
    </row>
    <row r="69" spans="1:18">
      <c r="B69" s="361" t="s">
        <v>3951</v>
      </c>
      <c r="C69" s="472" t="str">
        <f ca="1">IF(G69=0,"",COUNTIF($G$6:$G69,"&gt;0"))</f>
        <v/>
      </c>
      <c r="D69" s="483" t="s">
        <v>3498</v>
      </c>
      <c r="E69" s="486" t="s">
        <v>2936</v>
      </c>
      <c r="F69" s="413" t="s">
        <v>2785</v>
      </c>
      <c r="G69" s="476">
        <f t="shared" ca="1" si="0"/>
        <v>0</v>
      </c>
      <c r="H69" s="477" t="s">
        <v>3403</v>
      </c>
      <c r="I69" s="478">
        <v>7.8659999999999997</v>
      </c>
      <c r="J69" s="479">
        <v>0.45</v>
      </c>
      <c r="K69" s="480">
        <f t="shared" ca="1" si="1"/>
        <v>0</v>
      </c>
      <c r="L69" s="477" t="s">
        <v>3404</v>
      </c>
      <c r="M69" s="478">
        <f t="shared" si="61"/>
        <v>7.8659999999999997</v>
      </c>
      <c r="N69" s="479">
        <v>0.55000000000000004</v>
      </c>
      <c r="O69" s="481">
        <f t="shared" si="37"/>
        <v>913476.22019999998</v>
      </c>
      <c r="P69" s="481">
        <f t="shared" si="38"/>
        <v>1116470.9358000001</v>
      </c>
      <c r="Q69" s="481">
        <f t="shared" ca="1" si="6"/>
        <v>0</v>
      </c>
      <c r="R69" s="471">
        <f t="shared" ca="1" si="62"/>
        <v>0</v>
      </c>
    </row>
    <row r="70" spans="1:18">
      <c r="B70" s="361" t="s">
        <v>3952</v>
      </c>
      <c r="C70" s="472" t="str">
        <f ca="1">IF(G70=0,"",COUNTIF($G$6:$G70,"&gt;0"))</f>
        <v/>
      </c>
      <c r="D70" s="483" t="s">
        <v>3499</v>
      </c>
      <c r="E70" s="486" t="s">
        <v>2985</v>
      </c>
      <c r="F70" s="413" t="s">
        <v>2785</v>
      </c>
      <c r="G70" s="476">
        <f t="shared" ca="1" si="0"/>
        <v>0</v>
      </c>
      <c r="H70" s="477" t="s">
        <v>3403</v>
      </c>
      <c r="I70" s="478">
        <v>8.5860000000000003</v>
      </c>
      <c r="J70" s="479">
        <v>0.45</v>
      </c>
      <c r="K70" s="480">
        <f t="shared" ref="K70:K113" ca="1" si="63">G70</f>
        <v>0</v>
      </c>
      <c r="L70" s="477" t="s">
        <v>3404</v>
      </c>
      <c r="M70" s="478">
        <f t="shared" si="61"/>
        <v>8.5860000000000003</v>
      </c>
      <c r="N70" s="479">
        <v>0.55000000000000004</v>
      </c>
      <c r="O70" s="481">
        <f t="shared" si="37"/>
        <v>997089.60420000006</v>
      </c>
      <c r="P70" s="481">
        <f t="shared" si="38"/>
        <v>1218665.0718</v>
      </c>
      <c r="Q70" s="481">
        <f t="shared" ca="1" si="6"/>
        <v>0</v>
      </c>
      <c r="R70" s="471">
        <f t="shared" ca="1" si="62"/>
        <v>0</v>
      </c>
    </row>
    <row r="71" spans="1:18">
      <c r="B71" s="361" t="s">
        <v>2803</v>
      </c>
      <c r="C71" s="472" t="str">
        <f ca="1">IF(G71=0,"",COUNTIF($G$6:$G71,"&gt;0"))</f>
        <v/>
      </c>
      <c r="D71" s="487" t="s">
        <v>2745</v>
      </c>
      <c r="E71" s="488" t="s">
        <v>2746</v>
      </c>
      <c r="F71" s="413" t="s">
        <v>2785</v>
      </c>
      <c r="G71" s="476">
        <f t="shared" ca="1" si="0"/>
        <v>0</v>
      </c>
      <c r="H71" s="477" t="s">
        <v>3404</v>
      </c>
      <c r="I71" s="478">
        <v>1.5</v>
      </c>
      <c r="J71" s="479">
        <v>0.45</v>
      </c>
      <c r="K71" s="480">
        <f t="shared" ca="1" si="63"/>
        <v>0</v>
      </c>
      <c r="L71" s="477" t="s">
        <v>3404</v>
      </c>
      <c r="M71" s="478">
        <f t="shared" si="61"/>
        <v>1.5</v>
      </c>
      <c r="N71" s="479">
        <v>0.55000000000000004</v>
      </c>
      <c r="O71" s="481">
        <f t="shared" si="37"/>
        <v>174194.55000000002</v>
      </c>
      <c r="P71" s="481">
        <f t="shared" si="38"/>
        <v>212904.45</v>
      </c>
      <c r="Q71" s="481">
        <f t="shared" ca="1" si="6"/>
        <v>0</v>
      </c>
      <c r="R71" s="471">
        <f t="shared" ca="1" si="62"/>
        <v>0</v>
      </c>
    </row>
    <row r="72" spans="1:18">
      <c r="B72" s="361"/>
      <c r="C72" s="396" t="s">
        <v>2677</v>
      </c>
      <c r="D72" s="396" t="s">
        <v>3911</v>
      </c>
      <c r="E72" s="505"/>
      <c r="F72" s="396"/>
      <c r="G72" s="506"/>
      <c r="H72" s="507"/>
      <c r="I72" s="126" t="s">
        <v>2602</v>
      </c>
      <c r="J72" s="508"/>
      <c r="K72" s="507"/>
      <c r="L72" s="507"/>
      <c r="M72" s="509"/>
      <c r="N72" s="508"/>
      <c r="O72" s="510"/>
      <c r="P72" s="510"/>
      <c r="Q72" s="510">
        <f ca="1">SUM(Q6:Q71)</f>
        <v>92413116.662688002</v>
      </c>
      <c r="R72" s="471">
        <f ca="1">IF(Q72&gt;0,1,0)</f>
        <v>1</v>
      </c>
    </row>
    <row r="73" spans="1:18">
      <c r="A73" s="209" t="s">
        <v>4023</v>
      </c>
      <c r="C73" s="461" t="s">
        <v>2379</v>
      </c>
      <c r="D73" s="462" t="s">
        <v>3910</v>
      </c>
      <c r="E73" s="463"/>
      <c r="F73" s="464"/>
      <c r="G73" s="465"/>
      <c r="H73" s="466"/>
      <c r="I73" s="467"/>
      <c r="J73" s="468"/>
      <c r="K73" s="469"/>
      <c r="L73" s="466"/>
      <c r="M73" s="467"/>
      <c r="N73" s="468"/>
      <c r="O73" s="470"/>
      <c r="P73" s="470"/>
      <c r="Q73" s="470"/>
      <c r="R73" s="471"/>
    </row>
    <row r="74" spans="1:18">
      <c r="B74" s="361" t="s">
        <v>3953</v>
      </c>
      <c r="C74" s="472">
        <f ca="1">IF(G74=0,"",COUNTIF($G$6:$G74,"&gt;0"))</f>
        <v>11</v>
      </c>
      <c r="D74" s="489" t="s">
        <v>3534</v>
      </c>
      <c r="E74" s="485" t="s">
        <v>2953</v>
      </c>
      <c r="F74" s="413" t="s">
        <v>1480</v>
      </c>
      <c r="G74" s="476">
        <f t="shared" ca="1" si="0"/>
        <v>3</v>
      </c>
      <c r="H74" s="477" t="s">
        <v>3404</v>
      </c>
      <c r="I74" s="478">
        <f>0.85*2.9</f>
        <v>2.4649999999999999</v>
      </c>
      <c r="J74" s="479">
        <v>1</v>
      </c>
      <c r="K74" s="480">
        <f t="shared" ca="1" si="63"/>
        <v>3</v>
      </c>
      <c r="L74" s="477" t="s">
        <v>3404</v>
      </c>
      <c r="M74" s="478">
        <v>3</v>
      </c>
      <c r="N74" s="479">
        <v>0.55000000000000004</v>
      </c>
      <c r="O74" s="481">
        <f t="shared" si="37"/>
        <v>636132.68999999994</v>
      </c>
      <c r="P74" s="481">
        <f t="shared" si="38"/>
        <v>425808.9</v>
      </c>
      <c r="Q74" s="481">
        <f t="shared" ca="1" si="6"/>
        <v>3185824.77</v>
      </c>
      <c r="R74" s="471">
        <f t="shared" ca="1" si="62"/>
        <v>1</v>
      </c>
    </row>
    <row r="75" spans="1:18">
      <c r="B75" s="361" t="s">
        <v>4157</v>
      </c>
      <c r="C75" s="472" t="str">
        <f ca="1">IF(G75=0,"",COUNTIF($G$6:$G75,"&gt;0"))</f>
        <v/>
      </c>
      <c r="D75" s="489" t="s">
        <v>3535</v>
      </c>
      <c r="E75" s="485" t="s">
        <v>4158</v>
      </c>
      <c r="F75" s="413" t="s">
        <v>1480</v>
      </c>
      <c r="G75" s="476">
        <f t="shared" ref="G75" ca="1" si="64">SUMIF(maBK,B75,tongBK1)</f>
        <v>0</v>
      </c>
      <c r="H75" s="477" t="s">
        <v>3404</v>
      </c>
      <c r="I75" s="478">
        <f>0.85*2.9</f>
        <v>2.4649999999999999</v>
      </c>
      <c r="J75" s="479">
        <v>1</v>
      </c>
      <c r="K75" s="480">
        <f t="shared" ref="K75" ca="1" si="65">G75</f>
        <v>0</v>
      </c>
      <c r="L75" s="477" t="s">
        <v>3404</v>
      </c>
      <c r="M75" s="478">
        <v>3.5</v>
      </c>
      <c r="N75" s="479">
        <v>0.55000000000000004</v>
      </c>
      <c r="O75" s="481">
        <f t="shared" ref="O75" si="66">VLOOKUP(H75,TIENLUONG,4)*I75*J75</f>
        <v>636132.68999999994</v>
      </c>
      <c r="P75" s="481">
        <f t="shared" ref="P75" si="67">VLOOKUP(L75,TIENLUONG,4)*M75*N75</f>
        <v>496777.05000000005</v>
      </c>
      <c r="Q75" s="481">
        <f t="shared" ref="Q75" ca="1" si="68">G75*O75+K75*P75</f>
        <v>0</v>
      </c>
      <c r="R75" s="471">
        <f t="shared" ref="R75" ca="1" si="69">IF(G75&lt;&gt;0,1,0)</f>
        <v>0</v>
      </c>
    </row>
    <row r="76" spans="1:18">
      <c r="B76" s="361" t="s">
        <v>3954</v>
      </c>
      <c r="C76" s="472" t="str">
        <f ca="1">IF(G76=0,"",COUNTIF($G$6:$G76,"&gt;0"))</f>
        <v/>
      </c>
      <c r="D76" s="489" t="s">
        <v>3535</v>
      </c>
      <c r="E76" s="485" t="s">
        <v>2954</v>
      </c>
      <c r="F76" s="413" t="s">
        <v>1480</v>
      </c>
      <c r="G76" s="476">
        <f t="shared" ca="1" si="0"/>
        <v>0</v>
      </c>
      <c r="H76" s="477" t="s">
        <v>3404</v>
      </c>
      <c r="I76" s="478">
        <f>0.85*2.9</f>
        <v>2.4649999999999999</v>
      </c>
      <c r="J76" s="479">
        <v>1</v>
      </c>
      <c r="K76" s="480">
        <f t="shared" ca="1" si="63"/>
        <v>0</v>
      </c>
      <c r="L76" s="477" t="s">
        <v>3404</v>
      </c>
      <c r="M76" s="478">
        <v>3.5</v>
      </c>
      <c r="N76" s="479">
        <v>0.55000000000000004</v>
      </c>
      <c r="O76" s="481">
        <f t="shared" si="37"/>
        <v>636132.68999999994</v>
      </c>
      <c r="P76" s="481">
        <f t="shared" si="38"/>
        <v>496777.05000000005</v>
      </c>
      <c r="Q76" s="481">
        <f t="shared" ca="1" si="6"/>
        <v>0</v>
      </c>
      <c r="R76" s="471">
        <f t="shared" ca="1" si="62"/>
        <v>0</v>
      </c>
    </row>
    <row r="77" spans="1:18">
      <c r="B77" s="361" t="s">
        <v>3955</v>
      </c>
      <c r="C77" s="472" t="str">
        <f ca="1">IF(G77=0,"",COUNTIF($G$6:$G77,"&gt;0"))</f>
        <v/>
      </c>
      <c r="D77" s="489" t="s">
        <v>3536</v>
      </c>
      <c r="E77" s="485" t="s">
        <v>2955</v>
      </c>
      <c r="F77" s="413" t="s">
        <v>1480</v>
      </c>
      <c r="G77" s="476">
        <f t="shared" ca="1" si="0"/>
        <v>0</v>
      </c>
      <c r="H77" s="477" t="s">
        <v>3404</v>
      </c>
      <c r="I77" s="478">
        <f>2.8+0.5</f>
        <v>3.3</v>
      </c>
      <c r="J77" s="479">
        <v>1</v>
      </c>
      <c r="K77" s="480">
        <f t="shared" ca="1" si="63"/>
        <v>0</v>
      </c>
      <c r="L77" s="477" t="s">
        <v>3404</v>
      </c>
      <c r="M77" s="478">
        <v>4</v>
      </c>
      <c r="N77" s="479">
        <v>0.55000000000000004</v>
      </c>
      <c r="O77" s="481">
        <f t="shared" si="37"/>
        <v>851617.79999999993</v>
      </c>
      <c r="P77" s="481">
        <f t="shared" si="38"/>
        <v>567745.20000000007</v>
      </c>
      <c r="Q77" s="481">
        <f t="shared" ca="1" si="6"/>
        <v>0</v>
      </c>
      <c r="R77" s="471">
        <f t="shared" ca="1" si="62"/>
        <v>0</v>
      </c>
    </row>
    <row r="78" spans="1:18">
      <c r="B78" s="361" t="s">
        <v>3956</v>
      </c>
      <c r="C78" s="472" t="str">
        <f ca="1">IF(G78=0,"",COUNTIF($G$6:$G78,"&gt;0"))</f>
        <v/>
      </c>
      <c r="D78" s="489" t="s">
        <v>3537</v>
      </c>
      <c r="E78" s="485" t="s">
        <v>2956</v>
      </c>
      <c r="F78" s="413" t="s">
        <v>1480</v>
      </c>
      <c r="G78" s="476">
        <f t="shared" ca="1" si="0"/>
        <v>0</v>
      </c>
      <c r="H78" s="477" t="s">
        <v>3404</v>
      </c>
      <c r="I78" s="478">
        <f>3.2+0.5</f>
        <v>3.7</v>
      </c>
      <c r="J78" s="479">
        <v>1</v>
      </c>
      <c r="K78" s="480">
        <f t="shared" ca="1" si="63"/>
        <v>0</v>
      </c>
      <c r="L78" s="477" t="s">
        <v>3404</v>
      </c>
      <c r="M78" s="478">
        <v>4</v>
      </c>
      <c r="N78" s="479">
        <v>0.55000000000000004</v>
      </c>
      <c r="O78" s="481">
        <f t="shared" si="37"/>
        <v>954844.20000000007</v>
      </c>
      <c r="P78" s="481">
        <f t="shared" si="38"/>
        <v>567745.20000000007</v>
      </c>
      <c r="Q78" s="481">
        <f t="shared" ca="1" si="6"/>
        <v>0</v>
      </c>
      <c r="R78" s="471">
        <f t="shared" ca="1" si="62"/>
        <v>0</v>
      </c>
    </row>
    <row r="79" spans="1:18">
      <c r="B79" s="361" t="s">
        <v>3957</v>
      </c>
      <c r="C79" s="472" t="str">
        <f ca="1">IF(G79=0,"",COUNTIF($G$6:$G79,"&gt;0"))</f>
        <v/>
      </c>
      <c r="D79" s="489" t="s">
        <v>3538</v>
      </c>
      <c r="E79" s="485" t="s">
        <v>2957</v>
      </c>
      <c r="F79" s="413" t="s">
        <v>1480</v>
      </c>
      <c r="G79" s="476">
        <f t="shared" ca="1" si="0"/>
        <v>0</v>
      </c>
      <c r="H79" s="477" t="s">
        <v>3404</v>
      </c>
      <c r="I79" s="478">
        <f>3.6+0.5</f>
        <v>4.0999999999999996</v>
      </c>
      <c r="J79" s="479">
        <v>1</v>
      </c>
      <c r="K79" s="480">
        <f t="shared" ca="1" si="63"/>
        <v>0</v>
      </c>
      <c r="L79" s="477" t="s">
        <v>3404</v>
      </c>
      <c r="M79" s="478">
        <v>4.5</v>
      </c>
      <c r="N79" s="479">
        <v>0.55000000000000004</v>
      </c>
      <c r="O79" s="481">
        <f t="shared" si="37"/>
        <v>1058070.5999999999</v>
      </c>
      <c r="P79" s="481">
        <f t="shared" si="38"/>
        <v>638713.35000000009</v>
      </c>
      <c r="Q79" s="481">
        <f t="shared" ca="1" si="6"/>
        <v>0</v>
      </c>
      <c r="R79" s="471">
        <f t="shared" ca="1" si="62"/>
        <v>0</v>
      </c>
    </row>
    <row r="80" spans="1:18">
      <c r="B80" s="361" t="s">
        <v>3958</v>
      </c>
      <c r="C80" s="472" t="str">
        <f ca="1">IF(G80=0,"",COUNTIF($G$6:$G80,"&gt;0"))</f>
        <v/>
      </c>
      <c r="D80" s="489" t="s">
        <v>3539</v>
      </c>
      <c r="E80" s="485" t="s">
        <v>2958</v>
      </c>
      <c r="F80" s="413" t="s">
        <v>1480</v>
      </c>
      <c r="G80" s="476">
        <f t="shared" ca="1" si="0"/>
        <v>0</v>
      </c>
      <c r="H80" s="477" t="s">
        <v>3404</v>
      </c>
      <c r="I80" s="478">
        <f>3.6+0.5</f>
        <v>4.0999999999999996</v>
      </c>
      <c r="J80" s="479">
        <v>1</v>
      </c>
      <c r="K80" s="480">
        <f t="shared" ca="1" si="63"/>
        <v>0</v>
      </c>
      <c r="L80" s="477" t="s">
        <v>3404</v>
      </c>
      <c r="M80" s="478">
        <v>4.5</v>
      </c>
      <c r="N80" s="479">
        <v>0.55000000000000004</v>
      </c>
      <c r="O80" s="481">
        <f t="shared" si="37"/>
        <v>1058070.5999999999</v>
      </c>
      <c r="P80" s="481">
        <f t="shared" si="38"/>
        <v>638713.35000000009</v>
      </c>
      <c r="Q80" s="481">
        <f t="shared" ca="1" si="6"/>
        <v>0</v>
      </c>
      <c r="R80" s="471">
        <f t="shared" ca="1" si="62"/>
        <v>0</v>
      </c>
    </row>
    <row r="81" spans="2:18">
      <c r="B81" s="361" t="s">
        <v>3959</v>
      </c>
      <c r="C81" s="472" t="str">
        <f ca="1">IF(G81=0,"",COUNTIF($G$6:$G81,"&gt;0"))</f>
        <v/>
      </c>
      <c r="D81" s="489" t="s">
        <v>3540</v>
      </c>
      <c r="E81" s="485" t="s">
        <v>2959</v>
      </c>
      <c r="F81" s="413" t="s">
        <v>1480</v>
      </c>
      <c r="G81" s="476">
        <f t="shared" ca="1" si="0"/>
        <v>0</v>
      </c>
      <c r="H81" s="477" t="s">
        <v>3404</v>
      </c>
      <c r="I81" s="478">
        <f>3.6+1</f>
        <v>4.5999999999999996</v>
      </c>
      <c r="J81" s="479">
        <v>1</v>
      </c>
      <c r="K81" s="480">
        <f t="shared" ca="1" si="63"/>
        <v>0</v>
      </c>
      <c r="L81" s="477" t="s">
        <v>3404</v>
      </c>
      <c r="M81" s="478">
        <v>4.5</v>
      </c>
      <c r="N81" s="479">
        <v>0.55000000000000004</v>
      </c>
      <c r="O81" s="481">
        <f t="shared" si="37"/>
        <v>1187103.5999999999</v>
      </c>
      <c r="P81" s="481">
        <f t="shared" si="38"/>
        <v>638713.35000000009</v>
      </c>
      <c r="Q81" s="481">
        <f t="shared" ca="1" si="6"/>
        <v>0</v>
      </c>
      <c r="R81" s="471">
        <f t="shared" ca="1" si="62"/>
        <v>0</v>
      </c>
    </row>
    <row r="82" spans="2:18">
      <c r="B82" s="361" t="s">
        <v>3960</v>
      </c>
      <c r="C82" s="472" t="str">
        <f ca="1">IF(G82=0,"",COUNTIF($G$6:$G82,"&gt;0"))</f>
        <v/>
      </c>
      <c r="D82" s="489" t="s">
        <v>3541</v>
      </c>
      <c r="E82" s="485" t="s">
        <v>2960</v>
      </c>
      <c r="F82" s="413" t="s">
        <v>1480</v>
      </c>
      <c r="G82" s="476">
        <f t="shared" ca="1" si="0"/>
        <v>0</v>
      </c>
      <c r="H82" s="477" t="s">
        <v>3404</v>
      </c>
      <c r="I82" s="478">
        <f>4.4+1</f>
        <v>5.4</v>
      </c>
      <c r="J82" s="479">
        <v>1</v>
      </c>
      <c r="K82" s="480">
        <f t="shared" ref="K82:K83" ca="1" si="70">G82</f>
        <v>0</v>
      </c>
      <c r="L82" s="477" t="s">
        <v>3404</v>
      </c>
      <c r="M82" s="478">
        <v>5.5</v>
      </c>
      <c r="N82" s="479">
        <v>0.55000000000000004</v>
      </c>
      <c r="O82" s="481">
        <f t="shared" si="37"/>
        <v>1393556.4000000001</v>
      </c>
      <c r="P82" s="481">
        <f t="shared" si="38"/>
        <v>780649.65</v>
      </c>
      <c r="Q82" s="481">
        <f t="shared" ref="Q82:Q83" ca="1" si="71">G82*O82+K82*P82</f>
        <v>0</v>
      </c>
      <c r="R82" s="471">
        <f t="shared" ref="R82:R83" ca="1" si="72">IF(G82&lt;&gt;0,1,0)</f>
        <v>0</v>
      </c>
    </row>
    <row r="83" spans="2:18">
      <c r="B83" s="361" t="s">
        <v>3961</v>
      </c>
      <c r="C83" s="472" t="str">
        <f ca="1">IF(G83=0,"",COUNTIF($G$6:$G83,"&gt;0"))</f>
        <v/>
      </c>
      <c r="D83" s="489" t="s">
        <v>3542</v>
      </c>
      <c r="E83" s="485" t="s">
        <v>2961</v>
      </c>
      <c r="F83" s="413" t="s">
        <v>1480</v>
      </c>
      <c r="G83" s="476">
        <f t="shared" ca="1" si="0"/>
        <v>0</v>
      </c>
      <c r="H83" s="477" t="s">
        <v>3404</v>
      </c>
      <c r="I83" s="478">
        <f>5.2+1</f>
        <v>6.2</v>
      </c>
      <c r="J83" s="479">
        <v>1</v>
      </c>
      <c r="K83" s="480">
        <f t="shared" ca="1" si="70"/>
        <v>0</v>
      </c>
      <c r="L83" s="477" t="s">
        <v>3404</v>
      </c>
      <c r="M83" s="478">
        <v>6.5</v>
      </c>
      <c r="N83" s="479">
        <v>0.55000000000000004</v>
      </c>
      <c r="O83" s="481">
        <f t="shared" si="37"/>
        <v>1600009.2</v>
      </c>
      <c r="P83" s="481">
        <f t="shared" si="38"/>
        <v>922585.95000000007</v>
      </c>
      <c r="Q83" s="481">
        <f t="shared" ca="1" si="71"/>
        <v>0</v>
      </c>
      <c r="R83" s="471">
        <f t="shared" ca="1" si="72"/>
        <v>0</v>
      </c>
    </row>
    <row r="84" spans="2:18">
      <c r="B84" s="361" t="s">
        <v>3962</v>
      </c>
      <c r="C84" s="472" t="str">
        <f ca="1">IF(G84=0,"",COUNTIF($G$6:$G84,"&gt;0"))</f>
        <v/>
      </c>
      <c r="D84" s="487" t="s">
        <v>2972</v>
      </c>
      <c r="E84" s="490" t="s">
        <v>2965</v>
      </c>
      <c r="F84" s="413" t="s">
        <v>774</v>
      </c>
      <c r="G84" s="476">
        <f t="shared" ca="1" si="0"/>
        <v>0</v>
      </c>
      <c r="H84" s="477" t="s">
        <v>3403</v>
      </c>
      <c r="I84" s="478">
        <v>4.7E-2</v>
      </c>
      <c r="J84" s="479">
        <v>0.45</v>
      </c>
      <c r="K84" s="480">
        <f t="shared" ref="K84:K90" ca="1" si="73">G84</f>
        <v>0</v>
      </c>
      <c r="L84" s="477" t="s">
        <v>3403</v>
      </c>
      <c r="M84" s="478">
        <f t="shared" si="61"/>
        <v>4.7E-2</v>
      </c>
      <c r="N84" s="479">
        <v>0.55000000000000004</v>
      </c>
      <c r="O84" s="481">
        <f t="shared" si="37"/>
        <v>5458.0959000000003</v>
      </c>
      <c r="P84" s="481">
        <f t="shared" si="38"/>
        <v>6671.0061000000005</v>
      </c>
      <c r="Q84" s="481">
        <f t="shared" ca="1" si="6"/>
        <v>0</v>
      </c>
      <c r="R84" s="471">
        <f t="shared" ca="1" si="62"/>
        <v>0</v>
      </c>
    </row>
    <row r="85" spans="2:18">
      <c r="B85" s="361" t="s">
        <v>3963</v>
      </c>
      <c r="C85" s="472" t="str">
        <f ca="1">IF(G85=0,"",COUNTIF($G$6:$G85,"&gt;0"))</f>
        <v/>
      </c>
      <c r="D85" s="487" t="s">
        <v>2972</v>
      </c>
      <c r="E85" s="490" t="s">
        <v>2966</v>
      </c>
      <c r="F85" s="413" t="s">
        <v>774</v>
      </c>
      <c r="G85" s="476">
        <f t="shared" ca="1" si="0"/>
        <v>0</v>
      </c>
      <c r="H85" s="477" t="s">
        <v>3403</v>
      </c>
      <c r="I85" s="478">
        <v>4.7E-2</v>
      </c>
      <c r="J85" s="479">
        <v>0.45</v>
      </c>
      <c r="K85" s="480">
        <f t="shared" ca="1" si="73"/>
        <v>0</v>
      </c>
      <c r="L85" s="477" t="s">
        <v>3403</v>
      </c>
      <c r="M85" s="478">
        <f t="shared" si="61"/>
        <v>4.7E-2</v>
      </c>
      <c r="N85" s="479">
        <v>0.55000000000000004</v>
      </c>
      <c r="O85" s="481">
        <f t="shared" si="37"/>
        <v>5458.0959000000003</v>
      </c>
      <c r="P85" s="481">
        <f t="shared" si="38"/>
        <v>6671.0061000000005</v>
      </c>
      <c r="Q85" s="481">
        <f t="shared" ca="1" si="6"/>
        <v>0</v>
      </c>
      <c r="R85" s="471">
        <f t="shared" ref="R85:R90" ca="1" si="74">IF(G85&lt;&gt;0,1,0)</f>
        <v>0</v>
      </c>
    </row>
    <row r="86" spans="2:18">
      <c r="B86" s="361" t="s">
        <v>3964</v>
      </c>
      <c r="C86" s="472">
        <f ca="1">IF(G86=0,"",COUNTIF($G$6:$G86,"&gt;0"))</f>
        <v>12</v>
      </c>
      <c r="D86" s="487" t="s">
        <v>2972</v>
      </c>
      <c r="E86" s="490" t="s">
        <v>2967</v>
      </c>
      <c r="F86" s="413" t="s">
        <v>774</v>
      </c>
      <c r="G86" s="476">
        <f t="shared" ca="1" si="0"/>
        <v>48</v>
      </c>
      <c r="H86" s="477" t="s">
        <v>3403</v>
      </c>
      <c r="I86" s="478">
        <v>5.2999999999999999E-2</v>
      </c>
      <c r="J86" s="479">
        <v>0.45</v>
      </c>
      <c r="K86" s="480">
        <f t="shared" ca="1" si="73"/>
        <v>48</v>
      </c>
      <c r="L86" s="477" t="s">
        <v>3403</v>
      </c>
      <c r="M86" s="478">
        <f t="shared" si="61"/>
        <v>5.2999999999999999E-2</v>
      </c>
      <c r="N86" s="479">
        <v>0.55000000000000004</v>
      </c>
      <c r="O86" s="481">
        <f t="shared" si="37"/>
        <v>6154.8741</v>
      </c>
      <c r="P86" s="481">
        <f t="shared" si="38"/>
        <v>7522.6239000000005</v>
      </c>
      <c r="Q86" s="481">
        <f t="shared" ca="1" si="6"/>
        <v>656519.9040000001</v>
      </c>
      <c r="R86" s="471">
        <f t="shared" ca="1" si="74"/>
        <v>1</v>
      </c>
    </row>
    <row r="87" spans="2:18">
      <c r="B87" s="361" t="s">
        <v>3965</v>
      </c>
      <c r="C87" s="472">
        <f ca="1">IF(G87=0,"",COUNTIF($G$6:$G87,"&gt;0"))</f>
        <v>13</v>
      </c>
      <c r="D87" s="487" t="s">
        <v>2972</v>
      </c>
      <c r="E87" s="490" t="s">
        <v>2968</v>
      </c>
      <c r="F87" s="413" t="s">
        <v>774</v>
      </c>
      <c r="G87" s="476">
        <f t="shared" ca="1" si="0"/>
        <v>30</v>
      </c>
      <c r="H87" s="477" t="s">
        <v>3403</v>
      </c>
      <c r="I87" s="478">
        <v>7.4999999999999997E-2</v>
      </c>
      <c r="J87" s="479">
        <v>0.45</v>
      </c>
      <c r="K87" s="480">
        <f t="shared" ca="1" si="73"/>
        <v>30</v>
      </c>
      <c r="L87" s="477" t="s">
        <v>3403</v>
      </c>
      <c r="M87" s="478">
        <f t="shared" si="61"/>
        <v>7.4999999999999997E-2</v>
      </c>
      <c r="N87" s="479">
        <v>0.55000000000000004</v>
      </c>
      <c r="O87" s="481">
        <f t="shared" si="37"/>
        <v>8709.7275000000009</v>
      </c>
      <c r="P87" s="481">
        <f t="shared" si="38"/>
        <v>10645.222500000002</v>
      </c>
      <c r="Q87" s="481">
        <f t="shared" ca="1" si="6"/>
        <v>580648.5</v>
      </c>
      <c r="R87" s="471">
        <f t="shared" ca="1" si="74"/>
        <v>1</v>
      </c>
    </row>
    <row r="88" spans="2:18">
      <c r="B88" s="361" t="s">
        <v>3966</v>
      </c>
      <c r="C88" s="472" t="str">
        <f ca="1">IF(G88=0,"",COUNTIF($G$6:$G88,"&gt;0"))</f>
        <v/>
      </c>
      <c r="D88" s="487" t="s">
        <v>2972</v>
      </c>
      <c r="E88" s="490" t="s">
        <v>2969</v>
      </c>
      <c r="F88" s="413" t="s">
        <v>774</v>
      </c>
      <c r="G88" s="476">
        <f t="shared" ca="1" si="0"/>
        <v>0</v>
      </c>
      <c r="H88" s="477" t="s">
        <v>3403</v>
      </c>
      <c r="I88" s="478">
        <v>9.4E-2</v>
      </c>
      <c r="J88" s="479">
        <v>0.45</v>
      </c>
      <c r="K88" s="480">
        <f t="shared" ca="1" si="73"/>
        <v>0</v>
      </c>
      <c r="L88" s="477" t="s">
        <v>3403</v>
      </c>
      <c r="M88" s="478">
        <f t="shared" si="61"/>
        <v>9.4E-2</v>
      </c>
      <c r="N88" s="479">
        <v>0.55000000000000004</v>
      </c>
      <c r="O88" s="481">
        <f t="shared" si="37"/>
        <v>10916.191800000001</v>
      </c>
      <c r="P88" s="481">
        <f t="shared" si="38"/>
        <v>13342.012200000001</v>
      </c>
      <c r="Q88" s="481">
        <f t="shared" ca="1" si="6"/>
        <v>0</v>
      </c>
      <c r="R88" s="471">
        <f t="shared" ca="1" si="74"/>
        <v>0</v>
      </c>
    </row>
    <row r="89" spans="2:18">
      <c r="B89" s="361" t="s">
        <v>3967</v>
      </c>
      <c r="C89" s="472" t="str">
        <f ca="1">IF(G89=0,"",COUNTIF($G$6:$G89,"&gt;0"))</f>
        <v/>
      </c>
      <c r="D89" s="487" t="s">
        <v>2972</v>
      </c>
      <c r="E89" s="490" t="s">
        <v>2970</v>
      </c>
      <c r="F89" s="413" t="s">
        <v>774</v>
      </c>
      <c r="G89" s="476">
        <f t="shared" ca="1" si="0"/>
        <v>0</v>
      </c>
      <c r="H89" s="477" t="s">
        <v>3403</v>
      </c>
      <c r="I89" s="478">
        <f>I86*2</f>
        <v>0.106</v>
      </c>
      <c r="J89" s="479">
        <v>0.45</v>
      </c>
      <c r="K89" s="480">
        <f t="shared" ca="1" si="73"/>
        <v>0</v>
      </c>
      <c r="L89" s="477" t="s">
        <v>3403</v>
      </c>
      <c r="M89" s="478">
        <f t="shared" si="61"/>
        <v>0.106</v>
      </c>
      <c r="N89" s="479">
        <v>0.55000000000000004</v>
      </c>
      <c r="O89" s="481">
        <f t="shared" si="37"/>
        <v>12309.7482</v>
      </c>
      <c r="P89" s="481">
        <f t="shared" si="38"/>
        <v>15045.247800000001</v>
      </c>
      <c r="Q89" s="481">
        <f t="shared" ca="1" si="6"/>
        <v>0</v>
      </c>
      <c r="R89" s="471">
        <f t="shared" ca="1" si="74"/>
        <v>0</v>
      </c>
    </row>
    <row r="90" spans="2:18">
      <c r="B90" s="361" t="s">
        <v>3968</v>
      </c>
      <c r="C90" s="472" t="str">
        <f ca="1">IF(G90=0,"",COUNTIF($G$6:$G90,"&gt;0"))</f>
        <v/>
      </c>
      <c r="D90" s="487" t="s">
        <v>2972</v>
      </c>
      <c r="E90" s="490" t="s">
        <v>2971</v>
      </c>
      <c r="F90" s="413" t="s">
        <v>774</v>
      </c>
      <c r="G90" s="476">
        <f t="shared" ca="1" si="0"/>
        <v>0</v>
      </c>
      <c r="H90" s="477" t="s">
        <v>3403</v>
      </c>
      <c r="I90" s="478">
        <f>I88*2</f>
        <v>0.188</v>
      </c>
      <c r="J90" s="479">
        <v>0.45</v>
      </c>
      <c r="K90" s="480">
        <f t="shared" ca="1" si="73"/>
        <v>0</v>
      </c>
      <c r="L90" s="477" t="s">
        <v>3403</v>
      </c>
      <c r="M90" s="478">
        <f t="shared" si="61"/>
        <v>0.188</v>
      </c>
      <c r="N90" s="479">
        <v>0.55000000000000004</v>
      </c>
      <c r="O90" s="481">
        <f t="shared" si="37"/>
        <v>21832.383600000001</v>
      </c>
      <c r="P90" s="481">
        <f t="shared" si="38"/>
        <v>26684.024400000002</v>
      </c>
      <c r="Q90" s="481">
        <f t="shared" ca="1" si="6"/>
        <v>0</v>
      </c>
      <c r="R90" s="471">
        <f t="shared" ca="1" si="74"/>
        <v>0</v>
      </c>
    </row>
    <row r="91" spans="2:18">
      <c r="B91" s="361" t="s">
        <v>3969</v>
      </c>
      <c r="C91" s="472" t="str">
        <f ca="1">IF(G91=0,"",COUNTIF($G$6:$G91,"&gt;0"))</f>
        <v/>
      </c>
      <c r="D91" s="489" t="s">
        <v>3556</v>
      </c>
      <c r="E91" s="488" t="s">
        <v>3522</v>
      </c>
      <c r="F91" s="413" t="s">
        <v>9</v>
      </c>
      <c r="G91" s="476">
        <f t="shared" ca="1" si="0"/>
        <v>0</v>
      </c>
      <c r="H91" s="477" t="s">
        <v>3404</v>
      </c>
      <c r="I91" s="478">
        <v>1.98</v>
      </c>
      <c r="J91" s="479">
        <v>0.45</v>
      </c>
      <c r="K91" s="480">
        <f t="shared" ref="K91:K96" ca="1" si="75">G91</f>
        <v>0</v>
      </c>
      <c r="L91" s="477" t="s">
        <v>3404</v>
      </c>
      <c r="M91" s="478">
        <f t="shared" si="61"/>
        <v>1.98</v>
      </c>
      <c r="N91" s="479">
        <v>0.55000000000000004</v>
      </c>
      <c r="O91" s="481">
        <f t="shared" si="37"/>
        <v>229936.80600000001</v>
      </c>
      <c r="P91" s="481">
        <f t="shared" si="38"/>
        <v>281033.87400000001</v>
      </c>
      <c r="Q91" s="481">
        <f t="shared" ca="1" si="6"/>
        <v>0</v>
      </c>
      <c r="R91" s="471">
        <f t="shared" ref="R91:R114" ca="1" si="76">IF(G91&lt;&gt;0,1,0)</f>
        <v>0</v>
      </c>
    </row>
    <row r="92" spans="2:18">
      <c r="B92" s="361" t="s">
        <v>3970</v>
      </c>
      <c r="C92" s="472" t="str">
        <f ca="1">IF(G92=0,"",COUNTIF($G$6:$G92,"&gt;0"))</f>
        <v/>
      </c>
      <c r="D92" s="489" t="s">
        <v>3557</v>
      </c>
      <c r="E92" s="488" t="s">
        <v>3523</v>
      </c>
      <c r="F92" s="413" t="s">
        <v>9</v>
      </c>
      <c r="G92" s="476">
        <f t="shared" ca="1" si="0"/>
        <v>0</v>
      </c>
      <c r="H92" s="477" t="s">
        <v>3404</v>
      </c>
      <c r="I92" s="478">
        <v>2.52</v>
      </c>
      <c r="J92" s="479">
        <v>0.45</v>
      </c>
      <c r="K92" s="480">
        <f t="shared" ca="1" si="75"/>
        <v>0</v>
      </c>
      <c r="L92" s="477" t="s">
        <v>3404</v>
      </c>
      <c r="M92" s="478">
        <f t="shared" si="61"/>
        <v>2.52</v>
      </c>
      <c r="N92" s="479">
        <v>0.55000000000000004</v>
      </c>
      <c r="O92" s="481">
        <f t="shared" si="37"/>
        <v>292646.84399999998</v>
      </c>
      <c r="P92" s="481">
        <f t="shared" si="38"/>
        <v>357679.47600000002</v>
      </c>
      <c r="Q92" s="481">
        <f t="shared" ca="1" si="6"/>
        <v>0</v>
      </c>
      <c r="R92" s="471">
        <f t="shared" ca="1" si="76"/>
        <v>0</v>
      </c>
    </row>
    <row r="93" spans="2:18">
      <c r="B93" s="361" t="s">
        <v>3971</v>
      </c>
      <c r="C93" s="472" t="str">
        <f ca="1">IF(G93=0,"",COUNTIF($G$6:$G93,"&gt;0"))</f>
        <v/>
      </c>
      <c r="D93" s="489" t="s">
        <v>3558</v>
      </c>
      <c r="E93" s="488" t="s">
        <v>3524</v>
      </c>
      <c r="F93" s="413" t="s">
        <v>9</v>
      </c>
      <c r="G93" s="476">
        <f t="shared" ca="1" si="0"/>
        <v>0</v>
      </c>
      <c r="H93" s="477" t="s">
        <v>3404</v>
      </c>
      <c r="I93" s="478">
        <v>3.42</v>
      </c>
      <c r="J93" s="479">
        <v>0.45</v>
      </c>
      <c r="K93" s="480">
        <f t="shared" ca="1" si="75"/>
        <v>0</v>
      </c>
      <c r="L93" s="477" t="s">
        <v>3404</v>
      </c>
      <c r="M93" s="478">
        <f t="shared" si="61"/>
        <v>3.42</v>
      </c>
      <c r="N93" s="479">
        <v>0.55000000000000004</v>
      </c>
      <c r="O93" s="481">
        <f t="shared" si="37"/>
        <v>397163.57400000002</v>
      </c>
      <c r="P93" s="481">
        <f t="shared" si="38"/>
        <v>485422.14600000001</v>
      </c>
      <c r="Q93" s="481">
        <f t="shared" ca="1" si="6"/>
        <v>0</v>
      </c>
      <c r="R93" s="471">
        <f t="shared" ca="1" si="76"/>
        <v>0</v>
      </c>
    </row>
    <row r="94" spans="2:18">
      <c r="B94" s="361" t="s">
        <v>3972</v>
      </c>
      <c r="C94" s="472">
        <f ca="1">IF(G94=0,"",COUNTIF($G$6:$G94,"&gt;0"))</f>
        <v>14</v>
      </c>
      <c r="D94" s="489" t="s">
        <v>3559</v>
      </c>
      <c r="E94" s="488" t="s">
        <v>3526</v>
      </c>
      <c r="F94" s="413" t="s">
        <v>9</v>
      </c>
      <c r="G94" s="476">
        <f t="shared" ca="1" si="0"/>
        <v>1</v>
      </c>
      <c r="H94" s="477" t="s">
        <v>3404</v>
      </c>
      <c r="I94" s="478">
        <v>4.5</v>
      </c>
      <c r="J94" s="479">
        <v>0.45</v>
      </c>
      <c r="K94" s="480">
        <f t="shared" ca="1" si="75"/>
        <v>1</v>
      </c>
      <c r="L94" s="477" t="s">
        <v>3404</v>
      </c>
      <c r="M94" s="478">
        <f t="shared" si="61"/>
        <v>4.5</v>
      </c>
      <c r="N94" s="479">
        <v>0.55000000000000004</v>
      </c>
      <c r="O94" s="481">
        <f t="shared" si="37"/>
        <v>522583.65</v>
      </c>
      <c r="P94" s="481">
        <f t="shared" si="38"/>
        <v>638713.35000000009</v>
      </c>
      <c r="Q94" s="481">
        <f t="shared" ca="1" si="6"/>
        <v>1161297</v>
      </c>
      <c r="R94" s="471">
        <f t="shared" ca="1" si="76"/>
        <v>1</v>
      </c>
    </row>
    <row r="95" spans="2:18">
      <c r="B95" s="361" t="s">
        <v>3973</v>
      </c>
      <c r="C95" s="472" t="str">
        <f ca="1">IF(G95=0,"",COUNTIF($G$6:$G95,"&gt;0"))</f>
        <v/>
      </c>
      <c r="D95" s="489" t="s">
        <v>3560</v>
      </c>
      <c r="E95" s="488" t="s">
        <v>3527</v>
      </c>
      <c r="F95" s="413" t="s">
        <v>9</v>
      </c>
      <c r="G95" s="476">
        <f t="shared" ca="1" si="0"/>
        <v>0</v>
      </c>
      <c r="H95" s="477" t="s">
        <v>3404</v>
      </c>
      <c r="I95" s="478">
        <v>6.3</v>
      </c>
      <c r="J95" s="479">
        <v>0.45</v>
      </c>
      <c r="K95" s="480">
        <f t="shared" ca="1" si="75"/>
        <v>0</v>
      </c>
      <c r="L95" s="477" t="s">
        <v>3404</v>
      </c>
      <c r="M95" s="478">
        <f t="shared" si="61"/>
        <v>6.3</v>
      </c>
      <c r="N95" s="479">
        <v>0.55000000000000004</v>
      </c>
      <c r="O95" s="481">
        <f t="shared" si="37"/>
        <v>731617.11</v>
      </c>
      <c r="P95" s="481">
        <f t="shared" si="38"/>
        <v>894198.69000000006</v>
      </c>
      <c r="Q95" s="481">
        <f t="shared" ca="1" si="6"/>
        <v>0</v>
      </c>
      <c r="R95" s="471">
        <f t="shared" ca="1" si="76"/>
        <v>0</v>
      </c>
    </row>
    <row r="96" spans="2:18">
      <c r="B96" s="361" t="s">
        <v>3974</v>
      </c>
      <c r="C96" s="472" t="str">
        <f ca="1">IF(G96=0,"",COUNTIF($G$6:$G96,"&gt;0"))</f>
        <v/>
      </c>
      <c r="D96" s="489" t="s">
        <v>3561</v>
      </c>
      <c r="E96" s="488" t="s">
        <v>3528</v>
      </c>
      <c r="F96" s="413" t="s">
        <v>9</v>
      </c>
      <c r="G96" s="476">
        <f t="shared" ref="G96:G114" ca="1" si="77">SUMIF(maBK,B96,tongBK1)</f>
        <v>0</v>
      </c>
      <c r="H96" s="477" t="s">
        <v>3404</v>
      </c>
      <c r="I96" s="478">
        <v>7.2</v>
      </c>
      <c r="J96" s="479">
        <v>0.45</v>
      </c>
      <c r="K96" s="480">
        <f t="shared" ca="1" si="75"/>
        <v>0</v>
      </c>
      <c r="L96" s="477" t="s">
        <v>3404</v>
      </c>
      <c r="M96" s="478">
        <f t="shared" si="61"/>
        <v>7.2</v>
      </c>
      <c r="N96" s="479">
        <v>0.55000000000000004</v>
      </c>
      <c r="O96" s="481">
        <f t="shared" ref="O96:O114" si="78">VLOOKUP(H96,TIENLUONG,4)*I96*J96</f>
        <v>836133.84</v>
      </c>
      <c r="P96" s="481">
        <f t="shared" ref="P96:P114" si="79">VLOOKUP(L96,TIENLUONG,4)*M96*N96</f>
        <v>1021941.3600000001</v>
      </c>
      <c r="Q96" s="481">
        <f t="shared" ca="1" si="6"/>
        <v>0</v>
      </c>
      <c r="R96" s="471">
        <f t="shared" ca="1" si="76"/>
        <v>0</v>
      </c>
    </row>
    <row r="97" spans="2:18">
      <c r="B97" s="361" t="s">
        <v>3975</v>
      </c>
      <c r="C97" s="472" t="str">
        <f ca="1">IF(G97=0,"",COUNTIF($G$6:$G97,"&gt;0"))</f>
        <v/>
      </c>
      <c r="D97" s="489" t="s">
        <v>3562</v>
      </c>
      <c r="E97" s="488" t="s">
        <v>3529</v>
      </c>
      <c r="F97" s="413" t="s">
        <v>9</v>
      </c>
      <c r="G97" s="476">
        <f t="shared" ca="1" si="77"/>
        <v>0</v>
      </c>
      <c r="H97" s="477" t="s">
        <v>3404</v>
      </c>
      <c r="I97" s="478">
        <v>9</v>
      </c>
      <c r="J97" s="479">
        <v>0.45</v>
      </c>
      <c r="K97" s="480">
        <f t="shared" ref="K97" ca="1" si="80">G97</f>
        <v>0</v>
      </c>
      <c r="L97" s="477" t="s">
        <v>3404</v>
      </c>
      <c r="M97" s="478">
        <f t="shared" ref="M97" si="81">I97</f>
        <v>9</v>
      </c>
      <c r="N97" s="479">
        <v>0.55000000000000004</v>
      </c>
      <c r="O97" s="481">
        <f t="shared" si="78"/>
        <v>1045167.3</v>
      </c>
      <c r="P97" s="481">
        <f t="shared" si="79"/>
        <v>1277426.7000000002</v>
      </c>
      <c r="Q97" s="481">
        <f t="shared" ref="Q97" ca="1" si="82">G97*O97+K97*P97</f>
        <v>0</v>
      </c>
      <c r="R97" s="471">
        <f t="shared" ref="R97" ca="1" si="83">IF(G97&lt;&gt;0,1,0)</f>
        <v>0</v>
      </c>
    </row>
    <row r="98" spans="2:18">
      <c r="B98" s="361" t="s">
        <v>3976</v>
      </c>
      <c r="C98" s="472">
        <f ca="1">IF(G98=0,"",COUNTIF($G$6:$G98,"&gt;0"))</f>
        <v>15</v>
      </c>
      <c r="D98" s="489" t="s">
        <v>3525</v>
      </c>
      <c r="E98" s="488" t="s">
        <v>2973</v>
      </c>
      <c r="F98" s="413" t="s">
        <v>9</v>
      </c>
      <c r="G98" s="476">
        <f t="shared" ca="1" si="77"/>
        <v>3</v>
      </c>
      <c r="H98" s="477" t="s">
        <v>3404</v>
      </c>
      <c r="I98" s="478">
        <f>4.32/3</f>
        <v>1.4400000000000002</v>
      </c>
      <c r="J98" s="479">
        <v>0.45</v>
      </c>
      <c r="K98" s="480">
        <f t="shared" ca="1" si="63"/>
        <v>3</v>
      </c>
      <c r="L98" s="477" t="s">
        <v>3404</v>
      </c>
      <c r="M98" s="478">
        <f t="shared" si="61"/>
        <v>1.4400000000000002</v>
      </c>
      <c r="N98" s="479">
        <v>0.55000000000000004</v>
      </c>
      <c r="O98" s="481">
        <f t="shared" si="78"/>
        <v>167226.76800000001</v>
      </c>
      <c r="P98" s="481">
        <f t="shared" si="79"/>
        <v>204388.27200000003</v>
      </c>
      <c r="Q98" s="481">
        <f t="shared" ref="Q98:Q114" ca="1" si="84">G98*O98+K98*P98</f>
        <v>1114845.1200000001</v>
      </c>
      <c r="R98" s="471">
        <f t="shared" ca="1" si="76"/>
        <v>1</v>
      </c>
    </row>
    <row r="99" spans="2:18">
      <c r="B99" s="361" t="s">
        <v>3977</v>
      </c>
      <c r="C99" s="472" t="str">
        <f ca="1">IF(G99=0,"",COUNTIF($G$6:$G99,"&gt;0"))</f>
        <v/>
      </c>
      <c r="D99" s="475" t="s">
        <v>2748</v>
      </c>
      <c r="E99" s="488" t="s">
        <v>2749</v>
      </c>
      <c r="F99" s="413" t="s">
        <v>9</v>
      </c>
      <c r="G99" s="476">
        <f t="shared" ca="1" si="77"/>
        <v>0</v>
      </c>
      <c r="H99" s="477" t="s">
        <v>3404</v>
      </c>
      <c r="I99" s="478">
        <v>2</v>
      </c>
      <c r="J99" s="479">
        <v>0.45</v>
      </c>
      <c r="K99" s="480">
        <f t="shared" ca="1" si="63"/>
        <v>0</v>
      </c>
      <c r="L99" s="477" t="s">
        <v>3404</v>
      </c>
      <c r="M99" s="478">
        <f t="shared" ref="M99:M114" si="85">I99</f>
        <v>2</v>
      </c>
      <c r="N99" s="479">
        <v>0.55000000000000004</v>
      </c>
      <c r="O99" s="481">
        <f t="shared" si="78"/>
        <v>232259.4</v>
      </c>
      <c r="P99" s="481">
        <f t="shared" si="79"/>
        <v>283872.60000000003</v>
      </c>
      <c r="Q99" s="481">
        <f t="shared" ca="1" si="84"/>
        <v>0</v>
      </c>
      <c r="R99" s="471">
        <f t="shared" ca="1" si="76"/>
        <v>0</v>
      </c>
    </row>
    <row r="100" spans="2:18">
      <c r="B100" s="361" t="s">
        <v>3978</v>
      </c>
      <c r="C100" s="472" t="str">
        <f ca="1">IF(G100=0,"",COUNTIF($G$6:$G100,"&gt;0"))</f>
        <v/>
      </c>
      <c r="D100" s="483" t="s">
        <v>3555</v>
      </c>
      <c r="E100" s="488" t="s">
        <v>2974</v>
      </c>
      <c r="F100" s="413" t="s">
        <v>9</v>
      </c>
      <c r="G100" s="476">
        <f t="shared" ca="1" si="77"/>
        <v>0</v>
      </c>
      <c r="H100" s="477" t="s">
        <v>3404</v>
      </c>
      <c r="I100" s="478">
        <f>2.7/3</f>
        <v>0.9</v>
      </c>
      <c r="J100" s="479">
        <v>0.45</v>
      </c>
      <c r="K100" s="480">
        <f t="shared" ca="1" si="63"/>
        <v>0</v>
      </c>
      <c r="L100" s="477" t="s">
        <v>3403</v>
      </c>
      <c r="M100" s="478">
        <f t="shared" si="85"/>
        <v>0.9</v>
      </c>
      <c r="N100" s="479">
        <v>0.55000000000000004</v>
      </c>
      <c r="O100" s="481">
        <f t="shared" si="78"/>
        <v>104516.73</v>
      </c>
      <c r="P100" s="481">
        <f t="shared" si="79"/>
        <v>127742.67000000001</v>
      </c>
      <c r="Q100" s="481">
        <f t="shared" ca="1" si="84"/>
        <v>0</v>
      </c>
      <c r="R100" s="471">
        <f t="shared" ca="1" si="76"/>
        <v>0</v>
      </c>
    </row>
    <row r="101" spans="2:18">
      <c r="B101" s="361" t="s">
        <v>3979</v>
      </c>
      <c r="C101" s="472" t="str">
        <f ca="1">IF(G101=0,"",COUNTIF($G$6:$G101,"&gt;0"))</f>
        <v/>
      </c>
      <c r="D101" s="475" t="s">
        <v>2751</v>
      </c>
      <c r="E101" s="488" t="s">
        <v>2752</v>
      </c>
      <c r="F101" s="413" t="s">
        <v>9</v>
      </c>
      <c r="G101" s="476">
        <f t="shared" ca="1" si="77"/>
        <v>0</v>
      </c>
      <c r="H101" s="477" t="s">
        <v>3404</v>
      </c>
      <c r="I101" s="478">
        <v>3.7120000000000002</v>
      </c>
      <c r="J101" s="479">
        <v>0.45</v>
      </c>
      <c r="K101" s="480">
        <f t="shared" ca="1" si="63"/>
        <v>0</v>
      </c>
      <c r="L101" s="477" t="s">
        <v>3404</v>
      </c>
      <c r="M101" s="478">
        <f t="shared" si="85"/>
        <v>3.7120000000000002</v>
      </c>
      <c r="N101" s="479">
        <v>0.55000000000000004</v>
      </c>
      <c r="O101" s="481">
        <f t="shared" si="78"/>
        <v>431073.44640000007</v>
      </c>
      <c r="P101" s="481">
        <f t="shared" si="79"/>
        <v>526867.54560000007</v>
      </c>
      <c r="Q101" s="481">
        <f t="shared" ca="1" si="84"/>
        <v>0</v>
      </c>
      <c r="R101" s="471">
        <f t="shared" ca="1" si="76"/>
        <v>0</v>
      </c>
    </row>
    <row r="102" spans="2:18">
      <c r="B102" s="361" t="s">
        <v>3980</v>
      </c>
      <c r="C102" s="472" t="str">
        <f ca="1">IF(G102=0,"",COUNTIF($G$6:$G102,"&gt;0"))</f>
        <v/>
      </c>
      <c r="D102" s="487">
        <v>51104</v>
      </c>
      <c r="E102" s="488" t="s">
        <v>2753</v>
      </c>
      <c r="F102" s="413" t="s">
        <v>37</v>
      </c>
      <c r="G102" s="476">
        <f t="shared" ca="1" si="77"/>
        <v>0</v>
      </c>
      <c r="H102" s="477" t="s">
        <v>3404</v>
      </c>
      <c r="I102" s="478">
        <v>5</v>
      </c>
      <c r="J102" s="479">
        <v>0.45</v>
      </c>
      <c r="K102" s="480">
        <f t="shared" ca="1" si="63"/>
        <v>0</v>
      </c>
      <c r="L102" s="477" t="s">
        <v>3404</v>
      </c>
      <c r="M102" s="478">
        <f t="shared" si="85"/>
        <v>5</v>
      </c>
      <c r="N102" s="479">
        <v>0.55000000000000004</v>
      </c>
      <c r="O102" s="481">
        <f t="shared" si="78"/>
        <v>580648.5</v>
      </c>
      <c r="P102" s="481">
        <f t="shared" si="79"/>
        <v>709681.5</v>
      </c>
      <c r="Q102" s="481">
        <f t="shared" ca="1" si="84"/>
        <v>0</v>
      </c>
      <c r="R102" s="471">
        <f t="shared" ca="1" si="76"/>
        <v>0</v>
      </c>
    </row>
    <row r="103" spans="2:18">
      <c r="B103" s="361" t="s">
        <v>3981</v>
      </c>
      <c r="C103" s="472" t="str">
        <f ca="1">IF(G103=0,"",COUNTIF($G$6:$G103,"&gt;0"))</f>
        <v/>
      </c>
      <c r="D103" s="487" t="s">
        <v>2754</v>
      </c>
      <c r="E103" s="488" t="s">
        <v>2755</v>
      </c>
      <c r="F103" s="413" t="s">
        <v>37</v>
      </c>
      <c r="G103" s="476">
        <f t="shared" ca="1" si="77"/>
        <v>0</v>
      </c>
      <c r="H103" s="477" t="s">
        <v>3404</v>
      </c>
      <c r="I103" s="478">
        <v>14</v>
      </c>
      <c r="J103" s="479">
        <v>0.45</v>
      </c>
      <c r="K103" s="480">
        <f t="shared" ca="1" si="63"/>
        <v>0</v>
      </c>
      <c r="L103" s="477" t="s">
        <v>3404</v>
      </c>
      <c r="M103" s="478">
        <f t="shared" si="85"/>
        <v>14</v>
      </c>
      <c r="N103" s="479">
        <v>0.55000000000000004</v>
      </c>
      <c r="O103" s="481">
        <f t="shared" si="78"/>
        <v>1625815.8</v>
      </c>
      <c r="P103" s="481">
        <f t="shared" si="79"/>
        <v>1987108.2000000002</v>
      </c>
      <c r="Q103" s="481">
        <f t="shared" ca="1" si="84"/>
        <v>0</v>
      </c>
      <c r="R103" s="471">
        <f t="shared" ca="1" si="76"/>
        <v>0</v>
      </c>
    </row>
    <row r="104" spans="2:18">
      <c r="B104" s="361" t="s">
        <v>3982</v>
      </c>
      <c r="C104" s="472" t="str">
        <f ca="1">IF(G104=0,"",COUNTIF($G$6:$G104,"&gt;0"))</f>
        <v/>
      </c>
      <c r="D104" s="475" t="s">
        <v>2742</v>
      </c>
      <c r="E104" s="488" t="s">
        <v>2756</v>
      </c>
      <c r="F104" s="413" t="s">
        <v>163</v>
      </c>
      <c r="G104" s="476">
        <f t="shared" ca="1" si="77"/>
        <v>0</v>
      </c>
      <c r="H104" s="477" t="s">
        <v>3404</v>
      </c>
      <c r="I104" s="478">
        <v>1.1200000000000001</v>
      </c>
      <c r="J104" s="479">
        <v>0.45</v>
      </c>
      <c r="K104" s="480">
        <f t="shared" ca="1" si="63"/>
        <v>0</v>
      </c>
      <c r="L104" s="477" t="s">
        <v>3404</v>
      </c>
      <c r="M104" s="478">
        <f t="shared" si="85"/>
        <v>1.1200000000000001</v>
      </c>
      <c r="N104" s="479">
        <v>0.55000000000000004</v>
      </c>
      <c r="O104" s="481">
        <f t="shared" si="78"/>
        <v>130065.26400000002</v>
      </c>
      <c r="P104" s="481">
        <f t="shared" si="79"/>
        <v>158968.65600000005</v>
      </c>
      <c r="Q104" s="481">
        <f t="shared" ca="1" si="84"/>
        <v>0</v>
      </c>
      <c r="R104" s="471">
        <f t="shared" ca="1" si="76"/>
        <v>0</v>
      </c>
    </row>
    <row r="105" spans="2:18">
      <c r="B105" s="361" t="s">
        <v>3983</v>
      </c>
      <c r="C105" s="472" t="str">
        <f ca="1">IF(G105=0,"",COUNTIF($G$6:$G105,"&gt;0"))</f>
        <v/>
      </c>
      <c r="D105" s="483" t="s">
        <v>3552</v>
      </c>
      <c r="E105" s="488" t="s">
        <v>3551</v>
      </c>
      <c r="F105" s="413" t="s">
        <v>3553</v>
      </c>
      <c r="G105" s="476">
        <f t="shared" ca="1" si="77"/>
        <v>0</v>
      </c>
      <c r="H105" s="477" t="s">
        <v>3404</v>
      </c>
      <c r="I105" s="478">
        <v>1.1200000000000001</v>
      </c>
      <c r="J105" s="479">
        <v>0.4</v>
      </c>
      <c r="K105" s="480">
        <f t="shared" ca="1" si="63"/>
        <v>0</v>
      </c>
      <c r="L105" s="477" t="s">
        <v>3404</v>
      </c>
      <c r="M105" s="478">
        <f t="shared" si="85"/>
        <v>1.1200000000000001</v>
      </c>
      <c r="N105" s="479">
        <v>0.6</v>
      </c>
      <c r="O105" s="481">
        <f t="shared" si="78"/>
        <v>115613.56800000003</v>
      </c>
      <c r="P105" s="481">
        <f t="shared" si="79"/>
        <v>173420.35200000001</v>
      </c>
      <c r="Q105" s="481">
        <f t="shared" ca="1" si="84"/>
        <v>0</v>
      </c>
      <c r="R105" s="471">
        <f t="shared" ca="1" si="76"/>
        <v>0</v>
      </c>
    </row>
    <row r="106" spans="2:18">
      <c r="B106" s="361" t="s">
        <v>4735</v>
      </c>
      <c r="C106" s="472">
        <f ca="1">IF(G106=0,"",COUNTIF($G$6:$G106,"&gt;0"))</f>
        <v>16</v>
      </c>
      <c r="D106" s="483" t="s">
        <v>4737</v>
      </c>
      <c r="E106" s="493" t="s">
        <v>4736</v>
      </c>
      <c r="F106" s="492" t="s">
        <v>9</v>
      </c>
      <c r="G106" s="476">
        <f t="shared" ca="1" si="77"/>
        <v>1</v>
      </c>
      <c r="H106" s="477" t="s">
        <v>3405</v>
      </c>
      <c r="I106" s="478">
        <f>4.608*1.3</f>
        <v>5.9904000000000002</v>
      </c>
      <c r="J106" s="479">
        <v>0.4</v>
      </c>
      <c r="K106" s="492"/>
      <c r="L106" s="477" t="str">
        <f>H106</f>
        <v>NC2.45</v>
      </c>
      <c r="M106" s="478">
        <f>I106</f>
        <v>5.9904000000000002</v>
      </c>
      <c r="N106" s="479">
        <v>0.6</v>
      </c>
      <c r="O106" s="481">
        <f t="shared" si="78"/>
        <v>618367.42656000005</v>
      </c>
      <c r="P106" s="481">
        <f t="shared" si="79"/>
        <v>927551.13984000008</v>
      </c>
      <c r="Q106" s="481">
        <f t="shared" ca="1" si="84"/>
        <v>618367.42656000005</v>
      </c>
      <c r="R106" s="471">
        <f t="shared" ca="1" si="76"/>
        <v>1</v>
      </c>
    </row>
    <row r="107" spans="2:18">
      <c r="B107" s="361" t="s">
        <v>3984</v>
      </c>
      <c r="C107" s="472" t="str">
        <f ca="1">IF(G107=0,"",COUNTIF($G$6:$G107,"&gt;0"))</f>
        <v/>
      </c>
      <c r="D107" s="489" t="s">
        <v>3550</v>
      </c>
      <c r="E107" s="491" t="s">
        <v>2758</v>
      </c>
      <c r="F107" s="492" t="s">
        <v>3549</v>
      </c>
      <c r="G107" s="476">
        <f t="shared" ca="1" si="77"/>
        <v>0</v>
      </c>
      <c r="H107" s="477" t="s">
        <v>3404</v>
      </c>
      <c r="I107" s="478">
        <v>3.4380000000000002</v>
      </c>
      <c r="J107" s="479">
        <v>0.45</v>
      </c>
      <c r="K107" s="480">
        <f t="shared" ca="1" si="63"/>
        <v>0</v>
      </c>
      <c r="L107" s="477" t="s">
        <v>3404</v>
      </c>
      <c r="M107" s="478">
        <f t="shared" si="85"/>
        <v>3.4380000000000002</v>
      </c>
      <c r="N107" s="479">
        <v>0.55000000000000004</v>
      </c>
      <c r="O107" s="481">
        <f t="shared" si="78"/>
        <v>399253.90860000002</v>
      </c>
      <c r="P107" s="481">
        <f t="shared" si="79"/>
        <v>487976.99940000009</v>
      </c>
      <c r="Q107" s="481">
        <f t="shared" ca="1" si="84"/>
        <v>0</v>
      </c>
      <c r="R107" s="471">
        <f t="shared" ca="1" si="76"/>
        <v>0</v>
      </c>
    </row>
    <row r="108" spans="2:18">
      <c r="B108" s="361" t="s">
        <v>3985</v>
      </c>
      <c r="C108" s="472" t="str">
        <f ca="1">IF(G108=0,"",COUNTIF($G$6:$G108,"&gt;0"))</f>
        <v/>
      </c>
      <c r="D108" s="483" t="s">
        <v>3521</v>
      </c>
      <c r="E108" s="493" t="s">
        <v>3554</v>
      </c>
      <c r="F108" s="492" t="s">
        <v>9</v>
      </c>
      <c r="G108" s="476">
        <f t="shared" ca="1" si="77"/>
        <v>0</v>
      </c>
      <c r="H108" s="477" t="s">
        <v>3403</v>
      </c>
      <c r="I108" s="478">
        <f>0.944*1.5</f>
        <v>1.4159999999999999</v>
      </c>
      <c r="J108" s="479">
        <v>0.4</v>
      </c>
      <c r="K108" s="480">
        <f t="shared" ca="1" si="63"/>
        <v>0</v>
      </c>
      <c r="L108" s="477" t="s">
        <v>3404</v>
      </c>
      <c r="M108" s="478">
        <f t="shared" si="85"/>
        <v>1.4159999999999999</v>
      </c>
      <c r="N108" s="479">
        <v>0.6</v>
      </c>
      <c r="O108" s="481">
        <f t="shared" si="78"/>
        <v>146168.58240000001</v>
      </c>
      <c r="P108" s="481">
        <f t="shared" si="79"/>
        <v>219252.87359999999</v>
      </c>
      <c r="Q108" s="481">
        <f t="shared" ca="1" si="84"/>
        <v>0</v>
      </c>
      <c r="R108" s="471">
        <f t="shared" ca="1" si="76"/>
        <v>0</v>
      </c>
    </row>
    <row r="109" spans="2:18">
      <c r="B109" s="361" t="s">
        <v>3986</v>
      </c>
      <c r="C109" s="472" t="str">
        <f ca="1">IF(G109=0,"",COUNTIF($G$6:$G109,"&gt;0"))</f>
        <v/>
      </c>
      <c r="D109" s="483" t="s">
        <v>3530</v>
      </c>
      <c r="E109" s="493" t="s">
        <v>3531</v>
      </c>
      <c r="F109" s="492" t="s">
        <v>9</v>
      </c>
      <c r="G109" s="476">
        <f t="shared" ca="1" si="77"/>
        <v>0</v>
      </c>
      <c r="H109" s="477" t="s">
        <v>3404</v>
      </c>
      <c r="I109" s="478">
        <v>0.63</v>
      </c>
      <c r="J109" s="479">
        <v>0.45</v>
      </c>
      <c r="K109" s="480">
        <f t="shared" ref="K109" ca="1" si="86">G109</f>
        <v>0</v>
      </c>
      <c r="L109" s="477" t="s">
        <v>3404</v>
      </c>
      <c r="M109" s="478">
        <f t="shared" ref="M109" si="87">I109</f>
        <v>0.63</v>
      </c>
      <c r="N109" s="479">
        <v>0.6</v>
      </c>
      <c r="O109" s="481">
        <f t="shared" si="78"/>
        <v>73161.710999999996</v>
      </c>
      <c r="P109" s="481">
        <f t="shared" si="79"/>
        <v>97548.947999999989</v>
      </c>
      <c r="Q109" s="481">
        <f t="shared" ref="Q109" ca="1" si="88">G109*O109+K109*P109</f>
        <v>0</v>
      </c>
      <c r="R109" s="471">
        <f t="shared" ref="R109" ca="1" si="89">IF(G109&lt;&gt;0,1,0)</f>
        <v>0</v>
      </c>
    </row>
    <row r="110" spans="2:18">
      <c r="B110" s="361" t="s">
        <v>3987</v>
      </c>
      <c r="C110" s="472" t="str">
        <f ca="1">IF(G110=0,"",COUNTIF($G$6:$G110,"&gt;0"))</f>
        <v/>
      </c>
      <c r="D110" s="483" t="s">
        <v>4705</v>
      </c>
      <c r="E110" s="494" t="s">
        <v>2762</v>
      </c>
      <c r="F110" s="492" t="s">
        <v>163</v>
      </c>
      <c r="G110" s="476">
        <f t="shared" ca="1" si="77"/>
        <v>0</v>
      </c>
      <c r="H110" s="477" t="s">
        <v>3404</v>
      </c>
      <c r="I110" s="478">
        <f>1.26</f>
        <v>1.26</v>
      </c>
      <c r="J110" s="479">
        <v>0.5</v>
      </c>
      <c r="K110" s="480">
        <f t="shared" ca="1" si="63"/>
        <v>0</v>
      </c>
      <c r="L110" s="477" t="s">
        <v>3403</v>
      </c>
      <c r="M110" s="478">
        <v>0.126</v>
      </c>
      <c r="N110" s="479">
        <f>J110</f>
        <v>0.5</v>
      </c>
      <c r="O110" s="481">
        <f t="shared" si="78"/>
        <v>162581.57999999999</v>
      </c>
      <c r="P110" s="481">
        <f t="shared" si="79"/>
        <v>16258.157999999999</v>
      </c>
      <c r="Q110" s="481">
        <f t="shared" ca="1" si="84"/>
        <v>0</v>
      </c>
      <c r="R110" s="471">
        <f t="shared" ca="1" si="76"/>
        <v>0</v>
      </c>
    </row>
    <row r="111" spans="2:18">
      <c r="B111" s="361" t="s">
        <v>3988</v>
      </c>
      <c r="C111" s="472" t="str">
        <f ca="1">IF(G111=0,"",COUNTIF($G$6:$G111,"&gt;0"))</f>
        <v/>
      </c>
      <c r="D111" s="483" t="s">
        <v>4705</v>
      </c>
      <c r="E111" s="494" t="s">
        <v>2763</v>
      </c>
      <c r="F111" s="492" t="s">
        <v>163</v>
      </c>
      <c r="G111" s="476">
        <f t="shared" ca="1" si="77"/>
        <v>0</v>
      </c>
      <c r="H111" s="477" t="s">
        <v>3404</v>
      </c>
      <c r="I111" s="478">
        <f t="shared" ref="I111:I112" si="90">1.26</f>
        <v>1.26</v>
      </c>
      <c r="J111" s="479">
        <v>0.5</v>
      </c>
      <c r="K111" s="480">
        <f t="shared" ca="1" si="63"/>
        <v>0</v>
      </c>
      <c r="L111" s="477" t="s">
        <v>3403</v>
      </c>
      <c r="M111" s="478">
        <v>0.70199999999999996</v>
      </c>
      <c r="N111" s="479">
        <f t="shared" ref="N111:N112" si="91">J111</f>
        <v>0.5</v>
      </c>
      <c r="O111" s="481">
        <f t="shared" si="78"/>
        <v>162581.57999999999</v>
      </c>
      <c r="P111" s="481">
        <f t="shared" si="79"/>
        <v>90581.165999999997</v>
      </c>
      <c r="Q111" s="481">
        <f t="shared" ca="1" si="84"/>
        <v>0</v>
      </c>
      <c r="R111" s="471">
        <f t="shared" ca="1" si="76"/>
        <v>0</v>
      </c>
    </row>
    <row r="112" spans="2:18">
      <c r="B112" s="361" t="s">
        <v>3989</v>
      </c>
      <c r="C112" s="472" t="str">
        <f ca="1">IF(G112=0,"",COUNTIF($G$6:$G112,"&gt;0"))</f>
        <v/>
      </c>
      <c r="D112" s="483" t="s">
        <v>4705</v>
      </c>
      <c r="E112" s="493" t="s">
        <v>2764</v>
      </c>
      <c r="F112" s="492" t="s">
        <v>37</v>
      </c>
      <c r="G112" s="476">
        <f t="shared" ca="1" si="77"/>
        <v>0</v>
      </c>
      <c r="H112" s="477" t="s">
        <v>3404</v>
      </c>
      <c r="I112" s="478">
        <f t="shared" si="90"/>
        <v>1.26</v>
      </c>
      <c r="J112" s="479">
        <v>0.5</v>
      </c>
      <c r="K112" s="480">
        <f t="shared" ca="1" si="63"/>
        <v>0</v>
      </c>
      <c r="L112" s="477" t="s">
        <v>3403</v>
      </c>
      <c r="M112" s="478">
        <v>0.99</v>
      </c>
      <c r="N112" s="479">
        <f t="shared" si="91"/>
        <v>0.5</v>
      </c>
      <c r="O112" s="481">
        <f t="shared" si="78"/>
        <v>162581.57999999999</v>
      </c>
      <c r="P112" s="481">
        <f t="shared" si="79"/>
        <v>127742.67</v>
      </c>
      <c r="Q112" s="481">
        <f t="shared" ca="1" si="84"/>
        <v>0</v>
      </c>
      <c r="R112" s="471">
        <f t="shared" ca="1" si="76"/>
        <v>0</v>
      </c>
    </row>
    <row r="113" spans="1:18">
      <c r="B113" s="361" t="s">
        <v>3990</v>
      </c>
      <c r="C113" s="472" t="str">
        <f ca="1">IF(G113=0,"",COUNTIF($G$6:$G113,"&gt;0"))</f>
        <v/>
      </c>
      <c r="D113" s="475" t="s">
        <v>2739</v>
      </c>
      <c r="E113" s="491" t="s">
        <v>2766</v>
      </c>
      <c r="F113" s="413" t="s">
        <v>1265</v>
      </c>
      <c r="G113" s="476">
        <f t="shared" ca="1" si="77"/>
        <v>0</v>
      </c>
      <c r="H113" s="477" t="s">
        <v>3404</v>
      </c>
      <c r="I113" s="478">
        <v>10.42</v>
      </c>
      <c r="J113" s="479">
        <v>0.45</v>
      </c>
      <c r="K113" s="480">
        <f t="shared" ca="1" si="63"/>
        <v>0</v>
      </c>
      <c r="L113" s="477" t="s">
        <v>3404</v>
      </c>
      <c r="M113" s="478">
        <f t="shared" si="85"/>
        <v>10.42</v>
      </c>
      <c r="N113" s="479">
        <v>0.55000000000000004</v>
      </c>
      <c r="O113" s="481">
        <f t="shared" si="78"/>
        <v>1210071.4740000002</v>
      </c>
      <c r="P113" s="481">
        <f t="shared" si="79"/>
        <v>1478976.2460000003</v>
      </c>
      <c r="Q113" s="481">
        <f t="shared" ca="1" si="84"/>
        <v>0</v>
      </c>
      <c r="R113" s="471">
        <f t="shared" ca="1" si="76"/>
        <v>0</v>
      </c>
    </row>
    <row r="114" spans="1:18">
      <c r="B114" s="361" t="s">
        <v>3991</v>
      </c>
      <c r="C114" s="472" t="str">
        <f ca="1">IF(G114=0,"",COUNTIF($G$6:$G114,"&gt;0"))</f>
        <v/>
      </c>
      <c r="D114" s="483" t="s">
        <v>3460</v>
      </c>
      <c r="E114" s="495" t="s">
        <v>2772</v>
      </c>
      <c r="F114" s="475" t="s">
        <v>37</v>
      </c>
      <c r="G114" s="476">
        <f t="shared" ca="1" si="77"/>
        <v>0</v>
      </c>
      <c r="H114" s="477" t="s">
        <v>3404</v>
      </c>
      <c r="I114" s="478">
        <v>0.81</v>
      </c>
      <c r="J114" s="479">
        <v>0.45</v>
      </c>
      <c r="K114" s="480">
        <f ca="1">G114</f>
        <v>0</v>
      </c>
      <c r="L114" s="477" t="s">
        <v>3404</v>
      </c>
      <c r="M114" s="478">
        <f t="shared" si="85"/>
        <v>0.81</v>
      </c>
      <c r="N114" s="479">
        <v>0.55000000000000004</v>
      </c>
      <c r="O114" s="481">
        <f t="shared" si="78"/>
        <v>94065.057000000015</v>
      </c>
      <c r="P114" s="481">
        <f t="shared" si="79"/>
        <v>114968.40300000002</v>
      </c>
      <c r="Q114" s="481">
        <f t="shared" ca="1" si="84"/>
        <v>0</v>
      </c>
      <c r="R114" s="471">
        <f t="shared" ca="1" si="76"/>
        <v>0</v>
      </c>
    </row>
    <row r="115" spans="1:18">
      <c r="B115" s="361"/>
      <c r="C115" s="496"/>
      <c r="D115" s="497"/>
      <c r="E115" s="389"/>
      <c r="F115" s="498"/>
      <c r="G115" s="499"/>
      <c r="H115" s="500"/>
      <c r="I115" s="501"/>
      <c r="J115" s="502"/>
      <c r="K115" s="503"/>
      <c r="L115" s="500"/>
      <c r="M115" s="501"/>
      <c r="N115" s="502"/>
      <c r="O115" s="504"/>
      <c r="P115" s="504"/>
      <c r="Q115" s="504"/>
      <c r="R115" s="471"/>
    </row>
    <row r="116" spans="1:18">
      <c r="B116" s="361"/>
      <c r="C116" s="396" t="s">
        <v>2677</v>
      </c>
      <c r="D116" s="396" t="s">
        <v>3912</v>
      </c>
      <c r="E116" s="505"/>
      <c r="F116" s="396"/>
      <c r="G116" s="506"/>
      <c r="H116" s="507"/>
      <c r="I116" s="126" t="s">
        <v>2602</v>
      </c>
      <c r="J116" s="508"/>
      <c r="K116" s="507"/>
      <c r="L116" s="507"/>
      <c r="M116" s="509"/>
      <c r="N116" s="508"/>
      <c r="O116" s="510"/>
      <c r="P116" s="510"/>
      <c r="Q116" s="510">
        <f ca="1">SUM(Q73:Q115)</f>
        <v>7317502.7205600012</v>
      </c>
      <c r="R116" s="471">
        <f ca="1">IF(Q116&gt;0,1,0)</f>
        <v>1</v>
      </c>
    </row>
    <row r="117" spans="1:18">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c r="B118" s="361" t="s">
        <v>3992</v>
      </c>
      <c r="C118" s="472" t="str">
        <f ca="1">IF(G118=0,"",COUNTIF($G$118:$G118,"&gt;0"))</f>
        <v/>
      </c>
      <c r="D118" s="827" t="s">
        <v>4691</v>
      </c>
      <c r="E118" s="828" t="s">
        <v>4688</v>
      </c>
      <c r="F118" s="413" t="s">
        <v>4690</v>
      </c>
      <c r="G118" s="476">
        <f t="shared" ref="G118:G148" ca="1" si="92">SUMIF(maBK,B118,tongBK1)</f>
        <v>0</v>
      </c>
      <c r="H118" s="477" t="s">
        <v>3404</v>
      </c>
      <c r="I118" s="484">
        <f>4/20</f>
        <v>0.2</v>
      </c>
      <c r="J118" s="479">
        <v>1</v>
      </c>
      <c r="K118" s="480">
        <f t="shared" ref="K118:K125" ca="1" si="93">G118</f>
        <v>0</v>
      </c>
      <c r="L118" s="477" t="s">
        <v>3404</v>
      </c>
      <c r="M118" s="484">
        <f>I118</f>
        <v>0.2</v>
      </c>
      <c r="N118" s="479">
        <f t="shared" ref="N118" si="94">J118</f>
        <v>1</v>
      </c>
      <c r="O118" s="481">
        <f t="shared" ref="O118:O148" si="95">VLOOKUP(H118,TIENLUONG,4)*I118*J118</f>
        <v>51613.200000000004</v>
      </c>
      <c r="P118" s="481">
        <f t="shared" ref="P118:P148" si="96">VLOOKUP(L118,TIENLUONG,4)*M118*N118</f>
        <v>51613.200000000004</v>
      </c>
      <c r="Q118" s="481">
        <f t="shared" ref="Q118:Q148" ca="1" si="97">G118*O118+K118*P118</f>
        <v>0</v>
      </c>
      <c r="R118" s="471">
        <f t="shared" ref="R118:R148" ca="1" si="98">IF(G118&lt;&gt;0,1,0)</f>
        <v>0</v>
      </c>
    </row>
    <row r="119" spans="1:18">
      <c r="B119" s="361" t="s">
        <v>3993</v>
      </c>
      <c r="C119" s="472" t="str">
        <f ca="1">IF(G119=0,"",COUNTIF($G$118:$G119,"&gt;0"))</f>
        <v/>
      </c>
      <c r="D119" s="827" t="s">
        <v>4695</v>
      </c>
      <c r="E119" s="828" t="s">
        <v>4689</v>
      </c>
      <c r="F119" s="413" t="s">
        <v>4694</v>
      </c>
      <c r="G119" s="476">
        <f t="shared" ca="1" si="92"/>
        <v>0</v>
      </c>
      <c r="H119" s="477" t="s">
        <v>3404</v>
      </c>
      <c r="I119" s="484">
        <f>11/10</f>
        <v>1.1000000000000001</v>
      </c>
      <c r="J119" s="479">
        <v>1</v>
      </c>
      <c r="K119" s="480">
        <f t="shared" ca="1" si="93"/>
        <v>0</v>
      </c>
      <c r="L119" s="477" t="s">
        <v>3404</v>
      </c>
      <c r="M119" s="484">
        <f t="shared" ref="M119:M137" si="99">I119</f>
        <v>1.1000000000000001</v>
      </c>
      <c r="N119" s="479">
        <f t="shared" ref="N119:N138" si="100">J119</f>
        <v>1</v>
      </c>
      <c r="O119" s="481">
        <f t="shared" si="95"/>
        <v>283872.60000000003</v>
      </c>
      <c r="P119" s="481">
        <f t="shared" si="96"/>
        <v>283872.60000000003</v>
      </c>
      <c r="Q119" s="481">
        <f t="shared" ca="1" si="97"/>
        <v>0</v>
      </c>
      <c r="R119" s="471">
        <f t="shared" ca="1" si="98"/>
        <v>0</v>
      </c>
    </row>
    <row r="120" spans="1:18">
      <c r="B120" s="361" t="s">
        <v>3994</v>
      </c>
      <c r="C120" s="472" t="str">
        <f ca="1">IF(G120=0,"",COUNTIF($G$118:$G120,"&gt;0"))</f>
        <v/>
      </c>
      <c r="D120" s="827" t="s">
        <v>4693</v>
      </c>
      <c r="E120" s="828" t="s">
        <v>4692</v>
      </c>
      <c r="F120" s="413" t="s">
        <v>37</v>
      </c>
      <c r="G120" s="476">
        <f t="shared" ca="1" si="92"/>
        <v>0</v>
      </c>
      <c r="H120" s="477" t="s">
        <v>3404</v>
      </c>
      <c r="I120" s="479">
        <v>3.5</v>
      </c>
      <c r="J120" s="479">
        <v>1</v>
      </c>
      <c r="K120" s="480">
        <f t="shared" ca="1" si="93"/>
        <v>0</v>
      </c>
      <c r="L120" s="477" t="s">
        <v>3404</v>
      </c>
      <c r="M120" s="484">
        <f t="shared" si="99"/>
        <v>3.5</v>
      </c>
      <c r="N120" s="479">
        <f t="shared" si="100"/>
        <v>1</v>
      </c>
      <c r="O120" s="481">
        <f t="shared" si="95"/>
        <v>903231</v>
      </c>
      <c r="P120" s="481">
        <f t="shared" si="96"/>
        <v>903231</v>
      </c>
      <c r="Q120" s="481">
        <f t="shared" ca="1" si="97"/>
        <v>0</v>
      </c>
      <c r="R120" s="471">
        <f t="shared" ca="1" si="98"/>
        <v>0</v>
      </c>
    </row>
    <row r="121" spans="1:18">
      <c r="B121" s="361" t="s">
        <v>3995</v>
      </c>
      <c r="C121" s="472" t="str">
        <f ca="1">IF(G121=0,"",COUNTIF($G$118:$G121,"&gt;0"))</f>
        <v/>
      </c>
      <c r="D121" s="827" t="s">
        <v>4696</v>
      </c>
      <c r="E121" s="828" t="s">
        <v>4697</v>
      </c>
      <c r="F121" s="413" t="s">
        <v>774</v>
      </c>
      <c r="G121" s="476">
        <f t="shared" ca="1" si="92"/>
        <v>0</v>
      </c>
      <c r="H121" s="477" t="s">
        <v>3404</v>
      </c>
      <c r="I121" s="484">
        <f>4/40</f>
        <v>0.1</v>
      </c>
      <c r="J121" s="479">
        <v>1</v>
      </c>
      <c r="K121" s="480">
        <f t="shared" ca="1" si="93"/>
        <v>0</v>
      </c>
      <c r="L121" s="477" t="s">
        <v>3404</v>
      </c>
      <c r="M121" s="484">
        <f t="shared" si="99"/>
        <v>0.1</v>
      </c>
      <c r="N121" s="479">
        <f t="shared" si="100"/>
        <v>1</v>
      </c>
      <c r="O121" s="481">
        <f t="shared" si="95"/>
        <v>25806.600000000002</v>
      </c>
      <c r="P121" s="481">
        <f t="shared" si="96"/>
        <v>25806.600000000002</v>
      </c>
      <c r="Q121" s="481">
        <f t="shared" ca="1" si="97"/>
        <v>0</v>
      </c>
      <c r="R121" s="471">
        <f t="shared" ref="R121:R129" ca="1" si="101">IF(G121&lt;&gt;0,1,0)</f>
        <v>0</v>
      </c>
    </row>
    <row r="122" spans="1:18">
      <c r="B122" s="361" t="s">
        <v>3996</v>
      </c>
      <c r="C122" s="472" t="str">
        <f ca="1">IF(G122=0,"",COUNTIF($G$118:$G122,"&gt;0"))</f>
        <v/>
      </c>
      <c r="D122" s="827" t="s">
        <v>4699</v>
      </c>
      <c r="E122" s="828" t="s">
        <v>4698</v>
      </c>
      <c r="F122" s="413" t="s">
        <v>774</v>
      </c>
      <c r="G122" s="476">
        <f t="shared" ca="1" si="92"/>
        <v>0</v>
      </c>
      <c r="H122" s="477" t="s">
        <v>3404</v>
      </c>
      <c r="I122" s="484">
        <v>4</v>
      </c>
      <c r="J122" s="479">
        <v>1</v>
      </c>
      <c r="K122" s="480">
        <f t="shared" ca="1" si="93"/>
        <v>0</v>
      </c>
      <c r="L122" s="477" t="s">
        <v>3404</v>
      </c>
      <c r="M122" s="484">
        <f t="shared" si="99"/>
        <v>4</v>
      </c>
      <c r="N122" s="479">
        <f t="shared" si="100"/>
        <v>1</v>
      </c>
      <c r="O122" s="481">
        <f t="shared" si="95"/>
        <v>1032264</v>
      </c>
      <c r="P122" s="481">
        <f t="shared" si="96"/>
        <v>1032264</v>
      </c>
      <c r="Q122" s="481">
        <f t="shared" ca="1" si="97"/>
        <v>0</v>
      </c>
      <c r="R122" s="471">
        <f t="shared" ca="1" si="101"/>
        <v>0</v>
      </c>
    </row>
    <row r="123" spans="1:18">
      <c r="B123" s="361" t="s">
        <v>3997</v>
      </c>
      <c r="C123" s="472" t="str">
        <f ca="1">IF(G123=0,"",COUNTIF($G$118:$G123,"&gt;0"))</f>
        <v/>
      </c>
      <c r="D123" s="827" t="s">
        <v>4700</v>
      </c>
      <c r="E123" s="828" t="s">
        <v>4701</v>
      </c>
      <c r="F123" s="413" t="s">
        <v>2785</v>
      </c>
      <c r="G123" s="476">
        <f t="shared" ca="1" si="92"/>
        <v>0</v>
      </c>
      <c r="H123" s="477" t="s">
        <v>3403</v>
      </c>
      <c r="I123" s="484">
        <v>16.62</v>
      </c>
      <c r="J123" s="479">
        <v>1</v>
      </c>
      <c r="K123" s="480">
        <f t="shared" ca="1" si="93"/>
        <v>0</v>
      </c>
      <c r="L123" s="477" t="s">
        <v>3404</v>
      </c>
      <c r="M123" s="484">
        <f t="shared" si="99"/>
        <v>16.62</v>
      </c>
      <c r="N123" s="479">
        <f t="shared" si="100"/>
        <v>1</v>
      </c>
      <c r="O123" s="481">
        <f t="shared" si="95"/>
        <v>4289056.92</v>
      </c>
      <c r="P123" s="481">
        <f t="shared" si="96"/>
        <v>4289056.92</v>
      </c>
      <c r="Q123" s="481">
        <f t="shared" ca="1" si="97"/>
        <v>0</v>
      </c>
      <c r="R123" s="471">
        <f t="shared" ca="1" si="101"/>
        <v>0</v>
      </c>
    </row>
    <row r="124" spans="1:18">
      <c r="B124" s="361" t="s">
        <v>3998</v>
      </c>
      <c r="C124" s="472" t="str">
        <f ca="1">IF(G124=0,"",COUNTIF($G$118:$G124,"&gt;0"))</f>
        <v/>
      </c>
      <c r="D124" s="827" t="s">
        <v>4702</v>
      </c>
      <c r="E124" s="828" t="s">
        <v>4703</v>
      </c>
      <c r="F124" s="413" t="s">
        <v>2785</v>
      </c>
      <c r="G124" s="476">
        <f t="shared" ca="1" si="92"/>
        <v>0</v>
      </c>
      <c r="H124" s="477" t="s">
        <v>3403</v>
      </c>
      <c r="I124" s="484">
        <v>15</v>
      </c>
      <c r="J124" s="479">
        <v>1</v>
      </c>
      <c r="K124" s="480">
        <f t="shared" ca="1" si="93"/>
        <v>0</v>
      </c>
      <c r="L124" s="477" t="s">
        <v>3404</v>
      </c>
      <c r="M124" s="484">
        <f t="shared" si="99"/>
        <v>15</v>
      </c>
      <c r="N124" s="479">
        <f t="shared" si="100"/>
        <v>1</v>
      </c>
      <c r="O124" s="481">
        <f t="shared" si="95"/>
        <v>3870990</v>
      </c>
      <c r="P124" s="481">
        <f t="shared" si="96"/>
        <v>3870990</v>
      </c>
      <c r="Q124" s="481">
        <f t="shared" ca="1" si="97"/>
        <v>0</v>
      </c>
      <c r="R124" s="471">
        <f t="shared" ca="1" si="101"/>
        <v>0</v>
      </c>
    </row>
    <row r="125" spans="1:18">
      <c r="B125" s="361" t="s">
        <v>3999</v>
      </c>
      <c r="C125" s="472" t="str">
        <f ca="1">IF(G125=0,"",COUNTIF($G$118:$G125,"&gt;0"))</f>
        <v/>
      </c>
      <c r="D125" s="475" t="s">
        <v>2937</v>
      </c>
      <c r="E125" s="511" t="s">
        <v>2985</v>
      </c>
      <c r="F125" s="413" t="s">
        <v>2785</v>
      </c>
      <c r="G125" s="476">
        <f t="shared" ca="1" si="92"/>
        <v>0</v>
      </c>
      <c r="H125" s="477" t="s">
        <v>3404</v>
      </c>
      <c r="I125" s="484">
        <v>5.77</v>
      </c>
      <c r="J125" s="479">
        <v>1</v>
      </c>
      <c r="K125" s="480">
        <f t="shared" ca="1" si="93"/>
        <v>0</v>
      </c>
      <c r="L125" s="477" t="s">
        <v>3404</v>
      </c>
      <c r="M125" s="484">
        <f t="shared" si="99"/>
        <v>5.77</v>
      </c>
      <c r="N125" s="479">
        <f t="shared" si="100"/>
        <v>1</v>
      </c>
      <c r="O125" s="481">
        <f t="shared" si="95"/>
        <v>1489040.8199999998</v>
      </c>
      <c r="P125" s="481">
        <f t="shared" si="96"/>
        <v>1489040.8199999998</v>
      </c>
      <c r="Q125" s="481">
        <f t="shared" ca="1" si="97"/>
        <v>0</v>
      </c>
      <c r="R125" s="471">
        <f t="shared" ca="1" si="101"/>
        <v>0</v>
      </c>
    </row>
    <row r="126" spans="1:18">
      <c r="B126" s="361" t="s">
        <v>4000</v>
      </c>
      <c r="C126" s="472" t="str">
        <f ca="1">IF(G126=0,"",COUNTIF($G$118:$G126,"&gt;0"))</f>
        <v/>
      </c>
      <c r="D126" s="487" t="s">
        <v>2744</v>
      </c>
      <c r="E126" s="512" t="s">
        <v>2926</v>
      </c>
      <c r="F126" s="492" t="s">
        <v>400</v>
      </c>
      <c r="G126" s="476">
        <f t="shared" ca="1" si="92"/>
        <v>0</v>
      </c>
      <c r="H126" s="477" t="s">
        <v>3404</v>
      </c>
      <c r="I126" s="479">
        <v>2.5499999999999998</v>
      </c>
      <c r="J126" s="479">
        <v>1</v>
      </c>
      <c r="K126" s="480">
        <f ca="1">G126</f>
        <v>0</v>
      </c>
      <c r="L126" s="477" t="s">
        <v>3404</v>
      </c>
      <c r="M126" s="484">
        <f t="shared" si="99"/>
        <v>2.5499999999999998</v>
      </c>
      <c r="N126" s="479">
        <f t="shared" si="100"/>
        <v>1</v>
      </c>
      <c r="O126" s="481">
        <f t="shared" si="95"/>
        <v>658068.29999999993</v>
      </c>
      <c r="P126" s="481">
        <f t="shared" si="96"/>
        <v>658068.29999999993</v>
      </c>
      <c r="Q126" s="481">
        <f t="shared" ca="1" si="97"/>
        <v>0</v>
      </c>
      <c r="R126" s="471">
        <f t="shared" ca="1" si="101"/>
        <v>0</v>
      </c>
    </row>
    <row r="127" spans="1:18">
      <c r="B127" s="361" t="s">
        <v>4001</v>
      </c>
      <c r="C127" s="472" t="str">
        <f ca="1">IF(G127=0,"",COUNTIF($G$118:$G127,"&gt;0"))</f>
        <v/>
      </c>
      <c r="D127" s="487" t="s">
        <v>2744</v>
      </c>
      <c r="E127" s="512" t="s">
        <v>2927</v>
      </c>
      <c r="F127" s="492" t="s">
        <v>400</v>
      </c>
      <c r="G127" s="476">
        <f t="shared" ca="1" si="92"/>
        <v>0</v>
      </c>
      <c r="H127" s="477" t="s">
        <v>3404</v>
      </c>
      <c r="I127" s="479">
        <v>2.5499999999999998</v>
      </c>
      <c r="J127" s="479">
        <v>1</v>
      </c>
      <c r="K127" s="480">
        <f ca="1">G127</f>
        <v>0</v>
      </c>
      <c r="L127" s="477" t="s">
        <v>3404</v>
      </c>
      <c r="M127" s="484">
        <f t="shared" si="99"/>
        <v>2.5499999999999998</v>
      </c>
      <c r="N127" s="479">
        <f t="shared" si="100"/>
        <v>1</v>
      </c>
      <c r="O127" s="481">
        <f t="shared" si="95"/>
        <v>658068.29999999993</v>
      </c>
      <c r="P127" s="481">
        <f t="shared" si="96"/>
        <v>658068.29999999993</v>
      </c>
      <c r="Q127" s="481">
        <f t="shared" ca="1" si="97"/>
        <v>0</v>
      </c>
      <c r="R127" s="471">
        <f t="shared" ca="1" si="101"/>
        <v>0</v>
      </c>
    </row>
    <row r="128" spans="1:18">
      <c r="B128" s="361" t="s">
        <v>4002</v>
      </c>
      <c r="C128" s="472" t="str">
        <f ca="1">IF(G128=0,"",COUNTIF($G$118:$G128,"&gt;0"))</f>
        <v/>
      </c>
      <c r="D128" s="487" t="s">
        <v>2747</v>
      </c>
      <c r="E128" s="512" t="s">
        <v>2758</v>
      </c>
      <c r="F128" s="492" t="s">
        <v>37</v>
      </c>
      <c r="G128" s="476">
        <f t="shared" ca="1" si="92"/>
        <v>0</v>
      </c>
      <c r="H128" s="477" t="s">
        <v>3404</v>
      </c>
      <c r="I128" s="479">
        <f>+I79</f>
        <v>4.0999999999999996</v>
      </c>
      <c r="J128" s="479">
        <v>1</v>
      </c>
      <c r="K128" s="480">
        <f t="shared" ref="K128:K141" ca="1" si="102">G128</f>
        <v>0</v>
      </c>
      <c r="L128" s="477" t="s">
        <v>3404</v>
      </c>
      <c r="M128" s="484">
        <f t="shared" si="99"/>
        <v>4.0999999999999996</v>
      </c>
      <c r="N128" s="479">
        <f t="shared" si="100"/>
        <v>1</v>
      </c>
      <c r="O128" s="481">
        <f t="shared" si="95"/>
        <v>1058070.5999999999</v>
      </c>
      <c r="P128" s="481">
        <f t="shared" si="96"/>
        <v>1058070.5999999999</v>
      </c>
      <c r="Q128" s="481">
        <f t="shared" ca="1" si="97"/>
        <v>0</v>
      </c>
      <c r="R128" s="471">
        <f t="shared" ca="1" si="101"/>
        <v>0</v>
      </c>
    </row>
    <row r="129" spans="2:18">
      <c r="B129" s="361" t="s">
        <v>4003</v>
      </c>
      <c r="C129" s="472" t="str">
        <f ca="1">IF(G129=0,"",COUNTIF($G$118:$G129,"&gt;0"))</f>
        <v/>
      </c>
      <c r="D129" s="475" t="s">
        <v>2759</v>
      </c>
      <c r="E129" s="513" t="s">
        <v>2760</v>
      </c>
      <c r="F129" s="492" t="s">
        <v>9</v>
      </c>
      <c r="G129" s="476">
        <f t="shared" ca="1" si="92"/>
        <v>0</v>
      </c>
      <c r="H129" s="477" t="s">
        <v>3404</v>
      </c>
      <c r="I129" s="484">
        <v>0.54</v>
      </c>
      <c r="J129" s="479">
        <v>0.5</v>
      </c>
      <c r="K129" s="480">
        <f t="shared" ca="1" si="102"/>
        <v>0</v>
      </c>
      <c r="L129" s="477" t="s">
        <v>3404</v>
      </c>
      <c r="M129" s="484">
        <f t="shared" si="99"/>
        <v>0.54</v>
      </c>
      <c r="N129" s="479">
        <f t="shared" si="100"/>
        <v>0.5</v>
      </c>
      <c r="O129" s="481">
        <f t="shared" si="95"/>
        <v>69677.820000000007</v>
      </c>
      <c r="P129" s="481">
        <f t="shared" si="96"/>
        <v>69677.820000000007</v>
      </c>
      <c r="Q129" s="481">
        <f t="shared" ca="1" si="97"/>
        <v>0</v>
      </c>
      <c r="R129" s="471">
        <f t="shared" ca="1" si="101"/>
        <v>0</v>
      </c>
    </row>
    <row r="130" spans="2:18">
      <c r="B130" s="361" t="s">
        <v>4004</v>
      </c>
      <c r="C130" s="472" t="str">
        <f ca="1">IF(G130=0,"",COUNTIF($G$118:$G130,"&gt;0"))</f>
        <v/>
      </c>
      <c r="D130" s="487" t="s">
        <v>2761</v>
      </c>
      <c r="E130" s="512" t="s">
        <v>2775</v>
      </c>
      <c r="F130" s="492" t="s">
        <v>163</v>
      </c>
      <c r="G130" s="476">
        <f t="shared" ca="1" si="92"/>
        <v>0</v>
      </c>
      <c r="H130" s="477" t="s">
        <v>3404</v>
      </c>
      <c r="I130" s="479">
        <v>0.61</v>
      </c>
      <c r="J130" s="479">
        <v>1</v>
      </c>
      <c r="K130" s="480">
        <f t="shared" ca="1" si="102"/>
        <v>0</v>
      </c>
      <c r="L130" s="477" t="s">
        <v>3404</v>
      </c>
      <c r="M130" s="484">
        <f t="shared" si="99"/>
        <v>0.61</v>
      </c>
      <c r="N130" s="479">
        <f t="shared" si="100"/>
        <v>1</v>
      </c>
      <c r="O130" s="481">
        <f t="shared" si="95"/>
        <v>157420.26</v>
      </c>
      <c r="P130" s="481">
        <f t="shared" si="96"/>
        <v>157420.26</v>
      </c>
      <c r="Q130" s="481">
        <f t="shared" ca="1" si="97"/>
        <v>0</v>
      </c>
      <c r="R130" s="471">
        <f t="shared" ca="1" si="98"/>
        <v>0</v>
      </c>
    </row>
    <row r="131" spans="2:18">
      <c r="B131" s="361" t="s">
        <v>4005</v>
      </c>
      <c r="C131" s="472" t="str">
        <f ca="1">IF(G131=0,"",COUNTIF($G$118:$G131,"&gt;0"))</f>
        <v/>
      </c>
      <c r="D131" s="487" t="s">
        <v>2761</v>
      </c>
      <c r="E131" s="512" t="s">
        <v>2763</v>
      </c>
      <c r="F131" s="492" t="s">
        <v>163</v>
      </c>
      <c r="G131" s="476">
        <f t="shared" ca="1" si="92"/>
        <v>0</v>
      </c>
      <c r="H131" s="477" t="s">
        <v>3404</v>
      </c>
      <c r="I131" s="479">
        <v>0.61</v>
      </c>
      <c r="J131" s="479">
        <v>1</v>
      </c>
      <c r="K131" s="480">
        <f t="shared" ca="1" si="102"/>
        <v>0</v>
      </c>
      <c r="L131" s="477" t="s">
        <v>3404</v>
      </c>
      <c r="M131" s="484">
        <f t="shared" si="99"/>
        <v>0.61</v>
      </c>
      <c r="N131" s="479">
        <f t="shared" si="100"/>
        <v>1</v>
      </c>
      <c r="O131" s="481">
        <f t="shared" si="95"/>
        <v>157420.26</v>
      </c>
      <c r="P131" s="481">
        <f t="shared" si="96"/>
        <v>157420.26</v>
      </c>
      <c r="Q131" s="481">
        <f t="shared" ca="1" si="97"/>
        <v>0</v>
      </c>
      <c r="R131" s="471">
        <f t="shared" ca="1" si="98"/>
        <v>0</v>
      </c>
    </row>
    <row r="132" spans="2:18">
      <c r="B132" s="361" t="s">
        <v>4006</v>
      </c>
      <c r="C132" s="472" t="str">
        <f ca="1">IF(G132=0,"",COUNTIF($G$118:$G132,"&gt;0"))</f>
        <v/>
      </c>
      <c r="D132" s="487" t="s">
        <v>2761</v>
      </c>
      <c r="E132" s="513" t="s">
        <v>2764</v>
      </c>
      <c r="F132" s="492" t="s">
        <v>37</v>
      </c>
      <c r="G132" s="476">
        <f t="shared" ca="1" si="92"/>
        <v>0</v>
      </c>
      <c r="H132" s="477" t="s">
        <v>3404</v>
      </c>
      <c r="I132" s="479">
        <v>0.61</v>
      </c>
      <c r="J132" s="479">
        <v>1</v>
      </c>
      <c r="K132" s="480">
        <f t="shared" ca="1" si="102"/>
        <v>0</v>
      </c>
      <c r="L132" s="477" t="s">
        <v>3404</v>
      </c>
      <c r="M132" s="484">
        <f t="shared" si="99"/>
        <v>0.61</v>
      </c>
      <c r="N132" s="479">
        <f t="shared" si="100"/>
        <v>1</v>
      </c>
      <c r="O132" s="481">
        <f t="shared" si="95"/>
        <v>157420.26</v>
      </c>
      <c r="P132" s="481">
        <f t="shared" si="96"/>
        <v>157420.26</v>
      </c>
      <c r="Q132" s="481">
        <f t="shared" ca="1" si="97"/>
        <v>0</v>
      </c>
      <c r="R132" s="471">
        <f t="shared" ca="1" si="98"/>
        <v>0</v>
      </c>
    </row>
    <row r="133" spans="2:18">
      <c r="B133" s="361" t="s">
        <v>4007</v>
      </c>
      <c r="C133" s="472" t="str">
        <f ca="1">IF(G133=0,"",COUNTIF($G$118:$G133,"&gt;0"))</f>
        <v/>
      </c>
      <c r="D133" s="487" t="s">
        <v>2761</v>
      </c>
      <c r="E133" s="513" t="s">
        <v>2765</v>
      </c>
      <c r="F133" s="492" t="s">
        <v>9</v>
      </c>
      <c r="G133" s="476">
        <f t="shared" ca="1" si="92"/>
        <v>0</v>
      </c>
      <c r="H133" s="477" t="s">
        <v>3404</v>
      </c>
      <c r="I133" s="479">
        <v>0.61</v>
      </c>
      <c r="J133" s="479">
        <v>1</v>
      </c>
      <c r="K133" s="480">
        <f t="shared" ca="1" si="102"/>
        <v>0</v>
      </c>
      <c r="L133" s="477" t="s">
        <v>3404</v>
      </c>
      <c r="M133" s="484">
        <f t="shared" si="99"/>
        <v>0.61</v>
      </c>
      <c r="N133" s="479">
        <f t="shared" si="100"/>
        <v>1</v>
      </c>
      <c r="O133" s="481">
        <f t="shared" si="95"/>
        <v>157420.26</v>
      </c>
      <c r="P133" s="481">
        <f t="shared" si="96"/>
        <v>157420.26</v>
      </c>
      <c r="Q133" s="481">
        <f t="shared" ca="1" si="97"/>
        <v>0</v>
      </c>
      <c r="R133" s="471">
        <f t="shared" ca="1" si="98"/>
        <v>0</v>
      </c>
    </row>
    <row r="134" spans="2:18">
      <c r="B134" s="361" t="s">
        <v>4008</v>
      </c>
      <c r="C134" s="472" t="str">
        <f ca="1">IF(G134=0,"",COUNTIF($G$118:$G134,"&gt;0"))</f>
        <v/>
      </c>
      <c r="D134" s="475" t="s">
        <v>2739</v>
      </c>
      <c r="E134" s="512" t="s">
        <v>2776</v>
      </c>
      <c r="F134" s="413" t="s">
        <v>1265</v>
      </c>
      <c r="G134" s="476">
        <f t="shared" ref="G134:G140" ca="1" si="103">SUMIF(maBK,B134,tongBK1)/1000</f>
        <v>0</v>
      </c>
      <c r="H134" s="477" t="s">
        <v>3404</v>
      </c>
      <c r="I134" s="484">
        <v>10.42</v>
      </c>
      <c r="J134" s="479">
        <v>1</v>
      </c>
      <c r="K134" s="480">
        <f t="shared" ca="1" si="102"/>
        <v>0</v>
      </c>
      <c r="L134" s="477" t="s">
        <v>3404</v>
      </c>
      <c r="M134" s="484">
        <f t="shared" si="99"/>
        <v>10.42</v>
      </c>
      <c r="N134" s="479">
        <f t="shared" si="100"/>
        <v>1</v>
      </c>
      <c r="O134" s="481">
        <f t="shared" si="95"/>
        <v>2689047.72</v>
      </c>
      <c r="P134" s="481">
        <f t="shared" si="96"/>
        <v>2689047.72</v>
      </c>
      <c r="Q134" s="481">
        <f t="shared" ca="1" si="97"/>
        <v>0</v>
      </c>
      <c r="R134" s="471">
        <f t="shared" ca="1" si="98"/>
        <v>0</v>
      </c>
    </row>
    <row r="135" spans="2:18">
      <c r="B135" s="361" t="s">
        <v>4009</v>
      </c>
      <c r="C135" s="472" t="str">
        <f ca="1">IF(G135=0,"",COUNTIF($G$118:$G135,"&gt;0"))</f>
        <v/>
      </c>
      <c r="D135" s="475" t="s">
        <v>2767</v>
      </c>
      <c r="E135" s="514" t="s">
        <v>2768</v>
      </c>
      <c r="F135" s="413" t="s">
        <v>1265</v>
      </c>
      <c r="G135" s="476">
        <f t="shared" ca="1" si="103"/>
        <v>0</v>
      </c>
      <c r="H135" s="477" t="s">
        <v>3404</v>
      </c>
      <c r="I135" s="484">
        <v>21.88</v>
      </c>
      <c r="J135" s="479">
        <v>1</v>
      </c>
      <c r="K135" s="480">
        <f t="shared" ca="1" si="102"/>
        <v>0</v>
      </c>
      <c r="L135" s="477" t="s">
        <v>3404</v>
      </c>
      <c r="M135" s="484">
        <f t="shared" si="99"/>
        <v>21.88</v>
      </c>
      <c r="N135" s="479">
        <f t="shared" si="100"/>
        <v>1</v>
      </c>
      <c r="O135" s="481">
        <f t="shared" si="95"/>
        <v>5646484.0800000001</v>
      </c>
      <c r="P135" s="481">
        <f t="shared" si="96"/>
        <v>5646484.0800000001</v>
      </c>
      <c r="Q135" s="481">
        <f t="shared" ca="1" si="97"/>
        <v>0</v>
      </c>
      <c r="R135" s="471">
        <f t="shared" ca="1" si="98"/>
        <v>0</v>
      </c>
    </row>
    <row r="136" spans="2:18">
      <c r="B136" s="361" t="s">
        <v>4010</v>
      </c>
      <c r="C136" s="472" t="str">
        <f ca="1">IF(G136=0,"",COUNTIF($G$118:$G136,"&gt;0"))</f>
        <v/>
      </c>
      <c r="D136" s="475" t="s">
        <v>2767</v>
      </c>
      <c r="E136" s="515" t="s">
        <v>2769</v>
      </c>
      <c r="F136" s="413" t="s">
        <v>1265</v>
      </c>
      <c r="G136" s="476">
        <f t="shared" ca="1" si="103"/>
        <v>0</v>
      </c>
      <c r="H136" s="477" t="s">
        <v>3404</v>
      </c>
      <c r="I136" s="479">
        <v>16.100000000000001</v>
      </c>
      <c r="J136" s="479">
        <v>1</v>
      </c>
      <c r="K136" s="480">
        <f t="shared" ca="1" si="102"/>
        <v>0</v>
      </c>
      <c r="L136" s="477" t="s">
        <v>3404</v>
      </c>
      <c r="M136" s="484">
        <f t="shared" si="99"/>
        <v>16.100000000000001</v>
      </c>
      <c r="N136" s="479">
        <f t="shared" si="100"/>
        <v>1</v>
      </c>
      <c r="O136" s="481">
        <f t="shared" si="95"/>
        <v>4154862.6000000006</v>
      </c>
      <c r="P136" s="481">
        <f t="shared" si="96"/>
        <v>4154862.6000000006</v>
      </c>
      <c r="Q136" s="481">
        <f t="shared" ca="1" si="97"/>
        <v>0</v>
      </c>
      <c r="R136" s="471">
        <f ca="1">IF(G136&lt;&gt;0,1,0)</f>
        <v>0</v>
      </c>
    </row>
    <row r="137" spans="2:18">
      <c r="B137" s="361" t="s">
        <v>4011</v>
      </c>
      <c r="C137" s="472" t="str">
        <f ca="1">IF(G137=0,"",COUNTIF($G$118:$G137,"&gt;0"))</f>
        <v/>
      </c>
      <c r="D137" s="475" t="s">
        <v>2767</v>
      </c>
      <c r="E137" s="515" t="s">
        <v>2770</v>
      </c>
      <c r="F137" s="413" t="s">
        <v>1265</v>
      </c>
      <c r="G137" s="476">
        <f t="shared" ca="1" si="103"/>
        <v>0</v>
      </c>
      <c r="H137" s="477" t="s">
        <v>3404</v>
      </c>
      <c r="I137" s="479">
        <v>11.96</v>
      </c>
      <c r="J137" s="479">
        <v>1</v>
      </c>
      <c r="K137" s="480">
        <f t="shared" ca="1" si="102"/>
        <v>0</v>
      </c>
      <c r="L137" s="477" t="s">
        <v>3404</v>
      </c>
      <c r="M137" s="484">
        <f t="shared" si="99"/>
        <v>11.96</v>
      </c>
      <c r="N137" s="479">
        <f t="shared" si="100"/>
        <v>1</v>
      </c>
      <c r="O137" s="481">
        <f t="shared" si="95"/>
        <v>3086469.3600000003</v>
      </c>
      <c r="P137" s="481">
        <f t="shared" si="96"/>
        <v>3086469.3600000003</v>
      </c>
      <c r="Q137" s="481">
        <f t="shared" ca="1" si="97"/>
        <v>0</v>
      </c>
      <c r="R137" s="471">
        <f t="shared" ca="1" si="98"/>
        <v>0</v>
      </c>
    </row>
    <row r="138" spans="2:18">
      <c r="B138" s="361" t="s">
        <v>4012</v>
      </c>
      <c r="C138" s="472" t="str">
        <f ca="1">IF(G138=0,"",COUNTIF($G$118:$G138,"&gt;0"))</f>
        <v/>
      </c>
      <c r="D138" s="475" t="s">
        <v>2739</v>
      </c>
      <c r="E138" s="514" t="s">
        <v>2740</v>
      </c>
      <c r="F138" s="413" t="s">
        <v>1265</v>
      </c>
      <c r="G138" s="476">
        <f t="shared" ca="1" si="103"/>
        <v>0</v>
      </c>
      <c r="H138" s="477" t="s">
        <v>3404</v>
      </c>
      <c r="I138" s="484">
        <v>20.07</v>
      </c>
      <c r="J138" s="479">
        <v>1</v>
      </c>
      <c r="K138" s="480">
        <f t="shared" ca="1" si="102"/>
        <v>0</v>
      </c>
      <c r="L138" s="477" t="s">
        <v>3404</v>
      </c>
      <c r="M138" s="484">
        <f>I138</f>
        <v>20.07</v>
      </c>
      <c r="N138" s="479">
        <f t="shared" si="100"/>
        <v>1</v>
      </c>
      <c r="O138" s="481">
        <f t="shared" si="95"/>
        <v>5179384.62</v>
      </c>
      <c r="P138" s="481">
        <f t="shared" si="96"/>
        <v>5179384.62</v>
      </c>
      <c r="Q138" s="481">
        <f t="shared" ca="1" si="97"/>
        <v>0</v>
      </c>
      <c r="R138" s="471">
        <f t="shared" ca="1" si="98"/>
        <v>0</v>
      </c>
    </row>
    <row r="139" spans="2:18">
      <c r="B139" s="361" t="s">
        <v>4013</v>
      </c>
      <c r="C139" s="472" t="str">
        <f ca="1">IF(G139=0,"",COUNTIF($G$118:$G139,"&gt;0"))</f>
        <v/>
      </c>
      <c r="D139" s="475" t="s">
        <v>2739</v>
      </c>
      <c r="E139" s="514" t="s">
        <v>2741</v>
      </c>
      <c r="F139" s="413" t="s">
        <v>1265</v>
      </c>
      <c r="G139" s="476">
        <f t="shared" ca="1" si="103"/>
        <v>0</v>
      </c>
      <c r="H139" s="477" t="s">
        <v>3404</v>
      </c>
      <c r="I139" s="479">
        <v>15.02</v>
      </c>
      <c r="J139" s="479">
        <v>1</v>
      </c>
      <c r="K139" s="480">
        <f t="shared" ca="1" si="102"/>
        <v>0</v>
      </c>
      <c r="L139" s="477" t="s">
        <v>3404</v>
      </c>
      <c r="M139" s="484">
        <f t="shared" ref="M139:M148" si="104">I139</f>
        <v>15.02</v>
      </c>
      <c r="N139" s="479">
        <f t="shared" ref="N139:N148" si="105">J139</f>
        <v>1</v>
      </c>
      <c r="O139" s="481">
        <f t="shared" si="95"/>
        <v>3876151.32</v>
      </c>
      <c r="P139" s="481">
        <f t="shared" si="96"/>
        <v>3876151.32</v>
      </c>
      <c r="Q139" s="481">
        <f t="shared" ca="1" si="97"/>
        <v>0</v>
      </c>
      <c r="R139" s="471">
        <f t="shared" ca="1" si="98"/>
        <v>0</v>
      </c>
    </row>
    <row r="140" spans="2:18">
      <c r="B140" s="361" t="s">
        <v>4014</v>
      </c>
      <c r="C140" s="472" t="str">
        <f ca="1">IF(G140=0,"",COUNTIF($G$118:$G140,"&gt;0"))</f>
        <v/>
      </c>
      <c r="D140" s="475">
        <v>67007</v>
      </c>
      <c r="E140" s="514" t="s">
        <v>2771</v>
      </c>
      <c r="F140" s="413" t="s">
        <v>1265</v>
      </c>
      <c r="G140" s="476">
        <f t="shared" ca="1" si="103"/>
        <v>0</v>
      </c>
      <c r="H140" s="477" t="s">
        <v>3404</v>
      </c>
      <c r="I140" s="479">
        <v>15.02</v>
      </c>
      <c r="J140" s="479">
        <v>1</v>
      </c>
      <c r="K140" s="480">
        <f ca="1">G140</f>
        <v>0</v>
      </c>
      <c r="L140" s="477" t="s">
        <v>3404</v>
      </c>
      <c r="M140" s="484">
        <f t="shared" si="104"/>
        <v>15.02</v>
      </c>
      <c r="N140" s="479">
        <f t="shared" si="105"/>
        <v>1</v>
      </c>
      <c r="O140" s="481">
        <f t="shared" si="95"/>
        <v>3876151.32</v>
      </c>
      <c r="P140" s="481">
        <f t="shared" si="96"/>
        <v>3876151.32</v>
      </c>
      <c r="Q140" s="481">
        <f t="shared" ca="1" si="97"/>
        <v>0</v>
      </c>
      <c r="R140" s="471">
        <f t="shared" ca="1" si="98"/>
        <v>0</v>
      </c>
    </row>
    <row r="141" spans="2:18">
      <c r="B141" s="361" t="s">
        <v>4015</v>
      </c>
      <c r="C141" s="472" t="str">
        <f ca="1">IF(G141=0,"",COUNTIF($G$118:$G141,"&gt;0"))</f>
        <v/>
      </c>
      <c r="D141" s="475" t="s">
        <v>2743</v>
      </c>
      <c r="E141" s="516" t="s">
        <v>2777</v>
      </c>
      <c r="F141" s="475" t="s">
        <v>37</v>
      </c>
      <c r="G141" s="476">
        <f t="shared" ca="1" si="92"/>
        <v>0</v>
      </c>
      <c r="H141" s="477" t="s">
        <v>3404</v>
      </c>
      <c r="I141" s="479">
        <f>0.49</f>
        <v>0.49</v>
      </c>
      <c r="J141" s="479">
        <v>1</v>
      </c>
      <c r="K141" s="480">
        <f t="shared" ca="1" si="102"/>
        <v>0</v>
      </c>
      <c r="L141" s="477" t="s">
        <v>3404</v>
      </c>
      <c r="M141" s="484">
        <f t="shared" si="104"/>
        <v>0.49</v>
      </c>
      <c r="N141" s="479">
        <f t="shared" si="105"/>
        <v>1</v>
      </c>
      <c r="O141" s="481">
        <f t="shared" si="95"/>
        <v>126452.34</v>
      </c>
      <c r="P141" s="481">
        <f t="shared" si="96"/>
        <v>126452.34</v>
      </c>
      <c r="Q141" s="481">
        <f t="shared" ca="1" si="97"/>
        <v>0</v>
      </c>
      <c r="R141" s="471">
        <f t="shared" ca="1" si="98"/>
        <v>0</v>
      </c>
    </row>
    <row r="142" spans="2:18">
      <c r="B142" s="361" t="s">
        <v>4016</v>
      </c>
      <c r="C142" s="472" t="str">
        <f ca="1">IF(G142=0,"",COUNTIF($G$6:$G142,"&gt;0"))</f>
        <v/>
      </c>
      <c r="D142" s="413" t="s">
        <v>2778</v>
      </c>
      <c r="E142" s="517" t="s">
        <v>2779</v>
      </c>
      <c r="F142" s="413" t="s">
        <v>9</v>
      </c>
      <c r="G142" s="476">
        <f t="shared" ca="1" si="92"/>
        <v>0</v>
      </c>
      <c r="H142" s="477" t="s">
        <v>3404</v>
      </c>
      <c r="I142" s="479">
        <f t="shared" ref="I142:I148" si="106">0.49</f>
        <v>0.49</v>
      </c>
      <c r="J142" s="479">
        <v>1</v>
      </c>
      <c r="K142" s="480">
        <f ca="1">G142</f>
        <v>0</v>
      </c>
      <c r="L142" s="477" t="s">
        <v>3404</v>
      </c>
      <c r="M142" s="484">
        <f t="shared" si="104"/>
        <v>0.49</v>
      </c>
      <c r="N142" s="479">
        <f t="shared" si="105"/>
        <v>1</v>
      </c>
      <c r="O142" s="481">
        <f t="shared" si="95"/>
        <v>126452.34</v>
      </c>
      <c r="P142" s="481">
        <f t="shared" si="96"/>
        <v>126452.34</v>
      </c>
      <c r="Q142" s="481">
        <f t="shared" ca="1" si="97"/>
        <v>0</v>
      </c>
      <c r="R142" s="471">
        <f t="shared" ca="1" si="98"/>
        <v>0</v>
      </c>
    </row>
    <row r="143" spans="2:18">
      <c r="B143" s="361" t="s">
        <v>4017</v>
      </c>
      <c r="C143" s="472" t="str">
        <f ca="1">IF(G143=0,"",COUNTIF($G$6:$G143,"&gt;0"))</f>
        <v/>
      </c>
      <c r="D143" s="475" t="s">
        <v>2750</v>
      </c>
      <c r="E143" s="517" t="s">
        <v>2099</v>
      </c>
      <c r="F143" s="413" t="s">
        <v>9</v>
      </c>
      <c r="G143" s="476">
        <f t="shared" ca="1" si="92"/>
        <v>0</v>
      </c>
      <c r="H143" s="477" t="s">
        <v>3404</v>
      </c>
      <c r="I143" s="479">
        <f t="shared" si="106"/>
        <v>0.49</v>
      </c>
      <c r="J143" s="479">
        <v>1</v>
      </c>
      <c r="K143" s="480">
        <f t="shared" ref="K143:K148" ca="1" si="107">G143</f>
        <v>0</v>
      </c>
      <c r="L143" s="477" t="s">
        <v>3404</v>
      </c>
      <c r="M143" s="484">
        <f t="shared" si="104"/>
        <v>0.49</v>
      </c>
      <c r="N143" s="479">
        <f t="shared" si="105"/>
        <v>1</v>
      </c>
      <c r="O143" s="481">
        <f t="shared" si="95"/>
        <v>126452.34</v>
      </c>
      <c r="P143" s="481">
        <f t="shared" si="96"/>
        <v>126452.34</v>
      </c>
      <c r="Q143" s="481">
        <f t="shared" ca="1" si="97"/>
        <v>0</v>
      </c>
      <c r="R143" s="471">
        <f t="shared" ca="1" si="98"/>
        <v>0</v>
      </c>
    </row>
    <row r="144" spans="2:18">
      <c r="B144" s="361" t="s">
        <v>4018</v>
      </c>
      <c r="C144" s="472">
        <v>1</v>
      </c>
      <c r="D144" s="475" t="s">
        <v>2751</v>
      </c>
      <c r="E144" s="517" t="s">
        <v>2780</v>
      </c>
      <c r="F144" s="413" t="s">
        <v>9</v>
      </c>
      <c r="G144" s="476">
        <f t="shared" ca="1" si="92"/>
        <v>0</v>
      </c>
      <c r="H144" s="477" t="s">
        <v>3404</v>
      </c>
      <c r="I144" s="479">
        <f t="shared" si="106"/>
        <v>0.49</v>
      </c>
      <c r="J144" s="479">
        <v>1</v>
      </c>
      <c r="K144" s="480">
        <f t="shared" ca="1" si="107"/>
        <v>0</v>
      </c>
      <c r="L144" s="477" t="s">
        <v>3404</v>
      </c>
      <c r="M144" s="484">
        <f t="shared" si="104"/>
        <v>0.49</v>
      </c>
      <c r="N144" s="479">
        <f t="shared" si="105"/>
        <v>1</v>
      </c>
      <c r="O144" s="481">
        <f t="shared" si="95"/>
        <v>126452.34</v>
      </c>
      <c r="P144" s="481">
        <f t="shared" si="96"/>
        <v>126452.34</v>
      </c>
      <c r="Q144" s="481">
        <f t="shared" ca="1" si="97"/>
        <v>0</v>
      </c>
      <c r="R144" s="471">
        <f t="shared" ca="1" si="98"/>
        <v>0</v>
      </c>
    </row>
    <row r="145" spans="1:18">
      <c r="B145" s="361" t="s">
        <v>4019</v>
      </c>
      <c r="C145" s="472">
        <v>2</v>
      </c>
      <c r="D145" s="475" t="s">
        <v>2781</v>
      </c>
      <c r="E145" s="517" t="s">
        <v>3516</v>
      </c>
      <c r="F145" s="413" t="s">
        <v>2717</v>
      </c>
      <c r="G145" s="476">
        <f ca="1">SUMIF(maBK,B145,tongBK1)/100</f>
        <v>0</v>
      </c>
      <c r="H145" s="477" t="s">
        <v>3404</v>
      </c>
      <c r="I145" s="479">
        <f t="shared" si="106"/>
        <v>0.49</v>
      </c>
      <c r="J145" s="479">
        <v>1</v>
      </c>
      <c r="K145" s="480">
        <f t="shared" ca="1" si="107"/>
        <v>0</v>
      </c>
      <c r="L145" s="477" t="s">
        <v>3404</v>
      </c>
      <c r="M145" s="484">
        <f t="shared" si="104"/>
        <v>0.49</v>
      </c>
      <c r="N145" s="479">
        <f t="shared" si="105"/>
        <v>1</v>
      </c>
      <c r="O145" s="481">
        <f t="shared" si="95"/>
        <v>126452.34</v>
      </c>
      <c r="P145" s="481">
        <f t="shared" si="96"/>
        <v>126452.34</v>
      </c>
      <c r="Q145" s="481">
        <f t="shared" ca="1" si="97"/>
        <v>0</v>
      </c>
      <c r="R145" s="471">
        <f t="shared" ca="1" si="98"/>
        <v>0</v>
      </c>
    </row>
    <row r="146" spans="1:18">
      <c r="B146" s="361" t="s">
        <v>4020</v>
      </c>
      <c r="C146" s="472">
        <v>3</v>
      </c>
      <c r="D146" s="475" t="s">
        <v>2782</v>
      </c>
      <c r="E146" s="517" t="s">
        <v>2783</v>
      </c>
      <c r="F146" s="453" t="s">
        <v>9</v>
      </c>
      <c r="G146" s="476">
        <f t="shared" ca="1" si="92"/>
        <v>0</v>
      </c>
      <c r="H146" s="477" t="s">
        <v>3404</v>
      </c>
      <c r="I146" s="479">
        <f t="shared" si="106"/>
        <v>0.49</v>
      </c>
      <c r="J146" s="479">
        <v>1</v>
      </c>
      <c r="K146" s="480">
        <f t="shared" ca="1" si="107"/>
        <v>0</v>
      </c>
      <c r="L146" s="477" t="s">
        <v>3404</v>
      </c>
      <c r="M146" s="484">
        <f t="shared" si="104"/>
        <v>0.49</v>
      </c>
      <c r="N146" s="479">
        <f t="shared" si="105"/>
        <v>1</v>
      </c>
      <c r="O146" s="481">
        <f t="shared" si="95"/>
        <v>126452.34</v>
      </c>
      <c r="P146" s="481">
        <f t="shared" si="96"/>
        <v>126452.34</v>
      </c>
      <c r="Q146" s="481">
        <f t="shared" ca="1" si="97"/>
        <v>0</v>
      </c>
      <c r="R146" s="471">
        <f t="shared" ca="1" si="98"/>
        <v>0</v>
      </c>
    </row>
    <row r="147" spans="1:18">
      <c r="B147" s="361" t="s">
        <v>4021</v>
      </c>
      <c r="C147" s="472">
        <v>4</v>
      </c>
      <c r="D147" s="475" t="s">
        <v>2784</v>
      </c>
      <c r="E147" s="517" t="s">
        <v>3517</v>
      </c>
      <c r="F147" s="453" t="s">
        <v>2785</v>
      </c>
      <c r="G147" s="476">
        <f t="shared" ca="1" si="92"/>
        <v>0</v>
      </c>
      <c r="H147" s="477" t="s">
        <v>3404</v>
      </c>
      <c r="I147" s="479">
        <f t="shared" si="106"/>
        <v>0.49</v>
      </c>
      <c r="J147" s="479">
        <v>1</v>
      </c>
      <c r="K147" s="480">
        <f t="shared" ca="1" si="107"/>
        <v>0</v>
      </c>
      <c r="L147" s="477" t="s">
        <v>3404</v>
      </c>
      <c r="M147" s="484">
        <f t="shared" si="104"/>
        <v>0.49</v>
      </c>
      <c r="N147" s="479">
        <f t="shared" si="105"/>
        <v>1</v>
      </c>
      <c r="O147" s="481">
        <f t="shared" si="95"/>
        <v>126452.34</v>
      </c>
      <c r="P147" s="481">
        <f t="shared" si="96"/>
        <v>126452.34</v>
      </c>
      <c r="Q147" s="481">
        <f t="shared" ca="1" si="97"/>
        <v>0</v>
      </c>
      <c r="R147" s="471">
        <f t="shared" ca="1" si="98"/>
        <v>0</v>
      </c>
    </row>
    <row r="148" spans="1:18">
      <c r="B148" s="361" t="s">
        <v>4022</v>
      </c>
      <c r="C148" s="472" t="str">
        <f ca="1">IF(G148=0,"",COUNTIF($G$6:$G148,"&gt;0"))</f>
        <v/>
      </c>
      <c r="D148" s="475" t="s">
        <v>2786</v>
      </c>
      <c r="E148" s="517" t="s">
        <v>3518</v>
      </c>
      <c r="F148" s="453" t="s">
        <v>37</v>
      </c>
      <c r="G148" s="476">
        <f t="shared" ca="1" si="92"/>
        <v>0</v>
      </c>
      <c r="H148" s="477" t="s">
        <v>3404</v>
      </c>
      <c r="I148" s="479">
        <f t="shared" si="106"/>
        <v>0.49</v>
      </c>
      <c r="J148" s="479">
        <v>1</v>
      </c>
      <c r="K148" s="480">
        <f t="shared" ca="1" si="107"/>
        <v>0</v>
      </c>
      <c r="L148" s="477" t="s">
        <v>3404</v>
      </c>
      <c r="M148" s="484">
        <f t="shared" si="104"/>
        <v>0.49</v>
      </c>
      <c r="N148" s="479">
        <f t="shared" si="105"/>
        <v>1</v>
      </c>
      <c r="O148" s="481">
        <f t="shared" si="95"/>
        <v>126452.34</v>
      </c>
      <c r="P148" s="481">
        <f t="shared" si="96"/>
        <v>126452.34</v>
      </c>
      <c r="Q148" s="481">
        <f t="shared" ca="1" si="97"/>
        <v>0</v>
      </c>
      <c r="R148" s="471">
        <f t="shared" ca="1" si="98"/>
        <v>0</v>
      </c>
    </row>
    <row r="149" spans="1:18">
      <c r="B149" s="361"/>
      <c r="C149" s="496"/>
      <c r="D149" s="497"/>
      <c r="E149" s="389"/>
      <c r="F149" s="498"/>
      <c r="G149" s="499"/>
      <c r="H149" s="500"/>
      <c r="I149" s="501"/>
      <c r="J149" s="502"/>
      <c r="K149" s="503"/>
      <c r="L149" s="500"/>
      <c r="M149" s="501"/>
      <c r="N149" s="502"/>
      <c r="O149" s="504"/>
      <c r="P149" s="504"/>
      <c r="Q149" s="504"/>
      <c r="R149" s="471"/>
    </row>
    <row r="150" spans="1:18">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c r="B151" s="361"/>
      <c r="C151" s="519"/>
      <c r="D151" s="519"/>
      <c r="E151" s="520"/>
      <c r="F151" s="519"/>
      <c r="G151" s="521"/>
      <c r="H151" s="522"/>
      <c r="I151" s="523"/>
      <c r="J151" s="524"/>
      <c r="K151" s="522"/>
      <c r="L151" s="522"/>
      <c r="M151" s="523"/>
      <c r="N151" s="524"/>
      <c r="O151" s="525"/>
      <c r="P151" s="525"/>
      <c r="Q151" s="525"/>
      <c r="R151" s="526">
        <v>1</v>
      </c>
    </row>
    <row r="152" spans="1:18">
      <c r="B152" s="361"/>
      <c r="C152" s="527" t="s">
        <v>2787</v>
      </c>
      <c r="D152" s="528"/>
      <c r="E152" s="528"/>
      <c r="F152" s="528"/>
      <c r="G152" s="529"/>
      <c r="H152" s="530"/>
      <c r="I152" s="531"/>
      <c r="J152" s="532"/>
      <c r="K152" s="530"/>
      <c r="L152" s="530"/>
      <c r="M152" s="531"/>
      <c r="N152" s="532"/>
      <c r="O152" s="533"/>
      <c r="P152" s="533"/>
      <c r="Q152" s="534"/>
      <c r="R152" s="535">
        <f ca="1">R189</f>
        <v>1</v>
      </c>
    </row>
    <row r="153" spans="1:18" ht="47.25">
      <c r="B153" s="361"/>
      <c r="C153" s="445" t="s">
        <v>2378</v>
      </c>
      <c r="D153" s="445" t="s">
        <v>2446</v>
      </c>
      <c r="E153" s="445" t="s">
        <v>2728</v>
      </c>
      <c r="F153" s="444" t="s">
        <v>2352</v>
      </c>
      <c r="G153" s="443" t="s">
        <v>2806</v>
      </c>
      <c r="H153" s="536" t="s">
        <v>2807</v>
      </c>
      <c r="I153" s="537" t="s">
        <v>2804</v>
      </c>
      <c r="J153" s="538" t="s">
        <v>2715</v>
      </c>
      <c r="K153" s="536" t="s">
        <v>2732</v>
      </c>
      <c r="L153" s="536" t="s">
        <v>2807</v>
      </c>
      <c r="M153" s="537" t="s">
        <v>2805</v>
      </c>
      <c r="N153" s="538" t="s">
        <v>2715</v>
      </c>
      <c r="O153" s="538" t="s">
        <v>2736</v>
      </c>
      <c r="P153" s="538" t="s">
        <v>2737</v>
      </c>
      <c r="Q153" s="538" t="s">
        <v>2348</v>
      </c>
      <c r="R153" s="210">
        <f ca="1">R152</f>
        <v>1</v>
      </c>
    </row>
    <row r="154" spans="1:18">
      <c r="A154" s="377" t="s">
        <v>2924</v>
      </c>
      <c r="B154" s="361"/>
      <c r="C154" s="461" t="s">
        <v>2361</v>
      </c>
      <c r="D154" s="462" t="s">
        <v>3909</v>
      </c>
      <c r="E154" s="463"/>
      <c r="F154" s="464"/>
      <c r="G154" s="465"/>
      <c r="H154" s="466"/>
      <c r="I154" s="467"/>
      <c r="J154" s="468"/>
      <c r="K154" s="469"/>
      <c r="L154" s="466"/>
      <c r="M154" s="467"/>
      <c r="N154" s="468"/>
      <c r="O154" s="470"/>
      <c r="P154" s="470"/>
      <c r="Q154" s="470"/>
      <c r="R154" s="471">
        <f ca="1">R153</f>
        <v>1</v>
      </c>
    </row>
    <row r="155" spans="1:18">
      <c r="B155" s="361" t="s">
        <v>2938</v>
      </c>
      <c r="C155" s="472" t="str">
        <f ca="1">IF(G155=0,"",COUNTIF($G$155:$G155,"&gt;0"))</f>
        <v/>
      </c>
      <c r="D155" s="483" t="s">
        <v>3492</v>
      </c>
      <c r="E155" s="511" t="s">
        <v>2946</v>
      </c>
      <c r="F155" s="413" t="s">
        <v>2785</v>
      </c>
      <c r="G155" s="476">
        <f t="shared" ref="G155:G162" ca="1" si="108">G63</f>
        <v>0</v>
      </c>
      <c r="H155" s="477" t="s">
        <v>3396</v>
      </c>
      <c r="I155" s="539">
        <v>0.126</v>
      </c>
      <c r="J155" s="540">
        <v>0.5</v>
      </c>
      <c r="K155" s="477">
        <f t="shared" ref="K155:K172" ca="1" si="109">G155</f>
        <v>0</v>
      </c>
      <c r="L155" s="477" t="s">
        <v>3396</v>
      </c>
      <c r="M155" s="540">
        <f>I155</f>
        <v>0.126</v>
      </c>
      <c r="N155" s="540">
        <v>0.5</v>
      </c>
      <c r="O155" s="481">
        <f t="shared" ref="O155:O174" si="110">VLOOKUP(H155,CAMAY,2,0)*I155*J155</f>
        <v>131135.81480559442</v>
      </c>
      <c r="P155" s="481">
        <f t="shared" ref="P155:P174" si="111">VLOOKUP(L155,CAMAY,2,0)*M155*N155</f>
        <v>131135.81480559442</v>
      </c>
      <c r="Q155" s="481">
        <f t="shared" ref="Q155" ca="1" si="112">+O155*G155+P155*K155</f>
        <v>0</v>
      </c>
      <c r="R155" s="471">
        <f t="shared" ref="R155:R172" ca="1" si="113">IF(G155&lt;&gt;0,1,0)</f>
        <v>0</v>
      </c>
    </row>
    <row r="156" spans="1:18">
      <c r="B156" s="361" t="s">
        <v>2939</v>
      </c>
      <c r="C156" s="472">
        <f ca="1">IF(G156=0,"",COUNTIF($G$155:$G156,"&gt;0"))</f>
        <v>1</v>
      </c>
      <c r="D156" s="483" t="s">
        <v>3493</v>
      </c>
      <c r="E156" s="511" t="s">
        <v>2947</v>
      </c>
      <c r="F156" s="413" t="s">
        <v>2785</v>
      </c>
      <c r="G156" s="476">
        <f t="shared" ca="1" si="108"/>
        <v>33</v>
      </c>
      <c r="H156" s="477" t="s">
        <v>3396</v>
      </c>
      <c r="I156" s="539">
        <v>0.126</v>
      </c>
      <c r="J156" s="540">
        <v>0.5</v>
      </c>
      <c r="K156" s="477">
        <f t="shared" ca="1" si="109"/>
        <v>33</v>
      </c>
      <c r="L156" s="477" t="s">
        <v>3396</v>
      </c>
      <c r="M156" s="540">
        <f t="shared" ref="M156:M174" si="114">I156</f>
        <v>0.126</v>
      </c>
      <c r="N156" s="540">
        <v>0.5</v>
      </c>
      <c r="O156" s="481">
        <f t="shared" si="110"/>
        <v>131135.81480559442</v>
      </c>
      <c r="P156" s="481">
        <f t="shared" si="111"/>
        <v>131135.81480559442</v>
      </c>
      <c r="Q156" s="481">
        <f t="shared" ref="Q156:Q172" ca="1" si="115">+O156*G156+P156*K156</f>
        <v>8654963.7771692313</v>
      </c>
      <c r="R156" s="471">
        <f t="shared" ca="1" si="113"/>
        <v>1</v>
      </c>
    </row>
    <row r="157" spans="1:18">
      <c r="B157" s="361" t="s">
        <v>2940</v>
      </c>
      <c r="C157" s="472">
        <f ca="1">IF(G157=0,"",COUNTIF($G$155:$G157,"&gt;0"))</f>
        <v>2</v>
      </c>
      <c r="D157" s="483" t="s">
        <v>3494</v>
      </c>
      <c r="E157" s="511" t="s">
        <v>2948</v>
      </c>
      <c r="F157" s="413" t="s">
        <v>2785</v>
      </c>
      <c r="G157" s="476">
        <f t="shared" ca="1" si="108"/>
        <v>23</v>
      </c>
      <c r="H157" s="477" t="s">
        <v>3396</v>
      </c>
      <c r="I157" s="539">
        <v>0.18</v>
      </c>
      <c r="J157" s="540">
        <v>0.5</v>
      </c>
      <c r="K157" s="477">
        <f t="shared" ca="1" si="109"/>
        <v>23</v>
      </c>
      <c r="L157" s="477" t="s">
        <v>3396</v>
      </c>
      <c r="M157" s="540">
        <f t="shared" si="114"/>
        <v>0.18</v>
      </c>
      <c r="N157" s="540">
        <v>0.5</v>
      </c>
      <c r="O157" s="481">
        <f t="shared" si="110"/>
        <v>187336.87829370628</v>
      </c>
      <c r="P157" s="481">
        <f t="shared" si="111"/>
        <v>187336.87829370628</v>
      </c>
      <c r="Q157" s="481">
        <f t="shared" ca="1" si="115"/>
        <v>8617496.4015104882</v>
      </c>
      <c r="R157" s="471">
        <f t="shared" ca="1" si="113"/>
        <v>1</v>
      </c>
    </row>
    <row r="158" spans="1:18">
      <c r="B158" s="361" t="s">
        <v>2941</v>
      </c>
      <c r="C158" s="472" t="str">
        <f ca="1">IF(G158=0,"",COUNTIF($G$155:$G158,"&gt;0"))</f>
        <v/>
      </c>
      <c r="D158" s="483" t="s">
        <v>3495</v>
      </c>
      <c r="E158" s="511" t="s">
        <v>2949</v>
      </c>
      <c r="F158" s="413" t="s">
        <v>2785</v>
      </c>
      <c r="G158" s="476">
        <f t="shared" ca="1" si="108"/>
        <v>0</v>
      </c>
      <c r="H158" s="477" t="s">
        <v>3396</v>
      </c>
      <c r="I158" s="539">
        <v>0.18</v>
      </c>
      <c r="J158" s="540">
        <v>0.5</v>
      </c>
      <c r="K158" s="477">
        <f t="shared" ca="1" si="109"/>
        <v>0</v>
      </c>
      <c r="L158" s="477" t="s">
        <v>3396</v>
      </c>
      <c r="M158" s="540">
        <f t="shared" si="114"/>
        <v>0.18</v>
      </c>
      <c r="N158" s="540">
        <v>0.5</v>
      </c>
      <c r="O158" s="481">
        <f t="shared" si="110"/>
        <v>187336.87829370628</v>
      </c>
      <c r="P158" s="481">
        <f t="shared" si="111"/>
        <v>187336.87829370628</v>
      </c>
      <c r="Q158" s="481">
        <f t="shared" ca="1" si="115"/>
        <v>0</v>
      </c>
      <c r="R158" s="471">
        <f t="shared" ca="1" si="113"/>
        <v>0</v>
      </c>
    </row>
    <row r="159" spans="1:18">
      <c r="B159" s="361" t="s">
        <v>2942</v>
      </c>
      <c r="C159" s="472" t="str">
        <f ca="1">IF(G159=0,"",COUNTIF($G$155:$G159,"&gt;0"))</f>
        <v/>
      </c>
      <c r="D159" s="483" t="s">
        <v>3496</v>
      </c>
      <c r="E159" s="511" t="s">
        <v>2950</v>
      </c>
      <c r="F159" s="413" t="s">
        <v>2785</v>
      </c>
      <c r="G159" s="476">
        <f t="shared" ca="1" si="108"/>
        <v>0</v>
      </c>
      <c r="H159" s="477" t="s">
        <v>3396</v>
      </c>
      <c r="I159" s="539">
        <v>0.252</v>
      </c>
      <c r="J159" s="540">
        <v>0.5</v>
      </c>
      <c r="K159" s="477">
        <f t="shared" ca="1" si="109"/>
        <v>0</v>
      </c>
      <c r="L159" s="477" t="s">
        <v>3396</v>
      </c>
      <c r="M159" s="540">
        <f t="shared" si="114"/>
        <v>0.252</v>
      </c>
      <c r="N159" s="540">
        <v>0.5</v>
      </c>
      <c r="O159" s="481">
        <f t="shared" si="110"/>
        <v>262271.62961118884</v>
      </c>
      <c r="P159" s="481">
        <f t="shared" si="111"/>
        <v>262271.62961118884</v>
      </c>
      <c r="Q159" s="481">
        <f t="shared" ca="1" si="115"/>
        <v>0</v>
      </c>
      <c r="R159" s="471">
        <f t="shared" ca="1" si="113"/>
        <v>0</v>
      </c>
    </row>
    <row r="160" spans="1:18">
      <c r="B160" s="361" t="s">
        <v>2943</v>
      </c>
      <c r="C160" s="472" t="str">
        <f ca="1">IF(G160=0,"",COUNTIF($G$155:$G160,"&gt;0"))</f>
        <v/>
      </c>
      <c r="D160" s="483" t="s">
        <v>3497</v>
      </c>
      <c r="E160" s="511" t="s">
        <v>2951</v>
      </c>
      <c r="F160" s="413" t="s">
        <v>2785</v>
      </c>
      <c r="G160" s="476">
        <f t="shared" ca="1" si="108"/>
        <v>0</v>
      </c>
      <c r="H160" s="477" t="s">
        <v>3396</v>
      </c>
      <c r="I160" s="539">
        <v>0.252</v>
      </c>
      <c r="J160" s="540">
        <v>0.5</v>
      </c>
      <c r="K160" s="477">
        <f t="shared" ca="1" si="109"/>
        <v>0</v>
      </c>
      <c r="L160" s="477" t="s">
        <v>3396</v>
      </c>
      <c r="M160" s="540">
        <f t="shared" si="114"/>
        <v>0.252</v>
      </c>
      <c r="N160" s="540">
        <v>0.5</v>
      </c>
      <c r="O160" s="481">
        <f t="shared" si="110"/>
        <v>262271.62961118884</v>
      </c>
      <c r="P160" s="481">
        <f t="shared" si="111"/>
        <v>262271.62961118884</v>
      </c>
      <c r="Q160" s="481">
        <f t="shared" ca="1" si="115"/>
        <v>0</v>
      </c>
      <c r="R160" s="471">
        <f t="shared" ca="1" si="113"/>
        <v>0</v>
      </c>
    </row>
    <row r="161" spans="1:18">
      <c r="B161" s="361" t="s">
        <v>2944</v>
      </c>
      <c r="C161" s="472" t="str">
        <f ca="1">IF(G161=0,"",COUNTIF($G$155:$G161,"&gt;0"))</f>
        <v/>
      </c>
      <c r="D161" s="483" t="s">
        <v>3498</v>
      </c>
      <c r="E161" s="511" t="s">
        <v>2952</v>
      </c>
      <c r="F161" s="413" t="s">
        <v>2785</v>
      </c>
      <c r="G161" s="476">
        <f t="shared" ca="1" si="108"/>
        <v>0</v>
      </c>
      <c r="H161" s="477" t="s">
        <v>3396</v>
      </c>
      <c r="I161" s="539">
        <v>0.36</v>
      </c>
      <c r="J161" s="540">
        <v>0.5</v>
      </c>
      <c r="K161" s="477">
        <f t="shared" ca="1" si="109"/>
        <v>0</v>
      </c>
      <c r="L161" s="477" t="s">
        <v>3396</v>
      </c>
      <c r="M161" s="540">
        <f t="shared" si="114"/>
        <v>0.36</v>
      </c>
      <c r="N161" s="540">
        <v>0.5</v>
      </c>
      <c r="O161" s="481">
        <f t="shared" si="110"/>
        <v>374673.75658741256</v>
      </c>
      <c r="P161" s="481">
        <f t="shared" si="111"/>
        <v>374673.75658741256</v>
      </c>
      <c r="Q161" s="481">
        <f t="shared" ca="1" si="115"/>
        <v>0</v>
      </c>
      <c r="R161" s="471">
        <f t="shared" ca="1" si="113"/>
        <v>0</v>
      </c>
    </row>
    <row r="162" spans="1:18">
      <c r="B162" s="361" t="s">
        <v>2945</v>
      </c>
      <c r="C162" s="472" t="str">
        <f ca="1">IF(G162=0,"",COUNTIF($G$155:$G162,"&gt;0"))</f>
        <v/>
      </c>
      <c r="D162" s="483" t="s">
        <v>3499</v>
      </c>
      <c r="E162" s="511" t="s">
        <v>3519</v>
      </c>
      <c r="F162" s="413" t="s">
        <v>2785</v>
      </c>
      <c r="G162" s="476">
        <f t="shared" ca="1" si="108"/>
        <v>0</v>
      </c>
      <c r="H162" s="477" t="s">
        <v>3396</v>
      </c>
      <c r="I162" s="539">
        <v>0.36</v>
      </c>
      <c r="J162" s="540">
        <v>0.5</v>
      </c>
      <c r="K162" s="477">
        <f t="shared" ca="1" si="109"/>
        <v>0</v>
      </c>
      <c r="L162" s="477" t="s">
        <v>3396</v>
      </c>
      <c r="M162" s="540">
        <f t="shared" si="114"/>
        <v>0.36</v>
      </c>
      <c r="N162" s="540">
        <v>0.5</v>
      </c>
      <c r="O162" s="481">
        <f t="shared" si="110"/>
        <v>374673.75658741256</v>
      </c>
      <c r="P162" s="481">
        <f t="shared" si="111"/>
        <v>374673.75658741256</v>
      </c>
      <c r="Q162" s="481">
        <f t="shared" ca="1" si="115"/>
        <v>0</v>
      </c>
      <c r="R162" s="471">
        <f t="shared" ca="1" si="113"/>
        <v>0</v>
      </c>
    </row>
    <row r="163" spans="1:18">
      <c r="B163" s="361"/>
      <c r="C163" s="396" t="s">
        <v>2677</v>
      </c>
      <c r="D163" s="396" t="s">
        <v>4040</v>
      </c>
      <c r="E163" s="505"/>
      <c r="F163" s="396"/>
      <c r="G163" s="506"/>
      <c r="H163" s="507"/>
      <c r="I163" s="126" t="s">
        <v>2602</v>
      </c>
      <c r="J163" s="508"/>
      <c r="K163" s="507"/>
      <c r="L163" s="507"/>
      <c r="M163" s="509"/>
      <c r="N163" s="508"/>
      <c r="O163" s="510"/>
      <c r="P163" s="510"/>
      <c r="Q163" s="510">
        <f ca="1">SUM(Q155:Q162)</f>
        <v>17272460.17867972</v>
      </c>
      <c r="R163" s="471">
        <f ca="1">IF(Q163&gt;0,1,"")</f>
        <v>1</v>
      </c>
    </row>
    <row r="164" spans="1:18">
      <c r="A164" s="377" t="s">
        <v>4041</v>
      </c>
      <c r="B164" s="361"/>
      <c r="C164" s="461" t="s">
        <v>2379</v>
      </c>
      <c r="D164" s="462" t="s">
        <v>4042</v>
      </c>
      <c r="E164" s="463"/>
      <c r="F164" s="464"/>
      <c r="G164" s="465"/>
      <c r="H164" s="466"/>
      <c r="I164" s="467"/>
      <c r="J164" s="468"/>
      <c r="K164" s="469"/>
      <c r="L164" s="466"/>
      <c r="M164" s="467"/>
      <c r="N164" s="468"/>
      <c r="O164" s="470"/>
      <c r="P164" s="470"/>
      <c r="Q164" s="470"/>
      <c r="R164" s="471">
        <f ca="1">R162</f>
        <v>0</v>
      </c>
    </row>
    <row r="165" spans="1:18">
      <c r="B165" s="361" t="s">
        <v>3511</v>
      </c>
      <c r="C165" s="472">
        <f ca="1">IF(G165=0,"",COUNTIF($G$155:$G165,"&gt;0"))</f>
        <v>3</v>
      </c>
      <c r="D165" s="489" t="s">
        <v>3534</v>
      </c>
      <c r="E165" s="485" t="s">
        <v>2953</v>
      </c>
      <c r="F165" s="413" t="s">
        <v>1480</v>
      </c>
      <c r="G165" s="476">
        <f t="shared" ref="G165:G174" ca="1" si="116">G74</f>
        <v>3</v>
      </c>
      <c r="H165" s="477" t="s">
        <v>3395</v>
      </c>
      <c r="I165" s="539">
        <f>0.7</f>
        <v>0.7</v>
      </c>
      <c r="J165" s="540">
        <v>0.5</v>
      </c>
      <c r="K165" s="477">
        <f t="shared" ca="1" si="109"/>
        <v>3</v>
      </c>
      <c r="L165" s="477" t="s">
        <v>3395</v>
      </c>
      <c r="M165" s="540">
        <f t="shared" si="114"/>
        <v>0.7</v>
      </c>
      <c r="N165" s="540">
        <v>0.5</v>
      </c>
      <c r="O165" s="481">
        <f t="shared" si="110"/>
        <v>525704.33461538458</v>
      </c>
      <c r="P165" s="481">
        <f t="shared" si="111"/>
        <v>525704.33461538458</v>
      </c>
      <c r="Q165" s="481">
        <f t="shared" ca="1" si="115"/>
        <v>3154226.0076923072</v>
      </c>
      <c r="R165" s="471">
        <f t="shared" ca="1" si="113"/>
        <v>1</v>
      </c>
    </row>
    <row r="166" spans="1:18">
      <c r="B166" s="361" t="s">
        <v>4159</v>
      </c>
      <c r="C166" s="472" t="str">
        <f ca="1">IF(G166=0,"",COUNTIF($G$155:$G166,"&gt;0"))</f>
        <v/>
      </c>
      <c r="D166" s="489" t="s">
        <v>3535</v>
      </c>
      <c r="E166" s="485" t="s">
        <v>4158</v>
      </c>
      <c r="F166" s="413" t="s">
        <v>1480</v>
      </c>
      <c r="G166" s="476">
        <f t="shared" ca="1" si="116"/>
        <v>0</v>
      </c>
      <c r="H166" s="477" t="s">
        <v>3395</v>
      </c>
      <c r="I166" s="539">
        <f t="shared" ref="I166:I174" si="117">0.7</f>
        <v>0.7</v>
      </c>
      <c r="J166" s="540">
        <v>0.5</v>
      </c>
      <c r="K166" s="477">
        <f t="shared" ref="K166" ca="1" si="118">G166</f>
        <v>0</v>
      </c>
      <c r="L166" s="477" t="s">
        <v>3395</v>
      </c>
      <c r="M166" s="540">
        <f t="shared" ref="M166" si="119">I166</f>
        <v>0.7</v>
      </c>
      <c r="N166" s="540">
        <v>0.5</v>
      </c>
      <c r="O166" s="481">
        <f t="shared" ref="O166" si="120">VLOOKUP(H166,CAMAY,2,0)*I166*J166</f>
        <v>525704.33461538458</v>
      </c>
      <c r="P166" s="481">
        <f t="shared" ref="P166" si="121">VLOOKUP(L166,CAMAY,2,0)*M166*N166</f>
        <v>525704.33461538458</v>
      </c>
      <c r="Q166" s="481">
        <f t="shared" ref="Q166" ca="1" si="122">+O166*G166+P166*K166</f>
        <v>0</v>
      </c>
      <c r="R166" s="471">
        <f t="shared" ref="R166" ca="1" si="123">IF(G166&lt;&gt;0,1,0)</f>
        <v>0</v>
      </c>
    </row>
    <row r="167" spans="1:18">
      <c r="B167" s="361" t="s">
        <v>3512</v>
      </c>
      <c r="C167" s="472" t="str">
        <f ca="1">IF(G167=0,"",COUNTIF($G$155:$G167,"&gt;0"))</f>
        <v/>
      </c>
      <c r="D167" s="489" t="s">
        <v>3535</v>
      </c>
      <c r="E167" s="485" t="s">
        <v>2954</v>
      </c>
      <c r="F167" s="413" t="s">
        <v>1480</v>
      </c>
      <c r="G167" s="476">
        <f t="shared" ca="1" si="116"/>
        <v>0</v>
      </c>
      <c r="H167" s="477" t="s">
        <v>3395</v>
      </c>
      <c r="I167" s="539">
        <f t="shared" si="117"/>
        <v>0.7</v>
      </c>
      <c r="J167" s="540">
        <v>0.5</v>
      </c>
      <c r="K167" s="477">
        <f t="shared" ca="1" si="109"/>
        <v>0</v>
      </c>
      <c r="L167" s="477" t="s">
        <v>3395</v>
      </c>
      <c r="M167" s="540">
        <f t="shared" si="114"/>
        <v>0.7</v>
      </c>
      <c r="N167" s="540">
        <v>0.5</v>
      </c>
      <c r="O167" s="481">
        <f t="shared" si="110"/>
        <v>525704.33461538458</v>
      </c>
      <c r="P167" s="481">
        <f t="shared" si="111"/>
        <v>525704.33461538458</v>
      </c>
      <c r="Q167" s="481">
        <f t="shared" ca="1" si="115"/>
        <v>0</v>
      </c>
      <c r="R167" s="471">
        <f t="shared" ca="1" si="113"/>
        <v>0</v>
      </c>
    </row>
    <row r="168" spans="1:18">
      <c r="B168" s="361" t="s">
        <v>3543</v>
      </c>
      <c r="C168" s="472" t="str">
        <f ca="1">IF(G168=0,"",COUNTIF($G$155:$G168,"&gt;0"))</f>
        <v/>
      </c>
      <c r="D168" s="489" t="s">
        <v>3536</v>
      </c>
      <c r="E168" s="485" t="s">
        <v>2955</v>
      </c>
      <c r="F168" s="413" t="s">
        <v>1480</v>
      </c>
      <c r="G168" s="476">
        <f t="shared" ca="1" si="116"/>
        <v>0</v>
      </c>
      <c r="H168" s="477" t="s">
        <v>3395</v>
      </c>
      <c r="I168" s="539">
        <f t="shared" si="117"/>
        <v>0.7</v>
      </c>
      <c r="J168" s="540">
        <v>0.5</v>
      </c>
      <c r="K168" s="477">
        <f t="shared" ca="1" si="109"/>
        <v>0</v>
      </c>
      <c r="L168" s="477" t="s">
        <v>3395</v>
      </c>
      <c r="M168" s="540">
        <f t="shared" si="114"/>
        <v>0.7</v>
      </c>
      <c r="N168" s="540">
        <v>0.5</v>
      </c>
      <c r="O168" s="481">
        <f t="shared" si="110"/>
        <v>525704.33461538458</v>
      </c>
      <c r="P168" s="481">
        <f t="shared" si="111"/>
        <v>525704.33461538458</v>
      </c>
      <c r="Q168" s="481">
        <f t="shared" ca="1" si="115"/>
        <v>0</v>
      </c>
      <c r="R168" s="471">
        <f t="shared" ca="1" si="113"/>
        <v>0</v>
      </c>
    </row>
    <row r="169" spans="1:18">
      <c r="B169" s="361" t="s">
        <v>3544</v>
      </c>
      <c r="C169" s="472" t="str">
        <f ca="1">IF(G169=0,"",COUNTIF($G$155:$G169,"&gt;0"))</f>
        <v/>
      </c>
      <c r="D169" s="489" t="s">
        <v>3537</v>
      </c>
      <c r="E169" s="485" t="s">
        <v>2956</v>
      </c>
      <c r="F169" s="413" t="s">
        <v>1480</v>
      </c>
      <c r="G169" s="476">
        <f t="shared" ca="1" si="116"/>
        <v>0</v>
      </c>
      <c r="H169" s="477" t="s">
        <v>3395</v>
      </c>
      <c r="I169" s="539">
        <f t="shared" si="117"/>
        <v>0.7</v>
      </c>
      <c r="J169" s="540">
        <v>0.5</v>
      </c>
      <c r="K169" s="477">
        <f t="shared" ca="1" si="109"/>
        <v>0</v>
      </c>
      <c r="L169" s="477" t="s">
        <v>3395</v>
      </c>
      <c r="M169" s="540">
        <f t="shared" si="114"/>
        <v>0.7</v>
      </c>
      <c r="N169" s="540">
        <v>0.5</v>
      </c>
      <c r="O169" s="481">
        <f t="shared" si="110"/>
        <v>525704.33461538458</v>
      </c>
      <c r="P169" s="481">
        <f t="shared" si="111"/>
        <v>525704.33461538458</v>
      </c>
      <c r="Q169" s="481">
        <f t="shared" ca="1" si="115"/>
        <v>0</v>
      </c>
      <c r="R169" s="471">
        <f t="shared" ca="1" si="113"/>
        <v>0</v>
      </c>
    </row>
    <row r="170" spans="1:18">
      <c r="B170" s="361" t="s">
        <v>3545</v>
      </c>
      <c r="C170" s="472" t="str">
        <f ca="1">IF(G170=0,"",COUNTIF($G$155:$G170,"&gt;0"))</f>
        <v/>
      </c>
      <c r="D170" s="489" t="s">
        <v>3538</v>
      </c>
      <c r="E170" s="485" t="s">
        <v>2957</v>
      </c>
      <c r="F170" s="413" t="s">
        <v>1480</v>
      </c>
      <c r="G170" s="476">
        <f t="shared" ca="1" si="116"/>
        <v>0</v>
      </c>
      <c r="H170" s="477" t="s">
        <v>3395</v>
      </c>
      <c r="I170" s="539">
        <f t="shared" si="117"/>
        <v>0.7</v>
      </c>
      <c r="J170" s="540">
        <v>0.5</v>
      </c>
      <c r="K170" s="477">
        <f t="shared" ca="1" si="109"/>
        <v>0</v>
      </c>
      <c r="L170" s="477" t="s">
        <v>3395</v>
      </c>
      <c r="M170" s="540">
        <f t="shared" si="114"/>
        <v>0.7</v>
      </c>
      <c r="N170" s="540">
        <v>0.5</v>
      </c>
      <c r="O170" s="481">
        <f t="shared" si="110"/>
        <v>525704.33461538458</v>
      </c>
      <c r="P170" s="481">
        <f t="shared" si="111"/>
        <v>525704.33461538458</v>
      </c>
      <c r="Q170" s="481">
        <f t="shared" ca="1" si="115"/>
        <v>0</v>
      </c>
      <c r="R170" s="471">
        <f t="shared" ca="1" si="113"/>
        <v>0</v>
      </c>
    </row>
    <row r="171" spans="1:18">
      <c r="B171" s="361" t="s">
        <v>3513</v>
      </c>
      <c r="C171" s="472" t="str">
        <f ca="1">IF(G171=0,"",COUNTIF($G$155:$G171,"&gt;0"))</f>
        <v/>
      </c>
      <c r="D171" s="489" t="s">
        <v>3539</v>
      </c>
      <c r="E171" s="485" t="s">
        <v>2958</v>
      </c>
      <c r="F171" s="413" t="s">
        <v>1480</v>
      </c>
      <c r="G171" s="476">
        <f t="shared" ca="1" si="116"/>
        <v>0</v>
      </c>
      <c r="H171" s="477" t="s">
        <v>3395</v>
      </c>
      <c r="I171" s="539">
        <f t="shared" si="117"/>
        <v>0.7</v>
      </c>
      <c r="J171" s="540">
        <v>0.5</v>
      </c>
      <c r="K171" s="477">
        <f t="shared" ca="1" si="109"/>
        <v>0</v>
      </c>
      <c r="L171" s="477" t="s">
        <v>3395</v>
      </c>
      <c r="M171" s="540">
        <f t="shared" si="114"/>
        <v>0.7</v>
      </c>
      <c r="N171" s="540">
        <v>0.5</v>
      </c>
      <c r="O171" s="481">
        <f t="shared" si="110"/>
        <v>525704.33461538458</v>
      </c>
      <c r="P171" s="481">
        <f t="shared" si="111"/>
        <v>525704.33461538458</v>
      </c>
      <c r="Q171" s="481">
        <f t="shared" ca="1" si="115"/>
        <v>0</v>
      </c>
      <c r="R171" s="471">
        <f t="shared" ca="1" si="113"/>
        <v>0</v>
      </c>
    </row>
    <row r="172" spans="1:18">
      <c r="B172" s="361" t="s">
        <v>3546</v>
      </c>
      <c r="C172" s="472" t="str">
        <f ca="1">IF(G172=0,"",COUNTIF($G$155:$G172,"&gt;0"))</f>
        <v/>
      </c>
      <c r="D172" s="489" t="s">
        <v>3540</v>
      </c>
      <c r="E172" s="485" t="s">
        <v>2959</v>
      </c>
      <c r="F172" s="413" t="s">
        <v>1480</v>
      </c>
      <c r="G172" s="476">
        <f t="shared" ca="1" si="116"/>
        <v>0</v>
      </c>
      <c r="H172" s="477" t="s">
        <v>3395</v>
      </c>
      <c r="I172" s="539">
        <f t="shared" si="117"/>
        <v>0.7</v>
      </c>
      <c r="J172" s="540">
        <v>0.5</v>
      </c>
      <c r="K172" s="477">
        <f t="shared" ca="1" si="109"/>
        <v>0</v>
      </c>
      <c r="L172" s="477" t="s">
        <v>3395</v>
      </c>
      <c r="M172" s="540">
        <f t="shared" si="114"/>
        <v>0.7</v>
      </c>
      <c r="N172" s="540">
        <v>0.5</v>
      </c>
      <c r="O172" s="481">
        <f t="shared" si="110"/>
        <v>525704.33461538458</v>
      </c>
      <c r="P172" s="481">
        <f t="shared" si="111"/>
        <v>525704.33461538458</v>
      </c>
      <c r="Q172" s="481">
        <f t="shared" ca="1" si="115"/>
        <v>0</v>
      </c>
      <c r="R172" s="471">
        <f t="shared" ca="1" si="113"/>
        <v>0</v>
      </c>
    </row>
    <row r="173" spans="1:18">
      <c r="B173" s="361" t="s">
        <v>3547</v>
      </c>
      <c r="C173" s="472" t="str">
        <f ca="1">IF(G173=0,"",COUNTIF($G$155:$G173,"&gt;0"))</f>
        <v/>
      </c>
      <c r="D173" s="489" t="s">
        <v>3541</v>
      </c>
      <c r="E173" s="485" t="s">
        <v>2960</v>
      </c>
      <c r="F173" s="413" t="s">
        <v>1480</v>
      </c>
      <c r="G173" s="476">
        <f t="shared" ca="1" si="116"/>
        <v>0</v>
      </c>
      <c r="H173" s="477" t="s">
        <v>3395</v>
      </c>
      <c r="I173" s="539">
        <f t="shared" si="117"/>
        <v>0.7</v>
      </c>
      <c r="J173" s="540">
        <v>0.5</v>
      </c>
      <c r="K173" s="477">
        <f t="shared" ref="K173:K174" ca="1" si="124">G173</f>
        <v>0</v>
      </c>
      <c r="L173" s="477" t="s">
        <v>3395</v>
      </c>
      <c r="M173" s="540">
        <f t="shared" si="114"/>
        <v>0.7</v>
      </c>
      <c r="N173" s="540">
        <v>0.5</v>
      </c>
      <c r="O173" s="481">
        <f t="shared" si="110"/>
        <v>525704.33461538458</v>
      </c>
      <c r="P173" s="481">
        <f t="shared" si="111"/>
        <v>525704.33461538458</v>
      </c>
      <c r="Q173" s="481">
        <f t="shared" ref="Q173:Q174" ca="1" si="125">+O173*G173+P173*K173</f>
        <v>0</v>
      </c>
      <c r="R173" s="471">
        <f t="shared" ref="R173:R174" ca="1" si="126">IF(G173&lt;&gt;0,1,0)</f>
        <v>0</v>
      </c>
    </row>
    <row r="174" spans="1:18">
      <c r="B174" s="361" t="s">
        <v>3548</v>
      </c>
      <c r="C174" s="472" t="str">
        <f ca="1">IF(G174=0,"",COUNTIF($G$155:$G174,"&gt;0"))</f>
        <v/>
      </c>
      <c r="D174" s="489" t="s">
        <v>3542</v>
      </c>
      <c r="E174" s="485" t="s">
        <v>2961</v>
      </c>
      <c r="F174" s="413" t="s">
        <v>1480</v>
      </c>
      <c r="G174" s="476">
        <f t="shared" ca="1" si="116"/>
        <v>0</v>
      </c>
      <c r="H174" s="477" t="s">
        <v>3395</v>
      </c>
      <c r="I174" s="539">
        <f t="shared" si="117"/>
        <v>0.7</v>
      </c>
      <c r="J174" s="540">
        <v>0.5</v>
      </c>
      <c r="K174" s="477">
        <f t="shared" ca="1" si="124"/>
        <v>0</v>
      </c>
      <c r="L174" s="477" t="s">
        <v>3395</v>
      </c>
      <c r="M174" s="540">
        <f t="shared" si="114"/>
        <v>0.7</v>
      </c>
      <c r="N174" s="540">
        <v>0.5</v>
      </c>
      <c r="O174" s="481">
        <f t="shared" si="110"/>
        <v>525704.33461538458</v>
      </c>
      <c r="P174" s="481">
        <f t="shared" si="111"/>
        <v>525704.33461538458</v>
      </c>
      <c r="Q174" s="481">
        <f t="shared" ca="1" si="125"/>
        <v>0</v>
      </c>
      <c r="R174" s="471">
        <f t="shared" ca="1" si="126"/>
        <v>0</v>
      </c>
    </row>
    <row r="175" spans="1:18">
      <c r="B175" s="361"/>
      <c r="C175" s="396" t="s">
        <v>2677</v>
      </c>
      <c r="D175" s="396" t="s">
        <v>2790</v>
      </c>
      <c r="E175" s="505"/>
      <c r="F175" s="396"/>
      <c r="G175" s="506"/>
      <c r="H175" s="507"/>
      <c r="I175" s="126" t="s">
        <v>2602</v>
      </c>
      <c r="J175" s="508"/>
      <c r="K175" s="507"/>
      <c r="L175" s="507"/>
      <c r="M175" s="509"/>
      <c r="N175" s="508"/>
      <c r="O175" s="510"/>
      <c r="P175" s="510"/>
      <c r="Q175" s="510">
        <f ca="1">SUM(Q165:Q174)</f>
        <v>3154226.0076923072</v>
      </c>
      <c r="R175" s="471">
        <f ca="1">IF(Q175&gt;0,1,"")</f>
        <v>1</v>
      </c>
    </row>
    <row r="176" spans="1:18">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127">G177</f>
        <v>0</v>
      </c>
      <c r="L177" s="477" t="s">
        <v>3396</v>
      </c>
      <c r="M177" s="540">
        <v>7.0000000000000007E-2</v>
      </c>
      <c r="N177" s="540">
        <v>1</v>
      </c>
      <c r="O177" s="481">
        <f t="shared" ref="O177:O184" si="128">VLOOKUP(H177,CAMAY,2,0)*I177*J177</f>
        <v>75100.619230769225</v>
      </c>
      <c r="P177" s="481">
        <f t="shared" ref="P177:P184" si="129">VLOOKUP(L177,CAMAY,2,0)*M177*N177</f>
        <v>145706.46089510492</v>
      </c>
      <c r="Q177" s="481">
        <f t="shared" ref="Q177:Q184" ca="1" si="130">+O177*G177+P177*K177</f>
        <v>0</v>
      </c>
      <c r="R177" s="518" t="str">
        <f t="shared" ref="R177:R184" ca="1" si="131">IF(Q177&gt;0,1,"")</f>
        <v/>
      </c>
    </row>
    <row r="178" spans="1:18">
      <c r="B178" s="361" t="s">
        <v>4669</v>
      </c>
      <c r="C178" s="472" t="str">
        <f ca="1">IF(G178=0,"",COUNTIF($G$150:$G178,"&gt;0"))</f>
        <v/>
      </c>
      <c r="D178" s="827" t="s">
        <v>4695</v>
      </c>
      <c r="E178" s="828" t="s">
        <v>4689</v>
      </c>
      <c r="F178" s="413" t="s">
        <v>4694</v>
      </c>
      <c r="G178" s="476">
        <f t="shared" ref="G178:G183" ca="1" si="132">G119</f>
        <v>0</v>
      </c>
      <c r="H178" s="477" t="s">
        <v>3395</v>
      </c>
      <c r="I178" s="540">
        <f>2/10</f>
        <v>0.2</v>
      </c>
      <c r="J178" s="540">
        <v>1</v>
      </c>
      <c r="K178" s="541">
        <f t="shared" ca="1" si="127"/>
        <v>0</v>
      </c>
      <c r="L178" s="477" t="s">
        <v>3395</v>
      </c>
      <c r="M178" s="540"/>
      <c r="N178" s="540">
        <v>1</v>
      </c>
      <c r="O178" s="481">
        <f t="shared" si="128"/>
        <v>300402.4769230769</v>
      </c>
      <c r="P178" s="481">
        <f t="shared" si="129"/>
        <v>0</v>
      </c>
      <c r="Q178" s="481">
        <f t="shared" ca="1" si="130"/>
        <v>0</v>
      </c>
      <c r="R178" s="518" t="str">
        <f t="shared" ca="1" si="131"/>
        <v/>
      </c>
    </row>
    <row r="179" spans="1:18">
      <c r="B179" s="361" t="s">
        <v>4670</v>
      </c>
      <c r="C179" s="472" t="str">
        <f ca="1">IF(G179=0,"",COUNTIF($G$150:$G179,"&gt;0"))</f>
        <v/>
      </c>
      <c r="D179" s="827" t="s">
        <v>4693</v>
      </c>
      <c r="E179" s="828" t="s">
        <v>4692</v>
      </c>
      <c r="F179" s="413" t="s">
        <v>37</v>
      </c>
      <c r="G179" s="476">
        <f t="shared" ca="1" si="132"/>
        <v>0</v>
      </c>
      <c r="H179" s="477" t="s">
        <v>3395</v>
      </c>
      <c r="I179" s="540">
        <f>0.2</f>
        <v>0.2</v>
      </c>
      <c r="J179" s="540">
        <v>1</v>
      </c>
      <c r="K179" s="541">
        <f t="shared" ca="1" si="127"/>
        <v>0</v>
      </c>
      <c r="L179" s="477" t="s">
        <v>3395</v>
      </c>
      <c r="M179" s="540"/>
      <c r="N179" s="540">
        <v>1</v>
      </c>
      <c r="O179" s="481">
        <f t="shared" si="128"/>
        <v>300402.4769230769</v>
      </c>
      <c r="P179" s="481">
        <f t="shared" si="129"/>
        <v>0</v>
      </c>
      <c r="Q179" s="481">
        <f t="shared" ca="1" si="130"/>
        <v>0</v>
      </c>
      <c r="R179" s="518" t="str">
        <f t="shared" ca="1" si="131"/>
        <v/>
      </c>
    </row>
    <row r="180" spans="1:18">
      <c r="B180" s="361" t="s">
        <v>4671</v>
      </c>
      <c r="C180" s="472" t="str">
        <f ca="1">IF(G180=0,"",COUNTIF($G$150:$G180,"&gt;0"))</f>
        <v/>
      </c>
      <c r="D180" s="827" t="s">
        <v>4696</v>
      </c>
      <c r="E180" s="828" t="s">
        <v>4697</v>
      </c>
      <c r="F180" s="413" t="s">
        <v>774</v>
      </c>
      <c r="G180" s="476">
        <f t="shared" ca="1" si="132"/>
        <v>0</v>
      </c>
      <c r="H180" s="477" t="s">
        <v>3395</v>
      </c>
      <c r="I180" s="540">
        <f>0.5/40</f>
        <v>1.2500000000000001E-2</v>
      </c>
      <c r="J180" s="540">
        <v>1</v>
      </c>
      <c r="K180" s="541">
        <f t="shared" ca="1" si="127"/>
        <v>0</v>
      </c>
      <c r="L180" s="477" t="s">
        <v>3395</v>
      </c>
      <c r="M180" s="540"/>
      <c r="N180" s="540">
        <v>0.8</v>
      </c>
      <c r="O180" s="481">
        <f t="shared" si="128"/>
        <v>18775.154807692306</v>
      </c>
      <c r="P180" s="481">
        <f t="shared" si="129"/>
        <v>0</v>
      </c>
      <c r="Q180" s="481">
        <f t="shared" ca="1" si="130"/>
        <v>0</v>
      </c>
      <c r="R180" s="518" t="str">
        <f t="shared" ca="1" si="131"/>
        <v/>
      </c>
    </row>
    <row r="181" spans="1:18">
      <c r="B181" s="361" t="s">
        <v>4668</v>
      </c>
      <c r="C181" s="472">
        <v>1</v>
      </c>
      <c r="D181" s="827" t="s">
        <v>4699</v>
      </c>
      <c r="E181" s="828" t="s">
        <v>4698</v>
      </c>
      <c r="F181" s="413" t="s">
        <v>774</v>
      </c>
      <c r="G181" s="476">
        <f t="shared" ca="1" si="132"/>
        <v>0</v>
      </c>
      <c r="H181" s="477" t="s">
        <v>3395</v>
      </c>
      <c r="I181" s="540">
        <v>0.2</v>
      </c>
      <c r="J181" s="540">
        <v>1</v>
      </c>
      <c r="K181" s="541">
        <f t="shared" ca="1" si="127"/>
        <v>0</v>
      </c>
      <c r="L181" s="477" t="s">
        <v>3395</v>
      </c>
      <c r="M181" s="540"/>
      <c r="N181" s="540">
        <v>1</v>
      </c>
      <c r="O181" s="481">
        <f t="shared" si="128"/>
        <v>300402.4769230769</v>
      </c>
      <c r="P181" s="481">
        <f t="shared" si="129"/>
        <v>0</v>
      </c>
      <c r="Q181" s="481">
        <f t="shared" ca="1" si="130"/>
        <v>0</v>
      </c>
      <c r="R181" s="518" t="str">
        <f t="shared" ca="1" si="131"/>
        <v/>
      </c>
    </row>
    <row r="182" spans="1:18">
      <c r="B182" s="361" t="s">
        <v>4669</v>
      </c>
      <c r="C182" s="472" t="str">
        <f ca="1">IF(G182=0,"",COUNTIF($G$150:$G182,"&gt;0"))</f>
        <v/>
      </c>
      <c r="D182" s="827" t="s">
        <v>4700</v>
      </c>
      <c r="E182" s="828" t="s">
        <v>4701</v>
      </c>
      <c r="F182" s="413" t="s">
        <v>2785</v>
      </c>
      <c r="G182" s="476">
        <f t="shared" ca="1" si="132"/>
        <v>0</v>
      </c>
      <c r="H182" s="477" t="s">
        <v>3395</v>
      </c>
      <c r="I182" s="540">
        <v>0.5</v>
      </c>
      <c r="J182" s="540">
        <v>1</v>
      </c>
      <c r="K182" s="541">
        <f t="shared" ca="1" si="127"/>
        <v>0</v>
      </c>
      <c r="L182" s="477" t="s">
        <v>3395</v>
      </c>
      <c r="M182" s="540"/>
      <c r="N182" s="540">
        <v>1</v>
      </c>
      <c r="O182" s="481">
        <f t="shared" si="128"/>
        <v>751006.19230769225</v>
      </c>
      <c r="P182" s="481">
        <f t="shared" si="129"/>
        <v>0</v>
      </c>
      <c r="Q182" s="481">
        <f t="shared" ca="1" si="130"/>
        <v>0</v>
      </c>
      <c r="R182" s="518" t="str">
        <f t="shared" ca="1" si="131"/>
        <v/>
      </c>
    </row>
    <row r="183" spans="1:18">
      <c r="B183" s="361" t="s">
        <v>4670</v>
      </c>
      <c r="C183" s="472" t="str">
        <f ca="1">IF(G183=0,"",COUNTIF($G$150:$G183,"&gt;0"))</f>
        <v/>
      </c>
      <c r="D183" s="827" t="s">
        <v>4702</v>
      </c>
      <c r="E183" s="828" t="s">
        <v>4703</v>
      </c>
      <c r="F183" s="413" t="s">
        <v>2785</v>
      </c>
      <c r="G183" s="476">
        <f t="shared" ca="1" si="132"/>
        <v>0</v>
      </c>
      <c r="H183" s="477" t="s">
        <v>3395</v>
      </c>
      <c r="I183" s="540">
        <v>0.5</v>
      </c>
      <c r="J183" s="540">
        <v>1</v>
      </c>
      <c r="K183" s="541">
        <f t="shared" ca="1" si="127"/>
        <v>0</v>
      </c>
      <c r="L183" s="477" t="s">
        <v>3395</v>
      </c>
      <c r="M183" s="540"/>
      <c r="N183" s="540">
        <v>1</v>
      </c>
      <c r="O183" s="481">
        <f t="shared" si="128"/>
        <v>751006.19230769225</v>
      </c>
      <c r="P183" s="481">
        <f t="shared" si="129"/>
        <v>0</v>
      </c>
      <c r="Q183" s="481">
        <f t="shared" ca="1" si="130"/>
        <v>0</v>
      </c>
      <c r="R183" s="518" t="str">
        <f t="shared" ca="1" si="131"/>
        <v/>
      </c>
    </row>
    <row r="184" spans="1:18">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128"/>
        <v>145706.46089510492</v>
      </c>
      <c r="P184" s="481">
        <f t="shared" si="129"/>
        <v>145706.46089510492</v>
      </c>
      <c r="Q184" s="481">
        <f t="shared" si="130"/>
        <v>0</v>
      </c>
      <c r="R184" s="518" t="str">
        <f t="shared" si="131"/>
        <v/>
      </c>
    </row>
    <row r="185" spans="1:18">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c r="A186" s="377" t="s">
        <v>4050</v>
      </c>
      <c r="B186" s="361"/>
      <c r="C186" s="1419" t="s">
        <v>2677</v>
      </c>
      <c r="D186" s="1422" t="s">
        <v>2792</v>
      </c>
      <c r="E186" s="1425" t="s">
        <v>2773</v>
      </c>
      <c r="F186" s="1426"/>
      <c r="G186" s="1426"/>
      <c r="H186" s="1426"/>
      <c r="I186" s="1426"/>
      <c r="J186" s="1426"/>
      <c r="K186" s="1426"/>
      <c r="L186" s="1426"/>
      <c r="M186" s="1426"/>
      <c r="N186" s="1427"/>
      <c r="O186" s="548" t="s">
        <v>4043</v>
      </c>
      <c r="P186" s="510"/>
      <c r="Q186" s="510">
        <f ca="1">Q72</f>
        <v>92413116.662688002</v>
      </c>
      <c r="R186" s="547">
        <f ca="1">IF(Q186&gt;0,1,0)</f>
        <v>1</v>
      </c>
    </row>
    <row r="187" spans="1:18">
      <c r="A187" s="377" t="s">
        <v>4049</v>
      </c>
      <c r="B187" s="361"/>
      <c r="C187" s="1420"/>
      <c r="D187" s="1423"/>
      <c r="E187" s="1428"/>
      <c r="F187" s="1429"/>
      <c r="G187" s="1429"/>
      <c r="H187" s="1429"/>
      <c r="I187" s="1429"/>
      <c r="J187" s="1429"/>
      <c r="K187" s="1429"/>
      <c r="L187" s="1429"/>
      <c r="M187" s="1429"/>
      <c r="N187" s="1430"/>
      <c r="O187" s="548" t="s">
        <v>4044</v>
      </c>
      <c r="P187" s="510"/>
      <c r="Q187" s="510">
        <f ca="1">Q163</f>
        <v>17272460.17867972</v>
      </c>
      <c r="R187" s="547">
        <f t="shared" ref="R187:R189" ca="1" si="133">IF(Q187&gt;0,1,0)</f>
        <v>1</v>
      </c>
    </row>
    <row r="188" spans="1:18">
      <c r="A188" s="377" t="s">
        <v>4048</v>
      </c>
      <c r="B188" s="361"/>
      <c r="C188" s="1420"/>
      <c r="D188" s="1423"/>
      <c r="E188" s="1428"/>
      <c r="F188" s="1429"/>
      <c r="G188" s="1429"/>
      <c r="H188" s="1429"/>
      <c r="I188" s="1429"/>
      <c r="J188" s="1429"/>
      <c r="K188" s="1429"/>
      <c r="L188" s="1429"/>
      <c r="M188" s="1429"/>
      <c r="N188" s="1430"/>
      <c r="O188" s="548" t="s">
        <v>4045</v>
      </c>
      <c r="P188" s="510"/>
      <c r="Q188" s="510">
        <f ca="1">Q116</f>
        <v>7317502.7205600012</v>
      </c>
      <c r="R188" s="547">
        <f t="shared" ca="1" si="133"/>
        <v>1</v>
      </c>
    </row>
    <row r="189" spans="1:18">
      <c r="A189" s="377" t="s">
        <v>4047</v>
      </c>
      <c r="B189" s="361"/>
      <c r="C189" s="1421"/>
      <c r="D189" s="1424"/>
      <c r="E189" s="1431"/>
      <c r="F189" s="1432"/>
      <c r="G189" s="1432"/>
      <c r="H189" s="1432"/>
      <c r="I189" s="1432"/>
      <c r="J189" s="1432"/>
      <c r="K189" s="1432"/>
      <c r="L189" s="1432"/>
      <c r="M189" s="1432"/>
      <c r="N189" s="1433"/>
      <c r="O189" s="548" t="s">
        <v>4046</v>
      </c>
      <c r="P189" s="510"/>
      <c r="Q189" s="510">
        <f ca="1">Q175</f>
        <v>3154226.0076923072</v>
      </c>
      <c r="R189" s="547">
        <f t="shared" ca="1" si="133"/>
        <v>1</v>
      </c>
    </row>
    <row r="190" spans="1:18">
      <c r="B190" s="361"/>
      <c r="C190" s="549" t="s">
        <v>3520</v>
      </c>
      <c r="D190" s="519"/>
      <c r="E190" s="520"/>
      <c r="F190" s="519"/>
      <c r="G190" s="522"/>
      <c r="H190" s="522"/>
      <c r="I190" s="550"/>
      <c r="J190" s="551"/>
      <c r="K190" s="522"/>
      <c r="L190" s="522"/>
      <c r="M190" s="550"/>
      <c r="N190" s="551"/>
      <c r="O190" s="552"/>
      <c r="P190" s="552"/>
      <c r="Q190" s="552"/>
      <c r="R190" s="553"/>
    </row>
  </sheetData>
  <autoFilter ref="R5:R190"/>
  <mergeCells count="3">
    <mergeCell ref="C186:C189"/>
    <mergeCell ref="D186:D189"/>
    <mergeCell ref="E186:N189"/>
  </mergeCells>
  <pageMargins left="0.7" right="0.7" top="0.75" bottom="0.75" header="0.3" footer="0.3"/>
  <pageSetup paperSize="9" scale="5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0:G11"/>
  <sheetViews>
    <sheetView showGridLines="0" zoomScale="85" zoomScaleNormal="85" workbookViewId="0">
      <selection activeCell="L13" sqref="L13"/>
    </sheetView>
  </sheetViews>
  <sheetFormatPr defaultColWidth="9.140625" defaultRowHeight="15"/>
  <cols>
    <col min="1" max="8" width="9.140625" style="239"/>
    <col min="9" max="9" width="10.42578125" style="239" customWidth="1"/>
    <col min="10" max="16384" width="9.140625" style="239"/>
  </cols>
  <sheetData>
    <row r="10" spans="1:7" ht="6" customHeight="1"/>
    <row r="11" spans="1:7" ht="17.25" customHeight="1">
      <c r="A11" s="821" t="s">
        <v>4660</v>
      </c>
      <c r="B11" s="820"/>
      <c r="C11" s="820"/>
      <c r="D11" s="820"/>
      <c r="E11" s="820"/>
      <c r="F11" s="820"/>
      <c r="G11" s="820"/>
    </row>
  </sheetData>
  <sheetProtection algorithmName="SHA-512" hashValue="dA8OghlF8C27esc3kflccwgIOb2pbETQHZTXXRdP1qcS4KyVGoctWJwM6up1eVa17Q7zKnr6KnPq9t8sGISVmQ==" saltValue="RcBlzW5FkG7eUX2vYKLrWA==" spinCount="100000" sheet="1" objects="1" scenarios="1" selectLockedCells="1" selectUnlockedCells="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1"/>
    <pageSetUpPr fitToPage="1"/>
  </sheetPr>
  <dimension ref="A1:AL98"/>
  <sheetViews>
    <sheetView showGridLines="0" topLeftCell="O7" zoomScaleNormal="100" workbookViewId="0">
      <selection activeCell="V26" sqref="V26"/>
    </sheetView>
  </sheetViews>
  <sheetFormatPr defaultColWidth="9.140625" defaultRowHeight="20.100000000000001" customHeight="1"/>
  <cols>
    <col min="1" max="1" width="31.140625" style="1005" customWidth="1"/>
    <col min="2" max="2" width="10.42578125" style="1005" bestFit="1" customWidth="1"/>
    <col min="3" max="3" width="5.42578125" style="1005" customWidth="1"/>
    <col min="4" max="4" width="14.5703125" style="1005" customWidth="1"/>
    <col min="5" max="8" width="14.5703125" style="1047" customWidth="1"/>
    <col min="9" max="9" width="6.140625" style="1005" bestFit="1" customWidth="1"/>
    <col min="10" max="10" width="21.42578125" style="1005" customWidth="1"/>
    <col min="11" max="11" width="55.85546875" style="1005" customWidth="1"/>
    <col min="12" max="12" width="5" style="1005" customWidth="1"/>
    <col min="13" max="13" width="6.140625" style="1005" customWidth="1"/>
    <col min="14" max="17" width="17.85546875" style="1005" customWidth="1"/>
    <col min="18" max="18" width="5" style="1005" customWidth="1"/>
    <col min="19" max="19" width="10.140625" style="1005" customWidth="1"/>
    <col min="20" max="20" width="30.42578125" style="1005" customWidth="1"/>
    <col min="21" max="21" width="10.42578125" style="1005" customWidth="1"/>
    <col min="22" max="22" width="12.42578125" style="1005" bestFit="1" customWidth="1"/>
    <col min="23" max="24" width="12" style="1005" bestFit="1" customWidth="1"/>
    <col min="25" max="25" width="15.5703125" style="1005" bestFit="1" customWidth="1"/>
    <col min="26" max="26" width="18.42578125" style="1005" customWidth="1"/>
    <col min="27" max="28" width="6.85546875" style="1005" customWidth="1"/>
    <col min="29" max="32" width="9.42578125" style="1005" customWidth="1"/>
    <col min="33" max="35" width="12.140625" style="1005" customWidth="1"/>
    <col min="36" max="38" width="11.5703125" style="1005" customWidth="1"/>
    <col min="39" max="16384" width="9.140625" style="1005"/>
  </cols>
  <sheetData>
    <row r="1" spans="1:38" ht="20.100000000000001" customHeight="1">
      <c r="A1" s="1004" t="s">
        <v>3326</v>
      </c>
      <c r="B1" s="1004" t="s">
        <v>2853</v>
      </c>
      <c r="D1" s="1446" t="s">
        <v>4734</v>
      </c>
      <c r="E1" s="1446"/>
      <c r="F1" s="1446"/>
      <c r="G1" s="1446"/>
      <c r="H1" s="1446"/>
      <c r="J1" s="1006" t="s">
        <v>3285</v>
      </c>
      <c r="K1" s="1007"/>
      <c r="M1" s="1008" t="s">
        <v>3330</v>
      </c>
      <c r="N1" s="1009"/>
      <c r="O1" s="1008"/>
      <c r="P1" s="1009"/>
      <c r="Q1" s="1008"/>
      <c r="S1" s="1434" t="s">
        <v>4457</v>
      </c>
      <c r="T1" s="1434" t="s">
        <v>4759</v>
      </c>
      <c r="U1" s="1434" t="s">
        <v>2352</v>
      </c>
      <c r="V1" s="1010" t="s">
        <v>4458</v>
      </c>
      <c r="W1" s="1010" t="s">
        <v>4459</v>
      </c>
      <c r="X1" s="1010"/>
      <c r="Y1" s="1010"/>
      <c r="Z1" s="1010" t="s">
        <v>4460</v>
      </c>
      <c r="AA1" s="1436" t="s">
        <v>4485</v>
      </c>
      <c r="AB1" s="1437"/>
      <c r="AC1" s="1010" t="s">
        <v>4461</v>
      </c>
      <c r="AD1" s="1010"/>
      <c r="AE1" s="1010"/>
      <c r="AF1" s="1010"/>
      <c r="AG1" s="1010" t="s">
        <v>4462</v>
      </c>
      <c r="AH1" s="1010"/>
      <c r="AI1" s="1010"/>
      <c r="AJ1" s="1434" t="s">
        <v>4482</v>
      </c>
      <c r="AK1" s="1434" t="s">
        <v>4483</v>
      </c>
      <c r="AL1" s="1434" t="s">
        <v>4484</v>
      </c>
    </row>
    <row r="2" spans="1:38" ht="20.100000000000001" customHeight="1">
      <c r="A2" s="1011" t="s">
        <v>3275</v>
      </c>
      <c r="B2" s="1012">
        <v>1</v>
      </c>
      <c r="D2" s="1048" t="s">
        <v>4493</v>
      </c>
      <c r="E2" s="1049">
        <v>2530000</v>
      </c>
      <c r="F2" s="1049">
        <v>2320000</v>
      </c>
      <c r="G2" s="1049">
        <v>2154000</v>
      </c>
      <c r="H2" s="1049">
        <v>2050000</v>
      </c>
      <c r="J2" s="1013" t="s">
        <v>3286</v>
      </c>
      <c r="K2" s="1013" t="s">
        <v>5116</v>
      </c>
      <c r="M2" s="1014" t="s">
        <v>2375</v>
      </c>
      <c r="N2" s="1015">
        <v>1000000000</v>
      </c>
      <c r="O2" s="1015">
        <v>3000000000</v>
      </c>
      <c r="P2" s="1015">
        <v>7000000000</v>
      </c>
      <c r="Q2" s="1015" t="e">
        <f ca="1">th_gtbtt+th_gxdtt</f>
        <v>#REF!</v>
      </c>
      <c r="S2" s="1435"/>
      <c r="T2" s="1435"/>
      <c r="U2" s="1435"/>
      <c r="V2" s="1010" t="s">
        <v>4463</v>
      </c>
      <c r="W2" s="1010" t="s">
        <v>4464</v>
      </c>
      <c r="X2" s="1010" t="s">
        <v>4465</v>
      </c>
      <c r="Y2" s="1010" t="s">
        <v>4466</v>
      </c>
      <c r="Z2" s="1010" t="s">
        <v>4467</v>
      </c>
      <c r="AA2" s="1438"/>
      <c r="AB2" s="1439"/>
      <c r="AC2" s="1010" t="s">
        <v>4468</v>
      </c>
      <c r="AD2" s="1010" t="s">
        <v>4469</v>
      </c>
      <c r="AE2" s="1010" t="s">
        <v>4470</v>
      </c>
      <c r="AF2" s="1010" t="s">
        <v>4471</v>
      </c>
      <c r="AG2" s="1010" t="s">
        <v>4464</v>
      </c>
      <c r="AH2" s="1010" t="s">
        <v>4465</v>
      </c>
      <c r="AI2" s="1010" t="s">
        <v>4466</v>
      </c>
      <c r="AJ2" s="1435"/>
      <c r="AK2" s="1435"/>
      <c r="AL2" s="1435"/>
    </row>
    <row r="3" spans="1:38" ht="20.100000000000001" customHeight="1" thickBot="1">
      <c r="A3" s="1011" t="s">
        <v>3276</v>
      </c>
      <c r="B3" s="1012">
        <v>1</v>
      </c>
      <c r="D3" s="1050" t="s">
        <v>2347</v>
      </c>
      <c r="E3" s="1048" t="s">
        <v>3339</v>
      </c>
      <c r="F3" s="1048" t="s">
        <v>3340</v>
      </c>
      <c r="G3" s="1051" t="s">
        <v>2738</v>
      </c>
      <c r="H3" s="1051" t="s">
        <v>4492</v>
      </c>
      <c r="J3" s="1013" t="s">
        <v>3287</v>
      </c>
      <c r="K3" s="1013" t="s">
        <v>5117</v>
      </c>
      <c r="M3" s="1016"/>
      <c r="N3" s="1016"/>
      <c r="O3" s="1016"/>
      <c r="P3" s="1016"/>
      <c r="Q3" s="1016"/>
      <c r="S3" s="1017" t="s">
        <v>3400</v>
      </c>
      <c r="T3" s="1017" t="s">
        <v>4472</v>
      </c>
      <c r="U3" s="1018" t="s">
        <v>3825</v>
      </c>
      <c r="V3" s="1019">
        <v>230</v>
      </c>
      <c r="W3" s="1019">
        <v>17</v>
      </c>
      <c r="X3" s="1020">
        <v>4.5999999999999996</v>
      </c>
      <c r="Y3" s="1019">
        <v>4</v>
      </c>
      <c r="Z3" s="1021">
        <v>51700</v>
      </c>
      <c r="AA3" s="1019">
        <v>14</v>
      </c>
      <c r="AB3" s="1019" t="s">
        <v>4487</v>
      </c>
      <c r="AC3" s="1019" t="s">
        <v>4509</v>
      </c>
      <c r="AD3" s="1019">
        <v>1</v>
      </c>
      <c r="AE3" s="1019"/>
      <c r="AF3" s="1019"/>
      <c r="AG3" s="1022">
        <f>IF(U3="","",IF(Z3&lt;(30*10^4),Z3*W3%/V3,(Z3-10%*Z3)*W3%/V3)*10^3)</f>
        <v>38213.043478260872</v>
      </c>
      <c r="AH3" s="1022">
        <f t="shared" ref="AH3:AH4" si="0">Z3*X3%*10^3/V3</f>
        <v>10340</v>
      </c>
      <c r="AI3" s="1022">
        <f t="shared" ref="AI3:AI4" si="1">Z3*Y3%*10^3/V3</f>
        <v>8991.3043478260861</v>
      </c>
      <c r="AJ3" s="1022">
        <f>IF(AA3&gt;0,AA3*VLOOKUP(AB3,$E$61:$I$65,2,0)*(1+VLOOKUP(AB3,$E$61:$I$65,5,0)),0)</f>
        <v>25775.337000000003</v>
      </c>
      <c r="AK3" s="1022">
        <f>IF(AE3&lt;&gt;"",VLOOKUP(AE3,$E$69:$H$85,4,0),0)*AF3+IF(AC3&lt;&gt;"",VLOOKUP(AC3,$E$69:$H$85,4,0),0)*AD3</f>
        <v>178947.69230769231</v>
      </c>
      <c r="AL3" s="1022">
        <f>SUM(AG3:AK3)</f>
        <v>262267.37713377929</v>
      </c>
    </row>
    <row r="4" spans="1:38" ht="20.100000000000001" customHeight="1">
      <c r="A4" s="1011" t="s">
        <v>3277</v>
      </c>
      <c r="B4" s="1012">
        <v>1</v>
      </c>
      <c r="D4" s="1052" t="s">
        <v>4494</v>
      </c>
      <c r="E4" s="1053"/>
      <c r="F4" s="1054"/>
      <c r="G4" s="1054">
        <f>IF(D5=1,E2,IF(D5=2,F2,IF(D5=3,G2,IF(D5=4,H2,G2))))</f>
        <v>2154000</v>
      </c>
      <c r="H4" s="1054"/>
      <c r="J4" s="1013" t="s">
        <v>3288</v>
      </c>
      <c r="K4" s="1013" t="s">
        <v>5118</v>
      </c>
      <c r="M4" s="1014" t="s">
        <v>3329</v>
      </c>
      <c r="N4" s="1016">
        <v>6.7</v>
      </c>
      <c r="O4" s="1016">
        <v>4.8</v>
      </c>
      <c r="P4" s="1016">
        <v>4.3</v>
      </c>
      <c r="Q4" s="1016" t="e">
        <f ca="1">ROUND(IF(Q2&lt;=N2,N4,IF(Q2&lt;=O2,ROUND(N4-(N4-O4)*(Q2-N2)/(O2-N2),3),IF(Q2&lt;=P2,ROUND(O4-(O4-P4)*(Q2-O2)/(P2-O2),3),3.8))),3)</f>
        <v>#REF!</v>
      </c>
      <c r="S4" s="1017" t="s">
        <v>3396</v>
      </c>
      <c r="T4" s="1017" t="s">
        <v>4473</v>
      </c>
      <c r="U4" s="1018" t="s">
        <v>3825</v>
      </c>
      <c r="V4" s="1019">
        <v>220</v>
      </c>
      <c r="W4" s="1019">
        <v>10</v>
      </c>
      <c r="X4" s="1020">
        <v>4.5</v>
      </c>
      <c r="Y4" s="1019">
        <v>5</v>
      </c>
      <c r="Z4" s="1021">
        <v>1158800</v>
      </c>
      <c r="AA4" s="1019">
        <v>37</v>
      </c>
      <c r="AB4" s="1019" t="s">
        <v>4490</v>
      </c>
      <c r="AC4" s="1019" t="s">
        <v>4503</v>
      </c>
      <c r="AD4" s="1019">
        <v>1</v>
      </c>
      <c r="AE4" s="1019" t="s">
        <v>4504</v>
      </c>
      <c r="AF4" s="1019">
        <v>1</v>
      </c>
      <c r="AG4" s="1022">
        <f t="shared" ref="AG4" si="2">IF(U4="","",IF(Z4&lt;(30*10^4),Z4*W4%/V4,(Z4-10%*Z4)*W4%/V4)*10^3)</f>
        <v>474054.54545454547</v>
      </c>
      <c r="AH4" s="1022">
        <f t="shared" si="0"/>
        <v>237027.27272727274</v>
      </c>
      <c r="AI4" s="1022">
        <f t="shared" si="1"/>
        <v>263363.63636363635</v>
      </c>
      <c r="AJ4" s="1022">
        <f t="shared" ref="AJ4:AJ20" si="3">IF(AA4&gt;0,AA4*VLOOKUP(AB4,$E$61:$I$65,2,0)*(1+VLOOKUP(AB4,$E$61:$I$65,5,0)),0)</f>
        <v>614140.80000000005</v>
      </c>
      <c r="AK4" s="1022">
        <f t="shared" ref="AK4:AK22" si="4">IF(AE4&lt;&gt;"",VLOOKUP(AE4,$E$69:$H$85,4,0),0)*AF4+IF(AC4&lt;&gt;"",VLOOKUP(AC4,$E$69:$H$85,4,0),0)*AD4</f>
        <v>492934.61538461538</v>
      </c>
      <c r="AL4" s="1022">
        <f t="shared" ref="AL4:AL22" si="5">SUM(AG4:AK4)</f>
        <v>2081520.8699300699</v>
      </c>
    </row>
    <row r="5" spans="1:38" ht="20.100000000000001" customHeight="1" thickBot="1">
      <c r="A5" s="1011" t="s">
        <v>3278</v>
      </c>
      <c r="B5" s="1012">
        <v>1</v>
      </c>
      <c r="D5" s="1055">
        <v>3</v>
      </c>
      <c r="E5" s="1056" t="s">
        <v>3341</v>
      </c>
      <c r="F5" s="1057">
        <v>1.55</v>
      </c>
      <c r="G5" s="1058">
        <f>$G$4*F5</f>
        <v>3338700</v>
      </c>
      <c r="H5" s="1058">
        <f>ROUND(G5/$D$7,0)</f>
        <v>128412</v>
      </c>
      <c r="J5" s="1013" t="s">
        <v>3289</v>
      </c>
      <c r="K5" s="1013" t="s">
        <v>3813</v>
      </c>
      <c r="M5" s="1023"/>
      <c r="N5" s="1023"/>
      <c r="O5" s="1023"/>
      <c r="P5" s="1023"/>
      <c r="Q5" s="1023"/>
      <c r="S5" s="1017" t="s">
        <v>3395</v>
      </c>
      <c r="T5" s="1017" t="s">
        <v>4474</v>
      </c>
      <c r="U5" s="1018" t="s">
        <v>3825</v>
      </c>
      <c r="V5" s="1019">
        <v>220</v>
      </c>
      <c r="W5" s="1019">
        <v>10</v>
      </c>
      <c r="X5" s="1020">
        <v>4.7</v>
      </c>
      <c r="Y5" s="1019">
        <v>5</v>
      </c>
      <c r="Z5" s="1021">
        <v>671500</v>
      </c>
      <c r="AA5" s="1019">
        <v>30</v>
      </c>
      <c r="AB5" s="1019" t="s">
        <v>4490</v>
      </c>
      <c r="AC5" s="1019" t="s">
        <v>4498</v>
      </c>
      <c r="AD5" s="1019">
        <v>1</v>
      </c>
      <c r="AE5" s="1019" t="s">
        <v>4501</v>
      </c>
      <c r="AF5" s="1019">
        <v>1</v>
      </c>
      <c r="AG5" s="1022">
        <f>IF(U5="","",IF(Z5&lt;(30*10^4),Z5*W5%/V5,(Z5-10%*Z5)*W5%/V5)*10^3)</f>
        <v>274704.54545454541</v>
      </c>
      <c r="AH5" s="1022">
        <f>Z5*X5%*10^3/V5</f>
        <v>143456.81818181818</v>
      </c>
      <c r="AI5" s="1022">
        <f>Z5*Y5%*10^3/V5</f>
        <v>152613.63636363635</v>
      </c>
      <c r="AJ5" s="1022">
        <f t="shared" si="3"/>
        <v>497952</v>
      </c>
      <c r="AK5" s="1022">
        <f t="shared" si="4"/>
        <v>433285.38461538462</v>
      </c>
      <c r="AL5" s="1022">
        <f>SUM(AG5:AK5)</f>
        <v>1502012.3846153845</v>
      </c>
    </row>
    <row r="6" spans="1:38" ht="20.100000000000001" customHeight="1">
      <c r="A6" s="1011" t="s">
        <v>3279</v>
      </c>
      <c r="B6" s="1012">
        <v>1</v>
      </c>
      <c r="D6" s="1052" t="s">
        <v>4523</v>
      </c>
      <c r="E6" s="1059" t="s">
        <v>3342</v>
      </c>
      <c r="F6" s="1057">
        <v>1.83</v>
      </c>
      <c r="G6" s="1058">
        <f t="shared" ref="G6:G58" si="6">$G$4*F6</f>
        <v>3941820</v>
      </c>
      <c r="H6" s="1058">
        <f t="shared" ref="H6:H58" si="7">ROUND(G6/$D$7,0)</f>
        <v>151608</v>
      </c>
      <c r="J6" s="1013" t="s">
        <v>3290</v>
      </c>
      <c r="K6" s="1013" t="s">
        <v>4991</v>
      </c>
      <c r="M6" s="1016" t="s">
        <v>3788</v>
      </c>
      <c r="N6" s="1016" t="s">
        <v>3790</v>
      </c>
      <c r="O6" s="1440" t="s">
        <v>3789</v>
      </c>
      <c r="P6" s="1441"/>
      <c r="Q6" s="1442"/>
      <c r="S6" s="1017" t="s">
        <v>3399</v>
      </c>
      <c r="T6" s="1017" t="s">
        <v>4475</v>
      </c>
      <c r="U6" s="1018" t="s">
        <v>3825</v>
      </c>
      <c r="V6" s="1019">
        <v>230</v>
      </c>
      <c r="W6" s="1019">
        <v>17</v>
      </c>
      <c r="X6" s="1020">
        <v>4.3</v>
      </c>
      <c r="Y6" s="1019">
        <v>5</v>
      </c>
      <c r="Z6" s="1021">
        <v>1106200</v>
      </c>
      <c r="AA6" s="1019">
        <v>39</v>
      </c>
      <c r="AB6" s="1019" t="s">
        <v>4490</v>
      </c>
      <c r="AC6" s="1019" t="s">
        <v>4510</v>
      </c>
      <c r="AD6" s="1019">
        <v>1</v>
      </c>
      <c r="AE6" s="1019"/>
      <c r="AF6" s="1019"/>
      <c r="AG6" s="1022">
        <f>IF(U6="","",IF(Z6&lt;(30*10^4),Z6*W6%/V6,(Z6-10%*Z6)*W6%/V6)*10^3)</f>
        <v>735863.47826086951</v>
      </c>
      <c r="AH6" s="1022">
        <f>Z6*X6%*10^3/V6</f>
        <v>206811.30434782608</v>
      </c>
      <c r="AI6" s="1022">
        <f>Z6*Y6%*10^3/V6</f>
        <v>240478.26086956522</v>
      </c>
      <c r="AJ6" s="1022">
        <f t="shared" si="3"/>
        <v>647337.6</v>
      </c>
      <c r="AK6" s="1022">
        <f t="shared" si="4"/>
        <v>211257.69230769231</v>
      </c>
      <c r="AL6" s="1022">
        <f t="shared" si="5"/>
        <v>2041748.3357859531</v>
      </c>
    </row>
    <row r="7" spans="1:38" ht="20.100000000000001" customHeight="1" thickBot="1">
      <c r="A7" s="1011" t="s">
        <v>3280</v>
      </c>
      <c r="B7" s="1012">
        <v>1</v>
      </c>
      <c r="D7" s="1060">
        <v>26</v>
      </c>
      <c r="E7" s="1059" t="s">
        <v>3343</v>
      </c>
      <c r="F7" s="1057">
        <v>1.929</v>
      </c>
      <c r="G7" s="1058">
        <f t="shared" si="6"/>
        <v>4155066</v>
      </c>
      <c r="H7" s="1058">
        <f t="shared" si="7"/>
        <v>159810</v>
      </c>
      <c r="J7" s="1013" t="s">
        <v>2892</v>
      </c>
      <c r="K7" s="1013" t="s">
        <v>4990</v>
      </c>
      <c r="M7" s="1016">
        <f>IF(N7&gt;0,COUNTIF($N7:N$7,"&gt;0"),M6)</f>
        <v>1</v>
      </c>
      <c r="N7" s="1016">
        <v>1</v>
      </c>
      <c r="O7" s="1443" t="str">
        <f>"BẢNG "&amp;M7&amp;": TỔNG DỰ TOÁN"</f>
        <v>BẢNG 1: TỔNG DỰ TOÁN</v>
      </c>
      <c r="P7" s="1444"/>
      <c r="Q7" s="1445"/>
      <c r="S7" s="1017" t="s">
        <v>3397</v>
      </c>
      <c r="T7" s="1017" t="s">
        <v>4476</v>
      </c>
      <c r="U7" s="1018" t="s">
        <v>3825</v>
      </c>
      <c r="V7" s="1019">
        <v>200</v>
      </c>
      <c r="W7" s="1019">
        <v>17</v>
      </c>
      <c r="X7" s="1020">
        <v>4.8</v>
      </c>
      <c r="Y7" s="1019">
        <v>5</v>
      </c>
      <c r="Z7" s="1021">
        <v>338400</v>
      </c>
      <c r="AA7" s="1019">
        <v>41</v>
      </c>
      <c r="AB7" s="1019" t="s">
        <v>4490</v>
      </c>
      <c r="AC7" s="1019" t="s">
        <v>4510</v>
      </c>
      <c r="AD7" s="1019">
        <v>1</v>
      </c>
      <c r="AE7" s="1019"/>
      <c r="AF7" s="1019"/>
      <c r="AG7" s="1022">
        <f>IF(U7="","",IF(Z7&lt;(30*10^4),Z7*W7%/V7,(Z7-10%*Z7)*W7%/V7)*10^3)</f>
        <v>258876.00000000003</v>
      </c>
      <c r="AH7" s="1022">
        <f>Z7*X7%*10^3/V7</f>
        <v>81216</v>
      </c>
      <c r="AI7" s="1022">
        <f>Z7*Y7%*10^3/V7</f>
        <v>84600</v>
      </c>
      <c r="AJ7" s="1022">
        <f t="shared" si="3"/>
        <v>680534.4</v>
      </c>
      <c r="AK7" s="1022">
        <f t="shared" si="4"/>
        <v>211257.69230769231</v>
      </c>
      <c r="AL7" s="1022">
        <f t="shared" si="5"/>
        <v>1316484.0923076922</v>
      </c>
    </row>
    <row r="8" spans="1:38" ht="20.100000000000001" customHeight="1">
      <c r="A8" s="1011" t="s">
        <v>3281</v>
      </c>
      <c r="B8" s="1012">
        <v>1</v>
      </c>
      <c r="D8" s="1061"/>
      <c r="E8" s="1062" t="s">
        <v>3344</v>
      </c>
      <c r="F8" s="1057">
        <v>1.9950000000000001</v>
      </c>
      <c r="G8" s="1058">
        <f t="shared" si="6"/>
        <v>4297230</v>
      </c>
      <c r="H8" s="1058">
        <f t="shared" si="7"/>
        <v>165278</v>
      </c>
      <c r="J8" s="1013" t="s">
        <v>4418</v>
      </c>
      <c r="K8" s="1013" t="s">
        <v>4721</v>
      </c>
      <c r="M8" s="1016">
        <f>IF(N8&gt;0,COUNTIF($N$7:N8,"&gt;0"),M7)</f>
        <v>2</v>
      </c>
      <c r="N8" s="1016">
        <v>1</v>
      </c>
      <c r="O8" s="1443" t="str">
        <f>"BẢNG "&amp;M8&amp;": TỔNG HỢP CHI PHÍ XÂY DỰNG, THIẾT BỊ, QUẢN LÝ DỰ ÁN, TƯ VẤN VÀ CHI PHÍ KHÁC"</f>
        <v>BẢNG 2: TỔNG HỢP CHI PHÍ XÂY DỰNG, THIẾT BỊ, QUẢN LÝ DỰ ÁN, TƯ VẤN VÀ CHI PHÍ KHÁC</v>
      </c>
      <c r="P8" s="1444"/>
      <c r="Q8" s="1445"/>
      <c r="S8" s="1017" t="s">
        <v>3398</v>
      </c>
      <c r="T8" s="1017" t="s">
        <v>4477</v>
      </c>
      <c r="U8" s="1018" t="s">
        <v>3825</v>
      </c>
      <c r="V8" s="1019">
        <v>110</v>
      </c>
      <c r="W8" s="1019">
        <v>20</v>
      </c>
      <c r="X8" s="1020">
        <v>6.5</v>
      </c>
      <c r="Y8" s="1019">
        <v>5</v>
      </c>
      <c r="Z8" s="1021">
        <v>26350</v>
      </c>
      <c r="AA8" s="1019">
        <v>11</v>
      </c>
      <c r="AB8" s="1019" t="s">
        <v>4487</v>
      </c>
      <c r="AC8" s="1019" t="s">
        <v>4509</v>
      </c>
      <c r="AD8" s="1019">
        <v>1</v>
      </c>
      <c r="AE8" s="1019"/>
      <c r="AF8" s="1019"/>
      <c r="AG8" s="1022">
        <f t="shared" ref="AG8:AG20" si="8">IF(U8="","",IF(Z8&lt;(30*10^4),Z8*W8%/V8,(Z8-10%*Z8)*W8%/V8)*10^3)</f>
        <v>47909.090909090904</v>
      </c>
      <c r="AH8" s="1022">
        <f t="shared" ref="AH8" si="9">Z8*X8%*10^3/V8</f>
        <v>15570.454545454546</v>
      </c>
      <c r="AI8" s="1022">
        <f t="shared" ref="AI8" si="10">Z8*Y8%*10^3/V8</f>
        <v>11977.272727272728</v>
      </c>
      <c r="AJ8" s="1022">
        <f t="shared" si="3"/>
        <v>20252.050500000001</v>
      </c>
      <c r="AK8" s="1022">
        <f t="shared" si="4"/>
        <v>178947.69230769231</v>
      </c>
      <c r="AL8" s="1022">
        <f t="shared" si="5"/>
        <v>274656.5609895105</v>
      </c>
    </row>
    <row r="9" spans="1:38" ht="20.100000000000001" customHeight="1">
      <c r="A9" s="1011" t="s">
        <v>3282</v>
      </c>
      <c r="B9" s="1012">
        <v>1</v>
      </c>
      <c r="D9" s="1062"/>
      <c r="E9" s="1062" t="s">
        <v>3343</v>
      </c>
      <c r="F9" s="1057">
        <v>1.929</v>
      </c>
      <c r="G9" s="1058">
        <f t="shared" si="6"/>
        <v>4155066</v>
      </c>
      <c r="H9" s="1058">
        <f t="shared" si="7"/>
        <v>159810</v>
      </c>
      <c r="J9" s="1013" t="s">
        <v>3291</v>
      </c>
      <c r="K9" s="1013" t="s">
        <v>3817</v>
      </c>
      <c r="M9" s="1016">
        <f>IF(N9&gt;0,COUNTIF($N$7:N9,"&gt;0"),M8)</f>
        <v>3</v>
      </c>
      <c r="N9" s="1016">
        <v>1</v>
      </c>
      <c r="O9" s="1443" t="str">
        <f>"BẢNG "&amp;M9&amp;": DỰ TOÁN CHI PHÍ XÂY DỰNG CÔNG TRÌNH"</f>
        <v>BẢNG 3: DỰ TOÁN CHI PHÍ XÂY DỰNG CÔNG TRÌNH</v>
      </c>
      <c r="P9" s="1444"/>
      <c r="Q9" s="1445"/>
      <c r="S9" s="1017" t="s">
        <v>4760</v>
      </c>
      <c r="T9" s="1017" t="s">
        <v>4762</v>
      </c>
      <c r="U9" s="1018" t="s">
        <v>3825</v>
      </c>
      <c r="V9" s="1019">
        <v>260</v>
      </c>
      <c r="W9" s="1019">
        <v>14</v>
      </c>
      <c r="X9" s="1020">
        <v>4</v>
      </c>
      <c r="Y9" s="1019">
        <v>5</v>
      </c>
      <c r="Z9" s="1021">
        <v>671500</v>
      </c>
      <c r="AA9" s="1019">
        <v>25</v>
      </c>
      <c r="AB9" s="1019" t="s">
        <v>4490</v>
      </c>
      <c r="AC9" s="1019" t="s">
        <v>4503</v>
      </c>
      <c r="AD9" s="1019">
        <v>1</v>
      </c>
      <c r="AE9" s="1019" t="s">
        <v>4504</v>
      </c>
      <c r="AF9" s="1019">
        <v>1</v>
      </c>
      <c r="AG9" s="1022">
        <f t="shared" si="8"/>
        <v>325419.23076923081</v>
      </c>
      <c r="AH9" s="1022">
        <f>Z9*X9%*10^3/V9</f>
        <v>103307.69230769231</v>
      </c>
      <c r="AI9" s="1022">
        <f>Z9*Y9%*10^3/V9</f>
        <v>129134.61538461539</v>
      </c>
      <c r="AJ9" s="1022">
        <f t="shared" si="3"/>
        <v>414960</v>
      </c>
      <c r="AK9" s="1022">
        <f t="shared" si="4"/>
        <v>492934.61538461538</v>
      </c>
      <c r="AL9" s="1022">
        <f t="shared" si="5"/>
        <v>1465756.153846154</v>
      </c>
    </row>
    <row r="10" spans="1:38" ht="20.100000000000001" customHeight="1">
      <c r="A10" s="1011" t="s">
        <v>3283</v>
      </c>
      <c r="B10" s="1012">
        <v>1</v>
      </c>
      <c r="D10" s="1062"/>
      <c r="E10" s="1062" t="s">
        <v>3345</v>
      </c>
      <c r="F10" s="1057">
        <v>2.0609999999999999</v>
      </c>
      <c r="G10" s="1058">
        <f t="shared" si="6"/>
        <v>4439394</v>
      </c>
      <c r="H10" s="1058">
        <f t="shared" si="7"/>
        <v>170746</v>
      </c>
      <c r="J10" s="1013" t="s">
        <v>4165</v>
      </c>
      <c r="K10" s="1013"/>
      <c r="M10" s="1016" t="e">
        <f ca="1">IF(N10&gt;0,COUNTIF($N$7:N10,"&gt;0"),M9)</f>
        <v>#REF!</v>
      </c>
      <c r="N10" s="1016" t="e">
        <f ca="1">IF((gt_vl1+gt_nc1+gt_mtc1)&gt;0,1,0)</f>
        <v>#REF!</v>
      </c>
      <c r="O10" s="1443" t="e">
        <f ca="1">"BẢNG "&amp;M10&amp;": TỔNG HỢP CHI PHÍ VẬT LIỆU, NHÂN CÔNG, MÁY THI CÔNG PHẦN ĐƯỜNG DÂY"</f>
        <v>#REF!</v>
      </c>
      <c r="P10" s="1444"/>
      <c r="Q10" s="1445"/>
      <c r="S10" s="1017" t="s">
        <v>4444</v>
      </c>
      <c r="T10" s="1017" t="s">
        <v>4518</v>
      </c>
      <c r="U10" s="1018" t="s">
        <v>3825</v>
      </c>
      <c r="V10" s="1019">
        <v>220</v>
      </c>
      <c r="W10" s="1019">
        <v>14</v>
      </c>
      <c r="X10" s="1020">
        <v>3.52</v>
      </c>
      <c r="Y10" s="1019">
        <v>5</v>
      </c>
      <c r="Z10" s="1021">
        <v>873000</v>
      </c>
      <c r="AA10" s="1019"/>
      <c r="AB10" s="1019"/>
      <c r="AC10" s="1019"/>
      <c r="AD10" s="1019"/>
      <c r="AE10" s="1019"/>
      <c r="AF10" s="1019"/>
      <c r="AG10" s="1022">
        <f t="shared" si="8"/>
        <v>499990.90909090918</v>
      </c>
      <c r="AH10" s="1022">
        <f t="shared" ref="AH10:AH20" si="11">Z10*X10%*10^3/V10</f>
        <v>139680.00000000003</v>
      </c>
      <c r="AI10" s="1022">
        <f t="shared" ref="AI10:AI20" si="12">Z10*Y10%*10^3/V10</f>
        <v>198409.09090909091</v>
      </c>
      <c r="AJ10" s="1022">
        <f t="shared" si="3"/>
        <v>0</v>
      </c>
      <c r="AK10" s="1022">
        <f t="shared" si="4"/>
        <v>0</v>
      </c>
      <c r="AL10" s="1022">
        <f t="shared" si="5"/>
        <v>838080.00000000012</v>
      </c>
    </row>
    <row r="11" spans="1:38" ht="20.100000000000001" customHeight="1">
      <c r="A11" s="1011" t="s">
        <v>3284</v>
      </c>
      <c r="B11" s="1012">
        <v>1</v>
      </c>
      <c r="D11" s="1062"/>
      <c r="E11" s="1062" t="s">
        <v>3346</v>
      </c>
      <c r="F11" s="1057">
        <v>2.16</v>
      </c>
      <c r="G11" s="1058">
        <f t="shared" si="6"/>
        <v>4652640</v>
      </c>
      <c r="H11" s="1058">
        <f t="shared" si="7"/>
        <v>178948</v>
      </c>
      <c r="J11" s="1013" t="s">
        <v>4166</v>
      </c>
      <c r="K11" s="1013"/>
      <c r="M11" s="1016" t="e">
        <f ca="1">IF(N11&gt;0,COUNTIF($N$7:N11,"&gt;0"),M10)</f>
        <v>#REF!</v>
      </c>
      <c r="N11" s="1016" t="e">
        <f ca="1">N10</f>
        <v>#REF!</v>
      </c>
      <c r="O11" s="1443" t="e">
        <f ca="1">"BẢNG "&amp;M11&amp;": KHỐI LƯỢNG CHI TIẾT PHẦN ĐƯỜNG DÂY"</f>
        <v>#REF!</v>
      </c>
      <c r="P11" s="1444"/>
      <c r="Q11" s="1445"/>
      <c r="S11" s="1017" t="s">
        <v>4445</v>
      </c>
      <c r="T11" s="1017" t="s">
        <v>4571</v>
      </c>
      <c r="U11" s="1018" t="s">
        <v>3825</v>
      </c>
      <c r="V11" s="1019">
        <v>220</v>
      </c>
      <c r="W11" s="1019">
        <v>14</v>
      </c>
      <c r="X11" s="1020">
        <v>3.52</v>
      </c>
      <c r="Y11" s="1019">
        <v>5</v>
      </c>
      <c r="Z11" s="1021">
        <v>825300</v>
      </c>
      <c r="AA11" s="1019"/>
      <c r="AB11" s="1019"/>
      <c r="AC11" s="1019"/>
      <c r="AD11" s="1019"/>
      <c r="AE11" s="1019"/>
      <c r="AF11" s="1019"/>
      <c r="AG11" s="1022">
        <f t="shared" si="8"/>
        <v>472671.81818181818</v>
      </c>
      <c r="AH11" s="1022">
        <f t="shared" si="11"/>
        <v>132048</v>
      </c>
      <c r="AI11" s="1022">
        <f t="shared" si="12"/>
        <v>187568.18181818182</v>
      </c>
      <c r="AJ11" s="1022">
        <f t="shared" si="3"/>
        <v>0</v>
      </c>
      <c r="AK11" s="1022">
        <f t="shared" si="4"/>
        <v>0</v>
      </c>
      <c r="AL11" s="1022">
        <f t="shared" si="5"/>
        <v>792288</v>
      </c>
    </row>
    <row r="12" spans="1:38" ht="20.100000000000001" customHeight="1">
      <c r="D12" s="1062"/>
      <c r="E12" s="1062" t="s">
        <v>3347</v>
      </c>
      <c r="F12" s="1057">
        <v>2.238</v>
      </c>
      <c r="G12" s="1058">
        <f t="shared" si="6"/>
        <v>4820652</v>
      </c>
      <c r="H12" s="1058">
        <f t="shared" si="7"/>
        <v>185410</v>
      </c>
      <c r="J12" s="1013" t="s">
        <v>4167</v>
      </c>
      <c r="K12" s="1013"/>
      <c r="M12" s="1016" t="e">
        <f ca="1">IF(N12&gt;0,COUNTIF($N$7:N12,"&gt;0"),M11)</f>
        <v>#REF!</v>
      </c>
      <c r="N12" s="1016">
        <f>IF((cttba_yesno)&gt;0,1,0)</f>
        <v>0</v>
      </c>
      <c r="O12" s="1443" t="e">
        <f ca="1">"BẢNG "&amp;M12&amp;": KHỐI LƯỢNG CHI TIẾT PHẦN TRẠM BIẾN ÁP"</f>
        <v>#REF!</v>
      </c>
      <c r="P12" s="1444"/>
      <c r="Q12" s="1445"/>
      <c r="S12" s="1017" t="s">
        <v>4441</v>
      </c>
      <c r="T12" s="1017" t="s">
        <v>4564</v>
      </c>
      <c r="U12" s="1018" t="s">
        <v>3825</v>
      </c>
      <c r="V12" s="1019">
        <v>220</v>
      </c>
      <c r="W12" s="1019">
        <v>14</v>
      </c>
      <c r="X12" s="1020">
        <v>3.52</v>
      </c>
      <c r="Y12" s="1019">
        <v>5</v>
      </c>
      <c r="Z12" s="1021">
        <v>442700</v>
      </c>
      <c r="AA12" s="1019"/>
      <c r="AB12" s="1019"/>
      <c r="AC12" s="1019"/>
      <c r="AD12" s="1019"/>
      <c r="AE12" s="1019"/>
      <c r="AF12" s="1019"/>
      <c r="AG12" s="1022">
        <f t="shared" si="8"/>
        <v>253546.36363636365</v>
      </c>
      <c r="AH12" s="1022">
        <f t="shared" si="11"/>
        <v>70832</v>
      </c>
      <c r="AI12" s="1022">
        <f t="shared" si="12"/>
        <v>100613.63636363637</v>
      </c>
      <c r="AJ12" s="1022">
        <f t="shared" si="3"/>
        <v>0</v>
      </c>
      <c r="AK12" s="1022">
        <f t="shared" si="4"/>
        <v>0</v>
      </c>
      <c r="AL12" s="1022">
        <f t="shared" si="5"/>
        <v>424992</v>
      </c>
    </row>
    <row r="13" spans="1:38" ht="20.100000000000001" customHeight="1">
      <c r="A13" s="1004" t="s">
        <v>4675</v>
      </c>
      <c r="B13" s="1004" t="s">
        <v>2853</v>
      </c>
      <c r="D13" s="1062"/>
      <c r="E13" s="1062" t="s">
        <v>3348</v>
      </c>
      <c r="F13" s="1057">
        <v>2.2770000000000001</v>
      </c>
      <c r="G13" s="1058">
        <f t="shared" si="6"/>
        <v>4904658</v>
      </c>
      <c r="H13" s="1058">
        <f t="shared" si="7"/>
        <v>188641</v>
      </c>
      <c r="J13" s="1013" t="s">
        <v>4168</v>
      </c>
      <c r="K13" s="1013"/>
      <c r="M13" s="1016" t="e">
        <f ca="1">IF(N13&gt;0,COUNTIF($N$7:N13,"&gt;0"),M12)</f>
        <v>#REF!</v>
      </c>
      <c r="N13" s="1016">
        <f>IF(SUM('CT-CS'!K79:M79)&gt;0,1,0)</f>
        <v>0</v>
      </c>
      <c r="O13" s="1443" t="e">
        <f ca="1">"BẢNG "&amp;M13&amp;": KHỐI LƯỢNG CHI TIẾT PHẦN CHIẾU SÁNG"</f>
        <v>#REF!</v>
      </c>
      <c r="P13" s="1444"/>
      <c r="Q13" s="1445"/>
      <c r="S13" s="1017" t="s">
        <v>4439</v>
      </c>
      <c r="T13" s="1017" t="s">
        <v>4565</v>
      </c>
      <c r="U13" s="1018" t="s">
        <v>3825</v>
      </c>
      <c r="V13" s="1019">
        <v>220</v>
      </c>
      <c r="W13" s="1019">
        <v>14</v>
      </c>
      <c r="X13" s="1020">
        <v>3.52</v>
      </c>
      <c r="Y13" s="1019">
        <v>5</v>
      </c>
      <c r="Z13" s="1021">
        <v>156700</v>
      </c>
      <c r="AA13" s="1019"/>
      <c r="AB13" s="1019"/>
      <c r="AC13" s="1019"/>
      <c r="AD13" s="1019"/>
      <c r="AE13" s="1019"/>
      <c r="AF13" s="1019"/>
      <c r="AG13" s="1022">
        <f t="shared" si="8"/>
        <v>99718.181818181838</v>
      </c>
      <c r="AH13" s="1022">
        <f t="shared" si="11"/>
        <v>25072</v>
      </c>
      <c r="AI13" s="1022">
        <f t="shared" si="12"/>
        <v>35613.63636363636</v>
      </c>
      <c r="AJ13" s="1022">
        <f t="shared" si="3"/>
        <v>0</v>
      </c>
      <c r="AK13" s="1022">
        <f t="shared" si="4"/>
        <v>0</v>
      </c>
      <c r="AL13" s="1022">
        <f t="shared" si="5"/>
        <v>160403.81818181821</v>
      </c>
    </row>
    <row r="14" spans="1:38" ht="20.100000000000001" customHeight="1">
      <c r="A14" s="1011" t="s">
        <v>3327</v>
      </c>
      <c r="B14" s="1012">
        <v>3.4529999999999998</v>
      </c>
      <c r="D14" s="1062"/>
      <c r="E14" s="1062" t="s">
        <v>3349</v>
      </c>
      <c r="F14" s="1057">
        <v>2.355</v>
      </c>
      <c r="G14" s="1058">
        <f t="shared" si="6"/>
        <v>5072670</v>
      </c>
      <c r="H14" s="1058">
        <f t="shared" si="7"/>
        <v>195103</v>
      </c>
      <c r="J14" s="1013" t="s">
        <v>4169</v>
      </c>
      <c r="K14" s="1013"/>
      <c r="M14" s="1016">
        <f ca="1">IF(N14&gt;0,COUNTIF($N$7:N14,"&gt;0"),M13)</f>
        <v>4</v>
      </c>
      <c r="N14" s="1016">
        <f ca="1">IF((cttl_ncdd1+cttl_nctba1)&gt;0,1,0)</f>
        <v>1</v>
      </c>
      <c r="O14" s="1443" t="str">
        <f ca="1">"BẢNG "&amp;M14&amp;": KHỐI LƯỢNG CHI TIẾT PHẦN CẢI TẠO"</f>
        <v>BẢNG 4: KHỐI LƯỢNG CHI TIẾT PHẦN CẢI TẠO</v>
      </c>
      <c r="P14" s="1444"/>
      <c r="Q14" s="1445"/>
      <c r="S14" s="1017" t="s">
        <v>4196</v>
      </c>
      <c r="T14" s="1017" t="s">
        <v>4566</v>
      </c>
      <c r="U14" s="1018" t="s">
        <v>3825</v>
      </c>
      <c r="V14" s="1019">
        <v>220</v>
      </c>
      <c r="W14" s="1019">
        <v>14</v>
      </c>
      <c r="X14" s="1020">
        <v>3.52</v>
      </c>
      <c r="Y14" s="1019">
        <v>5</v>
      </c>
      <c r="Z14" s="1021">
        <v>53300</v>
      </c>
      <c r="AA14" s="1019"/>
      <c r="AB14" s="1019"/>
      <c r="AC14" s="1019"/>
      <c r="AD14" s="1019"/>
      <c r="AE14" s="1019"/>
      <c r="AF14" s="1019"/>
      <c r="AG14" s="1022">
        <f t="shared" si="8"/>
        <v>33918.181818181823</v>
      </c>
      <c r="AH14" s="1022">
        <f t="shared" si="11"/>
        <v>8528</v>
      </c>
      <c r="AI14" s="1022">
        <f t="shared" si="12"/>
        <v>12113.636363636364</v>
      </c>
      <c r="AJ14" s="1022">
        <f t="shared" si="3"/>
        <v>0</v>
      </c>
      <c r="AK14" s="1022">
        <f t="shared" si="4"/>
        <v>0</v>
      </c>
      <c r="AL14" s="1022">
        <f t="shared" si="5"/>
        <v>54559.818181818191</v>
      </c>
    </row>
    <row r="15" spans="1:38" ht="20.100000000000001" customHeight="1">
      <c r="A15" s="1011" t="s">
        <v>3328</v>
      </c>
      <c r="B15" s="1012" t="e">
        <f ca="1">Q4</f>
        <v>#REF!</v>
      </c>
      <c r="D15" s="1062"/>
      <c r="E15" s="1063" t="s">
        <v>3350</v>
      </c>
      <c r="F15" s="1057">
        <v>2.4329999999999998</v>
      </c>
      <c r="G15" s="1058">
        <f t="shared" si="6"/>
        <v>5240682</v>
      </c>
      <c r="H15" s="1058">
        <f t="shared" si="7"/>
        <v>201565</v>
      </c>
      <c r="J15" s="1013" t="s">
        <v>4170</v>
      </c>
      <c r="K15" s="1013"/>
      <c r="M15" s="1016">
        <f ca="1">IF(N15&gt;0,COUNTIF($N$7:N15,"&gt;0"),M14)</f>
        <v>4</v>
      </c>
      <c r="N15" s="1016">
        <f ca="1">IF((ldtb_ldtbtba1+ldtb_ldtbdd1)&gt;0,1,0)</f>
        <v>0</v>
      </c>
      <c r="O15" s="1443" t="str">
        <f ca="1">"BẢNG "&amp;M15&amp;": TỔNG HỢP CHI PHÍ LẮP ĐẶT THIẾT BỊ"</f>
        <v>BẢNG 4: TỔNG HỢP CHI PHÍ LẮP ĐẶT THIẾT BỊ</v>
      </c>
      <c r="P15" s="1444"/>
      <c r="Q15" s="1445"/>
      <c r="S15" s="1017" t="s">
        <v>4440</v>
      </c>
      <c r="T15" s="1017" t="s">
        <v>4567</v>
      </c>
      <c r="U15" s="1018" t="s">
        <v>3825</v>
      </c>
      <c r="V15" s="1019">
        <v>220</v>
      </c>
      <c r="W15" s="1019">
        <v>14</v>
      </c>
      <c r="X15" s="1020">
        <v>3.52</v>
      </c>
      <c r="Y15" s="1019">
        <v>5</v>
      </c>
      <c r="Z15" s="1021">
        <v>91500</v>
      </c>
      <c r="AA15" s="1019"/>
      <c r="AB15" s="1019"/>
      <c r="AC15" s="1019"/>
      <c r="AD15" s="1019"/>
      <c r="AE15" s="1019"/>
      <c r="AF15" s="1019"/>
      <c r="AG15" s="1022">
        <f t="shared" si="8"/>
        <v>58227.272727272735</v>
      </c>
      <c r="AH15" s="1022">
        <f t="shared" si="11"/>
        <v>14640</v>
      </c>
      <c r="AI15" s="1022">
        <f t="shared" si="12"/>
        <v>20795.454545454544</v>
      </c>
      <c r="AJ15" s="1022">
        <f t="shared" si="3"/>
        <v>0</v>
      </c>
      <c r="AK15" s="1022">
        <f t="shared" si="4"/>
        <v>0</v>
      </c>
      <c r="AL15" s="1022">
        <f t="shared" si="5"/>
        <v>93662.727272727279</v>
      </c>
    </row>
    <row r="16" spans="1:38" ht="20.100000000000001" customHeight="1">
      <c r="A16" s="1011" t="s">
        <v>3331</v>
      </c>
      <c r="B16" s="1012">
        <v>0.28999999999999998</v>
      </c>
      <c r="D16" s="1062"/>
      <c r="E16" s="1062" t="s">
        <v>3351</v>
      </c>
      <c r="F16" s="1057">
        <v>2.5499999999999998</v>
      </c>
      <c r="G16" s="1058">
        <f t="shared" si="6"/>
        <v>5492700</v>
      </c>
      <c r="H16" s="1058">
        <f t="shared" si="7"/>
        <v>211258</v>
      </c>
      <c r="J16" s="1013" t="s">
        <v>4171</v>
      </c>
      <c r="K16" s="1013"/>
      <c r="M16" s="1016">
        <f ca="1">IF(N16&gt;0,COUNTIF($N$7:N16,"&gt;0"),M15)</f>
        <v>4</v>
      </c>
      <c r="N16" s="1016">
        <f ca="1">IF(tnhc_nctntba1+tnhc_nctndd1&gt;0,1,0)</f>
        <v>0</v>
      </c>
      <c r="O16" s="1443" t="str">
        <f ca="1">"BẢNG "&amp;M16&amp;": TỔNG HỢP CHI PHÍ THỬ NGHIỆM HIỆU CHỈNH"</f>
        <v>BẢNG 4: TỔNG HỢP CHI PHÍ THỬ NGHIỆM HIỆU CHỈNH</v>
      </c>
      <c r="P16" s="1444"/>
      <c r="Q16" s="1445"/>
      <c r="S16" s="1017" t="s">
        <v>4446</v>
      </c>
      <c r="T16" s="1017" t="s">
        <v>4568</v>
      </c>
      <c r="U16" s="1018" t="s">
        <v>3825</v>
      </c>
      <c r="V16" s="1019">
        <v>220</v>
      </c>
      <c r="W16" s="1019">
        <v>14</v>
      </c>
      <c r="X16" s="1020">
        <v>3.52</v>
      </c>
      <c r="Y16" s="1019">
        <v>5</v>
      </c>
      <c r="Z16" s="1021">
        <v>131900</v>
      </c>
      <c r="AA16" s="1019"/>
      <c r="AB16" s="1019"/>
      <c r="AC16" s="1019"/>
      <c r="AD16" s="1019"/>
      <c r="AE16" s="1019"/>
      <c r="AF16" s="1019"/>
      <c r="AG16" s="1022">
        <f t="shared" si="8"/>
        <v>83936.363636363632</v>
      </c>
      <c r="AH16" s="1022">
        <f t="shared" si="11"/>
        <v>21104</v>
      </c>
      <c r="AI16" s="1022">
        <f t="shared" si="12"/>
        <v>29977.272727272728</v>
      </c>
      <c r="AJ16" s="1022">
        <f t="shared" si="3"/>
        <v>0</v>
      </c>
      <c r="AK16" s="1022">
        <f t="shared" si="4"/>
        <v>0</v>
      </c>
      <c r="AL16" s="1022">
        <f t="shared" si="5"/>
        <v>135017.63636363635</v>
      </c>
    </row>
    <row r="17" spans="1:38" ht="20.100000000000001" customHeight="1">
      <c r="A17" s="1011" t="s">
        <v>3332</v>
      </c>
      <c r="B17" s="1012">
        <v>0.28199999999999997</v>
      </c>
      <c r="D17" s="1062"/>
      <c r="E17" s="1062" t="s">
        <v>3352</v>
      </c>
      <c r="F17" s="1057">
        <v>2.6419999999999999</v>
      </c>
      <c r="G17" s="1058">
        <f t="shared" si="6"/>
        <v>5690868</v>
      </c>
      <c r="H17" s="1058">
        <f t="shared" si="7"/>
        <v>218880</v>
      </c>
      <c r="J17" s="1013" t="s">
        <v>4172</v>
      </c>
      <c r="K17" s="1013"/>
      <c r="M17" s="1016">
        <f ca="1">IF(N17&gt;0,COUNTIF($N$7:N17,"&gt;0"),M16)</f>
        <v>4</v>
      </c>
      <c r="N17" s="1016">
        <f ca="1">N16</f>
        <v>0</v>
      </c>
      <c r="O17" s="1443" t="str">
        <f ca="1">"BẢNG "&amp;M17&amp;": KHỐI LƯỢNG CHI TIẾT THỬ NGHIỆM HIỆU CHỈNH"</f>
        <v>BẢNG 4: KHỐI LƯỢNG CHI TIẾT THỬ NGHIỆM HIỆU CHỈNH</v>
      </c>
      <c r="P17" s="1444"/>
      <c r="Q17" s="1445"/>
      <c r="S17" s="1017" t="s">
        <v>4443</v>
      </c>
      <c r="T17" s="1017" t="s">
        <v>4569</v>
      </c>
      <c r="U17" s="1018" t="s">
        <v>3825</v>
      </c>
      <c r="V17" s="1019">
        <v>220</v>
      </c>
      <c r="W17" s="1019">
        <v>14</v>
      </c>
      <c r="X17" s="1020">
        <v>3.52</v>
      </c>
      <c r="Y17" s="1019">
        <v>5</v>
      </c>
      <c r="Z17" s="1021">
        <v>454700</v>
      </c>
      <c r="AA17" s="1019"/>
      <c r="AB17" s="1019"/>
      <c r="AC17" s="1019"/>
      <c r="AD17" s="1019"/>
      <c r="AE17" s="1019"/>
      <c r="AF17" s="1019"/>
      <c r="AG17" s="1022">
        <f t="shared" si="8"/>
        <v>260419.09090909091</v>
      </c>
      <c r="AH17" s="1022">
        <f t="shared" si="11"/>
        <v>72752</v>
      </c>
      <c r="AI17" s="1022">
        <f t="shared" si="12"/>
        <v>103340.90909090909</v>
      </c>
      <c r="AJ17" s="1022">
        <f t="shared" si="3"/>
        <v>0</v>
      </c>
      <c r="AK17" s="1022">
        <f t="shared" si="4"/>
        <v>0</v>
      </c>
      <c r="AL17" s="1022">
        <f t="shared" si="5"/>
        <v>436512</v>
      </c>
    </row>
    <row r="18" spans="1:38" ht="20.100000000000001" customHeight="1">
      <c r="A18" s="1011" t="s">
        <v>3333</v>
      </c>
      <c r="B18" s="1012">
        <v>0.54900000000000004</v>
      </c>
      <c r="D18" s="1062"/>
      <c r="E18" s="1062" t="s">
        <v>3353</v>
      </c>
      <c r="F18" s="1057">
        <v>2.6880000000000002</v>
      </c>
      <c r="G18" s="1058">
        <f t="shared" si="6"/>
        <v>5789952</v>
      </c>
      <c r="H18" s="1058">
        <f t="shared" si="7"/>
        <v>222690</v>
      </c>
      <c r="J18" s="1013" t="s">
        <v>4173</v>
      </c>
      <c r="K18" s="1013"/>
      <c r="M18" s="1016" t="e">
        <f>IF(N18&gt;0,COUNTIF($N$7:N18,"&gt;0"),M17)</f>
        <v>#REF!</v>
      </c>
      <c r="N18" s="1016" t="e">
        <f>IF(cpks_ks&gt;0,1,0)</f>
        <v>#REF!</v>
      </c>
      <c r="O18" s="1443" t="e">
        <f>"BẢNG "&amp;M18&amp;": TỔNG HỢP CHI PHÍ KHẢO SÁT"</f>
        <v>#REF!</v>
      </c>
      <c r="P18" s="1444"/>
      <c r="Q18" s="1445"/>
      <c r="S18" s="1017" t="s">
        <v>4195</v>
      </c>
      <c r="T18" s="1017" t="s">
        <v>4478</v>
      </c>
      <c r="U18" s="1018" t="s">
        <v>3825</v>
      </c>
      <c r="V18" s="1019">
        <v>220</v>
      </c>
      <c r="W18" s="1019">
        <v>14</v>
      </c>
      <c r="X18" s="1020">
        <v>3.52</v>
      </c>
      <c r="Y18" s="1019">
        <v>5</v>
      </c>
      <c r="Z18" s="1021">
        <v>44000</v>
      </c>
      <c r="AA18" s="1019"/>
      <c r="AB18" s="1019"/>
      <c r="AC18" s="1019"/>
      <c r="AD18" s="1019"/>
      <c r="AE18" s="1019"/>
      <c r="AF18" s="1019"/>
      <c r="AG18" s="1022">
        <f t="shared" si="8"/>
        <v>28000.000000000004</v>
      </c>
      <c r="AH18" s="1022">
        <f t="shared" si="11"/>
        <v>7040.0000000000009</v>
      </c>
      <c r="AI18" s="1022">
        <f t="shared" si="12"/>
        <v>10000</v>
      </c>
      <c r="AJ18" s="1022">
        <f t="shared" si="3"/>
        <v>0</v>
      </c>
      <c r="AK18" s="1022">
        <f t="shared" si="4"/>
        <v>0</v>
      </c>
      <c r="AL18" s="1022">
        <f t="shared" si="5"/>
        <v>45040.000000000007</v>
      </c>
    </row>
    <row r="19" spans="1:38" ht="20.100000000000001" customHeight="1">
      <c r="A19" s="1011" t="s">
        <v>3334</v>
      </c>
      <c r="B19" s="1012">
        <v>0.54900000000000004</v>
      </c>
      <c r="D19" s="1062"/>
      <c r="E19" s="1062" t="s">
        <v>3354</v>
      </c>
      <c r="F19" s="1057">
        <v>2.78</v>
      </c>
      <c r="G19" s="1058">
        <f t="shared" si="6"/>
        <v>5988120</v>
      </c>
      <c r="H19" s="1058">
        <f t="shared" si="7"/>
        <v>230312</v>
      </c>
      <c r="J19" s="1013" t="s">
        <v>4174</v>
      </c>
      <c r="K19" s="1013"/>
      <c r="M19" s="1016" t="e">
        <f>IF(N19&gt;0,COUNTIF($N$7:N19,"&gt;0"),M18)</f>
        <v>#REF!</v>
      </c>
      <c r="N19" s="1016" t="e">
        <f>N18</f>
        <v>#REF!</v>
      </c>
      <c r="O19" s="1443" t="e">
        <f>"BẢNG "&amp;M19&amp;": KHỐI LƯỢNG CHI TIẾT KHẢO SÁT"</f>
        <v>#REF!</v>
      </c>
      <c r="P19" s="1444"/>
      <c r="Q19" s="1445"/>
      <c r="S19" s="1017" t="s">
        <v>4442</v>
      </c>
      <c r="T19" s="1017" t="s">
        <v>4570</v>
      </c>
      <c r="U19" s="1018" t="s">
        <v>3825</v>
      </c>
      <c r="V19" s="1019">
        <v>220</v>
      </c>
      <c r="W19" s="1019">
        <v>14</v>
      </c>
      <c r="X19" s="1020">
        <v>3.52</v>
      </c>
      <c r="Y19" s="1019">
        <v>5</v>
      </c>
      <c r="Z19" s="1021">
        <v>75300</v>
      </c>
      <c r="AA19" s="1019"/>
      <c r="AB19" s="1019"/>
      <c r="AC19" s="1019"/>
      <c r="AD19" s="1019"/>
      <c r="AE19" s="1019"/>
      <c r="AF19" s="1019"/>
      <c r="AG19" s="1022">
        <f t="shared" si="8"/>
        <v>47918.181818181831</v>
      </c>
      <c r="AH19" s="1022">
        <f t="shared" si="11"/>
        <v>12048</v>
      </c>
      <c r="AI19" s="1022">
        <f t="shared" si="12"/>
        <v>17113.636363636364</v>
      </c>
      <c r="AJ19" s="1022">
        <f t="shared" si="3"/>
        <v>0</v>
      </c>
      <c r="AK19" s="1022">
        <f t="shared" si="4"/>
        <v>0</v>
      </c>
      <c r="AL19" s="1022">
        <f t="shared" si="5"/>
        <v>77079.818181818191</v>
      </c>
    </row>
    <row r="20" spans="1:38" ht="20.100000000000001" customHeight="1">
      <c r="A20" s="1011" t="s">
        <v>3335</v>
      </c>
      <c r="B20" s="1012">
        <v>3.508</v>
      </c>
      <c r="D20" s="1062"/>
      <c r="E20" s="1062" t="s">
        <v>3355</v>
      </c>
      <c r="F20" s="1057">
        <v>2.8719999999999999</v>
      </c>
      <c r="G20" s="1058">
        <f t="shared" si="6"/>
        <v>6186288</v>
      </c>
      <c r="H20" s="1058">
        <f t="shared" si="7"/>
        <v>237934</v>
      </c>
      <c r="J20" s="1013" t="s">
        <v>4175</v>
      </c>
      <c r="K20" s="1013"/>
      <c r="M20" s="1016" t="e">
        <f ca="1">IF(N20&gt;0,COUNTIF($N$7:N20,"&gt;0"),M19)</f>
        <v>#REF!</v>
      </c>
      <c r="N20" s="1016" t="e">
        <f ca="1">IF(tk&gt;0,1,0)</f>
        <v>#REF!</v>
      </c>
      <c r="O20" s="1443" t="e">
        <f ca="1">"BẢNG "&amp;M20&amp;": CHI PHÍ THIẾT KẾ"</f>
        <v>#REF!</v>
      </c>
      <c r="P20" s="1444"/>
      <c r="Q20" s="1445"/>
      <c r="S20" s="1017" t="s">
        <v>4447</v>
      </c>
      <c r="T20" s="1017" t="s">
        <v>4479</v>
      </c>
      <c r="U20" s="1018" t="s">
        <v>3825</v>
      </c>
      <c r="V20" s="1019">
        <v>220</v>
      </c>
      <c r="W20" s="1019">
        <v>14</v>
      </c>
      <c r="X20" s="1020">
        <v>3.52</v>
      </c>
      <c r="Y20" s="1019">
        <v>5</v>
      </c>
      <c r="Z20" s="1021">
        <v>435900</v>
      </c>
      <c r="AA20" s="1019"/>
      <c r="AB20" s="1019"/>
      <c r="AC20" s="1019"/>
      <c r="AD20" s="1019"/>
      <c r="AE20" s="1019"/>
      <c r="AF20" s="1019"/>
      <c r="AG20" s="1022">
        <f t="shared" si="8"/>
        <v>249651.81818181821</v>
      </c>
      <c r="AH20" s="1022">
        <f t="shared" si="11"/>
        <v>69744</v>
      </c>
      <c r="AI20" s="1022">
        <f t="shared" si="12"/>
        <v>99068.181818181823</v>
      </c>
      <c r="AJ20" s="1022">
        <f t="shared" si="3"/>
        <v>0</v>
      </c>
      <c r="AK20" s="1022">
        <f t="shared" si="4"/>
        <v>0</v>
      </c>
      <c r="AL20" s="1022">
        <f t="shared" si="5"/>
        <v>418464.00000000006</v>
      </c>
    </row>
    <row r="21" spans="1:38" ht="20.100000000000001" customHeight="1">
      <c r="A21" s="1011" t="s">
        <v>3336</v>
      </c>
      <c r="B21" s="1012">
        <v>1.147</v>
      </c>
      <c r="D21" s="1062"/>
      <c r="E21" s="1062" t="s">
        <v>3356</v>
      </c>
      <c r="F21" s="1057">
        <v>3.01</v>
      </c>
      <c r="G21" s="1058">
        <f t="shared" si="6"/>
        <v>6483540</v>
      </c>
      <c r="H21" s="1058">
        <f t="shared" si="7"/>
        <v>249367</v>
      </c>
      <c r="J21" s="1013" t="s">
        <v>4176</v>
      </c>
      <c r="K21" s="1013"/>
      <c r="M21" s="1016">
        <f ca="1">IF(N21&gt;0,COUNTIF($N$7:N21,"&gt;0"),M20)</f>
        <v>5</v>
      </c>
      <c r="N21" s="1016">
        <f ca="1">IF(vcdd_gtvcdd1 + vcdd_gtvctba1&gt;0,1,0)</f>
        <v>1</v>
      </c>
      <c r="O21" s="1443" t="str">
        <f ca="1">"BẢNG "&amp;M21&amp;": CHI PHÍ VẬN CHUYỂN ĐƯỜNG DÀI"</f>
        <v>BẢNG 5: CHI PHÍ VẬN CHUYỂN ĐƯỜNG DÀI</v>
      </c>
      <c r="P21" s="1444"/>
      <c r="Q21" s="1445"/>
      <c r="S21" s="1017" t="s">
        <v>3402</v>
      </c>
      <c r="T21" s="1017" t="s">
        <v>4480</v>
      </c>
      <c r="U21" s="1019" t="s">
        <v>3825</v>
      </c>
      <c r="V21" s="1019"/>
      <c r="W21" s="1019"/>
      <c r="X21" s="1019"/>
      <c r="Y21" s="1019"/>
      <c r="Z21" s="1021"/>
      <c r="AA21" s="1019"/>
      <c r="AB21" s="1019"/>
      <c r="AC21" s="1019"/>
      <c r="AD21" s="1019"/>
      <c r="AE21" s="1019"/>
      <c r="AF21" s="1019"/>
      <c r="AG21" s="1022"/>
      <c r="AH21" s="1022"/>
      <c r="AI21" s="1022"/>
      <c r="AJ21" s="1022">
        <v>58907</v>
      </c>
      <c r="AK21" s="1022">
        <f t="shared" si="4"/>
        <v>0</v>
      </c>
      <c r="AL21" s="1022">
        <f t="shared" si="5"/>
        <v>58907</v>
      </c>
    </row>
    <row r="22" spans="1:38" ht="20.100000000000001" customHeight="1">
      <c r="D22" s="1062"/>
      <c r="E22" s="1062" t="s">
        <v>3357</v>
      </c>
      <c r="F22" s="1057">
        <v>3.12</v>
      </c>
      <c r="G22" s="1058">
        <f t="shared" si="6"/>
        <v>6720480</v>
      </c>
      <c r="H22" s="1058">
        <f t="shared" si="7"/>
        <v>258480</v>
      </c>
      <c r="J22" s="1013" t="s">
        <v>4177</v>
      </c>
      <c r="K22" s="1013"/>
      <c r="M22" s="1016">
        <f ca="1">IF(N22&gt;0,COUNTIF($N$7:N22,"&gt;0"),M21)</f>
        <v>6</v>
      </c>
      <c r="N22" s="1016">
        <v>1</v>
      </c>
      <c r="O22" s="1443" t="str">
        <f ca="1">"BẢNG "&amp;M22&amp;": KHỐI LƯỢNG VẬT TƯ CHÍNH"</f>
        <v>BẢNG 6: KHỐI LƯỢNG VẬT TƯ CHÍNH</v>
      </c>
      <c r="P22" s="1444"/>
      <c r="Q22" s="1445"/>
      <c r="S22" s="1017" t="s">
        <v>3401</v>
      </c>
      <c r="T22" s="1017" t="s">
        <v>4481</v>
      </c>
      <c r="U22" s="1019" t="s">
        <v>3825</v>
      </c>
      <c r="V22" s="1019"/>
      <c r="W22" s="1019"/>
      <c r="X22" s="1019"/>
      <c r="Y22" s="1019"/>
      <c r="Z22" s="1021"/>
      <c r="AA22" s="1019"/>
      <c r="AB22" s="1019"/>
      <c r="AC22" s="1019"/>
      <c r="AD22" s="1019"/>
      <c r="AE22" s="1019"/>
      <c r="AF22" s="1019"/>
      <c r="AG22" s="1022"/>
      <c r="AH22" s="1022"/>
      <c r="AI22" s="1022"/>
      <c r="AJ22" s="1022">
        <v>546616</v>
      </c>
      <c r="AK22" s="1022">
        <f t="shared" si="4"/>
        <v>0</v>
      </c>
      <c r="AL22" s="1022">
        <f t="shared" si="5"/>
        <v>546616</v>
      </c>
    </row>
    <row r="23" spans="1:38" ht="20.100000000000001" customHeight="1">
      <c r="A23" s="1024" t="s">
        <v>3394</v>
      </c>
      <c r="B23" s="1024" t="s">
        <v>2141</v>
      </c>
      <c r="D23" s="1062"/>
      <c r="E23" s="1062" t="s">
        <v>3358</v>
      </c>
      <c r="F23" s="1057">
        <v>3.1749999999999998</v>
      </c>
      <c r="G23" s="1058">
        <f t="shared" si="6"/>
        <v>6838950</v>
      </c>
      <c r="H23" s="1058">
        <f t="shared" si="7"/>
        <v>263037</v>
      </c>
      <c r="J23" s="1013" t="s">
        <v>4178</v>
      </c>
      <c r="K23" s="1013"/>
      <c r="M23" s="1016" t="e">
        <f>IF(N23&gt;0,COUNTIF($N$7:N23,"&gt;0"),M22)</f>
        <v>#REF!</v>
      </c>
      <c r="N23" s="1016" t="e">
        <f>IF(#REF!&gt;0,1,0)</f>
        <v>#REF!</v>
      </c>
      <c r="O23" s="1443" t="e">
        <f>"BẢNG "&amp;M23&amp;": BẢNG KÊ VẬT TƯ, THIẾT BỊ THU HỒI"</f>
        <v>#REF!</v>
      </c>
      <c r="P23" s="1444"/>
      <c r="Q23" s="1445"/>
      <c r="S23" s="1025">
        <v>1</v>
      </c>
      <c r="T23" s="1025">
        <v>2</v>
      </c>
      <c r="U23" s="1025">
        <v>3</v>
      </c>
      <c r="V23" s="1025">
        <v>4</v>
      </c>
      <c r="W23" s="1025">
        <v>5</v>
      </c>
      <c r="X23" s="1025">
        <v>6</v>
      </c>
      <c r="Y23" s="1025">
        <v>7</v>
      </c>
      <c r="Z23" s="1025">
        <v>8</v>
      </c>
      <c r="AA23" s="1025">
        <v>9</v>
      </c>
      <c r="AB23" s="1025">
        <v>10</v>
      </c>
      <c r="AC23" s="1025">
        <v>11</v>
      </c>
      <c r="AD23" s="1025">
        <v>12</v>
      </c>
      <c r="AE23" s="1025">
        <v>13</v>
      </c>
      <c r="AF23" s="1025">
        <v>14</v>
      </c>
      <c r="AG23" s="1026"/>
      <c r="AH23" s="1026"/>
      <c r="AI23" s="1026"/>
      <c r="AJ23" s="1026"/>
      <c r="AK23" s="1026"/>
      <c r="AL23" s="1026"/>
    </row>
    <row r="24" spans="1:38" ht="20.100000000000001" customHeight="1">
      <c r="A24" s="1027" t="s">
        <v>3395</v>
      </c>
      <c r="B24" s="1028">
        <f t="shared" ref="B24:B43" si="13">VLOOKUP(A24,$S$3:$AL$22,20,0)</f>
        <v>1502012.3846153845</v>
      </c>
      <c r="D24" s="1062"/>
      <c r="E24" s="1062" t="s">
        <v>3359</v>
      </c>
      <c r="F24" s="1057">
        <v>3.2850000000000001</v>
      </c>
      <c r="G24" s="1058">
        <f t="shared" si="6"/>
        <v>7075890</v>
      </c>
      <c r="H24" s="1058">
        <f t="shared" si="7"/>
        <v>272150</v>
      </c>
      <c r="J24" s="1013" t="s">
        <v>4179</v>
      </c>
      <c r="K24" s="1013"/>
      <c r="M24" s="1016" t="e">
        <f>IF(N24&gt;0,COUNTIF($N$7:N24,"&gt;0"),M23)</f>
        <v>#REF!</v>
      </c>
      <c r="N24" s="1016">
        <f>IF(SUM(BKCS!D30:Y30)&gt;0,1,0)</f>
        <v>0</v>
      </c>
      <c r="O24" s="1443" t="e">
        <f>"BẢNG "&amp;M24&amp;": PHÂN PHỐI VẬT TƯ, THIẾT BỊ CHIẾU SÁNG"</f>
        <v>#REF!</v>
      </c>
      <c r="P24" s="1444"/>
      <c r="Q24" s="1445"/>
      <c r="S24" s="1029" t="s">
        <v>2137</v>
      </c>
      <c r="T24" s="1029" t="s">
        <v>4573</v>
      </c>
      <c r="U24" s="1029" t="s">
        <v>4574</v>
      </c>
      <c r="V24" s="1029" t="s">
        <v>4576</v>
      </c>
      <c r="W24" s="1029" t="s">
        <v>4575</v>
      </c>
      <c r="X24" s="1029" t="s">
        <v>3191</v>
      </c>
      <c r="Y24" s="1029" t="s">
        <v>4572</v>
      </c>
      <c r="Z24" s="1029" t="s">
        <v>4577</v>
      </c>
      <c r="AA24" s="1029" t="s">
        <v>4579</v>
      </c>
      <c r="AB24" s="1029" t="s">
        <v>4578</v>
      </c>
      <c r="AC24" s="1029" t="s">
        <v>4581</v>
      </c>
      <c r="AD24" s="1029" t="s">
        <v>4580</v>
      </c>
      <c r="AE24" s="1029" t="s">
        <v>4582</v>
      </c>
      <c r="AF24" s="1029" t="s">
        <v>2350</v>
      </c>
      <c r="AG24" s="1026"/>
      <c r="AH24" s="1026"/>
      <c r="AI24" s="1026"/>
      <c r="AJ24" s="1026"/>
      <c r="AK24" s="1026"/>
      <c r="AL24" s="1026"/>
    </row>
    <row r="25" spans="1:38" ht="20.100000000000001" customHeight="1">
      <c r="A25" s="1027" t="s">
        <v>3396</v>
      </c>
      <c r="B25" s="1028">
        <f t="shared" si="13"/>
        <v>2081520.8699300699</v>
      </c>
      <c r="D25" s="1062"/>
      <c r="E25" s="1063" t="s">
        <v>3360</v>
      </c>
      <c r="F25" s="1057">
        <v>3.56</v>
      </c>
      <c r="G25" s="1058">
        <f t="shared" si="6"/>
        <v>7668240</v>
      </c>
      <c r="H25" s="1058">
        <f t="shared" si="7"/>
        <v>294932</v>
      </c>
      <c r="J25" s="1013" t="s">
        <v>4180</v>
      </c>
      <c r="K25" s="1013"/>
      <c r="M25" s="1016">
        <f ca="1">IF(N25&gt;0,COUNTIF($N$7:N25,"&gt;0"),M24)</f>
        <v>7</v>
      </c>
      <c r="N25" s="1016">
        <v>1</v>
      </c>
      <c r="O25" s="1443" t="str">
        <f ca="1">"BẢNG "&amp;M25&amp;": PHÂN PHỐI VẬT TƯ, THIẾT BỊ ĐƯỜNG DÂY, TRẠM BIẾN ÁP"</f>
        <v>BẢNG 7: PHÂN PHỐI VẬT TƯ, THIẾT BỊ ĐƯỜNG DÂY, TRẠM BIẾN ÁP</v>
      </c>
      <c r="P25" s="1444"/>
      <c r="Q25" s="1445"/>
      <c r="S25" s="1030" t="str">
        <f>U25&amp;"x"&amp;T25</f>
        <v>1x10</v>
      </c>
      <c r="T25" s="1030">
        <v>10</v>
      </c>
      <c r="U25" s="1030">
        <v>1</v>
      </c>
      <c r="V25" s="1031">
        <v>50</v>
      </c>
      <c r="W25" s="1030">
        <v>50</v>
      </c>
      <c r="X25" s="1030">
        <v>3</v>
      </c>
      <c r="Y25" s="1030"/>
      <c r="Z25" s="1030">
        <v>100</v>
      </c>
      <c r="AA25" s="1030">
        <v>50</v>
      </c>
      <c r="AB25" s="1030">
        <v>50</v>
      </c>
      <c r="AC25" s="1030">
        <v>1</v>
      </c>
      <c r="AD25" s="1030">
        <v>50</v>
      </c>
      <c r="AE25" s="1030">
        <v>1</v>
      </c>
      <c r="AF25" s="1030">
        <v>35</v>
      </c>
      <c r="AG25" s="1026"/>
      <c r="AH25" s="1026"/>
      <c r="AI25" s="1026"/>
      <c r="AJ25" s="1026"/>
      <c r="AK25" s="1026"/>
      <c r="AL25" s="1026"/>
    </row>
    <row r="26" spans="1:38" ht="20.100000000000001" customHeight="1">
      <c r="A26" s="1027" t="s">
        <v>3397</v>
      </c>
      <c r="B26" s="1028">
        <f t="shared" si="13"/>
        <v>1316484.0923076922</v>
      </c>
      <c r="D26" s="1062"/>
      <c r="E26" s="1062" t="s">
        <v>3361</v>
      </c>
      <c r="F26" s="1057">
        <v>4.2</v>
      </c>
      <c r="G26" s="1058">
        <f t="shared" si="6"/>
        <v>9046800</v>
      </c>
      <c r="H26" s="1058">
        <f t="shared" si="7"/>
        <v>347954</v>
      </c>
      <c r="J26" s="1013" t="s">
        <v>4181</v>
      </c>
      <c r="K26" s="1013"/>
      <c r="M26" s="1016"/>
      <c r="N26" s="1016"/>
      <c r="O26" s="1443"/>
      <c r="P26" s="1444"/>
      <c r="Q26" s="1445"/>
      <c r="S26" s="1030" t="str">
        <f t="shared" ref="S26:S55" si="14">U26&amp;"x"&amp;T26</f>
        <v>1x15</v>
      </c>
      <c r="T26" s="1030">
        <v>15</v>
      </c>
      <c r="U26" s="1030">
        <v>1</v>
      </c>
      <c r="V26" s="1031">
        <v>75</v>
      </c>
      <c r="W26" s="1030">
        <v>50</v>
      </c>
      <c r="X26" s="1030">
        <v>3</v>
      </c>
      <c r="Y26" s="1030"/>
      <c r="Z26" s="1030">
        <v>100</v>
      </c>
      <c r="AA26" s="1030">
        <v>50</v>
      </c>
      <c r="AB26" s="1030">
        <v>50</v>
      </c>
      <c r="AC26" s="1030">
        <v>1</v>
      </c>
      <c r="AD26" s="1030">
        <v>50</v>
      </c>
      <c r="AE26" s="1030">
        <v>1</v>
      </c>
      <c r="AF26" s="1030">
        <v>50</v>
      </c>
      <c r="AG26" s="1026"/>
      <c r="AH26" s="1026"/>
      <c r="AI26" s="1026"/>
      <c r="AJ26" s="1026"/>
      <c r="AK26" s="1026"/>
      <c r="AL26" s="1026"/>
    </row>
    <row r="27" spans="1:38" ht="20.100000000000001" customHeight="1">
      <c r="A27" s="1027" t="s">
        <v>3398</v>
      </c>
      <c r="B27" s="1028">
        <f t="shared" si="13"/>
        <v>274656.5609895105</v>
      </c>
      <c r="D27" s="1062" t="s">
        <v>2379</v>
      </c>
      <c r="E27" s="1062" t="s">
        <v>4438</v>
      </c>
      <c r="F27" s="1057"/>
      <c r="G27" s="1058">
        <f t="shared" si="6"/>
        <v>0</v>
      </c>
      <c r="H27" s="1058">
        <f t="shared" ref="H27:H49" si="15">ROUND(G27/26,0)</f>
        <v>0</v>
      </c>
      <c r="J27" s="1013" t="s">
        <v>4182</v>
      </c>
      <c r="K27" s="1013"/>
      <c r="M27" s="1016"/>
      <c r="N27" s="1016"/>
      <c r="O27" s="1443"/>
      <c r="P27" s="1444"/>
      <c r="Q27" s="1445"/>
      <c r="S27" s="1030" t="str">
        <f t="shared" si="14"/>
        <v>1x25</v>
      </c>
      <c r="T27" s="1030">
        <v>25</v>
      </c>
      <c r="U27" s="1030">
        <v>1</v>
      </c>
      <c r="V27" s="1031">
        <v>125</v>
      </c>
      <c r="W27" s="1030">
        <v>75</v>
      </c>
      <c r="X27" s="1030">
        <v>3</v>
      </c>
      <c r="Y27" s="1030"/>
      <c r="Z27" s="1030">
        <v>100</v>
      </c>
      <c r="AA27" s="1030">
        <v>70</v>
      </c>
      <c r="AB27" s="1030">
        <v>50</v>
      </c>
      <c r="AC27" s="1030">
        <v>1</v>
      </c>
      <c r="AD27" s="1030">
        <v>50</v>
      </c>
      <c r="AE27" s="1030">
        <v>1</v>
      </c>
      <c r="AF27" s="1030">
        <v>70</v>
      </c>
      <c r="AG27" s="1026"/>
      <c r="AH27" s="1026"/>
      <c r="AI27" s="1026"/>
      <c r="AJ27" s="1026"/>
      <c r="AK27" s="1026"/>
      <c r="AL27" s="1026"/>
    </row>
    <row r="28" spans="1:38" ht="20.100000000000001" customHeight="1">
      <c r="A28" s="1027" t="s">
        <v>3399</v>
      </c>
      <c r="B28" s="1028">
        <f t="shared" si="13"/>
        <v>2041748.3357859531</v>
      </c>
      <c r="D28" s="1062"/>
      <c r="E28" s="1062" t="s">
        <v>3362</v>
      </c>
      <c r="F28" s="1057">
        <v>1.76</v>
      </c>
      <c r="G28" s="1058">
        <f t="shared" si="6"/>
        <v>3791040</v>
      </c>
      <c r="H28" s="1058">
        <f t="shared" si="7"/>
        <v>145809</v>
      </c>
      <c r="O28" s="1032"/>
      <c r="P28" s="1033"/>
      <c r="Q28" s="1033"/>
      <c r="S28" s="1030" t="str">
        <f t="shared" si="14"/>
        <v>1x37,5</v>
      </c>
      <c r="T28" s="1030">
        <v>37.5</v>
      </c>
      <c r="U28" s="1030">
        <v>1</v>
      </c>
      <c r="V28" s="1031">
        <v>200</v>
      </c>
      <c r="W28" s="1030">
        <v>100</v>
      </c>
      <c r="X28" s="1030">
        <v>3</v>
      </c>
      <c r="Y28" s="1030"/>
      <c r="Z28" s="1030">
        <v>150</v>
      </c>
      <c r="AA28" s="1030">
        <v>70</v>
      </c>
      <c r="AB28" s="1030">
        <v>70</v>
      </c>
      <c r="AC28" s="1030">
        <v>1</v>
      </c>
      <c r="AD28" s="1030">
        <v>50</v>
      </c>
      <c r="AE28" s="1030">
        <v>1</v>
      </c>
      <c r="AF28" s="1030">
        <v>95</v>
      </c>
      <c r="AG28" s="1026"/>
      <c r="AH28" s="1026"/>
      <c r="AI28" s="1026"/>
      <c r="AJ28" s="1026"/>
      <c r="AK28" s="1026"/>
      <c r="AL28" s="1026"/>
    </row>
    <row r="29" spans="1:38" ht="20.100000000000001" customHeight="1">
      <c r="A29" s="1027" t="s">
        <v>3400</v>
      </c>
      <c r="B29" s="1028">
        <f t="shared" si="13"/>
        <v>262267.37713377929</v>
      </c>
      <c r="D29" s="1062"/>
      <c r="E29" s="1062" t="s">
        <v>3363</v>
      </c>
      <c r="F29" s="1057">
        <v>2.0699999999999998</v>
      </c>
      <c r="G29" s="1058">
        <f t="shared" si="6"/>
        <v>4458780</v>
      </c>
      <c r="H29" s="1058">
        <f t="shared" si="7"/>
        <v>171492</v>
      </c>
      <c r="O29" s="1032"/>
      <c r="P29" s="1033"/>
      <c r="Q29" s="1033"/>
      <c r="S29" s="1030" t="str">
        <f t="shared" si="14"/>
        <v>1x50</v>
      </c>
      <c r="T29" s="1030">
        <v>50</v>
      </c>
      <c r="U29" s="1030">
        <v>1</v>
      </c>
      <c r="V29" s="1031">
        <v>250</v>
      </c>
      <c r="W29" s="1030">
        <v>125</v>
      </c>
      <c r="X29" s="1030">
        <v>3</v>
      </c>
      <c r="Y29" s="1030"/>
      <c r="Z29" s="1030">
        <v>200</v>
      </c>
      <c r="AA29" s="1030">
        <v>95</v>
      </c>
      <c r="AB29" s="1030">
        <v>95</v>
      </c>
      <c r="AC29" s="1030">
        <v>1</v>
      </c>
      <c r="AD29" s="1030">
        <v>70</v>
      </c>
      <c r="AE29" s="1030">
        <v>1</v>
      </c>
      <c r="AF29" s="1030">
        <v>120</v>
      </c>
      <c r="AG29" s="1026"/>
      <c r="AH29" s="1026"/>
      <c r="AI29" s="1026"/>
      <c r="AJ29" s="1026"/>
      <c r="AK29" s="1026"/>
      <c r="AL29" s="1026"/>
    </row>
    <row r="30" spans="1:38" ht="20.100000000000001" customHeight="1">
      <c r="A30" s="1027" t="s">
        <v>3401</v>
      </c>
      <c r="B30" s="1028">
        <f t="shared" si="13"/>
        <v>546616</v>
      </c>
      <c r="D30" s="1062"/>
      <c r="E30" s="1062" t="s">
        <v>3364</v>
      </c>
      <c r="F30" s="1057">
        <v>2.181</v>
      </c>
      <c r="G30" s="1058">
        <f t="shared" si="6"/>
        <v>4697874</v>
      </c>
      <c r="H30" s="1058">
        <f t="shared" si="7"/>
        <v>180687</v>
      </c>
      <c r="O30" s="1032"/>
      <c r="P30" s="1033"/>
      <c r="Q30" s="1033"/>
      <c r="S30" s="1030" t="str">
        <f t="shared" si="14"/>
        <v>1x75</v>
      </c>
      <c r="T30" s="1030">
        <v>75</v>
      </c>
      <c r="U30" s="1030">
        <v>1</v>
      </c>
      <c r="V30" s="1031">
        <v>400</v>
      </c>
      <c r="W30" s="1030">
        <v>200</v>
      </c>
      <c r="X30" s="1030">
        <v>6</v>
      </c>
      <c r="Y30" s="1030"/>
      <c r="Z30" s="1030">
        <v>300</v>
      </c>
      <c r="AA30" s="1030">
        <v>150</v>
      </c>
      <c r="AB30" s="1030">
        <v>150</v>
      </c>
      <c r="AC30" s="1030">
        <v>1</v>
      </c>
      <c r="AD30" s="1030">
        <v>95</v>
      </c>
      <c r="AE30" s="1030">
        <v>1</v>
      </c>
      <c r="AF30" s="1030">
        <v>150</v>
      </c>
      <c r="AG30" s="1026"/>
      <c r="AH30" s="1026"/>
      <c r="AI30" s="1026"/>
      <c r="AJ30" s="1026"/>
      <c r="AK30" s="1026"/>
      <c r="AL30" s="1026"/>
    </row>
    <row r="31" spans="1:38" ht="20.100000000000001" customHeight="1">
      <c r="A31" s="1027" t="s">
        <v>3402</v>
      </c>
      <c r="B31" s="1028">
        <f t="shared" si="13"/>
        <v>58907</v>
      </c>
      <c r="D31" s="1062"/>
      <c r="E31" s="1062" t="s">
        <v>3365</v>
      </c>
      <c r="F31" s="1057">
        <v>2.2549999999999999</v>
      </c>
      <c r="G31" s="1058">
        <f t="shared" si="6"/>
        <v>4857270</v>
      </c>
      <c r="H31" s="1058">
        <f t="shared" si="7"/>
        <v>186818</v>
      </c>
      <c r="O31" s="1032"/>
      <c r="P31" s="1033"/>
      <c r="Q31" s="1033"/>
      <c r="S31" s="1030" t="str">
        <f t="shared" si="14"/>
        <v>1x100</v>
      </c>
      <c r="T31" s="1030">
        <v>100</v>
      </c>
      <c r="U31" s="1030">
        <v>1</v>
      </c>
      <c r="V31" s="1031">
        <v>500</v>
      </c>
      <c r="W31" s="1030">
        <v>250</v>
      </c>
      <c r="X31" s="1030">
        <v>8</v>
      </c>
      <c r="Y31" s="1030"/>
      <c r="Z31" s="1030">
        <v>400</v>
      </c>
      <c r="AA31" s="1030">
        <v>200</v>
      </c>
      <c r="AB31" s="1030">
        <v>240</v>
      </c>
      <c r="AC31" s="1030">
        <v>1</v>
      </c>
      <c r="AD31" s="1030">
        <v>95</v>
      </c>
      <c r="AE31" s="1030">
        <v>1</v>
      </c>
      <c r="AF31" s="1030">
        <v>185</v>
      </c>
      <c r="AG31" s="1026"/>
      <c r="AH31" s="1026"/>
      <c r="AI31" s="1026"/>
      <c r="AJ31" s="1026"/>
      <c r="AK31" s="1026"/>
      <c r="AL31" s="1026"/>
    </row>
    <row r="32" spans="1:38" ht="20.100000000000001" customHeight="1">
      <c r="A32" s="1027" t="s">
        <v>4195</v>
      </c>
      <c r="B32" s="1028">
        <f t="shared" si="13"/>
        <v>45040.000000000007</v>
      </c>
      <c r="D32" s="1062"/>
      <c r="E32" s="1062" t="s">
        <v>3366</v>
      </c>
      <c r="F32" s="1057">
        <v>2.3290000000000002</v>
      </c>
      <c r="G32" s="1058">
        <f t="shared" si="6"/>
        <v>5016666</v>
      </c>
      <c r="H32" s="1058">
        <f t="shared" si="7"/>
        <v>192949</v>
      </c>
      <c r="O32" s="1032"/>
      <c r="P32" s="1033"/>
      <c r="Q32" s="1033"/>
      <c r="S32" s="1030" t="str">
        <f t="shared" si="14"/>
        <v>2x10</v>
      </c>
      <c r="T32" s="1030">
        <v>10</v>
      </c>
      <c r="U32" s="1030">
        <v>2</v>
      </c>
      <c r="V32" s="1031">
        <v>100</v>
      </c>
      <c r="W32" s="1030">
        <v>50</v>
      </c>
      <c r="X32" s="1030">
        <v>3</v>
      </c>
      <c r="Y32" s="1030"/>
      <c r="Z32" s="1030">
        <v>100</v>
      </c>
      <c r="AA32" s="1030">
        <v>100</v>
      </c>
      <c r="AB32" s="1030">
        <v>50</v>
      </c>
      <c r="AC32" s="1030">
        <v>1</v>
      </c>
      <c r="AD32" s="1030">
        <v>50</v>
      </c>
      <c r="AE32" s="1030">
        <v>1</v>
      </c>
      <c r="AF32" s="1030">
        <v>200</v>
      </c>
      <c r="AG32" s="1026"/>
      <c r="AH32" s="1026"/>
      <c r="AI32" s="1026"/>
      <c r="AJ32" s="1026"/>
      <c r="AK32" s="1026"/>
      <c r="AL32" s="1026"/>
    </row>
    <row r="33" spans="1:38" ht="20.100000000000001" customHeight="1">
      <c r="A33" s="1027" t="s">
        <v>4439</v>
      </c>
      <c r="B33" s="1028">
        <f t="shared" si="13"/>
        <v>160403.81818181821</v>
      </c>
      <c r="D33" s="1062"/>
      <c r="E33" s="1062" t="s">
        <v>3367</v>
      </c>
      <c r="F33" s="1057">
        <v>2.44</v>
      </c>
      <c r="G33" s="1058">
        <f t="shared" si="6"/>
        <v>5255760</v>
      </c>
      <c r="H33" s="1058">
        <f t="shared" si="7"/>
        <v>202145</v>
      </c>
      <c r="O33" s="1032"/>
      <c r="P33" s="1033"/>
      <c r="Q33" s="1033"/>
      <c r="S33" s="1030" t="str">
        <f t="shared" si="14"/>
        <v>2x15</v>
      </c>
      <c r="T33" s="1030">
        <v>15</v>
      </c>
      <c r="U33" s="1030">
        <v>2</v>
      </c>
      <c r="V33" s="1031">
        <v>150</v>
      </c>
      <c r="W33" s="1030">
        <v>75</v>
      </c>
      <c r="X33" s="1030">
        <v>3</v>
      </c>
      <c r="Y33" s="1030"/>
      <c r="Z33" s="1030">
        <v>150</v>
      </c>
      <c r="AA33" s="1030">
        <v>100</v>
      </c>
      <c r="AB33" s="1030">
        <v>50</v>
      </c>
      <c r="AC33" s="1030">
        <v>1</v>
      </c>
      <c r="AD33" s="1030">
        <v>50</v>
      </c>
      <c r="AE33" s="1030">
        <v>1</v>
      </c>
      <c r="AF33" s="1030">
        <v>240</v>
      </c>
      <c r="AG33" s="1026"/>
      <c r="AH33" s="1026"/>
      <c r="AI33" s="1026"/>
      <c r="AJ33" s="1026"/>
      <c r="AK33" s="1026"/>
      <c r="AL33" s="1026"/>
    </row>
    <row r="34" spans="1:38" ht="20.100000000000001" customHeight="1">
      <c r="A34" s="1027" t="s">
        <v>4196</v>
      </c>
      <c r="B34" s="1028">
        <f t="shared" si="13"/>
        <v>54559.818181818191</v>
      </c>
      <c r="D34" s="1062"/>
      <c r="E34" s="1062" t="s">
        <v>3368</v>
      </c>
      <c r="F34" s="1057">
        <v>2.524</v>
      </c>
      <c r="G34" s="1058">
        <f t="shared" si="6"/>
        <v>5436696</v>
      </c>
      <c r="H34" s="1058">
        <f t="shared" si="7"/>
        <v>209104</v>
      </c>
      <c r="O34" s="1032"/>
      <c r="P34" s="1033"/>
      <c r="Q34" s="1033"/>
      <c r="S34" s="1030" t="str">
        <f t="shared" si="14"/>
        <v>2x25</v>
      </c>
      <c r="T34" s="1030">
        <v>25</v>
      </c>
      <c r="U34" s="1030">
        <v>2</v>
      </c>
      <c r="V34" s="1031">
        <v>250</v>
      </c>
      <c r="W34" s="1030">
        <v>125</v>
      </c>
      <c r="X34" s="1030">
        <v>6</v>
      </c>
      <c r="Y34" s="1030"/>
      <c r="Z34" s="1030">
        <v>200</v>
      </c>
      <c r="AA34" s="1030">
        <v>100</v>
      </c>
      <c r="AB34" s="1030">
        <v>95</v>
      </c>
      <c r="AC34" s="1030">
        <v>1</v>
      </c>
      <c r="AD34" s="1030">
        <v>70</v>
      </c>
      <c r="AE34" s="1030">
        <v>1</v>
      </c>
      <c r="AF34" s="1030"/>
      <c r="AG34" s="1026"/>
      <c r="AH34" s="1026"/>
      <c r="AI34" s="1026"/>
      <c r="AJ34" s="1026"/>
      <c r="AK34" s="1026"/>
      <c r="AL34" s="1026"/>
    </row>
    <row r="35" spans="1:38" ht="20.100000000000001" customHeight="1">
      <c r="A35" s="1027" t="s">
        <v>4440</v>
      </c>
      <c r="B35" s="1028">
        <f t="shared" si="13"/>
        <v>93662.727272727279</v>
      </c>
      <c r="D35" s="1062"/>
      <c r="E35" s="1063" t="s">
        <v>3369</v>
      </c>
      <c r="F35" s="1057">
        <v>2.5659999999999998</v>
      </c>
      <c r="G35" s="1058">
        <f t="shared" si="6"/>
        <v>5527164</v>
      </c>
      <c r="H35" s="1058">
        <f t="shared" si="7"/>
        <v>212583</v>
      </c>
      <c r="O35" s="1032"/>
      <c r="P35" s="1033"/>
      <c r="Q35" s="1033"/>
      <c r="S35" s="1030" t="str">
        <f t="shared" si="14"/>
        <v>2x37,5</v>
      </c>
      <c r="T35" s="1030">
        <v>37.5</v>
      </c>
      <c r="U35" s="1030">
        <v>2</v>
      </c>
      <c r="V35" s="1031">
        <v>400</v>
      </c>
      <c r="W35" s="1030">
        <v>200</v>
      </c>
      <c r="X35" s="1030">
        <v>6</v>
      </c>
      <c r="Y35" s="1030"/>
      <c r="Z35" s="1030">
        <v>300</v>
      </c>
      <c r="AA35" s="1030">
        <v>150</v>
      </c>
      <c r="AB35" s="1030">
        <v>150</v>
      </c>
      <c r="AC35" s="1030">
        <v>1</v>
      </c>
      <c r="AD35" s="1030">
        <v>70</v>
      </c>
      <c r="AE35" s="1030">
        <v>1</v>
      </c>
      <c r="AF35" s="1030"/>
      <c r="AG35" s="1026"/>
      <c r="AH35" s="1026"/>
      <c r="AI35" s="1026"/>
      <c r="AJ35" s="1026"/>
      <c r="AK35" s="1026"/>
      <c r="AL35" s="1026"/>
    </row>
    <row r="36" spans="1:38" ht="20.100000000000001" customHeight="1">
      <c r="A36" s="1027" t="s">
        <v>4441</v>
      </c>
      <c r="B36" s="1028">
        <f t="shared" si="13"/>
        <v>424992</v>
      </c>
      <c r="D36" s="1062"/>
      <c r="E36" s="1062" t="s">
        <v>3370</v>
      </c>
      <c r="F36" s="1057">
        <f>F39</f>
        <v>2.9620000000000002</v>
      </c>
      <c r="G36" s="1058">
        <f t="shared" si="6"/>
        <v>6380148</v>
      </c>
      <c r="H36" s="1058">
        <f t="shared" si="7"/>
        <v>245390</v>
      </c>
      <c r="O36" s="1032"/>
      <c r="P36" s="1033"/>
      <c r="Q36" s="1033"/>
      <c r="S36" s="1030" t="str">
        <f t="shared" si="14"/>
        <v>2x50</v>
      </c>
      <c r="T36" s="1030">
        <v>50</v>
      </c>
      <c r="U36" s="1030">
        <v>2</v>
      </c>
      <c r="V36" s="1031">
        <v>500</v>
      </c>
      <c r="W36" s="1030">
        <v>250</v>
      </c>
      <c r="X36" s="1030">
        <v>8</v>
      </c>
      <c r="Y36" s="1030"/>
      <c r="Z36" s="1030">
        <v>400</v>
      </c>
      <c r="AA36" s="1030">
        <v>200</v>
      </c>
      <c r="AB36" s="1030">
        <v>200</v>
      </c>
      <c r="AC36" s="1030">
        <v>1</v>
      </c>
      <c r="AD36" s="1030">
        <v>95</v>
      </c>
      <c r="AE36" s="1030">
        <v>1</v>
      </c>
      <c r="AF36" s="1030"/>
      <c r="AG36" s="1026"/>
      <c r="AH36" s="1026"/>
      <c r="AI36" s="1026"/>
      <c r="AJ36" s="1026"/>
      <c r="AK36" s="1026"/>
      <c r="AL36" s="1026"/>
    </row>
    <row r="37" spans="1:38" ht="20.100000000000001" customHeight="1">
      <c r="A37" s="1027" t="s">
        <v>4760</v>
      </c>
      <c r="B37" s="1028">
        <f t="shared" si="13"/>
        <v>1465756.153846154</v>
      </c>
      <c r="D37" s="1062"/>
      <c r="E37" s="1062" t="s">
        <v>3371</v>
      </c>
      <c r="F37" s="1057">
        <f>F36</f>
        <v>2.9620000000000002</v>
      </c>
      <c r="G37" s="1058">
        <f t="shared" si="6"/>
        <v>6380148</v>
      </c>
      <c r="H37" s="1058">
        <f t="shared" si="7"/>
        <v>245390</v>
      </c>
      <c r="O37" s="1032"/>
      <c r="P37" s="1033"/>
      <c r="Q37" s="1033"/>
      <c r="S37" s="1030" t="str">
        <f t="shared" si="14"/>
        <v>2x75</v>
      </c>
      <c r="T37" s="1030">
        <v>75</v>
      </c>
      <c r="U37" s="1030">
        <v>2</v>
      </c>
      <c r="V37" s="1031">
        <v>800</v>
      </c>
      <c r="W37" s="1030">
        <v>400</v>
      </c>
      <c r="X37" s="1030">
        <v>12</v>
      </c>
      <c r="Y37" s="1030"/>
      <c r="Z37" s="1030">
        <v>600</v>
      </c>
      <c r="AA37" s="1030">
        <v>300</v>
      </c>
      <c r="AB37" s="1030">
        <v>150</v>
      </c>
      <c r="AC37" s="1030">
        <v>2</v>
      </c>
      <c r="AD37" s="1030">
        <v>150</v>
      </c>
      <c r="AE37" s="1030">
        <v>1</v>
      </c>
      <c r="AF37" s="1030"/>
      <c r="AG37" s="1026"/>
      <c r="AH37" s="1026"/>
      <c r="AI37" s="1026"/>
      <c r="AJ37" s="1026"/>
      <c r="AK37" s="1026"/>
      <c r="AL37" s="1026"/>
    </row>
    <row r="38" spans="1:38" ht="20.100000000000001" customHeight="1">
      <c r="A38" s="1027" t="s">
        <v>4442</v>
      </c>
      <c r="B38" s="1028">
        <f t="shared" si="13"/>
        <v>77079.818181818191</v>
      </c>
      <c r="D38" s="1062"/>
      <c r="E38" s="1062" t="s">
        <v>3372</v>
      </c>
      <c r="F38" s="1057">
        <v>2.86</v>
      </c>
      <c r="G38" s="1058">
        <f t="shared" si="6"/>
        <v>6160440</v>
      </c>
      <c r="H38" s="1058">
        <f t="shared" si="7"/>
        <v>236940</v>
      </c>
      <c r="O38" s="1032"/>
      <c r="P38" s="1033"/>
      <c r="Q38" s="1033"/>
      <c r="S38" s="1030" t="str">
        <f t="shared" si="14"/>
        <v>2x100</v>
      </c>
      <c r="T38" s="1030">
        <v>100</v>
      </c>
      <c r="U38" s="1030">
        <v>2</v>
      </c>
      <c r="V38" s="1031">
        <v>1000</v>
      </c>
      <c r="W38" s="1030">
        <v>500</v>
      </c>
      <c r="X38" s="1030">
        <v>15</v>
      </c>
      <c r="Y38" s="1030"/>
      <c r="Z38" s="1030">
        <v>800</v>
      </c>
      <c r="AA38" s="1030">
        <v>400</v>
      </c>
      <c r="AB38" s="1030">
        <v>200</v>
      </c>
      <c r="AC38" s="1030">
        <v>2</v>
      </c>
      <c r="AD38" s="1030">
        <v>200</v>
      </c>
      <c r="AE38" s="1030">
        <v>1</v>
      </c>
      <c r="AF38" s="1030"/>
      <c r="AG38" s="1026"/>
      <c r="AH38" s="1026"/>
      <c r="AI38" s="1026"/>
      <c r="AJ38" s="1026"/>
      <c r="AK38" s="1026"/>
      <c r="AL38" s="1026"/>
    </row>
    <row r="39" spans="1:38" ht="20.100000000000001" customHeight="1">
      <c r="A39" s="1027" t="s">
        <v>4443</v>
      </c>
      <c r="B39" s="1028">
        <f t="shared" si="13"/>
        <v>436512</v>
      </c>
      <c r="D39" s="1062"/>
      <c r="E39" s="1062" t="s">
        <v>3373</v>
      </c>
      <c r="F39" s="1057">
        <v>2.9620000000000002</v>
      </c>
      <c r="G39" s="1058">
        <f t="shared" si="6"/>
        <v>6380148</v>
      </c>
      <c r="H39" s="1058">
        <f t="shared" si="7"/>
        <v>245390</v>
      </c>
      <c r="P39" s="1033"/>
      <c r="Q39" s="1033"/>
      <c r="S39" s="1030" t="str">
        <f t="shared" si="14"/>
        <v>3x10</v>
      </c>
      <c r="T39" s="1030">
        <v>10</v>
      </c>
      <c r="U39" s="1030">
        <v>3</v>
      </c>
      <c r="V39" s="1030">
        <v>63</v>
      </c>
      <c r="W39" s="1030">
        <v>63</v>
      </c>
      <c r="X39" s="1030">
        <v>3</v>
      </c>
      <c r="Y39" s="1030"/>
      <c r="Z39" s="1030">
        <v>100</v>
      </c>
      <c r="AA39" s="1030">
        <v>100</v>
      </c>
      <c r="AB39" s="1030">
        <v>50</v>
      </c>
      <c r="AC39" s="1030">
        <v>1</v>
      </c>
      <c r="AD39" s="1030">
        <v>50</v>
      </c>
      <c r="AE39" s="1030">
        <v>1</v>
      </c>
      <c r="AF39" s="1030"/>
      <c r="AG39" s="1026"/>
      <c r="AH39" s="1026"/>
      <c r="AI39" s="1026"/>
      <c r="AJ39" s="1026"/>
      <c r="AK39" s="1026"/>
      <c r="AL39" s="1026"/>
    </row>
    <row r="40" spans="1:38" ht="20.100000000000001" customHeight="1">
      <c r="A40" s="1027" t="s">
        <v>4444</v>
      </c>
      <c r="B40" s="1028">
        <f t="shared" si="13"/>
        <v>838080.00000000012</v>
      </c>
      <c r="D40" s="1062"/>
      <c r="E40" s="1062" t="s">
        <v>3374</v>
      </c>
      <c r="F40" s="1057">
        <v>3.0129999999999999</v>
      </c>
      <c r="G40" s="1058">
        <f t="shared" si="6"/>
        <v>6490002</v>
      </c>
      <c r="H40" s="1058">
        <f t="shared" si="7"/>
        <v>249615</v>
      </c>
      <c r="P40" s="1033"/>
      <c r="Q40" s="1033"/>
      <c r="S40" s="1030" t="str">
        <f t="shared" si="14"/>
        <v>3x15</v>
      </c>
      <c r="T40" s="1030">
        <v>15</v>
      </c>
      <c r="U40" s="1030">
        <v>3</v>
      </c>
      <c r="V40" s="1030">
        <v>75</v>
      </c>
      <c r="W40" s="1030">
        <v>75</v>
      </c>
      <c r="X40" s="1030">
        <v>3</v>
      </c>
      <c r="Y40" s="1030"/>
      <c r="Z40" s="1030">
        <v>100</v>
      </c>
      <c r="AA40" s="1030">
        <v>100</v>
      </c>
      <c r="AB40" s="1030">
        <v>50</v>
      </c>
      <c r="AC40" s="1030">
        <v>1</v>
      </c>
      <c r="AD40" s="1030">
        <v>50</v>
      </c>
      <c r="AE40" s="1030">
        <v>1</v>
      </c>
      <c r="AF40" s="1030"/>
      <c r="AG40" s="1026"/>
      <c r="AH40" s="1026"/>
      <c r="AI40" s="1026"/>
      <c r="AJ40" s="1026"/>
      <c r="AK40" s="1026"/>
      <c r="AL40" s="1026"/>
    </row>
    <row r="41" spans="1:38" ht="20.100000000000001" customHeight="1">
      <c r="A41" s="1027" t="s">
        <v>4445</v>
      </c>
      <c r="B41" s="1028">
        <f t="shared" si="13"/>
        <v>792288</v>
      </c>
      <c r="D41" s="1062"/>
      <c r="E41" s="1062" t="s">
        <v>3375</v>
      </c>
      <c r="F41" s="1057">
        <v>3.1150000000000002</v>
      </c>
      <c r="G41" s="1058">
        <f t="shared" si="6"/>
        <v>6709710</v>
      </c>
      <c r="H41" s="1058">
        <f t="shared" si="7"/>
        <v>258066</v>
      </c>
      <c r="P41" s="1033"/>
      <c r="Q41" s="1033"/>
      <c r="S41" s="1030" t="str">
        <f t="shared" si="14"/>
        <v>3x25</v>
      </c>
      <c r="T41" s="1030">
        <v>25</v>
      </c>
      <c r="U41" s="1030">
        <v>3</v>
      </c>
      <c r="V41" s="1030">
        <v>125</v>
      </c>
      <c r="W41" s="1030">
        <v>125</v>
      </c>
      <c r="X41" s="1030">
        <v>3</v>
      </c>
      <c r="Y41" s="1030">
        <v>20</v>
      </c>
      <c r="Z41" s="1030">
        <v>100</v>
      </c>
      <c r="AA41" s="1030">
        <v>100</v>
      </c>
      <c r="AB41" s="1030">
        <v>50</v>
      </c>
      <c r="AC41" s="1030">
        <v>1</v>
      </c>
      <c r="AD41" s="1030">
        <v>50</v>
      </c>
      <c r="AE41" s="1030">
        <v>1</v>
      </c>
      <c r="AF41" s="1030"/>
      <c r="AG41" s="1026"/>
      <c r="AH41" s="1026"/>
      <c r="AI41" s="1026"/>
      <c r="AJ41" s="1026"/>
      <c r="AK41" s="1026"/>
      <c r="AL41" s="1026"/>
    </row>
    <row r="42" spans="1:38" ht="20.100000000000001" customHeight="1">
      <c r="A42" s="1027" t="s">
        <v>4446</v>
      </c>
      <c r="B42" s="1028">
        <f t="shared" si="13"/>
        <v>135017.63636363635</v>
      </c>
      <c r="D42" s="1062"/>
      <c r="E42" s="1062" t="s">
        <v>3376</v>
      </c>
      <c r="F42" s="1057">
        <v>3.2170000000000001</v>
      </c>
      <c r="G42" s="1058">
        <f t="shared" si="6"/>
        <v>6929418</v>
      </c>
      <c r="H42" s="1058">
        <f t="shared" si="7"/>
        <v>266516</v>
      </c>
      <c r="P42" s="1033"/>
      <c r="Q42" s="1033"/>
      <c r="S42" s="1030" t="str">
        <f t="shared" si="14"/>
        <v>3x37,5</v>
      </c>
      <c r="T42" s="1030">
        <v>37.5</v>
      </c>
      <c r="U42" s="1030">
        <v>3</v>
      </c>
      <c r="V42" s="1030">
        <v>200</v>
      </c>
      <c r="W42" s="1030">
        <v>200</v>
      </c>
      <c r="X42" s="1030">
        <v>6</v>
      </c>
      <c r="Y42" s="1030">
        <v>40</v>
      </c>
      <c r="Z42" s="1030">
        <v>100</v>
      </c>
      <c r="AA42" s="1030">
        <v>100</v>
      </c>
      <c r="AB42" s="1030">
        <v>50</v>
      </c>
      <c r="AC42" s="1030">
        <v>1</v>
      </c>
      <c r="AD42" s="1030">
        <v>50</v>
      </c>
      <c r="AE42" s="1030">
        <v>1</v>
      </c>
      <c r="AF42" s="1030">
        <v>70</v>
      </c>
      <c r="AG42" s="1026"/>
      <c r="AH42" s="1026"/>
      <c r="AI42" s="1026"/>
      <c r="AJ42" s="1026"/>
      <c r="AK42" s="1026"/>
      <c r="AL42" s="1026"/>
    </row>
    <row r="43" spans="1:38" ht="20.100000000000001" customHeight="1">
      <c r="A43" s="1027" t="s">
        <v>4447</v>
      </c>
      <c r="B43" s="1028">
        <f t="shared" si="13"/>
        <v>418464.00000000006</v>
      </c>
      <c r="D43" s="1062"/>
      <c r="E43" s="1062" t="s">
        <v>3377</v>
      </c>
      <c r="F43" s="1057">
        <v>3.37</v>
      </c>
      <c r="G43" s="1058">
        <f t="shared" si="6"/>
        <v>7258980</v>
      </c>
      <c r="H43" s="1058">
        <f t="shared" si="7"/>
        <v>279192</v>
      </c>
      <c r="P43" s="1033"/>
      <c r="Q43" s="1033"/>
      <c r="S43" s="1030" t="str">
        <f t="shared" si="14"/>
        <v>3x50</v>
      </c>
      <c r="T43" s="1030">
        <v>50</v>
      </c>
      <c r="U43" s="1030">
        <v>3</v>
      </c>
      <c r="V43" s="1030">
        <v>250</v>
      </c>
      <c r="W43" s="1030">
        <v>250</v>
      </c>
      <c r="X43" s="1030">
        <v>6</v>
      </c>
      <c r="Y43" s="1030">
        <v>60</v>
      </c>
      <c r="Z43" s="1030">
        <v>100</v>
      </c>
      <c r="AA43" s="1030">
        <v>100</v>
      </c>
      <c r="AB43" s="1030">
        <v>70</v>
      </c>
      <c r="AC43" s="1030">
        <v>1</v>
      </c>
      <c r="AD43" s="1030">
        <v>70</v>
      </c>
      <c r="AE43" s="1030">
        <v>1</v>
      </c>
      <c r="AF43" s="1030">
        <v>70</v>
      </c>
      <c r="AG43" s="1026"/>
      <c r="AH43" s="1026"/>
      <c r="AI43" s="1026"/>
      <c r="AJ43" s="1026"/>
      <c r="AK43" s="1026"/>
      <c r="AL43" s="1026"/>
    </row>
    <row r="44" spans="1:38" ht="20.100000000000001" customHeight="1">
      <c r="D44" s="1062"/>
      <c r="E44" s="1062" t="s">
        <v>3378</v>
      </c>
      <c r="F44" s="1057">
        <v>3.488</v>
      </c>
      <c r="G44" s="1058">
        <f t="shared" si="6"/>
        <v>7513152</v>
      </c>
      <c r="H44" s="1058">
        <f t="shared" si="7"/>
        <v>288967</v>
      </c>
      <c r="P44" s="1033"/>
      <c r="Q44" s="1033"/>
      <c r="S44" s="1030" t="str">
        <f t="shared" si="14"/>
        <v>3x75</v>
      </c>
      <c r="T44" s="1030">
        <v>75</v>
      </c>
      <c r="U44" s="1030">
        <v>3</v>
      </c>
      <c r="V44" s="1030">
        <v>400</v>
      </c>
      <c r="W44" s="1030">
        <v>400</v>
      </c>
      <c r="X44" s="1030">
        <v>8</v>
      </c>
      <c r="Y44" s="1030">
        <v>80</v>
      </c>
      <c r="Z44" s="1030">
        <v>100</v>
      </c>
      <c r="AA44" s="1030">
        <v>100</v>
      </c>
      <c r="AB44" s="1030">
        <v>95</v>
      </c>
      <c r="AC44" s="1030">
        <v>1</v>
      </c>
      <c r="AD44" s="1030">
        <v>95</v>
      </c>
      <c r="AE44" s="1030">
        <v>1</v>
      </c>
      <c r="AF44" s="1030">
        <v>70</v>
      </c>
      <c r="AG44" s="1026"/>
      <c r="AH44" s="1026"/>
      <c r="AI44" s="1026"/>
      <c r="AJ44" s="1026"/>
      <c r="AK44" s="1026"/>
      <c r="AL44" s="1026"/>
    </row>
    <row r="45" spans="1:38" ht="20.100000000000001" customHeight="1">
      <c r="D45" s="1062"/>
      <c r="E45" s="1063" t="s">
        <v>3379</v>
      </c>
      <c r="F45" s="1057">
        <v>3.5470000000000002</v>
      </c>
      <c r="G45" s="1058">
        <f t="shared" si="6"/>
        <v>7640238</v>
      </c>
      <c r="H45" s="1058">
        <f t="shared" si="7"/>
        <v>293855</v>
      </c>
      <c r="P45" s="1033"/>
      <c r="Q45" s="1033"/>
      <c r="S45" s="1030" t="str">
        <f t="shared" si="14"/>
        <v>3x100</v>
      </c>
      <c r="T45" s="1030">
        <v>100</v>
      </c>
      <c r="U45" s="1030">
        <v>3</v>
      </c>
      <c r="V45" s="1030">
        <v>500</v>
      </c>
      <c r="W45" s="1030">
        <v>500</v>
      </c>
      <c r="X45" s="1030">
        <v>8</v>
      </c>
      <c r="Y45" s="1030">
        <v>100</v>
      </c>
      <c r="Z45" s="1030">
        <v>150</v>
      </c>
      <c r="AA45" s="1030">
        <v>150</v>
      </c>
      <c r="AB45" s="1030">
        <v>95</v>
      </c>
      <c r="AC45" s="1030">
        <v>1</v>
      </c>
      <c r="AD45" s="1030">
        <v>95</v>
      </c>
      <c r="AE45" s="1030">
        <v>1</v>
      </c>
      <c r="AF45" s="1030">
        <v>70</v>
      </c>
      <c r="AG45" s="1026"/>
      <c r="AH45" s="1026"/>
      <c r="AI45" s="1026"/>
      <c r="AJ45" s="1026"/>
      <c r="AK45" s="1026"/>
      <c r="AL45" s="1026"/>
    </row>
    <row r="46" spans="1:38" ht="20.100000000000001" customHeight="1">
      <c r="D46" s="1062"/>
      <c r="E46" s="1062" t="s">
        <v>3380</v>
      </c>
      <c r="F46" s="1057">
        <v>3.665</v>
      </c>
      <c r="G46" s="1058">
        <f t="shared" si="6"/>
        <v>7894410</v>
      </c>
      <c r="H46" s="1058">
        <f t="shared" si="7"/>
        <v>303631</v>
      </c>
      <c r="P46" s="1033"/>
      <c r="Q46" s="1033"/>
      <c r="S46" s="1030" t="str">
        <f t="shared" si="14"/>
        <v>1x160</v>
      </c>
      <c r="T46" s="1030">
        <v>160</v>
      </c>
      <c r="U46" s="1030">
        <v>1</v>
      </c>
      <c r="V46" s="1030">
        <v>250</v>
      </c>
      <c r="W46" s="1030">
        <v>250</v>
      </c>
      <c r="X46" s="1030">
        <v>6</v>
      </c>
      <c r="Y46" s="1030">
        <v>40</v>
      </c>
      <c r="Z46" s="1030">
        <v>200</v>
      </c>
      <c r="AA46" s="1030">
        <v>200</v>
      </c>
      <c r="AB46" s="1030">
        <v>120</v>
      </c>
      <c r="AC46" s="1030">
        <v>1</v>
      </c>
      <c r="AD46" s="1030">
        <v>120</v>
      </c>
      <c r="AE46" s="1030">
        <v>1</v>
      </c>
      <c r="AF46" s="1030">
        <v>70</v>
      </c>
      <c r="AG46" s="1026"/>
      <c r="AH46" s="1026"/>
      <c r="AI46" s="1026"/>
      <c r="AJ46" s="1026"/>
      <c r="AK46" s="1026"/>
      <c r="AL46" s="1026"/>
    </row>
    <row r="47" spans="1:38" ht="20.100000000000001" customHeight="1">
      <c r="D47" s="1062"/>
      <c r="E47" s="1062" t="s">
        <v>3381</v>
      </c>
      <c r="F47" s="1057">
        <v>3.96</v>
      </c>
      <c r="G47" s="1058">
        <f t="shared" si="6"/>
        <v>8529840</v>
      </c>
      <c r="H47" s="1058">
        <f t="shared" si="7"/>
        <v>328071</v>
      </c>
      <c r="P47" s="1033"/>
      <c r="Q47" s="1033"/>
      <c r="S47" s="1030" t="str">
        <f t="shared" si="14"/>
        <v>1x180</v>
      </c>
      <c r="T47" s="1030">
        <v>180</v>
      </c>
      <c r="U47" s="1030">
        <v>1</v>
      </c>
      <c r="V47" s="1030">
        <v>320</v>
      </c>
      <c r="W47" s="1030">
        <v>320</v>
      </c>
      <c r="X47" s="1030">
        <v>6</v>
      </c>
      <c r="Y47" s="1030">
        <v>60</v>
      </c>
      <c r="Z47" s="1030">
        <v>250</v>
      </c>
      <c r="AA47" s="1030">
        <v>250</v>
      </c>
      <c r="AB47" s="1030">
        <v>120</v>
      </c>
      <c r="AC47" s="1030">
        <v>1</v>
      </c>
      <c r="AD47" s="1030">
        <v>120</v>
      </c>
      <c r="AE47" s="1030">
        <v>1</v>
      </c>
      <c r="AF47" s="1030">
        <v>70</v>
      </c>
      <c r="AG47" s="1026"/>
      <c r="AH47" s="1026"/>
      <c r="AI47" s="1026"/>
      <c r="AJ47" s="1026"/>
      <c r="AK47" s="1026"/>
      <c r="AL47" s="1026"/>
    </row>
    <row r="48" spans="1:38" ht="20.100000000000001" customHeight="1">
      <c r="D48" s="1062"/>
      <c r="E48" s="1062" t="s">
        <v>3382</v>
      </c>
      <c r="F48" s="1057">
        <v>4.6500000000000004</v>
      </c>
      <c r="G48" s="1058">
        <f t="shared" si="6"/>
        <v>10016100</v>
      </c>
      <c r="H48" s="1058">
        <f t="shared" si="7"/>
        <v>385235</v>
      </c>
      <c r="P48" s="1033"/>
      <c r="Q48" s="1033"/>
      <c r="S48" s="1030" t="str">
        <f t="shared" si="14"/>
        <v>1x250</v>
      </c>
      <c r="T48" s="1030">
        <v>250</v>
      </c>
      <c r="U48" s="1030">
        <v>1</v>
      </c>
      <c r="V48" s="1030">
        <v>400</v>
      </c>
      <c r="W48" s="1030">
        <v>400</v>
      </c>
      <c r="X48" s="1030">
        <v>8</v>
      </c>
      <c r="Y48" s="1030">
        <v>80</v>
      </c>
      <c r="Z48" s="1030">
        <v>400</v>
      </c>
      <c r="AA48" s="1030">
        <v>400</v>
      </c>
      <c r="AB48" s="1030">
        <v>150</v>
      </c>
      <c r="AC48" s="1030">
        <v>1</v>
      </c>
      <c r="AD48" s="1030">
        <v>150</v>
      </c>
      <c r="AE48" s="1030">
        <v>1</v>
      </c>
      <c r="AF48" s="1030">
        <v>70</v>
      </c>
      <c r="AG48" s="1026"/>
      <c r="AH48" s="1026"/>
      <c r="AI48" s="1026"/>
      <c r="AJ48" s="1026"/>
      <c r="AK48" s="1026"/>
      <c r="AL48" s="1026"/>
    </row>
    <row r="49" spans="4:38" ht="20.100000000000001" customHeight="1">
      <c r="D49" s="1062" t="s">
        <v>2380</v>
      </c>
      <c r="E49" s="1062" t="s">
        <v>3389</v>
      </c>
      <c r="F49" s="1057"/>
      <c r="G49" s="1058">
        <f t="shared" si="6"/>
        <v>0</v>
      </c>
      <c r="H49" s="1058">
        <f t="shared" si="15"/>
        <v>0</v>
      </c>
      <c r="P49" s="1033"/>
      <c r="Q49" s="1033"/>
      <c r="S49" s="1030" t="str">
        <f t="shared" si="14"/>
        <v>1x320</v>
      </c>
      <c r="T49" s="1030">
        <v>320</v>
      </c>
      <c r="U49" s="1030">
        <v>1</v>
      </c>
      <c r="V49" s="1030">
        <v>500</v>
      </c>
      <c r="W49" s="1030">
        <v>500</v>
      </c>
      <c r="X49" s="1030">
        <v>10</v>
      </c>
      <c r="Y49" s="1030">
        <v>100</v>
      </c>
      <c r="Z49" s="1030">
        <v>500</v>
      </c>
      <c r="AA49" s="1030">
        <v>500</v>
      </c>
      <c r="AB49" s="1030">
        <v>240</v>
      </c>
      <c r="AC49" s="1030">
        <v>1</v>
      </c>
      <c r="AD49" s="1030">
        <v>240</v>
      </c>
      <c r="AE49" s="1030">
        <v>1</v>
      </c>
      <c r="AF49" s="1030">
        <v>70</v>
      </c>
      <c r="AG49" s="1026"/>
      <c r="AH49" s="1026"/>
      <c r="AI49" s="1026"/>
      <c r="AJ49" s="1026"/>
      <c r="AK49" s="1026"/>
      <c r="AL49" s="1026"/>
    </row>
    <row r="50" spans="4:38" ht="20.100000000000001" customHeight="1">
      <c r="D50" s="1062"/>
      <c r="E50" s="1062" t="s">
        <v>3383</v>
      </c>
      <c r="F50" s="1057">
        <v>2.34</v>
      </c>
      <c r="G50" s="1058">
        <f t="shared" si="6"/>
        <v>5040360</v>
      </c>
      <c r="H50" s="1058">
        <f t="shared" si="7"/>
        <v>193860</v>
      </c>
      <c r="P50" s="1033"/>
      <c r="Q50" s="1033"/>
      <c r="S50" s="1030" t="str">
        <f t="shared" si="14"/>
        <v>1x400</v>
      </c>
      <c r="T50" s="1030">
        <v>400</v>
      </c>
      <c r="U50" s="1030">
        <v>1</v>
      </c>
      <c r="V50" s="1030">
        <v>630</v>
      </c>
      <c r="W50" s="1030">
        <v>630</v>
      </c>
      <c r="X50" s="1030">
        <v>12</v>
      </c>
      <c r="Y50" s="1030">
        <v>130</v>
      </c>
      <c r="Z50" s="1030">
        <v>600</v>
      </c>
      <c r="AA50" s="1030">
        <v>600</v>
      </c>
      <c r="AB50" s="1030">
        <v>120</v>
      </c>
      <c r="AC50" s="1030">
        <v>2</v>
      </c>
      <c r="AD50" s="1030">
        <v>120</v>
      </c>
      <c r="AE50" s="1030">
        <v>2</v>
      </c>
      <c r="AF50" s="1030">
        <v>95</v>
      </c>
      <c r="AG50" s="1026"/>
      <c r="AH50" s="1026"/>
      <c r="AI50" s="1026"/>
      <c r="AJ50" s="1026"/>
      <c r="AK50" s="1026"/>
      <c r="AL50" s="1026"/>
    </row>
    <row r="51" spans="4:38" ht="20.100000000000001" customHeight="1">
      <c r="D51" s="1062"/>
      <c r="E51" s="1062" t="s">
        <v>3384</v>
      </c>
      <c r="F51" s="1057">
        <v>2.65</v>
      </c>
      <c r="G51" s="1058">
        <f t="shared" si="6"/>
        <v>5708100</v>
      </c>
      <c r="H51" s="1058">
        <f t="shared" si="7"/>
        <v>219542</v>
      </c>
      <c r="P51" s="1033"/>
      <c r="Q51" s="1033"/>
      <c r="S51" s="1030" t="str">
        <f t="shared" si="14"/>
        <v>1x560</v>
      </c>
      <c r="T51" s="1030">
        <v>560</v>
      </c>
      <c r="U51" s="1030">
        <v>1</v>
      </c>
      <c r="V51" s="1030">
        <v>1000</v>
      </c>
      <c r="W51" s="1030">
        <v>1000</v>
      </c>
      <c r="X51" s="1030">
        <v>15</v>
      </c>
      <c r="Y51" s="1030">
        <v>160</v>
      </c>
      <c r="Z51" s="1030">
        <v>800</v>
      </c>
      <c r="AA51" s="1030">
        <v>800</v>
      </c>
      <c r="AB51" s="1030">
        <v>185</v>
      </c>
      <c r="AC51" s="1030">
        <v>2</v>
      </c>
      <c r="AD51" s="1030">
        <v>185</v>
      </c>
      <c r="AE51" s="1030">
        <v>2</v>
      </c>
      <c r="AF51" s="1030">
        <v>95</v>
      </c>
      <c r="AG51" s="1026"/>
      <c r="AH51" s="1026"/>
      <c r="AI51" s="1026"/>
      <c r="AJ51" s="1026"/>
      <c r="AK51" s="1026"/>
      <c r="AL51" s="1026"/>
    </row>
    <row r="52" spans="4:38" ht="20.100000000000001" customHeight="1">
      <c r="D52" s="1062"/>
      <c r="E52" s="1062" t="s">
        <v>3385</v>
      </c>
      <c r="F52" s="1057">
        <v>2.96</v>
      </c>
      <c r="G52" s="1058">
        <f t="shared" si="6"/>
        <v>6375840</v>
      </c>
      <c r="H52" s="1058">
        <f t="shared" si="7"/>
        <v>245225</v>
      </c>
      <c r="P52" s="1033"/>
      <c r="Q52" s="1033"/>
      <c r="S52" s="1030" t="str">
        <f t="shared" si="14"/>
        <v>1x630</v>
      </c>
      <c r="T52" s="1030">
        <v>630</v>
      </c>
      <c r="U52" s="1030">
        <v>1</v>
      </c>
      <c r="V52" s="1030">
        <v>1000</v>
      </c>
      <c r="W52" s="1030">
        <v>1000</v>
      </c>
      <c r="X52" s="1030">
        <v>20</v>
      </c>
      <c r="Y52" s="1030">
        <v>220</v>
      </c>
      <c r="Z52" s="1030">
        <v>20</v>
      </c>
      <c r="AA52" s="1030">
        <v>20</v>
      </c>
      <c r="AB52" s="1030">
        <v>240</v>
      </c>
      <c r="AC52" s="1030">
        <v>2</v>
      </c>
      <c r="AD52" s="1030">
        <v>240</v>
      </c>
      <c r="AE52" s="1030">
        <v>2</v>
      </c>
      <c r="AF52" s="1030">
        <v>150</v>
      </c>
      <c r="AG52" s="1026"/>
      <c r="AH52" s="1026"/>
      <c r="AI52" s="1026"/>
      <c r="AJ52" s="1026"/>
      <c r="AK52" s="1026"/>
      <c r="AL52" s="1026"/>
    </row>
    <row r="53" spans="4:38" ht="20.100000000000001" customHeight="1">
      <c r="D53" s="1062"/>
      <c r="E53" s="1062" t="s">
        <v>3386</v>
      </c>
      <c r="F53" s="1057">
        <v>3.27</v>
      </c>
      <c r="G53" s="1058">
        <f t="shared" si="6"/>
        <v>7043580</v>
      </c>
      <c r="H53" s="1058">
        <f t="shared" si="7"/>
        <v>270907</v>
      </c>
      <c r="P53" s="1033"/>
      <c r="Q53" s="1033"/>
      <c r="S53" s="1030" t="str">
        <f t="shared" si="14"/>
        <v>1x750</v>
      </c>
      <c r="T53" s="1030">
        <v>750</v>
      </c>
      <c r="U53" s="1030">
        <v>1</v>
      </c>
      <c r="V53" s="1030">
        <v>1250</v>
      </c>
      <c r="W53" s="1030">
        <v>1250</v>
      </c>
      <c r="X53" s="1030">
        <v>20</v>
      </c>
      <c r="Y53" s="1030">
        <v>250</v>
      </c>
      <c r="Z53" s="1030">
        <v>20</v>
      </c>
      <c r="AA53" s="1030">
        <v>20</v>
      </c>
      <c r="AB53" s="1030">
        <v>240</v>
      </c>
      <c r="AC53" s="1030">
        <v>2</v>
      </c>
      <c r="AD53" s="1030">
        <v>240</v>
      </c>
      <c r="AE53" s="1030">
        <v>2</v>
      </c>
      <c r="AF53" s="1030">
        <v>200</v>
      </c>
      <c r="AG53" s="1026"/>
      <c r="AH53" s="1026"/>
      <c r="AI53" s="1026"/>
      <c r="AJ53" s="1026"/>
      <c r="AK53" s="1026"/>
      <c r="AL53" s="1026"/>
    </row>
    <row r="54" spans="4:38" ht="20.100000000000001" customHeight="1">
      <c r="D54" s="1062"/>
      <c r="E54" s="1062" t="s">
        <v>3387</v>
      </c>
      <c r="F54" s="1057">
        <v>3.4249999999999998</v>
      </c>
      <c r="G54" s="1058">
        <f t="shared" si="6"/>
        <v>7377450</v>
      </c>
      <c r="H54" s="1058">
        <f t="shared" si="7"/>
        <v>283748</v>
      </c>
      <c r="P54" s="1033"/>
      <c r="Q54" s="1033"/>
      <c r="S54" s="1030" t="str">
        <f t="shared" si="14"/>
        <v>1x1000</v>
      </c>
      <c r="T54" s="1030">
        <v>1000</v>
      </c>
      <c r="U54" s="1030">
        <v>1</v>
      </c>
      <c r="V54" s="1030">
        <v>1600</v>
      </c>
      <c r="W54" s="1030">
        <v>1600</v>
      </c>
      <c r="X54" s="1030">
        <v>30</v>
      </c>
      <c r="Y54" s="1030">
        <v>300</v>
      </c>
      <c r="Z54" s="1030">
        <v>30</v>
      </c>
      <c r="AA54" s="1030">
        <v>30</v>
      </c>
      <c r="AB54" s="1030">
        <v>240</v>
      </c>
      <c r="AC54" s="1030">
        <v>3</v>
      </c>
      <c r="AD54" s="1030">
        <v>240</v>
      </c>
      <c r="AE54" s="1030">
        <v>3</v>
      </c>
      <c r="AF54" s="1030">
        <v>200</v>
      </c>
      <c r="AG54" s="1026"/>
      <c r="AH54" s="1026"/>
      <c r="AI54" s="1026"/>
      <c r="AJ54" s="1026"/>
      <c r="AK54" s="1026"/>
      <c r="AL54" s="1026"/>
    </row>
    <row r="55" spans="4:38" ht="20.100000000000001" customHeight="1">
      <c r="D55" s="1062"/>
      <c r="E55" s="1063" t="s">
        <v>3388</v>
      </c>
      <c r="F55" s="1057">
        <v>3.58</v>
      </c>
      <c r="G55" s="1058">
        <f t="shared" si="6"/>
        <v>7711320</v>
      </c>
      <c r="H55" s="1058">
        <f t="shared" si="7"/>
        <v>296589</v>
      </c>
      <c r="P55" s="1033"/>
      <c r="Q55" s="1033"/>
      <c r="S55" s="1030" t="str">
        <f t="shared" si="14"/>
        <v>1x1250</v>
      </c>
      <c r="T55" s="1030">
        <v>1250</v>
      </c>
      <c r="U55" s="1030">
        <v>1</v>
      </c>
      <c r="V55" s="1030">
        <v>2000</v>
      </c>
      <c r="W55" s="1030">
        <v>2000</v>
      </c>
      <c r="X55" s="1030">
        <v>40</v>
      </c>
      <c r="Y55" s="1030">
        <v>380</v>
      </c>
      <c r="Z55" s="1030">
        <v>40</v>
      </c>
      <c r="AA55" s="1030">
        <v>40</v>
      </c>
      <c r="AB55" s="1030">
        <v>250</v>
      </c>
      <c r="AC55" s="1030">
        <v>4</v>
      </c>
      <c r="AD55" s="1030">
        <v>250</v>
      </c>
      <c r="AE55" s="1030">
        <v>4</v>
      </c>
      <c r="AF55" s="1030">
        <v>240</v>
      </c>
      <c r="AG55" s="1026"/>
      <c r="AH55" s="1026"/>
      <c r="AI55" s="1026"/>
      <c r="AJ55" s="1026"/>
      <c r="AK55" s="1026"/>
      <c r="AL55" s="1026"/>
    </row>
    <row r="56" spans="4:38" ht="20.100000000000001" customHeight="1">
      <c r="D56" s="1062"/>
      <c r="E56" s="1063" t="s">
        <v>4515</v>
      </c>
      <c r="F56" s="1057">
        <v>3.7349999999999999</v>
      </c>
      <c r="G56" s="1058">
        <f>$G$4*F56</f>
        <v>8045190</v>
      </c>
      <c r="H56" s="1058">
        <f t="shared" si="7"/>
        <v>309430</v>
      </c>
    </row>
    <row r="57" spans="4:38" ht="20.100000000000001" customHeight="1">
      <c r="D57" s="1062"/>
      <c r="E57" s="1063" t="s">
        <v>4516</v>
      </c>
      <c r="F57" s="1057">
        <v>3.89</v>
      </c>
      <c r="G57" s="1058">
        <f t="shared" si="6"/>
        <v>8379060</v>
      </c>
      <c r="H57" s="1058">
        <f t="shared" si="7"/>
        <v>322272</v>
      </c>
    </row>
    <row r="58" spans="4:38" ht="20.100000000000001" customHeight="1">
      <c r="D58" s="1062"/>
      <c r="E58" s="1063" t="s">
        <v>4517</v>
      </c>
      <c r="F58" s="1057">
        <v>3.1150000000000002</v>
      </c>
      <c r="G58" s="1058">
        <f t="shared" si="6"/>
        <v>6709710</v>
      </c>
      <c r="H58" s="1058">
        <f t="shared" si="7"/>
        <v>258066</v>
      </c>
    </row>
    <row r="60" spans="4:38" ht="20.100000000000001" customHeight="1">
      <c r="D60" s="1034" t="s">
        <v>4450</v>
      </c>
      <c r="E60" s="1034" t="s">
        <v>2713</v>
      </c>
      <c r="F60" s="1035" t="s">
        <v>4449</v>
      </c>
      <c r="G60" s="1036" t="s">
        <v>4451</v>
      </c>
      <c r="H60" s="1036" t="s">
        <v>4452</v>
      </c>
      <c r="I60" s="1036" t="s">
        <v>4491</v>
      </c>
    </row>
    <row r="61" spans="4:38" ht="20.100000000000001" customHeight="1">
      <c r="D61" s="1037" t="s">
        <v>4448</v>
      </c>
      <c r="E61" s="1037" t="s">
        <v>4486</v>
      </c>
      <c r="F61" s="1038">
        <v>19044</v>
      </c>
      <c r="G61" s="1039" t="s">
        <v>4725</v>
      </c>
      <c r="H61" s="1039" t="s">
        <v>4726</v>
      </c>
      <c r="I61" s="1040">
        <v>0.03</v>
      </c>
    </row>
    <row r="62" spans="4:38" ht="20.100000000000001" customHeight="1">
      <c r="D62" s="1037" t="s">
        <v>4454</v>
      </c>
      <c r="E62" s="1037" t="s">
        <v>4490</v>
      </c>
      <c r="F62" s="1038">
        <v>15808</v>
      </c>
      <c r="G62" s="1039" t="s">
        <v>4725</v>
      </c>
      <c r="H62" s="1039" t="s">
        <v>4726</v>
      </c>
      <c r="I62" s="1040">
        <v>0.05</v>
      </c>
    </row>
    <row r="63" spans="4:38" ht="20.100000000000001" customHeight="1">
      <c r="D63" s="1037" t="s">
        <v>4453</v>
      </c>
      <c r="E63" s="1037" t="s">
        <v>4487</v>
      </c>
      <c r="F63" s="1041">
        <v>1720.65</v>
      </c>
      <c r="G63" s="1039" t="s">
        <v>4723</v>
      </c>
      <c r="H63" s="1039" t="s">
        <v>4724</v>
      </c>
      <c r="I63" s="1040">
        <v>7.0000000000000007E-2</v>
      </c>
    </row>
    <row r="64" spans="4:38" ht="20.100000000000001" customHeight="1">
      <c r="D64" s="1037" t="s">
        <v>4456</v>
      </c>
      <c r="E64" s="1037" t="s">
        <v>4488</v>
      </c>
      <c r="F64" s="1038">
        <v>12580</v>
      </c>
      <c r="G64" s="1039" t="s">
        <v>4725</v>
      </c>
      <c r="H64" s="1039" t="s">
        <v>4726</v>
      </c>
      <c r="I64" s="1040"/>
    </row>
    <row r="65" spans="4:9" ht="20.100000000000001" customHeight="1">
      <c r="D65" s="1037" t="s">
        <v>4455</v>
      </c>
      <c r="E65" s="1037" t="s">
        <v>4489</v>
      </c>
      <c r="F65" s="1038">
        <v>15013</v>
      </c>
      <c r="G65" s="1039" t="s">
        <v>4725</v>
      </c>
      <c r="H65" s="1039" t="s">
        <v>4726</v>
      </c>
      <c r="I65" s="1040"/>
    </row>
    <row r="67" spans="4:9" ht="20.100000000000001" customHeight="1">
      <c r="D67" s="1042" t="s">
        <v>4495</v>
      </c>
      <c r="E67" s="1043"/>
      <c r="F67" s="1043"/>
      <c r="G67" s="1043"/>
      <c r="H67" s="1043"/>
    </row>
    <row r="68" spans="4:9" ht="20.100000000000001" customHeight="1">
      <c r="D68" s="1044" t="s">
        <v>4496</v>
      </c>
      <c r="E68" s="1044" t="s">
        <v>2137</v>
      </c>
      <c r="F68" s="1044" t="s">
        <v>2715</v>
      </c>
      <c r="G68" s="1044" t="s">
        <v>4524</v>
      </c>
      <c r="H68" s="1044" t="s">
        <v>4514</v>
      </c>
    </row>
    <row r="69" spans="4:9" ht="20.100000000000001" customHeight="1">
      <c r="D69" s="1044">
        <v>1</v>
      </c>
      <c r="E69" s="1044" t="s">
        <v>4498</v>
      </c>
      <c r="F69" s="1044">
        <v>2.1800000000000002</v>
      </c>
      <c r="G69" s="1045">
        <f t="shared" ref="G69:G72" si="16">$G$4*F69</f>
        <v>4695720</v>
      </c>
      <c r="H69" s="1045">
        <f>G69/$D$7</f>
        <v>180604.61538461538</v>
      </c>
    </row>
    <row r="70" spans="4:9" ht="20.100000000000001" customHeight="1">
      <c r="D70" s="1044">
        <v>2</v>
      </c>
      <c r="E70" s="1044" t="s">
        <v>4500</v>
      </c>
      <c r="F70" s="1044">
        <v>2.57</v>
      </c>
      <c r="G70" s="1045">
        <f t="shared" si="16"/>
        <v>5535780</v>
      </c>
      <c r="H70" s="1045">
        <f t="shared" ref="H70:H85" si="17">G70/$D$7</f>
        <v>212914.61538461538</v>
      </c>
    </row>
    <row r="71" spans="4:9" ht="20.100000000000001" customHeight="1">
      <c r="D71" s="1044">
        <v>3</v>
      </c>
      <c r="E71" s="1044" t="s">
        <v>4501</v>
      </c>
      <c r="F71" s="1044">
        <v>3.05</v>
      </c>
      <c r="G71" s="1045">
        <f t="shared" si="16"/>
        <v>6569700</v>
      </c>
      <c r="H71" s="1045">
        <f t="shared" si="17"/>
        <v>252680.76923076922</v>
      </c>
    </row>
    <row r="72" spans="4:9" ht="20.100000000000001" customHeight="1">
      <c r="D72" s="1044">
        <v>4</v>
      </c>
      <c r="E72" s="1044" t="s">
        <v>4502</v>
      </c>
      <c r="F72" s="1044">
        <v>3.6</v>
      </c>
      <c r="G72" s="1045">
        <f t="shared" si="16"/>
        <v>7754400</v>
      </c>
      <c r="H72" s="1045">
        <f t="shared" si="17"/>
        <v>298246.15384615387</v>
      </c>
    </row>
    <row r="73" spans="4:9" ht="20.100000000000001" customHeight="1">
      <c r="D73" s="1044" t="s">
        <v>4497</v>
      </c>
      <c r="E73" s="1044"/>
      <c r="F73" s="1044"/>
      <c r="G73" s="1044"/>
      <c r="H73" s="1045"/>
    </row>
    <row r="74" spans="4:9" ht="20.100000000000001" customHeight="1">
      <c r="D74" s="1044">
        <v>1</v>
      </c>
      <c r="E74" s="1044" t="s">
        <v>4503</v>
      </c>
      <c r="F74" s="1044">
        <v>2.5099999999999998</v>
      </c>
      <c r="G74" s="1045">
        <f>$G$4*F74</f>
        <v>5406540</v>
      </c>
      <c r="H74" s="1045">
        <f t="shared" si="17"/>
        <v>207943.84615384616</v>
      </c>
    </row>
    <row r="75" spans="4:9" ht="20.100000000000001" customHeight="1">
      <c r="D75" s="1044">
        <v>2</v>
      </c>
      <c r="E75" s="1044" t="s">
        <v>4499</v>
      </c>
      <c r="F75" s="1044">
        <v>2.94</v>
      </c>
      <c r="G75" s="1045">
        <f t="shared" ref="G75:G77" si="18">$G$4*F75</f>
        <v>6332760</v>
      </c>
      <c r="H75" s="1045">
        <f t="shared" si="17"/>
        <v>243567.69230769231</v>
      </c>
    </row>
    <row r="76" spans="4:9" ht="20.100000000000001" customHeight="1">
      <c r="D76" s="1044">
        <v>3</v>
      </c>
      <c r="E76" s="1044" t="s">
        <v>4504</v>
      </c>
      <c r="F76" s="1044">
        <v>3.44</v>
      </c>
      <c r="G76" s="1045">
        <f t="shared" si="18"/>
        <v>7409760</v>
      </c>
      <c r="H76" s="1045">
        <f t="shared" si="17"/>
        <v>284990.76923076925</v>
      </c>
    </row>
    <row r="77" spans="4:9" ht="20.100000000000001" customHeight="1">
      <c r="D77" s="1044">
        <v>4</v>
      </c>
      <c r="E77" s="1044" t="s">
        <v>4505</v>
      </c>
      <c r="F77" s="1044">
        <v>4.05</v>
      </c>
      <c r="G77" s="1045">
        <f t="shared" si="18"/>
        <v>8723700</v>
      </c>
      <c r="H77" s="1045">
        <f t="shared" si="17"/>
        <v>335526.92307692306</v>
      </c>
    </row>
    <row r="78" spans="4:9" ht="20.100000000000001" customHeight="1">
      <c r="D78" s="1046" t="s">
        <v>4506</v>
      </c>
      <c r="E78" s="1044"/>
      <c r="F78" s="1044"/>
      <c r="G78" s="1044"/>
      <c r="H78" s="1045"/>
    </row>
    <row r="79" spans="4:9" ht="20.100000000000001" customHeight="1">
      <c r="D79" s="1044">
        <v>1</v>
      </c>
      <c r="E79" s="1044" t="s">
        <v>4507</v>
      </c>
      <c r="F79" s="1044">
        <v>1.55</v>
      </c>
      <c r="G79" s="1045">
        <f>$G$4*F79</f>
        <v>3338700</v>
      </c>
      <c r="H79" s="1045">
        <f t="shared" si="17"/>
        <v>128411.53846153847</v>
      </c>
    </row>
    <row r="80" spans="4:9" ht="20.100000000000001" customHeight="1">
      <c r="D80" s="1044">
        <v>2</v>
      </c>
      <c r="E80" s="1044" t="s">
        <v>4508</v>
      </c>
      <c r="F80" s="1044">
        <v>1.83</v>
      </c>
      <c r="G80" s="1045">
        <f t="shared" ref="G80:G85" si="19">$G$4*F80</f>
        <v>3941820</v>
      </c>
      <c r="H80" s="1045">
        <f t="shared" si="17"/>
        <v>151608.46153846153</v>
      </c>
    </row>
    <row r="81" spans="4:8" ht="20.100000000000001" customHeight="1">
      <c r="D81" s="1044">
        <v>3</v>
      </c>
      <c r="E81" s="1044" t="s">
        <v>4509</v>
      </c>
      <c r="F81" s="1044">
        <v>2.16</v>
      </c>
      <c r="G81" s="1045">
        <f t="shared" si="19"/>
        <v>4652640</v>
      </c>
      <c r="H81" s="1045">
        <f t="shared" si="17"/>
        <v>178947.69230769231</v>
      </c>
    </row>
    <row r="82" spans="4:8" ht="20.100000000000001" customHeight="1">
      <c r="D82" s="1044">
        <v>4</v>
      </c>
      <c r="E82" s="1044" t="s">
        <v>4510</v>
      </c>
      <c r="F82" s="1044">
        <v>2.5499999999999998</v>
      </c>
      <c r="G82" s="1045">
        <f t="shared" si="19"/>
        <v>5492700</v>
      </c>
      <c r="H82" s="1045">
        <f t="shared" si="17"/>
        <v>211257.69230769231</v>
      </c>
    </row>
    <row r="83" spans="4:8" ht="20.100000000000001" customHeight="1">
      <c r="D83" s="1044">
        <v>5</v>
      </c>
      <c r="E83" s="1044" t="s">
        <v>4511</v>
      </c>
      <c r="F83" s="1044">
        <v>3.01</v>
      </c>
      <c r="G83" s="1045">
        <f t="shared" si="19"/>
        <v>6483540</v>
      </c>
      <c r="H83" s="1045">
        <f t="shared" si="17"/>
        <v>249366.92307692306</v>
      </c>
    </row>
    <row r="84" spans="4:8" ht="20.100000000000001" customHeight="1">
      <c r="D84" s="1044">
        <v>6</v>
      </c>
      <c r="E84" s="1044" t="s">
        <v>4512</v>
      </c>
      <c r="F84" s="1044">
        <v>3.56</v>
      </c>
      <c r="G84" s="1045">
        <f t="shared" si="19"/>
        <v>7668240</v>
      </c>
      <c r="H84" s="1045">
        <f t="shared" si="17"/>
        <v>294932.30769230769</v>
      </c>
    </row>
    <row r="85" spans="4:8" ht="20.100000000000001" customHeight="1">
      <c r="D85" s="1044">
        <v>7</v>
      </c>
      <c r="E85" s="1044" t="s">
        <v>4513</v>
      </c>
      <c r="F85" s="1044">
        <v>4.2</v>
      </c>
      <c r="G85" s="1045">
        <f t="shared" si="19"/>
        <v>9046800</v>
      </c>
      <c r="H85" s="1045">
        <f t="shared" si="17"/>
        <v>347953.84615384613</v>
      </c>
    </row>
    <row r="98" spans="5:8" ht="20.100000000000001" customHeight="1">
      <c r="E98" s="1005"/>
      <c r="F98" s="1005"/>
      <c r="G98" s="1005"/>
      <c r="H98" s="1005"/>
    </row>
  </sheetData>
  <sheetProtection selectLockedCells="1"/>
  <mergeCells count="30">
    <mergeCell ref="O15:Q15"/>
    <mergeCell ref="O23:Q23"/>
    <mergeCell ref="O24:Q24"/>
    <mergeCell ref="O25:Q25"/>
    <mergeCell ref="O26:Q26"/>
    <mergeCell ref="O27:Q27"/>
    <mergeCell ref="O21:Q21"/>
    <mergeCell ref="O22:Q22"/>
    <mergeCell ref="O16:Q16"/>
    <mergeCell ref="O17:Q17"/>
    <mergeCell ref="O18:Q18"/>
    <mergeCell ref="O19:Q19"/>
    <mergeCell ref="O20:Q20"/>
    <mergeCell ref="O11:Q11"/>
    <mergeCell ref="O12:Q12"/>
    <mergeCell ref="O13:Q13"/>
    <mergeCell ref="O14:Q14"/>
    <mergeCell ref="O7:Q7"/>
    <mergeCell ref="O6:Q6"/>
    <mergeCell ref="O8:Q8"/>
    <mergeCell ref="O9:Q9"/>
    <mergeCell ref="O10:Q10"/>
    <mergeCell ref="D1:H1"/>
    <mergeCell ref="AL1:AL2"/>
    <mergeCell ref="AA1:AB2"/>
    <mergeCell ref="AJ1:AJ2"/>
    <mergeCell ref="AK1:AK2"/>
    <mergeCell ref="S1:S2"/>
    <mergeCell ref="T1:T2"/>
    <mergeCell ref="U1:U2"/>
  </mergeCells>
  <pageMargins left="0.7" right="0.7" top="0.75" bottom="0.75" header="0.3" footer="0.3"/>
  <pageSetup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S131"/>
  <sheetViews>
    <sheetView showGridLines="0" showZeros="0" zoomScale="85" zoomScaleNormal="85" zoomScaleSheetLayoutView="100" workbookViewId="0">
      <pane xSplit="4" ySplit="3" topLeftCell="E28" activePane="bottomRight" state="frozen"/>
      <selection pane="topRight"/>
      <selection pane="bottomLeft"/>
      <selection pane="bottomRight" activeCell="E53" sqref="E53"/>
    </sheetView>
  </sheetViews>
  <sheetFormatPr defaultColWidth="9.140625" defaultRowHeight="20.100000000000001" customHeight="1"/>
  <cols>
    <col min="1" max="1" width="15.140625" style="371" bestFit="1" customWidth="1"/>
    <col min="2" max="2" width="20.7109375" style="559" customWidth="1"/>
    <col min="3" max="3" width="48.28515625" style="371" customWidth="1"/>
    <col min="4" max="4" width="10.7109375" style="183" customWidth="1"/>
    <col min="5" max="8" width="20.7109375" style="44" customWidth="1"/>
    <col min="9" max="9" width="20.7109375" style="565" customWidth="1"/>
    <col min="10" max="10" width="7.7109375" style="44" bestFit="1" customWidth="1"/>
    <col min="11" max="11" width="9.7109375" style="783" bestFit="1" customWidth="1"/>
    <col min="12" max="12" width="9.28515625" style="783" bestFit="1" customWidth="1"/>
    <col min="13" max="13" width="8.5703125" style="783" bestFit="1" customWidth="1"/>
    <col min="14" max="14" width="7.5703125" style="783" bestFit="1" customWidth="1"/>
    <col min="15" max="16" width="6.5703125" style="783" bestFit="1" customWidth="1"/>
    <col min="17" max="17" width="6.7109375" style="783" bestFit="1" customWidth="1"/>
    <col min="18" max="19" width="22" style="371" bestFit="1" customWidth="1"/>
    <col min="20" max="16384" width="9.140625" style="371"/>
  </cols>
  <sheetData>
    <row r="1" spans="1:19" ht="20.100000000000001" customHeight="1">
      <c r="A1" s="180"/>
      <c r="B1" s="569" t="s">
        <v>2846</v>
      </c>
      <c r="C1" s="554"/>
      <c r="D1" s="554"/>
      <c r="E1" s="555"/>
      <c r="F1" s="555"/>
      <c r="G1" s="567"/>
      <c r="H1" s="567" t="s">
        <v>4285</v>
      </c>
      <c r="I1" s="573">
        <v>228</v>
      </c>
      <c r="J1" s="568">
        <v>1</v>
      </c>
      <c r="K1" s="770" t="s">
        <v>3564</v>
      </c>
      <c r="L1" s="771"/>
      <c r="M1" s="771"/>
      <c r="N1" s="771"/>
      <c r="O1" s="771"/>
      <c r="P1" s="771"/>
      <c r="Q1" s="771"/>
      <c r="R1" s="560"/>
      <c r="S1" s="180"/>
    </row>
    <row r="2" spans="1:19" ht="20.100000000000001" customHeight="1" thickBot="1">
      <c r="A2" s="180"/>
      <c r="B2" s="558"/>
      <c r="C2" s="180"/>
      <c r="D2" s="556"/>
      <c r="E2" s="557"/>
      <c r="F2" s="557"/>
      <c r="G2" s="570" t="s">
        <v>2848</v>
      </c>
      <c r="H2" s="571">
        <v>43636</v>
      </c>
      <c r="I2" s="574" t="s">
        <v>4960</v>
      </c>
      <c r="J2" s="572">
        <v>10</v>
      </c>
      <c r="K2" s="772">
        <v>11</v>
      </c>
      <c r="L2" s="772">
        <v>12</v>
      </c>
      <c r="M2" s="772">
        <v>13</v>
      </c>
      <c r="N2" s="772">
        <v>14</v>
      </c>
      <c r="O2" s="772">
        <v>15</v>
      </c>
      <c r="P2" s="772">
        <v>16</v>
      </c>
      <c r="Q2" s="772">
        <v>17</v>
      </c>
      <c r="R2" s="180"/>
      <c r="S2" s="180"/>
    </row>
    <row r="3" spans="1:19" ht="48" thickTop="1">
      <c r="A3" s="180"/>
      <c r="B3" s="200" t="s">
        <v>2808</v>
      </c>
      <c r="C3" s="201" t="s">
        <v>2809</v>
      </c>
      <c r="D3" s="201" t="s">
        <v>2352</v>
      </c>
      <c r="E3" s="205" t="s">
        <v>2794</v>
      </c>
      <c r="F3" s="205" t="s">
        <v>2844</v>
      </c>
      <c r="G3" s="205" t="s">
        <v>2845</v>
      </c>
      <c r="H3" s="205" t="s">
        <v>2851</v>
      </c>
      <c r="I3" s="562" t="s">
        <v>2857</v>
      </c>
      <c r="J3" s="561" t="s">
        <v>3392</v>
      </c>
      <c r="K3" s="773" t="s">
        <v>3390</v>
      </c>
      <c r="L3" s="773" t="s">
        <v>3391</v>
      </c>
      <c r="M3" s="773" t="s">
        <v>3396</v>
      </c>
      <c r="N3" s="773" t="s">
        <v>3395</v>
      </c>
      <c r="O3" s="773" t="s">
        <v>3400</v>
      </c>
      <c r="P3" s="773" t="s">
        <v>3401</v>
      </c>
      <c r="Q3" s="774" t="s">
        <v>3402</v>
      </c>
      <c r="R3" s="180"/>
      <c r="S3" s="180"/>
    </row>
    <row r="4" spans="1:19" ht="20.100000000000001" customHeight="1">
      <c r="A4" s="371" t="s">
        <v>818</v>
      </c>
      <c r="B4" s="764" t="s">
        <v>4267</v>
      </c>
      <c r="C4" s="204" t="s">
        <v>4270</v>
      </c>
      <c r="D4" s="765" t="s">
        <v>476</v>
      </c>
      <c r="E4" s="206">
        <v>0</v>
      </c>
      <c r="F4" s="206">
        <v>418738.31999999995</v>
      </c>
      <c r="G4" s="206">
        <v>0</v>
      </c>
      <c r="H4" s="206" t="s">
        <v>2882</v>
      </c>
      <c r="I4" s="563">
        <v>1</v>
      </c>
      <c r="J4" s="206" t="s">
        <v>3346</v>
      </c>
      <c r="K4" s="775">
        <v>2.34</v>
      </c>
      <c r="L4" s="775"/>
      <c r="M4" s="775"/>
      <c r="N4" s="775"/>
      <c r="O4" s="775"/>
      <c r="P4" s="775"/>
      <c r="Q4" s="776"/>
    </row>
    <row r="5" spans="1:19" ht="20.100000000000001" customHeight="1">
      <c r="A5" s="371" t="s">
        <v>831</v>
      </c>
      <c r="B5" s="766" t="s">
        <v>4268</v>
      </c>
      <c r="C5" s="203" t="s">
        <v>4269</v>
      </c>
      <c r="D5" s="767" t="s">
        <v>476</v>
      </c>
      <c r="E5" s="207">
        <v>0</v>
      </c>
      <c r="F5" s="207">
        <v>257210.88</v>
      </c>
      <c r="G5" s="207">
        <v>0</v>
      </c>
      <c r="H5" s="207" t="s">
        <v>2883</v>
      </c>
      <c r="I5" s="566" t="s">
        <v>4065</v>
      </c>
      <c r="J5" s="207" t="s">
        <v>3346</v>
      </c>
      <c r="K5" s="777">
        <v>0.56000000000000005</v>
      </c>
      <c r="L5" s="777"/>
      <c r="M5" s="777"/>
      <c r="N5" s="777"/>
      <c r="O5" s="777"/>
      <c r="P5" s="777"/>
      <c r="Q5" s="778"/>
    </row>
    <row r="6" spans="1:19" ht="20.100000000000001" customHeight="1">
      <c r="A6" s="371" t="s">
        <v>767</v>
      </c>
      <c r="B6" s="766">
        <v>0</v>
      </c>
      <c r="C6" s="203" t="s">
        <v>768</v>
      </c>
      <c r="D6" s="767" t="s">
        <v>182</v>
      </c>
      <c r="E6" s="207">
        <v>1800</v>
      </c>
      <c r="F6" s="207">
        <v>0</v>
      </c>
      <c r="G6" s="207">
        <v>0</v>
      </c>
      <c r="H6" s="207" t="s">
        <v>3907</v>
      </c>
      <c r="I6" s="566">
        <v>43636</v>
      </c>
      <c r="J6" s="207"/>
      <c r="K6" s="777"/>
      <c r="L6" s="777"/>
      <c r="M6" s="777"/>
      <c r="N6" s="777"/>
      <c r="O6" s="777"/>
      <c r="P6" s="777"/>
      <c r="Q6" s="778"/>
    </row>
    <row r="7" spans="1:19" ht="20.100000000000001" customHeight="1">
      <c r="A7" s="371" t="s">
        <v>762</v>
      </c>
      <c r="B7" s="766">
        <v>0</v>
      </c>
      <c r="C7" s="203" t="s">
        <v>763</v>
      </c>
      <c r="D7" s="767" t="s">
        <v>476</v>
      </c>
      <c r="E7" s="207">
        <v>320000</v>
      </c>
      <c r="F7" s="207">
        <v>0</v>
      </c>
      <c r="G7" s="207">
        <v>0</v>
      </c>
      <c r="H7" s="207" t="s">
        <v>3907</v>
      </c>
      <c r="I7" s="566">
        <v>43636</v>
      </c>
      <c r="J7" s="207"/>
      <c r="K7" s="777"/>
      <c r="L7" s="777"/>
      <c r="M7" s="777"/>
      <c r="N7" s="777"/>
      <c r="O7" s="777"/>
      <c r="P7" s="777"/>
      <c r="Q7" s="778"/>
    </row>
    <row r="8" spans="1:19" ht="20.100000000000001" customHeight="1">
      <c r="A8" s="371" t="s">
        <v>2159</v>
      </c>
      <c r="B8" s="766">
        <v>0</v>
      </c>
      <c r="C8" s="203" t="s">
        <v>757</v>
      </c>
      <c r="D8" s="767" t="s">
        <v>476</v>
      </c>
      <c r="E8" s="207">
        <v>400000</v>
      </c>
      <c r="F8" s="207">
        <v>0</v>
      </c>
      <c r="G8" s="207">
        <v>0</v>
      </c>
      <c r="H8" s="207" t="s">
        <v>3908</v>
      </c>
      <c r="I8" s="566">
        <v>43636</v>
      </c>
      <c r="J8" s="207"/>
      <c r="K8" s="777"/>
      <c r="L8" s="777"/>
      <c r="M8" s="777"/>
      <c r="N8" s="777"/>
      <c r="O8" s="777"/>
      <c r="P8" s="777"/>
      <c r="Q8" s="778"/>
    </row>
    <row r="9" spans="1:19" ht="20.100000000000001" customHeight="1">
      <c r="A9" s="371" t="s">
        <v>1116</v>
      </c>
      <c r="B9" s="764" t="s">
        <v>1117</v>
      </c>
      <c r="C9" s="204" t="s">
        <v>1118</v>
      </c>
      <c r="D9" s="765" t="s">
        <v>893</v>
      </c>
      <c r="E9" s="206">
        <v>0</v>
      </c>
      <c r="F9" s="206">
        <v>0</v>
      </c>
      <c r="G9" s="206">
        <v>0</v>
      </c>
      <c r="H9" s="206" t="s">
        <v>2882</v>
      </c>
      <c r="I9" s="563">
        <v>1</v>
      </c>
      <c r="J9" s="206"/>
      <c r="K9" s="775"/>
      <c r="L9" s="775"/>
      <c r="M9" s="775"/>
      <c r="N9" s="775"/>
      <c r="O9" s="775"/>
      <c r="P9" s="775"/>
      <c r="Q9" s="776"/>
    </row>
    <row r="10" spans="1:19" ht="20.100000000000001" customHeight="1">
      <c r="A10" s="371" t="s">
        <v>1119</v>
      </c>
      <c r="B10" s="764" t="s">
        <v>1120</v>
      </c>
      <c r="C10" s="204" t="s">
        <v>1121</v>
      </c>
      <c r="D10" s="765" t="s">
        <v>476</v>
      </c>
      <c r="E10" s="206">
        <v>0</v>
      </c>
      <c r="F10" s="206">
        <v>0</v>
      </c>
      <c r="G10" s="206">
        <v>0</v>
      </c>
      <c r="H10" s="206" t="s">
        <v>2882</v>
      </c>
      <c r="I10" s="563">
        <v>1</v>
      </c>
      <c r="J10" s="206"/>
      <c r="K10" s="775"/>
      <c r="L10" s="775"/>
      <c r="M10" s="775"/>
      <c r="N10" s="775"/>
      <c r="O10" s="775"/>
      <c r="P10" s="775"/>
      <c r="Q10" s="776"/>
    </row>
    <row r="11" spans="1:19" ht="20.100000000000001" customHeight="1">
      <c r="A11" s="371" t="s">
        <v>1122</v>
      </c>
      <c r="B11" s="764" t="s">
        <v>1123</v>
      </c>
      <c r="C11" s="204" t="s">
        <v>1124</v>
      </c>
      <c r="D11" s="765" t="s">
        <v>476</v>
      </c>
      <c r="E11" s="206">
        <v>0</v>
      </c>
      <c r="F11" s="206">
        <v>0</v>
      </c>
      <c r="G11" s="206">
        <v>0</v>
      </c>
      <c r="H11" s="206" t="s">
        <v>2882</v>
      </c>
      <c r="I11" s="563">
        <v>1</v>
      </c>
      <c r="J11" s="206"/>
      <c r="K11" s="775"/>
      <c r="L11" s="775"/>
      <c r="M11" s="775"/>
      <c r="N11" s="775"/>
      <c r="O11" s="775"/>
      <c r="P11" s="775"/>
      <c r="Q11" s="776"/>
    </row>
    <row r="12" spans="1:19" ht="20.100000000000001" customHeight="1">
      <c r="A12" s="371" t="s">
        <v>1027</v>
      </c>
      <c r="B12" s="764" t="s">
        <v>1028</v>
      </c>
      <c r="C12" s="204" t="s">
        <v>1029</v>
      </c>
      <c r="D12" s="765" t="s">
        <v>893</v>
      </c>
      <c r="E12" s="206">
        <v>0</v>
      </c>
      <c r="F12" s="206">
        <v>0</v>
      </c>
      <c r="G12" s="206">
        <v>0</v>
      </c>
      <c r="H12" s="206" t="s">
        <v>2882</v>
      </c>
      <c r="I12" s="563">
        <v>1</v>
      </c>
      <c r="J12" s="206"/>
      <c r="K12" s="775"/>
      <c r="L12" s="775"/>
      <c r="M12" s="775"/>
      <c r="N12" s="775"/>
      <c r="O12" s="775"/>
      <c r="P12" s="775"/>
      <c r="Q12" s="776"/>
    </row>
    <row r="13" spans="1:19" ht="20.100000000000001" customHeight="1">
      <c r="A13" s="371" t="s">
        <v>1072</v>
      </c>
      <c r="B13" s="764" t="s">
        <v>1073</v>
      </c>
      <c r="C13" s="204" t="s">
        <v>1074</v>
      </c>
      <c r="D13" s="765" t="s">
        <v>476</v>
      </c>
      <c r="E13" s="206">
        <v>0</v>
      </c>
      <c r="F13" s="206">
        <v>0</v>
      </c>
      <c r="G13" s="206">
        <v>0</v>
      </c>
      <c r="H13" s="206" t="s">
        <v>2882</v>
      </c>
      <c r="I13" s="563">
        <v>1</v>
      </c>
      <c r="J13" s="206"/>
      <c r="K13" s="775"/>
      <c r="L13" s="775"/>
      <c r="M13" s="775"/>
      <c r="N13" s="775"/>
      <c r="O13" s="775"/>
      <c r="P13" s="775"/>
      <c r="Q13" s="776"/>
    </row>
    <row r="14" spans="1:19" ht="20.100000000000001" customHeight="1">
      <c r="A14" s="371" t="s">
        <v>1039</v>
      </c>
      <c r="B14" s="764" t="s">
        <v>1040</v>
      </c>
      <c r="C14" s="204" t="s">
        <v>1041</v>
      </c>
      <c r="D14" s="765" t="s">
        <v>476</v>
      </c>
      <c r="E14" s="206">
        <v>0</v>
      </c>
      <c r="F14" s="206">
        <v>0</v>
      </c>
      <c r="G14" s="206">
        <v>0</v>
      </c>
      <c r="H14" s="206" t="s">
        <v>2882</v>
      </c>
      <c r="I14" s="563">
        <v>1</v>
      </c>
      <c r="J14" s="206"/>
      <c r="K14" s="775"/>
      <c r="L14" s="775"/>
      <c r="M14" s="775"/>
      <c r="N14" s="775"/>
      <c r="O14" s="775"/>
      <c r="P14" s="775"/>
      <c r="Q14" s="776"/>
    </row>
    <row r="15" spans="1:19" ht="20.100000000000001" customHeight="1">
      <c r="A15" s="371" t="s">
        <v>1247</v>
      </c>
      <c r="B15" s="766" t="s">
        <v>4271</v>
      </c>
      <c r="C15" s="203" t="s">
        <v>1249</v>
      </c>
      <c r="D15" s="767" t="s">
        <v>476</v>
      </c>
      <c r="E15" s="207">
        <v>0</v>
      </c>
      <c r="F15" s="207">
        <v>398225.65</v>
      </c>
      <c r="G15" s="207">
        <v>0</v>
      </c>
      <c r="H15" s="207" t="s">
        <v>3908</v>
      </c>
      <c r="I15" s="566" t="s">
        <v>4065</v>
      </c>
      <c r="J15" s="207" t="s">
        <v>3367</v>
      </c>
      <c r="K15" s="777">
        <v>1.97</v>
      </c>
      <c r="L15" s="777"/>
      <c r="M15" s="777"/>
      <c r="N15" s="777"/>
      <c r="O15" s="777"/>
      <c r="P15" s="777"/>
      <c r="Q15" s="778"/>
    </row>
    <row r="16" spans="1:19" ht="20.100000000000001" customHeight="1">
      <c r="A16" s="371" t="s">
        <v>112</v>
      </c>
      <c r="B16" s="764">
        <v>0</v>
      </c>
      <c r="C16" s="204" t="s">
        <v>113</v>
      </c>
      <c r="D16" s="765" t="s">
        <v>37</v>
      </c>
      <c r="E16" s="206">
        <v>46000</v>
      </c>
      <c r="F16" s="206">
        <v>0</v>
      </c>
      <c r="G16" s="206">
        <v>0</v>
      </c>
      <c r="H16" s="206" t="s">
        <v>2882</v>
      </c>
      <c r="I16" s="563">
        <v>42525</v>
      </c>
      <c r="J16" s="206"/>
      <c r="K16" s="775"/>
      <c r="L16" s="775"/>
      <c r="M16" s="775"/>
      <c r="N16" s="775"/>
      <c r="O16" s="775"/>
      <c r="P16" s="775"/>
      <c r="Q16" s="776"/>
    </row>
    <row r="17" spans="1:17" ht="20.100000000000001" customHeight="1">
      <c r="A17" s="371" t="s">
        <v>3565</v>
      </c>
      <c r="B17" s="764">
        <v>0</v>
      </c>
      <c r="C17" s="204" t="s">
        <v>3452</v>
      </c>
      <c r="D17" s="765" t="s">
        <v>37</v>
      </c>
      <c r="E17" s="206">
        <v>44000</v>
      </c>
      <c r="F17" s="206">
        <v>0</v>
      </c>
      <c r="G17" s="206">
        <v>0</v>
      </c>
      <c r="H17" s="206" t="s">
        <v>2882</v>
      </c>
      <c r="I17" s="563">
        <v>42312</v>
      </c>
      <c r="J17" s="206"/>
      <c r="K17" s="775"/>
      <c r="L17" s="775"/>
      <c r="M17" s="775"/>
      <c r="N17" s="775"/>
      <c r="O17" s="775"/>
      <c r="P17" s="775"/>
      <c r="Q17" s="776"/>
    </row>
    <row r="18" spans="1:17" ht="20.100000000000001" customHeight="1">
      <c r="A18" s="371" t="s">
        <v>2257</v>
      </c>
      <c r="B18" s="764">
        <v>0</v>
      </c>
      <c r="C18" s="204" t="s">
        <v>111</v>
      </c>
      <c r="D18" s="765" t="s">
        <v>37</v>
      </c>
      <c r="E18" s="206">
        <v>41000</v>
      </c>
      <c r="F18" s="206">
        <v>0</v>
      </c>
      <c r="G18" s="206">
        <v>0</v>
      </c>
      <c r="H18" s="206" t="s">
        <v>2882</v>
      </c>
      <c r="I18" s="563">
        <v>42312</v>
      </c>
      <c r="J18" s="206"/>
      <c r="K18" s="775"/>
      <c r="L18" s="775"/>
      <c r="M18" s="775"/>
      <c r="N18" s="775"/>
      <c r="O18" s="775"/>
      <c r="P18" s="775"/>
      <c r="Q18" s="776"/>
    </row>
    <row r="19" spans="1:17" ht="20.100000000000001" customHeight="1">
      <c r="A19" s="371" t="s">
        <v>1245</v>
      </c>
      <c r="B19" s="766" t="s">
        <v>4271</v>
      </c>
      <c r="C19" s="203" t="s">
        <v>1246</v>
      </c>
      <c r="D19" s="767" t="s">
        <v>476</v>
      </c>
      <c r="E19" s="207">
        <v>0</v>
      </c>
      <c r="F19" s="207">
        <v>398225.65</v>
      </c>
      <c r="G19" s="207">
        <v>0</v>
      </c>
      <c r="H19" s="207" t="s">
        <v>2883</v>
      </c>
      <c r="I19" s="566" t="s">
        <v>4065</v>
      </c>
      <c r="J19" s="207" t="s">
        <v>3367</v>
      </c>
      <c r="K19" s="777">
        <v>1.97</v>
      </c>
      <c r="L19" s="777"/>
      <c r="M19" s="777"/>
      <c r="N19" s="777"/>
      <c r="O19" s="777"/>
      <c r="P19" s="777"/>
      <c r="Q19" s="778"/>
    </row>
    <row r="20" spans="1:17" ht="20.100000000000001" customHeight="1">
      <c r="A20" s="371" t="s">
        <v>114</v>
      </c>
      <c r="B20" s="764">
        <v>0</v>
      </c>
      <c r="C20" s="204" t="s">
        <v>115</v>
      </c>
      <c r="D20" s="765" t="s">
        <v>37</v>
      </c>
      <c r="E20" s="206">
        <v>49000</v>
      </c>
      <c r="F20" s="206">
        <v>0</v>
      </c>
      <c r="G20" s="206">
        <v>0</v>
      </c>
      <c r="H20" s="206" t="s">
        <v>2882</v>
      </c>
      <c r="I20" s="563">
        <v>42525</v>
      </c>
      <c r="J20" s="206"/>
      <c r="K20" s="775"/>
      <c r="L20" s="775"/>
      <c r="M20" s="775"/>
      <c r="N20" s="775"/>
      <c r="O20" s="775"/>
      <c r="P20" s="775"/>
      <c r="Q20" s="776"/>
    </row>
    <row r="21" spans="1:17" ht="20.100000000000001" customHeight="1">
      <c r="A21" s="371" t="s">
        <v>118</v>
      </c>
      <c r="B21" s="764">
        <v>0</v>
      </c>
      <c r="C21" s="204" t="s">
        <v>119</v>
      </c>
      <c r="D21" s="765" t="s">
        <v>37</v>
      </c>
      <c r="E21" s="206">
        <v>54000</v>
      </c>
      <c r="F21" s="206">
        <v>0</v>
      </c>
      <c r="G21" s="206">
        <v>0</v>
      </c>
      <c r="H21" s="206" t="s">
        <v>2882</v>
      </c>
      <c r="I21" s="563">
        <v>1</v>
      </c>
      <c r="J21" s="206"/>
      <c r="K21" s="775"/>
      <c r="L21" s="775"/>
      <c r="M21" s="775"/>
      <c r="N21" s="775"/>
      <c r="O21" s="775"/>
      <c r="P21" s="775"/>
      <c r="Q21" s="776"/>
    </row>
    <row r="22" spans="1:17" ht="20.100000000000001" customHeight="1">
      <c r="A22" s="371" t="s">
        <v>2184</v>
      </c>
      <c r="B22" s="766">
        <v>0</v>
      </c>
      <c r="C22" s="203" t="s">
        <v>186</v>
      </c>
      <c r="D22" s="767" t="s">
        <v>182</v>
      </c>
      <c r="E22" s="207">
        <v>255500</v>
      </c>
      <c r="F22" s="207">
        <v>0</v>
      </c>
      <c r="G22" s="207">
        <v>0</v>
      </c>
      <c r="H22" s="207" t="s">
        <v>4069</v>
      </c>
      <c r="I22" s="566">
        <v>43636</v>
      </c>
      <c r="J22" s="207"/>
      <c r="K22" s="777"/>
      <c r="L22" s="777"/>
      <c r="M22" s="777"/>
      <c r="N22" s="777"/>
      <c r="O22" s="777"/>
      <c r="P22" s="777"/>
      <c r="Q22" s="778"/>
    </row>
    <row r="23" spans="1:17" ht="20.100000000000001" customHeight="1">
      <c r="A23" s="371" t="s">
        <v>405</v>
      </c>
      <c r="B23" s="766">
        <v>0</v>
      </c>
      <c r="C23" s="203" t="s">
        <v>406</v>
      </c>
      <c r="D23" s="767" t="s">
        <v>37</v>
      </c>
      <c r="E23" s="207">
        <v>156000</v>
      </c>
      <c r="F23" s="207">
        <v>0</v>
      </c>
      <c r="G23" s="207">
        <v>0</v>
      </c>
      <c r="H23" s="207" t="s">
        <v>2883</v>
      </c>
      <c r="I23" s="566">
        <v>43636</v>
      </c>
      <c r="J23" s="207"/>
      <c r="K23" s="777"/>
      <c r="L23" s="777"/>
      <c r="M23" s="777"/>
      <c r="N23" s="777"/>
      <c r="O23" s="777"/>
      <c r="P23" s="777"/>
      <c r="Q23" s="778"/>
    </row>
    <row r="24" spans="1:17" ht="20.100000000000001" customHeight="1">
      <c r="A24" s="371" t="s">
        <v>2054</v>
      </c>
      <c r="B24" s="764">
        <v>0</v>
      </c>
      <c r="C24" s="204" t="s">
        <v>4137</v>
      </c>
      <c r="D24" s="765" t="s">
        <v>9</v>
      </c>
      <c r="E24" s="206">
        <v>11700</v>
      </c>
      <c r="F24" s="206">
        <v>0</v>
      </c>
      <c r="G24" s="206">
        <v>0</v>
      </c>
      <c r="H24" s="206" t="s">
        <v>2882</v>
      </c>
      <c r="I24" s="563">
        <v>1</v>
      </c>
      <c r="J24" s="206"/>
      <c r="K24" s="775"/>
      <c r="L24" s="775"/>
      <c r="M24" s="775"/>
      <c r="N24" s="775"/>
      <c r="O24" s="775"/>
      <c r="P24" s="775"/>
      <c r="Q24" s="776"/>
    </row>
    <row r="25" spans="1:17" ht="20.100000000000001" customHeight="1">
      <c r="A25" s="371" t="s">
        <v>2189</v>
      </c>
      <c r="B25" s="766">
        <v>0</v>
      </c>
      <c r="C25" s="203" t="s">
        <v>1821</v>
      </c>
      <c r="D25" s="767" t="s">
        <v>9</v>
      </c>
      <c r="E25" s="207">
        <v>6500</v>
      </c>
      <c r="F25" s="207">
        <v>0</v>
      </c>
      <c r="G25" s="207">
        <v>0</v>
      </c>
      <c r="H25" s="207" t="s">
        <v>4070</v>
      </c>
      <c r="I25" s="566" t="s">
        <v>4065</v>
      </c>
      <c r="J25" s="207"/>
      <c r="K25" s="777">
        <v>0</v>
      </c>
      <c r="L25" s="777"/>
      <c r="M25" s="777"/>
      <c r="N25" s="777"/>
      <c r="O25" s="777"/>
      <c r="P25" s="777"/>
      <c r="Q25" s="778"/>
    </row>
    <row r="26" spans="1:17" ht="20.100000000000001" customHeight="1">
      <c r="A26" s="371" t="s">
        <v>2190</v>
      </c>
      <c r="B26" s="766">
        <v>0</v>
      </c>
      <c r="C26" s="203" t="s">
        <v>51</v>
      </c>
      <c r="D26" s="767" t="s">
        <v>37</v>
      </c>
      <c r="E26" s="207">
        <v>3000</v>
      </c>
      <c r="F26" s="207">
        <v>0</v>
      </c>
      <c r="G26" s="207">
        <v>0</v>
      </c>
      <c r="H26" s="207" t="s">
        <v>2883</v>
      </c>
      <c r="I26" s="566" t="s">
        <v>4065</v>
      </c>
      <c r="J26" s="207"/>
      <c r="K26" s="777"/>
      <c r="L26" s="777"/>
      <c r="M26" s="777"/>
      <c r="N26" s="777"/>
      <c r="O26" s="777"/>
      <c r="P26" s="777"/>
      <c r="Q26" s="778"/>
    </row>
    <row r="27" spans="1:17" ht="20.100000000000001" customHeight="1">
      <c r="A27" s="371" t="s">
        <v>1131</v>
      </c>
      <c r="B27" s="766" t="s">
        <v>1132</v>
      </c>
      <c r="C27" s="203" t="s">
        <v>1133</v>
      </c>
      <c r="D27" s="767" t="s">
        <v>774</v>
      </c>
      <c r="E27" s="207">
        <v>0</v>
      </c>
      <c r="F27" s="207">
        <v>6776.4839999999995</v>
      </c>
      <c r="G27" s="207">
        <v>0</v>
      </c>
      <c r="H27" s="207" t="s">
        <v>4069</v>
      </c>
      <c r="I27" s="566" t="s">
        <v>4065</v>
      </c>
      <c r="J27" s="207" t="s">
        <v>3372</v>
      </c>
      <c r="K27" s="777">
        <v>2.8599999999999997E-2</v>
      </c>
      <c r="L27" s="777"/>
      <c r="M27" s="777"/>
      <c r="N27" s="777"/>
      <c r="O27" s="777"/>
      <c r="P27" s="777"/>
      <c r="Q27" s="778"/>
    </row>
    <row r="28" spans="1:17" ht="20.100000000000001" customHeight="1">
      <c r="A28" s="371" t="s">
        <v>1136</v>
      </c>
      <c r="B28" s="766" t="s">
        <v>4100</v>
      </c>
      <c r="C28" s="203" t="s">
        <v>1137</v>
      </c>
      <c r="D28" s="767" t="s">
        <v>404</v>
      </c>
      <c r="E28" s="207">
        <v>0</v>
      </c>
      <c r="F28" s="207">
        <v>76927.516799999998</v>
      </c>
      <c r="G28" s="207">
        <v>0</v>
      </c>
      <c r="H28" s="207" t="s">
        <v>3907</v>
      </c>
      <c r="I28" s="566" t="s">
        <v>4065</v>
      </c>
      <c r="J28" s="207" t="s">
        <v>3370</v>
      </c>
      <c r="K28" s="777">
        <v>0.438</v>
      </c>
      <c r="L28" s="777">
        <v>0.8</v>
      </c>
      <c r="M28" s="777"/>
      <c r="N28" s="777"/>
      <c r="O28" s="777"/>
      <c r="P28" s="777"/>
      <c r="Q28" s="778"/>
    </row>
    <row r="29" spans="1:17" ht="20.100000000000001" customHeight="1">
      <c r="A29" s="371" t="s">
        <v>2188</v>
      </c>
      <c r="B29" s="766" t="s">
        <v>4115</v>
      </c>
      <c r="C29" s="203" t="s">
        <v>501</v>
      </c>
      <c r="D29" s="767" t="s">
        <v>9</v>
      </c>
      <c r="E29" s="207">
        <v>13000</v>
      </c>
      <c r="F29" s="207">
        <v>259648.56000000003</v>
      </c>
      <c r="G29" s="207">
        <v>4712.5600000000004</v>
      </c>
      <c r="H29" s="207" t="s">
        <v>4070</v>
      </c>
      <c r="I29" s="566" t="s">
        <v>4065</v>
      </c>
      <c r="J29" s="207" t="s">
        <v>3377</v>
      </c>
      <c r="K29" s="777">
        <v>0.93</v>
      </c>
      <c r="L29" s="777"/>
      <c r="M29" s="777"/>
      <c r="N29" s="777"/>
      <c r="O29" s="777"/>
      <c r="P29" s="777"/>
      <c r="Q29" s="778">
        <v>0.08</v>
      </c>
    </row>
    <row r="30" spans="1:17" ht="20.100000000000001" customHeight="1">
      <c r="A30" s="371" t="s">
        <v>142</v>
      </c>
      <c r="B30" s="764">
        <v>0</v>
      </c>
      <c r="C30" s="204" t="s">
        <v>143</v>
      </c>
      <c r="D30" s="765" t="s">
        <v>37</v>
      </c>
      <c r="E30" s="206">
        <v>27300</v>
      </c>
      <c r="F30" s="206">
        <v>0</v>
      </c>
      <c r="G30" s="206">
        <v>0</v>
      </c>
      <c r="H30" s="206" t="s">
        <v>2882</v>
      </c>
      <c r="I30" s="563">
        <v>42312</v>
      </c>
      <c r="J30" s="206"/>
      <c r="K30" s="775"/>
      <c r="L30" s="775"/>
      <c r="M30" s="775"/>
      <c r="N30" s="775"/>
      <c r="O30" s="775"/>
      <c r="P30" s="775"/>
      <c r="Q30" s="776"/>
    </row>
    <row r="31" spans="1:17" ht="20.100000000000001" customHeight="1">
      <c r="A31" s="371" t="s">
        <v>634</v>
      </c>
      <c r="B31" s="766">
        <v>0</v>
      </c>
      <c r="C31" s="203" t="s">
        <v>2887</v>
      </c>
      <c r="D31" s="767" t="s">
        <v>9</v>
      </c>
      <c r="E31" s="207">
        <v>47000</v>
      </c>
      <c r="F31" s="207">
        <v>0</v>
      </c>
      <c r="G31" s="207">
        <v>0</v>
      </c>
      <c r="H31" s="207" t="s">
        <v>2883</v>
      </c>
      <c r="I31" s="566" t="s">
        <v>4065</v>
      </c>
      <c r="J31" s="207"/>
      <c r="K31" s="777"/>
      <c r="L31" s="777"/>
      <c r="M31" s="777"/>
      <c r="N31" s="777"/>
      <c r="O31" s="777"/>
      <c r="P31" s="777"/>
      <c r="Q31" s="778"/>
    </row>
    <row r="32" spans="1:17" ht="20.100000000000001" customHeight="1">
      <c r="A32" s="371" t="s">
        <v>401</v>
      </c>
      <c r="B32" s="766">
        <v>0</v>
      </c>
      <c r="C32" s="203" t="s">
        <v>4282</v>
      </c>
      <c r="D32" s="767" t="s">
        <v>9</v>
      </c>
      <c r="E32" s="207">
        <v>40000</v>
      </c>
      <c r="F32" s="207">
        <v>0</v>
      </c>
      <c r="G32" s="207">
        <v>0</v>
      </c>
      <c r="H32" s="207" t="s">
        <v>3908</v>
      </c>
      <c r="I32" s="566" t="s">
        <v>4065</v>
      </c>
      <c r="J32" s="207"/>
      <c r="K32" s="777"/>
      <c r="L32" s="777"/>
      <c r="M32" s="777"/>
      <c r="N32" s="777"/>
      <c r="O32" s="777"/>
      <c r="P32" s="777"/>
      <c r="Q32" s="778"/>
    </row>
    <row r="33" spans="1:17" ht="20.100000000000001" customHeight="1">
      <c r="A33" s="371" t="s">
        <v>379</v>
      </c>
      <c r="B33" s="766">
        <v>0</v>
      </c>
      <c r="C33" s="203" t="s">
        <v>380</v>
      </c>
      <c r="D33" s="767" t="s">
        <v>182</v>
      </c>
      <c r="E33" s="207">
        <v>42000</v>
      </c>
      <c r="F33" s="207">
        <v>0</v>
      </c>
      <c r="G33" s="207">
        <v>0</v>
      </c>
      <c r="H33" s="207" t="s">
        <v>3908</v>
      </c>
      <c r="I33" s="566">
        <v>43636</v>
      </c>
      <c r="J33" s="207"/>
      <c r="K33" s="777"/>
      <c r="L33" s="777"/>
      <c r="M33" s="777"/>
      <c r="N33" s="777"/>
      <c r="O33" s="777"/>
      <c r="P33" s="777"/>
      <c r="Q33" s="778"/>
    </row>
    <row r="34" spans="1:17" ht="20.100000000000001" customHeight="1">
      <c r="A34" s="371" t="s">
        <v>796</v>
      </c>
      <c r="B34" s="766">
        <v>0</v>
      </c>
      <c r="C34" s="203" t="s">
        <v>797</v>
      </c>
      <c r="D34" s="767" t="s">
        <v>9</v>
      </c>
      <c r="E34" s="207">
        <v>5300</v>
      </c>
      <c r="F34" s="207">
        <v>0</v>
      </c>
      <c r="G34" s="207">
        <v>0</v>
      </c>
      <c r="H34" s="207" t="s">
        <v>4070</v>
      </c>
      <c r="I34" s="566" t="s">
        <v>4065</v>
      </c>
      <c r="J34" s="207"/>
      <c r="K34" s="777"/>
      <c r="L34" s="777"/>
      <c r="M34" s="777"/>
      <c r="N34" s="777"/>
      <c r="O34" s="777"/>
      <c r="P34" s="777"/>
      <c r="Q34" s="778"/>
    </row>
    <row r="35" spans="1:17" ht="20.100000000000001" customHeight="1">
      <c r="A35" s="371" t="s">
        <v>577</v>
      </c>
      <c r="B35" s="766">
        <v>0</v>
      </c>
      <c r="C35" s="203" t="s">
        <v>2888</v>
      </c>
      <c r="D35" s="767" t="s">
        <v>9</v>
      </c>
      <c r="E35" s="207">
        <v>55000</v>
      </c>
      <c r="F35" s="207">
        <v>0</v>
      </c>
      <c r="G35" s="207">
        <v>0</v>
      </c>
      <c r="H35" s="207" t="s">
        <v>4069</v>
      </c>
      <c r="I35" s="566" t="s">
        <v>4065</v>
      </c>
      <c r="J35" s="207"/>
      <c r="K35" s="777"/>
      <c r="L35" s="777"/>
      <c r="M35" s="777"/>
      <c r="N35" s="777"/>
      <c r="O35" s="777"/>
      <c r="P35" s="777"/>
      <c r="Q35" s="778"/>
    </row>
    <row r="36" spans="1:17" ht="20.100000000000001" customHeight="1">
      <c r="A36" s="371" t="s">
        <v>1226</v>
      </c>
      <c r="B36" s="766" t="s">
        <v>4113</v>
      </c>
      <c r="C36" s="203" t="s">
        <v>1227</v>
      </c>
      <c r="D36" s="767" t="s">
        <v>37</v>
      </c>
      <c r="E36" s="207">
        <v>0</v>
      </c>
      <c r="F36" s="207">
        <v>206000</v>
      </c>
      <c r="G36" s="207">
        <v>0</v>
      </c>
      <c r="H36" s="207" t="s">
        <v>4070</v>
      </c>
      <c r="I36" s="566" t="s">
        <v>4065</v>
      </c>
      <c r="J36" s="207" t="s">
        <v>3372</v>
      </c>
      <c r="K36" s="777">
        <v>0.45</v>
      </c>
      <c r="L36" s="777"/>
      <c r="M36" s="777"/>
      <c r="N36" s="777"/>
      <c r="O36" s="777"/>
      <c r="P36" s="777"/>
      <c r="Q36" s="778"/>
    </row>
    <row r="37" spans="1:17" ht="20.100000000000001" customHeight="1">
      <c r="A37" s="371" t="s">
        <v>683</v>
      </c>
      <c r="B37" s="766">
        <v>0</v>
      </c>
      <c r="C37" s="203" t="s">
        <v>4280</v>
      </c>
      <c r="D37" s="767" t="s">
        <v>37</v>
      </c>
      <c r="E37" s="207">
        <v>252000</v>
      </c>
      <c r="F37" s="207">
        <v>0</v>
      </c>
      <c r="G37" s="207">
        <v>0</v>
      </c>
      <c r="H37" s="207" t="s">
        <v>3908</v>
      </c>
      <c r="I37" s="566" t="s">
        <v>4065</v>
      </c>
      <c r="J37" s="207"/>
      <c r="K37" s="777"/>
      <c r="L37" s="777"/>
      <c r="M37" s="777"/>
      <c r="N37" s="777"/>
      <c r="O37" s="777"/>
      <c r="P37" s="777"/>
      <c r="Q37" s="778"/>
    </row>
    <row r="38" spans="1:17" ht="20.100000000000001" customHeight="1">
      <c r="A38" s="371" t="s">
        <v>1224</v>
      </c>
      <c r="B38" s="766" t="s">
        <v>4114</v>
      </c>
      <c r="C38" s="203" t="s">
        <v>1225</v>
      </c>
      <c r="D38" s="767" t="s">
        <v>37</v>
      </c>
      <c r="E38" s="207">
        <v>0</v>
      </c>
      <c r="F38" s="207">
        <v>167949.63</v>
      </c>
      <c r="G38" s="207">
        <v>0</v>
      </c>
      <c r="H38" s="207" t="s">
        <v>3907</v>
      </c>
      <c r="I38" s="566" t="s">
        <v>4065</v>
      </c>
      <c r="J38" s="207" t="s">
        <v>3370</v>
      </c>
      <c r="K38" s="777">
        <v>0.51</v>
      </c>
      <c r="L38" s="777">
        <v>1.5</v>
      </c>
      <c r="M38" s="777"/>
      <c r="N38" s="777"/>
      <c r="O38" s="777"/>
      <c r="P38" s="777"/>
      <c r="Q38" s="778"/>
    </row>
    <row r="39" spans="1:17" ht="20.100000000000001" customHeight="1">
      <c r="A39" s="371" t="s">
        <v>144</v>
      </c>
      <c r="B39" s="766">
        <v>0</v>
      </c>
      <c r="C39" s="203" t="s">
        <v>145</v>
      </c>
      <c r="D39" s="767" t="s">
        <v>37</v>
      </c>
      <c r="E39" s="207">
        <v>30200</v>
      </c>
      <c r="F39" s="207">
        <v>0</v>
      </c>
      <c r="G39" s="207">
        <v>0</v>
      </c>
      <c r="H39" s="207" t="s">
        <v>2883</v>
      </c>
      <c r="I39" s="566" t="s">
        <v>4065</v>
      </c>
      <c r="J39" s="207"/>
      <c r="K39" s="777"/>
      <c r="L39" s="777"/>
      <c r="M39" s="777"/>
      <c r="N39" s="777"/>
      <c r="O39" s="777"/>
      <c r="P39" s="777"/>
      <c r="Q39" s="778"/>
    </row>
    <row r="40" spans="1:17" ht="20.100000000000001" customHeight="1">
      <c r="A40" s="371" t="s">
        <v>381</v>
      </c>
      <c r="B40" s="766">
        <v>0</v>
      </c>
      <c r="C40" s="203" t="s">
        <v>4981</v>
      </c>
      <c r="D40" s="767" t="s">
        <v>182</v>
      </c>
      <c r="E40" s="207">
        <v>42000</v>
      </c>
      <c r="F40" s="207">
        <v>0</v>
      </c>
      <c r="G40" s="207">
        <v>0</v>
      </c>
      <c r="H40" s="207" t="s">
        <v>3908</v>
      </c>
      <c r="I40" s="566">
        <v>43636</v>
      </c>
      <c r="J40" s="207"/>
      <c r="K40" s="777"/>
      <c r="L40" s="777"/>
      <c r="M40" s="777"/>
      <c r="N40" s="777"/>
      <c r="O40" s="777"/>
      <c r="P40" s="777"/>
      <c r="Q40" s="778"/>
    </row>
    <row r="41" spans="1:17" ht="20.100000000000001" customHeight="1">
      <c r="A41" s="371" t="s">
        <v>682</v>
      </c>
      <c r="B41" s="766">
        <v>0</v>
      </c>
      <c r="C41" s="203" t="s">
        <v>4281</v>
      </c>
      <c r="D41" s="767" t="s">
        <v>37</v>
      </c>
      <c r="E41" s="207">
        <v>291000</v>
      </c>
      <c r="F41" s="207">
        <v>0</v>
      </c>
      <c r="G41" s="207">
        <v>0</v>
      </c>
      <c r="H41" s="207" t="s">
        <v>3907</v>
      </c>
      <c r="I41" s="566" t="s">
        <v>4065</v>
      </c>
      <c r="J41" s="207"/>
      <c r="K41" s="777"/>
      <c r="L41" s="777"/>
      <c r="M41" s="777"/>
      <c r="N41" s="777"/>
      <c r="O41" s="777"/>
      <c r="P41" s="777"/>
      <c r="Q41" s="778"/>
    </row>
    <row r="42" spans="1:17" ht="20.100000000000001" customHeight="1">
      <c r="A42" s="371" t="s">
        <v>686</v>
      </c>
      <c r="B42" s="766">
        <v>0</v>
      </c>
      <c r="C42" s="203" t="s">
        <v>687</v>
      </c>
      <c r="D42" s="767" t="s">
        <v>9</v>
      </c>
      <c r="E42" s="207">
        <v>185000</v>
      </c>
      <c r="F42" s="207">
        <v>0</v>
      </c>
      <c r="G42" s="207">
        <v>0</v>
      </c>
      <c r="H42" s="207" t="s">
        <v>3908</v>
      </c>
      <c r="I42" s="566">
        <v>43636</v>
      </c>
      <c r="J42" s="207"/>
      <c r="K42" s="777"/>
      <c r="L42" s="777"/>
      <c r="M42" s="777"/>
      <c r="N42" s="777"/>
      <c r="O42" s="777"/>
      <c r="P42" s="777"/>
      <c r="Q42" s="778"/>
    </row>
    <row r="43" spans="1:17" ht="20.100000000000001" customHeight="1">
      <c r="A43" s="371" t="s">
        <v>696</v>
      </c>
      <c r="B43" s="766">
        <v>0</v>
      </c>
      <c r="C43" s="203" t="s">
        <v>697</v>
      </c>
      <c r="D43" s="767" t="s">
        <v>9</v>
      </c>
      <c r="E43" s="207">
        <v>83000</v>
      </c>
      <c r="F43" s="207">
        <v>0</v>
      </c>
      <c r="G43" s="207">
        <v>0</v>
      </c>
      <c r="H43" s="207" t="s">
        <v>3908</v>
      </c>
      <c r="I43" s="566" t="s">
        <v>4065</v>
      </c>
      <c r="J43" s="207"/>
      <c r="K43" s="777"/>
      <c r="L43" s="777"/>
      <c r="M43" s="777"/>
      <c r="N43" s="777"/>
      <c r="O43" s="777"/>
      <c r="P43" s="777"/>
      <c r="Q43" s="778"/>
    </row>
    <row r="44" spans="1:17" ht="20.100000000000001" customHeight="1">
      <c r="A44" s="371" t="s">
        <v>690</v>
      </c>
      <c r="B44" s="766">
        <v>0</v>
      </c>
      <c r="C44" s="203" t="s">
        <v>691</v>
      </c>
      <c r="D44" s="767" t="s">
        <v>9</v>
      </c>
      <c r="E44" s="207">
        <v>362000</v>
      </c>
      <c r="F44" s="207">
        <v>0</v>
      </c>
      <c r="G44" s="207">
        <v>0</v>
      </c>
      <c r="H44" s="207" t="s">
        <v>4070</v>
      </c>
      <c r="I44" s="566">
        <v>43636</v>
      </c>
      <c r="J44" s="207"/>
      <c r="K44" s="777"/>
      <c r="L44" s="777"/>
      <c r="M44" s="777"/>
      <c r="N44" s="777"/>
      <c r="O44" s="777"/>
      <c r="P44" s="777"/>
      <c r="Q44" s="778"/>
    </row>
    <row r="45" spans="1:17" ht="20.100000000000001" customHeight="1">
      <c r="A45" s="371" t="s">
        <v>2004</v>
      </c>
      <c r="B45" s="766">
        <v>0</v>
      </c>
      <c r="C45" s="203" t="s">
        <v>2005</v>
      </c>
      <c r="D45" s="767" t="s">
        <v>9</v>
      </c>
      <c r="E45" s="207">
        <v>36000</v>
      </c>
      <c r="F45" s="207">
        <v>0</v>
      </c>
      <c r="G45" s="207">
        <v>0</v>
      </c>
      <c r="H45" s="207" t="s">
        <v>2883</v>
      </c>
      <c r="I45" s="566" t="s">
        <v>4065</v>
      </c>
      <c r="J45" s="207"/>
      <c r="K45" s="777"/>
      <c r="L45" s="777"/>
      <c r="M45" s="777"/>
      <c r="N45" s="777"/>
      <c r="O45" s="777"/>
      <c r="P45" s="777"/>
      <c r="Q45" s="778"/>
    </row>
    <row r="46" spans="1:17" ht="20.100000000000001" customHeight="1">
      <c r="A46" s="371" t="s">
        <v>2209</v>
      </c>
      <c r="B46" s="766" t="s">
        <v>4115</v>
      </c>
      <c r="C46" s="203" t="s">
        <v>497</v>
      </c>
      <c r="D46" s="767" t="s">
        <v>9</v>
      </c>
      <c r="E46" s="207">
        <v>14000</v>
      </c>
      <c r="F46" s="207">
        <v>259648.56000000003</v>
      </c>
      <c r="G46" s="207">
        <v>4712.5600000000004</v>
      </c>
      <c r="H46" s="207" t="s">
        <v>3908</v>
      </c>
      <c r="I46" s="566" t="s">
        <v>4065</v>
      </c>
      <c r="J46" s="207" t="s">
        <v>3377</v>
      </c>
      <c r="K46" s="777">
        <v>0.93</v>
      </c>
      <c r="L46" s="777"/>
      <c r="M46" s="777"/>
      <c r="N46" s="777"/>
      <c r="O46" s="777"/>
      <c r="P46" s="777"/>
      <c r="Q46" s="778">
        <v>0.08</v>
      </c>
    </row>
    <row r="47" spans="1:17" ht="20.100000000000001" customHeight="1">
      <c r="A47" s="371" t="s">
        <v>2457</v>
      </c>
      <c r="B47" s="766" t="s">
        <v>4100</v>
      </c>
      <c r="C47" s="203" t="s">
        <v>1142</v>
      </c>
      <c r="D47" s="767" t="s">
        <v>404</v>
      </c>
      <c r="E47" s="207">
        <v>0</v>
      </c>
      <c r="F47" s="207">
        <v>156000</v>
      </c>
      <c r="G47" s="207">
        <v>0</v>
      </c>
      <c r="H47" s="207" t="s">
        <v>3908</v>
      </c>
      <c r="I47" s="566" t="s">
        <v>4065</v>
      </c>
      <c r="J47" s="207" t="s">
        <v>3370</v>
      </c>
      <c r="K47" s="777">
        <v>0.438</v>
      </c>
      <c r="L47" s="777"/>
      <c r="M47" s="777"/>
      <c r="N47" s="777"/>
      <c r="O47" s="777"/>
      <c r="P47" s="777"/>
      <c r="Q47" s="778"/>
    </row>
    <row r="48" spans="1:17" ht="20.100000000000001" customHeight="1">
      <c r="A48" s="371" t="s">
        <v>2458</v>
      </c>
      <c r="B48" s="766" t="s">
        <v>4101</v>
      </c>
      <c r="C48" s="203" t="s">
        <v>1135</v>
      </c>
      <c r="D48" s="767" t="s">
        <v>196</v>
      </c>
      <c r="E48" s="207">
        <v>0</v>
      </c>
      <c r="F48" s="207">
        <v>6871.2599999999993</v>
      </c>
      <c r="G48" s="207">
        <v>0</v>
      </c>
      <c r="H48" s="207" t="s">
        <v>4070</v>
      </c>
      <c r="I48" s="566" t="s">
        <v>4065</v>
      </c>
      <c r="J48" s="207" t="s">
        <v>3372</v>
      </c>
      <c r="K48" s="777">
        <v>2.8999999999999998E-2</v>
      </c>
      <c r="L48" s="777"/>
      <c r="M48" s="777"/>
      <c r="N48" s="777"/>
      <c r="O48" s="777"/>
      <c r="P48" s="777"/>
      <c r="Q48" s="778"/>
    </row>
    <row r="49" spans="1:17" ht="20.100000000000001" customHeight="1">
      <c r="A49" s="371" t="s">
        <v>2211</v>
      </c>
      <c r="B49" s="766" t="s">
        <v>4273</v>
      </c>
      <c r="C49" s="203" t="s">
        <v>4432</v>
      </c>
      <c r="D49" s="767" t="s">
        <v>476</v>
      </c>
      <c r="E49" s="207">
        <v>0</v>
      </c>
      <c r="F49" s="207">
        <v>241579.80000000002</v>
      </c>
      <c r="G49" s="207">
        <v>0</v>
      </c>
      <c r="H49" s="207" t="s">
        <v>4070</v>
      </c>
      <c r="I49" s="566" t="s">
        <v>4065</v>
      </c>
      <c r="J49" s="207" t="s">
        <v>3346</v>
      </c>
      <c r="K49" s="777">
        <v>1.35</v>
      </c>
      <c r="L49" s="777"/>
      <c r="M49" s="777"/>
      <c r="N49" s="777"/>
      <c r="O49" s="777"/>
      <c r="P49" s="777"/>
      <c r="Q49" s="778"/>
    </row>
    <row r="50" spans="1:17" ht="20.100000000000001" customHeight="1">
      <c r="A50" s="371" t="s">
        <v>2212</v>
      </c>
      <c r="B50" s="766" t="s">
        <v>4272</v>
      </c>
      <c r="C50" s="203" t="s">
        <v>4433</v>
      </c>
      <c r="D50" s="767" t="s">
        <v>476</v>
      </c>
      <c r="E50" s="207">
        <v>0</v>
      </c>
      <c r="F50" s="207">
        <v>107368.8</v>
      </c>
      <c r="G50" s="207">
        <v>0</v>
      </c>
      <c r="H50" s="207" t="s">
        <v>3907</v>
      </c>
      <c r="I50" s="566" t="s">
        <v>4065</v>
      </c>
      <c r="J50" s="207" t="s">
        <v>3346</v>
      </c>
      <c r="K50" s="777">
        <v>0.6</v>
      </c>
      <c r="L50" s="777"/>
      <c r="M50" s="777"/>
      <c r="N50" s="777"/>
      <c r="O50" s="777"/>
      <c r="P50" s="777"/>
      <c r="Q50" s="778"/>
    </row>
    <row r="51" spans="1:17" ht="20.100000000000001" customHeight="1">
      <c r="A51" s="371" t="s">
        <v>295</v>
      </c>
      <c r="B51" s="766">
        <v>50</v>
      </c>
      <c r="C51" s="203" t="s">
        <v>296</v>
      </c>
      <c r="D51" s="767" t="s">
        <v>182</v>
      </c>
      <c r="E51" s="207">
        <v>60400</v>
      </c>
      <c r="F51" s="207">
        <v>0</v>
      </c>
      <c r="G51" s="207">
        <v>0</v>
      </c>
      <c r="H51" s="207" t="s">
        <v>4070</v>
      </c>
      <c r="I51" s="566" t="s">
        <v>4065</v>
      </c>
      <c r="J51" s="207"/>
      <c r="K51" s="777"/>
      <c r="L51" s="777"/>
      <c r="M51" s="777"/>
      <c r="N51" s="777"/>
      <c r="O51" s="777"/>
      <c r="P51" s="777"/>
      <c r="Q51" s="778"/>
    </row>
    <row r="52" spans="1:17" ht="20.100000000000001" customHeight="1">
      <c r="A52" s="371" t="s">
        <v>221</v>
      </c>
      <c r="B52" s="766">
        <v>150</v>
      </c>
      <c r="C52" s="203" t="s">
        <v>222</v>
      </c>
      <c r="D52" s="767" t="s">
        <v>196</v>
      </c>
      <c r="E52" s="207">
        <v>97600</v>
      </c>
      <c r="F52" s="207">
        <v>0</v>
      </c>
      <c r="G52" s="207">
        <v>0</v>
      </c>
      <c r="H52" s="207" t="s">
        <v>3907</v>
      </c>
      <c r="I52" s="566">
        <v>43636</v>
      </c>
      <c r="J52" s="207"/>
      <c r="K52" s="777"/>
      <c r="L52" s="777"/>
      <c r="M52" s="777"/>
      <c r="N52" s="777"/>
      <c r="O52" s="777"/>
      <c r="P52" s="777"/>
      <c r="Q52" s="778"/>
    </row>
    <row r="53" spans="1:17" ht="20.100000000000001" customHeight="1">
      <c r="A53" s="371" t="s">
        <v>327</v>
      </c>
      <c r="B53" s="766">
        <v>20</v>
      </c>
      <c r="C53" s="203" t="s">
        <v>324</v>
      </c>
      <c r="D53" s="767" t="s">
        <v>196</v>
      </c>
      <c r="E53" s="207">
        <v>162000</v>
      </c>
      <c r="F53" s="207">
        <v>0</v>
      </c>
      <c r="G53" s="207">
        <v>0</v>
      </c>
      <c r="H53" s="207" t="s">
        <v>4069</v>
      </c>
      <c r="I53" s="566">
        <v>43636</v>
      </c>
      <c r="J53" s="207"/>
      <c r="K53" s="777"/>
      <c r="L53" s="777"/>
      <c r="M53" s="777"/>
      <c r="N53" s="777"/>
      <c r="O53" s="777"/>
      <c r="P53" s="777"/>
      <c r="Q53" s="778"/>
    </row>
    <row r="54" spans="1:17" ht="20.100000000000001" customHeight="1">
      <c r="A54" s="371" t="s">
        <v>4958</v>
      </c>
      <c r="B54" s="766">
        <v>270</v>
      </c>
      <c r="C54" s="203" t="s">
        <v>4716</v>
      </c>
      <c r="D54" s="767" t="s">
        <v>774</v>
      </c>
      <c r="E54" s="207">
        <v>78000</v>
      </c>
      <c r="F54" s="207">
        <v>0</v>
      </c>
      <c r="G54" s="207">
        <v>0</v>
      </c>
      <c r="H54" s="207" t="s">
        <v>2883</v>
      </c>
      <c r="I54" s="566">
        <v>43636</v>
      </c>
      <c r="J54" s="207"/>
      <c r="K54" s="777"/>
      <c r="L54" s="777"/>
      <c r="M54" s="777"/>
      <c r="N54" s="777"/>
      <c r="O54" s="777"/>
      <c r="P54" s="777"/>
      <c r="Q54" s="778"/>
    </row>
    <row r="55" spans="1:17" ht="20.100000000000001" customHeight="1">
      <c r="A55" s="371" t="s">
        <v>1304</v>
      </c>
      <c r="B55" s="766" t="s">
        <v>4185</v>
      </c>
      <c r="C55" s="203" t="s">
        <v>1305</v>
      </c>
      <c r="D55" s="767" t="s">
        <v>1265</v>
      </c>
      <c r="E55" s="207">
        <v>0</v>
      </c>
      <c r="F55" s="207">
        <v>2252916.1800000002</v>
      </c>
      <c r="G55" s="207">
        <v>99467.866570066893</v>
      </c>
      <c r="H55" s="207" t="s">
        <v>2883</v>
      </c>
      <c r="I55" s="566" t="s">
        <v>4065</v>
      </c>
      <c r="J55" s="207" t="s">
        <v>3375</v>
      </c>
      <c r="K55" s="777">
        <v>8.73</v>
      </c>
      <c r="L55" s="777"/>
      <c r="M55" s="777"/>
      <c r="N55" s="777"/>
      <c r="O55" s="777">
        <v>0.15</v>
      </c>
      <c r="P55" s="777">
        <v>0.11</v>
      </c>
      <c r="Q55" s="778"/>
    </row>
    <row r="56" spans="1:17" ht="20.100000000000001" customHeight="1">
      <c r="A56" s="371" t="s">
        <v>1277</v>
      </c>
      <c r="B56" s="766" t="s">
        <v>4185</v>
      </c>
      <c r="C56" s="203" t="s">
        <v>1278</v>
      </c>
      <c r="D56" s="767" t="s">
        <v>1265</v>
      </c>
      <c r="E56" s="207">
        <v>0</v>
      </c>
      <c r="F56" s="207">
        <v>2478207.7980000004</v>
      </c>
      <c r="G56" s="207">
        <v>120255.52000000002</v>
      </c>
      <c r="H56" s="207" t="s">
        <v>4070</v>
      </c>
      <c r="I56" s="566" t="s">
        <v>4065</v>
      </c>
      <c r="J56" s="207" t="s">
        <v>3375</v>
      </c>
      <c r="K56" s="777">
        <v>9.6030000000000015</v>
      </c>
      <c r="L56" s="777"/>
      <c r="M56" s="777"/>
      <c r="N56" s="777"/>
      <c r="O56" s="777"/>
      <c r="P56" s="777">
        <v>0.22000000000000003</v>
      </c>
      <c r="Q56" s="778"/>
    </row>
    <row r="57" spans="1:17" ht="20.100000000000001" customHeight="1">
      <c r="A57" s="371" t="s">
        <v>1292</v>
      </c>
      <c r="B57" s="766" t="s">
        <v>4307</v>
      </c>
      <c r="C57" s="203" t="s">
        <v>1293</v>
      </c>
      <c r="D57" s="767" t="s">
        <v>1265</v>
      </c>
      <c r="E57" s="207">
        <v>0</v>
      </c>
      <c r="F57" s="207">
        <v>14654739</v>
      </c>
      <c r="G57" s="207">
        <v>163984.79999999999</v>
      </c>
      <c r="H57" s="207" t="s">
        <v>3908</v>
      </c>
      <c r="I57" s="566" t="s">
        <v>4065</v>
      </c>
      <c r="J57" s="207" t="s">
        <v>3372</v>
      </c>
      <c r="K57" s="777">
        <v>61.85</v>
      </c>
      <c r="L57" s="777"/>
      <c r="M57" s="777"/>
      <c r="N57" s="777"/>
      <c r="O57" s="777"/>
      <c r="P57" s="777">
        <v>0.3</v>
      </c>
      <c r="Q57" s="778"/>
    </row>
    <row r="58" spans="1:17" ht="20.100000000000001" customHeight="1">
      <c r="A58" s="371" t="s">
        <v>604</v>
      </c>
      <c r="B58" s="764" t="s">
        <v>4115</v>
      </c>
      <c r="C58" s="204" t="s">
        <v>605</v>
      </c>
      <c r="D58" s="765" t="s">
        <v>9</v>
      </c>
      <c r="E58" s="206">
        <v>56000</v>
      </c>
      <c r="F58" s="206">
        <v>259648.56000000003</v>
      </c>
      <c r="G58" s="206">
        <v>4712.5600000000004</v>
      </c>
      <c r="H58" s="206" t="s">
        <v>2882</v>
      </c>
      <c r="I58" s="563">
        <v>1</v>
      </c>
      <c r="J58" s="206"/>
      <c r="K58" s="775"/>
      <c r="L58" s="775"/>
      <c r="M58" s="775"/>
      <c r="N58" s="775"/>
      <c r="O58" s="775"/>
      <c r="P58" s="775"/>
      <c r="Q58" s="776"/>
    </row>
    <row r="59" spans="1:17" ht="20.100000000000001" customHeight="1">
      <c r="A59" s="371" t="s">
        <v>3021</v>
      </c>
      <c r="B59" s="766">
        <v>0</v>
      </c>
      <c r="C59" s="203" t="s">
        <v>2995</v>
      </c>
      <c r="D59" s="767" t="s">
        <v>774</v>
      </c>
      <c r="E59" s="207">
        <v>95000</v>
      </c>
      <c r="F59" s="207">
        <v>0</v>
      </c>
      <c r="G59" s="207">
        <v>0</v>
      </c>
      <c r="H59" s="207" t="s">
        <v>3907</v>
      </c>
      <c r="I59" s="566" t="s">
        <v>4065</v>
      </c>
      <c r="J59" s="207"/>
      <c r="K59" s="777"/>
      <c r="L59" s="777"/>
      <c r="M59" s="777"/>
      <c r="N59" s="777"/>
      <c r="O59" s="777"/>
      <c r="P59" s="777"/>
      <c r="Q59" s="778"/>
    </row>
    <row r="60" spans="1:17" ht="20.100000000000001" customHeight="1">
      <c r="A60" s="371" t="s">
        <v>4131</v>
      </c>
      <c r="B60" s="764">
        <v>0</v>
      </c>
      <c r="C60" s="204" t="s">
        <v>4134</v>
      </c>
      <c r="D60" s="765" t="s">
        <v>9</v>
      </c>
      <c r="E60" s="206">
        <v>45000</v>
      </c>
      <c r="F60" s="206">
        <v>0</v>
      </c>
      <c r="G60" s="206">
        <v>0</v>
      </c>
      <c r="H60" s="206" t="s">
        <v>2882</v>
      </c>
      <c r="I60" s="563">
        <v>1</v>
      </c>
      <c r="J60" s="206"/>
      <c r="K60" s="775"/>
      <c r="L60" s="775"/>
      <c r="M60" s="775"/>
      <c r="N60" s="775"/>
      <c r="O60" s="775"/>
      <c r="P60" s="775"/>
      <c r="Q60" s="776"/>
    </row>
    <row r="61" spans="1:17" ht="20.100000000000001" customHeight="1">
      <c r="A61" s="371" t="s">
        <v>461</v>
      </c>
      <c r="B61" s="766" t="s">
        <v>4287</v>
      </c>
      <c r="C61" s="203" t="s">
        <v>462</v>
      </c>
      <c r="D61" s="767" t="s">
        <v>9</v>
      </c>
      <c r="E61" s="207">
        <v>79000</v>
      </c>
      <c r="F61" s="207">
        <v>158070.24</v>
      </c>
      <c r="G61" s="207">
        <v>0</v>
      </c>
      <c r="H61" s="207" t="s">
        <v>4069</v>
      </c>
      <c r="I61" s="566" t="s">
        <v>4065</v>
      </c>
      <c r="J61" s="207" t="s">
        <v>3370</v>
      </c>
      <c r="K61" s="777">
        <v>0.72</v>
      </c>
      <c r="L61" s="777"/>
      <c r="M61" s="777"/>
      <c r="N61" s="777"/>
      <c r="O61" s="777"/>
      <c r="P61" s="777"/>
      <c r="Q61" s="778"/>
    </row>
    <row r="62" spans="1:17" ht="20.100000000000001" customHeight="1">
      <c r="A62" s="371" t="s">
        <v>4959</v>
      </c>
      <c r="B62" s="766">
        <v>0</v>
      </c>
      <c r="C62" s="203" t="s">
        <v>2849</v>
      </c>
      <c r="D62" s="767" t="s">
        <v>9</v>
      </c>
      <c r="E62" s="207">
        <v>190000</v>
      </c>
      <c r="F62" s="207">
        <v>0</v>
      </c>
      <c r="G62" s="207">
        <v>0</v>
      </c>
      <c r="H62" s="207" t="s">
        <v>4070</v>
      </c>
      <c r="I62" s="566" t="s">
        <v>4065</v>
      </c>
      <c r="J62" s="207"/>
      <c r="K62" s="777"/>
      <c r="L62" s="777"/>
      <c r="M62" s="777"/>
      <c r="N62" s="777"/>
      <c r="O62" s="777"/>
      <c r="P62" s="777"/>
      <c r="Q62" s="778"/>
    </row>
    <row r="63" spans="1:17" ht="20.100000000000001" customHeight="1">
      <c r="A63" s="371" t="s">
        <v>4866</v>
      </c>
      <c r="B63" s="764">
        <v>0</v>
      </c>
      <c r="C63" s="204" t="s">
        <v>4976</v>
      </c>
      <c r="D63" s="765" t="s">
        <v>9</v>
      </c>
      <c r="E63" s="206">
        <v>247250</v>
      </c>
      <c r="F63" s="206">
        <v>0</v>
      </c>
      <c r="G63" s="206">
        <v>0</v>
      </c>
      <c r="H63" s="206" t="s">
        <v>2882</v>
      </c>
      <c r="I63" s="563">
        <v>1</v>
      </c>
      <c r="J63" s="206"/>
      <c r="K63" s="775"/>
      <c r="L63" s="775"/>
      <c r="M63" s="775"/>
      <c r="N63" s="775"/>
      <c r="O63" s="775"/>
      <c r="P63" s="775"/>
      <c r="Q63" s="776"/>
    </row>
    <row r="64" spans="1:17" ht="20.100000000000001" customHeight="1">
      <c r="A64" s="371" t="s">
        <v>4974</v>
      </c>
      <c r="B64" s="764">
        <v>0</v>
      </c>
      <c r="C64" s="204" t="s">
        <v>4977</v>
      </c>
      <c r="D64" s="765" t="s">
        <v>9</v>
      </c>
      <c r="E64" s="206">
        <v>258750</v>
      </c>
      <c r="F64" s="206">
        <v>0</v>
      </c>
      <c r="G64" s="206">
        <v>0</v>
      </c>
      <c r="H64" s="206" t="s">
        <v>2882</v>
      </c>
      <c r="I64" s="563">
        <v>1</v>
      </c>
      <c r="J64" s="206"/>
      <c r="K64" s="775"/>
      <c r="L64" s="775"/>
      <c r="M64" s="775"/>
      <c r="N64" s="775"/>
      <c r="O64" s="775"/>
      <c r="P64" s="775"/>
      <c r="Q64" s="776"/>
    </row>
    <row r="65" spans="2:17" ht="20.100000000000001" customHeight="1">
      <c r="B65" s="1087"/>
      <c r="C65" s="760"/>
      <c r="D65" s="1088"/>
      <c r="E65" s="762"/>
      <c r="F65" s="762"/>
      <c r="G65" s="762"/>
      <c r="H65" s="762"/>
      <c r="I65" s="763"/>
      <c r="J65" s="762"/>
      <c r="K65" s="779"/>
      <c r="L65" s="779"/>
      <c r="M65" s="779"/>
      <c r="N65" s="779"/>
      <c r="O65" s="779"/>
      <c r="P65" s="779"/>
      <c r="Q65" s="780"/>
    </row>
    <row r="66" spans="2:17" ht="20.100000000000001" customHeight="1">
      <c r="B66" s="761"/>
      <c r="C66" s="760"/>
      <c r="D66" s="760"/>
      <c r="E66" s="762"/>
      <c r="F66" s="762"/>
      <c r="G66" s="762"/>
      <c r="H66" s="762"/>
      <c r="I66" s="763"/>
      <c r="J66" s="762"/>
      <c r="K66" s="779"/>
      <c r="L66" s="779"/>
      <c r="M66" s="779"/>
      <c r="N66" s="779"/>
      <c r="O66" s="779"/>
      <c r="P66" s="779"/>
      <c r="Q66" s="780"/>
    </row>
    <row r="67" spans="2:17" ht="20.100000000000001" customHeight="1">
      <c r="B67" s="761"/>
      <c r="C67" s="760"/>
      <c r="D67" s="760"/>
      <c r="E67" s="762"/>
      <c r="F67" s="762"/>
      <c r="G67" s="762"/>
      <c r="H67" s="762"/>
      <c r="I67" s="763"/>
      <c r="J67" s="762"/>
      <c r="K67" s="779"/>
      <c r="L67" s="779"/>
      <c r="M67" s="779"/>
      <c r="N67" s="779"/>
      <c r="O67" s="779"/>
      <c r="P67" s="779"/>
      <c r="Q67" s="780"/>
    </row>
    <row r="68" spans="2:17" ht="20.100000000000001" customHeight="1">
      <c r="B68" s="761"/>
      <c r="C68" s="760"/>
      <c r="D68" s="760"/>
      <c r="E68" s="762"/>
      <c r="F68" s="762"/>
      <c r="G68" s="762"/>
      <c r="H68" s="762"/>
      <c r="I68" s="763"/>
      <c r="J68" s="762"/>
      <c r="K68" s="779"/>
      <c r="L68" s="779"/>
      <c r="M68" s="779"/>
      <c r="N68" s="779"/>
      <c r="O68" s="779"/>
      <c r="P68" s="779"/>
      <c r="Q68" s="780"/>
    </row>
    <row r="69" spans="2:17" ht="20.100000000000001" customHeight="1">
      <c r="B69" s="761"/>
      <c r="C69" s="760"/>
      <c r="D69" s="760"/>
      <c r="E69" s="762"/>
      <c r="F69" s="762"/>
      <c r="G69" s="762"/>
      <c r="H69" s="762"/>
      <c r="I69" s="763"/>
      <c r="J69" s="762"/>
      <c r="K69" s="779"/>
      <c r="L69" s="779"/>
      <c r="M69" s="779"/>
      <c r="N69" s="779"/>
      <c r="O69" s="779"/>
      <c r="P69" s="779"/>
      <c r="Q69" s="780"/>
    </row>
    <row r="70" spans="2:17" ht="20.100000000000001" customHeight="1">
      <c r="B70" s="761"/>
      <c r="C70" s="760"/>
      <c r="D70" s="760"/>
      <c r="E70" s="762"/>
      <c r="F70" s="762"/>
      <c r="G70" s="762"/>
      <c r="H70" s="762"/>
      <c r="I70" s="763"/>
      <c r="J70" s="762"/>
      <c r="K70" s="779"/>
      <c r="L70" s="779"/>
      <c r="M70" s="779"/>
      <c r="N70" s="779"/>
      <c r="O70" s="779"/>
      <c r="P70" s="779"/>
      <c r="Q70" s="780"/>
    </row>
    <row r="71" spans="2:17" ht="20.100000000000001" customHeight="1">
      <c r="B71" s="761"/>
      <c r="C71" s="760"/>
      <c r="D71" s="760"/>
      <c r="E71" s="762"/>
      <c r="F71" s="762"/>
      <c r="G71" s="762"/>
      <c r="H71" s="762"/>
      <c r="I71" s="763"/>
      <c r="J71" s="762"/>
      <c r="K71" s="779"/>
      <c r="L71" s="779"/>
      <c r="M71" s="779"/>
      <c r="N71" s="779"/>
      <c r="O71" s="779"/>
      <c r="P71" s="779"/>
      <c r="Q71" s="780"/>
    </row>
    <row r="72" spans="2:17" ht="20.100000000000001" customHeight="1">
      <c r="B72" s="761"/>
      <c r="C72" s="760"/>
      <c r="D72" s="760"/>
      <c r="E72" s="762"/>
      <c r="F72" s="762"/>
      <c r="G72" s="762"/>
      <c r="H72" s="762"/>
      <c r="I72" s="763"/>
      <c r="J72" s="762"/>
      <c r="K72" s="779"/>
      <c r="L72" s="779"/>
      <c r="M72" s="779"/>
      <c r="N72" s="779"/>
      <c r="O72" s="779"/>
      <c r="P72" s="779"/>
      <c r="Q72" s="780"/>
    </row>
    <row r="73" spans="2:17" ht="20.100000000000001" customHeight="1">
      <c r="B73" s="761"/>
      <c r="C73" s="760"/>
      <c r="D73" s="760"/>
      <c r="E73" s="762"/>
      <c r="F73" s="762"/>
      <c r="G73" s="762"/>
      <c r="H73" s="762"/>
      <c r="I73" s="763"/>
      <c r="J73" s="762"/>
      <c r="K73" s="779"/>
      <c r="L73" s="779"/>
      <c r="M73" s="779"/>
      <c r="N73" s="779"/>
      <c r="O73" s="779"/>
      <c r="P73" s="779"/>
      <c r="Q73" s="780"/>
    </row>
    <row r="74" spans="2:17" ht="20.100000000000001" customHeight="1">
      <c r="B74" s="761"/>
      <c r="C74" s="760"/>
      <c r="D74" s="760"/>
      <c r="E74" s="762"/>
      <c r="F74" s="762"/>
      <c r="G74" s="762"/>
      <c r="H74" s="762"/>
      <c r="I74" s="763"/>
      <c r="J74" s="762"/>
      <c r="K74" s="779"/>
      <c r="L74" s="779"/>
      <c r="M74" s="779"/>
      <c r="N74" s="779"/>
      <c r="O74" s="779"/>
      <c r="P74" s="779"/>
      <c r="Q74" s="780"/>
    </row>
    <row r="75" spans="2:17" ht="20.100000000000001" customHeight="1">
      <c r="B75" s="761"/>
      <c r="C75" s="760"/>
      <c r="D75" s="760"/>
      <c r="E75" s="762"/>
      <c r="F75" s="762"/>
      <c r="G75" s="762"/>
      <c r="H75" s="762"/>
      <c r="I75" s="763"/>
      <c r="J75" s="762"/>
      <c r="K75" s="779"/>
      <c r="L75" s="779"/>
      <c r="M75" s="779"/>
      <c r="N75" s="779"/>
      <c r="O75" s="779"/>
      <c r="P75" s="779"/>
      <c r="Q75" s="780"/>
    </row>
    <row r="76" spans="2:17" ht="20.100000000000001" customHeight="1">
      <c r="B76" s="761"/>
      <c r="C76" s="760"/>
      <c r="D76" s="760"/>
      <c r="E76" s="762"/>
      <c r="F76" s="762"/>
      <c r="G76" s="762"/>
      <c r="H76" s="762"/>
      <c r="I76" s="763"/>
      <c r="J76" s="762"/>
      <c r="K76" s="779"/>
      <c r="L76" s="779"/>
      <c r="M76" s="779"/>
      <c r="N76" s="779"/>
      <c r="O76" s="779"/>
      <c r="P76" s="779"/>
      <c r="Q76" s="780"/>
    </row>
    <row r="77" spans="2:17" ht="20.100000000000001" customHeight="1">
      <c r="B77" s="761"/>
      <c r="C77" s="760"/>
      <c r="D77" s="760"/>
      <c r="E77" s="762"/>
      <c r="F77" s="762"/>
      <c r="G77" s="762"/>
      <c r="H77" s="762"/>
      <c r="I77" s="763"/>
      <c r="J77" s="762"/>
      <c r="K77" s="779"/>
      <c r="L77" s="779"/>
      <c r="M77" s="779"/>
      <c r="N77" s="779"/>
      <c r="O77" s="779"/>
      <c r="P77" s="779"/>
      <c r="Q77" s="780"/>
    </row>
    <row r="78" spans="2:17" ht="20.100000000000001" customHeight="1">
      <c r="B78" s="761"/>
      <c r="C78" s="760"/>
      <c r="D78" s="760"/>
      <c r="E78" s="762"/>
      <c r="F78" s="762"/>
      <c r="G78" s="762"/>
      <c r="H78" s="762"/>
      <c r="I78" s="763"/>
      <c r="J78" s="762"/>
      <c r="K78" s="779"/>
      <c r="L78" s="779"/>
      <c r="M78" s="779"/>
      <c r="N78" s="779"/>
      <c r="O78" s="779"/>
      <c r="P78" s="779"/>
      <c r="Q78" s="780"/>
    </row>
    <row r="79" spans="2:17" ht="20.100000000000001" customHeight="1">
      <c r="B79" s="761"/>
      <c r="C79" s="760"/>
      <c r="D79" s="760"/>
      <c r="E79" s="762"/>
      <c r="F79" s="762"/>
      <c r="G79" s="762"/>
      <c r="H79" s="762"/>
      <c r="I79" s="763"/>
      <c r="J79" s="762"/>
      <c r="K79" s="779"/>
      <c r="L79" s="779"/>
      <c r="M79" s="779"/>
      <c r="N79" s="779"/>
      <c r="O79" s="779"/>
      <c r="P79" s="779"/>
      <c r="Q79" s="780"/>
    </row>
    <row r="80" spans="2:17" ht="20.100000000000001" customHeight="1">
      <c r="B80" s="761"/>
      <c r="C80" s="760"/>
      <c r="D80" s="760"/>
      <c r="E80" s="762"/>
      <c r="F80" s="762"/>
      <c r="G80" s="762"/>
      <c r="H80" s="762"/>
      <c r="I80" s="763"/>
      <c r="J80" s="762"/>
      <c r="K80" s="779"/>
      <c r="L80" s="779"/>
      <c r="M80" s="779"/>
      <c r="N80" s="779"/>
      <c r="O80" s="779"/>
      <c r="P80" s="779"/>
      <c r="Q80" s="780"/>
    </row>
    <row r="81" spans="2:17" ht="20.100000000000001" customHeight="1">
      <c r="B81" s="761"/>
      <c r="C81" s="760"/>
      <c r="D81" s="760"/>
      <c r="E81" s="762"/>
      <c r="F81" s="762"/>
      <c r="G81" s="762"/>
      <c r="H81" s="762"/>
      <c r="I81" s="763"/>
      <c r="J81" s="762"/>
      <c r="K81" s="779"/>
      <c r="L81" s="779"/>
      <c r="M81" s="779"/>
      <c r="N81" s="779"/>
      <c r="O81" s="779"/>
      <c r="P81" s="779"/>
      <c r="Q81" s="780"/>
    </row>
    <row r="82" spans="2:17" ht="20.100000000000001" customHeight="1">
      <c r="B82" s="761"/>
      <c r="C82" s="760"/>
      <c r="D82" s="760"/>
      <c r="E82" s="762"/>
      <c r="F82" s="762"/>
      <c r="G82" s="762"/>
      <c r="H82" s="762"/>
      <c r="I82" s="763"/>
      <c r="J82" s="762"/>
      <c r="K82" s="779"/>
      <c r="L82" s="779"/>
      <c r="M82" s="779"/>
      <c r="N82" s="779"/>
      <c r="O82" s="779"/>
      <c r="P82" s="779"/>
      <c r="Q82" s="780"/>
    </row>
    <row r="83" spans="2:17" ht="20.100000000000001" customHeight="1">
      <c r="B83" s="761"/>
      <c r="C83" s="760"/>
      <c r="D83" s="760"/>
      <c r="E83" s="762"/>
      <c r="F83" s="762"/>
      <c r="G83" s="762"/>
      <c r="H83" s="762"/>
      <c r="I83" s="763"/>
      <c r="J83" s="762"/>
      <c r="K83" s="779"/>
      <c r="L83" s="779"/>
      <c r="M83" s="779"/>
      <c r="N83" s="779"/>
      <c r="O83" s="779"/>
      <c r="P83" s="779"/>
      <c r="Q83" s="780"/>
    </row>
    <row r="84" spans="2:17" ht="20.100000000000001" customHeight="1">
      <c r="B84" s="761"/>
      <c r="C84" s="760"/>
      <c r="D84" s="760"/>
      <c r="E84" s="762"/>
      <c r="F84" s="762"/>
      <c r="G84" s="762"/>
      <c r="H84" s="762"/>
      <c r="I84" s="763"/>
      <c r="J84" s="762"/>
      <c r="K84" s="779"/>
      <c r="L84" s="779"/>
      <c r="M84" s="779"/>
      <c r="N84" s="779"/>
      <c r="O84" s="779"/>
      <c r="P84" s="779"/>
      <c r="Q84" s="780"/>
    </row>
    <row r="85" spans="2:17" ht="20.100000000000001" customHeight="1">
      <c r="B85" s="761"/>
      <c r="C85" s="760"/>
      <c r="D85" s="760"/>
      <c r="E85" s="762"/>
      <c r="F85" s="762"/>
      <c r="G85" s="762"/>
      <c r="H85" s="762"/>
      <c r="I85" s="763"/>
      <c r="J85" s="762"/>
      <c r="K85" s="779"/>
      <c r="L85" s="779"/>
      <c r="M85" s="779"/>
      <c r="N85" s="779"/>
      <c r="O85" s="779"/>
      <c r="P85" s="779"/>
      <c r="Q85" s="780"/>
    </row>
    <row r="86" spans="2:17" ht="20.100000000000001" customHeight="1">
      <c r="B86" s="761"/>
      <c r="C86" s="760"/>
      <c r="D86" s="760"/>
      <c r="E86" s="762"/>
      <c r="F86" s="762"/>
      <c r="G86" s="762"/>
      <c r="H86" s="762"/>
      <c r="I86" s="763"/>
      <c r="J86" s="762"/>
      <c r="K86" s="779"/>
      <c r="L86" s="779"/>
      <c r="M86" s="779"/>
      <c r="N86" s="779"/>
      <c r="O86" s="779"/>
      <c r="P86" s="779"/>
      <c r="Q86" s="780"/>
    </row>
    <row r="87" spans="2:17" ht="20.100000000000001" customHeight="1">
      <c r="B87" s="761"/>
      <c r="C87" s="760"/>
      <c r="D87" s="760"/>
      <c r="E87" s="762"/>
      <c r="F87" s="762"/>
      <c r="G87" s="762"/>
      <c r="H87" s="762"/>
      <c r="I87" s="763"/>
      <c r="J87" s="762"/>
      <c r="K87" s="779"/>
      <c r="L87" s="779"/>
      <c r="M87" s="779"/>
      <c r="N87" s="779"/>
      <c r="O87" s="779"/>
      <c r="P87" s="779"/>
      <c r="Q87" s="780"/>
    </row>
    <row r="88" spans="2:17" ht="20.100000000000001" customHeight="1">
      <c r="B88" s="761"/>
      <c r="C88" s="760"/>
      <c r="D88" s="760"/>
      <c r="E88" s="762"/>
      <c r="F88" s="762"/>
      <c r="G88" s="762"/>
      <c r="H88" s="762"/>
      <c r="I88" s="763"/>
      <c r="J88" s="762"/>
      <c r="K88" s="779"/>
      <c r="L88" s="779"/>
      <c r="M88" s="779"/>
      <c r="N88" s="779"/>
      <c r="O88" s="779"/>
      <c r="P88" s="779"/>
      <c r="Q88" s="780"/>
    </row>
    <row r="89" spans="2:17" ht="20.100000000000001" customHeight="1">
      <c r="B89" s="761"/>
      <c r="C89" s="760"/>
      <c r="D89" s="760"/>
      <c r="E89" s="762"/>
      <c r="F89" s="762"/>
      <c r="G89" s="762"/>
      <c r="H89" s="762"/>
      <c r="I89" s="763"/>
      <c r="J89" s="762"/>
      <c r="K89" s="779"/>
      <c r="L89" s="779"/>
      <c r="M89" s="779"/>
      <c r="N89" s="779"/>
      <c r="O89" s="779"/>
      <c r="P89" s="779"/>
      <c r="Q89" s="780"/>
    </row>
    <row r="90" spans="2:17" ht="20.100000000000001" customHeight="1">
      <c r="B90" s="761"/>
      <c r="C90" s="760"/>
      <c r="D90" s="760"/>
      <c r="E90" s="762"/>
      <c r="F90" s="762"/>
      <c r="G90" s="762"/>
      <c r="H90" s="762"/>
      <c r="I90" s="763"/>
      <c r="J90" s="762"/>
      <c r="K90" s="779"/>
      <c r="L90" s="779"/>
      <c r="M90" s="779"/>
      <c r="N90" s="779"/>
      <c r="O90" s="779"/>
      <c r="P90" s="779"/>
      <c r="Q90" s="780"/>
    </row>
    <row r="91" spans="2:17" ht="20.100000000000001" customHeight="1">
      <c r="B91" s="761"/>
      <c r="C91" s="760"/>
      <c r="D91" s="760"/>
      <c r="E91" s="762"/>
      <c r="F91" s="762"/>
      <c r="G91" s="762"/>
      <c r="H91" s="762"/>
      <c r="I91" s="763"/>
      <c r="J91" s="762"/>
      <c r="K91" s="779"/>
      <c r="L91" s="779"/>
      <c r="M91" s="779"/>
      <c r="N91" s="779"/>
      <c r="O91" s="779"/>
      <c r="P91" s="779"/>
      <c r="Q91" s="780"/>
    </row>
    <row r="92" spans="2:17" ht="20.100000000000001" customHeight="1">
      <c r="B92" s="761"/>
      <c r="C92" s="760"/>
      <c r="D92" s="760"/>
      <c r="E92" s="762"/>
      <c r="F92" s="762"/>
      <c r="G92" s="762"/>
      <c r="H92" s="762"/>
      <c r="I92" s="763"/>
      <c r="J92" s="762"/>
      <c r="K92" s="779"/>
      <c r="L92" s="779"/>
      <c r="M92" s="779"/>
      <c r="N92" s="779"/>
      <c r="O92" s="779"/>
      <c r="P92" s="779"/>
      <c r="Q92" s="780"/>
    </row>
    <row r="93" spans="2:17" ht="20.100000000000001" customHeight="1">
      <c r="B93" s="761"/>
      <c r="C93" s="760"/>
      <c r="D93" s="760"/>
      <c r="E93" s="762"/>
      <c r="F93" s="762"/>
      <c r="G93" s="762"/>
      <c r="H93" s="762"/>
      <c r="I93" s="763"/>
      <c r="J93" s="762"/>
      <c r="K93" s="779"/>
      <c r="L93" s="779"/>
      <c r="M93" s="779"/>
      <c r="N93" s="779"/>
      <c r="O93" s="779"/>
      <c r="P93" s="779"/>
      <c r="Q93" s="780"/>
    </row>
    <row r="94" spans="2:17" ht="20.100000000000001" customHeight="1">
      <c r="B94" s="761"/>
      <c r="C94" s="760"/>
      <c r="D94" s="760"/>
      <c r="E94" s="762"/>
      <c r="F94" s="762"/>
      <c r="G94" s="762"/>
      <c r="H94" s="762"/>
      <c r="I94" s="763"/>
      <c r="J94" s="762"/>
      <c r="K94" s="779"/>
      <c r="L94" s="779"/>
      <c r="M94" s="779"/>
      <c r="N94" s="779"/>
      <c r="O94" s="779"/>
      <c r="P94" s="779"/>
      <c r="Q94" s="780"/>
    </row>
    <row r="95" spans="2:17" ht="20.100000000000001" customHeight="1">
      <c r="B95" s="761"/>
      <c r="C95" s="760"/>
      <c r="D95" s="760"/>
      <c r="E95" s="762"/>
      <c r="F95" s="762"/>
      <c r="G95" s="762"/>
      <c r="H95" s="762"/>
      <c r="I95" s="763"/>
      <c r="J95" s="762"/>
      <c r="K95" s="779"/>
      <c r="L95" s="779"/>
      <c r="M95" s="779"/>
      <c r="N95" s="779"/>
      <c r="O95" s="779"/>
      <c r="P95" s="779"/>
      <c r="Q95" s="780"/>
    </row>
    <row r="96" spans="2:17" ht="20.100000000000001" customHeight="1">
      <c r="B96" s="761"/>
      <c r="C96" s="760"/>
      <c r="D96" s="760"/>
      <c r="E96" s="762"/>
      <c r="F96" s="762"/>
      <c r="G96" s="762"/>
      <c r="H96" s="762"/>
      <c r="I96" s="763"/>
      <c r="J96" s="762"/>
      <c r="K96" s="779"/>
      <c r="L96" s="779"/>
      <c r="M96" s="779"/>
      <c r="N96" s="779"/>
      <c r="O96" s="779"/>
      <c r="P96" s="779"/>
      <c r="Q96" s="780"/>
    </row>
    <row r="97" spans="2:17" ht="20.100000000000001" customHeight="1">
      <c r="B97" s="761"/>
      <c r="C97" s="760"/>
      <c r="D97" s="760"/>
      <c r="E97" s="762"/>
      <c r="F97" s="762"/>
      <c r="G97" s="762"/>
      <c r="H97" s="762"/>
      <c r="I97" s="763"/>
      <c r="J97" s="762"/>
      <c r="K97" s="779"/>
      <c r="L97" s="779"/>
      <c r="M97" s="779"/>
      <c r="N97" s="779"/>
      <c r="O97" s="779"/>
      <c r="P97" s="779"/>
      <c r="Q97" s="780"/>
    </row>
    <row r="98" spans="2:17" ht="20.100000000000001" customHeight="1">
      <c r="B98" s="761"/>
      <c r="C98" s="760"/>
      <c r="D98" s="760"/>
      <c r="E98" s="762"/>
      <c r="F98" s="762"/>
      <c r="G98" s="762"/>
      <c r="H98" s="762"/>
      <c r="I98" s="763"/>
      <c r="J98" s="762"/>
      <c r="K98" s="779"/>
      <c r="L98" s="779"/>
      <c r="M98" s="779"/>
      <c r="N98" s="779"/>
      <c r="O98" s="779"/>
      <c r="P98" s="779"/>
      <c r="Q98" s="780"/>
    </row>
    <row r="99" spans="2:17" ht="20.100000000000001" customHeight="1">
      <c r="B99" s="761"/>
      <c r="C99" s="760"/>
      <c r="D99" s="760"/>
      <c r="E99" s="762"/>
      <c r="F99" s="762"/>
      <c r="G99" s="762"/>
      <c r="H99" s="762"/>
      <c r="I99" s="763"/>
      <c r="J99" s="762"/>
      <c r="K99" s="779"/>
      <c r="L99" s="779"/>
      <c r="M99" s="779"/>
      <c r="N99" s="779"/>
      <c r="O99" s="779"/>
      <c r="P99" s="779"/>
      <c r="Q99" s="780"/>
    </row>
    <row r="100" spans="2:17" ht="20.100000000000001" customHeight="1">
      <c r="B100" s="761"/>
      <c r="C100" s="760"/>
      <c r="D100" s="760"/>
      <c r="E100" s="762"/>
      <c r="F100" s="762"/>
      <c r="G100" s="762"/>
      <c r="H100" s="762"/>
      <c r="I100" s="763"/>
      <c r="J100" s="762"/>
      <c r="K100" s="779"/>
      <c r="L100" s="779"/>
      <c r="M100" s="779"/>
      <c r="N100" s="779"/>
      <c r="O100" s="779"/>
      <c r="P100" s="779"/>
      <c r="Q100" s="780"/>
    </row>
    <row r="101" spans="2:17" ht="20.100000000000001" customHeight="1">
      <c r="B101" s="761"/>
      <c r="C101" s="760"/>
      <c r="D101" s="760"/>
      <c r="E101" s="762"/>
      <c r="F101" s="762"/>
      <c r="G101" s="762"/>
      <c r="H101" s="762"/>
      <c r="I101" s="763"/>
      <c r="J101" s="762"/>
      <c r="K101" s="779"/>
      <c r="L101" s="779"/>
      <c r="M101" s="779"/>
      <c r="N101" s="779"/>
      <c r="O101" s="779"/>
      <c r="P101" s="779"/>
      <c r="Q101" s="780"/>
    </row>
    <row r="102" spans="2:17" ht="20.100000000000001" customHeight="1">
      <c r="B102" s="761"/>
      <c r="C102" s="760"/>
      <c r="D102" s="760"/>
      <c r="E102" s="762"/>
      <c r="F102" s="762"/>
      <c r="G102" s="762"/>
      <c r="H102" s="762"/>
      <c r="I102" s="763"/>
      <c r="J102" s="762"/>
      <c r="K102" s="779"/>
      <c r="L102" s="779"/>
      <c r="M102" s="779"/>
      <c r="N102" s="779"/>
      <c r="O102" s="779"/>
      <c r="P102" s="779"/>
      <c r="Q102" s="780"/>
    </row>
    <row r="103" spans="2:17" ht="20.100000000000001" customHeight="1">
      <c r="B103" s="761"/>
      <c r="C103" s="760"/>
      <c r="D103" s="760"/>
      <c r="E103" s="762"/>
      <c r="F103" s="762"/>
      <c r="G103" s="762"/>
      <c r="H103" s="762"/>
      <c r="I103" s="763"/>
      <c r="J103" s="762"/>
      <c r="K103" s="779"/>
      <c r="L103" s="779"/>
      <c r="M103" s="779"/>
      <c r="N103" s="779"/>
      <c r="O103" s="779"/>
      <c r="P103" s="779"/>
      <c r="Q103" s="780"/>
    </row>
    <row r="104" spans="2:17" ht="20.100000000000001" customHeight="1">
      <c r="B104" s="761"/>
      <c r="C104" s="760"/>
      <c r="D104" s="760"/>
      <c r="E104" s="762"/>
      <c r="F104" s="762"/>
      <c r="G104" s="762"/>
      <c r="H104" s="762"/>
      <c r="I104" s="763"/>
      <c r="J104" s="762"/>
      <c r="K104" s="779"/>
      <c r="L104" s="779"/>
      <c r="M104" s="779"/>
      <c r="N104" s="779"/>
      <c r="O104" s="779"/>
      <c r="P104" s="779"/>
      <c r="Q104" s="780"/>
    </row>
    <row r="105" spans="2:17" ht="20.100000000000001" customHeight="1">
      <c r="B105" s="761"/>
      <c r="C105" s="760"/>
      <c r="D105" s="760"/>
      <c r="E105" s="762"/>
      <c r="F105" s="762"/>
      <c r="G105" s="762"/>
      <c r="H105" s="762"/>
      <c r="I105" s="763"/>
      <c r="J105" s="762"/>
      <c r="K105" s="779"/>
      <c r="L105" s="779"/>
      <c r="M105" s="779"/>
      <c r="N105" s="779"/>
      <c r="O105" s="779"/>
      <c r="P105" s="779"/>
      <c r="Q105" s="780"/>
    </row>
    <row r="106" spans="2:17" ht="20.100000000000001" customHeight="1">
      <c r="B106" s="761"/>
      <c r="C106" s="760"/>
      <c r="D106" s="760"/>
      <c r="E106" s="762"/>
      <c r="F106" s="762"/>
      <c r="G106" s="762"/>
      <c r="H106" s="762"/>
      <c r="I106" s="763"/>
      <c r="J106" s="762"/>
      <c r="K106" s="779"/>
      <c r="L106" s="779"/>
      <c r="M106" s="779"/>
      <c r="N106" s="779"/>
      <c r="O106" s="779"/>
      <c r="P106" s="779"/>
      <c r="Q106" s="780"/>
    </row>
    <row r="107" spans="2:17" ht="20.100000000000001" customHeight="1">
      <c r="B107" s="761"/>
      <c r="C107" s="760"/>
      <c r="D107" s="760"/>
      <c r="E107" s="762"/>
      <c r="F107" s="762"/>
      <c r="G107" s="762"/>
      <c r="H107" s="762"/>
      <c r="I107" s="763"/>
      <c r="J107" s="762"/>
      <c r="K107" s="779"/>
      <c r="L107" s="779"/>
      <c r="M107" s="779"/>
      <c r="N107" s="779"/>
      <c r="O107" s="779"/>
      <c r="P107" s="779"/>
      <c r="Q107" s="780"/>
    </row>
    <row r="108" spans="2:17" ht="20.100000000000001" customHeight="1">
      <c r="B108" s="761"/>
      <c r="C108" s="760"/>
      <c r="D108" s="760"/>
      <c r="E108" s="762"/>
      <c r="F108" s="762"/>
      <c r="G108" s="762"/>
      <c r="H108" s="762"/>
      <c r="I108" s="763"/>
      <c r="J108" s="762"/>
      <c r="K108" s="779"/>
      <c r="L108" s="779"/>
      <c r="M108" s="779"/>
      <c r="N108" s="779"/>
      <c r="O108" s="779"/>
      <c r="P108" s="779"/>
      <c r="Q108" s="780"/>
    </row>
    <row r="109" spans="2:17" ht="20.100000000000001" customHeight="1">
      <c r="B109" s="761"/>
      <c r="C109" s="760"/>
      <c r="D109" s="760"/>
      <c r="E109" s="762"/>
      <c r="F109" s="762"/>
      <c r="G109" s="762"/>
      <c r="H109" s="762"/>
      <c r="I109" s="763"/>
      <c r="J109" s="762"/>
      <c r="K109" s="779"/>
      <c r="L109" s="779"/>
      <c r="M109" s="779"/>
      <c r="N109" s="779"/>
      <c r="O109" s="779"/>
      <c r="P109" s="779"/>
      <c r="Q109" s="780"/>
    </row>
    <row r="110" spans="2:17" ht="20.100000000000001" customHeight="1">
      <c r="B110" s="761"/>
      <c r="C110" s="760"/>
      <c r="D110" s="760"/>
      <c r="E110" s="762"/>
      <c r="F110" s="762"/>
      <c r="G110" s="762"/>
      <c r="H110" s="762"/>
      <c r="I110" s="763"/>
      <c r="J110" s="762"/>
      <c r="K110" s="779"/>
      <c r="L110" s="779"/>
      <c r="M110" s="779"/>
      <c r="N110" s="779"/>
      <c r="O110" s="779"/>
      <c r="P110" s="779"/>
      <c r="Q110" s="780"/>
    </row>
    <row r="111" spans="2:17" ht="20.100000000000001" customHeight="1">
      <c r="B111" s="761"/>
      <c r="C111" s="760"/>
      <c r="D111" s="760"/>
      <c r="E111" s="762"/>
      <c r="F111" s="762"/>
      <c r="G111" s="762"/>
      <c r="H111" s="762"/>
      <c r="I111" s="763"/>
      <c r="J111" s="762"/>
      <c r="K111" s="779"/>
      <c r="L111" s="779"/>
      <c r="M111" s="779"/>
      <c r="N111" s="779"/>
      <c r="O111" s="779"/>
      <c r="P111" s="779"/>
      <c r="Q111" s="780"/>
    </row>
    <row r="112" spans="2:17" ht="20.100000000000001" customHeight="1">
      <c r="B112" s="761"/>
      <c r="C112" s="760"/>
      <c r="D112" s="760"/>
      <c r="E112" s="762"/>
      <c r="F112" s="762"/>
      <c r="G112" s="762"/>
      <c r="H112" s="762"/>
      <c r="I112" s="763"/>
      <c r="J112" s="762"/>
      <c r="K112" s="779"/>
      <c r="L112" s="779"/>
      <c r="M112" s="779"/>
      <c r="N112" s="779"/>
      <c r="O112" s="779"/>
      <c r="P112" s="779"/>
      <c r="Q112" s="780"/>
    </row>
    <row r="113" spans="2:17" ht="20.100000000000001" customHeight="1">
      <c r="B113" s="761"/>
      <c r="C113" s="760"/>
      <c r="D113" s="760"/>
      <c r="E113" s="762"/>
      <c r="F113" s="762"/>
      <c r="G113" s="762"/>
      <c r="H113" s="762"/>
      <c r="I113" s="763"/>
      <c r="J113" s="762"/>
      <c r="K113" s="779"/>
      <c r="L113" s="779"/>
      <c r="M113" s="779"/>
      <c r="N113" s="779"/>
      <c r="O113" s="779"/>
      <c r="P113" s="779"/>
      <c r="Q113" s="780"/>
    </row>
    <row r="114" spans="2:17" ht="20.100000000000001" customHeight="1">
      <c r="B114" s="761"/>
      <c r="C114" s="760"/>
      <c r="D114" s="760"/>
      <c r="E114" s="762"/>
      <c r="F114" s="762"/>
      <c r="G114" s="762"/>
      <c r="H114" s="762"/>
      <c r="I114" s="763"/>
      <c r="J114" s="762"/>
      <c r="K114" s="779"/>
      <c r="L114" s="779"/>
      <c r="M114" s="779"/>
      <c r="N114" s="779"/>
      <c r="O114" s="779"/>
      <c r="P114" s="779"/>
      <c r="Q114" s="780"/>
    </row>
    <row r="115" spans="2:17" ht="20.100000000000001" customHeight="1">
      <c r="B115" s="761"/>
      <c r="C115" s="760"/>
      <c r="D115" s="760"/>
      <c r="E115" s="762"/>
      <c r="F115" s="762"/>
      <c r="G115" s="762"/>
      <c r="H115" s="762"/>
      <c r="I115" s="763"/>
      <c r="J115" s="762"/>
      <c r="K115" s="779"/>
      <c r="L115" s="779"/>
      <c r="M115" s="779"/>
      <c r="N115" s="779"/>
      <c r="O115" s="779"/>
      <c r="P115" s="779"/>
      <c r="Q115" s="780"/>
    </row>
    <row r="116" spans="2:17" ht="20.100000000000001" customHeight="1">
      <c r="B116" s="761"/>
      <c r="C116" s="760"/>
      <c r="D116" s="760"/>
      <c r="E116" s="762"/>
      <c r="F116" s="762"/>
      <c r="G116" s="762"/>
      <c r="H116" s="762"/>
      <c r="I116" s="763"/>
      <c r="J116" s="762"/>
      <c r="K116" s="779"/>
      <c r="L116" s="779"/>
      <c r="M116" s="779"/>
      <c r="N116" s="779"/>
      <c r="O116" s="779"/>
      <c r="P116" s="779"/>
      <c r="Q116" s="780"/>
    </row>
    <row r="117" spans="2:17" ht="20.100000000000001" customHeight="1">
      <c r="B117" s="761"/>
      <c r="C117" s="760"/>
      <c r="D117" s="760"/>
      <c r="E117" s="762"/>
      <c r="F117" s="762"/>
      <c r="G117" s="762"/>
      <c r="H117" s="762"/>
      <c r="I117" s="763"/>
      <c r="J117" s="762"/>
      <c r="K117" s="779"/>
      <c r="L117" s="779"/>
      <c r="M117" s="779"/>
      <c r="N117" s="779"/>
      <c r="O117" s="779"/>
      <c r="P117" s="779"/>
      <c r="Q117" s="780"/>
    </row>
    <row r="118" spans="2:17" ht="20.100000000000001" customHeight="1">
      <c r="B118" s="761"/>
      <c r="C118" s="760"/>
      <c r="D118" s="760"/>
      <c r="E118" s="762"/>
      <c r="F118" s="762"/>
      <c r="G118" s="762"/>
      <c r="H118" s="762"/>
      <c r="I118" s="763"/>
      <c r="J118" s="762"/>
      <c r="K118" s="779"/>
      <c r="L118" s="779"/>
      <c r="M118" s="779"/>
      <c r="N118" s="779"/>
      <c r="O118" s="779"/>
      <c r="P118" s="779"/>
      <c r="Q118" s="780"/>
    </row>
    <row r="119" spans="2:17" ht="20.100000000000001" customHeight="1">
      <c r="B119" s="761"/>
      <c r="C119" s="760"/>
      <c r="D119" s="760"/>
      <c r="E119" s="762"/>
      <c r="F119" s="762"/>
      <c r="G119" s="762"/>
      <c r="H119" s="762"/>
      <c r="I119" s="763"/>
      <c r="J119" s="762"/>
      <c r="K119" s="779"/>
      <c r="L119" s="779"/>
      <c r="M119" s="779"/>
      <c r="N119" s="779"/>
      <c r="O119" s="779"/>
      <c r="P119" s="779"/>
      <c r="Q119" s="780"/>
    </row>
    <row r="120" spans="2:17" ht="20.100000000000001" customHeight="1">
      <c r="B120" s="761"/>
      <c r="C120" s="760"/>
      <c r="D120" s="760"/>
      <c r="E120" s="762"/>
      <c r="F120" s="762"/>
      <c r="G120" s="762"/>
      <c r="H120" s="762"/>
      <c r="I120" s="763"/>
      <c r="J120" s="762"/>
      <c r="K120" s="779"/>
      <c r="L120" s="779"/>
      <c r="M120" s="779"/>
      <c r="N120" s="779"/>
      <c r="O120" s="779"/>
      <c r="P120" s="779"/>
      <c r="Q120" s="780"/>
    </row>
    <row r="121" spans="2:17" ht="20.100000000000001" customHeight="1">
      <c r="B121" s="761"/>
      <c r="C121" s="760"/>
      <c r="D121" s="760"/>
      <c r="E121" s="762"/>
      <c r="F121" s="762"/>
      <c r="G121" s="762"/>
      <c r="H121" s="762"/>
      <c r="I121" s="763"/>
      <c r="J121" s="762"/>
      <c r="K121" s="779"/>
      <c r="L121" s="779"/>
      <c r="M121" s="779"/>
      <c r="N121" s="779"/>
      <c r="O121" s="779"/>
      <c r="P121" s="779"/>
      <c r="Q121" s="780"/>
    </row>
    <row r="122" spans="2:17" ht="20.100000000000001" customHeight="1">
      <c r="B122" s="761"/>
      <c r="C122" s="760"/>
      <c r="D122" s="760"/>
      <c r="E122" s="762"/>
      <c r="F122" s="762"/>
      <c r="G122" s="762"/>
      <c r="H122" s="762"/>
      <c r="I122" s="763"/>
      <c r="J122" s="762"/>
      <c r="K122" s="779"/>
      <c r="L122" s="779"/>
      <c r="M122" s="779"/>
      <c r="N122" s="779"/>
      <c r="O122" s="779"/>
      <c r="P122" s="779"/>
      <c r="Q122" s="780"/>
    </row>
    <row r="123" spans="2:17" ht="20.100000000000001" customHeight="1">
      <c r="B123" s="761"/>
      <c r="C123" s="760"/>
      <c r="D123" s="760"/>
      <c r="E123" s="762"/>
      <c r="F123" s="762"/>
      <c r="G123" s="762"/>
      <c r="H123" s="762"/>
      <c r="I123" s="763"/>
      <c r="J123" s="762"/>
      <c r="K123" s="779"/>
      <c r="L123" s="779"/>
      <c r="M123" s="779"/>
      <c r="N123" s="779"/>
      <c r="O123" s="779"/>
      <c r="P123" s="779"/>
      <c r="Q123" s="780"/>
    </row>
    <row r="124" spans="2:17" ht="20.100000000000001" customHeight="1">
      <c r="B124" s="761"/>
      <c r="C124" s="760"/>
      <c r="D124" s="760"/>
      <c r="E124" s="762"/>
      <c r="F124" s="762"/>
      <c r="G124" s="762"/>
      <c r="H124" s="762"/>
      <c r="I124" s="763"/>
      <c r="J124" s="762"/>
      <c r="K124" s="779"/>
      <c r="L124" s="779"/>
      <c r="M124" s="779"/>
      <c r="N124" s="779"/>
      <c r="O124" s="779"/>
      <c r="P124" s="779"/>
      <c r="Q124" s="780"/>
    </row>
    <row r="125" spans="2:17" ht="20.100000000000001" customHeight="1">
      <c r="B125" s="761"/>
      <c r="C125" s="760"/>
      <c r="D125" s="760"/>
      <c r="E125" s="762"/>
      <c r="F125" s="762"/>
      <c r="G125" s="762"/>
      <c r="H125" s="762"/>
      <c r="I125" s="763"/>
      <c r="J125" s="762"/>
      <c r="K125" s="779"/>
      <c r="L125" s="779"/>
      <c r="M125" s="779"/>
      <c r="N125" s="779"/>
      <c r="O125" s="779"/>
      <c r="P125" s="779"/>
      <c r="Q125" s="780"/>
    </row>
    <row r="126" spans="2:17" ht="20.100000000000001" customHeight="1">
      <c r="B126" s="761"/>
      <c r="C126" s="760"/>
      <c r="D126" s="760"/>
      <c r="E126" s="762"/>
      <c r="F126" s="762"/>
      <c r="G126" s="762"/>
      <c r="H126" s="762"/>
      <c r="I126" s="763"/>
      <c r="J126" s="762"/>
      <c r="K126" s="779"/>
      <c r="L126" s="779"/>
      <c r="M126" s="779"/>
      <c r="N126" s="779"/>
      <c r="O126" s="779"/>
      <c r="P126" s="779"/>
      <c r="Q126" s="780"/>
    </row>
    <row r="127" spans="2:17" ht="20.100000000000001" customHeight="1">
      <c r="B127" s="761"/>
      <c r="C127" s="760"/>
      <c r="D127" s="760"/>
      <c r="E127" s="762"/>
      <c r="F127" s="762"/>
      <c r="G127" s="762"/>
      <c r="H127" s="762"/>
      <c r="I127" s="763"/>
      <c r="J127" s="762"/>
      <c r="K127" s="779"/>
      <c r="L127" s="779"/>
      <c r="M127" s="779"/>
      <c r="N127" s="779"/>
      <c r="O127" s="779"/>
      <c r="P127" s="779"/>
      <c r="Q127" s="780"/>
    </row>
    <row r="128" spans="2:17" ht="20.100000000000001" customHeight="1">
      <c r="B128" s="761"/>
      <c r="C128" s="760"/>
      <c r="D128" s="760"/>
      <c r="E128" s="762"/>
      <c r="F128" s="762"/>
      <c r="G128" s="762"/>
      <c r="H128" s="762"/>
      <c r="I128" s="763"/>
      <c r="J128" s="762"/>
      <c r="K128" s="779"/>
      <c r="L128" s="779"/>
      <c r="M128" s="779"/>
      <c r="N128" s="779"/>
      <c r="O128" s="779"/>
      <c r="P128" s="779"/>
      <c r="Q128" s="780"/>
    </row>
    <row r="129" spans="2:17" ht="20.100000000000001" customHeight="1">
      <c r="B129" s="761"/>
      <c r="C129" s="760"/>
      <c r="D129" s="760"/>
      <c r="E129" s="762"/>
      <c r="F129" s="762"/>
      <c r="G129" s="762"/>
      <c r="H129" s="762"/>
      <c r="I129" s="763"/>
      <c r="J129" s="762"/>
      <c r="K129" s="779"/>
      <c r="L129" s="779"/>
      <c r="M129" s="779"/>
      <c r="N129" s="779"/>
      <c r="O129" s="779"/>
      <c r="P129" s="779"/>
      <c r="Q129" s="780"/>
    </row>
    <row r="130" spans="2:17" ht="20.100000000000001" customHeight="1" thickBot="1">
      <c r="B130" s="1089"/>
      <c r="C130" s="202"/>
      <c r="D130" s="202"/>
      <c r="E130" s="208"/>
      <c r="F130" s="208"/>
      <c r="G130" s="208"/>
      <c r="H130" s="208"/>
      <c r="I130" s="564"/>
      <c r="J130" s="208"/>
      <c r="K130" s="781"/>
      <c r="L130" s="781"/>
      <c r="M130" s="781"/>
      <c r="N130" s="781"/>
      <c r="O130" s="781"/>
      <c r="P130" s="781"/>
      <c r="Q130" s="782"/>
    </row>
    <row r="131" spans="2:17" ht="20.100000000000001" customHeight="1" thickTop="1"/>
  </sheetData>
  <autoFilter ref="A3:I130"/>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SETTING!$E$5:$E$58</xm:f>
          </x14:formula1>
          <xm:sqref>J4:J130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AC1386"/>
  <sheetViews>
    <sheetView zoomScale="85" zoomScaleNormal="85" workbookViewId="0">
      <selection activeCell="D28" sqref="D28"/>
    </sheetView>
  </sheetViews>
  <sheetFormatPr defaultColWidth="9.140625" defaultRowHeight="20.100000000000001" customHeight="1"/>
  <cols>
    <col min="1" max="1" width="11.85546875" style="931" bestFit="1" customWidth="1"/>
    <col min="2" max="2" width="6.5703125" style="931" customWidth="1"/>
    <col min="3" max="3" width="58" style="931" customWidth="1"/>
    <col min="4" max="4" width="7.140625" style="931" customWidth="1"/>
    <col min="5" max="5" width="56.140625" style="931" customWidth="1"/>
    <col min="6" max="7" width="9.140625" style="931"/>
    <col min="8" max="8" width="18.85546875" style="931" customWidth="1"/>
    <col min="9" max="9" width="44.42578125" style="931" bestFit="1" customWidth="1"/>
    <col min="10" max="10" width="14.140625" style="985" customWidth="1"/>
    <col min="11" max="11" width="9.140625" style="931"/>
    <col min="12" max="12" width="49.85546875" style="931" bestFit="1" customWidth="1"/>
    <col min="13" max="13" width="20.42578125" style="931" bestFit="1" customWidth="1"/>
    <col min="14" max="14" width="7.85546875" style="931" customWidth="1"/>
    <col min="15" max="15" width="5.42578125" style="947" customWidth="1"/>
    <col min="16" max="16" width="15.5703125" style="947" bestFit="1" customWidth="1"/>
    <col min="17" max="17" width="5.42578125" style="947" bestFit="1" customWidth="1"/>
    <col min="18" max="18" width="14.42578125" style="947" bestFit="1" customWidth="1"/>
    <col min="19" max="19" width="17.140625" style="931" customWidth="1"/>
    <col min="20" max="20" width="9.140625" style="931"/>
    <col min="21" max="21" width="16.140625" style="947" bestFit="1" customWidth="1"/>
    <col min="22" max="22" width="19.42578125" style="963" customWidth="1"/>
    <col min="23" max="24" width="10.42578125" style="947" customWidth="1"/>
    <col min="25" max="25" width="9.140625" style="947" customWidth="1"/>
    <col min="26" max="26" width="18.85546875" style="963" customWidth="1"/>
    <col min="27" max="27" width="23.140625" style="963" customWidth="1"/>
    <col min="28" max="29" width="10.42578125" style="947" customWidth="1"/>
    <col min="30" max="16384" width="9.140625" style="931"/>
  </cols>
  <sheetData>
    <row r="1" spans="1:29" ht="20.100000000000001" customHeight="1">
      <c r="A1" s="929">
        <v>1</v>
      </c>
      <c r="B1" s="929">
        <v>2</v>
      </c>
      <c r="C1" s="929">
        <v>3</v>
      </c>
      <c r="D1" s="929">
        <v>4</v>
      </c>
      <c r="E1" s="929">
        <v>5</v>
      </c>
      <c r="F1" s="929">
        <v>6</v>
      </c>
      <c r="G1" s="929">
        <v>7</v>
      </c>
      <c r="H1" s="929">
        <v>8</v>
      </c>
      <c r="I1" s="929">
        <v>9</v>
      </c>
      <c r="J1" s="929">
        <v>10</v>
      </c>
      <c r="K1" s="929">
        <v>11</v>
      </c>
      <c r="L1" s="929">
        <v>12</v>
      </c>
      <c r="M1" s="929">
        <v>13</v>
      </c>
      <c r="N1" s="929">
        <v>14</v>
      </c>
      <c r="O1" s="929">
        <v>15</v>
      </c>
      <c r="P1" s="929">
        <v>16</v>
      </c>
      <c r="Q1" s="929">
        <v>17</v>
      </c>
      <c r="R1" s="929">
        <v>18</v>
      </c>
      <c r="S1" s="929">
        <v>19</v>
      </c>
      <c r="T1" s="929">
        <v>20</v>
      </c>
      <c r="U1" s="929">
        <v>21</v>
      </c>
      <c r="V1" s="930">
        <v>22</v>
      </c>
      <c r="W1" s="929">
        <v>23</v>
      </c>
      <c r="X1" s="929">
        <v>24</v>
      </c>
      <c r="Y1" s="929">
        <v>25</v>
      </c>
      <c r="Z1" s="930">
        <v>26</v>
      </c>
      <c r="AA1" s="930">
        <v>27</v>
      </c>
      <c r="AB1" s="929">
        <v>28</v>
      </c>
      <c r="AC1" s="929">
        <v>29</v>
      </c>
    </row>
    <row r="2" spans="1:29" ht="20.100000000000001" customHeight="1">
      <c r="A2" s="931" t="s">
        <v>3771</v>
      </c>
      <c r="C2" s="931" t="s">
        <v>3772</v>
      </c>
      <c r="H2" s="932" t="s">
        <v>0</v>
      </c>
      <c r="I2" s="932" t="s">
        <v>2215</v>
      </c>
      <c r="J2" s="932" t="s">
        <v>3773</v>
      </c>
      <c r="L2" s="933" t="s">
        <v>0</v>
      </c>
      <c r="M2" s="933" t="s">
        <v>3774</v>
      </c>
      <c r="N2" s="933" t="s">
        <v>2</v>
      </c>
      <c r="O2" s="933"/>
      <c r="P2" s="933"/>
      <c r="Q2" s="933"/>
      <c r="R2" s="933" t="s">
        <v>3775</v>
      </c>
      <c r="S2" s="933" t="s">
        <v>3776</v>
      </c>
      <c r="U2" s="934" t="s">
        <v>3777</v>
      </c>
      <c r="V2" s="935"/>
      <c r="W2" s="934"/>
      <c r="X2" s="936" t="s">
        <v>3190</v>
      </c>
      <c r="Y2" s="937" t="s">
        <v>3778</v>
      </c>
      <c r="Z2" s="938" t="s">
        <v>3779</v>
      </c>
      <c r="AA2" s="938" t="s">
        <v>3780</v>
      </c>
      <c r="AB2" s="937" t="s">
        <v>4298</v>
      </c>
      <c r="AC2" s="937" t="s">
        <v>4297</v>
      </c>
    </row>
    <row r="3" spans="1:29" ht="20.100000000000001" customHeight="1">
      <c r="C3" s="931" t="s">
        <v>3781</v>
      </c>
      <c r="H3" s="939" t="s">
        <v>2213</v>
      </c>
      <c r="I3" s="940" t="str">
        <f>VLOOKUP(H3,R_DD!$A$8:$L$2112,4,0)</f>
        <v>Trụ thép bát giác cao 6m</v>
      </c>
      <c r="J3" s="939"/>
      <c r="L3" s="941" t="str">
        <f>VLOOKUP(M3,R_DD!$B$6:$E$2112,3,0)</f>
        <v>Cáp nhôm lõi thép AC-50/8</v>
      </c>
      <c r="M3" s="941" t="s">
        <v>295</v>
      </c>
      <c r="N3" s="941" t="str">
        <f>VLOOKUP(M3,R_DD!$B$6:$E$2112,4,0)</f>
        <v>kg</v>
      </c>
      <c r="O3" s="942">
        <v>50</v>
      </c>
      <c r="P3" s="942" t="s">
        <v>3782</v>
      </c>
      <c r="Q3" s="942"/>
      <c r="R3" s="942"/>
      <c r="S3" s="942"/>
      <c r="U3" s="943" t="s">
        <v>2294</v>
      </c>
      <c r="V3" s="944" t="str">
        <f>VLOOKUP(U3,R_DD!$B$6:$E$2112,3,0)</f>
        <v>Khóa đỡ dây cỡ dây 240</v>
      </c>
      <c r="W3" s="943" t="str">
        <f>VLOOKUP(U3,R_DD!$B$6:$E$2112,4,0)</f>
        <v>cái</v>
      </c>
      <c r="X3" s="945" t="s">
        <v>1547</v>
      </c>
      <c r="Y3" s="945" t="s">
        <v>2213</v>
      </c>
      <c r="Z3" s="946" t="str">
        <f>VLOOKUP(X3,R_DD!$B$6:$E$2112,3,0)</f>
        <v>FCO 24kV - 100A</v>
      </c>
      <c r="AA3" s="946" t="str">
        <f>VLOOKUP(Y3,R_DD!$A$1:$L$2131,4,0)</f>
        <v>Trụ thép bát giác cao 6m</v>
      </c>
      <c r="AB3" s="947" t="str">
        <f>VLOOKUP(Y3,R_DD!$A$1:$L$2131,5,0)</f>
        <v>Trụ</v>
      </c>
      <c r="AC3" s="947" t="str">
        <f>VLOOKUP(X3,R_DD!$B$6:$E$2112,4,0)</f>
        <v>cái</v>
      </c>
    </row>
    <row r="4" spans="1:29" ht="20.100000000000001" customHeight="1">
      <c r="C4" s="931" t="s">
        <v>3783</v>
      </c>
      <c r="H4" s="939" t="s">
        <v>2477</v>
      </c>
      <c r="I4" s="940" t="str">
        <f>VLOOKUP(H4,R_DD!$A$8:$L$2112,4,0)</f>
        <v>Trụ bê tông ly tâm 7.5m</v>
      </c>
      <c r="J4" s="939"/>
      <c r="L4" s="941" t="str">
        <f>VLOOKUP(M4,R_DD!$B$6:$E$2112,3,0)</f>
        <v>Cáp nhôm lõi thép AC-70/11</v>
      </c>
      <c r="M4" s="941" t="s">
        <v>297</v>
      </c>
      <c r="N4" s="941" t="str">
        <f>VLOOKUP(M4,R_DD!$B$6:$E$2112,4,0)</f>
        <v>kg</v>
      </c>
      <c r="O4" s="942">
        <v>70</v>
      </c>
      <c r="P4" s="942" t="s">
        <v>3782</v>
      </c>
      <c r="Q4" s="942"/>
      <c r="R4" s="942"/>
      <c r="S4" s="942"/>
      <c r="U4" s="943" t="s">
        <v>2295</v>
      </c>
      <c r="V4" s="944" t="str">
        <f>VLOOKUP(U4,R_DD!$B$6:$E$2112,3,0)</f>
        <v>Khóa đỡ dây cỡ dây 185</v>
      </c>
      <c r="W4" s="943" t="str">
        <f>VLOOKUP(U4,R_DD!$B$6:$E$2112,4,0)</f>
        <v>cái</v>
      </c>
      <c r="X4" s="945" t="s">
        <v>1548</v>
      </c>
      <c r="Y4" s="945" t="s">
        <v>2477</v>
      </c>
      <c r="Z4" s="946" t="str">
        <f>VLOOKUP(X4,R_DD!$B$6:$E$2112,3,0)</f>
        <v xml:space="preserve">FCO 24KV - 200A </v>
      </c>
      <c r="AA4" s="946" t="str">
        <f>VLOOKUP(Y4,R_DD!$A$1:$L$2131,4,0)</f>
        <v>Trụ bê tông ly tâm 7.5m</v>
      </c>
      <c r="AB4" s="947" t="str">
        <f>VLOOKUP(Y4,R_DD!$A$1:$L$2131,5,0)</f>
        <v>Trụ</v>
      </c>
      <c r="AC4" s="947" t="str">
        <f>VLOOKUP(X4,R_DD!$B$6:$E$2112,4,0)</f>
        <v>cái</v>
      </c>
    </row>
    <row r="5" spans="1:29" ht="20.100000000000001" customHeight="1">
      <c r="H5" s="939" t="s">
        <v>2476</v>
      </c>
      <c r="I5" s="940" t="str">
        <f>VLOOKUP(H5,R_DD!$A$8:$L$2112,4,0)</f>
        <v>Trụ bê tông ly tâm 8.4m</v>
      </c>
      <c r="J5" s="939"/>
      <c r="L5" s="941" t="str">
        <f>VLOOKUP(M5,R_DD!$B$6:$E$2112,3,0)</f>
        <v>Cáp nhôm lõi thép AC-95/16</v>
      </c>
      <c r="M5" s="941" t="s">
        <v>299</v>
      </c>
      <c r="N5" s="941" t="str">
        <f>VLOOKUP(M5,R_DD!$B$6:$E$2112,4,0)</f>
        <v>kg</v>
      </c>
      <c r="O5" s="942">
        <v>95</v>
      </c>
      <c r="P5" s="942" t="s">
        <v>3782</v>
      </c>
      <c r="Q5" s="942"/>
      <c r="R5" s="942"/>
      <c r="S5" s="942"/>
      <c r="U5" s="943" t="s">
        <v>2296</v>
      </c>
      <c r="V5" s="944" t="str">
        <f>VLOOKUP(U5,R_DD!$B$6:$E$2112,3,0)</f>
        <v>Khóa đỡ dây cỡ dây 150</v>
      </c>
      <c r="W5" s="943" t="str">
        <f>VLOOKUP(U5,R_DD!$B$6:$E$2112,4,0)</f>
        <v>cái</v>
      </c>
      <c r="X5" s="945" t="s">
        <v>1580</v>
      </c>
      <c r="Y5" s="945" t="s">
        <v>2476</v>
      </c>
      <c r="Z5" s="946" t="str">
        <f>VLOOKUP(X5,R_DD!$B$6:$E$2112,3,0)</f>
        <v>LA 18kV 10kA</v>
      </c>
      <c r="AA5" s="946" t="str">
        <f>VLOOKUP(Y5,R_DD!$A$1:$L$2131,4,0)</f>
        <v>Trụ bê tông ly tâm 8.4m</v>
      </c>
      <c r="AB5" s="947" t="str">
        <f>VLOOKUP(Y5,R_DD!$A$1:$L$2131,5,0)</f>
        <v>Trụ</v>
      </c>
      <c r="AC5" s="947" t="str">
        <f>VLOOKUP(X5,R_DD!$B$6:$E$2112,4,0)</f>
        <v>cái</v>
      </c>
    </row>
    <row r="6" spans="1:29" ht="20.100000000000001" customHeight="1">
      <c r="A6" s="948" t="s">
        <v>3784</v>
      </c>
      <c r="H6" s="939" t="s">
        <v>2478</v>
      </c>
      <c r="I6" s="940" t="str">
        <f>VLOOKUP(H6,R_DD!$A$8:$L$2112,4,0)</f>
        <v>Trụ bê tông ly tâm 10.5m</v>
      </c>
      <c r="J6" s="939"/>
      <c r="L6" s="941" t="str">
        <f>VLOOKUP(M6,R_DD!$B$6:$E$2112,3,0)</f>
        <v>Cáp nhôm lõi thép AC-120/19</v>
      </c>
      <c r="M6" s="941" t="s">
        <v>301</v>
      </c>
      <c r="N6" s="941" t="str">
        <f>VLOOKUP(M6,R_DD!$B$6:$E$2112,4,0)</f>
        <v>kg</v>
      </c>
      <c r="O6" s="942">
        <v>120</v>
      </c>
      <c r="P6" s="942" t="s">
        <v>3782</v>
      </c>
      <c r="Q6" s="942"/>
      <c r="R6" s="942"/>
      <c r="S6" s="942"/>
      <c r="U6" s="943" t="s">
        <v>2297</v>
      </c>
      <c r="V6" s="944" t="str">
        <f>VLOOKUP(U6,R_DD!$B$6:$E$2112,3,0)</f>
        <v>Khóa đỡ dây cỡ dây 120</v>
      </c>
      <c r="W6" s="943" t="str">
        <f>VLOOKUP(U6,R_DD!$B$6:$E$2112,4,0)</f>
        <v>cái</v>
      </c>
      <c r="X6" s="945" t="s">
        <v>2681</v>
      </c>
      <c r="Y6" s="945" t="s">
        <v>2478</v>
      </c>
      <c r="Z6" s="946" t="str">
        <f>VLOOKUP(X6,R_DD!$B$6:$E$2112,3,0)</f>
        <v>Recloser 24kV 630-800A</v>
      </c>
      <c r="AA6" s="946" t="str">
        <f>VLOOKUP(Y6,R_DD!$A$1:$L$2131,4,0)</f>
        <v>Trụ bê tông ly tâm 10.5m</v>
      </c>
      <c r="AB6" s="947" t="str">
        <f>VLOOKUP(Y6,R_DD!$A$1:$L$2131,5,0)</f>
        <v>Trụ</v>
      </c>
      <c r="AC6" s="947" t="str">
        <f>VLOOKUP(X6,R_DD!$B$6:$E$2112,4,0)</f>
        <v>bộ</v>
      </c>
    </row>
    <row r="7" spans="1:29" ht="20.100000000000001" customHeight="1">
      <c r="A7" s="949"/>
      <c r="H7" s="939" t="s">
        <v>2220</v>
      </c>
      <c r="I7" s="940" t="str">
        <f>VLOOKUP(H7,R_DD!$A$8:$L$2112,4,0)</f>
        <v>Trụ bê tông ly tâm 12m (TC)</v>
      </c>
      <c r="J7" s="939"/>
      <c r="L7" s="941" t="str">
        <f>VLOOKUP(M7,R_DD!$B$6:$E$2112,3,0)</f>
        <v>Cáp nhôm lõi thép AC-150/24</v>
      </c>
      <c r="M7" s="941" t="s">
        <v>303</v>
      </c>
      <c r="N7" s="941" t="str">
        <f>VLOOKUP(M7,R_DD!$B$6:$E$2112,4,0)</f>
        <v>kg</v>
      </c>
      <c r="O7" s="942">
        <v>150</v>
      </c>
      <c r="P7" s="942" t="s">
        <v>3782</v>
      </c>
      <c r="Q7" s="942"/>
      <c r="R7" s="942"/>
      <c r="S7" s="942"/>
      <c r="U7" s="943" t="s">
        <v>2298</v>
      </c>
      <c r="V7" s="944" t="str">
        <f>VLOOKUP(U7,R_DD!$B$6:$E$2112,3,0)</f>
        <v>Khóa đỡ dây cỡ dây 95</v>
      </c>
      <c r="W7" s="943" t="str">
        <f>VLOOKUP(U7,R_DD!$B$6:$E$2112,4,0)</f>
        <v>cái</v>
      </c>
      <c r="X7" s="945" t="s">
        <v>1567</v>
      </c>
      <c r="Y7" s="945" t="s">
        <v>2220</v>
      </c>
      <c r="Z7" s="946" t="str">
        <f>VLOOKUP(X7,R_DD!$B$6:$E$2112,3,0)</f>
        <v>LBS SF6 3pha 24kV 630A 12kA + bộ truyền động</v>
      </c>
      <c r="AA7" s="946" t="str">
        <f>VLOOKUP(Y7,R_DD!$A$1:$L$2131,4,0)</f>
        <v>Trụ bê tông ly tâm 12m (TC)</v>
      </c>
      <c r="AB7" s="947" t="str">
        <f>VLOOKUP(Y7,R_DD!$A$1:$L$2131,5,0)</f>
        <v>Trụ</v>
      </c>
      <c r="AC7" s="947" t="str">
        <f>VLOOKUP(X7,R_DD!$B$6:$E$2112,4,0)</f>
        <v>bộ</v>
      </c>
    </row>
    <row r="8" spans="1:29" ht="20.100000000000001" customHeight="1">
      <c r="H8" s="939" t="s">
        <v>2221</v>
      </c>
      <c r="I8" s="940" t="str">
        <f>VLOOKUP(H8,R_DD!$A$8:$L$2112,4,0)</f>
        <v>Trụ bê tông ly tâm 12m (TC + MTC)</v>
      </c>
      <c r="J8" s="939"/>
      <c r="L8" s="941" t="str">
        <f>VLOOKUP(M8,R_DD!$B$6:$E$2112,3,0)</f>
        <v>Cáp nhôm lõi thép AC-185/29</v>
      </c>
      <c r="M8" s="941" t="s">
        <v>305</v>
      </c>
      <c r="N8" s="941" t="str">
        <f>VLOOKUP(M8,R_DD!$B$6:$E$2112,4,0)</f>
        <v>kg</v>
      </c>
      <c r="O8" s="942">
        <v>185</v>
      </c>
      <c r="P8" s="942" t="s">
        <v>3782</v>
      </c>
      <c r="Q8" s="942"/>
      <c r="R8" s="942"/>
      <c r="S8" s="942"/>
      <c r="U8" s="943" t="s">
        <v>2299</v>
      </c>
      <c r="V8" s="944" t="str">
        <f>VLOOKUP(U8,R_DD!$B$6:$E$2112,3,0)</f>
        <v>Khóa đỡ dây cỡ dây 70</v>
      </c>
      <c r="W8" s="943" t="str">
        <f>VLOOKUP(U8,R_DD!$B$6:$E$2112,4,0)</f>
        <v>cái</v>
      </c>
      <c r="X8" s="945" t="s">
        <v>2682</v>
      </c>
      <c r="Y8" s="945" t="s">
        <v>2221</v>
      </c>
      <c r="Z8" s="946" t="str">
        <f>VLOOKUP(X8,R_DD!$B$6:$E$2112,3,0)</f>
        <v xml:space="preserve">DS 3P - 24KV - 630A </v>
      </c>
      <c r="AA8" s="946" t="str">
        <f>VLOOKUP(Y8,R_DD!$A$1:$L$2131,4,0)</f>
        <v>Trụ bê tông ly tâm 12m (TC + MTC)</v>
      </c>
      <c r="AB8" s="947" t="str">
        <f>VLOOKUP(Y8,R_DD!$A$1:$L$2131,5,0)</f>
        <v>Trụ</v>
      </c>
      <c r="AC8" s="947" t="str">
        <f>VLOOKUP(X8,R_DD!$B$6:$E$2112,4,0)</f>
        <v>bộ</v>
      </c>
    </row>
    <row r="9" spans="1:29" ht="20.100000000000001" customHeight="1">
      <c r="A9" s="931" t="s">
        <v>3785</v>
      </c>
      <c r="B9" s="950" t="s">
        <v>4124</v>
      </c>
      <c r="C9" s="931" t="str">
        <f>A9&amp;B9</f>
        <v>CÔNG TRÌNH: CẢI TẠO LƯỚI ĐIỆN TRUNG HẠ THẾ VÀ TBA KHU VỰC XÃ XUÂN TÂY NĂM 2017</v>
      </c>
      <c r="G9" s="951"/>
      <c r="H9" s="939" t="s">
        <v>2222</v>
      </c>
      <c r="I9" s="940" t="str">
        <f>VLOOKUP(H9,R_DD!$A$8:$L$2112,4,0)</f>
        <v>Trụ bê tông ly tâm 14m</v>
      </c>
      <c r="J9" s="939"/>
      <c r="L9" s="941" t="str">
        <f>VLOOKUP(M9,R_DD!$B$6:$E$2112,3,0)</f>
        <v>Cáp nhôm lõi thép AC-240/39</v>
      </c>
      <c r="M9" s="941" t="s">
        <v>307</v>
      </c>
      <c r="N9" s="941" t="str">
        <f>VLOOKUP(M9,R_DD!$B$6:$E$2112,4,0)</f>
        <v>kg</v>
      </c>
      <c r="O9" s="942">
        <v>240</v>
      </c>
      <c r="P9" s="942" t="s">
        <v>3782</v>
      </c>
      <c r="Q9" s="942"/>
      <c r="R9" s="942"/>
      <c r="S9" s="942"/>
      <c r="U9" s="943" t="s">
        <v>2300</v>
      </c>
      <c r="V9" s="944" t="str">
        <f>VLOOKUP(U9,R_DD!$B$6:$E$2112,3,0)</f>
        <v>Khóa đỡ dây cỡ dây 50</v>
      </c>
      <c r="W9" s="943" t="str">
        <f>VLOOKUP(U9,R_DD!$B$6:$E$2112,4,0)</f>
        <v>cái</v>
      </c>
      <c r="X9" s="945" t="s">
        <v>1684</v>
      </c>
      <c r="Y9" s="945" t="s">
        <v>2222</v>
      </c>
      <c r="Z9" s="946" t="str">
        <f>VLOOKUP(X9,R_DD!$B$6:$E$2112,3,0)</f>
        <v>MCCB 3 cực 400V-100A - 30KA</v>
      </c>
      <c r="AA9" s="946" t="str">
        <f>VLOOKUP(Y9,R_DD!$A$1:$L$2131,4,0)</f>
        <v>Trụ bê tông ly tâm 14m</v>
      </c>
      <c r="AB9" s="947" t="str">
        <f>VLOOKUP(Y9,R_DD!$A$1:$L$2131,5,0)</f>
        <v>Trụ</v>
      </c>
      <c r="AC9" s="947" t="str">
        <f>VLOOKUP(X9,R_DD!$B$6:$E$2112,4,0)</f>
        <v>cái</v>
      </c>
    </row>
    <row r="10" spans="1:29" ht="20.100000000000001" customHeight="1">
      <c r="A10" s="931" t="s">
        <v>3786</v>
      </c>
      <c r="B10" s="950"/>
      <c r="C10" s="931" t="str">
        <f>A10&amp;B10</f>
        <v xml:space="preserve">HẠNG MỤC: </v>
      </c>
      <c r="H10" s="939" t="s">
        <v>2554</v>
      </c>
      <c r="I10" s="940" t="str">
        <f>VLOOKUP(H10,R_DD!$A$8:$L$2112,4,0)</f>
        <v>Trụ bê tông ly tâm 16m</v>
      </c>
      <c r="J10" s="952"/>
      <c r="L10" s="941" t="str">
        <f>VLOOKUP(M10,R_DD!$B$6:$E$2112,3,0)</f>
        <v>Cáp 24KV AC/XLPE/PVC 50mm2</v>
      </c>
      <c r="M10" s="941" t="s">
        <v>221</v>
      </c>
      <c r="N10" s="941" t="str">
        <f>VLOOKUP(M10,R_DD!$B$6:$E$2112,4,0)</f>
        <v>mét</v>
      </c>
      <c r="O10" s="942">
        <v>50</v>
      </c>
      <c r="P10" s="942" t="s">
        <v>3787</v>
      </c>
      <c r="Q10" s="942"/>
      <c r="R10" s="942"/>
      <c r="S10" s="942"/>
      <c r="U10" s="943" t="s">
        <v>563</v>
      </c>
      <c r="V10" s="944" t="str">
        <f>VLOOKUP(U10,R_DD!$B$6:$E$2112,3,0)</f>
        <v>Khóa néo dây cỡ dây 240</v>
      </c>
      <c r="W10" s="943" t="str">
        <f>VLOOKUP(U10,R_DD!$B$6:$E$2112,4,0)</f>
        <v>cái</v>
      </c>
      <c r="X10" s="945" t="s">
        <v>1686</v>
      </c>
      <c r="Y10" s="945" t="s">
        <v>2554</v>
      </c>
      <c r="Z10" s="946" t="str">
        <f>VLOOKUP(X10,R_DD!$B$6:$E$2112,3,0)</f>
        <v>MCCB 3 cực 400V -125A - 30KA</v>
      </c>
      <c r="AA10" s="946" t="str">
        <f>VLOOKUP(Y10,R_DD!$A$1:$L$2131,4,0)</f>
        <v>Trụ bê tông ly tâm 16m</v>
      </c>
      <c r="AB10" s="947" t="str">
        <f>VLOOKUP(Y10,R_DD!$A$1:$L$2131,5,0)</f>
        <v>Trụ</v>
      </c>
      <c r="AC10" s="947" t="str">
        <f>VLOOKUP(X10,R_DD!$B$6:$E$2112,4,0)</f>
        <v>cái</v>
      </c>
    </row>
    <row r="11" spans="1:29" ht="20.100000000000001" customHeight="1">
      <c r="H11" s="939" t="s">
        <v>2555</v>
      </c>
      <c r="I11" s="940" t="str">
        <f>VLOOKUP(H11,R_DD!$A$8:$L$2112,4,0)</f>
        <v>Trụ bê tông ly tâm 18m</v>
      </c>
      <c r="J11" s="939"/>
      <c r="L11" s="941" t="str">
        <f>VLOOKUP(M11,R_DD!$B$6:$E$2112,3,0)</f>
        <v>Cáp 24KV AC/XLPE/PVC 70mm2</v>
      </c>
      <c r="M11" s="941" t="s">
        <v>2541</v>
      </c>
      <c r="N11" s="941" t="str">
        <f>VLOOKUP(M11,R_DD!$B$6:$E$2112,4,0)</f>
        <v>mét</v>
      </c>
      <c r="O11" s="942">
        <v>70</v>
      </c>
      <c r="P11" s="942" t="s">
        <v>3787</v>
      </c>
      <c r="Q11" s="942"/>
      <c r="R11" s="942"/>
      <c r="S11" s="942"/>
      <c r="U11" s="943" t="s">
        <v>561</v>
      </c>
      <c r="V11" s="944" t="str">
        <f>VLOOKUP(U11,R_DD!$B$6:$E$2112,3,0)</f>
        <v>Khóa néo dây cỡ dây 185</v>
      </c>
      <c r="W11" s="943" t="str">
        <f>VLOOKUP(U11,R_DD!$B$6:$E$2112,4,0)</f>
        <v>cái</v>
      </c>
      <c r="X11" s="945" t="s">
        <v>1688</v>
      </c>
      <c r="Y11" s="945" t="s">
        <v>2555</v>
      </c>
      <c r="Z11" s="946" t="str">
        <f>VLOOKUP(X11,R_DD!$B$6:$E$2112,3,0)</f>
        <v>MCCB 3 cực 400V -150A - 35KA</v>
      </c>
      <c r="AA11" s="946" t="str">
        <f>VLOOKUP(Y11,R_DD!$A$1:$L$2131,4,0)</f>
        <v>Trụ bê tông ly tâm 18m</v>
      </c>
      <c r="AB11" s="947" t="str">
        <f>VLOOKUP(Y11,R_DD!$A$1:$L$2131,5,0)</f>
        <v>Trụ</v>
      </c>
      <c r="AC11" s="947" t="str">
        <f>VLOOKUP(X11,R_DD!$B$6:$E$2112,4,0)</f>
        <v>cái</v>
      </c>
    </row>
    <row r="12" spans="1:29" ht="20.100000000000001" customHeight="1">
      <c r="H12" s="939" t="s">
        <v>2224</v>
      </c>
      <c r="I12" s="940" t="str">
        <f>VLOOKUP(H12,R_DD!$A$8:$L$2112,4,0)</f>
        <v>Trụ bê tông ly tâm 20m</v>
      </c>
      <c r="J12" s="939"/>
      <c r="L12" s="941" t="str">
        <f>VLOOKUP(M12,R_DD!$B$6:$E$2112,3,0)</f>
        <v>Cáp 24KV AC/XLPE/PVC 95mm2</v>
      </c>
      <c r="M12" s="941" t="s">
        <v>2542</v>
      </c>
      <c r="N12" s="941" t="str">
        <f>VLOOKUP(M12,R_DD!$B$6:$E$2112,4,0)</f>
        <v>mét</v>
      </c>
      <c r="O12" s="942">
        <v>95</v>
      </c>
      <c r="P12" s="942" t="s">
        <v>3787</v>
      </c>
      <c r="Q12" s="942"/>
      <c r="R12" s="942"/>
      <c r="S12" s="942"/>
      <c r="U12" s="943" t="s">
        <v>559</v>
      </c>
      <c r="V12" s="944" t="str">
        <f>VLOOKUP(U12,R_DD!$B$6:$E$2112,3,0)</f>
        <v>Khóa néo dây cỡ dây 150</v>
      </c>
      <c r="W12" s="943" t="str">
        <f>VLOOKUP(U12,R_DD!$B$6:$E$2112,4,0)</f>
        <v>cái</v>
      </c>
      <c r="X12" s="945" t="s">
        <v>1690</v>
      </c>
      <c r="Y12" s="945" t="s">
        <v>2224</v>
      </c>
      <c r="Z12" s="946" t="str">
        <f>VLOOKUP(X12,R_DD!$B$6:$E$2112,3,0)</f>
        <v>MCCB 3 cực 400V -200A - 35KA</v>
      </c>
      <c r="AA12" s="946" t="str">
        <f>VLOOKUP(Y12,R_DD!$A$1:$L$2131,4,0)</f>
        <v>Trụ bê tông ly tâm 20m</v>
      </c>
      <c r="AB12" s="947" t="str">
        <f>VLOOKUP(Y12,R_DD!$A$1:$L$2131,5,0)</f>
        <v>Trụ</v>
      </c>
      <c r="AC12" s="947" t="str">
        <f>VLOOKUP(X12,R_DD!$B$6:$E$2112,4,0)</f>
        <v>cái</v>
      </c>
    </row>
    <row r="13" spans="1:29" ht="20.100000000000001" customHeight="1">
      <c r="A13" s="953" t="s">
        <v>2606</v>
      </c>
      <c r="B13" s="953" t="s">
        <v>3788</v>
      </c>
      <c r="C13" s="953" t="s">
        <v>3789</v>
      </c>
      <c r="D13" s="953" t="s">
        <v>3790</v>
      </c>
      <c r="E13" s="953" t="s">
        <v>3791</v>
      </c>
      <c r="H13" s="939" t="s">
        <v>2144</v>
      </c>
      <c r="I13" s="940" t="str">
        <f>VLOOKUP(H13,R_DD!$A$8:$L$2112,4,0)</f>
        <v>Móng M7</v>
      </c>
      <c r="J13" s="939"/>
      <c r="L13" s="941" t="str">
        <f>VLOOKUP(M13,R_DD!$B$6:$E$2112,3,0)</f>
        <v>Cáp 24KV AC/XLPE/PVC 120mm2</v>
      </c>
      <c r="M13" s="941" t="s">
        <v>2543</v>
      </c>
      <c r="N13" s="941" t="str">
        <f>VLOOKUP(M13,R_DD!$B$6:$E$2112,4,0)</f>
        <v>mét</v>
      </c>
      <c r="O13" s="942">
        <v>120</v>
      </c>
      <c r="P13" s="942" t="s">
        <v>3787</v>
      </c>
      <c r="Q13" s="942"/>
      <c r="R13" s="942"/>
      <c r="S13" s="942"/>
      <c r="U13" s="943" t="s">
        <v>557</v>
      </c>
      <c r="V13" s="944" t="str">
        <f>VLOOKUP(U13,R_DD!$B$6:$E$2112,3,0)</f>
        <v>Khóa néo dây cỡ dây 120</v>
      </c>
      <c r="W13" s="943" t="str">
        <f>VLOOKUP(U13,R_DD!$B$6:$E$2112,4,0)</f>
        <v>cái</v>
      </c>
      <c r="X13" s="945" t="s">
        <v>1692</v>
      </c>
      <c r="Y13" s="945" t="s">
        <v>2144</v>
      </c>
      <c r="Z13" s="946" t="str">
        <f>VLOOKUP(X13,R_DD!$B$6:$E$2112,3,0)</f>
        <v xml:space="preserve">MCCB 3 cực 400V -250A - 35KA </v>
      </c>
      <c r="AA13" s="946" t="str">
        <f>VLOOKUP(Y13,R_DD!$A$1:$L$2131,4,0)</f>
        <v>Móng M7</v>
      </c>
      <c r="AB13" s="947" t="str">
        <f>VLOOKUP(Y13,R_DD!$A$1:$L$2131,5,0)</f>
        <v>Móng</v>
      </c>
      <c r="AC13" s="947" t="str">
        <f>VLOOKUP(X13,R_DD!$B$6:$E$2112,4,0)</f>
        <v>cái</v>
      </c>
    </row>
    <row r="14" spans="1:29" ht="20.100000000000001" customHeight="1">
      <c r="A14" s="954" t="s">
        <v>3792</v>
      </c>
      <c r="B14" s="955">
        <f>IF(D14&gt;0,COUNTIF($D$14:D14,"&gt;0"),B13)</f>
        <v>1</v>
      </c>
      <c r="C14" s="954" t="s">
        <v>3793</v>
      </c>
      <c r="D14" s="955">
        <v>1</v>
      </c>
      <c r="E14" s="956" t="str">
        <f>A14&amp;B14&amp;": "&amp;C14</f>
        <v>BẢNG 1: TỔNG DỰ TOÁN</v>
      </c>
      <c r="H14" s="939" t="s">
        <v>2147</v>
      </c>
      <c r="I14" s="940" t="str">
        <f>VLOOKUP(H14,R_DD!$A$8:$L$2112,4,0)</f>
        <v>Móng M7a</v>
      </c>
      <c r="J14" s="939"/>
      <c r="L14" s="941" t="str">
        <f>VLOOKUP(M14,R_DD!$B$6:$E$2112,3,0)</f>
        <v>Cáp 24KV AC/XLPE/PVC 150mm2</v>
      </c>
      <c r="M14" s="941" t="s">
        <v>2544</v>
      </c>
      <c r="N14" s="941" t="str">
        <f>VLOOKUP(M14,R_DD!$B$6:$E$2112,4,0)</f>
        <v>mét</v>
      </c>
      <c r="O14" s="942">
        <v>150</v>
      </c>
      <c r="P14" s="942" t="s">
        <v>3787</v>
      </c>
      <c r="Q14" s="942"/>
      <c r="R14" s="942"/>
      <c r="S14" s="942"/>
      <c r="U14" s="943" t="s">
        <v>555</v>
      </c>
      <c r="V14" s="944" t="str">
        <f>VLOOKUP(U14,R_DD!$B$6:$E$2112,3,0)</f>
        <v>Khóa néo dây cỡ dây 95</v>
      </c>
      <c r="W14" s="943" t="str">
        <f>VLOOKUP(U14,R_DD!$B$6:$E$2112,4,0)</f>
        <v>cái</v>
      </c>
      <c r="X14" s="945" t="s">
        <v>1694</v>
      </c>
      <c r="Y14" s="945" t="s">
        <v>2147</v>
      </c>
      <c r="Z14" s="946" t="str">
        <f>VLOOKUP(X14,R_DD!$B$6:$E$2112,3,0)</f>
        <v>MCCB 3 cực 400V -400A - 35KA</v>
      </c>
      <c r="AA14" s="946" t="str">
        <f>VLOOKUP(Y14,R_DD!$A$1:$L$2131,4,0)</f>
        <v>Móng M7a</v>
      </c>
      <c r="AB14" s="947" t="str">
        <f>VLOOKUP(Y14,R_DD!$A$1:$L$2131,5,0)</f>
        <v>Móng</v>
      </c>
      <c r="AC14" s="947" t="str">
        <f>VLOOKUP(X14,R_DD!$B$6:$E$2112,4,0)</f>
        <v>cái</v>
      </c>
    </row>
    <row r="15" spans="1:29" ht="20.100000000000001" customHeight="1">
      <c r="A15" s="954" t="s">
        <v>3792</v>
      </c>
      <c r="B15" s="943">
        <f>IF(D15&gt;0,COUNTIF($D$14:D15,"&gt;0"),B14)</f>
        <v>2</v>
      </c>
      <c r="C15" s="957" t="s">
        <v>3794</v>
      </c>
      <c r="D15" s="943">
        <v>1</v>
      </c>
      <c r="E15" s="958" t="str">
        <f t="shared" ref="E15:E28" si="0">A15&amp;B15&amp;": "&amp;C15</f>
        <v>BẢNG 2: TỔNG HỢP CHI PHÍ XÂY DỰNG, THIẾT BỊ, QUẢN LÝ DỰ ÁN, TƯ VẤN VÀ CHI PHÍ KHÁC</v>
      </c>
      <c r="H15" s="939" t="s">
        <v>2547</v>
      </c>
      <c r="I15" s="940" t="str">
        <f>VLOOKUP(H15,R_DD!$A$8:$L$2112,4,0)</f>
        <v>Móng M7-BT</v>
      </c>
      <c r="J15" s="939"/>
      <c r="L15" s="941" t="str">
        <f>VLOOKUP(M15,R_DD!$B$6:$E$2112,3,0)</f>
        <v>Cáp 24KV AC/XLPE/PVC 185mm2</v>
      </c>
      <c r="M15" s="941" t="s">
        <v>2545</v>
      </c>
      <c r="N15" s="941" t="str">
        <f>VLOOKUP(M15,R_DD!$B$6:$E$2112,4,0)</f>
        <v>mét</v>
      </c>
      <c r="O15" s="942">
        <v>185</v>
      </c>
      <c r="P15" s="942" t="s">
        <v>3787</v>
      </c>
      <c r="Q15" s="942"/>
      <c r="R15" s="942"/>
      <c r="S15" s="942"/>
      <c r="U15" s="943" t="s">
        <v>553</v>
      </c>
      <c r="V15" s="944" t="str">
        <f>VLOOKUP(U15,R_DD!$B$6:$E$2112,3,0)</f>
        <v>Khóa néo dây cỡ dây 70</v>
      </c>
      <c r="W15" s="943" t="str">
        <f>VLOOKUP(U15,R_DD!$B$6:$E$2112,4,0)</f>
        <v>cái</v>
      </c>
      <c r="X15" s="945" t="s">
        <v>2683</v>
      </c>
      <c r="Y15" s="945" t="s">
        <v>2547</v>
      </c>
      <c r="Z15" s="946" t="str">
        <f>VLOOKUP(X15,R_DD!$B$6:$E$2112,3,0)</f>
        <v>Dây chảy 3K</v>
      </c>
      <c r="AA15" s="946" t="str">
        <f>VLOOKUP(Y15,R_DD!$A$1:$L$2131,4,0)</f>
        <v>Móng M7-BT</v>
      </c>
      <c r="AB15" s="947" t="str">
        <f>VLOOKUP(Y15,R_DD!$A$1:$L$2131,5,0)</f>
        <v>Móng</v>
      </c>
      <c r="AC15" s="947" t="str">
        <f>VLOOKUP(X15,R_DD!$B$6:$E$2112,4,0)</f>
        <v>sợi</v>
      </c>
    </row>
    <row r="16" spans="1:29" ht="20.100000000000001" customHeight="1">
      <c r="A16" s="954" t="s">
        <v>3792</v>
      </c>
      <c r="B16" s="943">
        <f>IF(D16&gt;0,COUNTIF($D$14:D16,"&gt;0"),B15)</f>
        <v>3</v>
      </c>
      <c r="C16" s="957" t="s">
        <v>3795</v>
      </c>
      <c r="D16" s="943">
        <v>1</v>
      </c>
      <c r="E16" s="958" t="str">
        <f t="shared" si="0"/>
        <v>BẢNG 3: DỰ TOÁN CHI PHÍ XÂY DỰNG CÔNG TRÌNH</v>
      </c>
      <c r="H16" s="939" t="s">
        <v>2548</v>
      </c>
      <c r="I16" s="940" t="str">
        <f>VLOOKUP(H16,R_DD!$A$8:$L$2112,4,0)</f>
        <v>Móng M7-2BT</v>
      </c>
      <c r="J16" s="939"/>
      <c r="L16" s="941" t="str">
        <f>VLOOKUP(M16,R_DD!$B$6:$E$2112,3,0)</f>
        <v>Cáp 24KV AC/XLPE/PVC 240mm2</v>
      </c>
      <c r="M16" s="941" t="s">
        <v>2546</v>
      </c>
      <c r="N16" s="941" t="str">
        <f>VLOOKUP(M16,R_DD!$B$6:$E$2112,4,0)</f>
        <v>mét</v>
      </c>
      <c r="O16" s="942">
        <v>240</v>
      </c>
      <c r="P16" s="942" t="s">
        <v>3787</v>
      </c>
      <c r="Q16" s="942"/>
      <c r="R16" s="942"/>
      <c r="S16" s="942"/>
      <c r="U16" s="943" t="s">
        <v>552</v>
      </c>
      <c r="V16" s="944" t="str">
        <f>VLOOKUP(U16,R_DD!$B$6:$E$2112,3,0)</f>
        <v>Khóa néo dây cỡ dây 50 (5U)</v>
      </c>
      <c r="W16" s="943" t="str">
        <f>VLOOKUP(U16,R_DD!$B$6:$E$2112,4,0)</f>
        <v>cái</v>
      </c>
      <c r="X16" s="945" t="s">
        <v>2684</v>
      </c>
      <c r="Y16" s="945" t="s">
        <v>2548</v>
      </c>
      <c r="Z16" s="946" t="str">
        <f>VLOOKUP(X16,R_DD!$B$6:$E$2112,3,0)</f>
        <v>Dây chảy 6K</v>
      </c>
      <c r="AA16" s="946" t="str">
        <f>VLOOKUP(Y16,R_DD!$A$1:$L$2131,4,0)</f>
        <v>Móng M7-2BT</v>
      </c>
      <c r="AB16" s="947" t="str">
        <f>VLOOKUP(Y16,R_DD!$A$1:$L$2131,5,0)</f>
        <v>Móng</v>
      </c>
      <c r="AC16" s="947" t="str">
        <f>VLOOKUP(X16,R_DD!$B$6:$E$2112,4,0)</f>
        <v>Sợi</v>
      </c>
    </row>
    <row r="17" spans="1:29" ht="20.100000000000001" customHeight="1">
      <c r="A17" s="954" t="s">
        <v>3792</v>
      </c>
      <c r="B17" s="943" t="e">
        <f ca="1">IF(D17&gt;0,COUNTIF($D$14:D17,"&gt;0"),B16)</f>
        <v>#REF!</v>
      </c>
      <c r="C17" s="957" t="s">
        <v>3796</v>
      </c>
      <c r="D17" s="943" t="e">
        <f ca="1">IF((gt_vl1+gt_nc1+gt_mtc1)&gt;0,1,0)</f>
        <v>#REF!</v>
      </c>
      <c r="E17" s="958" t="e">
        <f t="shared" ca="1" si="0"/>
        <v>#REF!</v>
      </c>
      <c r="H17" s="940" t="s">
        <v>2154</v>
      </c>
      <c r="I17" s="940" t="str">
        <f>VLOOKUP(H17,R_DD!$A$8:$L$2112,4,0)</f>
        <v>Móng M8</v>
      </c>
      <c r="J17" s="939"/>
      <c r="L17" s="941" t="str">
        <f>VLOOKUP(M17,R_DD!$B$6:$E$2112,3,0)</f>
        <v>Cáp 24KV C/XLPE/PVC 50mm2</v>
      </c>
      <c r="M17" s="941" t="s">
        <v>201</v>
      </c>
      <c r="N17" s="941" t="str">
        <f>VLOOKUP(M17,R_DD!$B$6:$E$2112,4,0)</f>
        <v>mét</v>
      </c>
      <c r="O17" s="942">
        <v>50</v>
      </c>
      <c r="P17" s="942" t="s">
        <v>3797</v>
      </c>
      <c r="Q17" s="942"/>
      <c r="R17" s="942"/>
      <c r="S17" s="942"/>
      <c r="U17" s="943" t="s">
        <v>2301</v>
      </c>
      <c r="V17" s="944" t="str">
        <f>VLOOKUP(U17,R_DD!$B$6:$E$2112,3,0)</f>
        <v>Kẹp 2 rãnh (APC) cỡ dây 50mm2</v>
      </c>
      <c r="W17" s="943" t="str">
        <f>VLOOKUP(U17,R_DD!$B$6:$E$2112,4,0)</f>
        <v>cái</v>
      </c>
      <c r="X17" s="945" t="s">
        <v>2685</v>
      </c>
      <c r="Y17" s="945" t="s">
        <v>2154</v>
      </c>
      <c r="Z17" s="946" t="str">
        <f>VLOOKUP(X17,R_DD!$B$6:$E$2112,3,0)</f>
        <v>Dây chảy 8K</v>
      </c>
      <c r="AA17" s="946" t="str">
        <f>VLOOKUP(Y17,R_DD!$A$1:$L$2131,4,0)</f>
        <v>Móng M8</v>
      </c>
      <c r="AB17" s="947" t="str">
        <f>VLOOKUP(Y17,R_DD!$A$1:$L$2131,5,0)</f>
        <v>Móng</v>
      </c>
      <c r="AC17" s="947" t="str">
        <f>VLOOKUP(X17,R_DD!$B$6:$E$2112,4,0)</f>
        <v>Sợi</v>
      </c>
    </row>
    <row r="18" spans="1:29" ht="20.100000000000001" customHeight="1">
      <c r="A18" s="954" t="s">
        <v>3792</v>
      </c>
      <c r="B18" s="943" t="e">
        <f ca="1">IF(D18&gt;0,COUNTIF($D$14:D18,"&gt;0"),B17)</f>
        <v>#REF!</v>
      </c>
      <c r="C18" s="957" t="s">
        <v>3798</v>
      </c>
      <c r="D18" s="943" t="e">
        <f ca="1">D17</f>
        <v>#REF!</v>
      </c>
      <c r="E18" s="958" t="e">
        <f t="shared" ca="1" si="0"/>
        <v>#REF!</v>
      </c>
      <c r="H18" s="939" t="s">
        <v>2156</v>
      </c>
      <c r="I18" s="940" t="str">
        <f>VLOOKUP(H18,R_DD!$A$8:$L$2112,4,0)</f>
        <v>Móng M8a</v>
      </c>
      <c r="J18" s="939"/>
      <c r="L18" s="941" t="str">
        <f>VLOOKUP(M18,R_DD!$B$6:$E$2112,3,0)</f>
        <v>Cáp 24KV C/XLPE/PVC 70mm2</v>
      </c>
      <c r="M18" s="941" t="s">
        <v>203</v>
      </c>
      <c r="N18" s="941" t="str">
        <f>VLOOKUP(M18,R_DD!$B$6:$E$2112,4,0)</f>
        <v>mét</v>
      </c>
      <c r="O18" s="942">
        <v>70</v>
      </c>
      <c r="P18" s="942" t="s">
        <v>3797</v>
      </c>
      <c r="Q18" s="942"/>
      <c r="R18" s="942"/>
      <c r="S18" s="942"/>
      <c r="U18" s="943" t="s">
        <v>2302</v>
      </c>
      <c r="V18" s="944" t="str">
        <f>VLOOKUP(U18,R_DD!$B$6:$E$2112,3,0)</f>
        <v>Kẹp 2 rãnh (APC) cỡ dây 70mm2</v>
      </c>
      <c r="W18" s="943" t="str">
        <f>VLOOKUP(U18,R_DD!$B$6:$E$2112,4,0)</f>
        <v>cái</v>
      </c>
      <c r="X18" s="945" t="s">
        <v>2686</v>
      </c>
      <c r="Y18" s="945" t="s">
        <v>2156</v>
      </c>
      <c r="Z18" s="946" t="str">
        <f>VLOOKUP(X18,R_DD!$B$6:$E$2112,3,0)</f>
        <v>Dây chảy 10K</v>
      </c>
      <c r="AA18" s="946" t="str">
        <f>VLOOKUP(Y18,R_DD!$A$1:$L$2131,4,0)</f>
        <v>Móng M8a</v>
      </c>
      <c r="AB18" s="947" t="str">
        <f>VLOOKUP(Y18,R_DD!$A$1:$L$2131,5,0)</f>
        <v>Móng</v>
      </c>
      <c r="AC18" s="947" t="str">
        <f>VLOOKUP(X18,R_DD!$B$6:$E$2112,4,0)</f>
        <v>Sợi</v>
      </c>
    </row>
    <row r="19" spans="1:29" ht="20.100000000000001" customHeight="1">
      <c r="A19" s="954" t="s">
        <v>3792</v>
      </c>
      <c r="B19" s="943" t="e">
        <f ca="1">IF(D19&gt;0,COUNTIF($D$14:D19,"&gt;0"),B18)</f>
        <v>#REF!</v>
      </c>
      <c r="C19" s="957" t="s">
        <v>3799</v>
      </c>
      <c r="D19" s="943">
        <f>IF((cttba_yesno)&gt;0,1,0)</f>
        <v>0</v>
      </c>
      <c r="E19" s="958" t="e">
        <f t="shared" ca="1" si="0"/>
        <v>#REF!</v>
      </c>
      <c r="H19" s="939" t="s">
        <v>2339</v>
      </c>
      <c r="I19" s="940" t="str">
        <f>VLOOKUP(H19,R_DD!$A$8:$L$2112,4,0)</f>
        <v>Móng bê tông trụ đơn 8,4m</v>
      </c>
      <c r="J19" s="939"/>
      <c r="L19" s="941" t="str">
        <f>VLOOKUP(M19,R_DD!$B$6:$E$2112,3,0)</f>
        <v>Cáp 24KV C/XLPE/PVC 95mm2</v>
      </c>
      <c r="M19" s="941" t="s">
        <v>205</v>
      </c>
      <c r="N19" s="941" t="str">
        <f>VLOOKUP(M19,R_DD!$B$6:$E$2112,4,0)</f>
        <v>mét</v>
      </c>
      <c r="O19" s="942">
        <v>95</v>
      </c>
      <c r="P19" s="942" t="s">
        <v>3797</v>
      </c>
      <c r="Q19" s="942"/>
      <c r="R19" s="942"/>
      <c r="S19" s="942"/>
      <c r="U19" s="943" t="s">
        <v>2303</v>
      </c>
      <c r="V19" s="944" t="str">
        <f>VLOOKUP(U19,R_DD!$B$6:$E$2112,3,0)</f>
        <v>Kẹp 2 rãnh (APC) cỡ dây 95mm2</v>
      </c>
      <c r="W19" s="943" t="str">
        <f>VLOOKUP(U19,R_DD!$B$6:$E$2112,4,0)</f>
        <v>cái</v>
      </c>
      <c r="X19" s="945" t="s">
        <v>2687</v>
      </c>
      <c r="Y19" s="945" t="s">
        <v>2339</v>
      </c>
      <c r="Z19" s="946" t="str">
        <f>VLOOKUP(X19,R_DD!$B$6:$E$2112,3,0)</f>
        <v>Dây chảy 15K</v>
      </c>
      <c r="AA19" s="946" t="str">
        <f>VLOOKUP(Y19,R_DD!$A$1:$L$2131,4,0)</f>
        <v>Móng bê tông trụ đơn 8,4m</v>
      </c>
      <c r="AB19" s="947" t="str">
        <f>VLOOKUP(Y19,R_DD!$A$1:$L$2131,5,0)</f>
        <v>Móng</v>
      </c>
      <c r="AC19" s="947" t="str">
        <f>VLOOKUP(X19,R_DD!$B$6:$E$2112,4,0)</f>
        <v>Sợi</v>
      </c>
    </row>
    <row r="20" spans="1:29" ht="20.100000000000001" customHeight="1">
      <c r="A20" s="954" t="s">
        <v>3792</v>
      </c>
      <c r="B20" s="943">
        <f ca="1">IF(D20&gt;0,COUNTIF($D$14:D20,"&gt;0"),B19)</f>
        <v>4</v>
      </c>
      <c r="C20" s="957" t="s">
        <v>3800</v>
      </c>
      <c r="D20" s="943">
        <f ca="1">IF((cttl_ncdd1+cttl_nctba1)&gt;0,1,0)</f>
        <v>1</v>
      </c>
      <c r="E20" s="958" t="str">
        <f t="shared" ca="1" si="0"/>
        <v>BẢNG 4: CHI PHÍ NHÂN CÔNG, MÁY THI CÔNG THÁO LẮP</v>
      </c>
      <c r="H20" s="939" t="s">
        <v>2340</v>
      </c>
      <c r="I20" s="940" t="str">
        <f>VLOOKUP(H20,R_DD!$A$8:$L$2112,4,0)</f>
        <v>Móng bê tông trụ đôi 8,4m</v>
      </c>
      <c r="J20" s="939"/>
      <c r="L20" s="941" t="str">
        <f>VLOOKUP(M20,R_DD!$B$6:$E$2112,3,0)</f>
        <v>Cáp 24KV C/XLPE/PVC 120mm2</v>
      </c>
      <c r="M20" s="941" t="s">
        <v>207</v>
      </c>
      <c r="N20" s="941" t="str">
        <f>VLOOKUP(M20,R_DD!$B$6:$E$2112,4,0)</f>
        <v>mét</v>
      </c>
      <c r="O20" s="942">
        <v>120</v>
      </c>
      <c r="P20" s="942" t="s">
        <v>3797</v>
      </c>
      <c r="Q20" s="942"/>
      <c r="R20" s="942"/>
      <c r="S20" s="942"/>
      <c r="U20" s="943" t="s">
        <v>4834</v>
      </c>
      <c r="V20" s="944" t="str">
        <f>VLOOKUP(U20,R_DD!$B$6:$E$2112,3,0)</f>
        <v>Kẹp 2 rãnh (APC) cỡ dây 120mm2</v>
      </c>
      <c r="W20" s="943" t="str">
        <f>VLOOKUP(U20,R_DD!$B$6:$E$2112,4,0)</f>
        <v>cái</v>
      </c>
      <c r="X20" s="945" t="s">
        <v>2688</v>
      </c>
      <c r="Y20" s="945" t="s">
        <v>2340</v>
      </c>
      <c r="Z20" s="946" t="str">
        <f>VLOOKUP(X20,R_DD!$B$6:$E$2112,3,0)</f>
        <v>Dây chảy 20K</v>
      </c>
      <c r="AA20" s="946" t="str">
        <f>VLOOKUP(Y20,R_DD!$A$1:$L$2131,4,0)</f>
        <v>Móng bê tông trụ đôi 8,4m</v>
      </c>
      <c r="AB20" s="947" t="str">
        <f>VLOOKUP(Y20,R_DD!$A$1:$L$2131,5,0)</f>
        <v>Móng</v>
      </c>
      <c r="AC20" s="947" t="str">
        <f>VLOOKUP(X20,R_DD!$B$6:$E$2112,4,0)</f>
        <v>Sợi</v>
      </c>
    </row>
    <row r="21" spans="1:29" ht="20.100000000000001" customHeight="1">
      <c r="A21" s="954" t="s">
        <v>3792</v>
      </c>
      <c r="B21" s="943">
        <f ca="1">IF(D21&gt;0,COUNTIF($D$14:D21,"&gt;0"),B20)</f>
        <v>4</v>
      </c>
      <c r="C21" s="957" t="s">
        <v>3801</v>
      </c>
      <c r="D21" s="943">
        <f ca="1">IF((ldtb_ldtbtba1+ldtb_ldtbdd1)&gt;0,1,0)</f>
        <v>0</v>
      </c>
      <c r="E21" s="958" t="str">
        <f t="shared" ca="1" si="0"/>
        <v>BẢNG 4: TỔNG HỢP CHI PHÍ LẮP ĐẶT THIẾT BỊ</v>
      </c>
      <c r="H21" s="939" t="s">
        <v>2161</v>
      </c>
      <c r="I21" s="940" t="str">
        <f>VLOOKUP(H21,R_DD!$A$8:$L$2112,4,0)</f>
        <v>Móng M10</v>
      </c>
      <c r="J21" s="939"/>
      <c r="L21" s="941" t="str">
        <f>VLOOKUP(M21,R_DD!$B$6:$E$2112,3,0)</f>
        <v>Cáp 24KV C/XLPE/PVC 150mm2</v>
      </c>
      <c r="M21" s="941" t="s">
        <v>209</v>
      </c>
      <c r="N21" s="941" t="str">
        <f>VLOOKUP(M21,R_DD!$B$6:$E$2112,4,0)</f>
        <v>mét</v>
      </c>
      <c r="O21" s="942">
        <v>150</v>
      </c>
      <c r="P21" s="942" t="s">
        <v>3797</v>
      </c>
      <c r="Q21" s="942"/>
      <c r="R21" s="942"/>
      <c r="S21" s="942"/>
      <c r="U21" s="943" t="s">
        <v>4835</v>
      </c>
      <c r="V21" s="944" t="str">
        <f>VLOOKUP(U21,R_DD!$B$6:$E$2112,3,0)</f>
        <v>Kẹp 2 rãnh (APC) cỡ dây 150mm2</v>
      </c>
      <c r="W21" s="943" t="str">
        <f>VLOOKUP(U21,R_DD!$B$6:$E$2112,4,0)</f>
        <v>cái</v>
      </c>
      <c r="X21" s="945" t="s">
        <v>2689</v>
      </c>
      <c r="Y21" s="945" t="s">
        <v>2161</v>
      </c>
      <c r="Z21" s="946" t="str">
        <f>VLOOKUP(X21,R_DD!$B$6:$E$2112,3,0)</f>
        <v>Dây chảy 30K</v>
      </c>
      <c r="AA21" s="946" t="str">
        <f>VLOOKUP(Y21,R_DD!$A$1:$L$2131,4,0)</f>
        <v>Móng M10</v>
      </c>
      <c r="AB21" s="947" t="str">
        <f>VLOOKUP(Y21,R_DD!$A$1:$L$2131,5,0)</f>
        <v>Móng</v>
      </c>
      <c r="AC21" s="947" t="str">
        <f>VLOOKUP(X21,R_DD!$B$6:$E$2112,4,0)</f>
        <v>Sợi</v>
      </c>
    </row>
    <row r="22" spans="1:29" ht="20.100000000000001" customHeight="1">
      <c r="A22" s="954" t="s">
        <v>3792</v>
      </c>
      <c r="B22" s="943">
        <f ca="1">IF(D22&gt;0,COUNTIF($D$14:D22,"&gt;0"),B21)</f>
        <v>4</v>
      </c>
      <c r="C22" s="957" t="s">
        <v>3802</v>
      </c>
      <c r="D22" s="943">
        <f ca="1">IF(tnhc_nctntba1&gt;0,1,0)</f>
        <v>0</v>
      </c>
      <c r="E22" s="958" t="str">
        <f t="shared" ca="1" si="0"/>
        <v>BẢNG 4: TỔNG HỢP CHI PHÍ THỬ NGHIỆM HIỆU CHỈNH</v>
      </c>
      <c r="H22" s="939" t="s">
        <v>2163</v>
      </c>
      <c r="I22" s="940" t="str">
        <f>VLOOKUP(H22,R_DD!$A$8:$L$2112,4,0)</f>
        <v xml:space="preserve">Móng M10a </v>
      </c>
      <c r="J22" s="939"/>
      <c r="L22" s="941" t="str">
        <f>VLOOKUP(M22,R_DD!$B$6:$E$2112,3,0)</f>
        <v>Cáp 24KV C/XLPE/PVC 185mm2</v>
      </c>
      <c r="M22" s="941" t="s">
        <v>211</v>
      </c>
      <c r="N22" s="941" t="str">
        <f>VLOOKUP(M22,R_DD!$B$6:$E$2112,4,0)</f>
        <v>mét</v>
      </c>
      <c r="O22" s="942">
        <v>185</v>
      </c>
      <c r="P22" s="942" t="s">
        <v>3797</v>
      </c>
      <c r="Q22" s="942"/>
      <c r="R22" s="942"/>
      <c r="S22" s="942"/>
      <c r="U22" s="943" t="s">
        <v>2208</v>
      </c>
      <c r="V22" s="944" t="str">
        <f>VLOOKUP(U22,R_DD!$B$6:$E$2112,3,0)</f>
        <v>Kẹp ép WR cỡ dây 50mm2</v>
      </c>
      <c r="W22" s="943" t="str">
        <f>VLOOKUP(U22,R_DD!$B$6:$E$2112,4,0)</f>
        <v>cái</v>
      </c>
      <c r="X22" s="945" t="s">
        <v>2690</v>
      </c>
      <c r="Y22" s="945" t="s">
        <v>2163</v>
      </c>
      <c r="Z22" s="946" t="str">
        <f>VLOOKUP(X22,R_DD!$B$6:$E$2112,3,0)</f>
        <v>Dây chảy 40K</v>
      </c>
      <c r="AA22" s="946" t="str">
        <f>VLOOKUP(Y22,R_DD!$A$1:$L$2131,4,0)</f>
        <v xml:space="preserve">Móng M10a </v>
      </c>
      <c r="AB22" s="947" t="str">
        <f>VLOOKUP(Y22,R_DD!$A$1:$L$2131,5,0)</f>
        <v>Móng</v>
      </c>
      <c r="AC22" s="947" t="str">
        <f>VLOOKUP(X22,R_DD!$B$6:$E$2112,4,0)</f>
        <v>Sợi</v>
      </c>
    </row>
    <row r="23" spans="1:29" ht="20.100000000000001" customHeight="1">
      <c r="A23" s="954" t="s">
        <v>3792</v>
      </c>
      <c r="B23" s="943">
        <f ca="1">IF(D23&gt;0,COUNTIF($D$14:D23,"&gt;0"),B22)</f>
        <v>4</v>
      </c>
      <c r="C23" s="957" t="s">
        <v>3803</v>
      </c>
      <c r="D23" s="943">
        <f ca="1">D22</f>
        <v>0</v>
      </c>
      <c r="E23" s="958" t="str">
        <f t="shared" ca="1" si="0"/>
        <v>BẢNG 4: KHỐI LƯỢNG CHI TIẾT THỬ NGHIỆM HIỆU CHỈNH</v>
      </c>
      <c r="H23" s="939" t="s">
        <v>2341</v>
      </c>
      <c r="I23" s="940" t="str">
        <f>VLOOKUP(H23,R_DD!$A$8:$L$2112,4,0)</f>
        <v>Móng bê tông đơn trụ 10,5m</v>
      </c>
      <c r="J23" s="939"/>
      <c r="L23" s="941" t="str">
        <f>VLOOKUP(M23,R_DD!$B$6:$E$2112,3,0)</f>
        <v>Cáp 24KV C/XLPE/PVC 240mm2</v>
      </c>
      <c r="M23" s="941" t="s">
        <v>213</v>
      </c>
      <c r="N23" s="941" t="str">
        <f>VLOOKUP(M23,R_DD!$B$6:$E$2112,4,0)</f>
        <v>mét</v>
      </c>
      <c r="O23" s="942">
        <v>240</v>
      </c>
      <c r="P23" s="942" t="s">
        <v>3797</v>
      </c>
      <c r="Q23" s="942"/>
      <c r="R23" s="942"/>
      <c r="S23" s="942"/>
      <c r="U23" s="943" t="s">
        <v>2304</v>
      </c>
      <c r="V23" s="944" t="str">
        <f>VLOOKUP(U23,R_DD!$B$6:$E$2112,3,0)</f>
        <v>Kẹp ép WR cỡ dây 70mm2</v>
      </c>
      <c r="W23" s="943" t="str">
        <f>VLOOKUP(U23,R_DD!$B$6:$E$2112,4,0)</f>
        <v>cái</v>
      </c>
      <c r="X23" s="945" t="s">
        <v>2691</v>
      </c>
      <c r="Y23" s="945" t="s">
        <v>2341</v>
      </c>
      <c r="Z23" s="946" t="str">
        <f>VLOOKUP(X23,R_DD!$B$6:$E$2112,3,0)</f>
        <v>Dây chảy 80K</v>
      </c>
      <c r="AA23" s="946" t="str">
        <f>VLOOKUP(Y23,R_DD!$A$1:$L$2131,4,0)</f>
        <v>Móng bê tông đơn trụ 10,5m</v>
      </c>
      <c r="AB23" s="947" t="str">
        <f>VLOOKUP(Y23,R_DD!$A$1:$L$2131,5,0)</f>
        <v>Móng</v>
      </c>
      <c r="AC23" s="947" t="str">
        <f>VLOOKUP(X23,R_DD!$B$6:$E$2112,4,0)</f>
        <v>Sợi</v>
      </c>
    </row>
    <row r="24" spans="1:29" ht="20.100000000000001" customHeight="1">
      <c r="A24" s="954" t="s">
        <v>3792</v>
      </c>
      <c r="B24" s="943" t="e">
        <f>IF(D24&gt;0,COUNTIF($D$14:D24,"&gt;0"),B23)</f>
        <v>#REF!</v>
      </c>
      <c r="C24" s="957" t="s">
        <v>3804</v>
      </c>
      <c r="D24" s="943" t="e">
        <f>IF(cpks_ks&gt;0,1,0)</f>
        <v>#REF!</v>
      </c>
      <c r="E24" s="958" t="e">
        <f t="shared" si="0"/>
        <v>#REF!</v>
      </c>
      <c r="H24" s="939" t="s">
        <v>2549</v>
      </c>
      <c r="I24" s="940" t="str">
        <f>VLOOKUP(H24,R_DD!$A$8:$L$2112,4,0)</f>
        <v>Móng bê tông đơn trụ 10,5m</v>
      </c>
      <c r="J24" s="939"/>
      <c r="L24" s="941" t="str">
        <f>VLOOKUP(M24,R_DD!$B$6:$E$2112,3,0)</f>
        <v>Cáp nhôm ABC 2x16mm2</v>
      </c>
      <c r="M24" s="941" t="s">
        <v>3247</v>
      </c>
      <c r="N24" s="941" t="str">
        <f>VLOOKUP(M24,R_DD!$B$6:$E$2112,4,0)</f>
        <v>mét</v>
      </c>
      <c r="O24" s="942">
        <v>70</v>
      </c>
      <c r="P24" s="942" t="s">
        <v>3805</v>
      </c>
      <c r="Q24" s="942"/>
      <c r="R24" s="942"/>
      <c r="S24" s="942"/>
      <c r="U24" s="943" t="s">
        <v>2305</v>
      </c>
      <c r="V24" s="944" t="str">
        <f>VLOOKUP(U24,R_DD!$B$6:$E$2112,3,0)</f>
        <v>Kẹp ép WR cỡ dây 150mm2</v>
      </c>
      <c r="W24" s="943" t="str">
        <f>VLOOKUP(U24,R_DD!$B$6:$E$2112,4,0)</f>
        <v>cái</v>
      </c>
      <c r="X24" s="945" t="s">
        <v>2692</v>
      </c>
      <c r="Y24" s="945" t="s">
        <v>2549</v>
      </c>
      <c r="Z24" s="946" t="str">
        <f>VLOOKUP(X24,R_DD!$B$6:$E$2112,3,0)</f>
        <v>Dây chảy 100K</v>
      </c>
      <c r="AA24" s="946" t="str">
        <f>VLOOKUP(Y24,R_DD!$A$1:$L$2131,4,0)</f>
        <v>Móng bê tông đơn trụ 10,5m</v>
      </c>
      <c r="AB24" s="947" t="str">
        <f>VLOOKUP(Y24,R_DD!$A$1:$L$2131,5,0)</f>
        <v>Móng</v>
      </c>
      <c r="AC24" s="947" t="str">
        <f>VLOOKUP(X24,R_DD!$B$6:$E$2112,4,0)</f>
        <v>Sợi</v>
      </c>
    </row>
    <row r="25" spans="1:29" ht="20.100000000000001" customHeight="1">
      <c r="A25" s="954" t="s">
        <v>3792</v>
      </c>
      <c r="B25" s="943" t="e">
        <f>IF(D25&gt;0,COUNTIF($D$14:D25,"&gt;0"),B24)</f>
        <v>#REF!</v>
      </c>
      <c r="C25" s="957" t="s">
        <v>3806</v>
      </c>
      <c r="D25" s="943" t="e">
        <f>D24</f>
        <v>#REF!</v>
      </c>
      <c r="E25" s="958" t="e">
        <f>A25&amp;B25&amp;": "&amp;C25</f>
        <v>#REF!</v>
      </c>
      <c r="H25" s="939" t="s">
        <v>876</v>
      </c>
      <c r="I25" s="940" t="str">
        <f>VLOOKUP(H25,R_DD!$A$8:$L$2112,4,0)</f>
        <v>Móng M12</v>
      </c>
      <c r="J25" s="939"/>
      <c r="L25" s="941" t="str">
        <f>VLOOKUP(M25,R_DD!$B$6:$E$2112,3,0)</f>
        <v>Cáp nhôm ABC 2x25mm2</v>
      </c>
      <c r="M25" s="941" t="s">
        <v>3249</v>
      </c>
      <c r="N25" s="941" t="str">
        <f>VLOOKUP(M25,R_DD!$B$6:$E$2112,4,0)</f>
        <v>mét</v>
      </c>
      <c r="O25" s="942">
        <v>95</v>
      </c>
      <c r="P25" s="942" t="s">
        <v>3805</v>
      </c>
      <c r="Q25" s="942"/>
      <c r="R25" s="942"/>
      <c r="S25" s="942"/>
      <c r="U25" s="943" t="s">
        <v>2306</v>
      </c>
      <c r="V25" s="944" t="str">
        <f>VLOOKUP(U25,R_DD!$B$6:$E$2112,3,0)</f>
        <v>Kẹp ép WR cỡ dây 185mm2</v>
      </c>
      <c r="W25" s="943" t="str">
        <f>VLOOKUP(U25,R_DD!$B$6:$E$2112,4,0)</f>
        <v>cái</v>
      </c>
      <c r="X25" s="945" t="s">
        <v>2693</v>
      </c>
      <c r="Y25" s="945" t="s">
        <v>876</v>
      </c>
      <c r="Z25" s="946" t="str">
        <f>VLOOKUP(X25,R_DD!$B$6:$E$2112,3,0)</f>
        <v>Dây chảy 140K</v>
      </c>
      <c r="AA25" s="946" t="str">
        <f>VLOOKUP(Y25,R_DD!$A$1:$L$2131,4,0)</f>
        <v>Móng M12</v>
      </c>
      <c r="AB25" s="947" t="str">
        <f>VLOOKUP(Y25,R_DD!$A$1:$L$2131,5,0)</f>
        <v>Móng</v>
      </c>
      <c r="AC25" s="947" t="str">
        <f>VLOOKUP(X25,R_DD!$B$6:$E$2112,4,0)</f>
        <v>Sợi</v>
      </c>
    </row>
    <row r="26" spans="1:29" ht="20.100000000000001" customHeight="1">
      <c r="A26" s="954" t="s">
        <v>3792</v>
      </c>
      <c r="B26" s="943" t="e">
        <f ca="1">IF(D26&gt;0,COUNTIF($D$14:D26,"&gt;0"),B25)</f>
        <v>#REF!</v>
      </c>
      <c r="C26" s="957" t="s">
        <v>3807</v>
      </c>
      <c r="D26" s="943" t="e">
        <f ca="1">IF(tk&gt;0,1,0)</f>
        <v>#REF!</v>
      </c>
      <c r="E26" s="958" t="e">
        <f ca="1">A26&amp;B26&amp;": "&amp;C26</f>
        <v>#REF!</v>
      </c>
      <c r="H26" s="939" t="s">
        <v>2168</v>
      </c>
      <c r="I26" s="940" t="str">
        <f>VLOOKUP(H26,R_DD!$A$8:$L$2112,4,0)</f>
        <v>Móng M12a</v>
      </c>
      <c r="J26" s="939"/>
      <c r="L26" s="941" t="str">
        <f>VLOOKUP(M26,R_DD!$B$6:$E$2112,3,0)</f>
        <v>Cáp nhôm ABC 3x16mm2</v>
      </c>
      <c r="M26" s="941" t="s">
        <v>3248</v>
      </c>
      <c r="N26" s="941" t="str">
        <f>VLOOKUP(M26,R_DD!$B$6:$E$2112,4,0)</f>
        <v>mét</v>
      </c>
      <c r="O26" s="942">
        <v>120</v>
      </c>
      <c r="P26" s="942" t="s">
        <v>3805</v>
      </c>
      <c r="Q26" s="942"/>
      <c r="R26" s="942"/>
      <c r="S26" s="942"/>
      <c r="U26" s="943" t="s">
        <v>2307</v>
      </c>
      <c r="V26" s="944" t="str">
        <f>VLOOKUP(U26,R_DD!$B$6:$E$2112,3,0)</f>
        <v>Kẹp ép WR cỡ dây 240mm2</v>
      </c>
      <c r="W26" s="943" t="str">
        <f>VLOOKUP(U26,R_DD!$B$6:$E$2112,4,0)</f>
        <v>cái</v>
      </c>
      <c r="Y26" s="945" t="s">
        <v>2168</v>
      </c>
      <c r="Z26" s="946" t="e">
        <f>VLOOKUP(X26,R_DD!$B$6:$E$2112,3,0)</f>
        <v>#N/A</v>
      </c>
      <c r="AA26" s="946" t="str">
        <f>VLOOKUP(Y26,R_DD!$A$1:$L$2131,4,0)</f>
        <v>Móng M12a</v>
      </c>
      <c r="AB26" s="947" t="str">
        <f>VLOOKUP(Y26,R_DD!$A$1:$L$2131,5,0)</f>
        <v>Móng</v>
      </c>
      <c r="AC26" s="947" t="e">
        <f>VLOOKUP(X26,R_DD!$B$6:$E$2112,4,0)</f>
        <v>#N/A</v>
      </c>
    </row>
    <row r="27" spans="1:29" ht="20.100000000000001" customHeight="1">
      <c r="A27" s="954" t="s">
        <v>3792</v>
      </c>
      <c r="B27" s="943">
        <f ca="1">IF(D27&gt;0,COUNTIF($D$14:D27,"&gt;0"),B26)</f>
        <v>5</v>
      </c>
      <c r="C27" s="957" t="s">
        <v>3808</v>
      </c>
      <c r="D27" s="943">
        <v>1</v>
      </c>
      <c r="E27" s="958" t="str">
        <f t="shared" ca="1" si="0"/>
        <v>BẢNG 5: CHI PHÍ VẬN CHUYỂN ĐƯỜNG DÀI</v>
      </c>
      <c r="H27" s="939" t="s">
        <v>2560</v>
      </c>
      <c r="I27" s="940" t="str">
        <f>VLOOKUP(H27,R_DD!$A$8:$L$2112,4,0)</f>
        <v>Móng M12 phá đá</v>
      </c>
      <c r="J27" s="939"/>
      <c r="L27" s="941" t="str">
        <f>VLOOKUP(M27,R_DD!$B$6:$E$2112,3,0)</f>
        <v>Cáp nhôm ABC 3x25mm2</v>
      </c>
      <c r="M27" s="941" t="s">
        <v>3245</v>
      </c>
      <c r="N27" s="941" t="str">
        <f>VLOOKUP(M27,R_DD!$B$6:$E$2112,4,0)</f>
        <v>mét</v>
      </c>
      <c r="O27" s="942">
        <v>150</v>
      </c>
      <c r="P27" s="942" t="s">
        <v>3805</v>
      </c>
      <c r="Q27" s="942"/>
      <c r="R27" s="942"/>
      <c r="S27" s="942"/>
      <c r="U27" s="943" t="s">
        <v>2308</v>
      </c>
      <c r="V27" s="944" t="str">
        <f>VLOOKUP(U27,R_DD!$B$6:$E$2112,3,0)</f>
        <v>Đầu cosse ép Cu-Al 70mm2</v>
      </c>
      <c r="W27" s="943" t="str">
        <f>VLOOKUP(U27,R_DD!$B$6:$E$2112,4,0)</f>
        <v>cái</v>
      </c>
      <c r="Y27" s="945" t="s">
        <v>2560</v>
      </c>
      <c r="Z27" s="946" t="e">
        <f>VLOOKUP(X27,R_DD!$B$6:$E$2112,3,0)</f>
        <v>#N/A</v>
      </c>
      <c r="AA27" s="946" t="str">
        <f>VLOOKUP(Y27,R_DD!$A$1:$L$2131,4,0)</f>
        <v>Móng M12 phá đá</v>
      </c>
      <c r="AB27" s="947" t="str">
        <f>VLOOKUP(Y27,R_DD!$A$1:$L$2131,5,0)</f>
        <v>Móng</v>
      </c>
      <c r="AC27" s="947" t="e">
        <f>VLOOKUP(X27,R_DD!$B$6:$E$2112,4,0)</f>
        <v>#N/A</v>
      </c>
    </row>
    <row r="28" spans="1:29" ht="20.100000000000001" customHeight="1">
      <c r="A28" s="954" t="s">
        <v>3792</v>
      </c>
      <c r="B28" s="943">
        <f ca="1">IF(D28&gt;0,COUNTIF($D$14:D28,"&gt;0"),B27)</f>
        <v>6</v>
      </c>
      <c r="C28" s="957" t="s">
        <v>3809</v>
      </c>
      <c r="D28" s="943">
        <v>1</v>
      </c>
      <c r="E28" s="958" t="str">
        <f t="shared" ca="1" si="0"/>
        <v>BẢNG 6: KHỐI LƯỢNG VẬT TƯ CHÍNH</v>
      </c>
      <c r="H28" s="939" t="s">
        <v>2343</v>
      </c>
      <c r="I28" s="940" t="str">
        <f>VLOOKUP(H28,R_DD!$A$8:$L$2112,4,0)</f>
        <v>Móng bê tông trụ đơn 12m</v>
      </c>
      <c r="J28" s="939"/>
      <c r="L28" s="941" t="str">
        <f>VLOOKUP(M28,R_DD!$B$6:$E$2112,3,0)</f>
        <v>Cáp nhôm ABC 4x70mm2</v>
      </c>
      <c r="M28" s="941" t="s">
        <v>320</v>
      </c>
      <c r="N28" s="941" t="str">
        <f>VLOOKUP(M28,R_DD!$B$6:$E$2112,4,0)</f>
        <v>mét</v>
      </c>
      <c r="O28" s="942">
        <v>95</v>
      </c>
      <c r="P28" s="942" t="s">
        <v>3805</v>
      </c>
      <c r="Q28" s="942"/>
      <c r="R28" s="942"/>
      <c r="S28" s="942"/>
      <c r="U28" s="943" t="s">
        <v>2308</v>
      </c>
      <c r="V28" s="944" t="str">
        <f>VLOOKUP(U28,R_DD!$B$6:$E$2112,3,0)</f>
        <v>Đầu cosse ép Cu-Al 70mm2</v>
      </c>
      <c r="W28" s="943" t="str">
        <f>VLOOKUP(U28,R_DD!$B$6:$E$2112,4,0)</f>
        <v>cái</v>
      </c>
      <c r="Y28" s="945" t="s">
        <v>2343</v>
      </c>
      <c r="Z28" s="946" t="e">
        <f>VLOOKUP(X28,R_DD!$B$6:$E$2112,3,0)</f>
        <v>#N/A</v>
      </c>
      <c r="AA28" s="946" t="str">
        <f>VLOOKUP(Y28,R_DD!$A$1:$L$2131,4,0)</f>
        <v>Móng bê tông trụ đơn 12m</v>
      </c>
      <c r="AB28" s="947" t="str">
        <f>VLOOKUP(Y28,R_DD!$A$1:$L$2131,5,0)</f>
        <v>Móng</v>
      </c>
      <c r="AC28" s="947" t="e">
        <f>VLOOKUP(X28,R_DD!$B$6:$E$2112,4,0)</f>
        <v>#N/A</v>
      </c>
    </row>
    <row r="29" spans="1:29" ht="20.100000000000001" customHeight="1">
      <c r="A29" s="959" t="s">
        <v>3792</v>
      </c>
      <c r="B29" s="960">
        <f ca="1">IF(D29&gt;0,COUNTIF($D$14:D29,"&gt;0"),B28)</f>
        <v>7</v>
      </c>
      <c r="C29" s="959" t="s">
        <v>3810</v>
      </c>
      <c r="D29" s="960">
        <v>1</v>
      </c>
      <c r="E29" s="961" t="str">
        <f ca="1">A29&amp;B29&amp;": "&amp;C29</f>
        <v>BẢNG 7: PHÂN PHỐI VẬT TƯ, THIẾT BỊ</v>
      </c>
      <c r="H29" s="939" t="s">
        <v>2344</v>
      </c>
      <c r="I29" s="940" t="str">
        <f>VLOOKUP(H29,R_DD!$A$8:$L$2112,4,0)</f>
        <v>Móng bê tông trụ đôi 12m</v>
      </c>
      <c r="J29" s="939"/>
      <c r="L29" s="941" t="str">
        <f>VLOOKUP(M29,R_DD!$B$6:$E$2112,3,0)</f>
        <v>Cáp nhôm ABC 4x95mm2</v>
      </c>
      <c r="M29" s="941" t="s">
        <v>323</v>
      </c>
      <c r="N29" s="941" t="str">
        <f>VLOOKUP(M29,R_DD!$B$6:$E$2112,4,0)</f>
        <v>mét</v>
      </c>
      <c r="O29" s="942">
        <v>120</v>
      </c>
      <c r="P29" s="942" t="s">
        <v>3805</v>
      </c>
      <c r="Q29" s="942"/>
      <c r="R29" s="942"/>
      <c r="S29" s="942"/>
      <c r="U29" s="943" t="s">
        <v>2309</v>
      </c>
      <c r="V29" s="944" t="str">
        <f>VLOOKUP(U29,R_DD!$B$6:$E$2112,3,0)</f>
        <v>Đầu cosse ép Cu-Al 95mm2</v>
      </c>
      <c r="W29" s="943" t="str">
        <f>VLOOKUP(U29,R_DD!$B$6:$E$2112,4,0)</f>
        <v>cái</v>
      </c>
      <c r="Y29" s="945" t="s">
        <v>2344</v>
      </c>
      <c r="Z29" s="946" t="e">
        <f>VLOOKUP(X29,R_DD!$B$6:$E$2112,3,0)</f>
        <v>#N/A</v>
      </c>
      <c r="AA29" s="946" t="str">
        <f>VLOOKUP(Y29,R_DD!$A$1:$L$2131,4,0)</f>
        <v>Móng bê tông trụ đôi 12m</v>
      </c>
      <c r="AB29" s="947" t="str">
        <f>VLOOKUP(Y29,R_DD!$A$1:$L$2131,5,0)</f>
        <v>Móng</v>
      </c>
      <c r="AC29" s="947" t="e">
        <f>VLOOKUP(X29,R_DD!$B$6:$E$2112,4,0)</f>
        <v>#N/A</v>
      </c>
    </row>
    <row r="30" spans="1:29" ht="20.100000000000001" customHeight="1">
      <c r="H30" s="939" t="s">
        <v>2177</v>
      </c>
      <c r="I30" s="940" t="str">
        <f>VLOOKUP(H30,R_DD!$A$8:$L$2112,4,0)</f>
        <v>Móng M14</v>
      </c>
      <c r="J30" s="939"/>
      <c r="L30" s="941" t="str">
        <f>VLOOKUP(M30,R_DD!$B$6:$E$2112,3,0)</f>
        <v>Cáp nhôm ABC 4x120mm2</v>
      </c>
      <c r="M30" s="941" t="s">
        <v>327</v>
      </c>
      <c r="N30" s="941" t="str">
        <f>VLOOKUP(M30,R_DD!$B$6:$E$2112,4,0)</f>
        <v>mét</v>
      </c>
      <c r="O30" s="942">
        <v>150</v>
      </c>
      <c r="P30" s="942" t="s">
        <v>3805</v>
      </c>
      <c r="Q30" s="942"/>
      <c r="R30" s="942"/>
      <c r="S30" s="942"/>
      <c r="U30" s="943" t="s">
        <v>2310</v>
      </c>
      <c r="V30" s="944" t="str">
        <f>VLOOKUP(U30,R_DD!$B$6:$E$2112,3,0)</f>
        <v>Đầu cosse ép Cu-Al 120mm2</v>
      </c>
      <c r="W30" s="943" t="str">
        <f>VLOOKUP(U30,R_DD!$B$6:$E$2112,4,0)</f>
        <v>cái</v>
      </c>
      <c r="Y30" s="945" t="s">
        <v>2177</v>
      </c>
      <c r="Z30" s="946" t="e">
        <f>VLOOKUP(X30,R_DD!$B$6:$E$2112,3,0)</f>
        <v>#N/A</v>
      </c>
      <c r="AA30" s="946" t="str">
        <f>VLOOKUP(Y30,R_DD!$A$1:$L$2131,4,0)</f>
        <v>Móng M14</v>
      </c>
      <c r="AB30" s="947" t="str">
        <f>VLOOKUP(Y30,R_DD!$A$1:$L$2131,5,0)</f>
        <v>Móng</v>
      </c>
      <c r="AC30" s="947" t="e">
        <f>VLOOKUP(X30,R_DD!$B$6:$E$2112,4,0)</f>
        <v>#N/A</v>
      </c>
    </row>
    <row r="31" spans="1:29" ht="20.100000000000001" customHeight="1">
      <c r="A31" s="949" t="s">
        <v>3811</v>
      </c>
      <c r="B31" s="949"/>
      <c r="C31" s="949" t="s">
        <v>3812</v>
      </c>
      <c r="D31" s="962" t="s">
        <v>4125</v>
      </c>
      <c r="H31" s="939" t="s">
        <v>2179</v>
      </c>
      <c r="I31" s="940" t="str">
        <f>VLOOKUP(H31,R_DD!$A$8:$L$2112,4,0)</f>
        <v>Móng M14a</v>
      </c>
      <c r="J31" s="939"/>
      <c r="L31" s="941" t="str">
        <f>VLOOKUP(M31,R_DD!$B$6:$E$2112,3,0)</f>
        <v>Cáp nhôm ABC 4x150mm2</v>
      </c>
      <c r="M31" s="941" t="s">
        <v>329</v>
      </c>
      <c r="N31" s="941" t="str">
        <f>VLOOKUP(M31,R_DD!$B$6:$E$2112,4,0)</f>
        <v>mét</v>
      </c>
      <c r="O31" s="942">
        <v>50</v>
      </c>
      <c r="P31" s="942" t="s">
        <v>3814</v>
      </c>
      <c r="Q31" s="942"/>
      <c r="R31" s="942"/>
      <c r="S31" s="942"/>
      <c r="U31" s="943" t="s">
        <v>2311</v>
      </c>
      <c r="V31" s="944" t="str">
        <f>VLOOKUP(U31,R_DD!$B$6:$E$2112,3,0)</f>
        <v>Đầu cosse ép Cu-Al 150mm2</v>
      </c>
      <c r="W31" s="943" t="str">
        <f>VLOOKUP(U31,R_DD!$B$6:$E$2112,4,0)</f>
        <v>cái</v>
      </c>
      <c r="Y31" s="945" t="s">
        <v>2179</v>
      </c>
      <c r="Z31" s="946" t="e">
        <f>VLOOKUP(X31,R_DD!$B$6:$E$2112,3,0)</f>
        <v>#N/A</v>
      </c>
      <c r="AA31" s="946" t="str">
        <f>VLOOKUP(Y31,R_DD!$A$1:$L$2131,4,0)</f>
        <v>Móng M14a</v>
      </c>
      <c r="AB31" s="947" t="str">
        <f>VLOOKUP(Y31,R_DD!$A$1:$L$2131,5,0)</f>
        <v>Móng</v>
      </c>
      <c r="AC31" s="947" t="e">
        <f>VLOOKUP(X31,R_DD!$B$6:$E$2112,4,0)</f>
        <v>#N/A</v>
      </c>
    </row>
    <row r="32" spans="1:29" ht="20.100000000000001" customHeight="1">
      <c r="A32" s="962" t="s">
        <v>4127</v>
      </c>
      <c r="B32" s="949"/>
      <c r="C32" s="962" t="s">
        <v>4126</v>
      </c>
      <c r="D32" s="962" t="s">
        <v>4126</v>
      </c>
      <c r="H32" s="939" t="s">
        <v>2342</v>
      </c>
      <c r="I32" s="940" t="str">
        <f>VLOOKUP(H32,R_DD!$A$8:$L$2112,4,0)</f>
        <v>Móng bê tông trụ đơn 14m</v>
      </c>
      <c r="J32" s="939"/>
      <c r="L32" s="941" t="str">
        <f>VLOOKUP(M32,R_DD!$B$6:$E$2112,3,0)</f>
        <v>Cáp nhôm ABC 3x95mm2</v>
      </c>
      <c r="M32" s="941" t="s">
        <v>325</v>
      </c>
      <c r="N32" s="941" t="str">
        <f>VLOOKUP(M32,R_DD!$B$6:$E$2112,4,0)</f>
        <v>mét</v>
      </c>
      <c r="O32" s="942">
        <v>70</v>
      </c>
      <c r="P32" s="942" t="s">
        <v>3814</v>
      </c>
      <c r="Q32" s="942"/>
      <c r="R32" s="942"/>
      <c r="S32" s="942"/>
      <c r="U32" s="943" t="s">
        <v>2312</v>
      </c>
      <c r="V32" s="944" t="str">
        <f>VLOOKUP(U32,R_DD!$B$6:$E$2112,3,0)</f>
        <v>Đầu cosse ép Cu-Al 185mm2</v>
      </c>
      <c r="W32" s="943" t="str">
        <f>VLOOKUP(U32,R_DD!$B$6:$E$2112,4,0)</f>
        <v>cái</v>
      </c>
      <c r="Y32" s="945" t="s">
        <v>2342</v>
      </c>
      <c r="Z32" s="946" t="e">
        <f>VLOOKUP(X32,R_DD!$B$6:$E$2112,3,0)</f>
        <v>#N/A</v>
      </c>
      <c r="AA32" s="946" t="str">
        <f>VLOOKUP(Y32,R_DD!$A$1:$L$2131,4,0)</f>
        <v>Móng bê tông trụ đơn 14m</v>
      </c>
      <c r="AB32" s="947" t="str">
        <f>VLOOKUP(Y32,R_DD!$A$1:$L$2131,5,0)</f>
        <v>Móng</v>
      </c>
      <c r="AC32" s="947" t="e">
        <f>VLOOKUP(X32,R_DD!$B$6:$E$2112,4,0)</f>
        <v>#N/A</v>
      </c>
    </row>
    <row r="33" spans="1:29" ht="20.100000000000001" customHeight="1">
      <c r="A33" s="949" t="s">
        <v>4128</v>
      </c>
      <c r="H33" s="939" t="s">
        <v>2550</v>
      </c>
      <c r="I33" s="940" t="str">
        <f>VLOOKUP(H33,R_DD!$A$8:$L$2112,4,0)</f>
        <v>Móng bê tông trụ đôi 14m</v>
      </c>
      <c r="J33" s="939"/>
      <c r="L33" s="941" t="str">
        <f>VLOOKUP(M33,R_DD!$B$6:$E$2112,3,0)</f>
        <v>Cáp nhôm ABC 3x120mm2</v>
      </c>
      <c r="M33" s="941" t="s">
        <v>2539</v>
      </c>
      <c r="N33" s="941" t="str">
        <f>VLOOKUP(M33,R_DD!$B$6:$E$2112,4,0)</f>
        <v>mét</v>
      </c>
      <c r="O33" s="942">
        <v>95</v>
      </c>
      <c r="P33" s="942" t="s">
        <v>3814</v>
      </c>
      <c r="Q33" s="942"/>
      <c r="R33" s="942"/>
      <c r="S33" s="942"/>
      <c r="U33" s="943" t="s">
        <v>2313</v>
      </c>
      <c r="V33" s="944" t="str">
        <f>VLOOKUP(U33,R_DD!$B$6:$E$2112,3,0)</f>
        <v>Đầu cosse ép Cu-Al 240mm2</v>
      </c>
      <c r="W33" s="943" t="str">
        <f>VLOOKUP(U33,R_DD!$B$6:$E$2112,4,0)</f>
        <v>cái</v>
      </c>
      <c r="Y33" s="945" t="s">
        <v>2550</v>
      </c>
      <c r="Z33" s="946" t="e">
        <f>VLOOKUP(X33,R_DD!$B$6:$E$2112,3,0)</f>
        <v>#N/A</v>
      </c>
      <c r="AA33" s="946" t="str">
        <f>VLOOKUP(Y33,R_DD!$A$1:$L$2131,4,0)</f>
        <v>Móng bê tông trụ đôi 14m</v>
      </c>
      <c r="AB33" s="947" t="str">
        <f>VLOOKUP(Y33,R_DD!$A$1:$L$2131,5,0)</f>
        <v>Móng</v>
      </c>
      <c r="AC33" s="947" t="e">
        <f>VLOOKUP(X33,R_DD!$B$6:$E$2112,4,0)</f>
        <v>#N/A</v>
      </c>
    </row>
    <row r="34" spans="1:29" ht="20.100000000000001" customHeight="1">
      <c r="C34" s="963"/>
      <c r="H34" s="939" t="s">
        <v>2551</v>
      </c>
      <c r="I34" s="940" t="str">
        <f>VLOOKUP(H34,R_DD!$A$8:$L$2112,4,0)</f>
        <v>Móng M16</v>
      </c>
      <c r="J34" s="939"/>
      <c r="L34" s="941" t="str">
        <f>VLOOKUP(M34,R_DD!$B$6:$E$2112,3,0)</f>
        <v>Cáp nhôm ABC 3x150mm2</v>
      </c>
      <c r="M34" s="941" t="s">
        <v>2540</v>
      </c>
      <c r="N34" s="941" t="str">
        <f>VLOOKUP(M34,R_DD!$B$6:$E$2112,4,0)</f>
        <v>mét</v>
      </c>
      <c r="O34" s="942">
        <v>120</v>
      </c>
      <c r="P34" s="942" t="s">
        <v>3814</v>
      </c>
      <c r="Q34" s="942"/>
      <c r="R34" s="942"/>
      <c r="S34" s="942"/>
      <c r="U34" s="943" t="s">
        <v>518</v>
      </c>
      <c r="V34" s="944" t="str">
        <f>VLOOKUP(U34,R_DD!$B$6:$E$2112,3,0)</f>
        <v>Kẹp quai 2/0</v>
      </c>
      <c r="W34" s="943" t="str">
        <f>VLOOKUP(U34,R_DD!$B$6:$E$2112,4,0)</f>
        <v>cái</v>
      </c>
      <c r="Y34" s="945" t="s">
        <v>2551</v>
      </c>
      <c r="Z34" s="946" t="e">
        <f>VLOOKUP(X34,R_DD!$B$6:$E$2112,3,0)</f>
        <v>#N/A</v>
      </c>
      <c r="AA34" s="946" t="str">
        <f>VLOOKUP(Y34,R_DD!$A$1:$L$2131,4,0)</f>
        <v>Móng M16</v>
      </c>
      <c r="AB34" s="947" t="str">
        <f>VLOOKUP(Y34,R_DD!$A$1:$L$2131,5,0)</f>
        <v>Móng</v>
      </c>
      <c r="AC34" s="947" t="e">
        <f>VLOOKUP(X34,R_DD!$B$6:$E$2112,4,0)</f>
        <v>#N/A</v>
      </c>
    </row>
    <row r="35" spans="1:29" ht="20.100000000000001" customHeight="1">
      <c r="H35" s="939" t="s">
        <v>2552</v>
      </c>
      <c r="I35" s="940" t="str">
        <f>VLOOKUP(H35,R_DD!$A$8:$L$2112,4,0)</f>
        <v>Móng M18</v>
      </c>
      <c r="J35" s="939"/>
      <c r="L35" s="941" t="str">
        <f>VLOOKUP(M35,R_DD!$B$6:$E$2112,3,0)</f>
        <v>Cáp nhôm bọc AV50</v>
      </c>
      <c r="M35" s="941" t="s">
        <v>3095</v>
      </c>
      <c r="N35" s="941" t="str">
        <f>VLOOKUP(M35,R_DD!$B$6:$E$2112,4,0)</f>
        <v>mét</v>
      </c>
      <c r="O35" s="942">
        <v>150</v>
      </c>
      <c r="P35" s="942" t="s">
        <v>3814</v>
      </c>
      <c r="Q35" s="942"/>
      <c r="R35" s="942"/>
      <c r="S35" s="942"/>
      <c r="U35" s="943" t="s">
        <v>523</v>
      </c>
      <c r="V35" s="944" t="str">
        <f>VLOOKUP(U35,R_DD!$B$6:$E$2112,3,0)</f>
        <v>Kẹp hotline 2/0</v>
      </c>
      <c r="W35" s="943" t="str">
        <f>VLOOKUP(U35,R_DD!$B$6:$E$2112,4,0)</f>
        <v>cái</v>
      </c>
      <c r="Y35" s="945" t="s">
        <v>2552</v>
      </c>
      <c r="Z35" s="946" t="e">
        <f>VLOOKUP(X35,R_DD!$B$6:$E$2112,3,0)</f>
        <v>#N/A</v>
      </c>
      <c r="AA35" s="946" t="str">
        <f>VLOOKUP(Y35,R_DD!$A$1:$L$2131,4,0)</f>
        <v>Móng M18</v>
      </c>
      <c r="AB35" s="947" t="str">
        <f>VLOOKUP(Y35,R_DD!$A$1:$L$2131,5,0)</f>
        <v>Móng</v>
      </c>
      <c r="AC35" s="947" t="e">
        <f>VLOOKUP(X35,R_DD!$B$6:$E$2112,4,0)</f>
        <v>#N/A</v>
      </c>
    </row>
    <row r="36" spans="1:29" ht="20.100000000000001" customHeight="1">
      <c r="H36" s="939" t="s">
        <v>2553</v>
      </c>
      <c r="I36" s="940" t="str">
        <f>VLOOKUP(H36,R_DD!$A$8:$L$2112,4,0)</f>
        <v>Móng M20</v>
      </c>
      <c r="J36" s="939"/>
      <c r="L36" s="941" t="str">
        <f>VLOOKUP(M36,R_DD!$B$6:$E$2112,3,0)</f>
        <v>Cáp nhôm bọc AV70</v>
      </c>
      <c r="M36" s="941" t="s">
        <v>3096</v>
      </c>
      <c r="N36" s="941" t="str">
        <f>VLOOKUP(M36,R_DD!$B$6:$E$2112,4,0)</f>
        <v>mét</v>
      </c>
      <c r="O36" s="942">
        <v>185</v>
      </c>
      <c r="P36" s="942" t="s">
        <v>3814</v>
      </c>
      <c r="Q36" s="942"/>
      <c r="R36" s="942"/>
      <c r="S36" s="942"/>
      <c r="U36" s="943" t="s">
        <v>521</v>
      </c>
      <c r="V36" s="944" t="str">
        <f>VLOOKUP(U36,R_DD!$B$6:$E$2112,3,0)</f>
        <v>Kẹp quai 4/0</v>
      </c>
      <c r="W36" s="943" t="str">
        <f>VLOOKUP(U36,R_DD!$B$6:$E$2112,4,0)</f>
        <v>cái</v>
      </c>
      <c r="Y36" s="945" t="s">
        <v>2553</v>
      </c>
      <c r="Z36" s="946" t="e">
        <f>VLOOKUP(X36,R_DD!$B$6:$E$2112,3,0)</f>
        <v>#N/A</v>
      </c>
      <c r="AA36" s="946" t="str">
        <f>VLOOKUP(Y36,R_DD!$A$1:$L$2131,4,0)</f>
        <v>Móng M20</v>
      </c>
      <c r="AB36" s="947" t="str">
        <f>VLOOKUP(Y36,R_DD!$A$1:$L$2131,5,0)</f>
        <v>Móng</v>
      </c>
      <c r="AC36" s="947" t="e">
        <f>VLOOKUP(X36,R_DD!$B$6:$E$2112,4,0)</f>
        <v>#N/A</v>
      </c>
    </row>
    <row r="37" spans="1:29" ht="20.100000000000001" customHeight="1">
      <c r="H37" s="939" t="s">
        <v>2182</v>
      </c>
      <c r="I37" s="940" t="str">
        <f>VLOOKUP(H37,R_DD!$A$8:$L$2112,4,0)</f>
        <v>Tiếp địa lặp lại (trụ 7.5m)</v>
      </c>
      <c r="J37" s="939"/>
      <c r="L37" s="941" t="str">
        <f>VLOOKUP(M37,R_DD!$B$6:$E$2112,3,0)</f>
        <v>Cáp nhôm bọc AV95</v>
      </c>
      <c r="M37" s="941" t="s">
        <v>3097</v>
      </c>
      <c r="N37" s="941" t="str">
        <f>VLOOKUP(M37,R_DD!$B$6:$E$2112,4,0)</f>
        <v>mét</v>
      </c>
      <c r="O37" s="942">
        <v>240</v>
      </c>
      <c r="P37" s="942" t="s">
        <v>3814</v>
      </c>
      <c r="Q37" s="942"/>
      <c r="R37" s="942"/>
      <c r="S37" s="942"/>
      <c r="U37" s="943" t="s">
        <v>525</v>
      </c>
      <c r="V37" s="944" t="str">
        <f>VLOOKUP(U37,R_DD!$B$6:$E$2112,3,0)</f>
        <v>Kẹp hotline 4/0</v>
      </c>
      <c r="W37" s="943" t="str">
        <f>VLOOKUP(U37,R_DD!$B$6:$E$2112,4,0)</f>
        <v>cái</v>
      </c>
      <c r="Y37" s="945" t="s">
        <v>3024</v>
      </c>
      <c r="Z37" s="946" t="e">
        <f>VLOOKUP(X37,R_DD!$B$6:$E$2112,3,0)</f>
        <v>#N/A</v>
      </c>
      <c r="AA37" s="946" t="str">
        <f>VLOOKUP(Y37,R_DD!$A$1:$L$2131,4,0)</f>
        <v>Mương cáp ngầm hạ thế</v>
      </c>
      <c r="AB37" s="947" t="str">
        <f>VLOOKUP(Y37,R_DD!$A$1:$L$2131,5,0)</f>
        <v>Mét</v>
      </c>
      <c r="AC37" s="947" t="e">
        <f>VLOOKUP(X37,R_DD!$B$6:$E$2112,4,0)</f>
        <v>#N/A</v>
      </c>
    </row>
    <row r="38" spans="1:29" ht="20.100000000000001" customHeight="1">
      <c r="H38" s="939" t="s">
        <v>2186</v>
      </c>
      <c r="I38" s="940" t="str">
        <f>VLOOKUP(H38,R_DD!$A$8:$L$2112,4,0)</f>
        <v>Tiếp địa lặp lại (trụ 8.4m)</v>
      </c>
      <c r="J38" s="939"/>
      <c r="L38" s="941" t="str">
        <f>VLOOKUP(M38,R_DD!$B$6:$E$2112,3,0)</f>
        <v>Cáp nhôm bọc AV120</v>
      </c>
      <c r="M38" s="941" t="s">
        <v>3098</v>
      </c>
      <c r="N38" s="941" t="str">
        <f>VLOOKUP(M38,R_DD!$B$6:$E$2112,4,0)</f>
        <v>mét</v>
      </c>
      <c r="O38" s="942">
        <v>50</v>
      </c>
      <c r="P38" s="942" t="s">
        <v>2357</v>
      </c>
      <c r="Q38" s="942"/>
      <c r="R38" s="942"/>
      <c r="S38" s="942"/>
      <c r="U38" s="943" t="s">
        <v>3031</v>
      </c>
      <c r="V38" s="944" t="str">
        <f>VLOOKUP(U38,R_DD!$B$6:$E$2112,3,0)</f>
        <v>Chụp kẹp quai, hotline</v>
      </c>
      <c r="W38" s="943" t="str">
        <f>VLOOKUP(U38,R_DD!$B$6:$E$2112,4,0)</f>
        <v>cái</v>
      </c>
      <c r="Y38" s="945" t="s">
        <v>3027</v>
      </c>
      <c r="Z38" s="946" t="e">
        <f>VLOOKUP(X38,R_DD!$B$6:$E$2112,3,0)</f>
        <v>#N/A</v>
      </c>
      <c r="AA38" s="946" t="str">
        <f>VLOOKUP(Y38,R_DD!$A$1:$L$2131,4,0)</f>
        <v>Hố ga cáp ngầm (1mx1mx1m)</v>
      </c>
      <c r="AB38" s="947" t="str">
        <f>VLOOKUP(Y38,R_DD!$A$1:$L$2131,5,0)</f>
        <v>Mét</v>
      </c>
      <c r="AC38" s="947" t="e">
        <f>VLOOKUP(X38,R_DD!$B$6:$E$2112,4,0)</f>
        <v>#N/A</v>
      </c>
    </row>
    <row r="39" spans="1:29" ht="20.100000000000001" customHeight="1">
      <c r="H39" s="939" t="s">
        <v>2191</v>
      </c>
      <c r="I39" s="940" t="str">
        <f>VLOOKUP(H39,R_DD!$A$8:$L$2112,4,0)</f>
        <v>Tiếp địa lặp lại trụ 8.4m cáp ABC</v>
      </c>
      <c r="J39" s="939"/>
      <c r="L39" s="941" t="str">
        <f>VLOOKUP(M39,R_DD!$B$6:$E$2112,3,0)</f>
        <v>Cáp nhôm bọc AV150</v>
      </c>
      <c r="M39" s="941" t="s">
        <v>3099</v>
      </c>
      <c r="N39" s="941" t="str">
        <f>VLOOKUP(M39,R_DD!$B$6:$E$2112,4,0)</f>
        <v>mét</v>
      </c>
      <c r="O39" s="942">
        <v>70</v>
      </c>
      <c r="P39" s="942" t="s">
        <v>2357</v>
      </c>
      <c r="Q39" s="942"/>
      <c r="R39" s="942"/>
      <c r="S39" s="942"/>
      <c r="U39" s="943" t="s">
        <v>155</v>
      </c>
      <c r="V39" s="944" t="str">
        <f>VLOOKUP(U39,R_DD!$B$6:$E$2112,3,0)</f>
        <v>Chụp đầu FCO</v>
      </c>
      <c r="W39" s="943" t="str">
        <f>VLOOKUP(U39,R_DD!$B$6:$E$2112,4,0)</f>
        <v>bộ</v>
      </c>
      <c r="Y39" s="945" t="s">
        <v>3253</v>
      </c>
      <c r="Z39" s="946" t="e">
        <f>VLOOKUP(X39,R_DD!$B$6:$E$2112,3,0)</f>
        <v>#N/A</v>
      </c>
      <c r="AA39" s="946" t="str">
        <f>VLOOKUP(Y39,R_DD!$A$1:$L$2131,4,0)</f>
        <v>Tiếp địa lặp lại cho hệ thống chiếu sáng (H&lt;8m)</v>
      </c>
      <c r="AB39" s="947" t="str">
        <f>VLOOKUP(Y39,R_DD!$A$1:$L$2131,5,0)</f>
        <v>Bộ</v>
      </c>
      <c r="AC39" s="947" t="e">
        <f>VLOOKUP(X39,R_DD!$B$6:$E$2112,4,0)</f>
        <v>#N/A</v>
      </c>
    </row>
    <row r="40" spans="1:29" ht="20.100000000000001" customHeight="1">
      <c r="H40" s="939" t="s">
        <v>2193</v>
      </c>
      <c r="I40" s="940" t="str">
        <f>VLOOKUP(H40,R_DD!$A$8:$L$2112,4,0)</f>
        <v>Tiếp địa tủ phân phối hạ thế</v>
      </c>
      <c r="J40" s="939"/>
      <c r="L40" s="941" t="str">
        <f>VLOOKUP(M40,R_DD!$B$6:$E$2112,3,0)</f>
        <v>Cáp nhôm bọc AV185</v>
      </c>
      <c r="M40" s="941" t="s">
        <v>3100</v>
      </c>
      <c r="N40" s="941" t="str">
        <f>VLOOKUP(M40,R_DD!$B$6:$E$2112,4,0)</f>
        <v>mét</v>
      </c>
      <c r="O40" s="942">
        <v>95</v>
      </c>
      <c r="P40" s="942" t="s">
        <v>2357</v>
      </c>
      <c r="Q40" s="942"/>
      <c r="R40" s="942"/>
      <c r="S40" s="942"/>
      <c r="U40" s="943" t="s">
        <v>157</v>
      </c>
      <c r="V40" s="944" t="str">
        <f>VLOOKUP(U40,R_DD!$B$6:$E$2112,3,0)</f>
        <v>Chụp đầu LA</v>
      </c>
      <c r="W40" s="943" t="str">
        <f>VLOOKUP(U40,R_DD!$B$6:$E$2112,4,0)</f>
        <v>cái</v>
      </c>
      <c r="Y40" s="945" t="s">
        <v>2182</v>
      </c>
      <c r="Z40" s="946" t="e">
        <f>VLOOKUP(X40,R_DD!$B$6:$E$2112,3,0)</f>
        <v>#N/A</v>
      </c>
      <c r="AA40" s="946" t="str">
        <f>VLOOKUP(Y40,R_DD!$A$1:$L$2131,4,0)</f>
        <v>Tiếp địa lặp lại (trụ 7.5m)</v>
      </c>
      <c r="AB40" s="947" t="str">
        <f>VLOOKUP(Y40,R_DD!$A$1:$L$2131,5,0)</f>
        <v>Bộ</v>
      </c>
      <c r="AC40" s="947" t="e">
        <f>VLOOKUP(X40,R_DD!$B$6:$E$2112,4,0)</f>
        <v>#N/A</v>
      </c>
    </row>
    <row r="41" spans="1:29" ht="20.100000000000001" customHeight="1">
      <c r="H41" s="939" t="s">
        <v>2195</v>
      </c>
      <c r="I41" s="940" t="str">
        <f>VLOOKUP(H41,R_DD!$A$8:$L$2112,4,0)</f>
        <v>Tiếp địa lặp lại (trụ 10.5m)</v>
      </c>
      <c r="J41" s="939"/>
      <c r="L41" s="941" t="str">
        <f>VLOOKUP(M41,R_DD!$B$6:$E$2112,3,0)</f>
        <v>Cáp nhôm bọc AV240</v>
      </c>
      <c r="M41" s="941" t="s">
        <v>3101</v>
      </c>
      <c r="N41" s="941" t="str">
        <f>VLOOKUP(M41,R_DD!$B$6:$E$2112,4,0)</f>
        <v>mét</v>
      </c>
      <c r="O41" s="942">
        <v>120</v>
      </c>
      <c r="P41" s="942" t="s">
        <v>2357</v>
      </c>
      <c r="Q41" s="942"/>
      <c r="R41" s="942"/>
      <c r="S41" s="942"/>
      <c r="U41" s="943" t="s">
        <v>159</v>
      </c>
      <c r="V41" s="944" t="str">
        <f>VLOOKUP(U41,R_DD!$B$6:$E$2112,3,0)</f>
        <v>Chụp đầu cực MBA</v>
      </c>
      <c r="W41" s="943" t="str">
        <f>VLOOKUP(U41,R_DD!$B$6:$E$2112,4,0)</f>
        <v>cái</v>
      </c>
      <c r="Y41" s="945" t="s">
        <v>2186</v>
      </c>
      <c r="Z41" s="946" t="e">
        <f>VLOOKUP(X41,R_DD!$B$6:$E$2112,3,0)</f>
        <v>#N/A</v>
      </c>
      <c r="AA41" s="946" t="str">
        <f>VLOOKUP(Y41,R_DD!$A$1:$L$2131,4,0)</f>
        <v>Tiếp địa lặp lại (trụ 8.4m)</v>
      </c>
      <c r="AB41" s="947" t="str">
        <f>VLOOKUP(Y41,R_DD!$A$1:$L$2131,5,0)</f>
        <v>Bộ</v>
      </c>
      <c r="AC41" s="947" t="e">
        <f>VLOOKUP(X41,R_DD!$B$6:$E$2112,4,0)</f>
        <v>#N/A</v>
      </c>
    </row>
    <row r="42" spans="1:29" ht="20.100000000000001" customHeight="1">
      <c r="A42" s="964"/>
      <c r="B42" s="951"/>
      <c r="C42" s="965"/>
      <c r="D42" s="966"/>
      <c r="E42" s="967"/>
      <c r="H42" s="939" t="s">
        <v>2198</v>
      </c>
      <c r="I42" s="940" t="str">
        <f>VLOOKUP(H42,R_DD!$A$8:$L$2112,4,0)</f>
        <v>Tiếp địa lặp lại trụ 12m</v>
      </c>
      <c r="J42" s="939"/>
      <c r="L42" s="941" t="str">
        <f>VLOOKUP(M42,R_DD!$B$6:$E$2112,3,0)</f>
        <v>Cáp nhôm A-50</v>
      </c>
      <c r="M42" s="941" t="s">
        <v>365</v>
      </c>
      <c r="N42" s="941" t="str">
        <f>VLOOKUP(M42,R_DD!$B$6:$E$2112,4,0)</f>
        <v>kg</v>
      </c>
      <c r="O42" s="942">
        <v>150</v>
      </c>
      <c r="P42" s="942" t="s">
        <v>2357</v>
      </c>
      <c r="Q42" s="942"/>
      <c r="R42" s="942"/>
      <c r="S42" s="942"/>
      <c r="U42" s="943" t="s">
        <v>604</v>
      </c>
      <c r="V42" s="944" t="str">
        <f>VLOOKUP(U42,R_DD!$B$6:$E$2112,3,0)</f>
        <v>Ống nối dây cỡ 50mm2</v>
      </c>
      <c r="W42" s="943" t="str">
        <f>VLOOKUP(U42,R_DD!$B$6:$E$2112,4,0)</f>
        <v>cái</v>
      </c>
      <c r="Y42" s="945" t="s">
        <v>2191</v>
      </c>
      <c r="Z42" s="946" t="e">
        <f>VLOOKUP(X42,R_DD!$B$6:$E$2112,3,0)</f>
        <v>#N/A</v>
      </c>
      <c r="AA42" s="946" t="str">
        <f>VLOOKUP(Y42,R_DD!$A$1:$L$2131,4,0)</f>
        <v>Tiếp địa lặp lại trụ 8.4m cáp ABC</v>
      </c>
      <c r="AB42" s="947" t="str">
        <f>VLOOKUP(Y42,R_DD!$A$1:$L$2131,5,0)</f>
        <v>Bộ</v>
      </c>
      <c r="AC42" s="947" t="e">
        <f>VLOOKUP(X42,R_DD!$B$6:$E$2112,4,0)</f>
        <v>#N/A</v>
      </c>
    </row>
    <row r="43" spans="1:29" ht="20.100000000000001" customHeight="1">
      <c r="A43" s="964"/>
      <c r="B43" s="951"/>
      <c r="C43" s="965"/>
      <c r="D43" s="966"/>
      <c r="E43" s="967"/>
      <c r="H43" s="939" t="s">
        <v>2200</v>
      </c>
      <c r="I43" s="940" t="str">
        <f>VLOOKUP(H43,R_DD!$A$8:$L$2112,4,0)</f>
        <v>Tiếp địa TBA</v>
      </c>
      <c r="J43" s="939"/>
      <c r="L43" s="941" t="str">
        <f>VLOOKUP(M43,R_DD!$B$6:$E$2112,3,0)</f>
        <v>Cáp nhôm A-70</v>
      </c>
      <c r="M43" s="941" t="s">
        <v>367</v>
      </c>
      <c r="N43" s="941" t="str">
        <f>VLOOKUP(M43,R_DD!$B$6:$E$2112,4,0)</f>
        <v>kg</v>
      </c>
      <c r="O43" s="942">
        <v>185</v>
      </c>
      <c r="P43" s="942" t="s">
        <v>2357</v>
      </c>
      <c r="Q43" s="942"/>
      <c r="R43" s="942"/>
      <c r="S43" s="942"/>
      <c r="U43" s="943" t="s">
        <v>606</v>
      </c>
      <c r="V43" s="944" t="str">
        <f>VLOOKUP(U43,R_DD!$B$6:$E$2112,3,0)</f>
        <v>Ống nối dây cỡ 70mm2</v>
      </c>
      <c r="W43" s="943" t="str">
        <f>VLOOKUP(U43,R_DD!$B$6:$E$2112,4,0)</f>
        <v>cái</v>
      </c>
      <c r="Y43" s="945" t="s">
        <v>2193</v>
      </c>
      <c r="Z43" s="946" t="e">
        <f>VLOOKUP(X43,R_DD!$B$6:$E$2112,3,0)</f>
        <v>#N/A</v>
      </c>
      <c r="AA43" s="946" t="str">
        <f>VLOOKUP(Y43,R_DD!$A$1:$L$2131,4,0)</f>
        <v>Tiếp địa tủ phân phối hạ thế</v>
      </c>
      <c r="AB43" s="947" t="str">
        <f>VLOOKUP(Y43,R_DD!$A$1:$L$2131,5,0)</f>
        <v>Bộ</v>
      </c>
      <c r="AC43" s="947" t="e">
        <f>VLOOKUP(X43,R_DD!$B$6:$E$2112,4,0)</f>
        <v>#N/A</v>
      </c>
    </row>
    <row r="44" spans="1:29" ht="20.100000000000001" customHeight="1">
      <c r="A44" s="968"/>
      <c r="B44" s="969"/>
      <c r="C44" s="970"/>
      <c r="D44" s="966"/>
      <c r="E44" s="966"/>
      <c r="H44" s="939" t="s">
        <v>2202</v>
      </c>
      <c r="I44" s="940" t="str">
        <f>VLOOKUP(H44,R_DD!$A$8:$L$2112,4,0)</f>
        <v>Tiếp địa lặp lại (trụ 14m)</v>
      </c>
      <c r="J44" s="939"/>
      <c r="L44" s="941" t="str">
        <f>VLOOKUP(M44,R_DD!$B$6:$E$2112,3,0)</f>
        <v>Cáp nhôm A-95</v>
      </c>
      <c r="M44" s="941" t="s">
        <v>369</v>
      </c>
      <c r="N44" s="941" t="str">
        <f>VLOOKUP(M44,R_DD!$B$6:$E$2112,4,0)</f>
        <v>kg</v>
      </c>
      <c r="O44" s="942">
        <v>240</v>
      </c>
      <c r="P44" s="942" t="s">
        <v>2357</v>
      </c>
      <c r="Q44" s="942"/>
      <c r="R44" s="942"/>
      <c r="S44" s="942"/>
      <c r="U44" s="943" t="s">
        <v>608</v>
      </c>
      <c r="V44" s="944" t="str">
        <f>VLOOKUP(U44,R_DD!$B$6:$E$2112,3,0)</f>
        <v>Ống nối dây cỡ 95mm2</v>
      </c>
      <c r="W44" s="943" t="str">
        <f>VLOOKUP(U44,R_DD!$B$6:$E$2112,4,0)</f>
        <v>cái</v>
      </c>
      <c r="Y44" s="945" t="s">
        <v>2195</v>
      </c>
      <c r="Z44" s="946" t="e">
        <f>VLOOKUP(X44,R_DD!$B$6:$E$2112,3,0)</f>
        <v>#N/A</v>
      </c>
      <c r="AA44" s="946" t="str">
        <f>VLOOKUP(Y44,R_DD!$A$1:$L$2131,4,0)</f>
        <v>Tiếp địa lặp lại (trụ 10.5m)</v>
      </c>
      <c r="AB44" s="947" t="str">
        <f>VLOOKUP(Y44,R_DD!$A$1:$L$2131,5,0)</f>
        <v>Bộ</v>
      </c>
      <c r="AC44" s="947" t="e">
        <f>VLOOKUP(X44,R_DD!$B$6:$E$2112,4,0)</f>
        <v>#N/A</v>
      </c>
    </row>
    <row r="45" spans="1:29" ht="20.100000000000001" customHeight="1">
      <c r="A45" s="971"/>
      <c r="B45" s="972"/>
      <c r="C45" s="972"/>
      <c r="D45" s="973"/>
      <c r="E45" s="973"/>
      <c r="H45" s="939" t="s">
        <v>2204</v>
      </c>
      <c r="I45" s="940" t="str">
        <f>VLOOKUP(H45,R_DD!$A$8:$L$2112,4,0)</f>
        <v>Tiếp địa lặp lại (trụ 20m)</v>
      </c>
      <c r="J45" s="939"/>
      <c r="L45" s="941" t="str">
        <f>VLOOKUP(M45,R_DD!$B$6:$E$2112,3,0)</f>
        <v>Cáp nhôm A-120</v>
      </c>
      <c r="M45" s="941" t="s">
        <v>371</v>
      </c>
      <c r="N45" s="941" t="str">
        <f>VLOOKUP(M45,R_DD!$B$6:$E$2112,4,0)</f>
        <v>kg</v>
      </c>
      <c r="O45" s="942">
        <v>50</v>
      </c>
      <c r="P45" s="942" t="s">
        <v>3818</v>
      </c>
      <c r="Q45" s="942"/>
      <c r="R45" s="942"/>
      <c r="S45" s="942"/>
      <c r="U45" s="943" t="s">
        <v>610</v>
      </c>
      <c r="V45" s="944" t="str">
        <f>VLOOKUP(U45,R_DD!$B$6:$E$2112,3,0)</f>
        <v>Ống nối dây cỡ 120mm2</v>
      </c>
      <c r="W45" s="943" t="str">
        <f>VLOOKUP(U45,R_DD!$B$6:$E$2112,4,0)</f>
        <v>cái</v>
      </c>
      <c r="Y45" s="945" t="s">
        <v>2198</v>
      </c>
      <c r="Z45" s="946" t="e">
        <f>VLOOKUP(X45,R_DD!$B$6:$E$2112,3,0)</f>
        <v>#N/A</v>
      </c>
      <c r="AA45" s="946" t="str">
        <f>VLOOKUP(Y45,R_DD!$A$1:$L$2131,4,0)</f>
        <v>Tiếp địa lặp lại trụ 12m</v>
      </c>
      <c r="AB45" s="947" t="str">
        <f>VLOOKUP(Y45,R_DD!$A$1:$L$2131,5,0)</f>
        <v>Bộ</v>
      </c>
      <c r="AC45" s="947" t="e">
        <f>VLOOKUP(X45,R_DD!$B$6:$E$2112,4,0)</f>
        <v>#N/A</v>
      </c>
    </row>
    <row r="46" spans="1:29" ht="20.100000000000001" customHeight="1">
      <c r="A46" s="974"/>
      <c r="B46" s="975"/>
      <c r="C46" s="976"/>
      <c r="D46" s="977"/>
      <c r="E46" s="977"/>
      <c r="H46" s="939" t="s">
        <v>2206</v>
      </c>
      <c r="I46" s="940" t="str">
        <f>VLOOKUP(H46,R_DD!$A$8:$L$2112,4,0)</f>
        <v>Tiếp địa trụ đo đếm</v>
      </c>
      <c r="J46" s="939"/>
      <c r="L46" s="941" t="str">
        <f>VLOOKUP(M46,R_DD!$B$6:$E$2112,3,0)</f>
        <v>Cáp nhôm A-150</v>
      </c>
      <c r="M46" s="941" t="s">
        <v>373</v>
      </c>
      <c r="N46" s="941" t="str">
        <f>VLOOKUP(M46,R_DD!$B$6:$E$2112,4,0)</f>
        <v>kg</v>
      </c>
      <c r="O46" s="942">
        <v>70</v>
      </c>
      <c r="P46" s="942" t="s">
        <v>3818</v>
      </c>
      <c r="Q46" s="942"/>
      <c r="R46" s="942"/>
      <c r="S46" s="942"/>
      <c r="U46" s="943" t="s">
        <v>612</v>
      </c>
      <c r="V46" s="944" t="str">
        <f>VLOOKUP(U46,R_DD!$B$6:$E$2112,3,0)</f>
        <v>Ống nối dây cỡ 150mm2</v>
      </c>
      <c r="W46" s="943" t="str">
        <f>VLOOKUP(U46,R_DD!$B$6:$E$2112,4,0)</f>
        <v>cái</v>
      </c>
      <c r="Y46" s="945" t="s">
        <v>2200</v>
      </c>
      <c r="Z46" s="946" t="e">
        <f>VLOOKUP(X46,R_DD!$B$6:$E$2112,3,0)</f>
        <v>#N/A</v>
      </c>
      <c r="AA46" s="946" t="str">
        <f>VLOOKUP(Y46,R_DD!$A$1:$L$2131,4,0)</f>
        <v>Tiếp địa TBA</v>
      </c>
      <c r="AB46" s="947" t="str">
        <f>VLOOKUP(Y46,R_DD!$A$1:$L$2131,5,0)</f>
        <v>Bộ</v>
      </c>
      <c r="AC46" s="947" t="e">
        <f>VLOOKUP(X46,R_DD!$B$6:$E$2112,4,0)</f>
        <v>#N/A</v>
      </c>
    </row>
    <row r="47" spans="1:29" ht="20.100000000000001" customHeight="1">
      <c r="A47" s="974"/>
      <c r="B47" s="978"/>
      <c r="C47" s="975"/>
      <c r="D47" s="979"/>
      <c r="E47" s="980"/>
      <c r="H47" s="939" t="s">
        <v>2566</v>
      </c>
      <c r="I47" s="940" t="str">
        <f>VLOOKUP(H47,R_DD!$A$8:$L$2112,4,0)</f>
        <v>Bộ xà kép Composite bắt LA, FCO 1 pha</v>
      </c>
      <c r="J47" s="939"/>
      <c r="L47" s="941" t="str">
        <f>VLOOKUP(M47,R_DD!$B$6:$E$2112,3,0)</f>
        <v>Cáp nhôm A-185</v>
      </c>
      <c r="M47" s="941" t="s">
        <v>375</v>
      </c>
      <c r="N47" s="941" t="str">
        <f>VLOOKUP(M47,R_DD!$B$6:$E$2112,4,0)</f>
        <v>kg</v>
      </c>
      <c r="O47" s="942">
        <v>95</v>
      </c>
      <c r="P47" s="942" t="s">
        <v>3818</v>
      </c>
      <c r="Q47" s="942"/>
      <c r="R47" s="942"/>
      <c r="S47" s="942"/>
      <c r="U47" s="943" t="s">
        <v>614</v>
      </c>
      <c r="V47" s="944" t="str">
        <f>VLOOKUP(U47,R_DD!$B$6:$E$2112,3,0)</f>
        <v>Ống nối dây cỡ 185mm2</v>
      </c>
      <c r="W47" s="943" t="str">
        <f>VLOOKUP(U47,R_DD!$B$6:$E$2112,4,0)</f>
        <v>cái</v>
      </c>
      <c r="Y47" s="945" t="s">
        <v>2202</v>
      </c>
      <c r="Z47" s="946" t="e">
        <f>VLOOKUP(X47,R_DD!$B$6:$E$2112,3,0)</f>
        <v>#N/A</v>
      </c>
      <c r="AA47" s="946" t="str">
        <f>VLOOKUP(Y47,R_DD!$A$1:$L$2131,4,0)</f>
        <v>Tiếp địa lặp lại (trụ 14m)</v>
      </c>
      <c r="AB47" s="947" t="str">
        <f>VLOOKUP(Y47,R_DD!$A$1:$L$2131,5,0)</f>
        <v>Bộ</v>
      </c>
      <c r="AC47" s="947" t="e">
        <f>VLOOKUP(X47,R_DD!$B$6:$E$2112,4,0)</f>
        <v>#N/A</v>
      </c>
    </row>
    <row r="48" spans="1:29" ht="20.100000000000001" customHeight="1">
      <c r="A48" s="974"/>
      <c r="B48" s="981"/>
      <c r="C48" s="982"/>
      <c r="D48" s="979"/>
      <c r="E48" s="979"/>
      <c r="H48" s="939" t="s">
        <v>2565</v>
      </c>
      <c r="I48" s="940" t="str">
        <f>VLOOKUP(H48,R_DD!$A$8:$L$2112,4,0)</f>
        <v>Bộ xà Composite bắt LA, FCO 3 pha</v>
      </c>
      <c r="J48" s="939"/>
      <c r="L48" s="941" t="str">
        <f>VLOOKUP(M48,R_DD!$B$6:$E$2112,3,0)</f>
        <v>Cáp nhôm A-240</v>
      </c>
      <c r="M48" s="941" t="s">
        <v>377</v>
      </c>
      <c r="N48" s="941" t="str">
        <f>VLOOKUP(M48,R_DD!$B$6:$E$2112,4,0)</f>
        <v>kg</v>
      </c>
      <c r="O48" s="942">
        <v>120</v>
      </c>
      <c r="P48" s="942" t="s">
        <v>3818</v>
      </c>
      <c r="Q48" s="942"/>
      <c r="R48" s="942"/>
      <c r="S48" s="942"/>
      <c r="U48" s="943" t="s">
        <v>616</v>
      </c>
      <c r="V48" s="944" t="str">
        <f>VLOOKUP(U48,R_DD!$B$6:$E$2112,3,0)</f>
        <v>Ống nối dây cỡ 240mm2</v>
      </c>
      <c r="W48" s="943" t="str">
        <f>VLOOKUP(U48,R_DD!$B$6:$E$2112,4,0)</f>
        <v>cái</v>
      </c>
      <c r="Y48" s="945" t="s">
        <v>2204</v>
      </c>
      <c r="Z48" s="946" t="e">
        <f>VLOOKUP(X48,R_DD!$B$6:$E$2112,3,0)</f>
        <v>#N/A</v>
      </c>
      <c r="AA48" s="946" t="str">
        <f>VLOOKUP(Y48,R_DD!$A$1:$L$2131,4,0)</f>
        <v>Tiếp địa lặp lại (trụ 20m)</v>
      </c>
      <c r="AB48" s="947" t="str">
        <f>VLOOKUP(Y48,R_DD!$A$1:$L$2131,5,0)</f>
        <v>Bộ</v>
      </c>
      <c r="AC48" s="947" t="e">
        <f>VLOOKUP(X48,R_DD!$B$6:$E$2112,4,0)</f>
        <v>#N/A</v>
      </c>
    </row>
    <row r="49" spans="1:29" ht="20.100000000000001" customHeight="1">
      <c r="A49" s="974"/>
      <c r="B49" s="981"/>
      <c r="C49" s="976"/>
      <c r="D49" s="979"/>
      <c r="E49" s="979"/>
      <c r="H49" s="939" t="s">
        <v>2991</v>
      </c>
      <c r="I49" s="940" t="str">
        <f>VLOOKUP(H49,R_DD!$A$8:$L$2112,4,0)</f>
        <v>Bộ xà Composite bắt LA, FCO 3 pha (H)</v>
      </c>
      <c r="J49" s="939"/>
      <c r="L49" s="941" t="str">
        <f>VLOOKUP(M49,R_DD!$B$6:$E$2112,3,0)</f>
        <v>Cáp 24kV C/XLPE/DSTA/PVC3x50</v>
      </c>
      <c r="M49" s="941" t="s">
        <v>251</v>
      </c>
      <c r="N49" s="941" t="str">
        <f>VLOOKUP(M49,R_DD!$B$6:$E$2112,4,0)</f>
        <v>mét</v>
      </c>
      <c r="O49" s="942">
        <v>150</v>
      </c>
      <c r="P49" s="942" t="s">
        <v>3818</v>
      </c>
      <c r="Q49" s="942"/>
      <c r="R49" s="942"/>
      <c r="S49" s="942"/>
      <c r="U49" s="943" t="s">
        <v>3021</v>
      </c>
      <c r="V49" s="944" t="str">
        <f>VLOOKUP(U49,R_DD!$B$6:$E$2112,3,0)</f>
        <v>Ống co nhiệt D34</v>
      </c>
      <c r="W49" s="943" t="str">
        <f>VLOOKUP(U49,R_DD!$B$6:$E$2112,4,0)</f>
        <v>m</v>
      </c>
      <c r="Y49" s="945" t="s">
        <v>2206</v>
      </c>
      <c r="Z49" s="946" t="e">
        <f>VLOOKUP(X49,R_DD!$B$6:$E$2112,3,0)</f>
        <v>#N/A</v>
      </c>
      <c r="AA49" s="946" t="str">
        <f>VLOOKUP(Y49,R_DD!$A$1:$L$2131,4,0)</f>
        <v>Tiếp địa trụ đo đếm</v>
      </c>
      <c r="AB49" s="947" t="str">
        <f>VLOOKUP(Y49,R_DD!$A$1:$L$2131,5,0)</f>
        <v>Bộ</v>
      </c>
      <c r="AC49" s="947" t="e">
        <f>VLOOKUP(X49,R_DD!$B$6:$E$2112,4,0)</f>
        <v>#N/A</v>
      </c>
    </row>
    <row r="50" spans="1:29" ht="20.100000000000001" customHeight="1">
      <c r="A50" s="974"/>
      <c r="B50" s="981"/>
      <c r="C50" s="976"/>
      <c r="D50" s="979"/>
      <c r="E50" s="979"/>
      <c r="H50" s="939" t="s">
        <v>2226</v>
      </c>
      <c r="I50" s="940" t="str">
        <f>VLOOKUP(H50,R_DD!$A$8:$L$2112,4,0)</f>
        <v>Bộ xà đơn L75x75x8 dài 1,66m:  X-1,66Đ</v>
      </c>
      <c r="J50" s="939"/>
      <c r="L50" s="941" t="str">
        <f>VLOOKUP(M50,R_DD!$B$6:$E$2112,3,0)</f>
        <v>Cáp 24kV C/XLPE/DSTA/PVC3x70mm2</v>
      </c>
      <c r="M50" s="941" t="s">
        <v>253</v>
      </c>
      <c r="N50" s="941" t="str">
        <f>VLOOKUP(M50,R_DD!$B$6:$E$2112,4,0)</f>
        <v>mét</v>
      </c>
      <c r="O50" s="942">
        <v>185</v>
      </c>
      <c r="P50" s="942" t="s">
        <v>3818</v>
      </c>
      <c r="Q50" s="942"/>
      <c r="R50" s="942"/>
      <c r="S50" s="942"/>
      <c r="U50" s="943" t="s">
        <v>386</v>
      </c>
      <c r="V50" s="944" t="str">
        <f>VLOOKUP(U50,R_DD!$B$6:$E$2112,3,0)</f>
        <v xml:space="preserve">Dây nhôm buộc </v>
      </c>
      <c r="W50" s="943" t="str">
        <f>VLOOKUP(U50,R_DD!$B$6:$E$2112,4,0)</f>
        <v>kg</v>
      </c>
      <c r="Y50" s="945" t="s">
        <v>2566</v>
      </c>
      <c r="Z50" s="946" t="e">
        <f>VLOOKUP(X50,R_DD!$B$6:$E$2112,3,0)</f>
        <v>#N/A</v>
      </c>
      <c r="AA50" s="946" t="str">
        <f>VLOOKUP(Y50,R_DD!$A$1:$L$2131,4,0)</f>
        <v>Bộ xà kép Composite bắt LA, FCO 1 pha</v>
      </c>
      <c r="AB50" s="947" t="str">
        <f>VLOOKUP(Y50,R_DD!$A$1:$L$2131,5,0)</f>
        <v>Bộ</v>
      </c>
      <c r="AC50" s="947" t="e">
        <f>VLOOKUP(X50,R_DD!$B$6:$E$2112,4,0)</f>
        <v>#N/A</v>
      </c>
    </row>
    <row r="51" spans="1:29" ht="20.100000000000001" customHeight="1">
      <c r="A51" s="974"/>
      <c r="B51" s="981"/>
      <c r="C51" s="976"/>
      <c r="D51" s="979"/>
      <c r="E51" s="979"/>
      <c r="H51" s="939" t="s">
        <v>2229</v>
      </c>
      <c r="I51" s="940" t="str">
        <f>VLOOKUP(H51,R_DD!$A$8:$L$2112,4,0)</f>
        <v>Bộ xà kép L75x75x8 dài 1,66m:  X-1,66K</v>
      </c>
      <c r="J51" s="939"/>
      <c r="L51" s="941" t="str">
        <f>VLOOKUP(M51,R_DD!$B$6:$E$2112,3,0)</f>
        <v>Cáp 24kV C/XLPE/DSTA/PVC3x95mm2</v>
      </c>
      <c r="M51" s="941" t="s">
        <v>255</v>
      </c>
      <c r="N51" s="941" t="str">
        <f>VLOOKUP(M51,R_DD!$B$6:$E$2112,4,0)</f>
        <v>mét</v>
      </c>
      <c r="O51" s="983">
        <v>240</v>
      </c>
      <c r="P51" s="983" t="s">
        <v>3818</v>
      </c>
      <c r="Q51" s="983"/>
      <c r="R51" s="983"/>
      <c r="S51" s="983"/>
      <c r="U51" s="943" t="s">
        <v>2314</v>
      </c>
      <c r="V51" s="944" t="str">
        <f>VLOOKUP(U51,R_DD!$B$6:$E$2112,3,0)</f>
        <v>Biển số - Bảng nguy hiểm</v>
      </c>
      <c r="W51" s="943" t="str">
        <f>VLOOKUP(U51,R_DD!$B$6:$E$2112,4,0)</f>
        <v>cái</v>
      </c>
      <c r="Y51" s="945" t="s">
        <v>2565</v>
      </c>
      <c r="Z51" s="946" t="e">
        <f>VLOOKUP(X51,R_DD!$B$6:$E$2112,3,0)</f>
        <v>#N/A</v>
      </c>
      <c r="AA51" s="946" t="str">
        <f>VLOOKUP(Y51,R_DD!$A$1:$L$2131,4,0)</f>
        <v>Bộ xà Composite bắt LA, FCO 3 pha</v>
      </c>
      <c r="AB51" s="947" t="str">
        <f>VLOOKUP(Y51,R_DD!$A$1:$L$2131,5,0)</f>
        <v>Bộ</v>
      </c>
      <c r="AC51" s="947" t="e">
        <f>VLOOKUP(X51,R_DD!$B$6:$E$2112,4,0)</f>
        <v>#N/A</v>
      </c>
    </row>
    <row r="52" spans="1:29" ht="20.100000000000001" customHeight="1">
      <c r="A52" s="974"/>
      <c r="B52" s="981"/>
      <c r="C52" s="976"/>
      <c r="D52" s="979"/>
      <c r="E52" s="980"/>
      <c r="H52" s="939" t="s">
        <v>2233</v>
      </c>
      <c r="I52" s="940" t="str">
        <f>VLOOKUP(H52,R_DD!$A$8:$L$2112,4,0)</f>
        <v>Bộ xà đơn L75x75x8 dài 2m:  X-20Đ</v>
      </c>
      <c r="J52" s="939"/>
      <c r="L52" s="941" t="str">
        <f>VLOOKUP(M52,R_DD!$B$6:$E$2112,3,0)</f>
        <v>Cáp 24kV C/XLPE/DSTA/PVC3x120mm2</v>
      </c>
      <c r="M52" s="941" t="s">
        <v>257</v>
      </c>
      <c r="N52" s="941" t="str">
        <f>VLOOKUP(M52,R_DD!$B$6:$E$2112,4,0)</f>
        <v>mét</v>
      </c>
      <c r="P52" s="983" t="s">
        <v>3818</v>
      </c>
      <c r="U52" s="943" t="s">
        <v>4839</v>
      </c>
      <c r="V52" s="944" t="str">
        <f>VLOOKUP(U52,R_DD!$B$6:$E$2112,3,0)</f>
        <v>Ghíp nối IPC 150-25</v>
      </c>
      <c r="W52" s="943" t="str">
        <f>VLOOKUP(U52,R_DD!$B$6:$E$2112,4,0)</f>
        <v>cái</v>
      </c>
      <c r="Y52" s="945" t="s">
        <v>3769</v>
      </c>
      <c r="Z52" s="946" t="e">
        <f>VLOOKUP(X52,R_DD!$B$6:$E$2112,3,0)</f>
        <v>#N/A</v>
      </c>
      <c r="AA52" s="946" t="str">
        <f>VLOOKUP(Y52,R_DD!$A$1:$L$2131,4,0)</f>
        <v>Bộ xà kép Composite bắt LA, FCO 3 pha</v>
      </c>
      <c r="AB52" s="947" t="str">
        <f>VLOOKUP(Y52,R_DD!$A$1:$L$2131,5,0)</f>
        <v>Bộ</v>
      </c>
      <c r="AC52" s="947" t="e">
        <f>VLOOKUP(X52,R_DD!$B$6:$E$2112,4,0)</f>
        <v>#N/A</v>
      </c>
    </row>
    <row r="53" spans="1:29" ht="20.100000000000001" customHeight="1">
      <c r="A53" s="974"/>
      <c r="B53" s="981"/>
      <c r="C53" s="976"/>
      <c r="D53" s="979"/>
      <c r="E53" s="979"/>
      <c r="H53" s="939" t="s">
        <v>2235</v>
      </c>
      <c r="I53" s="940" t="str">
        <f>VLOOKUP(H53,R_DD!$A$8:$L$2112,4,0)</f>
        <v xml:space="preserve">Bộ xà kép L75x75x8 dài 2m: X-20K </v>
      </c>
      <c r="J53" s="939"/>
      <c r="L53" s="941" t="str">
        <f>VLOOKUP(M53,R_DD!$B$6:$E$2112,3,0)</f>
        <v>Cáp 24kV C/XLPE/DSTA/PVC3x150mm2</v>
      </c>
      <c r="M53" s="941" t="s">
        <v>259</v>
      </c>
      <c r="N53" s="941" t="str">
        <f>VLOOKUP(M53,R_DD!$B$6:$E$2112,4,0)</f>
        <v>mét</v>
      </c>
      <c r="P53" s="947" t="s">
        <v>3819</v>
      </c>
      <c r="U53" s="943" t="s">
        <v>4838</v>
      </c>
      <c r="V53" s="944" t="str">
        <f>VLOOKUP(U53,R_DD!$B$6:$E$2112,3,0)</f>
        <v>Ghíp nối IPC 150-150</v>
      </c>
      <c r="W53" s="943" t="str">
        <f>VLOOKUP(U53,R_DD!$B$6:$E$2112,4,0)</f>
        <v>cái</v>
      </c>
      <c r="Y53" s="945" t="s">
        <v>2991</v>
      </c>
      <c r="Z53" s="946" t="e">
        <f>VLOOKUP(X53,R_DD!$B$6:$E$2112,3,0)</f>
        <v>#N/A</v>
      </c>
      <c r="AA53" s="946" t="str">
        <f>VLOOKUP(Y53,R_DD!$A$1:$L$2131,4,0)</f>
        <v>Bộ xà Composite bắt LA, FCO 3 pha (H)</v>
      </c>
      <c r="AB53" s="947" t="str">
        <f>VLOOKUP(Y53,R_DD!$A$1:$L$2131,5,0)</f>
        <v>Bộ</v>
      </c>
      <c r="AC53" s="947" t="e">
        <f>VLOOKUP(X53,R_DD!$B$6:$E$2112,4,0)</f>
        <v>#N/A</v>
      </c>
    </row>
    <row r="54" spans="1:29" ht="20.100000000000001" customHeight="1">
      <c r="A54" s="974"/>
      <c r="B54" s="981"/>
      <c r="C54" s="976"/>
      <c r="D54" s="979"/>
      <c r="E54" s="979"/>
      <c r="H54" s="939" t="s">
        <v>2238</v>
      </c>
      <c r="I54" s="940" t="str">
        <f>VLOOKUP(H54,R_DD!$A$8:$L$2112,4,0)</f>
        <v>Bộ xà đơn L75x75x8 dài 2.2m: X-22Đ - C810</v>
      </c>
      <c r="J54" s="939"/>
      <c r="L54" s="941" t="str">
        <f>VLOOKUP(M54,R_DD!$B$6:$E$2112,3,0)</f>
        <v>Cáp 24kV C/XLPE/DSTA/PVC3x185mm2</v>
      </c>
      <c r="M54" s="941" t="s">
        <v>261</v>
      </c>
      <c r="N54" s="941" t="str">
        <f>VLOOKUP(M54,R_DD!$B$6:$E$2112,4,0)</f>
        <v>mét</v>
      </c>
      <c r="P54" s="947" t="s">
        <v>3820</v>
      </c>
      <c r="U54" s="943" t="s">
        <v>2071</v>
      </c>
      <c r="V54" s="944" t="str">
        <f>VLOOKUP(U54,R_DD!$B$6:$E$2112,3,0)</f>
        <v>Ghíp nối IPC 95-95</v>
      </c>
      <c r="W54" s="943" t="str">
        <f>VLOOKUP(U54,R_DD!$B$6:$E$2112,4,0)</f>
        <v>cái</v>
      </c>
      <c r="Y54" s="945" t="s">
        <v>2226</v>
      </c>
      <c r="Z54" s="946" t="e">
        <f>VLOOKUP(X54,R_DD!$B$6:$E$2112,3,0)</f>
        <v>#N/A</v>
      </c>
      <c r="AA54" s="946" t="str">
        <f>VLOOKUP(Y54,R_DD!$A$1:$L$2131,4,0)</f>
        <v>Bộ xà đơn L75x75x8 dài 1,66m:  X-1,66Đ</v>
      </c>
      <c r="AB54" s="947" t="str">
        <f>VLOOKUP(Y54,R_DD!$A$1:$L$2131,5,0)</f>
        <v>Bộ</v>
      </c>
      <c r="AC54" s="947" t="e">
        <f>VLOOKUP(X54,R_DD!$B$6:$E$2112,4,0)</f>
        <v>#N/A</v>
      </c>
    </row>
    <row r="55" spans="1:29" ht="20.100000000000001" customHeight="1">
      <c r="A55" s="974"/>
      <c r="B55" s="981"/>
      <c r="C55" s="977"/>
      <c r="D55" s="979"/>
      <c r="E55" s="979"/>
      <c r="H55" s="939" t="s">
        <v>2240</v>
      </c>
      <c r="I55" s="940" t="e">
        <f>VLOOKUP(H55,R_DD!$A$8:$L$2112,4,0)</f>
        <v>#N/A</v>
      </c>
      <c r="J55" s="939"/>
      <c r="L55" s="941" t="str">
        <f>VLOOKUP(M55,R_DD!$B$6:$E$2112,3,0)</f>
        <v>Cáp 24kV C/XLPE/DSTA/PVC3x240mm2</v>
      </c>
      <c r="M55" s="941" t="s">
        <v>263</v>
      </c>
      <c r="N55" s="941" t="str">
        <f>VLOOKUP(M55,R_DD!$B$6:$E$2112,4,0)</f>
        <v>mét</v>
      </c>
      <c r="P55" s="947" t="s">
        <v>3821</v>
      </c>
      <c r="U55" s="943" t="s">
        <v>4132</v>
      </c>
      <c r="V55" s="944" t="str">
        <f>VLOOKUP(U55,R_DD!$B$6:$E$2112,3,0)</f>
        <v>Ghíp nối IPC 120-120 2BL</v>
      </c>
      <c r="W55" s="943" t="str">
        <f>VLOOKUP(U55,R_DD!$B$6:$E$2112,4,0)</f>
        <v>cái</v>
      </c>
      <c r="Y55" s="945" t="s">
        <v>2229</v>
      </c>
      <c r="Z55" s="946" t="e">
        <f>VLOOKUP(X55,R_DD!$B$6:$E$2112,3,0)</f>
        <v>#N/A</v>
      </c>
      <c r="AA55" s="946" t="str">
        <f>VLOOKUP(Y55,R_DD!$A$1:$L$2131,4,0)</f>
        <v>Bộ xà kép L75x75x8 dài 1,66m:  X-1,66K</v>
      </c>
      <c r="AB55" s="947" t="str">
        <f>VLOOKUP(Y55,R_DD!$A$1:$L$2131,5,0)</f>
        <v>Bộ</v>
      </c>
      <c r="AC55" s="947" t="e">
        <f>VLOOKUP(X55,R_DD!$B$6:$E$2112,4,0)</f>
        <v>#N/A</v>
      </c>
    </row>
    <row r="56" spans="1:29" ht="20.100000000000001" customHeight="1">
      <c r="A56" s="974"/>
      <c r="B56" s="981"/>
      <c r="C56" s="977"/>
      <c r="D56" s="979"/>
      <c r="E56" s="979"/>
      <c r="H56" s="939" t="s">
        <v>2241</v>
      </c>
      <c r="I56" s="940" t="str">
        <f>VLOOKUP(H56,R_DD!$A$8:$L$2112,4,0)</f>
        <v>Bộ xà kép L75x75x8 dài 2.2m: X-22K-Đ - C810</v>
      </c>
      <c r="J56" s="939"/>
      <c r="L56" s="941" t="str">
        <f>VLOOKUP(M56,R_DD!$B$6:$E$2112,3,0)</f>
        <v>Cáp C/XLPE/DSTA/PVC -0.6/1kV-3x50+35mm2</v>
      </c>
      <c r="M56" s="941" t="s">
        <v>247</v>
      </c>
      <c r="N56" s="941" t="str">
        <f>VLOOKUP(M56,R_DD!$B$6:$E$2112,4,0)</f>
        <v>mét</v>
      </c>
      <c r="U56" s="943" t="s">
        <v>4131</v>
      </c>
      <c r="V56" s="944" t="str">
        <f>VLOOKUP(U56,R_DD!$B$6:$E$2112,3,0)</f>
        <v>Ghíp nối IPC 120-25 2BL</v>
      </c>
      <c r="W56" s="943" t="str">
        <f>VLOOKUP(U56,R_DD!$B$6:$E$2112,4,0)</f>
        <v>cái</v>
      </c>
      <c r="Y56" s="945" t="s">
        <v>2233</v>
      </c>
      <c r="Z56" s="946" t="e">
        <f>VLOOKUP(X56,R_DD!$B$6:$E$2112,3,0)</f>
        <v>#N/A</v>
      </c>
      <c r="AA56" s="946" t="str">
        <f>VLOOKUP(Y56,R_DD!$A$1:$L$2131,4,0)</f>
        <v>Bộ xà đơn L75x75x8 dài 2m:  X-20Đ</v>
      </c>
      <c r="AB56" s="947" t="str">
        <f>VLOOKUP(Y56,R_DD!$A$1:$L$2131,5,0)</f>
        <v>Bộ</v>
      </c>
      <c r="AC56" s="947" t="e">
        <f>VLOOKUP(X56,R_DD!$B$6:$E$2112,4,0)</f>
        <v>#N/A</v>
      </c>
    </row>
    <row r="57" spans="1:29" ht="20.100000000000001" customHeight="1">
      <c r="A57" s="974"/>
      <c r="B57" s="978"/>
      <c r="C57" s="977"/>
      <c r="D57" s="979"/>
      <c r="E57" s="980"/>
      <c r="H57" s="939" t="s">
        <v>2243</v>
      </c>
      <c r="I57" s="940" t="str">
        <f>VLOOKUP(H57,R_DD!$A$8:$L$2112,4,0)</f>
        <v>Bộ xà kép L75x75x8 dài 2.2m: X-22K-K - C810 (Pi)</v>
      </c>
      <c r="J57" s="939"/>
      <c r="L57" s="941" t="str">
        <f>VLOOKUP(M57,R_DD!$B$6:$E$2112,3,0)</f>
        <v>Cáp Duplex Cu 2x16</v>
      </c>
      <c r="M57" s="941" t="s">
        <v>4958</v>
      </c>
      <c r="N57" s="941" t="str">
        <f>VLOOKUP(M57,R_DD!$B$6:$E$2112,4,0)</f>
        <v>m</v>
      </c>
      <c r="U57" s="943" t="s">
        <v>4837</v>
      </c>
      <c r="V57" s="944" t="str">
        <f>VLOOKUP(U57,R_DD!$B$6:$E$2112,3,0)</f>
        <v>Ghíp nối IPC 95-25 2BL</v>
      </c>
      <c r="W57" s="943" t="str">
        <f>VLOOKUP(U57,R_DD!$B$6:$E$2112,4,0)</f>
        <v>cái</v>
      </c>
      <c r="Y57" s="945" t="s">
        <v>2235</v>
      </c>
      <c r="Z57" s="946" t="e">
        <f>VLOOKUP(X57,R_DD!$B$6:$E$2112,3,0)</f>
        <v>#N/A</v>
      </c>
      <c r="AA57" s="946" t="str">
        <f>VLOOKUP(Y57,R_DD!$A$1:$L$2131,4,0)</f>
        <v xml:space="preserve">Bộ xà kép L75x75x8 dài 2m: X-20K </v>
      </c>
      <c r="AB57" s="947" t="str">
        <f>VLOOKUP(Y57,R_DD!$A$1:$L$2131,5,0)</f>
        <v>Bộ</v>
      </c>
      <c r="AC57" s="947" t="e">
        <f>VLOOKUP(X57,R_DD!$B$6:$E$2112,4,0)</f>
        <v>#N/A</v>
      </c>
    </row>
    <row r="58" spans="1:29" ht="20.100000000000001" customHeight="1">
      <c r="A58" s="974"/>
      <c r="B58" s="981"/>
      <c r="C58" s="977"/>
      <c r="D58" s="979"/>
      <c r="E58" s="979"/>
      <c r="H58" s="939" t="s">
        <v>2245</v>
      </c>
      <c r="I58" s="940" t="str">
        <f>VLOOKUP(H58,R_DD!$A$8:$L$2112,4,0)</f>
        <v>Bộ xà kép L75x75x8 dài 2.2m: X-22K - C920</v>
      </c>
      <c r="J58" s="939"/>
      <c r="L58" s="941" t="str">
        <f>VLOOKUP(M58,R_DD!$B$6:$E$2112,3,0)</f>
        <v>Cáp Quadruplex 4x11</v>
      </c>
      <c r="M58" s="941" t="s">
        <v>1865</v>
      </c>
      <c r="N58" s="941" t="str">
        <f>VLOOKUP(M58,R_DD!$B$6:$E$2112,4,0)</f>
        <v>m</v>
      </c>
      <c r="U58" s="943" t="s">
        <v>2055</v>
      </c>
      <c r="V58" s="944" t="str">
        <f>VLOOKUP(U58,R_DD!$B$6:$E$2112,3,0)</f>
        <v>Ghíp nối IPC 70-25 2BL</v>
      </c>
      <c r="W58" s="943" t="str">
        <f>VLOOKUP(U58,R_DD!$B$6:$E$2112,4,0)</f>
        <v>cái</v>
      </c>
      <c r="Y58" s="945" t="s">
        <v>2238</v>
      </c>
      <c r="Z58" s="946" t="e">
        <f>VLOOKUP(X58,R_DD!$B$6:$E$2112,3,0)</f>
        <v>#N/A</v>
      </c>
      <c r="AA58" s="946" t="str">
        <f>VLOOKUP(Y58,R_DD!$A$1:$L$2131,4,0)</f>
        <v>Bộ xà đơn L75x75x8 dài 2.2m: X-22Đ - C810</v>
      </c>
      <c r="AB58" s="947" t="str">
        <f>VLOOKUP(Y58,R_DD!$A$1:$L$2131,5,0)</f>
        <v>Bộ</v>
      </c>
      <c r="AC58" s="947" t="e">
        <f>VLOOKUP(X58,R_DD!$B$6:$E$2112,4,0)</f>
        <v>#N/A</v>
      </c>
    </row>
    <row r="59" spans="1:29" ht="20.100000000000001" customHeight="1">
      <c r="A59" s="974"/>
      <c r="B59" s="981"/>
      <c r="C59" s="977"/>
      <c r="D59" s="979"/>
      <c r="E59" s="979"/>
      <c r="H59" s="939" t="s">
        <v>2248</v>
      </c>
      <c r="I59" s="940" t="str">
        <f>VLOOKUP(H59,R_DD!$A$8:$L$2112,4,0)</f>
        <v xml:space="preserve">Bộ xà đơn L75x75x8 dài 2.4m: X-24Đ </v>
      </c>
      <c r="J59" s="939"/>
      <c r="L59" s="941" t="str">
        <f>VLOOKUP(M59,R_DD!$B$6:$E$2112,3,0)</f>
        <v>Cáp Quadruplex 4x16</v>
      </c>
      <c r="M59" s="941" t="s">
        <v>1867</v>
      </c>
      <c r="N59" s="941" t="str">
        <f>VLOOKUP(M59,R_DD!$B$6:$E$2112,4,0)</f>
        <v>m</v>
      </c>
      <c r="U59" s="943" t="s">
        <v>4836</v>
      </c>
      <c r="V59" s="944" t="str">
        <f>VLOOKUP(U59,R_DD!$B$6:$E$2112,3,0)</f>
        <v>Ghíp nối IPC 50-25 2BL</v>
      </c>
      <c r="W59" s="943" t="str">
        <f>VLOOKUP(U59,R_DD!$B$6:$E$2112,4,0)</f>
        <v>cái</v>
      </c>
      <c r="Y59" s="945" t="s">
        <v>2241</v>
      </c>
      <c r="Z59" s="946" t="e">
        <f>VLOOKUP(X59,R_DD!$B$6:$E$2112,3,0)</f>
        <v>#N/A</v>
      </c>
      <c r="AA59" s="946" t="str">
        <f>VLOOKUP(Y59,R_DD!$A$1:$L$2131,4,0)</f>
        <v>Bộ xà kép L75x75x8 dài 2.2m: X-22K-Đ - C810</v>
      </c>
      <c r="AB59" s="947" t="str">
        <f>VLOOKUP(Y59,R_DD!$A$1:$L$2131,5,0)</f>
        <v>Bộ</v>
      </c>
      <c r="AC59" s="947" t="e">
        <f>VLOOKUP(X59,R_DD!$B$6:$E$2112,4,0)</f>
        <v>#N/A</v>
      </c>
    </row>
    <row r="60" spans="1:29" ht="20.100000000000001" customHeight="1">
      <c r="A60" s="974"/>
      <c r="B60" s="981"/>
      <c r="C60" s="977"/>
      <c r="D60" s="979"/>
      <c r="E60" s="979"/>
      <c r="H60" s="939" t="s">
        <v>2250</v>
      </c>
      <c r="I60" s="940" t="str">
        <f>VLOOKUP(H60,R_DD!$A$8:$L$2112,4,0)</f>
        <v xml:space="preserve">Bộ xà kép L75x75x8 dài 2.4m: X-24K </v>
      </c>
      <c r="J60" s="939"/>
      <c r="L60" s="941" t="e">
        <f>VLOOKUP(M60,R_DD!$B$6:$E$2112,3,0)</f>
        <v>#N/A</v>
      </c>
      <c r="M60" s="941"/>
      <c r="N60" s="941" t="e">
        <f>VLOOKUP(M60,R_DD!$B$6:$E$2112,4,0)</f>
        <v>#N/A</v>
      </c>
      <c r="U60" s="943" t="s">
        <v>472</v>
      </c>
      <c r="V60" s="944" t="str">
        <f>VLOOKUP(U60,R_DD!$B$6:$E$2112,3,0)</f>
        <v>Hộp phân phối trực tiếp 9KH</v>
      </c>
      <c r="W60" s="943" t="str">
        <f>VLOOKUP(U60,R_DD!$B$6:$E$2112,4,0)</f>
        <v>cái</v>
      </c>
      <c r="Y60" s="945" t="s">
        <v>2243</v>
      </c>
      <c r="Z60" s="946" t="e">
        <f>VLOOKUP(X60,R_DD!$B$6:$E$2112,3,0)</f>
        <v>#N/A</v>
      </c>
      <c r="AA60" s="946" t="str">
        <f>VLOOKUP(Y60,R_DD!$A$1:$L$2131,4,0)</f>
        <v>Bộ xà kép L75x75x8 dài 2.2m: X-22K-K - C810 (Pi)</v>
      </c>
      <c r="AB60" s="947" t="str">
        <f>VLOOKUP(Y60,R_DD!$A$1:$L$2131,5,0)</f>
        <v>Bộ</v>
      </c>
      <c r="AC60" s="947" t="e">
        <f>VLOOKUP(X60,R_DD!$B$6:$E$2112,4,0)</f>
        <v>#N/A</v>
      </c>
    </row>
    <row r="61" spans="1:29" ht="20.100000000000001" customHeight="1">
      <c r="A61" s="974"/>
      <c r="B61" s="981"/>
      <c r="C61" s="977"/>
      <c r="D61" s="979"/>
      <c r="E61" s="979"/>
      <c r="H61" s="939" t="s">
        <v>2252</v>
      </c>
      <c r="I61" s="940" t="e">
        <f>VLOOKUP(H61,R_DD!$A$8:$L$2112,4,0)</f>
        <v>#N/A</v>
      </c>
      <c r="J61" s="939"/>
      <c r="L61" s="941" t="e">
        <f>VLOOKUP(M61,R_DD!$B$6:$E$2112,3,0)</f>
        <v>#N/A</v>
      </c>
      <c r="M61" s="941"/>
      <c r="N61" s="941" t="e">
        <f>VLOOKUP(M61,R_DD!$B$6:$E$2112,4,0)</f>
        <v>#N/A</v>
      </c>
      <c r="U61" s="943" t="s">
        <v>473</v>
      </c>
      <c r="V61" s="944" t="str">
        <f>VLOOKUP(U61,R_DD!$B$6:$E$2112,3,0)</f>
        <v>Hộp phân phối trực tiếp 6KH</v>
      </c>
      <c r="W61" s="943" t="str">
        <f>VLOOKUP(U61,R_DD!$B$6:$E$2112,4,0)</f>
        <v>cái</v>
      </c>
      <c r="Y61" s="945" t="s">
        <v>2245</v>
      </c>
      <c r="Z61" s="946" t="e">
        <f>VLOOKUP(X61,R_DD!$B$6:$E$2112,3,0)</f>
        <v>#N/A</v>
      </c>
      <c r="AA61" s="946" t="str">
        <f>VLOOKUP(Y61,R_DD!$A$1:$L$2131,4,0)</f>
        <v>Bộ xà kép L75x75x8 dài 2.2m: X-22K - C920</v>
      </c>
      <c r="AB61" s="947" t="str">
        <f>VLOOKUP(Y61,R_DD!$A$1:$L$2131,5,0)</f>
        <v>Bộ</v>
      </c>
      <c r="AC61" s="947" t="e">
        <f>VLOOKUP(X61,R_DD!$B$6:$E$2112,4,0)</f>
        <v>#N/A</v>
      </c>
    </row>
    <row r="62" spans="1:29" ht="20.100000000000001" customHeight="1">
      <c r="A62" s="974"/>
      <c r="B62" s="981"/>
      <c r="C62" s="977"/>
      <c r="D62" s="979"/>
      <c r="E62" s="980"/>
      <c r="H62" s="939" t="s">
        <v>2253</v>
      </c>
      <c r="I62" s="940" t="str">
        <f>VLOOKUP(H62,R_DD!$A$8:$L$2112,4,0)</f>
        <v>Bộ xà lệch đơn L75x75x8 dài 0,8m: X-8ĐL</v>
      </c>
      <c r="J62" s="939"/>
      <c r="L62" s="941" t="e">
        <f>VLOOKUP(M62,R_DD!$B$6:$E$2112,3,0)</f>
        <v>#N/A</v>
      </c>
      <c r="M62" s="941"/>
      <c r="N62" s="941" t="e">
        <f>VLOOKUP(M62,R_DD!$B$6:$E$2112,4,0)</f>
        <v>#N/A</v>
      </c>
      <c r="U62" s="943" t="s">
        <v>441</v>
      </c>
      <c r="V62" s="944" t="str">
        <f>VLOOKUP(U62,R_DD!$B$6:$E$2112,3,0)</f>
        <v>Kẹp treo cáp ABC4x150mm2</v>
      </c>
      <c r="W62" s="943" t="str">
        <f>VLOOKUP(U62,R_DD!$B$6:$E$2112,4,0)</f>
        <v>cái</v>
      </c>
      <c r="Y62" s="945" t="s">
        <v>2248</v>
      </c>
      <c r="Z62" s="946" t="e">
        <f>VLOOKUP(X62,R_DD!$B$6:$E$2112,3,0)</f>
        <v>#N/A</v>
      </c>
      <c r="AA62" s="946" t="str">
        <f>VLOOKUP(Y62,R_DD!$A$1:$L$2131,4,0)</f>
        <v xml:space="preserve">Bộ xà đơn L75x75x8 dài 2.4m: X-24Đ </v>
      </c>
      <c r="AB62" s="947" t="str">
        <f>VLOOKUP(Y62,R_DD!$A$1:$L$2131,5,0)</f>
        <v>Bộ</v>
      </c>
      <c r="AC62" s="947" t="e">
        <f>VLOOKUP(X62,R_DD!$B$6:$E$2112,4,0)</f>
        <v>#N/A</v>
      </c>
    </row>
    <row r="63" spans="1:29" ht="20.100000000000001" customHeight="1">
      <c r="A63" s="974"/>
      <c r="B63" s="981"/>
      <c r="C63" s="977"/>
      <c r="D63" s="979"/>
      <c r="E63" s="979"/>
      <c r="H63" s="984" t="s">
        <v>2255</v>
      </c>
      <c r="I63" s="940" t="str">
        <f>VLOOKUP(H63,R_DD!$A$8:$L$2112,4,0)</f>
        <v>Bộ xà lệch kép L75x75x8 dài 0,8m: X-8KL</v>
      </c>
      <c r="J63" s="984"/>
      <c r="L63" s="941" t="e">
        <f>VLOOKUP(M63,R_DD!$B$6:$E$2112,3,0)</f>
        <v>#N/A</v>
      </c>
      <c r="M63" s="941"/>
      <c r="N63" s="941" t="e">
        <f>VLOOKUP(M63,R_DD!$B$6:$E$2112,4,0)</f>
        <v>#N/A</v>
      </c>
      <c r="U63" s="943" t="s">
        <v>439</v>
      </c>
      <c r="V63" s="944" t="str">
        <f>VLOOKUP(U63,R_DD!$B$6:$E$2112,3,0)</f>
        <v>Kẹp treo cáp ABC4x120mm2</v>
      </c>
      <c r="W63" s="943" t="str">
        <f>VLOOKUP(U63,R_DD!$B$6:$E$2112,4,0)</f>
        <v>cái</v>
      </c>
      <c r="Y63" s="945" t="s">
        <v>2250</v>
      </c>
      <c r="Z63" s="946" t="e">
        <f>VLOOKUP(X63,R_DD!$B$6:$E$2112,3,0)</f>
        <v>#N/A</v>
      </c>
      <c r="AA63" s="946" t="str">
        <f>VLOOKUP(Y63,R_DD!$A$1:$L$2131,4,0)</f>
        <v xml:space="preserve">Bộ xà kép L75x75x8 dài 2.4m: X-24K </v>
      </c>
      <c r="AB63" s="947" t="str">
        <f>VLOOKUP(Y63,R_DD!$A$1:$L$2131,5,0)</f>
        <v>Bộ</v>
      </c>
      <c r="AC63" s="947" t="e">
        <f>VLOOKUP(X63,R_DD!$B$6:$E$2112,4,0)</f>
        <v>#N/A</v>
      </c>
    </row>
    <row r="64" spans="1:29" ht="20.100000000000001" customHeight="1">
      <c r="A64" s="974"/>
      <c r="B64" s="981"/>
      <c r="C64" s="977"/>
      <c r="D64" s="979"/>
      <c r="E64" s="979"/>
      <c r="H64" s="939" t="s">
        <v>2258</v>
      </c>
      <c r="I64" s="940" t="str">
        <f>VLOOKUP(H64,R_DD!$A$8:$L$2112,4,0)</f>
        <v>Bộ xà lệch đơn L75x75x8 dài 2,1m: X-21ĐL</v>
      </c>
      <c r="J64" s="939"/>
      <c r="L64" s="941" t="e">
        <f>VLOOKUP(M64,R_DD!$B$6:$E$2112,3,0)</f>
        <v>#N/A</v>
      </c>
      <c r="M64" s="941"/>
      <c r="N64" s="941" t="e">
        <f>VLOOKUP(M64,R_DD!$B$6:$E$2112,4,0)</f>
        <v>#N/A</v>
      </c>
      <c r="U64" s="943" t="s">
        <v>437</v>
      </c>
      <c r="V64" s="944" t="str">
        <f>VLOOKUP(U64,R_DD!$B$6:$E$2112,3,0)</f>
        <v>Kẹp treo cáp ABC4x95mm2</v>
      </c>
      <c r="W64" s="943" t="str">
        <f>VLOOKUP(U64,R_DD!$B$6:$E$2112,4,0)</f>
        <v>cái</v>
      </c>
      <c r="Y64" s="945" t="s">
        <v>2253</v>
      </c>
      <c r="Z64" s="946" t="e">
        <f>VLOOKUP(X64,R_DD!$B$6:$E$2112,3,0)</f>
        <v>#N/A</v>
      </c>
      <c r="AA64" s="946" t="str">
        <f>VLOOKUP(Y64,R_DD!$A$1:$L$2131,4,0)</f>
        <v>Bộ xà lệch đơn L75x75x8 dài 0,8m: X-8ĐL</v>
      </c>
      <c r="AB64" s="947" t="str">
        <f>VLOOKUP(Y64,R_DD!$A$1:$L$2131,5,0)</f>
        <v>Bộ</v>
      </c>
      <c r="AC64" s="947" t="e">
        <f>VLOOKUP(X64,R_DD!$B$6:$E$2112,4,0)</f>
        <v>#N/A</v>
      </c>
    </row>
    <row r="65" spans="1:29" ht="20.100000000000001" customHeight="1">
      <c r="A65" s="974"/>
      <c r="B65" s="981"/>
      <c r="C65" s="977"/>
      <c r="D65" s="979"/>
      <c r="E65" s="979"/>
      <c r="H65" s="939" t="s">
        <v>2261</v>
      </c>
      <c r="I65" s="940" t="str">
        <f>VLOOKUP(H65,R_DD!$A$8:$L$2112,4,0)</f>
        <v>Bộ xà lệch kép L75x75x8 dài 2,1m: X-21KL</v>
      </c>
      <c r="J65" s="939"/>
      <c r="L65" s="941" t="e">
        <f>VLOOKUP(M65,R_DD!$B$6:$E$2112,3,0)</f>
        <v>#N/A</v>
      </c>
      <c r="M65" s="941"/>
      <c r="N65" s="941" t="e">
        <f>VLOOKUP(M65,R_DD!$B$6:$E$2112,4,0)</f>
        <v>#N/A</v>
      </c>
      <c r="U65" s="943" t="s">
        <v>435</v>
      </c>
      <c r="V65" s="944" t="str">
        <f>VLOOKUP(U65,R_DD!$B$6:$E$2112,3,0)</f>
        <v>Kẹp treo cáp ABC4x70mm2</v>
      </c>
      <c r="W65" s="943" t="str">
        <f>VLOOKUP(U65,R_DD!$B$6:$E$2112,4,0)</f>
        <v>cái</v>
      </c>
      <c r="Y65" s="945" t="s">
        <v>2255</v>
      </c>
      <c r="Z65" s="946" t="e">
        <f>VLOOKUP(X65,R_DD!$B$6:$E$2112,3,0)</f>
        <v>#N/A</v>
      </c>
      <c r="AA65" s="946" t="str">
        <f>VLOOKUP(Y65,R_DD!$A$1:$L$2131,4,0)</f>
        <v>Bộ xà lệch kép L75x75x8 dài 0,8m: X-8KL</v>
      </c>
      <c r="AB65" s="947" t="str">
        <f>VLOOKUP(Y65,R_DD!$A$1:$L$2131,5,0)</f>
        <v>Bộ</v>
      </c>
      <c r="AC65" s="947" t="e">
        <f>VLOOKUP(X65,R_DD!$B$6:$E$2112,4,0)</f>
        <v>#N/A</v>
      </c>
    </row>
    <row r="66" spans="1:29" ht="20.100000000000001" customHeight="1">
      <c r="A66" s="974"/>
      <c r="B66" s="981"/>
      <c r="C66" s="977"/>
      <c r="D66" s="979"/>
      <c r="E66" s="979"/>
      <c r="H66" s="939" t="s">
        <v>2263</v>
      </c>
      <c r="I66" s="940" t="str">
        <f>VLOOKUP(H66,R_DD!$A$8:$L$2112,4,0)</f>
        <v>Bộ xà lệch đơn L75x75x8 dài 2m: X-20ĐL2/3</v>
      </c>
      <c r="J66" s="939"/>
      <c r="L66" s="941" t="e">
        <f>VLOOKUP(M66,R_DD!$B$6:$E$2112,3,0)</f>
        <v>#N/A</v>
      </c>
      <c r="M66" s="941"/>
      <c r="N66" s="941" t="e">
        <f>VLOOKUP(M66,R_DD!$B$6:$E$2112,4,0)</f>
        <v>#N/A</v>
      </c>
      <c r="U66" s="943" t="s">
        <v>433</v>
      </c>
      <c r="V66" s="944" t="str">
        <f>VLOOKUP(U66,R_DD!$B$6:$E$2112,3,0)</f>
        <v>Kẹp treo cáp ABC4x50mm2</v>
      </c>
      <c r="W66" s="943" t="str">
        <f>VLOOKUP(U66,R_DD!$B$6:$E$2112,4,0)</f>
        <v>cái</v>
      </c>
      <c r="Y66" s="945" t="s">
        <v>2258</v>
      </c>
      <c r="Z66" s="946" t="e">
        <f>VLOOKUP(X66,R_DD!$B$6:$E$2112,3,0)</f>
        <v>#N/A</v>
      </c>
      <c r="AA66" s="946" t="str">
        <f>VLOOKUP(Y66,R_DD!$A$1:$L$2131,4,0)</f>
        <v>Bộ xà lệch đơn L75x75x8 dài 2,1m: X-21ĐL</v>
      </c>
      <c r="AB66" s="947" t="str">
        <f>VLOOKUP(Y66,R_DD!$A$1:$L$2131,5,0)</f>
        <v>Bộ</v>
      </c>
      <c r="AC66" s="947" t="e">
        <f>VLOOKUP(X66,R_DD!$B$6:$E$2112,4,0)</f>
        <v>#N/A</v>
      </c>
    </row>
    <row r="67" spans="1:29" ht="20.100000000000001" customHeight="1">
      <c r="A67" s="974"/>
      <c r="B67" s="978"/>
      <c r="C67" s="977"/>
      <c r="D67" s="979"/>
      <c r="E67" s="980"/>
      <c r="H67" s="939" t="s">
        <v>2265</v>
      </c>
      <c r="I67" s="940" t="str">
        <f>VLOOKUP(H67,R_DD!$A$8:$L$2112,4,0)</f>
        <v>Bộ xà lệch kép L75x75x8 dài 2m: X-20KL2/3</v>
      </c>
      <c r="J67" s="939"/>
      <c r="L67" s="941" t="e">
        <f>VLOOKUP(M67,R_DD!$B$6:$E$2112,3,0)</f>
        <v>#N/A</v>
      </c>
      <c r="M67" s="941"/>
      <c r="N67" s="941" t="e">
        <f>VLOOKUP(M67,R_DD!$B$6:$E$2112,4,0)</f>
        <v>#N/A</v>
      </c>
      <c r="U67" s="943" t="s">
        <v>2800</v>
      </c>
      <c r="V67" s="944" t="str">
        <f>VLOOKUP(U67,R_DD!$B$6:$E$2112,3,0)</f>
        <v>Móc treo chữ A</v>
      </c>
      <c r="W67" s="943" t="str">
        <f>VLOOKUP(U67,R_DD!$B$6:$E$2112,4,0)</f>
        <v>cái</v>
      </c>
      <c r="Y67" s="945" t="s">
        <v>2261</v>
      </c>
      <c r="Z67" s="946" t="e">
        <f>VLOOKUP(X67,R_DD!$B$6:$E$2112,3,0)</f>
        <v>#N/A</v>
      </c>
      <c r="AA67" s="946" t="str">
        <f>VLOOKUP(Y67,R_DD!$A$1:$L$2131,4,0)</f>
        <v>Bộ xà lệch kép L75x75x8 dài 2,1m: X-21KL</v>
      </c>
      <c r="AB67" s="947" t="str">
        <f>VLOOKUP(Y67,R_DD!$A$1:$L$2131,5,0)</f>
        <v>Bộ</v>
      </c>
      <c r="AC67" s="947" t="e">
        <f>VLOOKUP(X67,R_DD!$B$6:$E$2112,4,0)</f>
        <v>#N/A</v>
      </c>
    </row>
    <row r="68" spans="1:29" ht="20.100000000000001" customHeight="1">
      <c r="A68" s="974"/>
      <c r="B68" s="981"/>
      <c r="C68" s="977"/>
      <c r="D68" s="979"/>
      <c r="E68" s="979"/>
      <c r="H68" s="939" t="s">
        <v>2267</v>
      </c>
      <c r="I68" s="940" t="str">
        <f>VLOOKUP(H68,R_DD!$A$8:$L$2112,4,0)</f>
        <v>Bộ xà đơn 2400 trụ Pi tim 1400: X-24ĐP</v>
      </c>
      <c r="J68" s="939"/>
      <c r="L68" s="941" t="e">
        <f>VLOOKUP(M68,R_DD!$B$6:$E$2112,3,0)</f>
        <v>#N/A</v>
      </c>
      <c r="M68" s="941"/>
      <c r="N68" s="941" t="e">
        <f>VLOOKUP(M68,R_DD!$B$6:$E$2112,4,0)</f>
        <v>#N/A</v>
      </c>
      <c r="U68" s="943" t="s">
        <v>463</v>
      </c>
      <c r="V68" s="944" t="str">
        <f>VLOOKUP(U68,R_DD!$B$6:$E$2112,3,0)</f>
        <v>Kẹp ngừng cáp ABC4x150mm2</v>
      </c>
      <c r="W68" s="943" t="str">
        <f>VLOOKUP(U68,R_DD!$B$6:$E$2112,4,0)</f>
        <v>cái</v>
      </c>
      <c r="Y68" s="945" t="s">
        <v>2263</v>
      </c>
      <c r="Z68" s="946" t="e">
        <f>VLOOKUP(X68,R_DD!$B$6:$E$2112,3,0)</f>
        <v>#N/A</v>
      </c>
      <c r="AA68" s="946" t="str">
        <f>VLOOKUP(Y68,R_DD!$A$1:$L$2131,4,0)</f>
        <v>Bộ xà lệch đơn L75x75x8 dài 2m: X-20ĐL2/3</v>
      </c>
      <c r="AB68" s="947" t="str">
        <f>VLOOKUP(Y68,R_DD!$A$1:$L$2131,5,0)</f>
        <v>Bộ</v>
      </c>
      <c r="AC68" s="947" t="e">
        <f>VLOOKUP(X68,R_DD!$B$6:$E$2112,4,0)</f>
        <v>#N/A</v>
      </c>
    </row>
    <row r="69" spans="1:29" ht="20.100000000000001" customHeight="1">
      <c r="A69" s="974"/>
      <c r="B69" s="981"/>
      <c r="C69" s="977"/>
      <c r="D69" s="979"/>
      <c r="E69" s="979"/>
      <c r="H69" s="984" t="s">
        <v>2269</v>
      </c>
      <c r="I69" s="940" t="str">
        <f>VLOOKUP(H69,R_DD!$A$8:$L$2112,4,0)</f>
        <v>Bộ xà kép 2400 trụ Pi tim 1400: X-24KP</v>
      </c>
      <c r="J69" s="984"/>
      <c r="L69" s="941" t="e">
        <f>VLOOKUP(M69,R_DD!$B$6:$E$2112,3,0)</f>
        <v>#N/A</v>
      </c>
      <c r="M69" s="941"/>
      <c r="N69" s="941" t="e">
        <f>VLOOKUP(M69,R_DD!$B$6:$E$2112,4,0)</f>
        <v>#N/A</v>
      </c>
      <c r="U69" s="943" t="s">
        <v>461</v>
      </c>
      <c r="V69" s="944" t="str">
        <f>VLOOKUP(U69,R_DD!$B$6:$E$2112,3,0)</f>
        <v>Kẹp ngừng cáp ABC4x120mm2</v>
      </c>
      <c r="W69" s="943" t="str">
        <f>VLOOKUP(U69,R_DD!$B$6:$E$2112,4,0)</f>
        <v>cái</v>
      </c>
      <c r="Y69" s="945" t="s">
        <v>2265</v>
      </c>
      <c r="Z69" s="946" t="e">
        <f>VLOOKUP(X69,R_DD!$B$6:$E$2112,3,0)</f>
        <v>#N/A</v>
      </c>
      <c r="AA69" s="946" t="str">
        <f>VLOOKUP(Y69,R_DD!$A$1:$L$2131,4,0)</f>
        <v>Bộ xà lệch kép L75x75x8 dài 2m: X-20KL2/3</v>
      </c>
      <c r="AB69" s="947" t="str">
        <f>VLOOKUP(Y69,R_DD!$A$1:$L$2131,5,0)</f>
        <v>Bộ</v>
      </c>
      <c r="AC69" s="947" t="e">
        <f>VLOOKUP(X69,R_DD!$B$6:$E$2112,4,0)</f>
        <v>#N/A</v>
      </c>
    </row>
    <row r="70" spans="1:29" ht="20.100000000000001" customHeight="1">
      <c r="A70" s="974"/>
      <c r="B70" s="981"/>
      <c r="C70" s="977"/>
      <c r="D70" s="979"/>
      <c r="E70" s="979"/>
      <c r="H70" s="984" t="s">
        <v>2271</v>
      </c>
      <c r="I70" s="940" t="str">
        <f>VLOOKUP(H70,R_DD!$A$8:$L$2112,4,0)</f>
        <v>Bộ chằng xuống đơn cho trụ hạ thế: CX.ht</v>
      </c>
      <c r="L70" s="941" t="e">
        <f>VLOOKUP(M70,R_DD!$B$6:$E$2112,3,0)</f>
        <v>#N/A</v>
      </c>
      <c r="M70" s="941"/>
      <c r="N70" s="941" t="e">
        <f>VLOOKUP(M70,R_DD!$B$6:$E$2112,4,0)</f>
        <v>#N/A</v>
      </c>
      <c r="U70" s="943" t="s">
        <v>459</v>
      </c>
      <c r="V70" s="944" t="str">
        <f>VLOOKUP(U70,R_DD!$B$6:$E$2112,3,0)</f>
        <v>Kẹp ngừng cáp ABC4x95mm2</v>
      </c>
      <c r="W70" s="943" t="str">
        <f>VLOOKUP(U70,R_DD!$B$6:$E$2112,4,0)</f>
        <v>cái</v>
      </c>
      <c r="Y70" s="945" t="s">
        <v>2267</v>
      </c>
      <c r="Z70" s="946" t="e">
        <f>VLOOKUP(X70,R_DD!$B$6:$E$2112,3,0)</f>
        <v>#N/A</v>
      </c>
      <c r="AA70" s="946" t="str">
        <f>VLOOKUP(Y70,R_DD!$A$1:$L$2131,4,0)</f>
        <v>Bộ xà đơn 2400 trụ Pi tim 1400: X-24ĐP</v>
      </c>
      <c r="AB70" s="947" t="str">
        <f>VLOOKUP(Y70,R_DD!$A$1:$L$2131,5,0)</f>
        <v>Bộ</v>
      </c>
      <c r="AC70" s="947" t="e">
        <f>VLOOKUP(X70,R_DD!$B$6:$E$2112,4,0)</f>
        <v>#N/A</v>
      </c>
    </row>
    <row r="71" spans="1:29" ht="20.100000000000001" customHeight="1">
      <c r="A71" s="974"/>
      <c r="B71" s="981"/>
      <c r="C71" s="977"/>
      <c r="D71" s="979"/>
      <c r="E71" s="979"/>
      <c r="H71" s="984" t="s">
        <v>2273</v>
      </c>
      <c r="I71" s="940" t="str">
        <f>VLOOKUP(H71,R_DD!$A$8:$L$2112,4,0)</f>
        <v>Bộ chằng lệch đơn cho trụ hạ thế: CL.ht</v>
      </c>
      <c r="L71" s="941" t="e">
        <f>VLOOKUP(M71,R_DD!$B$6:$E$2112,3,0)</f>
        <v>#N/A</v>
      </c>
      <c r="M71" s="941"/>
      <c r="N71" s="941" t="e">
        <f>VLOOKUP(M71,R_DD!$B$6:$E$2112,4,0)</f>
        <v>#N/A</v>
      </c>
      <c r="U71" s="943" t="s">
        <v>457</v>
      </c>
      <c r="V71" s="944" t="str">
        <f>VLOOKUP(U71,R_DD!$B$6:$E$2112,3,0)</f>
        <v>Kẹp ngừng cáp ABC4x70mm2</v>
      </c>
      <c r="W71" s="943" t="str">
        <f>VLOOKUP(U71,R_DD!$B$6:$E$2112,4,0)</f>
        <v>cái</v>
      </c>
      <c r="Y71" s="945" t="s">
        <v>2269</v>
      </c>
      <c r="Z71" s="946" t="e">
        <f>VLOOKUP(X71,R_DD!$B$6:$E$2112,3,0)</f>
        <v>#N/A</v>
      </c>
      <c r="AA71" s="946" t="str">
        <f>VLOOKUP(Y71,R_DD!$A$1:$L$2131,4,0)</f>
        <v>Bộ xà kép 2400 trụ Pi tim 1400: X-24KP</v>
      </c>
      <c r="AB71" s="947" t="str">
        <f>VLOOKUP(Y71,R_DD!$A$1:$L$2131,5,0)</f>
        <v>Bộ</v>
      </c>
      <c r="AC71" s="947" t="e">
        <f>VLOOKUP(X71,R_DD!$B$6:$E$2112,4,0)</f>
        <v>#N/A</v>
      </c>
    </row>
    <row r="72" spans="1:29" ht="20.100000000000001" customHeight="1">
      <c r="A72" s="974"/>
      <c r="B72" s="981"/>
      <c r="C72" s="977"/>
      <c r="D72" s="979"/>
      <c r="E72" s="980"/>
      <c r="H72" s="984" t="s">
        <v>2572</v>
      </c>
      <c r="I72" s="940" t="str">
        <f>VLOOKUP(H72,R_DD!$A$8:$L$2112,4,0)</f>
        <v>Bộ chằng xuống đơn cho trụ 10,5m: CX10</v>
      </c>
      <c r="L72" s="941" t="e">
        <f>VLOOKUP(M72,R_DD!$B$6:$E$2112,3,0)</f>
        <v>#N/A</v>
      </c>
      <c r="M72" s="941"/>
      <c r="N72" s="941" t="e">
        <f>VLOOKUP(M72,R_DD!$B$6:$E$2112,4,0)</f>
        <v>#N/A</v>
      </c>
      <c r="U72" s="943" t="s">
        <v>455</v>
      </c>
      <c r="V72" s="944" t="str">
        <f>VLOOKUP(U72,R_DD!$B$6:$E$2112,3,0)</f>
        <v>Kẹp ngừng cáp ABC4x50mm2</v>
      </c>
      <c r="W72" s="943" t="str">
        <f>VLOOKUP(U72,R_DD!$B$6:$E$2112,4,0)</f>
        <v>cái</v>
      </c>
      <c r="Y72" s="945" t="s">
        <v>2271</v>
      </c>
      <c r="Z72" s="946" t="e">
        <f>VLOOKUP(X72,R_DD!$B$6:$E$2112,3,0)</f>
        <v>#N/A</v>
      </c>
      <c r="AA72" s="946" t="str">
        <f>VLOOKUP(Y72,R_DD!$A$1:$L$2131,4,0)</f>
        <v>Bộ chằng xuống đơn cho trụ hạ thế: CX.ht</v>
      </c>
      <c r="AB72" s="947" t="str">
        <f>VLOOKUP(Y72,R_DD!$A$1:$L$2131,5,0)</f>
        <v>Bộ</v>
      </c>
      <c r="AC72" s="947" t="e">
        <f>VLOOKUP(X72,R_DD!$B$6:$E$2112,4,0)</f>
        <v>#N/A</v>
      </c>
    </row>
    <row r="73" spans="1:29" ht="20.100000000000001" customHeight="1">
      <c r="A73" s="974"/>
      <c r="B73" s="981"/>
      <c r="C73" s="977"/>
      <c r="D73" s="979"/>
      <c r="E73" s="979"/>
      <c r="H73" s="984" t="s">
        <v>2575</v>
      </c>
      <c r="I73" s="940" t="str">
        <f>VLOOKUP(H73,R_DD!$A$8:$L$2112,4,0)</f>
        <v>Bộ chằng lệch đơn cho trụ 10,5m: CL10</v>
      </c>
      <c r="L73" s="941" t="e">
        <f>VLOOKUP(M73,R_DD!$B$6:$E$2112,3,0)</f>
        <v>#N/A</v>
      </c>
      <c r="M73" s="941"/>
      <c r="N73" s="941" t="e">
        <f>VLOOKUP(M73,R_DD!$B$6:$E$2112,4,0)</f>
        <v>#N/A</v>
      </c>
      <c r="U73" s="943" t="s">
        <v>492</v>
      </c>
      <c r="V73" s="944" t="str">
        <f>VLOOKUP(U73,R_DD!$B$6:$E$2112,3,0)</f>
        <v>Nắp bịt đầu cáp ABC70mm2</v>
      </c>
      <c r="W73" s="943" t="str">
        <f>VLOOKUP(U73,R_DD!$B$6:$E$2112,4,0)</f>
        <v>cái</v>
      </c>
      <c r="Y73" s="945" t="s">
        <v>2273</v>
      </c>
      <c r="Z73" s="946" t="e">
        <f>VLOOKUP(X73,R_DD!$B$6:$E$2112,3,0)</f>
        <v>#N/A</v>
      </c>
      <c r="AA73" s="946" t="str">
        <f>VLOOKUP(Y73,R_DD!$A$1:$L$2131,4,0)</f>
        <v>Bộ chằng lệch đơn cho trụ hạ thế: CL.ht</v>
      </c>
      <c r="AB73" s="947" t="str">
        <f>VLOOKUP(Y73,R_DD!$A$1:$L$2131,5,0)</f>
        <v>Bộ</v>
      </c>
      <c r="AC73" s="947" t="e">
        <f>VLOOKUP(X73,R_DD!$B$6:$E$2112,4,0)</f>
        <v>#N/A</v>
      </c>
    </row>
    <row r="74" spans="1:29" ht="20.100000000000001" customHeight="1">
      <c r="A74" s="974"/>
      <c r="B74" s="981"/>
      <c r="C74" s="977"/>
      <c r="D74" s="979"/>
      <c r="E74" s="979"/>
      <c r="H74" s="984" t="s">
        <v>2577</v>
      </c>
      <c r="I74" s="940" t="str">
        <f>VLOOKUP(H74,R_DD!$A$8:$L$2112,4,0)</f>
        <v>Bộ chằng xuống kép cho trụ 10,5m: CXX10</v>
      </c>
      <c r="L74" s="941" t="e">
        <f>VLOOKUP(M74,R_DD!$B$6:$E$2112,3,0)</f>
        <v>#N/A</v>
      </c>
      <c r="M74" s="941"/>
      <c r="N74" s="941" t="e">
        <f>VLOOKUP(M74,R_DD!$B$6:$E$2112,4,0)</f>
        <v>#N/A</v>
      </c>
      <c r="U74" s="943" t="s">
        <v>490</v>
      </c>
      <c r="V74" s="944" t="str">
        <f>VLOOKUP(U74,R_DD!$B$6:$E$2112,3,0)</f>
        <v>Nắp bịt đầu cáp ABC95mm2</v>
      </c>
      <c r="W74" s="943" t="str">
        <f>VLOOKUP(U74,R_DD!$B$6:$E$2112,4,0)</f>
        <v>cái</v>
      </c>
      <c r="Y74" s="945" t="s">
        <v>2572</v>
      </c>
      <c r="Z74" s="946" t="e">
        <f>VLOOKUP(X74,R_DD!$B$6:$E$2112,3,0)</f>
        <v>#N/A</v>
      </c>
      <c r="AA74" s="946" t="str">
        <f>VLOOKUP(Y74,R_DD!$A$1:$L$2131,4,0)</f>
        <v>Bộ chằng xuống đơn cho trụ 10,5m: CX10</v>
      </c>
      <c r="AB74" s="947" t="str">
        <f>VLOOKUP(Y74,R_DD!$A$1:$L$2131,5,0)</f>
        <v>Bộ</v>
      </c>
      <c r="AC74" s="947" t="e">
        <f>VLOOKUP(X74,R_DD!$B$6:$E$2112,4,0)</f>
        <v>#N/A</v>
      </c>
    </row>
    <row r="75" spans="1:29" ht="20.100000000000001" customHeight="1">
      <c r="A75" s="974"/>
      <c r="B75" s="981"/>
      <c r="C75" s="977"/>
      <c r="D75" s="979"/>
      <c r="E75" s="979"/>
      <c r="H75" s="984" t="s">
        <v>2579</v>
      </c>
      <c r="I75" s="940" t="str">
        <f>VLOOKUP(H75,R_DD!$A$8:$L$2112,4,0)</f>
        <v>Bộ chằng xuống đơn cho trụ 12m: CX12</v>
      </c>
      <c r="L75" s="941" t="e">
        <f>VLOOKUP(M75,R_DD!$B$6:$E$2112,3,0)</f>
        <v>#N/A</v>
      </c>
      <c r="M75" s="941"/>
      <c r="N75" s="941" t="e">
        <f>VLOOKUP(M75,R_DD!$B$6:$E$2112,4,0)</f>
        <v>#N/A</v>
      </c>
      <c r="U75" s="943" t="s">
        <v>494</v>
      </c>
      <c r="V75" s="944" t="str">
        <f>VLOOKUP(U75,R_DD!$B$6:$E$2112,3,0)</f>
        <v>Nắp bịt đầu cáp ABC50mm2</v>
      </c>
      <c r="W75" s="943" t="str">
        <f>VLOOKUP(U75,R_DD!$B$6:$E$2112,4,0)</f>
        <v>cái</v>
      </c>
      <c r="Y75" s="945" t="s">
        <v>2575</v>
      </c>
      <c r="Z75" s="946" t="e">
        <f>VLOOKUP(X75,R_DD!$B$6:$E$2112,3,0)</f>
        <v>#N/A</v>
      </c>
      <c r="AA75" s="946" t="str">
        <f>VLOOKUP(Y75,R_DD!$A$1:$L$2131,4,0)</f>
        <v>Bộ chằng lệch đơn cho trụ 10,5m: CL10</v>
      </c>
      <c r="AB75" s="947" t="str">
        <f>VLOOKUP(Y75,R_DD!$A$1:$L$2131,5,0)</f>
        <v>Bộ</v>
      </c>
      <c r="AC75" s="947" t="e">
        <f>VLOOKUP(X75,R_DD!$B$6:$E$2112,4,0)</f>
        <v>#N/A</v>
      </c>
    </row>
    <row r="76" spans="1:29" ht="20.100000000000001" customHeight="1">
      <c r="A76" s="974"/>
      <c r="B76" s="981"/>
      <c r="C76" s="977"/>
      <c r="D76" s="979"/>
      <c r="E76" s="979"/>
      <c r="H76" s="984" t="s">
        <v>2581</v>
      </c>
      <c r="I76" s="940" t="str">
        <f>VLOOKUP(H76,R_DD!$A$8:$L$2112,4,0)</f>
        <v>Bộ chằng lệch đơn cho trụ 12m: CL12</v>
      </c>
      <c r="L76" s="941" t="e">
        <f>VLOOKUP(M76,R_DD!$B$6:$E$2112,3,0)</f>
        <v>#N/A</v>
      </c>
      <c r="M76" s="941"/>
      <c r="N76" s="941" t="e">
        <f>VLOOKUP(M76,R_DD!$B$6:$E$2112,4,0)</f>
        <v>#N/A</v>
      </c>
      <c r="U76" s="943" t="s">
        <v>2799</v>
      </c>
      <c r="V76" s="944" t="str">
        <f>VLOOKUP(U76,R_DD!$B$6:$E$2112,3,0)</f>
        <v xml:space="preserve">Móc đơn treo cáp </v>
      </c>
      <c r="W76" s="943" t="str">
        <f>VLOOKUP(U76,R_DD!$B$6:$E$2112,4,0)</f>
        <v>cái</v>
      </c>
      <c r="Y76" s="945" t="s">
        <v>2577</v>
      </c>
      <c r="Z76" s="946" t="e">
        <f>VLOOKUP(X76,R_DD!$B$6:$E$2112,3,0)</f>
        <v>#N/A</v>
      </c>
      <c r="AA76" s="946" t="str">
        <f>VLOOKUP(Y76,R_DD!$A$1:$L$2131,4,0)</f>
        <v>Bộ chằng xuống kép cho trụ 10,5m: CXX10</v>
      </c>
      <c r="AB76" s="947" t="str">
        <f>VLOOKUP(Y76,R_DD!$A$1:$L$2131,5,0)</f>
        <v>Bộ</v>
      </c>
      <c r="AC76" s="947" t="e">
        <f>VLOOKUP(X76,R_DD!$B$6:$E$2112,4,0)</f>
        <v>#N/A</v>
      </c>
    </row>
    <row r="77" spans="1:29" ht="20.100000000000001" customHeight="1">
      <c r="A77" s="974"/>
      <c r="B77" s="978"/>
      <c r="C77" s="977"/>
      <c r="D77" s="979"/>
      <c r="E77" s="979"/>
      <c r="H77" s="984" t="s">
        <v>2583</v>
      </c>
      <c r="I77" s="940" t="str">
        <f>VLOOKUP(H77,R_DD!$A$8:$L$2112,4,0)</f>
        <v>Bộ chằng xuống kép cho trụ 12m: CXX12</v>
      </c>
      <c r="L77" s="941" t="e">
        <f>VLOOKUP(M77,R_DD!$B$6:$E$2112,3,0)</f>
        <v>#N/A</v>
      </c>
      <c r="M77" s="941"/>
      <c r="N77" s="941" t="e">
        <f>VLOOKUP(M77,R_DD!$B$6:$E$2112,4,0)</f>
        <v>#N/A</v>
      </c>
      <c r="U77" s="943" t="s">
        <v>2316</v>
      </c>
      <c r="V77" s="944" t="str">
        <f>VLOOKUP(U77,R_DD!$B$6:$E$2112,3,0)</f>
        <v>Uclevis</v>
      </c>
      <c r="W77" s="943" t="str">
        <f>VLOOKUP(U77,R_DD!$B$6:$E$2112,4,0)</f>
        <v>bộ</v>
      </c>
      <c r="Y77" s="945" t="s">
        <v>2579</v>
      </c>
      <c r="Z77" s="946" t="e">
        <f>VLOOKUP(X77,R_DD!$B$6:$E$2112,3,0)</f>
        <v>#N/A</v>
      </c>
      <c r="AA77" s="946" t="str">
        <f>VLOOKUP(Y77,R_DD!$A$1:$L$2131,4,0)</f>
        <v>Bộ chằng xuống đơn cho trụ 12m: CX12</v>
      </c>
      <c r="AB77" s="947" t="str">
        <f>VLOOKUP(Y77,R_DD!$A$1:$L$2131,5,0)</f>
        <v>Bộ</v>
      </c>
      <c r="AC77" s="947" t="e">
        <f>VLOOKUP(X77,R_DD!$B$6:$E$2112,4,0)</f>
        <v>#N/A</v>
      </c>
    </row>
    <row r="78" spans="1:29" ht="20.100000000000001" customHeight="1">
      <c r="A78" s="974"/>
      <c r="B78" s="981"/>
      <c r="C78" s="977"/>
      <c r="D78" s="979"/>
      <c r="E78" s="979"/>
      <c r="H78" s="984" t="s">
        <v>2585</v>
      </c>
      <c r="I78" s="940" t="str">
        <f>VLOOKUP(H78,R_DD!$A$8:$L$2112,4,0)</f>
        <v>Bộ chằng xuống đơn cho trụ 14m: CX14</v>
      </c>
      <c r="L78" s="941" t="e">
        <f>VLOOKUP(M78,R_DD!$B$6:$E$2112,3,0)</f>
        <v>#N/A</v>
      </c>
      <c r="M78" s="941"/>
      <c r="N78" s="941" t="e">
        <f>VLOOKUP(M78,R_DD!$B$6:$E$2112,4,0)</f>
        <v>#N/A</v>
      </c>
      <c r="U78" s="943" t="s">
        <v>2317</v>
      </c>
      <c r="V78" s="944" t="str">
        <f>VLOOKUP(U78,R_DD!$B$6:$E$2112,3,0)</f>
        <v>Rack 3 sứ</v>
      </c>
      <c r="W78" s="943" t="str">
        <f>VLOOKUP(U78,R_DD!$B$6:$E$2112,4,0)</f>
        <v>bộ</v>
      </c>
      <c r="Y78" s="945" t="s">
        <v>2581</v>
      </c>
      <c r="Z78" s="946" t="e">
        <f>VLOOKUP(X78,R_DD!$B$6:$E$2112,3,0)</f>
        <v>#N/A</v>
      </c>
      <c r="AA78" s="946" t="str">
        <f>VLOOKUP(Y78,R_DD!$A$1:$L$2131,4,0)</f>
        <v>Bộ chằng lệch đơn cho trụ 12m: CL12</v>
      </c>
      <c r="AB78" s="947" t="str">
        <f>VLOOKUP(Y78,R_DD!$A$1:$L$2131,5,0)</f>
        <v>Bộ</v>
      </c>
      <c r="AC78" s="947" t="e">
        <f>VLOOKUP(X78,R_DD!$B$6:$E$2112,4,0)</f>
        <v>#N/A</v>
      </c>
    </row>
    <row r="79" spans="1:29" ht="20.100000000000001" customHeight="1">
      <c r="A79" s="974"/>
      <c r="B79" s="981"/>
      <c r="C79" s="977"/>
      <c r="D79" s="979"/>
      <c r="E79" s="979"/>
      <c r="H79" s="984" t="s">
        <v>2587</v>
      </c>
      <c r="I79" s="940" t="str">
        <f>VLOOKUP(H79,R_DD!$A$8:$L$2112,4,0)</f>
        <v>Bộ chằng lệch đơn cho trụ 14m: CL14</v>
      </c>
      <c r="L79" s="941" t="e">
        <f>VLOOKUP(M79,R_DD!$B$6:$E$2112,3,0)</f>
        <v>#N/A</v>
      </c>
      <c r="M79" s="941"/>
      <c r="N79" s="941" t="e">
        <f>VLOOKUP(M79,R_DD!$B$6:$E$2112,4,0)</f>
        <v>#N/A</v>
      </c>
      <c r="U79" s="943" t="s">
        <v>2318</v>
      </c>
      <c r="V79" s="944" t="str">
        <f>VLOOKUP(U79,R_DD!$B$6:$E$2112,3,0)</f>
        <v>Rack 4 sứ</v>
      </c>
      <c r="W79" s="943" t="str">
        <f>VLOOKUP(U79,R_DD!$B$6:$E$2112,4,0)</f>
        <v>bộ</v>
      </c>
      <c r="Y79" s="945" t="s">
        <v>2583</v>
      </c>
      <c r="Z79" s="946" t="e">
        <f>VLOOKUP(X79,R_DD!$B$6:$E$2112,3,0)</f>
        <v>#N/A</v>
      </c>
      <c r="AA79" s="946" t="str">
        <f>VLOOKUP(Y79,R_DD!$A$1:$L$2131,4,0)</f>
        <v>Bộ chằng xuống kép cho trụ 12m: CXX12</v>
      </c>
      <c r="AB79" s="947" t="str">
        <f>VLOOKUP(Y79,R_DD!$A$1:$L$2131,5,0)</f>
        <v>Bộ</v>
      </c>
      <c r="AC79" s="947" t="e">
        <f>VLOOKUP(X79,R_DD!$B$6:$E$2112,4,0)</f>
        <v>#N/A</v>
      </c>
    </row>
    <row r="80" spans="1:29" ht="20.100000000000001" customHeight="1">
      <c r="A80" s="974"/>
      <c r="B80" s="981"/>
      <c r="C80" s="977"/>
      <c r="D80" s="979"/>
      <c r="E80" s="979"/>
      <c r="H80" s="984" t="s">
        <v>2589</v>
      </c>
      <c r="I80" s="940" t="str">
        <f>VLOOKUP(H80,R_DD!$A$8:$L$2112,4,0)</f>
        <v>Bộ chằng xuống kép cho trụ 14m: CXX14</v>
      </c>
      <c r="L80" s="941" t="e">
        <f>VLOOKUP(M80,R_DD!$B$6:$E$2112,3,0)</f>
        <v>#N/A</v>
      </c>
      <c r="M80" s="941"/>
      <c r="N80" s="941" t="e">
        <f>VLOOKUP(M80,R_DD!$B$6:$E$2112,4,0)</f>
        <v>#N/A</v>
      </c>
      <c r="U80" s="943" t="s">
        <v>2464</v>
      </c>
      <c r="V80" s="944" t="str">
        <f>VLOOKUP(U80,R_DD!$B$6:$E$2112,3,0)</f>
        <v>Collier kẹp ống PVC φ 90</v>
      </c>
      <c r="W80" s="943" t="str">
        <f>VLOOKUP(U80,R_DD!$B$6:$E$2112,4,0)</f>
        <v>bộ</v>
      </c>
      <c r="Y80" s="945" t="s">
        <v>2585</v>
      </c>
      <c r="Z80" s="946" t="e">
        <f>VLOOKUP(X80,R_DD!$B$6:$E$2112,3,0)</f>
        <v>#N/A</v>
      </c>
      <c r="AA80" s="946" t="str">
        <f>VLOOKUP(Y80,R_DD!$A$1:$L$2131,4,0)</f>
        <v>Bộ chằng xuống đơn cho trụ 14m: CX14</v>
      </c>
      <c r="AB80" s="947" t="str">
        <f>VLOOKUP(Y80,R_DD!$A$1:$L$2131,5,0)</f>
        <v>Bộ</v>
      </c>
      <c r="AC80" s="947" t="e">
        <f>VLOOKUP(X80,R_DD!$B$6:$E$2112,4,0)</f>
        <v>#N/A</v>
      </c>
    </row>
    <row r="81" spans="1:29" ht="20.100000000000001" customHeight="1">
      <c r="A81" s="974"/>
      <c r="B81" s="981"/>
      <c r="C81" s="977"/>
      <c r="D81" s="979"/>
      <c r="E81" s="979"/>
      <c r="H81" s="984" t="s">
        <v>2275</v>
      </c>
      <c r="I81" s="940" t="str">
        <f>VLOOKUP(H81,R_DD!$A$8:$L$2112,4,0)</f>
        <v>Bộ chằng vượt đơn: CK-B</v>
      </c>
      <c r="L81" s="941" t="e">
        <f>VLOOKUP(M81,R_DD!$B$6:$E$2112,3,0)</f>
        <v>#N/A</v>
      </c>
      <c r="M81" s="941"/>
      <c r="N81" s="941" t="e">
        <f>VLOOKUP(M81,R_DD!$B$6:$E$2112,4,0)</f>
        <v>#N/A</v>
      </c>
      <c r="U81" s="943" t="s">
        <v>4844</v>
      </c>
      <c r="V81" s="944" t="str">
        <f>VLOOKUP(U81,R_DD!$B$6:$E$2112,3,0)</f>
        <v>Collier kẹp ống PVC φ 114</v>
      </c>
      <c r="W81" s="943" t="str">
        <f>VLOOKUP(U81,R_DD!$B$6:$E$2112,4,0)</f>
        <v>bộ</v>
      </c>
      <c r="Y81" s="945" t="s">
        <v>2587</v>
      </c>
      <c r="Z81" s="946" t="e">
        <f>VLOOKUP(X81,R_DD!$B$6:$E$2112,3,0)</f>
        <v>#N/A</v>
      </c>
      <c r="AA81" s="946" t="str">
        <f>VLOOKUP(Y81,R_DD!$A$1:$L$2131,4,0)</f>
        <v>Bộ chằng lệch đơn cho trụ 14m: CL14</v>
      </c>
      <c r="AB81" s="947" t="str">
        <f>VLOOKUP(Y81,R_DD!$A$1:$L$2131,5,0)</f>
        <v>Bộ</v>
      </c>
      <c r="AC81" s="947" t="e">
        <f>VLOOKUP(X81,R_DD!$B$6:$E$2112,4,0)</f>
        <v>#N/A</v>
      </c>
    </row>
    <row r="82" spans="1:29" ht="20.100000000000001" customHeight="1">
      <c r="A82" s="974"/>
      <c r="B82" s="981"/>
      <c r="C82" s="977"/>
      <c r="D82" s="979"/>
      <c r="E82" s="979"/>
      <c r="H82" s="984" t="s">
        <v>2596</v>
      </c>
      <c r="I82" s="940" t="str">
        <f>VLOOKUP(H82,R_DD!$A$8:$L$2112,4,0)</f>
        <v>Bộ chằng vượt kép: CKK</v>
      </c>
      <c r="L82" s="941" t="e">
        <f>VLOOKUP(M82,R_DD!$B$6:$E$2112,3,0)</f>
        <v>#N/A</v>
      </c>
      <c r="M82" s="941"/>
      <c r="N82" s="941" t="e">
        <f>VLOOKUP(M82,R_DD!$B$6:$E$2112,4,0)</f>
        <v>#N/A</v>
      </c>
      <c r="U82" s="943" t="s">
        <v>4845</v>
      </c>
      <c r="V82" s="944" t="str">
        <f>VLOOKUP(U82,R_DD!$B$6:$E$2112,3,0)</f>
        <v>Đầu cosse ép Cu 50mm2</v>
      </c>
      <c r="W82" s="943" t="str">
        <f>VLOOKUP(U82,R_DD!$B$6:$E$2112,4,0)</f>
        <v>cái</v>
      </c>
      <c r="Y82" s="945" t="s">
        <v>2589</v>
      </c>
      <c r="Z82" s="946" t="e">
        <f>VLOOKUP(X82,R_DD!$B$6:$E$2112,3,0)</f>
        <v>#N/A</v>
      </c>
      <c r="AA82" s="946" t="str">
        <f>VLOOKUP(Y82,R_DD!$A$1:$L$2131,4,0)</f>
        <v>Bộ chằng xuống kép cho trụ 14m: CXX14</v>
      </c>
      <c r="AB82" s="947" t="str">
        <f>VLOOKUP(Y82,R_DD!$A$1:$L$2131,5,0)</f>
        <v>Bộ</v>
      </c>
      <c r="AC82" s="947" t="e">
        <f>VLOOKUP(X82,R_DD!$B$6:$E$2112,4,0)</f>
        <v>#N/A</v>
      </c>
    </row>
    <row r="83" spans="1:29" ht="20.100000000000001" customHeight="1">
      <c r="A83" s="974"/>
      <c r="B83" s="981"/>
      <c r="C83" s="977"/>
      <c r="D83" s="979"/>
      <c r="E83" s="979"/>
      <c r="H83" s="984" t="s">
        <v>2277</v>
      </c>
      <c r="I83" s="940" t="str">
        <f>VLOOKUP(H83,R_DD!$A$8:$L$2112,4,0)</f>
        <v>Bộ móng neo xòe cho chằng xuống: NXX</v>
      </c>
      <c r="L83" s="941" t="e">
        <f>VLOOKUP(M83,R_DD!$B$6:$E$2112,3,0)</f>
        <v>#N/A</v>
      </c>
      <c r="M83" s="941"/>
      <c r="N83" s="941" t="e">
        <f>VLOOKUP(M83,R_DD!$B$6:$E$2112,4,0)</f>
        <v>#N/A</v>
      </c>
      <c r="U83" s="943" t="s">
        <v>2320</v>
      </c>
      <c r="V83" s="944" t="str">
        <f>VLOOKUP(U83,R_DD!$B$6:$E$2112,3,0)</f>
        <v>Đầu cosse ép Cu 70mm2</v>
      </c>
      <c r="W83" s="943" t="str">
        <f>VLOOKUP(U83,R_DD!$B$6:$E$2112,4,0)</f>
        <v>cái</v>
      </c>
      <c r="Y83" s="945" t="s">
        <v>2275</v>
      </c>
      <c r="Z83" s="946" t="e">
        <f>VLOOKUP(X83,R_DD!$B$6:$E$2112,3,0)</f>
        <v>#N/A</v>
      </c>
      <c r="AA83" s="946" t="str">
        <f>VLOOKUP(Y83,R_DD!$A$1:$L$2131,4,0)</f>
        <v>Bộ chằng vượt đơn: CK-B</v>
      </c>
      <c r="AB83" s="947" t="str">
        <f>VLOOKUP(Y83,R_DD!$A$1:$L$2131,5,0)</f>
        <v>Bộ</v>
      </c>
      <c r="AC83" s="947" t="e">
        <f>VLOOKUP(X83,R_DD!$B$6:$E$2112,4,0)</f>
        <v>#N/A</v>
      </c>
    </row>
    <row r="84" spans="1:29" ht="20.100000000000001" customHeight="1">
      <c r="A84" s="974"/>
      <c r="B84" s="981"/>
      <c r="C84" s="977"/>
      <c r="D84" s="979"/>
      <c r="E84" s="979"/>
      <c r="H84" s="984" t="s">
        <v>2280</v>
      </c>
      <c r="I84" s="940" t="str">
        <f>VLOOKUP(H84,R_DD!$A$8:$L$2112,4,0)</f>
        <v>Bộ móng neo xòe cho chằng lệch: NXL</v>
      </c>
      <c r="L84" s="941" t="e">
        <f>VLOOKUP(M84,R_DD!$B$6:$E$2112,3,0)</f>
        <v>#N/A</v>
      </c>
      <c r="M84" s="941"/>
      <c r="N84" s="941" t="e">
        <f>VLOOKUP(M84,R_DD!$B$6:$E$2112,4,0)</f>
        <v>#N/A</v>
      </c>
      <c r="U84" s="943" t="s">
        <v>4846</v>
      </c>
      <c r="V84" s="944" t="str">
        <f>VLOOKUP(U84,R_DD!$B$6:$E$2112,3,0)</f>
        <v>Đầu cosse ép Cu 95mm2</v>
      </c>
      <c r="W84" s="943" t="str">
        <f>VLOOKUP(U84,R_DD!$B$6:$E$2112,4,0)</f>
        <v>cái</v>
      </c>
      <c r="Y84" s="945" t="s">
        <v>2596</v>
      </c>
      <c r="Z84" s="946" t="e">
        <f>VLOOKUP(X84,R_DD!$B$6:$E$2112,3,0)</f>
        <v>#N/A</v>
      </c>
      <c r="AA84" s="946" t="str">
        <f>VLOOKUP(Y84,R_DD!$A$1:$L$2131,4,0)</f>
        <v>Bộ chằng vượt kép: CKK</v>
      </c>
      <c r="AB84" s="947" t="str">
        <f>VLOOKUP(Y84,R_DD!$A$1:$L$2131,5,0)</f>
        <v>Bộ</v>
      </c>
      <c r="AC84" s="947" t="e">
        <f>VLOOKUP(X84,R_DD!$B$6:$E$2112,4,0)</f>
        <v>#N/A</v>
      </c>
    </row>
    <row r="85" spans="1:29" ht="20.100000000000001" customHeight="1">
      <c r="A85" s="974"/>
      <c r="B85" s="981"/>
      <c r="C85" s="977"/>
      <c r="D85" s="979"/>
      <c r="E85" s="979"/>
      <c r="H85" s="984" t="s">
        <v>2591</v>
      </c>
      <c r="I85" s="940" t="str">
        <f>VLOOKUP(H85,R_DD!$A$8:$L$2112,4,0)</f>
        <v>Bộ móng neo cho chằng xuống trung thế: MNX12</v>
      </c>
      <c r="U85" s="943" t="s">
        <v>4847</v>
      </c>
      <c r="V85" s="944" t="str">
        <f>VLOOKUP(U85,R_DD!$B$6:$E$2112,3,0)</f>
        <v>Đầu cosse ép Cu 120mm2</v>
      </c>
      <c r="W85" s="943" t="str">
        <f>VLOOKUP(U85,R_DD!$B$6:$E$2112,4,0)</f>
        <v>cái</v>
      </c>
      <c r="Y85" s="945" t="s">
        <v>2277</v>
      </c>
      <c r="Z85" s="946" t="e">
        <f>VLOOKUP(X85,R_DD!$B$6:$E$2112,3,0)</f>
        <v>#N/A</v>
      </c>
      <c r="AA85" s="946" t="str">
        <f>VLOOKUP(Y85,R_DD!$A$1:$L$2131,4,0)</f>
        <v>Bộ móng neo xòe cho chằng xuống: NXX</v>
      </c>
      <c r="AB85" s="947" t="str">
        <f>VLOOKUP(Y85,R_DD!$A$1:$L$2131,5,0)</f>
        <v>Bộ</v>
      </c>
      <c r="AC85" s="947" t="e">
        <f>VLOOKUP(X85,R_DD!$B$6:$E$2112,4,0)</f>
        <v>#N/A</v>
      </c>
    </row>
    <row r="86" spans="1:29" ht="20.100000000000001" customHeight="1">
      <c r="A86" s="974"/>
      <c r="B86" s="981"/>
      <c r="C86" s="977"/>
      <c r="D86" s="979"/>
      <c r="E86" s="979"/>
      <c r="H86" s="984" t="s">
        <v>2592</v>
      </c>
      <c r="I86" s="940" t="str">
        <f>VLOOKUP(H86,R_DD!$A$8:$L$2112,4,0)</f>
        <v>Bộ móng neo cho chằng lệch trung thế: MNL12</v>
      </c>
      <c r="U86" s="943" t="s">
        <v>4848</v>
      </c>
      <c r="V86" s="944" t="str">
        <f>VLOOKUP(U86,R_DD!$B$6:$E$2112,3,0)</f>
        <v>Đầu cosse ép Cu 150mm2</v>
      </c>
      <c r="W86" s="943" t="str">
        <f>VLOOKUP(U86,R_DD!$B$6:$E$2112,4,0)</f>
        <v>cái</v>
      </c>
      <c r="Y86" s="945" t="s">
        <v>2280</v>
      </c>
      <c r="Z86" s="946" t="e">
        <f>VLOOKUP(X86,R_DD!$B$6:$E$2112,3,0)</f>
        <v>#N/A</v>
      </c>
      <c r="AA86" s="946" t="str">
        <f>VLOOKUP(Y86,R_DD!$A$1:$L$2131,4,0)</f>
        <v>Bộ móng neo xòe cho chằng lệch: NXL</v>
      </c>
      <c r="AB86" s="947" t="str">
        <f>VLOOKUP(Y86,R_DD!$A$1:$L$2131,5,0)</f>
        <v>Bộ</v>
      </c>
      <c r="AC86" s="947" t="e">
        <f>VLOOKUP(X86,R_DD!$B$6:$E$2112,4,0)</f>
        <v>#N/A</v>
      </c>
    </row>
    <row r="87" spans="1:29" ht="20.100000000000001" customHeight="1">
      <c r="A87" s="974"/>
      <c r="B87" s="978"/>
      <c r="C87" s="977"/>
      <c r="D87" s="979"/>
      <c r="E87" s="979"/>
      <c r="H87" s="984" t="s">
        <v>2333</v>
      </c>
      <c r="I87" s="940" t="str">
        <f>VLOOKUP(H87,R_DD!$A$8:$L$2112,4,0)</f>
        <v>Bộ đỡ dây trung hòa vào trụ</v>
      </c>
      <c r="U87" s="943" t="s">
        <v>4849</v>
      </c>
      <c r="V87" s="944" t="str">
        <f>VLOOKUP(U87,R_DD!$B$6:$E$2112,3,0)</f>
        <v>Đầu cosse ép Cu 240mm2</v>
      </c>
      <c r="W87" s="943" t="str">
        <f>VLOOKUP(U87,R_DD!$B$6:$E$2112,4,0)</f>
        <v>cái</v>
      </c>
      <c r="Y87" s="945" t="s">
        <v>2591</v>
      </c>
      <c r="Z87" s="946" t="e">
        <f>VLOOKUP(X87,R_DD!$B$6:$E$2112,3,0)</f>
        <v>#N/A</v>
      </c>
      <c r="AA87" s="946" t="str">
        <f>VLOOKUP(Y87,R_DD!$A$1:$L$2131,4,0)</f>
        <v>Bộ móng neo cho chằng xuống trung thế: MNX12</v>
      </c>
      <c r="AB87" s="947" t="str">
        <f>VLOOKUP(Y87,R_DD!$A$1:$L$2131,5,0)</f>
        <v>Bộ</v>
      </c>
      <c r="AC87" s="947" t="e">
        <f>VLOOKUP(X87,R_DD!$B$6:$E$2112,4,0)</f>
        <v>#N/A</v>
      </c>
    </row>
    <row r="88" spans="1:29" ht="20.100000000000001" customHeight="1">
      <c r="A88" s="974"/>
      <c r="B88" s="981"/>
      <c r="C88" s="977"/>
      <c r="D88" s="979"/>
      <c r="E88" s="979"/>
      <c r="H88" s="984" t="s">
        <v>2283</v>
      </c>
      <c r="I88" s="940" t="str">
        <f>VLOOKUP(H88,R_DD!$A$8:$L$2112,4,0)</f>
        <v>Bộ dừng dây trung hòa vào trụ</v>
      </c>
      <c r="U88" s="943" t="s">
        <v>4850</v>
      </c>
      <c r="V88" s="944" t="str">
        <f>VLOOKUP(U88,R_DD!$B$6:$E$2112,3,0)</f>
        <v xml:space="preserve">Ống PVC D90x3,8mm </v>
      </c>
      <c r="W88" s="943" t="str">
        <f>VLOOKUP(U88,R_DD!$B$6:$E$2112,4,0)</f>
        <v>m</v>
      </c>
      <c r="Y88" s="945" t="s">
        <v>2592</v>
      </c>
      <c r="Z88" s="946" t="e">
        <f>VLOOKUP(X88,R_DD!$B$6:$E$2112,3,0)</f>
        <v>#N/A</v>
      </c>
      <c r="AA88" s="946" t="str">
        <f>VLOOKUP(Y88,R_DD!$A$1:$L$2131,4,0)</f>
        <v>Bộ móng neo cho chằng lệch trung thế: MNL12</v>
      </c>
      <c r="AB88" s="947" t="str">
        <f>VLOOKUP(Y88,R_DD!$A$1:$L$2131,5,0)</f>
        <v>Bộ</v>
      </c>
      <c r="AC88" s="947" t="e">
        <f>VLOOKUP(X88,R_DD!$B$6:$E$2112,4,0)</f>
        <v>#N/A</v>
      </c>
    </row>
    <row r="89" spans="1:29" ht="20.100000000000001" customHeight="1">
      <c r="A89" s="974"/>
      <c r="B89" s="981"/>
      <c r="C89" s="977"/>
      <c r="D89" s="979"/>
      <c r="E89" s="979"/>
      <c r="H89" s="984" t="s">
        <v>2285</v>
      </c>
      <c r="I89" s="940" t="str">
        <f>VLOOKUP(H89,R_DD!$A$8:$L$2112,4,0)</f>
        <v>Bộ sứ đứng đỡ thẳng</v>
      </c>
      <c r="U89" s="943" t="s">
        <v>4851</v>
      </c>
      <c r="V89" s="944" t="str">
        <f>VLOOKUP(U89,R_DD!$B$6:$E$2112,3,0)</f>
        <v xml:space="preserve">Ống PVC D114x4,9mm </v>
      </c>
      <c r="W89" s="943" t="str">
        <f>VLOOKUP(U89,R_DD!$B$6:$E$2112,4,0)</f>
        <v>m</v>
      </c>
      <c r="Y89" s="945" t="s">
        <v>2333</v>
      </c>
      <c r="Z89" s="946" t="e">
        <f>VLOOKUP(X89,R_DD!$B$6:$E$2112,3,0)</f>
        <v>#N/A</v>
      </c>
      <c r="AA89" s="946" t="str">
        <f>VLOOKUP(Y89,R_DD!$A$1:$L$2131,4,0)</f>
        <v>Bộ đỡ dây trung hòa vào trụ</v>
      </c>
      <c r="AB89" s="947" t="str">
        <f>VLOOKUP(Y89,R_DD!$A$1:$L$2131,5,0)</f>
        <v>Bộ</v>
      </c>
      <c r="AC89" s="947" t="e">
        <f>VLOOKUP(X89,R_DD!$B$6:$E$2112,4,0)</f>
        <v>#N/A</v>
      </c>
    </row>
    <row r="90" spans="1:29" ht="20.100000000000001" customHeight="1">
      <c r="A90" s="974"/>
      <c r="B90" s="981"/>
      <c r="C90" s="977"/>
      <c r="D90" s="979"/>
      <c r="E90" s="979"/>
      <c r="H90" s="984" t="s">
        <v>2286</v>
      </c>
      <c r="I90" s="940" t="str">
        <f>VLOOKUP(H90,R_DD!$A$8:$L$2112,4,0)</f>
        <v>Bộ sứ đỉnh đỡ thẳng</v>
      </c>
      <c r="U90" s="943" t="s">
        <v>2319</v>
      </c>
      <c r="V90" s="944" t="str">
        <f>VLOOKUP(U90,R_DD!$B$6:$E$2112,3,0)</f>
        <v>Co 90 độ PVC 90</v>
      </c>
      <c r="W90" s="943" t="str">
        <f>VLOOKUP(U90,R_DD!$B$6:$E$2112,4,0)</f>
        <v>cái</v>
      </c>
      <c r="Y90" s="945" t="s">
        <v>2283</v>
      </c>
      <c r="Z90" s="946" t="e">
        <f>VLOOKUP(X90,R_DD!$B$6:$E$2112,3,0)</f>
        <v>#N/A</v>
      </c>
      <c r="AA90" s="946" t="str">
        <f>VLOOKUP(Y90,R_DD!$A$1:$L$2131,4,0)</f>
        <v>Bộ dừng dây trung hòa vào trụ</v>
      </c>
      <c r="AB90" s="947" t="str">
        <f>VLOOKUP(Y90,R_DD!$A$1:$L$2131,5,0)</f>
        <v>Bộ</v>
      </c>
      <c r="AC90" s="947" t="e">
        <f>VLOOKUP(X90,R_DD!$B$6:$E$2112,4,0)</f>
        <v>#N/A</v>
      </c>
    </row>
    <row r="91" spans="1:29" ht="20.100000000000001" customHeight="1">
      <c r="A91" s="974"/>
      <c r="B91" s="981"/>
      <c r="C91" s="977"/>
      <c r="D91" s="979"/>
      <c r="E91" s="979"/>
      <c r="H91" s="984" t="s">
        <v>2287</v>
      </c>
      <c r="I91" s="940" t="str">
        <f>VLOOKUP(H91,R_DD!$A$8:$L$2112,4,0)</f>
        <v>Bộ sứ đỉnh đỡ góc</v>
      </c>
      <c r="U91" s="943" t="s">
        <v>4853</v>
      </c>
      <c r="V91" s="944" t="str">
        <f>VLOOKUP(U91,R_DD!$B$6:$E$2112,3,0)</f>
        <v>Co 90 độ PVC 114</v>
      </c>
      <c r="W91" s="943" t="str">
        <f>VLOOKUP(U91,R_DD!$B$6:$E$2112,4,0)</f>
        <v>cái</v>
      </c>
      <c r="Y91" s="945" t="s">
        <v>2285</v>
      </c>
      <c r="Z91" s="946" t="e">
        <f>VLOOKUP(X91,R_DD!$B$6:$E$2112,3,0)</f>
        <v>#N/A</v>
      </c>
      <c r="AA91" s="946" t="str">
        <f>VLOOKUP(Y91,R_DD!$A$1:$L$2131,4,0)</f>
        <v>Bộ sứ đứng đỡ thẳng</v>
      </c>
      <c r="AB91" s="947" t="str">
        <f>VLOOKUP(Y91,R_DD!$A$1:$L$2131,5,0)</f>
        <v>Bộ</v>
      </c>
      <c r="AC91" s="947" t="e">
        <f>VLOOKUP(X91,R_DD!$B$6:$E$2112,4,0)</f>
        <v>#N/A</v>
      </c>
    </row>
    <row r="92" spans="1:29" ht="20.100000000000001" customHeight="1">
      <c r="A92" s="974"/>
      <c r="B92" s="981"/>
      <c r="C92" s="977"/>
      <c r="D92" s="979"/>
      <c r="E92" s="979"/>
      <c r="H92" s="984" t="s">
        <v>2288</v>
      </c>
      <c r="I92" s="940" t="str">
        <f>VLOOKUP(H92,R_DD!$A$8:$L$2112,4,0)</f>
        <v>Chuỗi sứ treo 2 bát lắp vào trụ</v>
      </c>
      <c r="U92" s="943" t="s">
        <v>4852</v>
      </c>
      <c r="V92" s="944" t="str">
        <f>VLOOKUP(U92,R_DD!$B$6:$E$2112,3,0)</f>
        <v>Co sừng 90 độ PVC 114</v>
      </c>
      <c r="W92" s="943" t="str">
        <f>VLOOKUP(U92,R_DD!$B$6:$E$2112,4,0)</f>
        <v>cái</v>
      </c>
      <c r="Y92" s="945" t="s">
        <v>2286</v>
      </c>
      <c r="Z92" s="946" t="e">
        <f>VLOOKUP(X92,R_DD!$B$6:$E$2112,3,0)</f>
        <v>#N/A</v>
      </c>
      <c r="AA92" s="946" t="str">
        <f>VLOOKUP(Y92,R_DD!$A$1:$L$2131,4,0)</f>
        <v>Bộ sứ đỉnh đỡ thẳng</v>
      </c>
      <c r="AB92" s="947" t="str">
        <f>VLOOKUP(Y92,R_DD!$A$1:$L$2131,5,0)</f>
        <v>Bộ</v>
      </c>
      <c r="AC92" s="947" t="e">
        <f>VLOOKUP(X92,R_DD!$B$6:$E$2112,4,0)</f>
        <v>#N/A</v>
      </c>
    </row>
    <row r="93" spans="1:29" ht="20.100000000000001" customHeight="1">
      <c r="A93" s="974"/>
      <c r="B93" s="981"/>
      <c r="C93" s="977"/>
      <c r="D93" s="979"/>
      <c r="E93" s="979"/>
      <c r="H93" s="984" t="s">
        <v>2291</v>
      </c>
      <c r="I93" s="940" t="str">
        <f>VLOOKUP(H93,R_DD!$A$8:$L$2112,4,0)</f>
        <v>Chuỗi sứ treo 2 bát lắp vào xà</v>
      </c>
      <c r="U93" s="943" t="s">
        <v>4854</v>
      </c>
      <c r="V93" s="944" t="str">
        <f>VLOOKUP(U93,R_DD!$B$6:$E$2112,3,0)</f>
        <v>Co 135 độ PVC 90</v>
      </c>
      <c r="W93" s="943" t="str">
        <f>VLOOKUP(U93,R_DD!$B$6:$E$2112,4,0)</f>
        <v>cái</v>
      </c>
      <c r="Y93" s="945" t="s">
        <v>2287</v>
      </c>
      <c r="Z93" s="946" t="e">
        <f>VLOOKUP(X93,R_DD!$B$6:$E$2112,3,0)</f>
        <v>#N/A</v>
      </c>
      <c r="AA93" s="946" t="str">
        <f>VLOOKUP(Y93,R_DD!$A$1:$L$2131,4,0)</f>
        <v>Bộ sứ đỉnh đỡ góc</v>
      </c>
      <c r="AB93" s="947" t="str">
        <f>VLOOKUP(Y93,R_DD!$A$1:$L$2131,5,0)</f>
        <v>Bộ</v>
      </c>
      <c r="AC93" s="947" t="e">
        <f>VLOOKUP(X93,R_DD!$B$6:$E$2112,4,0)</f>
        <v>#N/A</v>
      </c>
    </row>
    <row r="94" spans="1:29" ht="20.100000000000001" customHeight="1">
      <c r="A94" s="974"/>
      <c r="B94" s="981"/>
      <c r="C94" s="977"/>
      <c r="D94" s="979"/>
      <c r="E94" s="979"/>
      <c r="H94" s="984" t="s">
        <v>2292</v>
      </c>
      <c r="I94" s="940" t="str">
        <f>VLOOKUP(H94,R_DD!$A$8:$L$2112,4,0)</f>
        <v>Chuỗi sứ treo polyme lắp vào xà</v>
      </c>
      <c r="U94" s="943" t="s">
        <v>4855</v>
      </c>
      <c r="V94" s="944" t="str">
        <f>VLOOKUP(U94,R_DD!$B$6:$E$2112,3,0)</f>
        <v>Co 135 độ PVC 114</v>
      </c>
      <c r="W94" s="943" t="str">
        <f>VLOOKUP(U94,R_DD!$B$6:$E$2112,4,0)</f>
        <v>cái</v>
      </c>
      <c r="Y94" s="945" t="s">
        <v>2288</v>
      </c>
      <c r="Z94" s="946" t="e">
        <f>VLOOKUP(X94,R_DD!$B$6:$E$2112,3,0)</f>
        <v>#N/A</v>
      </c>
      <c r="AA94" s="946" t="str">
        <f>VLOOKUP(Y94,R_DD!$A$1:$L$2131,4,0)</f>
        <v>Chuỗi sứ treo 2 bát lắp vào trụ</v>
      </c>
      <c r="AB94" s="947" t="str">
        <f>VLOOKUP(Y94,R_DD!$A$1:$L$2131,5,0)</f>
        <v>Bộ</v>
      </c>
      <c r="AC94" s="947" t="e">
        <f>VLOOKUP(X94,R_DD!$B$6:$E$2112,4,0)</f>
        <v>#N/A</v>
      </c>
    </row>
    <row r="95" spans="1:29" ht="20.100000000000001" customHeight="1">
      <c r="A95" s="974"/>
      <c r="B95" s="981"/>
      <c r="C95" s="977"/>
      <c r="D95" s="979"/>
      <c r="E95" s="979"/>
      <c r="H95" s="984" t="s">
        <v>2593</v>
      </c>
      <c r="I95" s="940" t="str">
        <f>VLOOKUP(H95,R_DD!$A$8:$L$2112,4,0)</f>
        <v>Chuỗi sứ treo polyme lắp vào trụ</v>
      </c>
      <c r="U95" s="943" t="s">
        <v>76</v>
      </c>
      <c r="V95" s="944" t="str">
        <f>VLOOKUP(U95,R_DD!$B$6:$E$2112,3,0)</f>
        <v>Boulon 16x50+ 2 long đền vuông D18-50x50x3/Zn</v>
      </c>
      <c r="W95" s="943" t="str">
        <f>VLOOKUP(U95,R_DD!$B$6:$E$2112,4,0)</f>
        <v>bộ</v>
      </c>
      <c r="Y95" s="945" t="s">
        <v>2291</v>
      </c>
      <c r="Z95" s="946" t="e">
        <f>VLOOKUP(X95,R_DD!$B$6:$E$2112,3,0)</f>
        <v>#N/A</v>
      </c>
      <c r="AA95" s="946" t="str">
        <f>VLOOKUP(Y95,R_DD!$A$1:$L$2131,4,0)</f>
        <v>Chuỗi sứ treo 2 bát lắp vào xà</v>
      </c>
      <c r="AB95" s="947" t="str">
        <f>VLOOKUP(Y95,R_DD!$A$1:$L$2131,5,0)</f>
        <v>Bộ</v>
      </c>
      <c r="AC95" s="947" t="e">
        <f>VLOOKUP(X95,R_DD!$B$6:$E$2112,4,0)</f>
        <v>#N/A</v>
      </c>
    </row>
    <row r="96" spans="1:29" ht="20.100000000000001" customHeight="1">
      <c r="A96" s="974"/>
      <c r="B96" s="981"/>
      <c r="C96" s="977"/>
      <c r="D96" s="979"/>
      <c r="E96" s="979"/>
      <c r="H96" s="984" t="s">
        <v>2795</v>
      </c>
      <c r="I96" s="940" t="str">
        <f>VLOOKUP(H96,R_DD!$A$8:$L$2112,4,0)</f>
        <v>Hộp phân phối 6CB cho cáp 3xABC</v>
      </c>
      <c r="U96" s="943" t="s">
        <v>78</v>
      </c>
      <c r="V96" s="944" t="str">
        <f>VLOOKUP(U96,R_DD!$B$6:$E$2112,3,0)</f>
        <v>Boulon 16x100+ 2 long đền vuông D18-50x50x3/Zn</v>
      </c>
      <c r="W96" s="943" t="str">
        <f>VLOOKUP(U96,R_DD!$B$6:$E$2112,4,0)</f>
        <v>bộ</v>
      </c>
      <c r="Y96" s="945" t="s">
        <v>2292</v>
      </c>
      <c r="Z96" s="946" t="e">
        <f>VLOOKUP(X96,R_DD!$B$6:$E$2112,3,0)</f>
        <v>#N/A</v>
      </c>
      <c r="AA96" s="946" t="str">
        <f>VLOOKUP(Y96,R_DD!$A$1:$L$2131,4,0)</f>
        <v>Chuỗi sứ treo polyme lắp vào xà</v>
      </c>
      <c r="AB96" s="947" t="str">
        <f>VLOOKUP(Y96,R_DD!$A$1:$L$2131,5,0)</f>
        <v>Bộ</v>
      </c>
      <c r="AC96" s="947" t="e">
        <f>VLOOKUP(X96,R_DD!$B$6:$E$2112,4,0)</f>
        <v>#N/A</v>
      </c>
    </row>
    <row r="97" spans="1:29" ht="20.100000000000001" customHeight="1">
      <c r="A97" s="974"/>
      <c r="B97" s="978"/>
      <c r="C97" s="977"/>
      <c r="D97" s="979"/>
      <c r="E97" s="979"/>
      <c r="H97" s="984" t="s">
        <v>2797</v>
      </c>
      <c r="I97" s="940" t="str">
        <f>VLOOKUP(H97,R_DD!$A$8:$L$2112,4,0)</f>
        <v>Hộp phân phối trực tiếp cho cáp 4xABC</v>
      </c>
      <c r="U97" s="943" t="s">
        <v>82</v>
      </c>
      <c r="V97" s="944" t="str">
        <f>VLOOKUP(U97,R_DD!$B$6:$E$2112,3,0)</f>
        <v>Boulon 16x200+ 2 long đền vuông D18-50x50x3/Zn</v>
      </c>
      <c r="W97" s="943" t="str">
        <f>VLOOKUP(U97,R_DD!$B$6:$E$2112,4,0)</f>
        <v>bộ</v>
      </c>
      <c r="Y97" s="945" t="s">
        <v>2593</v>
      </c>
      <c r="Z97" s="946" t="e">
        <f>VLOOKUP(X97,R_DD!$B$6:$E$2112,3,0)</f>
        <v>#N/A</v>
      </c>
      <c r="AA97" s="946" t="str">
        <f>VLOOKUP(Y97,R_DD!$A$1:$L$2131,4,0)</f>
        <v>Chuỗi sứ treo polyme lắp vào trụ</v>
      </c>
      <c r="AB97" s="947" t="str">
        <f>VLOOKUP(Y97,R_DD!$A$1:$L$2131,5,0)</f>
        <v>Bộ</v>
      </c>
      <c r="AC97" s="947" t="e">
        <f>VLOOKUP(X97,R_DD!$B$6:$E$2112,4,0)</f>
        <v>#N/A</v>
      </c>
    </row>
    <row r="98" spans="1:29" ht="20.100000000000001" customHeight="1">
      <c r="A98" s="968"/>
      <c r="B98" s="986"/>
      <c r="C98" s="966"/>
      <c r="D98" s="966"/>
      <c r="E98" s="966"/>
      <c r="H98" s="984" t="s">
        <v>3035</v>
      </c>
      <c r="I98" s="940" t="str">
        <f>VLOOKUP(H98,R_DD!$A$8:$L$2112,4,0)</f>
        <v>Móc đơn treo cáp ABC trụ trung thế</v>
      </c>
      <c r="U98" s="943" t="s">
        <v>84</v>
      </c>
      <c r="V98" s="944" t="str">
        <f>VLOOKUP(U98,R_DD!$B$6:$E$2112,3,0)</f>
        <v>Boulon 16x250+ 2 long đền vuông D18-50x50x3/Zn</v>
      </c>
      <c r="W98" s="943" t="str">
        <f>VLOOKUP(U98,R_DD!$B$6:$E$2112,4,0)</f>
        <v>bộ</v>
      </c>
      <c r="Y98" s="945" t="s">
        <v>2795</v>
      </c>
      <c r="Z98" s="946" t="e">
        <f>VLOOKUP(X98,R_DD!$B$6:$E$2112,3,0)</f>
        <v>#N/A</v>
      </c>
      <c r="AA98" s="946" t="str">
        <f>VLOOKUP(Y98,R_DD!$A$1:$L$2131,4,0)</f>
        <v>Hộp phân phối 6CB cho cáp 3xABC</v>
      </c>
      <c r="AB98" s="947" t="str">
        <f>VLOOKUP(Y98,R_DD!$A$1:$L$2131,5,0)</f>
        <v>Bộ</v>
      </c>
      <c r="AC98" s="947" t="e">
        <f>VLOOKUP(X98,R_DD!$B$6:$E$2112,4,0)</f>
        <v>#N/A</v>
      </c>
    </row>
    <row r="99" spans="1:29" ht="20.100000000000001" customHeight="1">
      <c r="C99" s="970"/>
      <c r="D99" s="966"/>
      <c r="E99" s="966"/>
      <c r="H99" s="984" t="s">
        <v>3036</v>
      </c>
      <c r="I99" s="940" t="str">
        <f>VLOOKUP(H99,R_DD!$A$8:$L$2112,4,0)</f>
        <v>Móc đôi treo cáp ABC trụ trung thế</v>
      </c>
      <c r="U99" s="943" t="s">
        <v>86</v>
      </c>
      <c r="V99" s="944" t="str">
        <f>VLOOKUP(U99,R_DD!$B$6:$E$2112,3,0)</f>
        <v>Boulon 16x300+ 2 long đền vuông D18-50x50x3/Zn</v>
      </c>
      <c r="W99" s="943" t="str">
        <f>VLOOKUP(U99,R_DD!$B$6:$E$2112,4,0)</f>
        <v>bộ</v>
      </c>
      <c r="Y99" s="945" t="s">
        <v>2797</v>
      </c>
      <c r="Z99" s="946" t="e">
        <f>VLOOKUP(X99,R_DD!$B$6:$E$2112,3,0)</f>
        <v>#N/A</v>
      </c>
      <c r="AA99" s="946" t="str">
        <f>VLOOKUP(Y99,R_DD!$A$1:$L$2131,4,0)</f>
        <v>Hộp phân phối trực tiếp cho cáp 4xABC</v>
      </c>
      <c r="AB99" s="947" t="str">
        <f>VLOOKUP(Y99,R_DD!$A$1:$L$2131,5,0)</f>
        <v>Bộ</v>
      </c>
      <c r="AC99" s="947" t="e">
        <f>VLOOKUP(X99,R_DD!$B$6:$E$2112,4,0)</f>
        <v>#N/A</v>
      </c>
    </row>
    <row r="100" spans="1:29" ht="20.100000000000001" customHeight="1">
      <c r="E100" s="966"/>
      <c r="H100" s="984" t="s">
        <v>3037</v>
      </c>
      <c r="I100" s="940" t="str">
        <f>VLOOKUP(H100,R_DD!$A$8:$L$2112,4,0)</f>
        <v>Bộ dừng cáp ABC trụ trung thế</v>
      </c>
      <c r="U100" s="943" t="s">
        <v>88</v>
      </c>
      <c r="V100" s="944" t="str">
        <f>VLOOKUP(U100,R_DD!$B$6:$E$2112,3,0)</f>
        <v>Boulon 16x350+ 2 long đền vuông D18-50x50x3/Zn</v>
      </c>
      <c r="W100" s="943" t="str">
        <f>VLOOKUP(U100,R_DD!$B$6:$E$2112,4,0)</f>
        <v>bộ</v>
      </c>
      <c r="Y100" s="945" t="s">
        <v>3038</v>
      </c>
      <c r="Z100" s="946" t="e">
        <f>VLOOKUP(X100,R_DD!$B$6:$E$2112,3,0)</f>
        <v>#N/A</v>
      </c>
      <c r="AA100" s="946" t="str">
        <f>VLOOKUP(Y100,R_DD!$A$1:$L$2131,4,0)</f>
        <v>Hộp MCCB phân đoạn cho cáp 3xABC</v>
      </c>
      <c r="AB100" s="947" t="str">
        <f>VLOOKUP(Y100,R_DD!$A$1:$L$2131,5,0)</f>
        <v>Bộ</v>
      </c>
      <c r="AC100" s="947" t="e">
        <f>VLOOKUP(X100,R_DD!$B$6:$E$2112,4,0)</f>
        <v>#N/A</v>
      </c>
    </row>
    <row r="101" spans="1:29" ht="20.100000000000001" customHeight="1">
      <c r="A101" s="987" t="s">
        <v>3822</v>
      </c>
      <c r="B101" s="988"/>
      <c r="C101" s="989"/>
      <c r="D101" s="990"/>
      <c r="E101" s="991"/>
      <c r="H101" s="984" t="s">
        <v>2350</v>
      </c>
      <c r="I101" s="940" t="str">
        <f>VLOOKUP(H101,R_DD!$A$8:$L$2112,4,0)</f>
        <v>Bộ dây dẫn pha/trung hòa</v>
      </c>
      <c r="U101" s="943" t="s">
        <v>90</v>
      </c>
      <c r="V101" s="944" t="str">
        <f>VLOOKUP(U101,R_DD!$B$6:$E$2112,3,0)</f>
        <v>Boulon 16x400+ 2 long đền vuông D18-50x50x3/Zn</v>
      </c>
      <c r="W101" s="943" t="str">
        <f>VLOOKUP(U101,R_DD!$B$6:$E$2112,4,0)</f>
        <v>bộ</v>
      </c>
      <c r="Y101" s="945" t="s">
        <v>4142</v>
      </c>
      <c r="Z101" s="946" t="e">
        <f>VLOOKUP(X101,R_DD!$B$6:$E$2112,3,0)</f>
        <v>#N/A</v>
      </c>
      <c r="AA101" s="946" t="str">
        <f>VLOOKUP(Y101,R_DD!$A$1:$L$2131,4,0)</f>
        <v>Hộp MCCB phân đoạn cho cáp 4xABC</v>
      </c>
      <c r="AB101" s="947" t="str">
        <f>VLOOKUP(Y101,R_DD!$A$1:$L$2131,5,0)</f>
        <v>Bộ</v>
      </c>
      <c r="AC101" s="947" t="e">
        <f>VLOOKUP(X101,R_DD!$B$6:$E$2112,4,0)</f>
        <v>#N/A</v>
      </c>
    </row>
    <row r="102" spans="1:29" ht="20.100000000000001" customHeight="1">
      <c r="A102" s="992" t="s">
        <v>2347</v>
      </c>
      <c r="B102" s="993" t="s">
        <v>5</v>
      </c>
      <c r="C102" s="993" t="s">
        <v>2</v>
      </c>
      <c r="D102" s="994" t="s">
        <v>3823</v>
      </c>
      <c r="E102" s="966"/>
      <c r="H102" s="984" t="s">
        <v>2349</v>
      </c>
      <c r="I102" s="940" t="e">
        <f>VLOOKUP(H102,R_DD!$A$8:$L$2112,4,0)</f>
        <v>#N/A</v>
      </c>
      <c r="U102" s="943" t="s">
        <v>92</v>
      </c>
      <c r="V102" s="944" t="str">
        <f>VLOOKUP(U102,R_DD!$B$6:$E$2112,3,0)</f>
        <v>Boulon 16x450+ 2 long đền vuông D18-50x50x3/Zn</v>
      </c>
      <c r="W102" s="943" t="str">
        <f>VLOOKUP(U102,R_DD!$B$6:$E$2112,4,0)</f>
        <v>bộ</v>
      </c>
      <c r="Y102" s="945" t="s">
        <v>3035</v>
      </c>
      <c r="Z102" s="946" t="e">
        <f>VLOOKUP(X102,R_DD!$B$6:$E$2112,3,0)</f>
        <v>#N/A</v>
      </c>
      <c r="AA102" s="946" t="str">
        <f>VLOOKUP(Y102,R_DD!$A$1:$L$2131,4,0)</f>
        <v>Móc đơn treo cáp ABC trụ trung thế</v>
      </c>
      <c r="AB102" s="947" t="str">
        <f>VLOOKUP(Y102,R_DD!$A$1:$L$2131,5,0)</f>
        <v>Bộ</v>
      </c>
      <c r="AC102" s="947" t="e">
        <f>VLOOKUP(X102,R_DD!$B$6:$E$2112,4,0)</f>
        <v>#N/A</v>
      </c>
    </row>
    <row r="103" spans="1:29" ht="20.100000000000001" customHeight="1">
      <c r="A103" s="995">
        <v>1</v>
      </c>
      <c r="B103" s="996" t="s">
        <v>3824</v>
      </c>
      <c r="C103" s="997" t="s">
        <v>3825</v>
      </c>
      <c r="D103" s="998">
        <v>1052710</v>
      </c>
      <c r="E103" s="966"/>
      <c r="H103" s="984" t="s">
        <v>2679</v>
      </c>
      <c r="I103" s="940" t="e">
        <f>VLOOKUP(H103,R_DD!$A$8:$L$2112,4,0)</f>
        <v>#N/A</v>
      </c>
      <c r="U103" s="943" t="s">
        <v>94</v>
      </c>
      <c r="V103" s="944" t="str">
        <f>VLOOKUP(U103,R_DD!$B$6:$E$2112,3,0)</f>
        <v>Boulon 16x500+ 2 long đền vuông D18-50x50x3/Zn</v>
      </c>
      <c r="W103" s="943" t="str">
        <f>VLOOKUP(U103,R_DD!$B$6:$E$2112,4,0)</f>
        <v>bộ</v>
      </c>
      <c r="Y103" s="945" t="s">
        <v>3036</v>
      </c>
      <c r="Z103" s="946" t="e">
        <f>VLOOKUP(X103,R_DD!$B$6:$E$2112,3,0)</f>
        <v>#N/A</v>
      </c>
      <c r="AA103" s="946" t="str">
        <f>VLOOKUP(Y103,R_DD!$A$1:$L$2131,4,0)</f>
        <v>Móc đôi treo cáp ABC trụ trung thế</v>
      </c>
      <c r="AB103" s="947" t="str">
        <f>VLOOKUP(Y103,R_DD!$A$1:$L$2131,5,0)</f>
        <v>Bộ</v>
      </c>
      <c r="AC103" s="947" t="e">
        <f>VLOOKUP(X103,R_DD!$B$6:$E$2112,4,0)</f>
        <v>#N/A</v>
      </c>
    </row>
    <row r="104" spans="1:29" ht="20.100000000000001" customHeight="1">
      <c r="A104" s="999">
        <v>2</v>
      </c>
      <c r="B104" s="1000" t="s">
        <v>3826</v>
      </c>
      <c r="C104" s="1001" t="s">
        <v>3825</v>
      </c>
      <c r="D104" s="1002">
        <v>576940</v>
      </c>
      <c r="E104" s="966"/>
      <c r="U104" s="943" t="s">
        <v>4416</v>
      </c>
      <c r="V104" s="944" t="str">
        <f>VLOOKUP(U104,R_DD!$B$6:$E$2112,3,0)</f>
        <v>Boulon 16x550+ 2 long đền vuông D18-50x50x3/Zn</v>
      </c>
      <c r="W104" s="943" t="str">
        <f>VLOOKUP(U104,R_DD!$B$6:$E$2112,4,0)</f>
        <v>bộ</v>
      </c>
      <c r="Y104" s="945" t="s">
        <v>3037</v>
      </c>
      <c r="Z104" s="946" t="e">
        <f>VLOOKUP(X104,R_DD!$B$6:$E$2112,3,0)</f>
        <v>#N/A</v>
      </c>
      <c r="AA104" s="946" t="str">
        <f>VLOOKUP(Y104,R_DD!$A$1:$L$2131,4,0)</f>
        <v>Bộ dừng cáp ABC trụ trung thế</v>
      </c>
      <c r="AB104" s="947" t="str">
        <f>VLOOKUP(Y104,R_DD!$A$1:$L$2131,5,0)</f>
        <v>Bộ</v>
      </c>
      <c r="AC104" s="947" t="e">
        <f>VLOOKUP(X104,R_DD!$B$6:$E$2112,4,0)</f>
        <v>#N/A</v>
      </c>
    </row>
    <row r="105" spans="1:29" ht="20.100000000000001" customHeight="1">
      <c r="A105" s="968"/>
      <c r="E105" s="966"/>
      <c r="U105" s="943" t="s">
        <v>96</v>
      </c>
      <c r="V105" s="944" t="str">
        <f>VLOOKUP(U105,R_DD!$B$6:$E$2112,3,0)</f>
        <v>Boulon 16x600+ 2 long đền vuông D18-50x50x3/Zn</v>
      </c>
      <c r="W105" s="943" t="str">
        <f>VLOOKUP(U105,R_DD!$B$6:$E$2112,4,0)</f>
        <v>bộ</v>
      </c>
      <c r="Y105" s="945" t="s">
        <v>3044</v>
      </c>
      <c r="Z105" s="946" t="e">
        <f>VLOOKUP(X105,R_DD!$B$6:$E$2112,3,0)</f>
        <v>#N/A</v>
      </c>
      <c r="AA105" s="946" t="str">
        <f>VLOOKUP(Y105,R_DD!$A$1:$L$2131,4,0)</f>
        <v>Móc đơn treo cáp ABC trụ hạ thế</v>
      </c>
      <c r="AB105" s="947" t="str">
        <f>VLOOKUP(Y105,R_DD!$A$1:$L$2131,5,0)</f>
        <v>Bộ</v>
      </c>
      <c r="AC105" s="947" t="e">
        <f>VLOOKUP(X105,R_DD!$B$6:$E$2112,4,0)</f>
        <v>#N/A</v>
      </c>
    </row>
    <row r="106" spans="1:29" ht="20.100000000000001" customHeight="1">
      <c r="U106" s="943" t="s">
        <v>3444</v>
      </c>
      <c r="V106" s="944" t="str">
        <f>VLOOKUP(U106,R_DD!$B$6:$E$2112,3,0)</f>
        <v>Boulon 16x650+ 2 long đền vuông D18-50x50x3/Zn</v>
      </c>
      <c r="W106" s="943" t="str">
        <f>VLOOKUP(U106,R_DD!$B$6:$E$2112,4,0)</f>
        <v>bộ</v>
      </c>
      <c r="Y106" s="945" t="s">
        <v>3045</v>
      </c>
      <c r="Z106" s="946" t="e">
        <f>VLOOKUP(X106,R_DD!$B$6:$E$2112,3,0)</f>
        <v>#N/A</v>
      </c>
      <c r="AA106" s="946" t="str">
        <f>VLOOKUP(Y106,R_DD!$A$1:$L$2131,4,0)</f>
        <v>Móc đôi treo cáp ABC trụ hạ thế</v>
      </c>
      <c r="AB106" s="947" t="str">
        <f>VLOOKUP(Y106,R_DD!$A$1:$L$2131,5,0)</f>
        <v>Bộ</v>
      </c>
      <c r="AC106" s="947" t="e">
        <f>VLOOKUP(X106,R_DD!$B$6:$E$2112,4,0)</f>
        <v>#N/A</v>
      </c>
    </row>
    <row r="107" spans="1:29" ht="20.100000000000001" customHeight="1">
      <c r="U107" s="943" t="s">
        <v>3450</v>
      </c>
      <c r="V107" s="944" t="str">
        <f>VLOOKUP(U107,R_DD!$B$6:$E$2112,3,0)</f>
        <v>Boulon 16x700+ 2 long đền vuông D18-50x50x3/Zn</v>
      </c>
      <c r="W107" s="943" t="str">
        <f>VLOOKUP(U107,R_DD!$B$6:$E$2112,4,0)</f>
        <v>bộ</v>
      </c>
      <c r="Y107" s="945" t="s">
        <v>3046</v>
      </c>
      <c r="Z107" s="946" t="e">
        <f>VLOOKUP(X107,R_DD!$B$6:$E$2112,3,0)</f>
        <v>#N/A</v>
      </c>
      <c r="AA107" s="946" t="str">
        <f>VLOOKUP(Y107,R_DD!$A$1:$L$2131,4,0)</f>
        <v>Bộ dừng cáp ABC trụ hạ thế</v>
      </c>
      <c r="AB107" s="947" t="str">
        <f>VLOOKUP(Y107,R_DD!$A$1:$L$2131,5,0)</f>
        <v>Bộ</v>
      </c>
      <c r="AC107" s="947" t="e">
        <f>VLOOKUP(X107,R_DD!$B$6:$E$2112,4,0)</f>
        <v>#N/A</v>
      </c>
    </row>
    <row r="108" spans="1:29" ht="20.100000000000001" customHeight="1">
      <c r="A108" s="931" t="s">
        <v>3827</v>
      </c>
      <c r="B108" s="931">
        <v>3</v>
      </c>
      <c r="U108" s="943" t="s">
        <v>4856</v>
      </c>
      <c r="V108" s="944" t="str">
        <f>VLOOKUP(U108,R_DD!$B$6:$E$2112,3,0)</f>
        <v>Boulon 16x200VRS+ 4 long đền vuông D18-50x50x3/Zn</v>
      </c>
      <c r="W108" s="943" t="str">
        <f>VLOOKUP(U108,R_DD!$B$6:$E$2112,4,0)</f>
        <v>bộ</v>
      </c>
      <c r="Y108" s="945" t="s">
        <v>3057</v>
      </c>
      <c r="Z108" s="946" t="e">
        <f>VLOOKUP(X108,R_DD!$B$6:$E$2112,3,0)</f>
        <v>#N/A</v>
      </c>
      <c r="AA108" s="946" t="str">
        <f>VLOOKUP(Y108,R_DD!$A$1:$L$2131,4,0)</f>
        <v>Bộ cáp xuất hạ thế 3P tại trạm</v>
      </c>
      <c r="AB108" s="947" t="str">
        <f>VLOOKUP(Y108,R_DD!$A$1:$L$2131,5,0)</f>
        <v>Bộ</v>
      </c>
      <c r="AC108" s="947" t="e">
        <f>VLOOKUP(X108,R_DD!$B$6:$E$2112,4,0)</f>
        <v>#N/A</v>
      </c>
    </row>
    <row r="109" spans="1:29" ht="20.100000000000001" customHeight="1">
      <c r="U109" s="943" t="s">
        <v>2231</v>
      </c>
      <c r="V109" s="944" t="str">
        <f>VLOOKUP(U109,R_DD!$B$6:$E$2112,3,0)</f>
        <v>Boulon 16x250VRS+ 4 long đền vuông D18-50x50x3/Zn</v>
      </c>
      <c r="W109" s="943" t="str">
        <f>VLOOKUP(U109,R_DD!$B$6:$E$2112,4,0)</f>
        <v>bộ</v>
      </c>
      <c r="Y109" s="947" t="s">
        <v>3058</v>
      </c>
      <c r="Z109" s="946" t="e">
        <f>VLOOKUP(X109,R_DD!$B$6:$E$2112,3,0)</f>
        <v>#N/A</v>
      </c>
      <c r="AA109" s="946" t="str">
        <f>VLOOKUP(Y109,R_DD!$A$1:$L$2131,4,0)</f>
        <v>Bộ cáp xuất hạ thế 1P tại trạm</v>
      </c>
      <c r="AB109" s="947" t="str">
        <f>VLOOKUP(Y109,R_DD!$A$1:$L$2131,5,0)</f>
        <v>Bộ</v>
      </c>
      <c r="AC109" s="947" t="e">
        <f>VLOOKUP(X109,R_DD!$B$6:$E$2112,4,0)</f>
        <v>#N/A</v>
      </c>
    </row>
    <row r="110" spans="1:29" ht="20.100000000000001" customHeight="1">
      <c r="U110" s="943" t="s">
        <v>2237</v>
      </c>
      <c r="V110" s="944" t="str">
        <f>VLOOKUP(U110,R_DD!$B$6:$E$2112,3,0)</f>
        <v>Boulon 16x300VRS+ 4 long đền vuông D18-50x50x3/Zn</v>
      </c>
      <c r="W110" s="943" t="str">
        <f>VLOOKUP(U110,R_DD!$B$6:$E$2112,4,0)</f>
        <v>bộ</v>
      </c>
      <c r="Y110" s="947" t="s">
        <v>4956</v>
      </c>
      <c r="Z110" s="946" t="e">
        <f>VLOOKUP(X110,R_DD!$B$6:$E$2112,3,0)</f>
        <v>#N/A</v>
      </c>
      <c r="AA110" s="946" t="str">
        <f>VLOOKUP(Y110,R_DD!$A$1:$L$2131,4,0)</f>
        <v>Bộ tiếp địa TBA 1P - 3P</v>
      </c>
      <c r="AB110" s="947" t="str">
        <f>VLOOKUP(Y110,R_DD!$A$1:$L$2131,5,0)</f>
        <v>Bộ</v>
      </c>
      <c r="AC110" s="947" t="e">
        <f>VLOOKUP(X110,R_DD!$B$6:$E$2112,4,0)</f>
        <v>#N/A</v>
      </c>
    </row>
    <row r="111" spans="1:29" ht="20.100000000000001" customHeight="1">
      <c r="A111" s="931" t="s">
        <v>3828</v>
      </c>
      <c r="B111" s="931" t="str">
        <f>R_GT!Q7</f>
        <v xml:space="preserve">x25kVA: 0 trạm </v>
      </c>
      <c r="U111" s="943" t="s">
        <v>4858</v>
      </c>
      <c r="V111" s="944" t="str">
        <f>VLOOKUP(U111,R_DD!$B$6:$E$2112,3,0)</f>
        <v>Boulon 16x350VRS+ 4 long đền vuông D18-50x50x3/Zn</v>
      </c>
      <c r="W111" s="943" t="str">
        <f>VLOOKUP(U111,R_DD!$B$6:$E$2112,4,0)</f>
        <v>bộ</v>
      </c>
      <c r="Y111" s="947" t="s">
        <v>3058</v>
      </c>
      <c r="Z111" s="946" t="e">
        <f>VLOOKUP(X111,R_DD!$B$6:$E$2112,3,0)</f>
        <v>#N/A</v>
      </c>
      <c r="AA111" s="946" t="str">
        <f>VLOOKUP(Y111,R_DD!$A$1:$L$2131,4,0)</f>
        <v>Bộ cáp xuất hạ thế 1P tại trạm</v>
      </c>
      <c r="AB111" s="947" t="str">
        <f>VLOOKUP(Y111,R_DD!$A$1:$L$2131,5,0)</f>
        <v>Bộ</v>
      </c>
      <c r="AC111" s="947" t="e">
        <f>VLOOKUP(X111,R_DD!$B$6:$E$2112,4,0)</f>
        <v>#N/A</v>
      </c>
    </row>
    <row r="112" spans="1:29" ht="20.100000000000001" customHeight="1">
      <c r="B112" s="931" t="str">
        <f>R_GT!R7</f>
        <v xml:space="preserve">x37,5kVA: 0 trạm </v>
      </c>
      <c r="U112" s="943" t="s">
        <v>110</v>
      </c>
      <c r="V112" s="944" t="str">
        <f>VLOOKUP(U112,R_DD!$B$6:$E$2112,3,0)</f>
        <v>Boulon 16x400VRS+ 4 long đền vuông D18-50x50x3/Zn</v>
      </c>
      <c r="W112" s="943" t="str">
        <f>VLOOKUP(U112,R_DD!$B$6:$E$2112,4,0)</f>
        <v>bộ</v>
      </c>
      <c r="Y112" s="947" t="s">
        <v>3058</v>
      </c>
      <c r="Z112" s="946" t="e">
        <f>VLOOKUP(X112,R_DD!$B$6:$E$2112,3,0)</f>
        <v>#N/A</v>
      </c>
      <c r="AA112" s="946" t="str">
        <f>VLOOKUP(Y112,R_DD!$A$1:$L$2131,4,0)</f>
        <v>Bộ cáp xuất hạ thế 1P tại trạm</v>
      </c>
      <c r="AB112" s="947" t="str">
        <f>VLOOKUP(Y112,R_DD!$A$1:$L$2131,5,0)</f>
        <v>Bộ</v>
      </c>
      <c r="AC112" s="947" t="e">
        <f>VLOOKUP(X112,R_DD!$B$6:$E$2112,4,0)</f>
        <v>#N/A</v>
      </c>
    </row>
    <row r="113" spans="1:29" ht="20.100000000000001" customHeight="1">
      <c r="B113" s="931" t="str">
        <f>R_GT!S7</f>
        <v xml:space="preserve">1x50kVA: 01 trạm </v>
      </c>
      <c r="U113" s="943" t="s">
        <v>3446</v>
      </c>
      <c r="V113" s="944" t="str">
        <f>VLOOKUP(U113,R_DD!$B$6:$E$2112,3,0)</f>
        <v>Boulon 16x500VRS+ 4 long đền vuông D18-50x50x3/Zn</v>
      </c>
      <c r="W113" s="943" t="str">
        <f>VLOOKUP(U113,R_DD!$B$6:$E$2112,4,0)</f>
        <v>bộ</v>
      </c>
      <c r="Y113" s="947" t="s">
        <v>3058</v>
      </c>
      <c r="Z113" s="946" t="e">
        <f>VLOOKUP(X113,R_DD!$B$6:$E$2112,3,0)</f>
        <v>#N/A</v>
      </c>
      <c r="AA113" s="946" t="str">
        <f>VLOOKUP(Y113,R_DD!$A$1:$L$2131,4,0)</f>
        <v>Bộ cáp xuất hạ thế 1P tại trạm</v>
      </c>
      <c r="AB113" s="947" t="str">
        <f>VLOOKUP(Y113,R_DD!$A$1:$L$2131,5,0)</f>
        <v>Bộ</v>
      </c>
      <c r="AC113" s="947" t="e">
        <f>VLOOKUP(X113,R_DD!$B$6:$E$2112,4,0)</f>
        <v>#N/A</v>
      </c>
    </row>
    <row r="114" spans="1:29" ht="20.100000000000001" customHeight="1">
      <c r="B114" s="931" t="str">
        <f>R_GT!T7</f>
        <v xml:space="preserve">x75kVA: 0 trạm </v>
      </c>
      <c r="U114" s="943" t="s">
        <v>2244</v>
      </c>
      <c r="V114" s="944" t="str">
        <f>VLOOKUP(U114,R_DD!$B$6:$E$2112,3,0)</f>
        <v>Boulon 16x550VRS+ 4 long đền vuông D18-50x50x3/Zn</v>
      </c>
      <c r="W114" s="943" t="str">
        <f>VLOOKUP(U114,R_DD!$B$6:$E$2112,4,0)</f>
        <v>bộ</v>
      </c>
      <c r="Z114" s="946" t="e">
        <f>VLOOKUP(X114,R_DD!$B$6:$E$2112,3,0)</f>
        <v>#N/A</v>
      </c>
      <c r="AA114" s="946" t="e">
        <f>VLOOKUP(Y114,R_DD!$A$1:$L$2131,4,0)</f>
        <v>#N/A</v>
      </c>
      <c r="AB114" s="947" t="e">
        <f>VLOOKUP(Y114,R_DD!$A$1:$L$2131,5,0)</f>
        <v>#N/A</v>
      </c>
      <c r="AC114" s="947" t="e">
        <f>VLOOKUP(X114,R_DD!$B$6:$E$2112,4,0)</f>
        <v>#N/A</v>
      </c>
    </row>
    <row r="115" spans="1:29" ht="20.100000000000001" customHeight="1">
      <c r="B115" s="931" t="str">
        <f>R_GT!U7</f>
        <v xml:space="preserve">x100kVA: 0 trạm </v>
      </c>
      <c r="U115" s="943" t="s">
        <v>3449</v>
      </c>
      <c r="V115" s="944" t="str">
        <f>VLOOKUP(U115,R_DD!$B$6:$E$2112,3,0)</f>
        <v>Boulon 16x650VRS+ 4 long đền vuông D18-50x50x3/Zn</v>
      </c>
      <c r="W115" s="943" t="str">
        <f>VLOOKUP(U115,R_DD!$B$6:$E$2112,4,0)</f>
        <v>bộ</v>
      </c>
      <c r="Z115" s="946" t="e">
        <f>VLOOKUP(X115,R_DD!$B$6:$E$2112,3,0)</f>
        <v>#N/A</v>
      </c>
      <c r="AA115" s="946" t="e">
        <f>VLOOKUP(Y115,R_DD!$A$1:$L$2131,4,0)</f>
        <v>#N/A</v>
      </c>
      <c r="AB115" s="947" t="e">
        <f>VLOOKUP(Y115,R_DD!$A$1:$L$2131,5,0)</f>
        <v>#N/A</v>
      </c>
      <c r="AC115" s="947" t="e">
        <f>VLOOKUP(X115,R_DD!$B$6:$E$2112,4,0)</f>
        <v>#N/A</v>
      </c>
    </row>
    <row r="116" spans="1:29" ht="20.100000000000001" customHeight="1">
      <c r="B116" s="931" t="str">
        <f>R_GT!V7</f>
        <v xml:space="preserve">x160kVA: 0 trạm </v>
      </c>
      <c r="U116" s="943" t="s">
        <v>4859</v>
      </c>
      <c r="V116" s="944" t="str">
        <f>VLOOKUP(U116,R_DD!$B$6:$E$2112,3,0)</f>
        <v>Boulon 16x750VRS+ 4 long đền vuông D18-50x50x3/Zn</v>
      </c>
      <c r="W116" s="943" t="str">
        <f>VLOOKUP(U116,R_DD!$B$6:$E$2112,4,0)</f>
        <v>bộ</v>
      </c>
      <c r="Z116" s="946" t="e">
        <f>VLOOKUP(X116,R_DD!$B$6:$E$2112,3,0)</f>
        <v>#N/A</v>
      </c>
      <c r="AA116" s="946" t="e">
        <f>VLOOKUP(Y116,R_DD!$A$1:$L$2131,4,0)</f>
        <v>#N/A</v>
      </c>
      <c r="AB116" s="947" t="e">
        <f>VLOOKUP(Y116,R_DD!$A$1:$L$2131,5,0)</f>
        <v>#N/A</v>
      </c>
      <c r="AC116" s="947" t="e">
        <f>VLOOKUP(X116,R_DD!$B$6:$E$2112,4,0)</f>
        <v>#N/A</v>
      </c>
    </row>
    <row r="117" spans="1:29" ht="20.100000000000001" customHeight="1">
      <c r="B117" s="931" t="str">
        <f>R_GT!W7</f>
        <v xml:space="preserve">x250kVA: 0 trạm </v>
      </c>
      <c r="U117" s="943" t="s">
        <v>4857</v>
      </c>
      <c r="V117" s="944" t="str">
        <f>VLOOKUP(U117,R_DD!$B$6:$E$2112,3,0)</f>
        <v>Boulon móc 16x200+ 2 long đền vuông D18-50x50x3/Zn</v>
      </c>
      <c r="W117" s="943" t="str">
        <f>VLOOKUP(U117,R_DD!$B$6:$E$2112,4,0)</f>
        <v>bộ</v>
      </c>
      <c r="Z117" s="946" t="e">
        <f>VLOOKUP(X117,R_DD!$B$6:$E$2112,3,0)</f>
        <v>#N/A</v>
      </c>
      <c r="AA117" s="946" t="e">
        <f>VLOOKUP(Y117,R_DD!$A$1:$L$2131,4,0)</f>
        <v>#N/A</v>
      </c>
      <c r="AB117" s="947" t="e">
        <f>VLOOKUP(Y117,R_DD!$A$1:$L$2131,5,0)</f>
        <v>#N/A</v>
      </c>
      <c r="AC117" s="947" t="e">
        <f>VLOOKUP(X117,R_DD!$B$6:$E$2112,4,0)</f>
        <v>#N/A</v>
      </c>
    </row>
    <row r="118" spans="1:29" ht="20.100000000000001" customHeight="1">
      <c r="B118" s="931" t="str">
        <f>R_GT!X7</f>
        <v xml:space="preserve">x320kVA: 0 trạm </v>
      </c>
      <c r="U118" s="943" t="s">
        <v>2322</v>
      </c>
      <c r="V118" s="944" t="str">
        <f>VLOOKUP(U118,R_DD!$B$6:$E$2112,3,0)</f>
        <v>Boulon móc 16x250+ 2 long đền vuông D18-50x50x3/Zn</v>
      </c>
      <c r="W118" s="943" t="str">
        <f>VLOOKUP(U118,R_DD!$B$6:$E$2112,4,0)</f>
        <v>bộ</v>
      </c>
      <c r="Z118" s="946" t="e">
        <f>VLOOKUP(X118,R_DD!$B$6:$E$2112,3,0)</f>
        <v>#N/A</v>
      </c>
      <c r="AA118" s="946" t="e">
        <f>VLOOKUP(Y118,R_DD!$A$1:$L$2131,4,0)</f>
        <v>#N/A</v>
      </c>
      <c r="AB118" s="947" t="e">
        <f>VLOOKUP(Y118,R_DD!$A$1:$L$2131,5,0)</f>
        <v>#N/A</v>
      </c>
      <c r="AC118" s="947" t="e">
        <f>VLOOKUP(X118,R_DD!$B$6:$E$2112,4,0)</f>
        <v>#N/A</v>
      </c>
    </row>
    <row r="119" spans="1:29" ht="20.100000000000001" customHeight="1">
      <c r="B119" s="931" t="str">
        <f>R_GT!Y7</f>
        <v xml:space="preserve">x400kVA: 0 trạm </v>
      </c>
      <c r="U119" s="943" t="s">
        <v>2323</v>
      </c>
      <c r="V119" s="944" t="str">
        <f>VLOOKUP(U119,R_DD!$B$6:$E$2112,3,0)</f>
        <v>Boulon móc 16x300+ 2 long đền vuông D18-50x50x3/Zn</v>
      </c>
      <c r="W119" s="943" t="str">
        <f>VLOOKUP(U119,R_DD!$B$6:$E$2112,4,0)</f>
        <v>bộ</v>
      </c>
      <c r="Z119" s="946" t="e">
        <f>VLOOKUP(X119,R_DD!$B$6:$E$2112,3,0)</f>
        <v>#N/A</v>
      </c>
      <c r="AA119" s="946" t="e">
        <f>VLOOKUP(Y119,R_DD!$A$1:$L$2131,4,0)</f>
        <v>#N/A</v>
      </c>
      <c r="AB119" s="947" t="e">
        <f>VLOOKUP(Y119,R_DD!$A$1:$L$2131,5,0)</f>
        <v>#N/A</v>
      </c>
      <c r="AC119" s="947" t="e">
        <f>VLOOKUP(X119,R_DD!$B$6:$E$2112,4,0)</f>
        <v>#N/A</v>
      </c>
    </row>
    <row r="120" spans="1:29" ht="20.100000000000001" customHeight="1">
      <c r="B120" s="931" t="str">
        <f>R_GT!Z7</f>
        <v xml:space="preserve">x560kVA: 0 trạm </v>
      </c>
      <c r="U120" s="943" t="s">
        <v>2324</v>
      </c>
      <c r="V120" s="944" t="str">
        <f>VLOOKUP(U120,R_DD!$B$6:$E$2112,3,0)</f>
        <v xml:space="preserve">Collier trụ đôi 8,4m bắt móc dừng </v>
      </c>
      <c r="W120" s="943" t="str">
        <f>VLOOKUP(U120,R_DD!$B$6:$E$2112,4,0)</f>
        <v>Kg</v>
      </c>
      <c r="Z120" s="946" t="e">
        <f>VLOOKUP(X120,R_DD!$B$6:$E$2112,3,0)</f>
        <v>#N/A</v>
      </c>
      <c r="AA120" s="946" t="e">
        <f>VLOOKUP(Y120,R_DD!$A$1:$L$2131,4,0)</f>
        <v>#N/A</v>
      </c>
      <c r="AB120" s="947" t="e">
        <f>VLOOKUP(Y120,R_DD!$A$1:$L$2131,5,0)</f>
        <v>#N/A</v>
      </c>
      <c r="AC120" s="947" t="e">
        <f>VLOOKUP(X120,R_DD!$B$6:$E$2112,4,0)</f>
        <v>#N/A</v>
      </c>
    </row>
    <row r="121" spans="1:29" ht="20.100000000000001" customHeight="1">
      <c r="B121" s="931" t="str">
        <f>R_GT!AA7</f>
        <v xml:space="preserve">x630kVA: 0 trạm </v>
      </c>
      <c r="U121" s="943" t="s">
        <v>1460</v>
      </c>
      <c r="V121" s="944" t="str">
        <f>VLOOKUP(U121,R_DD!$B$6:$E$2112,3,0)</f>
        <v>Sơn biển số- bảng nguy hiểm</v>
      </c>
      <c r="W121" s="943" t="str">
        <f>VLOOKUP(U121,R_DD!$B$6:$E$2112,4,0)</f>
        <v>cái</v>
      </c>
      <c r="Z121" s="946" t="e">
        <f>VLOOKUP(X121,R_DD!$B$6:$E$2112,3,0)</f>
        <v>#N/A</v>
      </c>
      <c r="AA121" s="946" t="e">
        <f>VLOOKUP(Y121,R_DD!$A$1:$L$2131,4,0)</f>
        <v>#N/A</v>
      </c>
      <c r="AB121" s="947" t="e">
        <f>VLOOKUP(Y121,R_DD!$A$1:$L$2131,5,0)</f>
        <v>#N/A</v>
      </c>
      <c r="AC121" s="947" t="e">
        <f>VLOOKUP(X121,R_DD!$B$6:$E$2112,4,0)</f>
        <v>#N/A</v>
      </c>
    </row>
    <row r="122" spans="1:29" ht="20.100000000000001" customHeight="1">
      <c r="B122" s="931" t="str">
        <f>R_GT!AB7</f>
        <v xml:space="preserve">x750kVA: 0 trạm </v>
      </c>
      <c r="U122" s="943" t="s">
        <v>2315</v>
      </c>
      <c r="V122" s="944" t="str">
        <f>VLOOKUP(U122,R_DD!$B$6:$E$2112,3,0)</f>
        <v>Cáp đồng bọc CV25</v>
      </c>
      <c r="W122" s="943" t="str">
        <f>VLOOKUP(U122,R_DD!$B$6:$E$2112,4,0)</f>
        <v>mét</v>
      </c>
      <c r="Z122" s="946" t="e">
        <f>VLOOKUP(X122,R_DD!$B$6:$E$2112,3,0)</f>
        <v>#N/A</v>
      </c>
      <c r="AA122" s="946" t="e">
        <f>VLOOKUP(Y122,R_DD!$A$1:$L$2131,4,0)</f>
        <v>#N/A</v>
      </c>
      <c r="AB122" s="947" t="e">
        <f>VLOOKUP(Y122,R_DD!$A$1:$L$2131,5,0)</f>
        <v>#N/A</v>
      </c>
      <c r="AC122" s="947" t="e">
        <f>VLOOKUP(X122,R_DD!$B$6:$E$2112,4,0)</f>
        <v>#N/A</v>
      </c>
    </row>
    <row r="123" spans="1:29" ht="20.100000000000001" customHeight="1">
      <c r="B123" s="931" t="str">
        <f>R_GT!AC7</f>
        <v xml:space="preserve">x1000kVA: 0 trạm </v>
      </c>
      <c r="U123" s="943" t="s">
        <v>338</v>
      </c>
      <c r="V123" s="944" t="str">
        <f>VLOOKUP(U123,R_DD!$B$6:$E$2112,3,0)</f>
        <v>Cáp đồng mềm CV2,5</v>
      </c>
      <c r="W123" s="943" t="str">
        <f>VLOOKUP(U123,R_DD!$B$6:$E$2112,4,0)</f>
        <v>mét</v>
      </c>
      <c r="Z123" s="946" t="e">
        <f>VLOOKUP(X123,R_DD!$B$6:$E$2112,3,0)</f>
        <v>#N/A</v>
      </c>
      <c r="AA123" s="946" t="e">
        <f>VLOOKUP(Y123,R_DD!$A$1:$L$2131,4,0)</f>
        <v>#N/A</v>
      </c>
      <c r="AB123" s="947" t="e">
        <f>VLOOKUP(Y123,R_DD!$A$1:$L$2131,5,0)</f>
        <v>#N/A</v>
      </c>
      <c r="AC123" s="947" t="e">
        <f>VLOOKUP(X123,R_DD!$B$6:$E$2112,4,0)</f>
        <v>#N/A</v>
      </c>
    </row>
    <row r="124" spans="1:29" ht="20.100000000000001" customHeight="1">
      <c r="U124" s="943" t="s">
        <v>331</v>
      </c>
      <c r="V124" s="944" t="str">
        <f>VLOOKUP(U124,R_DD!$B$6:$E$2112,3,0)</f>
        <v>Cát vàng</v>
      </c>
      <c r="W124" s="943" t="str">
        <f>VLOOKUP(U124,R_DD!$B$6:$E$2112,4,0)</f>
        <v>m3</v>
      </c>
      <c r="Z124" s="946" t="e">
        <f>VLOOKUP(X124,R_DD!$B$6:$E$2112,3,0)</f>
        <v>#N/A</v>
      </c>
      <c r="AA124" s="946" t="e">
        <f>VLOOKUP(Y124,R_DD!$A$1:$L$2131,4,0)</f>
        <v>#N/A</v>
      </c>
      <c r="AB124" s="947" t="e">
        <f>VLOOKUP(Y124,R_DD!$A$1:$L$2131,5,0)</f>
        <v>#N/A</v>
      </c>
      <c r="AC124" s="947" t="e">
        <f>VLOOKUP(X124,R_DD!$B$6:$E$2112,4,0)</f>
        <v>#N/A</v>
      </c>
    </row>
    <row r="125" spans="1:29" ht="20.100000000000001" customHeight="1">
      <c r="A125" s="931" t="s">
        <v>3829</v>
      </c>
      <c r="B125" s="1003"/>
      <c r="C125" s="931">
        <f ca="1">SUMIF(maBK,"KC",tongBK1)</f>
        <v>4096.5470000000005</v>
      </c>
      <c r="U125" s="943" t="s">
        <v>4537</v>
      </c>
      <c r="V125" s="944" t="str">
        <f>VLOOKUP(U125,R_DD!$B$6:$E$2112,3,0)</f>
        <v xml:space="preserve">Cáp CVV 4x4mm2 </v>
      </c>
      <c r="W125" s="943" t="str">
        <f>VLOOKUP(U125,R_DD!$B$6:$E$2112,4,0)</f>
        <v>mét</v>
      </c>
      <c r="Z125" s="946" t="e">
        <f>VLOOKUP(X125,R_DD!$B$6:$E$2112,3,0)</f>
        <v>#N/A</v>
      </c>
      <c r="AA125" s="946" t="e">
        <f>VLOOKUP(Y125,R_DD!$A$1:$L$2131,4,0)</f>
        <v>#N/A</v>
      </c>
      <c r="AB125" s="947" t="e">
        <f>VLOOKUP(Y125,R_DD!$A$1:$L$2131,5,0)</f>
        <v>#N/A</v>
      </c>
      <c r="AC125" s="947" t="e">
        <f>VLOOKUP(X125,R_DD!$B$6:$E$2112,4,0)</f>
        <v>#N/A</v>
      </c>
    </row>
    <row r="126" spans="1:29" ht="20.100000000000001" customHeight="1">
      <c r="U126" s="943" t="s">
        <v>2463</v>
      </c>
      <c r="V126" s="944" t="str">
        <f>VLOOKUP(U126,R_DD!$B$6:$E$2112,3,0)</f>
        <v xml:space="preserve">Cáp CVV 4x2,5mm2 </v>
      </c>
      <c r="W126" s="943" t="str">
        <f>VLOOKUP(U126,R_DD!$B$6:$E$2112,4,0)</f>
        <v>mét</v>
      </c>
      <c r="Z126" s="946" t="e">
        <f>VLOOKUP(X126,R_DD!$B$6:$E$2112,3,0)</f>
        <v>#N/A</v>
      </c>
      <c r="AA126" s="946" t="e">
        <f>VLOOKUP(Y126,R_DD!$A$1:$L$2131,4,0)</f>
        <v>#N/A</v>
      </c>
      <c r="AB126" s="947" t="e">
        <f>VLOOKUP(Y126,R_DD!$A$1:$L$2131,5,0)</f>
        <v>#N/A</v>
      </c>
      <c r="AC126" s="947" t="e">
        <f>VLOOKUP(X126,R_DD!$B$6:$E$2112,4,0)</f>
        <v>#N/A</v>
      </c>
    </row>
    <row r="127" spans="1:29" ht="20.100000000000001" customHeight="1">
      <c r="U127" s="943" t="s">
        <v>4532</v>
      </c>
      <c r="V127" s="944" t="str">
        <f>VLOOKUP(U127,R_DD!$B$6:$E$2112,3,0)</f>
        <v>Cáp 24KV C/XLPE/PVC 25mm2</v>
      </c>
      <c r="W127" s="943" t="str">
        <f>VLOOKUP(U127,R_DD!$B$6:$E$2112,4,0)</f>
        <v>mét</v>
      </c>
      <c r="Z127" s="946" t="e">
        <f>VLOOKUP(X127,R_DD!$B$6:$E$2112,3,0)</f>
        <v>#N/A</v>
      </c>
      <c r="AA127" s="946" t="e">
        <f>VLOOKUP(Y127,R_DD!$A$1:$L$2131,4,0)</f>
        <v>#N/A</v>
      </c>
      <c r="AB127" s="947" t="e">
        <f>VLOOKUP(Y127,R_DD!$A$1:$L$2131,5,0)</f>
        <v>#N/A</v>
      </c>
      <c r="AC127" s="947" t="e">
        <f>VLOOKUP(X127,R_DD!$B$6:$E$2112,4,0)</f>
        <v>#N/A</v>
      </c>
    </row>
    <row r="128" spans="1:29" ht="20.100000000000001" customHeight="1">
      <c r="U128" s="943" t="s">
        <v>2184</v>
      </c>
      <c r="V128" s="944" t="str">
        <f>VLOOKUP(U128,R_DD!$B$6:$E$2112,3,0)</f>
        <v>Cáp đồng trần M25mm2</v>
      </c>
      <c r="W128" s="943" t="str">
        <f>VLOOKUP(U128,R_DD!$B$6:$E$2112,4,0)</f>
        <v>kg</v>
      </c>
      <c r="Z128" s="946" t="e">
        <f>VLOOKUP(X128,R_DD!$B$6:$E$2112,3,0)</f>
        <v>#N/A</v>
      </c>
      <c r="AA128" s="946" t="e">
        <f>VLOOKUP(Y128,R_DD!$A$1:$L$2131,4,0)</f>
        <v>#N/A</v>
      </c>
      <c r="AB128" s="947" t="e">
        <f>VLOOKUP(Y128,R_DD!$A$1:$L$2131,5,0)</f>
        <v>#N/A</v>
      </c>
      <c r="AC128" s="947" t="e">
        <f>VLOOKUP(X128,R_DD!$B$6:$E$2112,4,0)</f>
        <v>#N/A</v>
      </c>
    </row>
    <row r="129" spans="1:29" ht="20.100000000000001" customHeight="1">
      <c r="A129" s="931" t="s">
        <v>3830</v>
      </c>
      <c r="U129" s="943" t="s">
        <v>792</v>
      </c>
      <c r="V129" s="944" t="str">
        <f>VLOOKUP(U129,R_DD!$B$6:$E$2112,3,0)</f>
        <v>Đầu cáp ngầm hạ thế 3x50+35mm2</v>
      </c>
      <c r="W129" s="943" t="str">
        <f>VLOOKUP(U129,R_DD!$B$6:$E$2112,4,0)</f>
        <v>cái</v>
      </c>
      <c r="Z129" s="946" t="e">
        <f>VLOOKUP(X129,R_DD!$B$6:$E$2112,3,0)</f>
        <v>#N/A</v>
      </c>
      <c r="AA129" s="946" t="e">
        <f>VLOOKUP(Y129,R_DD!$A$1:$L$2131,4,0)</f>
        <v>#N/A</v>
      </c>
      <c r="AB129" s="947" t="e">
        <f>VLOOKUP(Y129,R_DD!$A$1:$L$2131,5,0)</f>
        <v>#N/A</v>
      </c>
      <c r="AC129" s="947" t="e">
        <f>VLOOKUP(X129,R_DD!$B$6:$E$2112,4,0)</f>
        <v>#N/A</v>
      </c>
    </row>
    <row r="130" spans="1:29" ht="20.100000000000001" customHeight="1">
      <c r="A130" s="931" t="s">
        <v>3831</v>
      </c>
      <c r="B130" s="931" t="s">
        <v>3832</v>
      </c>
      <c r="C130" s="931" t="s">
        <v>2892</v>
      </c>
      <c r="D130" s="931" t="s">
        <v>3833</v>
      </c>
      <c r="U130" s="943" t="s">
        <v>789</v>
      </c>
      <c r="V130" s="944" t="str">
        <f>VLOOKUP(U130,R_DD!$B$6:$E$2112,3,0)</f>
        <v>Đầu cáp ngầm hạ thế 3x70+50mm2</v>
      </c>
      <c r="W130" s="943" t="str">
        <f>VLOOKUP(U130,R_DD!$B$6:$E$2112,4,0)</f>
        <v>cái</v>
      </c>
      <c r="Z130" s="946" t="e">
        <f>VLOOKUP(X130,R_DD!$B$6:$E$2112,3,0)</f>
        <v>#N/A</v>
      </c>
      <c r="AA130" s="946" t="e">
        <f>VLOOKUP(Y130,R_DD!$A$1:$L$2131,4,0)</f>
        <v>#N/A</v>
      </c>
      <c r="AB130" s="947" t="e">
        <f>VLOOKUP(Y130,R_DD!$A$1:$L$2131,5,0)</f>
        <v>#N/A</v>
      </c>
      <c r="AC130" s="947" t="e">
        <f>VLOOKUP(X130,R_DD!$B$6:$E$2112,4,0)</f>
        <v>#N/A</v>
      </c>
    </row>
    <row r="131" spans="1:29" ht="20.100000000000001" customHeight="1">
      <c r="A131" s="931" t="s">
        <v>3813</v>
      </c>
      <c r="B131" s="931" t="s">
        <v>3815</v>
      </c>
      <c r="C131" s="931" t="s">
        <v>3816</v>
      </c>
      <c r="D131" s="931" t="s">
        <v>3817</v>
      </c>
      <c r="U131" s="943" t="s">
        <v>787</v>
      </c>
      <c r="V131" s="944" t="str">
        <f>VLOOKUP(U131,R_DD!$B$6:$E$2112,3,0)</f>
        <v>Đầu cáp ngầm hạ thế 3x95+50mm2</v>
      </c>
      <c r="W131" s="943" t="str">
        <f>VLOOKUP(U131,R_DD!$B$6:$E$2112,4,0)</f>
        <v>cái</v>
      </c>
      <c r="Z131" s="946" t="e">
        <f>VLOOKUP(X131,R_DD!$B$6:$E$2112,3,0)</f>
        <v>#N/A</v>
      </c>
      <c r="AA131" s="946" t="e">
        <f>VLOOKUP(Y131,R_DD!$A$1:$L$2131,4,0)</f>
        <v>#N/A</v>
      </c>
      <c r="AB131" s="947" t="e">
        <f>VLOOKUP(Y131,R_DD!$A$1:$L$2131,5,0)</f>
        <v>#N/A</v>
      </c>
      <c r="AC131" s="947" t="e">
        <f>VLOOKUP(X131,R_DD!$B$6:$E$2112,4,0)</f>
        <v>#N/A</v>
      </c>
    </row>
    <row r="132" spans="1:29" ht="20.100000000000001" customHeight="1">
      <c r="A132" s="931" t="s">
        <v>3834</v>
      </c>
      <c r="B132" s="931" t="s">
        <v>3835</v>
      </c>
      <c r="C132" s="931" t="s">
        <v>3836</v>
      </c>
      <c r="D132" s="931" t="s">
        <v>3837</v>
      </c>
      <c r="U132" s="943" t="s">
        <v>785</v>
      </c>
      <c r="V132" s="944" t="str">
        <f>VLOOKUP(U132,R_DD!$B$6:$E$2112,3,0)</f>
        <v>Đầu cáp ngầm hạ thế 3x120+70mm2</v>
      </c>
      <c r="W132" s="943" t="str">
        <f>VLOOKUP(U132,R_DD!$B$6:$E$2112,4,0)</f>
        <v>cái</v>
      </c>
      <c r="Z132" s="946" t="e">
        <f>VLOOKUP(X132,R_DD!$B$6:$E$2112,3,0)</f>
        <v>#N/A</v>
      </c>
      <c r="AA132" s="946" t="e">
        <f>VLOOKUP(Y132,R_DD!$A$1:$L$2131,4,0)</f>
        <v>#N/A</v>
      </c>
      <c r="AB132" s="947" t="e">
        <f>VLOOKUP(Y132,R_DD!$A$1:$L$2131,5,0)</f>
        <v>#N/A</v>
      </c>
      <c r="AC132" s="947" t="e">
        <f>VLOOKUP(X132,R_DD!$B$6:$E$2112,4,0)</f>
        <v>#N/A</v>
      </c>
    </row>
    <row r="133" spans="1:29" ht="20.100000000000001" customHeight="1">
      <c r="A133" s="931" t="s">
        <v>3838</v>
      </c>
      <c r="B133" s="931" t="s">
        <v>3839</v>
      </c>
      <c r="C133" s="931" t="s">
        <v>3840</v>
      </c>
      <c r="D133" s="931" t="s">
        <v>3841</v>
      </c>
      <c r="U133" s="943" t="s">
        <v>783</v>
      </c>
      <c r="V133" s="944" t="str">
        <f>VLOOKUP(U133,R_DD!$B$6:$E$2112,3,0)</f>
        <v>Đầu cáp ngầm hạ thế 3x185+120mm2</v>
      </c>
      <c r="W133" s="943" t="str">
        <f>VLOOKUP(U133,R_DD!$B$6:$E$2112,4,0)</f>
        <v>cái</v>
      </c>
      <c r="Z133" s="946" t="e">
        <f>VLOOKUP(X133,R_DD!$B$6:$E$2112,3,0)</f>
        <v>#N/A</v>
      </c>
      <c r="AA133" s="946" t="e">
        <f>VLOOKUP(Y133,R_DD!$A$1:$L$2131,4,0)</f>
        <v>#N/A</v>
      </c>
      <c r="AB133" s="947" t="e">
        <f>VLOOKUP(Y133,R_DD!$A$1:$L$2131,5,0)</f>
        <v>#N/A</v>
      </c>
      <c r="AC133" s="947" t="e">
        <f>VLOOKUP(X133,R_DD!$B$6:$E$2112,4,0)</f>
        <v>#N/A</v>
      </c>
    </row>
    <row r="134" spans="1:29" ht="20.100000000000001" customHeight="1">
      <c r="A134" s="931" t="s">
        <v>3842</v>
      </c>
      <c r="B134" s="931" t="s">
        <v>3843</v>
      </c>
      <c r="C134" s="931" t="s">
        <v>3844</v>
      </c>
      <c r="D134" s="931" t="s">
        <v>3845</v>
      </c>
      <c r="U134" s="943" t="s">
        <v>4861</v>
      </c>
      <c r="V134" s="944" t="str">
        <f>VLOOKUP(U134,R_DD!$B$6:$E$2112,3,0)</f>
        <v>Giáp níu dừng dây bọc 150</v>
      </c>
      <c r="W134" s="943" t="str">
        <f>VLOOKUP(U134,R_DD!$B$6:$E$2112,4,0)</f>
        <v>cái</v>
      </c>
      <c r="Z134" s="946" t="e">
        <f>VLOOKUP(X134,R_DD!$B$6:$E$2112,3,0)</f>
        <v>#N/A</v>
      </c>
      <c r="AA134" s="946" t="e">
        <f>VLOOKUP(Y134,R_DD!$A$1:$L$2131,4,0)</f>
        <v>#N/A</v>
      </c>
      <c r="AB134" s="947" t="e">
        <f>VLOOKUP(Y134,R_DD!$A$1:$L$2131,5,0)</f>
        <v>#N/A</v>
      </c>
      <c r="AC134" s="947" t="e">
        <f>VLOOKUP(X134,R_DD!$B$6:$E$2112,4,0)</f>
        <v>#N/A</v>
      </c>
    </row>
    <row r="135" spans="1:29" ht="20.100000000000001" customHeight="1">
      <c r="U135" s="943" t="s">
        <v>4959</v>
      </c>
      <c r="V135" s="944" t="str">
        <f>VLOOKUP(U135,R_DD!$B$6:$E$2112,3,0)</f>
        <v>Giáp níu dừng dây bọc 50</v>
      </c>
      <c r="W135" s="943" t="str">
        <f>VLOOKUP(U135,R_DD!$B$6:$E$2112,4,0)</f>
        <v>cái</v>
      </c>
      <c r="Z135" s="946" t="e">
        <f>VLOOKUP(X135,R_DD!$B$6:$E$2112,3,0)</f>
        <v>#N/A</v>
      </c>
      <c r="AA135" s="946" t="e">
        <f>VLOOKUP(Y135,R_DD!$A$1:$L$2131,4,0)</f>
        <v>#N/A</v>
      </c>
      <c r="AB135" s="947" t="e">
        <f>VLOOKUP(Y135,R_DD!$A$1:$L$2131,5,0)</f>
        <v>#N/A</v>
      </c>
      <c r="AC135" s="947" t="e">
        <f>VLOOKUP(X135,R_DD!$B$6:$E$2112,4,0)</f>
        <v>#N/A</v>
      </c>
    </row>
    <row r="136" spans="1:29" ht="20.100000000000001" customHeight="1">
      <c r="U136" s="943" t="s">
        <v>4865</v>
      </c>
      <c r="V136" s="944" t="str">
        <f>VLOOKUP(U136,R_DD!$B$6:$E$2112,3,0)</f>
        <v>Dây buộc cổ sứ phi kim cỡ 150mm2</v>
      </c>
      <c r="W136" s="943" t="str">
        <f>VLOOKUP(U136,R_DD!$B$6:$E$2112,4,0)</f>
        <v>cái</v>
      </c>
      <c r="Z136" s="946" t="e">
        <f>VLOOKUP(X136,R_DD!$B$6:$E$2112,3,0)</f>
        <v>#N/A</v>
      </c>
      <c r="AA136" s="946" t="e">
        <f>VLOOKUP(Y136,R_DD!$A$1:$L$2131,4,0)</f>
        <v>#N/A</v>
      </c>
      <c r="AB136" s="947" t="e">
        <f>VLOOKUP(Y136,R_DD!$A$1:$L$2131,5,0)</f>
        <v>#N/A</v>
      </c>
      <c r="AC136" s="947" t="e">
        <f>VLOOKUP(X136,R_DD!$B$6:$E$2112,4,0)</f>
        <v>#N/A</v>
      </c>
    </row>
    <row r="137" spans="1:29" ht="20.100000000000001" customHeight="1">
      <c r="U137" s="943" t="s">
        <v>4866</v>
      </c>
      <c r="V137" s="944" t="str">
        <f>VLOOKUP(U137,R_DD!$B$6:$E$2112,3,0)</f>
        <v>Dây buộc cổ sứ phi kim cỡ 50mm2 (đỡ thẳng)</v>
      </c>
      <c r="W137" s="943" t="str">
        <f>VLOOKUP(U137,R_DD!$B$6:$E$2112,4,0)</f>
        <v>cái</v>
      </c>
      <c r="Z137" s="946" t="e">
        <f>VLOOKUP(X137,R_DD!$B$6:$E$2112,3,0)</f>
        <v>#N/A</v>
      </c>
      <c r="AA137" s="946" t="e">
        <f>VLOOKUP(Y137,R_DD!$A$1:$L$2131,4,0)</f>
        <v>#N/A</v>
      </c>
      <c r="AB137" s="947" t="e">
        <f>VLOOKUP(Y137,R_DD!$A$1:$L$2131,5,0)</f>
        <v>#N/A</v>
      </c>
      <c r="AC137" s="947" t="e">
        <f>VLOOKUP(X137,R_DD!$B$6:$E$2112,4,0)</f>
        <v>#N/A</v>
      </c>
    </row>
    <row r="138" spans="1:29" ht="20.100000000000001" customHeight="1">
      <c r="U138" s="943" t="s">
        <v>2793</v>
      </c>
      <c r="V138" s="944">
        <f>VLOOKUP(U138,R_DD!$B$6:$E$2112,3,0)</f>
        <v>0</v>
      </c>
      <c r="W138" s="943">
        <f>VLOOKUP(U138,R_DD!$B$6:$E$2112,4,0)</f>
        <v>0</v>
      </c>
      <c r="Z138" s="946" t="e">
        <f>VLOOKUP(X138,R_DD!$B$6:$E$2112,3,0)</f>
        <v>#N/A</v>
      </c>
      <c r="AA138" s="946" t="e">
        <f>VLOOKUP(Y138,R_DD!$A$1:$L$2131,4,0)</f>
        <v>#N/A</v>
      </c>
      <c r="AB138" s="947" t="e">
        <f>VLOOKUP(Y138,R_DD!$A$1:$L$2131,5,0)</f>
        <v>#N/A</v>
      </c>
      <c r="AC138" s="947" t="e">
        <f>VLOOKUP(X138,R_DD!$B$6:$E$2112,4,0)</f>
        <v>#N/A</v>
      </c>
    </row>
    <row r="139" spans="1:29" ht="20.100000000000001" customHeight="1">
      <c r="U139" s="943" t="s">
        <v>2793</v>
      </c>
      <c r="V139" s="944">
        <f>VLOOKUP(U139,R_DD!$B$6:$E$2112,3,0)</f>
        <v>0</v>
      </c>
      <c r="W139" s="943">
        <f>VLOOKUP(U139,R_DD!$B$6:$E$2112,4,0)</f>
        <v>0</v>
      </c>
      <c r="Z139" s="946" t="e">
        <f>VLOOKUP(X139,R_DD!$B$6:$E$2112,3,0)</f>
        <v>#N/A</v>
      </c>
      <c r="AA139" s="946" t="e">
        <f>VLOOKUP(Y139,R_DD!$A$1:$L$2131,4,0)</f>
        <v>#N/A</v>
      </c>
      <c r="AB139" s="947" t="e">
        <f>VLOOKUP(Y139,R_DD!$A$1:$L$2131,5,0)</f>
        <v>#N/A</v>
      </c>
      <c r="AC139" s="947" t="e">
        <f>VLOOKUP(X139,R_DD!$B$6:$E$2112,4,0)</f>
        <v>#N/A</v>
      </c>
    </row>
    <row r="140" spans="1:29" ht="20.100000000000001" customHeight="1">
      <c r="U140" s="943" t="s">
        <v>2793</v>
      </c>
      <c r="V140" s="944">
        <f>VLOOKUP(U140,R_DD!$B$6:$E$2112,3,0)</f>
        <v>0</v>
      </c>
      <c r="W140" s="943">
        <f>VLOOKUP(U140,R_DD!$B$6:$E$2112,4,0)</f>
        <v>0</v>
      </c>
      <c r="Z140" s="946" t="e">
        <f>VLOOKUP(X140,R_DD!$B$6:$E$2112,3,0)</f>
        <v>#N/A</v>
      </c>
      <c r="AA140" s="946" t="e">
        <f>VLOOKUP(Y140,R_DD!$A$1:$L$2131,4,0)</f>
        <v>#N/A</v>
      </c>
      <c r="AB140" s="947" t="e">
        <f>VLOOKUP(Y140,R_DD!$A$1:$L$2131,5,0)</f>
        <v>#N/A</v>
      </c>
      <c r="AC140" s="947" t="e">
        <f>VLOOKUP(X140,R_DD!$B$6:$E$2112,4,0)</f>
        <v>#N/A</v>
      </c>
    </row>
    <row r="141" spans="1:29" ht="20.100000000000001" customHeight="1">
      <c r="U141" s="943" t="s">
        <v>2793</v>
      </c>
      <c r="V141" s="944">
        <f>VLOOKUP(U141,R_DD!$B$6:$E$2112,3,0)</f>
        <v>0</v>
      </c>
      <c r="W141" s="943">
        <f>VLOOKUP(U141,R_DD!$B$6:$E$2112,4,0)</f>
        <v>0</v>
      </c>
      <c r="Z141" s="946" t="e">
        <f>VLOOKUP(X141,R_DD!$B$6:$E$2112,3,0)</f>
        <v>#N/A</v>
      </c>
      <c r="AA141" s="946" t="e">
        <f>VLOOKUP(Y141,R_DD!$A$1:$L$2131,4,0)</f>
        <v>#N/A</v>
      </c>
      <c r="AB141" s="947" t="e">
        <f>VLOOKUP(Y141,R_DD!$A$1:$L$2131,5,0)</f>
        <v>#N/A</v>
      </c>
      <c r="AC141" s="947" t="e">
        <f>VLOOKUP(X141,R_DD!$B$6:$E$2112,4,0)</f>
        <v>#N/A</v>
      </c>
    </row>
    <row r="142" spans="1:29" ht="20.100000000000001" customHeight="1">
      <c r="U142" s="943" t="s">
        <v>2793</v>
      </c>
      <c r="V142" s="944">
        <f>VLOOKUP(U142,R_DD!$B$6:$E$2112,3,0)</f>
        <v>0</v>
      </c>
      <c r="W142" s="943">
        <f>VLOOKUP(U142,R_DD!$B$6:$E$2112,4,0)</f>
        <v>0</v>
      </c>
      <c r="Z142" s="946" t="e">
        <f>VLOOKUP(X142,R_DD!$B$6:$E$2112,3,0)</f>
        <v>#N/A</v>
      </c>
      <c r="AA142" s="946" t="e">
        <f>VLOOKUP(Y142,R_DD!$A$1:$L$2131,4,0)</f>
        <v>#N/A</v>
      </c>
      <c r="AB142" s="947" t="e">
        <f>VLOOKUP(Y142,R_DD!$A$1:$L$2131,5,0)</f>
        <v>#N/A</v>
      </c>
      <c r="AC142" s="947" t="e">
        <f>VLOOKUP(X142,R_DD!$B$6:$E$2112,4,0)</f>
        <v>#N/A</v>
      </c>
    </row>
    <row r="143" spans="1:29" ht="20.100000000000001" customHeight="1">
      <c r="U143" s="943" t="s">
        <v>2793</v>
      </c>
      <c r="V143" s="944">
        <f>VLOOKUP(U143,R_DD!$B$6:$E$2112,3,0)</f>
        <v>0</v>
      </c>
      <c r="W143" s="943">
        <f>VLOOKUP(U143,R_DD!$B$6:$E$2112,4,0)</f>
        <v>0</v>
      </c>
      <c r="Z143" s="946" t="e">
        <f>VLOOKUP(X143,R_DD!$B$6:$E$2112,3,0)</f>
        <v>#N/A</v>
      </c>
      <c r="AA143" s="946" t="e">
        <f>VLOOKUP(Y143,R_DD!$A$1:$L$2131,4,0)</f>
        <v>#N/A</v>
      </c>
      <c r="AB143" s="947" t="e">
        <f>VLOOKUP(Y143,R_DD!$A$1:$L$2131,5,0)</f>
        <v>#N/A</v>
      </c>
      <c r="AC143" s="947" t="e">
        <f>VLOOKUP(X143,R_DD!$B$6:$E$2112,4,0)</f>
        <v>#N/A</v>
      </c>
    </row>
    <row r="144" spans="1:29" ht="20.100000000000001" customHeight="1">
      <c r="U144" s="943" t="s">
        <v>2793</v>
      </c>
      <c r="V144" s="944">
        <f>VLOOKUP(U144,R_DD!$B$6:$E$2112,3,0)</f>
        <v>0</v>
      </c>
      <c r="W144" s="943">
        <f>VLOOKUP(U144,R_DD!$B$6:$E$2112,4,0)</f>
        <v>0</v>
      </c>
      <c r="Z144" s="946" t="e">
        <f>VLOOKUP(X144,R_DD!$B$6:$E$2112,3,0)</f>
        <v>#N/A</v>
      </c>
      <c r="AA144" s="946" t="e">
        <f>VLOOKUP(Y144,R_DD!$A$1:$L$2131,4,0)</f>
        <v>#N/A</v>
      </c>
      <c r="AB144" s="947" t="e">
        <f>VLOOKUP(Y144,R_DD!$A$1:$L$2131,5,0)</f>
        <v>#N/A</v>
      </c>
      <c r="AC144" s="947" t="e">
        <f>VLOOKUP(X144,R_DD!$B$6:$E$2112,4,0)</f>
        <v>#N/A</v>
      </c>
    </row>
    <row r="145" spans="21:29" ht="20.100000000000001" customHeight="1">
      <c r="U145" s="943" t="s">
        <v>2793</v>
      </c>
      <c r="V145" s="944">
        <f>VLOOKUP(U145,R_DD!$B$6:$E$2112,3,0)</f>
        <v>0</v>
      </c>
      <c r="W145" s="943">
        <f>VLOOKUP(U145,R_DD!$B$6:$E$2112,4,0)</f>
        <v>0</v>
      </c>
      <c r="Z145" s="946" t="e">
        <f>VLOOKUP(X145,R_DD!$B$6:$E$2112,3,0)</f>
        <v>#N/A</v>
      </c>
      <c r="AA145" s="946" t="e">
        <f>VLOOKUP(Y145,R_DD!$A$1:$L$2131,4,0)</f>
        <v>#N/A</v>
      </c>
      <c r="AB145" s="947" t="e">
        <f>VLOOKUP(Y145,R_DD!$A$1:$L$2131,5,0)</f>
        <v>#N/A</v>
      </c>
      <c r="AC145" s="947" t="e">
        <f>VLOOKUP(X145,R_DD!$B$6:$E$2112,4,0)</f>
        <v>#N/A</v>
      </c>
    </row>
    <row r="146" spans="21:29" ht="20.100000000000001" customHeight="1">
      <c r="U146" s="943" t="s">
        <v>2793</v>
      </c>
      <c r="V146" s="944">
        <f>VLOOKUP(U146,R_DD!$B$6:$E$2112,3,0)</f>
        <v>0</v>
      </c>
      <c r="W146" s="943">
        <f>VLOOKUP(U146,R_DD!$B$6:$E$2112,4,0)</f>
        <v>0</v>
      </c>
      <c r="Z146" s="946" t="e">
        <f>VLOOKUP(X146,R_DD!$B$6:$E$2112,3,0)</f>
        <v>#N/A</v>
      </c>
      <c r="AA146" s="946" t="e">
        <f>VLOOKUP(Y146,R_DD!$A$1:$L$2131,4,0)</f>
        <v>#N/A</v>
      </c>
      <c r="AB146" s="947" t="e">
        <f>VLOOKUP(Y146,R_DD!$A$1:$L$2131,5,0)</f>
        <v>#N/A</v>
      </c>
      <c r="AC146" s="947" t="e">
        <f>VLOOKUP(X146,R_DD!$B$6:$E$2112,4,0)</f>
        <v>#N/A</v>
      </c>
    </row>
    <row r="147" spans="21:29" ht="20.100000000000001" customHeight="1">
      <c r="U147" s="943" t="s">
        <v>2793</v>
      </c>
      <c r="V147" s="944">
        <f>VLOOKUP(U147,R_DD!$B$6:$E$2112,3,0)</f>
        <v>0</v>
      </c>
      <c r="W147" s="943">
        <f>VLOOKUP(U147,R_DD!$B$6:$E$2112,4,0)</f>
        <v>0</v>
      </c>
      <c r="Z147" s="946" t="e">
        <f>VLOOKUP(X147,R_DD!$B$6:$E$2112,3,0)</f>
        <v>#N/A</v>
      </c>
      <c r="AA147" s="946" t="e">
        <f>VLOOKUP(Y147,R_DD!$A$1:$L$2131,4,0)</f>
        <v>#N/A</v>
      </c>
      <c r="AB147" s="947" t="e">
        <f>VLOOKUP(Y147,R_DD!$A$1:$L$2131,5,0)</f>
        <v>#N/A</v>
      </c>
      <c r="AC147" s="947" t="e">
        <f>VLOOKUP(X147,R_DD!$B$6:$E$2112,4,0)</f>
        <v>#N/A</v>
      </c>
    </row>
    <row r="148" spans="21:29" ht="20.100000000000001" customHeight="1">
      <c r="U148" s="943" t="s">
        <v>2793</v>
      </c>
      <c r="V148" s="944">
        <f>VLOOKUP(U148,R_DD!$B$6:$E$2112,3,0)</f>
        <v>0</v>
      </c>
      <c r="W148" s="943">
        <f>VLOOKUP(U148,R_DD!$B$6:$E$2112,4,0)</f>
        <v>0</v>
      </c>
      <c r="Z148" s="946" t="e">
        <f>VLOOKUP(X148,R_DD!$B$6:$E$2112,3,0)</f>
        <v>#N/A</v>
      </c>
      <c r="AA148" s="946" t="e">
        <f>VLOOKUP(Y148,R_DD!$A$1:$L$2131,4,0)</f>
        <v>#N/A</v>
      </c>
      <c r="AB148" s="947" t="e">
        <f>VLOOKUP(Y148,R_DD!$A$1:$L$2131,5,0)</f>
        <v>#N/A</v>
      </c>
      <c r="AC148" s="947" t="e">
        <f>VLOOKUP(X148,R_DD!$B$6:$E$2112,4,0)</f>
        <v>#N/A</v>
      </c>
    </row>
    <row r="149" spans="21:29" ht="20.100000000000001" customHeight="1">
      <c r="U149" s="960" t="s">
        <v>2793</v>
      </c>
      <c r="V149" s="944">
        <f>VLOOKUP(U149,R_DD!$B$6:$E$2112,3,0)</f>
        <v>0</v>
      </c>
      <c r="W149" s="943">
        <f>VLOOKUP(U149,R_DD!$B$6:$E$2112,4,0)</f>
        <v>0</v>
      </c>
      <c r="Z149" s="946" t="e">
        <f>VLOOKUP(X149,R_DD!$B$6:$E$2112,3,0)</f>
        <v>#N/A</v>
      </c>
      <c r="AA149" s="946" t="e">
        <f>VLOOKUP(Y149,R_DD!$A$1:$L$2131,4,0)</f>
        <v>#N/A</v>
      </c>
      <c r="AB149" s="947" t="e">
        <f>VLOOKUP(Y149,R_DD!$A$1:$L$2131,5,0)</f>
        <v>#N/A</v>
      </c>
      <c r="AC149" s="947" t="e">
        <f>VLOOKUP(X149,R_DD!$B$6:$E$2112,4,0)</f>
        <v>#N/A</v>
      </c>
    </row>
    <row r="150" spans="21:29" ht="20.100000000000001" customHeight="1">
      <c r="U150" s="947" t="s">
        <v>2793</v>
      </c>
      <c r="V150" s="944">
        <f>VLOOKUP(U150,R_DD!$B$6:$E$2112,3,0)</f>
        <v>0</v>
      </c>
      <c r="W150" s="943">
        <f>VLOOKUP(U150,R_DD!$B$6:$E$2112,4,0)</f>
        <v>0</v>
      </c>
      <c r="Z150" s="946" t="e">
        <f>VLOOKUP(X150,R_DD!$B$6:$E$2112,3,0)</f>
        <v>#N/A</v>
      </c>
      <c r="AA150" s="946" t="e">
        <f>VLOOKUP(Y150,R_DD!$A$1:$L$2131,4,0)</f>
        <v>#N/A</v>
      </c>
      <c r="AB150" s="947" t="e">
        <f>VLOOKUP(Y150,R_DD!$A$1:$L$2131,5,0)</f>
        <v>#N/A</v>
      </c>
      <c r="AC150" s="947" t="e">
        <f>VLOOKUP(X150,R_DD!$B$6:$E$2112,4,0)</f>
        <v>#N/A</v>
      </c>
    </row>
    <row r="151" spans="21:29" ht="20.100000000000001" customHeight="1">
      <c r="U151" s="947" t="s">
        <v>2793</v>
      </c>
      <c r="V151" s="944">
        <f>VLOOKUP(U151,R_DD!$B$6:$E$2112,3,0)</f>
        <v>0</v>
      </c>
      <c r="W151" s="943">
        <f>VLOOKUP(U151,R_DD!$B$6:$E$2112,4,0)</f>
        <v>0</v>
      </c>
      <c r="Z151" s="946" t="e">
        <f>VLOOKUP(X151,R_DD!$B$6:$E$2112,3,0)</f>
        <v>#N/A</v>
      </c>
      <c r="AA151" s="946" t="e">
        <f>VLOOKUP(Y151,R_DD!$A$1:$L$2131,4,0)</f>
        <v>#N/A</v>
      </c>
      <c r="AB151" s="947" t="e">
        <f>VLOOKUP(Y151,R_DD!$A$1:$L$2131,5,0)</f>
        <v>#N/A</v>
      </c>
      <c r="AC151" s="947" t="e">
        <f>VLOOKUP(X151,R_DD!$B$6:$E$2112,4,0)</f>
        <v>#N/A</v>
      </c>
    </row>
    <row r="152" spans="21:29" ht="20.100000000000001" customHeight="1">
      <c r="U152" s="947" t="s">
        <v>2793</v>
      </c>
      <c r="V152" s="944">
        <f>VLOOKUP(U152,R_DD!$B$6:$E$2112,3,0)</f>
        <v>0</v>
      </c>
      <c r="W152" s="943">
        <f>VLOOKUP(U152,R_DD!$B$6:$E$2112,4,0)</f>
        <v>0</v>
      </c>
      <c r="Z152" s="946" t="e">
        <f>VLOOKUP(X152,R_DD!$B$6:$E$2112,3,0)</f>
        <v>#N/A</v>
      </c>
      <c r="AA152" s="946" t="e">
        <f>VLOOKUP(Y152,R_DD!$A$1:$L$2131,4,0)</f>
        <v>#N/A</v>
      </c>
      <c r="AB152" s="947" t="e">
        <f>VLOOKUP(Y152,R_DD!$A$1:$L$2131,5,0)</f>
        <v>#N/A</v>
      </c>
      <c r="AC152" s="947" t="e">
        <f>VLOOKUP(X152,R_DD!$B$6:$E$2112,4,0)</f>
        <v>#N/A</v>
      </c>
    </row>
    <row r="153" spans="21:29" ht="20.100000000000001" customHeight="1">
      <c r="U153" s="947" t="s">
        <v>2793</v>
      </c>
      <c r="V153" s="944">
        <f>VLOOKUP(U153,R_DD!$B$6:$E$2112,3,0)</f>
        <v>0</v>
      </c>
      <c r="W153" s="943">
        <f>VLOOKUP(U153,R_DD!$B$6:$E$2112,4,0)</f>
        <v>0</v>
      </c>
      <c r="Z153" s="946" t="e">
        <f>VLOOKUP(X153,R_DD!$B$6:$E$2112,3,0)</f>
        <v>#N/A</v>
      </c>
      <c r="AA153" s="946" t="e">
        <f>VLOOKUP(Y153,R_DD!$A$1:$L$2131,4,0)</f>
        <v>#N/A</v>
      </c>
      <c r="AB153" s="947" t="e">
        <f>VLOOKUP(Y153,R_DD!$A$1:$L$2131,5,0)</f>
        <v>#N/A</v>
      </c>
      <c r="AC153" s="947" t="e">
        <f>VLOOKUP(X153,R_DD!$B$6:$E$2112,4,0)</f>
        <v>#N/A</v>
      </c>
    </row>
    <row r="154" spans="21:29" ht="20.100000000000001" customHeight="1">
      <c r="U154" s="947" t="s">
        <v>2793</v>
      </c>
      <c r="V154" s="944">
        <f>VLOOKUP(U154,R_DD!$B$6:$E$2112,3,0)</f>
        <v>0</v>
      </c>
      <c r="W154" s="943">
        <f>VLOOKUP(U154,R_DD!$B$6:$E$2112,4,0)</f>
        <v>0</v>
      </c>
      <c r="Z154" s="946" t="e">
        <f>VLOOKUP(X154,R_DD!$B$6:$E$2112,3,0)</f>
        <v>#N/A</v>
      </c>
      <c r="AA154" s="946" t="e">
        <f>VLOOKUP(Y154,R_DD!$A$1:$L$2131,4,0)</f>
        <v>#N/A</v>
      </c>
      <c r="AB154" s="947" t="e">
        <f>VLOOKUP(Y154,R_DD!$A$1:$L$2131,5,0)</f>
        <v>#N/A</v>
      </c>
      <c r="AC154" s="947" t="e">
        <f>VLOOKUP(X154,R_DD!$B$6:$E$2112,4,0)</f>
        <v>#N/A</v>
      </c>
    </row>
    <row r="155" spans="21:29" ht="20.100000000000001" customHeight="1">
      <c r="V155" s="944" t="e">
        <f>VLOOKUP(U155,R_DD!$B$6:$E$2112,3,0)</f>
        <v>#N/A</v>
      </c>
      <c r="W155" s="943" t="e">
        <f>VLOOKUP(U155,R_DD!$B$6:$E$2112,4,0)</f>
        <v>#N/A</v>
      </c>
      <c r="Z155" s="946" t="e">
        <f>VLOOKUP(X155,R_DD!$B$6:$E$2112,3,0)</f>
        <v>#N/A</v>
      </c>
      <c r="AA155" s="946" t="e">
        <f>VLOOKUP(Y155,R_DD!$A$1:$L$2131,4,0)</f>
        <v>#N/A</v>
      </c>
      <c r="AB155" s="947" t="e">
        <f>VLOOKUP(Y155,R_DD!$A$1:$L$2131,5,0)</f>
        <v>#N/A</v>
      </c>
      <c r="AC155" s="947" t="e">
        <f>VLOOKUP(X155,R_DD!$B$6:$E$2112,4,0)</f>
        <v>#N/A</v>
      </c>
    </row>
    <row r="156" spans="21:29" ht="20.100000000000001" customHeight="1">
      <c r="V156" s="944" t="e">
        <f>VLOOKUP(U156,R_DD!$B$6:$E$2112,3,0)</f>
        <v>#N/A</v>
      </c>
      <c r="W156" s="943" t="e">
        <f>VLOOKUP(U156,R_DD!$B$6:$E$2112,4,0)</f>
        <v>#N/A</v>
      </c>
      <c r="Z156" s="946" t="e">
        <f>VLOOKUP(X156,R_DD!$B$6:$E$2112,3,0)</f>
        <v>#N/A</v>
      </c>
      <c r="AA156" s="946" t="e">
        <f>VLOOKUP(Y156,R_DD!$A$1:$L$2131,4,0)</f>
        <v>#N/A</v>
      </c>
      <c r="AB156" s="947" t="e">
        <f>VLOOKUP(Y156,R_DD!$A$1:$L$2131,5,0)</f>
        <v>#N/A</v>
      </c>
      <c r="AC156" s="947" t="e">
        <f>VLOOKUP(X156,R_DD!$B$6:$E$2112,4,0)</f>
        <v>#N/A</v>
      </c>
    </row>
    <row r="157" spans="21:29" ht="20.100000000000001" customHeight="1">
      <c r="V157" s="944" t="e">
        <f>VLOOKUP(U157,R_DD!$B$6:$E$2112,3,0)</f>
        <v>#N/A</v>
      </c>
      <c r="W157" s="943" t="e">
        <f>VLOOKUP(U157,R_DD!$B$6:$E$2112,4,0)</f>
        <v>#N/A</v>
      </c>
      <c r="Z157" s="946" t="e">
        <f>VLOOKUP(X157,R_DD!$B$6:$E$2112,3,0)</f>
        <v>#N/A</v>
      </c>
      <c r="AA157" s="946" t="e">
        <f>VLOOKUP(Y157,R_DD!$A$1:$L$2131,4,0)</f>
        <v>#N/A</v>
      </c>
      <c r="AB157" s="947" t="e">
        <f>VLOOKUP(Y157,R_DD!$A$1:$L$2131,5,0)</f>
        <v>#N/A</v>
      </c>
      <c r="AC157" s="947" t="e">
        <f>VLOOKUP(X157,R_DD!$B$6:$E$2112,4,0)</f>
        <v>#N/A</v>
      </c>
    </row>
    <row r="158" spans="21:29" ht="20.100000000000001" customHeight="1">
      <c r="V158" s="944" t="e">
        <f>VLOOKUP(U158,R_DD!$B$6:$E$2112,3,0)</f>
        <v>#N/A</v>
      </c>
      <c r="W158" s="943" t="e">
        <f>VLOOKUP(U158,R_DD!$B$6:$E$2112,4,0)</f>
        <v>#N/A</v>
      </c>
      <c r="Z158" s="946" t="e">
        <f>VLOOKUP(X158,R_DD!$B$6:$E$2112,3,0)</f>
        <v>#N/A</v>
      </c>
      <c r="AA158" s="946" t="e">
        <f>VLOOKUP(Y158,R_DD!$A$1:$L$2131,4,0)</f>
        <v>#N/A</v>
      </c>
      <c r="AB158" s="947" t="e">
        <f>VLOOKUP(Y158,R_DD!$A$1:$L$2131,5,0)</f>
        <v>#N/A</v>
      </c>
      <c r="AC158" s="947" t="e">
        <f>VLOOKUP(X158,R_DD!$B$6:$E$2112,4,0)</f>
        <v>#N/A</v>
      </c>
    </row>
    <row r="159" spans="21:29" ht="20.100000000000001" customHeight="1">
      <c r="V159" s="944" t="e">
        <f>VLOOKUP(U159,R_DD!$B$6:$E$2112,3,0)</f>
        <v>#N/A</v>
      </c>
      <c r="W159" s="943" t="e">
        <f>VLOOKUP(U159,R_DD!$B$6:$E$2112,4,0)</f>
        <v>#N/A</v>
      </c>
      <c r="Z159" s="946" t="e">
        <f>VLOOKUP(X159,R_DD!$B$6:$E$2112,3,0)</f>
        <v>#N/A</v>
      </c>
      <c r="AA159" s="946" t="e">
        <f>VLOOKUP(Y159,R_DD!$A$1:$L$2131,4,0)</f>
        <v>#N/A</v>
      </c>
      <c r="AB159" s="947" t="e">
        <f>VLOOKUP(Y159,R_DD!$A$1:$L$2131,5,0)</f>
        <v>#N/A</v>
      </c>
      <c r="AC159" s="947" t="e">
        <f>VLOOKUP(X159,R_DD!$B$6:$E$2112,4,0)</f>
        <v>#N/A</v>
      </c>
    </row>
    <row r="160" spans="21:29" ht="20.100000000000001" customHeight="1">
      <c r="V160" s="944" t="e">
        <f>VLOOKUP(U160,R_DD!$B$6:$E$2112,3,0)</f>
        <v>#N/A</v>
      </c>
      <c r="W160" s="943" t="e">
        <f>VLOOKUP(U160,R_DD!$B$6:$E$2112,4,0)</f>
        <v>#N/A</v>
      </c>
      <c r="Z160" s="946" t="e">
        <f>VLOOKUP(X160,R_DD!$B$6:$E$2112,3,0)</f>
        <v>#N/A</v>
      </c>
      <c r="AA160" s="946" t="e">
        <f>VLOOKUP(Y160,R_DD!$A$1:$L$2131,4,0)</f>
        <v>#N/A</v>
      </c>
      <c r="AB160" s="947" t="e">
        <f>VLOOKUP(Y160,R_DD!$A$1:$L$2131,5,0)</f>
        <v>#N/A</v>
      </c>
      <c r="AC160" s="947" t="e">
        <f>VLOOKUP(X160,R_DD!$B$6:$E$2112,4,0)</f>
        <v>#N/A</v>
      </c>
    </row>
    <row r="161" spans="22:29" ht="20.100000000000001" customHeight="1">
      <c r="V161" s="944" t="e">
        <f>VLOOKUP(U161,R_DD!$B$6:$E$2112,3,0)</f>
        <v>#N/A</v>
      </c>
      <c r="W161" s="943" t="e">
        <f>VLOOKUP(U161,R_DD!$B$6:$E$2112,4,0)</f>
        <v>#N/A</v>
      </c>
      <c r="Z161" s="946" t="e">
        <f>VLOOKUP(X161,R_DD!$B$6:$E$2112,3,0)</f>
        <v>#N/A</v>
      </c>
      <c r="AA161" s="946" t="e">
        <f>VLOOKUP(Y161,R_DD!$A$1:$L$2131,4,0)</f>
        <v>#N/A</v>
      </c>
      <c r="AB161" s="947" t="e">
        <f>VLOOKUP(Y161,R_DD!$A$1:$L$2131,5,0)</f>
        <v>#N/A</v>
      </c>
      <c r="AC161" s="947" t="e">
        <f>VLOOKUP(X161,R_DD!$B$6:$E$2112,4,0)</f>
        <v>#N/A</v>
      </c>
    </row>
    <row r="162" spans="22:29" ht="20.100000000000001" customHeight="1">
      <c r="V162" s="944" t="e">
        <f>VLOOKUP(U162,R_DD!$B$6:$E$2112,3,0)</f>
        <v>#N/A</v>
      </c>
      <c r="W162" s="943" t="e">
        <f>VLOOKUP(U162,R_DD!$B$6:$E$2112,4,0)</f>
        <v>#N/A</v>
      </c>
      <c r="Z162" s="946" t="e">
        <f>VLOOKUP(X162,R_DD!$B$6:$E$2112,3,0)</f>
        <v>#N/A</v>
      </c>
      <c r="AA162" s="946" t="e">
        <f>VLOOKUP(Y162,R_DD!$A$1:$L$2131,4,0)</f>
        <v>#N/A</v>
      </c>
      <c r="AB162" s="947" t="e">
        <f>VLOOKUP(Y162,R_DD!$A$1:$L$2131,5,0)</f>
        <v>#N/A</v>
      </c>
      <c r="AC162" s="947" t="e">
        <f>VLOOKUP(X162,R_DD!$B$6:$E$2112,4,0)</f>
        <v>#N/A</v>
      </c>
    </row>
    <row r="163" spans="22:29" ht="20.100000000000001" customHeight="1">
      <c r="V163" s="944" t="e">
        <f>VLOOKUP(U163,R_DD!$B$6:$E$2112,3,0)</f>
        <v>#N/A</v>
      </c>
      <c r="W163" s="943" t="e">
        <f>VLOOKUP(U163,R_DD!$B$6:$E$2112,4,0)</f>
        <v>#N/A</v>
      </c>
      <c r="Z163" s="946" t="e">
        <f>VLOOKUP(X163,R_DD!$B$6:$E$2112,3,0)</f>
        <v>#N/A</v>
      </c>
      <c r="AA163" s="946" t="e">
        <f>VLOOKUP(Y163,R_DD!$A$1:$L$2131,4,0)</f>
        <v>#N/A</v>
      </c>
      <c r="AB163" s="947" t="e">
        <f>VLOOKUP(Y163,R_DD!$A$1:$L$2131,5,0)</f>
        <v>#N/A</v>
      </c>
      <c r="AC163" s="947" t="e">
        <f>VLOOKUP(X163,R_DD!$B$6:$E$2112,4,0)</f>
        <v>#N/A</v>
      </c>
    </row>
    <row r="164" spans="22:29" ht="20.100000000000001" customHeight="1">
      <c r="V164" s="944" t="e">
        <f>VLOOKUP(U164,R_DD!$B$6:$E$2112,3,0)</f>
        <v>#N/A</v>
      </c>
      <c r="W164" s="943" t="e">
        <f>VLOOKUP(U164,R_DD!$B$6:$E$2112,4,0)</f>
        <v>#N/A</v>
      </c>
      <c r="Z164" s="946" t="e">
        <f>VLOOKUP(X164,R_DD!$B$6:$E$2112,3,0)</f>
        <v>#N/A</v>
      </c>
      <c r="AA164" s="946" t="e">
        <f>VLOOKUP(Y164,R_DD!$A$1:$L$2131,4,0)</f>
        <v>#N/A</v>
      </c>
      <c r="AB164" s="947" t="e">
        <f>VLOOKUP(Y164,R_DD!$A$1:$L$2131,5,0)</f>
        <v>#N/A</v>
      </c>
      <c r="AC164" s="947" t="e">
        <f>VLOOKUP(X164,R_DD!$B$6:$E$2112,4,0)</f>
        <v>#N/A</v>
      </c>
    </row>
    <row r="165" spans="22:29" ht="20.100000000000001" customHeight="1">
      <c r="V165" s="944" t="e">
        <f>VLOOKUP(U165,R_DD!$B$6:$E$2112,3,0)</f>
        <v>#N/A</v>
      </c>
      <c r="W165" s="943" t="e">
        <f>VLOOKUP(U165,R_DD!$B$6:$E$2112,4,0)</f>
        <v>#N/A</v>
      </c>
      <c r="Z165" s="946" t="e">
        <f>VLOOKUP(X165,R_DD!$B$6:$E$2112,3,0)</f>
        <v>#N/A</v>
      </c>
      <c r="AA165" s="946" t="e">
        <f>VLOOKUP(Y165,R_DD!$A$1:$L$2131,4,0)</f>
        <v>#N/A</v>
      </c>
      <c r="AB165" s="947" t="e">
        <f>VLOOKUP(Y165,R_DD!$A$1:$L$2131,5,0)</f>
        <v>#N/A</v>
      </c>
      <c r="AC165" s="947" t="e">
        <f>VLOOKUP(X165,R_DD!$B$6:$E$2112,4,0)</f>
        <v>#N/A</v>
      </c>
    </row>
    <row r="166" spans="22:29" ht="20.100000000000001" customHeight="1">
      <c r="V166" s="944" t="e">
        <f>VLOOKUP(U166,R_DD!$B$6:$E$2112,3,0)</f>
        <v>#N/A</v>
      </c>
      <c r="W166" s="943" t="e">
        <f>VLOOKUP(U166,R_DD!$B$6:$E$2112,4,0)</f>
        <v>#N/A</v>
      </c>
      <c r="Z166" s="946" t="e">
        <f>VLOOKUP(X166,R_DD!$B$6:$E$2112,3,0)</f>
        <v>#N/A</v>
      </c>
      <c r="AA166" s="946" t="e">
        <f>VLOOKUP(Y166,R_DD!$A$1:$L$2131,4,0)</f>
        <v>#N/A</v>
      </c>
      <c r="AB166" s="947" t="e">
        <f>VLOOKUP(Y166,R_DD!$A$1:$L$2131,5,0)</f>
        <v>#N/A</v>
      </c>
      <c r="AC166" s="947" t="e">
        <f>VLOOKUP(X166,R_DD!$B$6:$E$2112,4,0)</f>
        <v>#N/A</v>
      </c>
    </row>
    <row r="167" spans="22:29" ht="20.100000000000001" customHeight="1">
      <c r="V167" s="944" t="e">
        <f>VLOOKUP(U167,R_DD!$B$6:$E$2112,3,0)</f>
        <v>#N/A</v>
      </c>
      <c r="W167" s="943" t="e">
        <f>VLOOKUP(U167,R_DD!$B$6:$E$2112,4,0)</f>
        <v>#N/A</v>
      </c>
      <c r="Z167" s="946" t="e">
        <f>VLOOKUP(X167,R_DD!$B$6:$E$2112,3,0)</f>
        <v>#N/A</v>
      </c>
      <c r="AA167" s="946" t="e">
        <f>VLOOKUP(Y167,R_DD!$A$1:$L$2131,4,0)</f>
        <v>#N/A</v>
      </c>
      <c r="AB167" s="947" t="e">
        <f>VLOOKUP(Y167,R_DD!$A$1:$L$2131,5,0)</f>
        <v>#N/A</v>
      </c>
      <c r="AC167" s="947" t="e">
        <f>VLOOKUP(X167,R_DD!$B$6:$E$2112,4,0)</f>
        <v>#N/A</v>
      </c>
    </row>
    <row r="168" spans="22:29" ht="20.100000000000001" customHeight="1">
      <c r="V168" s="944" t="e">
        <f>VLOOKUP(U168,R_DD!$B$6:$E$2112,3,0)</f>
        <v>#N/A</v>
      </c>
      <c r="W168" s="943" t="e">
        <f>VLOOKUP(U168,R_DD!$B$6:$E$2112,4,0)</f>
        <v>#N/A</v>
      </c>
      <c r="Z168" s="946" t="e">
        <f>VLOOKUP(X168,R_DD!$B$6:$E$2112,3,0)</f>
        <v>#N/A</v>
      </c>
      <c r="AA168" s="946" t="e">
        <f>VLOOKUP(Y168,R_DD!$A$1:$L$2131,4,0)</f>
        <v>#N/A</v>
      </c>
      <c r="AB168" s="947" t="e">
        <f>VLOOKUP(Y168,R_DD!$A$1:$L$2131,5,0)</f>
        <v>#N/A</v>
      </c>
      <c r="AC168" s="947" t="e">
        <f>VLOOKUP(X168,R_DD!$B$6:$E$2112,4,0)</f>
        <v>#N/A</v>
      </c>
    </row>
    <row r="169" spans="22:29" ht="20.100000000000001" customHeight="1">
      <c r="V169" s="944" t="e">
        <f>VLOOKUP(U169,R_DD!$B$6:$E$2112,3,0)</f>
        <v>#N/A</v>
      </c>
      <c r="W169" s="943" t="e">
        <f>VLOOKUP(U169,R_DD!$B$6:$E$2112,4,0)</f>
        <v>#N/A</v>
      </c>
      <c r="Z169" s="946" t="e">
        <f>VLOOKUP(X169,R_DD!$B$6:$E$2112,3,0)</f>
        <v>#N/A</v>
      </c>
      <c r="AA169" s="946" t="e">
        <f>VLOOKUP(Y169,R_DD!$A$1:$L$2131,4,0)</f>
        <v>#N/A</v>
      </c>
      <c r="AB169" s="947" t="e">
        <f>VLOOKUP(Y169,R_DD!$A$1:$L$2131,5,0)</f>
        <v>#N/A</v>
      </c>
      <c r="AC169" s="947" t="e">
        <f>VLOOKUP(X169,R_DD!$B$6:$E$2112,4,0)</f>
        <v>#N/A</v>
      </c>
    </row>
    <row r="170" spans="22:29" ht="20.100000000000001" customHeight="1">
      <c r="V170" s="944" t="e">
        <f>VLOOKUP(U170,R_DD!$B$6:$E$2112,3,0)</f>
        <v>#N/A</v>
      </c>
      <c r="W170" s="943" t="e">
        <f>VLOOKUP(U170,R_DD!$B$6:$E$2112,4,0)</f>
        <v>#N/A</v>
      </c>
      <c r="Z170" s="946" t="e">
        <f>VLOOKUP(X170,R_DD!$B$6:$E$2112,3,0)</f>
        <v>#N/A</v>
      </c>
      <c r="AA170" s="946" t="e">
        <f>VLOOKUP(Y170,R_DD!$A$1:$L$2131,4,0)</f>
        <v>#N/A</v>
      </c>
      <c r="AB170" s="947" t="e">
        <f>VLOOKUP(Y170,R_DD!$A$1:$L$2131,5,0)</f>
        <v>#N/A</v>
      </c>
      <c r="AC170" s="947" t="e">
        <f>VLOOKUP(X170,R_DD!$B$6:$E$2112,4,0)</f>
        <v>#N/A</v>
      </c>
    </row>
    <row r="171" spans="22:29" ht="20.100000000000001" customHeight="1">
      <c r="V171" s="944" t="e">
        <f>VLOOKUP(U171,R_DD!$B$6:$E$2112,3,0)</f>
        <v>#N/A</v>
      </c>
      <c r="W171" s="943" t="e">
        <f>VLOOKUP(U171,R_DD!$B$6:$E$2112,4,0)</f>
        <v>#N/A</v>
      </c>
      <c r="Z171" s="946" t="e">
        <f>VLOOKUP(X171,R_DD!$B$6:$E$2112,3,0)</f>
        <v>#N/A</v>
      </c>
      <c r="AA171" s="946" t="e">
        <f>VLOOKUP(Y171,R_DD!$A$1:$L$2131,4,0)</f>
        <v>#N/A</v>
      </c>
      <c r="AB171" s="947" t="e">
        <f>VLOOKUP(Y171,R_DD!$A$1:$L$2131,5,0)</f>
        <v>#N/A</v>
      </c>
      <c r="AC171" s="947" t="e">
        <f>VLOOKUP(X171,R_DD!$B$6:$E$2112,4,0)</f>
        <v>#N/A</v>
      </c>
    </row>
    <row r="172" spans="22:29" ht="20.100000000000001" customHeight="1">
      <c r="V172" s="944" t="e">
        <f>VLOOKUP(U172,R_DD!$B$6:$E$2112,3,0)</f>
        <v>#N/A</v>
      </c>
      <c r="W172" s="943" t="e">
        <f>VLOOKUP(U172,R_DD!$B$6:$E$2112,4,0)</f>
        <v>#N/A</v>
      </c>
      <c r="Z172" s="946" t="e">
        <f>VLOOKUP(X172,R_DD!$B$6:$E$2112,3,0)</f>
        <v>#N/A</v>
      </c>
      <c r="AA172" s="946" t="e">
        <f>VLOOKUP(Y172,R_DD!$A$1:$L$2131,4,0)</f>
        <v>#N/A</v>
      </c>
      <c r="AB172" s="947" t="e">
        <f>VLOOKUP(Y172,R_DD!$A$1:$L$2131,5,0)</f>
        <v>#N/A</v>
      </c>
      <c r="AC172" s="947" t="e">
        <f>VLOOKUP(X172,R_DD!$B$6:$E$2112,4,0)</f>
        <v>#N/A</v>
      </c>
    </row>
    <row r="173" spans="22:29" ht="20.100000000000001" customHeight="1">
      <c r="V173" s="944" t="e">
        <f>VLOOKUP(U173,R_DD!$B$6:$E$2112,3,0)</f>
        <v>#N/A</v>
      </c>
      <c r="W173" s="943" t="e">
        <f>VLOOKUP(U173,R_DD!$B$6:$E$2112,4,0)</f>
        <v>#N/A</v>
      </c>
      <c r="Z173" s="946" t="e">
        <f>VLOOKUP(X173,R_DD!$B$6:$E$2112,3,0)</f>
        <v>#N/A</v>
      </c>
      <c r="AA173" s="946" t="e">
        <f>VLOOKUP(Y173,R_DD!$A$1:$L$2131,4,0)</f>
        <v>#N/A</v>
      </c>
      <c r="AB173" s="947" t="e">
        <f>VLOOKUP(Y173,R_DD!$A$1:$L$2131,5,0)</f>
        <v>#N/A</v>
      </c>
      <c r="AC173" s="947" t="e">
        <f>VLOOKUP(X173,R_DD!$B$6:$E$2112,4,0)</f>
        <v>#N/A</v>
      </c>
    </row>
    <row r="174" spans="22:29" ht="20.100000000000001" customHeight="1">
      <c r="V174" s="944" t="e">
        <f>VLOOKUP(U174,R_DD!$B$6:$E$2112,3,0)</f>
        <v>#N/A</v>
      </c>
      <c r="W174" s="943" t="e">
        <f>VLOOKUP(U174,R_DD!$B$6:$E$2112,4,0)</f>
        <v>#N/A</v>
      </c>
      <c r="Z174" s="946" t="e">
        <f>VLOOKUP(X174,R_DD!$B$6:$E$2112,3,0)</f>
        <v>#N/A</v>
      </c>
      <c r="AA174" s="946" t="e">
        <f>VLOOKUP(Y174,R_DD!$A$1:$L$2131,4,0)</f>
        <v>#N/A</v>
      </c>
      <c r="AB174" s="947" t="e">
        <f>VLOOKUP(Y174,R_DD!$A$1:$L$2131,5,0)</f>
        <v>#N/A</v>
      </c>
      <c r="AC174" s="947" t="e">
        <f>VLOOKUP(X174,R_DD!$B$6:$E$2112,4,0)</f>
        <v>#N/A</v>
      </c>
    </row>
    <row r="175" spans="22:29" ht="20.100000000000001" customHeight="1">
      <c r="V175" s="944" t="e">
        <f>VLOOKUP(U175,R_DD!$B$6:$E$2112,3,0)</f>
        <v>#N/A</v>
      </c>
      <c r="W175" s="943" t="e">
        <f>VLOOKUP(U175,R_DD!$B$6:$E$2112,4,0)</f>
        <v>#N/A</v>
      </c>
      <c r="Z175" s="946" t="e">
        <f>VLOOKUP(X175,R_DD!$B$6:$E$2112,3,0)</f>
        <v>#N/A</v>
      </c>
      <c r="AA175" s="946" t="e">
        <f>VLOOKUP(Y175,R_DD!$A$1:$L$2131,4,0)</f>
        <v>#N/A</v>
      </c>
      <c r="AB175" s="947" t="e">
        <f>VLOOKUP(Y175,R_DD!$A$1:$L$2131,5,0)</f>
        <v>#N/A</v>
      </c>
      <c r="AC175" s="947" t="e">
        <f>VLOOKUP(X175,R_DD!$B$6:$E$2112,4,0)</f>
        <v>#N/A</v>
      </c>
    </row>
    <row r="176" spans="22:29" ht="20.100000000000001" customHeight="1">
      <c r="V176" s="944" t="e">
        <f>VLOOKUP(U176,R_DD!$B$6:$E$2112,3,0)</f>
        <v>#N/A</v>
      </c>
      <c r="W176" s="943" t="e">
        <f>VLOOKUP(U176,R_DD!$B$6:$E$2112,4,0)</f>
        <v>#N/A</v>
      </c>
      <c r="Z176" s="946" t="e">
        <f>VLOOKUP(X176,R_DD!$B$6:$E$2112,3,0)</f>
        <v>#N/A</v>
      </c>
      <c r="AA176" s="946" t="e">
        <f>VLOOKUP(Y176,R_DD!$A$1:$L$2131,4,0)</f>
        <v>#N/A</v>
      </c>
      <c r="AB176" s="947" t="e">
        <f>VLOOKUP(Y176,R_DD!$A$1:$L$2131,5,0)</f>
        <v>#N/A</v>
      </c>
      <c r="AC176" s="947" t="e">
        <f>VLOOKUP(X176,R_DD!$B$6:$E$2112,4,0)</f>
        <v>#N/A</v>
      </c>
    </row>
    <row r="177" spans="22:29" ht="20.100000000000001" customHeight="1">
      <c r="V177" s="944" t="e">
        <f>VLOOKUP(U177,R_DD!$B$6:$E$2112,3,0)</f>
        <v>#N/A</v>
      </c>
      <c r="W177" s="943" t="e">
        <f>VLOOKUP(U177,R_DD!$B$6:$E$2112,4,0)</f>
        <v>#N/A</v>
      </c>
      <c r="Z177" s="946" t="e">
        <f>VLOOKUP(X177,R_DD!$B$6:$E$2112,3,0)</f>
        <v>#N/A</v>
      </c>
      <c r="AA177" s="946" t="e">
        <f>VLOOKUP(Y177,R_DD!$A$1:$L$2131,4,0)</f>
        <v>#N/A</v>
      </c>
      <c r="AB177" s="947" t="e">
        <f>VLOOKUP(Y177,R_DD!$A$1:$L$2131,5,0)</f>
        <v>#N/A</v>
      </c>
      <c r="AC177" s="947" t="e">
        <f>VLOOKUP(X177,R_DD!$B$6:$E$2112,4,0)</f>
        <v>#N/A</v>
      </c>
    </row>
    <row r="178" spans="22:29" ht="20.100000000000001" customHeight="1">
      <c r="V178" s="944" t="e">
        <f>VLOOKUP(U178,R_DD!$B$6:$E$2112,3,0)</f>
        <v>#N/A</v>
      </c>
      <c r="W178" s="943" t="e">
        <f>VLOOKUP(U178,R_DD!$B$6:$E$2112,4,0)</f>
        <v>#N/A</v>
      </c>
      <c r="Z178" s="946" t="e">
        <f>VLOOKUP(X178,R_DD!$B$6:$E$2112,3,0)</f>
        <v>#N/A</v>
      </c>
      <c r="AA178" s="946" t="e">
        <f>VLOOKUP(Y178,R_DD!$A$1:$L$2131,4,0)</f>
        <v>#N/A</v>
      </c>
      <c r="AB178" s="947" t="e">
        <f>VLOOKUP(Y178,R_DD!$A$1:$L$2131,5,0)</f>
        <v>#N/A</v>
      </c>
      <c r="AC178" s="947" t="e">
        <f>VLOOKUP(X178,R_DD!$B$6:$E$2112,4,0)</f>
        <v>#N/A</v>
      </c>
    </row>
    <row r="179" spans="22:29" ht="20.100000000000001" customHeight="1">
      <c r="V179" s="944" t="e">
        <f>VLOOKUP(U179,R_DD!$B$6:$E$2112,3,0)</f>
        <v>#N/A</v>
      </c>
      <c r="W179" s="943" t="e">
        <f>VLOOKUP(U179,R_DD!$B$6:$E$2112,4,0)</f>
        <v>#N/A</v>
      </c>
      <c r="Z179" s="946" t="e">
        <f>VLOOKUP(X179,R_DD!$B$6:$E$2112,3,0)</f>
        <v>#N/A</v>
      </c>
      <c r="AA179" s="946" t="e">
        <f>VLOOKUP(Y179,R_DD!$A$1:$L$2131,4,0)</f>
        <v>#N/A</v>
      </c>
      <c r="AB179" s="947" t="e">
        <f>VLOOKUP(Y179,R_DD!$A$1:$L$2131,5,0)</f>
        <v>#N/A</v>
      </c>
      <c r="AC179" s="947" t="e">
        <f>VLOOKUP(X179,R_DD!$B$6:$E$2112,4,0)</f>
        <v>#N/A</v>
      </c>
    </row>
    <row r="180" spans="22:29" ht="20.100000000000001" customHeight="1">
      <c r="V180" s="944" t="e">
        <f>VLOOKUP(U180,R_DD!$B$6:$E$2112,3,0)</f>
        <v>#N/A</v>
      </c>
      <c r="W180" s="943" t="e">
        <f>VLOOKUP(U180,R_DD!$B$6:$E$2112,4,0)</f>
        <v>#N/A</v>
      </c>
      <c r="Z180" s="946" t="e">
        <f>VLOOKUP(X180,R_DD!$B$6:$E$2112,3,0)</f>
        <v>#N/A</v>
      </c>
      <c r="AA180" s="946" t="e">
        <f>VLOOKUP(Y180,R_DD!$A$1:$L$2131,4,0)</f>
        <v>#N/A</v>
      </c>
      <c r="AB180" s="947" t="e">
        <f>VLOOKUP(Y180,R_DD!$A$1:$L$2131,5,0)</f>
        <v>#N/A</v>
      </c>
      <c r="AC180" s="947" t="e">
        <f>VLOOKUP(X180,R_DD!$B$6:$E$2112,4,0)</f>
        <v>#N/A</v>
      </c>
    </row>
    <row r="181" spans="22:29" ht="20.100000000000001" customHeight="1">
      <c r="V181" s="944" t="e">
        <f>VLOOKUP(U181,R_DD!$B$6:$E$2112,3,0)</f>
        <v>#N/A</v>
      </c>
      <c r="W181" s="943" t="e">
        <f>VLOOKUP(U181,R_DD!$B$6:$E$2112,4,0)</f>
        <v>#N/A</v>
      </c>
      <c r="Z181" s="946" t="e">
        <f>VLOOKUP(X181,R_DD!$B$6:$E$2112,3,0)</f>
        <v>#N/A</v>
      </c>
      <c r="AA181" s="946" t="e">
        <f>VLOOKUP(Y181,R_DD!$A$1:$L$2131,4,0)</f>
        <v>#N/A</v>
      </c>
      <c r="AB181" s="947" t="e">
        <f>VLOOKUP(Y181,R_DD!$A$1:$L$2131,5,0)</f>
        <v>#N/A</v>
      </c>
      <c r="AC181" s="947" t="e">
        <f>VLOOKUP(X181,R_DD!$B$6:$E$2112,4,0)</f>
        <v>#N/A</v>
      </c>
    </row>
    <row r="182" spans="22:29" ht="20.100000000000001" customHeight="1">
      <c r="V182" s="944" t="e">
        <f>VLOOKUP(U182,R_DD!$B$6:$E$2112,3,0)</f>
        <v>#N/A</v>
      </c>
      <c r="W182" s="943" t="e">
        <f>VLOOKUP(U182,R_DD!$B$6:$E$2112,4,0)</f>
        <v>#N/A</v>
      </c>
      <c r="Z182" s="946" t="e">
        <f>VLOOKUP(X182,R_DD!$B$6:$E$2112,3,0)</f>
        <v>#N/A</v>
      </c>
      <c r="AA182" s="946" t="e">
        <f>VLOOKUP(Y182,R_DD!$A$1:$L$2131,4,0)</f>
        <v>#N/A</v>
      </c>
      <c r="AB182" s="947" t="e">
        <f>VLOOKUP(Y182,R_DD!$A$1:$L$2131,5,0)</f>
        <v>#N/A</v>
      </c>
      <c r="AC182" s="947" t="e">
        <f>VLOOKUP(X182,R_DD!$B$6:$E$2112,4,0)</f>
        <v>#N/A</v>
      </c>
    </row>
    <row r="183" spans="22:29" ht="20.100000000000001" customHeight="1">
      <c r="V183" s="944" t="e">
        <f>VLOOKUP(U183,R_DD!$B$6:$E$2112,3,0)</f>
        <v>#N/A</v>
      </c>
      <c r="W183" s="943" t="e">
        <f>VLOOKUP(U183,R_DD!$B$6:$E$2112,4,0)</f>
        <v>#N/A</v>
      </c>
      <c r="Z183" s="946" t="e">
        <f>VLOOKUP(X183,R_DD!$B$6:$E$2112,3,0)</f>
        <v>#N/A</v>
      </c>
      <c r="AA183" s="946" t="e">
        <f>VLOOKUP(Y183,R_DD!$A$1:$L$2131,4,0)</f>
        <v>#N/A</v>
      </c>
      <c r="AB183" s="947" t="e">
        <f>VLOOKUP(Y183,R_DD!$A$1:$L$2131,5,0)</f>
        <v>#N/A</v>
      </c>
      <c r="AC183" s="947" t="e">
        <f>VLOOKUP(X183,R_DD!$B$6:$E$2112,4,0)</f>
        <v>#N/A</v>
      </c>
    </row>
    <row r="184" spans="22:29" ht="20.100000000000001" customHeight="1">
      <c r="V184" s="944" t="e">
        <f>VLOOKUP(U184,R_DD!$B$6:$E$2112,3,0)</f>
        <v>#N/A</v>
      </c>
      <c r="W184" s="943" t="e">
        <f>VLOOKUP(U184,R_DD!$B$6:$E$2112,4,0)</f>
        <v>#N/A</v>
      </c>
      <c r="Z184" s="946" t="e">
        <f>VLOOKUP(X184,R_DD!$B$6:$E$2112,3,0)</f>
        <v>#N/A</v>
      </c>
      <c r="AA184" s="946" t="e">
        <f>VLOOKUP(Y184,R_DD!$A$1:$L$2131,4,0)</f>
        <v>#N/A</v>
      </c>
      <c r="AB184" s="947" t="e">
        <f>VLOOKUP(Y184,R_DD!$A$1:$L$2131,5,0)</f>
        <v>#N/A</v>
      </c>
      <c r="AC184" s="947" t="e">
        <f>VLOOKUP(X184,R_DD!$B$6:$E$2112,4,0)</f>
        <v>#N/A</v>
      </c>
    </row>
    <row r="185" spans="22:29" ht="20.100000000000001" customHeight="1">
      <c r="V185" s="944" t="e">
        <f>VLOOKUP(U185,R_DD!$B$6:$E$2112,3,0)</f>
        <v>#N/A</v>
      </c>
      <c r="W185" s="943" t="e">
        <f>VLOOKUP(U185,R_DD!$B$6:$E$2112,4,0)</f>
        <v>#N/A</v>
      </c>
      <c r="Z185" s="946" t="e">
        <f>VLOOKUP(X185,R_DD!$B$6:$E$2112,3,0)</f>
        <v>#N/A</v>
      </c>
      <c r="AA185" s="946" t="e">
        <f>VLOOKUP(Y185,R_DD!$A$1:$L$2131,4,0)</f>
        <v>#N/A</v>
      </c>
      <c r="AB185" s="947" t="e">
        <f>VLOOKUP(Y185,R_DD!$A$1:$L$2131,5,0)</f>
        <v>#N/A</v>
      </c>
      <c r="AC185" s="947" t="e">
        <f>VLOOKUP(X185,R_DD!$B$6:$E$2112,4,0)</f>
        <v>#N/A</v>
      </c>
    </row>
    <row r="186" spans="22:29" ht="20.100000000000001" customHeight="1">
      <c r="V186" s="944" t="e">
        <f>VLOOKUP(U186,R_DD!$B$6:$E$2112,3,0)</f>
        <v>#N/A</v>
      </c>
      <c r="W186" s="943" t="e">
        <f>VLOOKUP(U186,R_DD!$B$6:$E$2112,4,0)</f>
        <v>#N/A</v>
      </c>
      <c r="Z186" s="946" t="e">
        <f>VLOOKUP(X186,R_DD!$B$6:$E$2112,3,0)</f>
        <v>#N/A</v>
      </c>
      <c r="AA186" s="946" t="e">
        <f>VLOOKUP(Y186,R_DD!$A$1:$L$2131,4,0)</f>
        <v>#N/A</v>
      </c>
      <c r="AB186" s="947" t="e">
        <f>VLOOKUP(Y186,R_DD!$A$1:$L$2131,5,0)</f>
        <v>#N/A</v>
      </c>
      <c r="AC186" s="947" t="e">
        <f>VLOOKUP(X186,R_DD!$B$6:$E$2112,4,0)</f>
        <v>#N/A</v>
      </c>
    </row>
    <row r="187" spans="22:29" ht="20.100000000000001" customHeight="1">
      <c r="V187" s="944" t="e">
        <f>VLOOKUP(U187,R_DD!$B$6:$E$2112,3,0)</f>
        <v>#N/A</v>
      </c>
      <c r="W187" s="943" t="e">
        <f>VLOOKUP(U187,R_DD!$B$6:$E$2112,4,0)</f>
        <v>#N/A</v>
      </c>
      <c r="Z187" s="946" t="e">
        <f>VLOOKUP(X187,R_DD!$B$6:$E$2112,3,0)</f>
        <v>#N/A</v>
      </c>
      <c r="AA187" s="946" t="e">
        <f>VLOOKUP(Y187,R_DD!$A$1:$L$2131,4,0)</f>
        <v>#N/A</v>
      </c>
      <c r="AB187" s="947" t="e">
        <f>VLOOKUP(Y187,R_DD!$A$1:$L$2131,5,0)</f>
        <v>#N/A</v>
      </c>
      <c r="AC187" s="947" t="e">
        <f>VLOOKUP(X187,R_DD!$B$6:$E$2112,4,0)</f>
        <v>#N/A</v>
      </c>
    </row>
    <row r="188" spans="22:29" ht="20.100000000000001" customHeight="1">
      <c r="V188" s="944" t="e">
        <f>VLOOKUP(U188,R_DD!$B$6:$E$2112,3,0)</f>
        <v>#N/A</v>
      </c>
      <c r="W188" s="943" t="e">
        <f>VLOOKUP(U188,R_DD!$B$6:$E$2112,4,0)</f>
        <v>#N/A</v>
      </c>
      <c r="Z188" s="946" t="e">
        <f>VLOOKUP(X188,R_DD!$B$6:$E$2112,3,0)</f>
        <v>#N/A</v>
      </c>
      <c r="AA188" s="946" t="e">
        <f>VLOOKUP(Y188,R_DD!$A$1:$L$2131,4,0)</f>
        <v>#N/A</v>
      </c>
      <c r="AB188" s="947" t="e">
        <f>VLOOKUP(Y188,R_DD!$A$1:$L$2131,5,0)</f>
        <v>#N/A</v>
      </c>
      <c r="AC188" s="947" t="e">
        <f>VLOOKUP(X188,R_DD!$B$6:$E$2112,4,0)</f>
        <v>#N/A</v>
      </c>
    </row>
    <row r="189" spans="22:29" ht="20.100000000000001" customHeight="1">
      <c r="V189" s="944" t="e">
        <f>VLOOKUP(U189,R_DD!$B$6:$E$2112,3,0)</f>
        <v>#N/A</v>
      </c>
      <c r="W189" s="943" t="e">
        <f>VLOOKUP(U189,R_DD!$B$6:$E$2112,4,0)</f>
        <v>#N/A</v>
      </c>
      <c r="Z189" s="946" t="e">
        <f>VLOOKUP(X189,R_DD!$B$6:$E$2112,3,0)</f>
        <v>#N/A</v>
      </c>
      <c r="AA189" s="946" t="e">
        <f>VLOOKUP(Y189,R_DD!$A$1:$L$2131,4,0)</f>
        <v>#N/A</v>
      </c>
      <c r="AB189" s="947" t="e">
        <f>VLOOKUP(Y189,R_DD!$A$1:$L$2131,5,0)</f>
        <v>#N/A</v>
      </c>
      <c r="AC189" s="947" t="e">
        <f>VLOOKUP(X189,R_DD!$B$6:$E$2112,4,0)</f>
        <v>#N/A</v>
      </c>
    </row>
    <row r="190" spans="22:29" ht="20.100000000000001" customHeight="1">
      <c r="V190" s="944" t="e">
        <f>VLOOKUP(U190,R_DD!$B$6:$E$2112,3,0)</f>
        <v>#N/A</v>
      </c>
      <c r="W190" s="943" t="e">
        <f>VLOOKUP(U190,R_DD!$B$6:$E$2112,4,0)</f>
        <v>#N/A</v>
      </c>
      <c r="Z190" s="946" t="e">
        <f>VLOOKUP(X190,R_DD!$B$6:$E$2112,3,0)</f>
        <v>#N/A</v>
      </c>
      <c r="AA190" s="946" t="e">
        <f>VLOOKUP(Y190,R_DD!$A$1:$L$2131,4,0)</f>
        <v>#N/A</v>
      </c>
      <c r="AB190" s="947" t="e">
        <f>VLOOKUP(Y190,R_DD!$A$1:$L$2131,5,0)</f>
        <v>#N/A</v>
      </c>
      <c r="AC190" s="947" t="e">
        <f>VLOOKUP(X190,R_DD!$B$6:$E$2112,4,0)</f>
        <v>#N/A</v>
      </c>
    </row>
    <row r="191" spans="22:29" ht="20.100000000000001" customHeight="1">
      <c r="V191" s="944" t="e">
        <f>VLOOKUP(U191,R_DD!$B$6:$E$2112,3,0)</f>
        <v>#N/A</v>
      </c>
      <c r="W191" s="943" t="e">
        <f>VLOOKUP(U191,R_DD!$B$6:$E$2112,4,0)</f>
        <v>#N/A</v>
      </c>
      <c r="Z191" s="946" t="e">
        <f>VLOOKUP(X191,R_DD!$B$6:$E$2112,3,0)</f>
        <v>#N/A</v>
      </c>
      <c r="AA191" s="946" t="e">
        <f>VLOOKUP(Y191,R_DD!$A$1:$L$2131,4,0)</f>
        <v>#N/A</v>
      </c>
      <c r="AB191" s="947" t="e">
        <f>VLOOKUP(Y191,R_DD!$A$1:$L$2131,5,0)</f>
        <v>#N/A</v>
      </c>
      <c r="AC191" s="947" t="e">
        <f>VLOOKUP(X191,R_DD!$B$6:$E$2112,4,0)</f>
        <v>#N/A</v>
      </c>
    </row>
    <row r="192" spans="22:29" ht="20.100000000000001" customHeight="1">
      <c r="V192" s="944" t="e">
        <f>VLOOKUP(U192,R_DD!$B$6:$E$2112,3,0)</f>
        <v>#N/A</v>
      </c>
      <c r="W192" s="943" t="e">
        <f>VLOOKUP(U192,R_DD!$B$6:$E$2112,4,0)</f>
        <v>#N/A</v>
      </c>
      <c r="Z192" s="946" t="e">
        <f>VLOOKUP(X192,R_DD!$B$6:$E$2112,3,0)</f>
        <v>#N/A</v>
      </c>
      <c r="AA192" s="946" t="e">
        <f>VLOOKUP(Y192,R_DD!$A$1:$L$2131,4,0)</f>
        <v>#N/A</v>
      </c>
      <c r="AB192" s="947" t="e">
        <f>VLOOKUP(Y192,R_DD!$A$1:$L$2131,5,0)</f>
        <v>#N/A</v>
      </c>
      <c r="AC192" s="947" t="e">
        <f>VLOOKUP(X192,R_DD!$B$6:$E$2112,4,0)</f>
        <v>#N/A</v>
      </c>
    </row>
    <row r="193" spans="22:29" ht="20.100000000000001" customHeight="1">
      <c r="V193" s="944" t="e">
        <f>VLOOKUP(U193,R_DD!$B$6:$E$2112,3,0)</f>
        <v>#N/A</v>
      </c>
      <c r="W193" s="943" t="e">
        <f>VLOOKUP(U193,R_DD!$B$6:$E$2112,4,0)</f>
        <v>#N/A</v>
      </c>
      <c r="Z193" s="946" t="e">
        <f>VLOOKUP(X193,R_DD!$B$6:$E$2112,3,0)</f>
        <v>#N/A</v>
      </c>
      <c r="AA193" s="946" t="e">
        <f>VLOOKUP(Y193,R_DD!$A$1:$L$2131,4,0)</f>
        <v>#N/A</v>
      </c>
      <c r="AB193" s="947" t="e">
        <f>VLOOKUP(Y193,R_DD!$A$1:$L$2131,5,0)</f>
        <v>#N/A</v>
      </c>
      <c r="AC193" s="947" t="e">
        <f>VLOOKUP(X193,R_DD!$B$6:$E$2112,4,0)</f>
        <v>#N/A</v>
      </c>
    </row>
    <row r="194" spans="22:29" ht="20.100000000000001" customHeight="1">
      <c r="V194" s="944" t="e">
        <f>VLOOKUP(U194,R_DD!$B$6:$E$2112,3,0)</f>
        <v>#N/A</v>
      </c>
      <c r="W194" s="943" t="e">
        <f>VLOOKUP(U194,R_DD!$B$6:$E$2112,4,0)</f>
        <v>#N/A</v>
      </c>
      <c r="Z194" s="946" t="e">
        <f>VLOOKUP(X194,R_DD!$B$6:$E$2112,3,0)</f>
        <v>#N/A</v>
      </c>
      <c r="AA194" s="946" t="e">
        <f>VLOOKUP(Y194,R_DD!$A$1:$L$2131,4,0)</f>
        <v>#N/A</v>
      </c>
      <c r="AB194" s="947" t="e">
        <f>VLOOKUP(Y194,R_DD!$A$1:$L$2131,5,0)</f>
        <v>#N/A</v>
      </c>
      <c r="AC194" s="947" t="e">
        <f>VLOOKUP(X194,R_DD!$B$6:$E$2112,4,0)</f>
        <v>#N/A</v>
      </c>
    </row>
    <row r="195" spans="22:29" ht="20.100000000000001" customHeight="1">
      <c r="V195" s="944" t="e">
        <f>VLOOKUP(U195,R_DD!$B$6:$E$2112,3,0)</f>
        <v>#N/A</v>
      </c>
      <c r="W195" s="943" t="e">
        <f>VLOOKUP(U195,R_DD!$B$6:$E$2112,4,0)</f>
        <v>#N/A</v>
      </c>
      <c r="Z195" s="946" t="e">
        <f>VLOOKUP(X195,R_DD!$B$6:$E$2112,3,0)</f>
        <v>#N/A</v>
      </c>
      <c r="AA195" s="946" t="e">
        <f>VLOOKUP(Y195,R_DD!$A$1:$L$2131,4,0)</f>
        <v>#N/A</v>
      </c>
      <c r="AB195" s="947" t="e">
        <f>VLOOKUP(Y195,R_DD!$A$1:$L$2131,5,0)</f>
        <v>#N/A</v>
      </c>
      <c r="AC195" s="947" t="e">
        <f>VLOOKUP(X195,R_DD!$B$6:$E$2112,4,0)</f>
        <v>#N/A</v>
      </c>
    </row>
    <row r="196" spans="22:29" ht="20.100000000000001" customHeight="1">
      <c r="V196" s="944" t="e">
        <f>VLOOKUP(U196,R_DD!$B$6:$E$2112,3,0)</f>
        <v>#N/A</v>
      </c>
      <c r="W196" s="943" t="e">
        <f>VLOOKUP(U196,R_DD!$B$6:$E$2112,4,0)</f>
        <v>#N/A</v>
      </c>
      <c r="Z196" s="946" t="e">
        <f>VLOOKUP(X196,R_DD!$B$6:$E$2112,3,0)</f>
        <v>#N/A</v>
      </c>
      <c r="AA196" s="946" t="e">
        <f>VLOOKUP(Y196,R_DD!$A$1:$L$2131,4,0)</f>
        <v>#N/A</v>
      </c>
      <c r="AB196" s="947" t="e">
        <f>VLOOKUP(Y196,R_DD!$A$1:$L$2131,5,0)</f>
        <v>#N/A</v>
      </c>
      <c r="AC196" s="947" t="e">
        <f>VLOOKUP(X196,R_DD!$B$6:$E$2112,4,0)</f>
        <v>#N/A</v>
      </c>
    </row>
    <row r="197" spans="22:29" ht="20.100000000000001" customHeight="1">
      <c r="V197" s="944" t="e">
        <f>VLOOKUP(U197,R_DD!$B$6:$E$2112,3,0)</f>
        <v>#N/A</v>
      </c>
      <c r="W197" s="943" t="e">
        <f>VLOOKUP(U197,R_DD!$B$6:$E$2112,4,0)</f>
        <v>#N/A</v>
      </c>
      <c r="Z197" s="946" t="e">
        <f>VLOOKUP(X197,R_DD!$B$6:$E$2112,3,0)</f>
        <v>#N/A</v>
      </c>
      <c r="AA197" s="946" t="e">
        <f>VLOOKUP(Y197,R_DD!$A$1:$L$2131,4,0)</f>
        <v>#N/A</v>
      </c>
      <c r="AB197" s="947" t="e">
        <f>VLOOKUP(Y197,R_DD!$A$1:$L$2131,5,0)</f>
        <v>#N/A</v>
      </c>
      <c r="AC197" s="947" t="e">
        <f>VLOOKUP(X197,R_DD!$B$6:$E$2112,4,0)</f>
        <v>#N/A</v>
      </c>
    </row>
    <row r="198" spans="22:29" ht="20.100000000000001" customHeight="1">
      <c r="V198" s="944" t="e">
        <f>VLOOKUP(U198,R_DD!$B$6:$E$2112,3,0)</f>
        <v>#N/A</v>
      </c>
      <c r="W198" s="943" t="e">
        <f>VLOOKUP(U198,R_DD!$B$6:$E$2112,4,0)</f>
        <v>#N/A</v>
      </c>
      <c r="Z198" s="946" t="e">
        <f>VLOOKUP(X198,R_DD!$B$6:$E$2112,3,0)</f>
        <v>#N/A</v>
      </c>
      <c r="AA198" s="946" t="e">
        <f>VLOOKUP(Y198,R_DD!$A$1:$L$2131,4,0)</f>
        <v>#N/A</v>
      </c>
      <c r="AB198" s="947" t="e">
        <f>VLOOKUP(Y198,R_DD!$A$1:$L$2131,5,0)</f>
        <v>#N/A</v>
      </c>
      <c r="AC198" s="947" t="e">
        <f>VLOOKUP(X198,R_DD!$B$6:$E$2112,4,0)</f>
        <v>#N/A</v>
      </c>
    </row>
    <row r="199" spans="22:29" ht="20.100000000000001" customHeight="1">
      <c r="V199" s="944" t="e">
        <f>VLOOKUP(U199,R_DD!$B$6:$E$2112,3,0)</f>
        <v>#N/A</v>
      </c>
      <c r="W199" s="943" t="e">
        <f>VLOOKUP(U199,R_DD!$B$6:$E$2112,4,0)</f>
        <v>#N/A</v>
      </c>
      <c r="Z199" s="946" t="e">
        <f>VLOOKUP(X199,R_DD!$B$6:$E$2112,3,0)</f>
        <v>#N/A</v>
      </c>
      <c r="AA199" s="946" t="e">
        <f>VLOOKUP(Y199,R_DD!$A$1:$L$2131,4,0)</f>
        <v>#N/A</v>
      </c>
      <c r="AB199" s="947" t="e">
        <f>VLOOKUP(Y199,R_DD!$A$1:$L$2131,5,0)</f>
        <v>#N/A</v>
      </c>
      <c r="AC199" s="947" t="e">
        <f>VLOOKUP(X199,R_DD!$B$6:$E$2112,4,0)</f>
        <v>#N/A</v>
      </c>
    </row>
    <row r="200" spans="22:29" ht="20.100000000000001" customHeight="1">
      <c r="V200" s="944" t="e">
        <f>VLOOKUP(U200,R_DD!$B$6:$E$2112,3,0)</f>
        <v>#N/A</v>
      </c>
      <c r="W200" s="943" t="e">
        <f>VLOOKUP(U200,R_DD!$B$6:$E$2112,4,0)</f>
        <v>#N/A</v>
      </c>
      <c r="Z200" s="946" t="e">
        <f>VLOOKUP(X200,R_DD!$B$6:$E$2112,3,0)</f>
        <v>#N/A</v>
      </c>
      <c r="AA200" s="946" t="e">
        <f>VLOOKUP(Y200,R_DD!$A$1:$L$2131,4,0)</f>
        <v>#N/A</v>
      </c>
      <c r="AB200" s="947" t="e">
        <f>VLOOKUP(Y200,R_DD!$A$1:$L$2131,5,0)</f>
        <v>#N/A</v>
      </c>
      <c r="AC200" s="947" t="e">
        <f>VLOOKUP(X200,R_DD!$B$6:$E$2112,4,0)</f>
        <v>#N/A</v>
      </c>
    </row>
    <row r="201" spans="22:29" ht="20.100000000000001" customHeight="1">
      <c r="V201" s="944" t="e">
        <f>VLOOKUP(U201,R_DD!$B$6:$E$2112,3,0)</f>
        <v>#N/A</v>
      </c>
      <c r="W201" s="943" t="e">
        <f>VLOOKUP(U201,R_DD!$B$6:$E$2112,4,0)</f>
        <v>#N/A</v>
      </c>
      <c r="Z201" s="946" t="e">
        <f>VLOOKUP(X201,R_DD!$B$6:$E$2112,3,0)</f>
        <v>#N/A</v>
      </c>
      <c r="AA201" s="946" t="e">
        <f>VLOOKUP(Y201,R_DD!$A$1:$L$2131,4,0)</f>
        <v>#N/A</v>
      </c>
      <c r="AB201" s="947" t="e">
        <f>VLOOKUP(Y201,R_DD!$A$1:$L$2131,5,0)</f>
        <v>#N/A</v>
      </c>
      <c r="AC201" s="947" t="e">
        <f>VLOOKUP(X201,R_DD!$B$6:$E$2112,4,0)</f>
        <v>#N/A</v>
      </c>
    </row>
    <row r="202" spans="22:29" ht="20.100000000000001" customHeight="1">
      <c r="V202" s="944" t="e">
        <f>VLOOKUP(U202,R_DD!$B$6:$E$2112,3,0)</f>
        <v>#N/A</v>
      </c>
      <c r="W202" s="943" t="e">
        <f>VLOOKUP(U202,R_DD!$B$6:$E$2112,4,0)</f>
        <v>#N/A</v>
      </c>
      <c r="Z202" s="946" t="e">
        <f>VLOOKUP(X202,R_DD!$B$6:$E$2112,3,0)</f>
        <v>#N/A</v>
      </c>
      <c r="AA202" s="946" t="e">
        <f>VLOOKUP(Y202,R_DD!$A$1:$L$2131,4,0)</f>
        <v>#N/A</v>
      </c>
      <c r="AB202" s="947" t="e">
        <f>VLOOKUP(Y202,R_DD!$A$1:$L$2131,5,0)</f>
        <v>#N/A</v>
      </c>
      <c r="AC202" s="947" t="e">
        <f>VLOOKUP(X202,R_DD!$B$6:$E$2112,4,0)</f>
        <v>#N/A</v>
      </c>
    </row>
    <row r="203" spans="22:29" ht="20.100000000000001" customHeight="1">
      <c r="V203" s="944" t="e">
        <f>VLOOKUP(U203,R_DD!$B$6:$E$2112,3,0)</f>
        <v>#N/A</v>
      </c>
      <c r="W203" s="943" t="e">
        <f>VLOOKUP(U203,R_DD!$B$6:$E$2112,4,0)</f>
        <v>#N/A</v>
      </c>
      <c r="Z203" s="946" t="e">
        <f>VLOOKUP(X203,R_DD!$B$6:$E$2112,3,0)</f>
        <v>#N/A</v>
      </c>
      <c r="AA203" s="946" t="e">
        <f>VLOOKUP(Y203,R_DD!$A$1:$L$2131,4,0)</f>
        <v>#N/A</v>
      </c>
      <c r="AB203" s="947" t="e">
        <f>VLOOKUP(Y203,R_DD!$A$1:$L$2131,5,0)</f>
        <v>#N/A</v>
      </c>
      <c r="AC203" s="947" t="e">
        <f>VLOOKUP(X203,R_DD!$B$6:$E$2112,4,0)</f>
        <v>#N/A</v>
      </c>
    </row>
    <row r="204" spans="22:29" ht="20.100000000000001" customHeight="1">
      <c r="V204" s="944" t="e">
        <f>VLOOKUP(U204,R_DD!$B$6:$E$2112,3,0)</f>
        <v>#N/A</v>
      </c>
      <c r="W204" s="943" t="e">
        <f>VLOOKUP(U204,R_DD!$B$6:$E$2112,4,0)</f>
        <v>#N/A</v>
      </c>
      <c r="Z204" s="946" t="e">
        <f>VLOOKUP(X204,R_DD!$B$6:$E$2112,3,0)</f>
        <v>#N/A</v>
      </c>
      <c r="AA204" s="946" t="e">
        <f>VLOOKUP(Y204,R_DD!$A$1:$L$2131,4,0)</f>
        <v>#N/A</v>
      </c>
      <c r="AB204" s="947" t="e">
        <f>VLOOKUP(Y204,R_DD!$A$1:$L$2131,5,0)</f>
        <v>#N/A</v>
      </c>
      <c r="AC204" s="947" t="e">
        <f>VLOOKUP(X204,R_DD!$B$6:$E$2112,4,0)</f>
        <v>#N/A</v>
      </c>
    </row>
    <row r="205" spans="22:29" ht="20.100000000000001" customHeight="1">
      <c r="V205" s="944" t="e">
        <f>VLOOKUP(U205,R_DD!$B$6:$E$2112,3,0)</f>
        <v>#N/A</v>
      </c>
      <c r="W205" s="943" t="e">
        <f>VLOOKUP(U205,R_DD!$B$6:$E$2112,4,0)</f>
        <v>#N/A</v>
      </c>
      <c r="Z205" s="946" t="e">
        <f>VLOOKUP(X205,R_DD!$B$6:$E$2112,3,0)</f>
        <v>#N/A</v>
      </c>
      <c r="AA205" s="946" t="e">
        <f>VLOOKUP(Y205,R_DD!$A$1:$L$2131,4,0)</f>
        <v>#N/A</v>
      </c>
      <c r="AB205" s="947" t="e">
        <f>VLOOKUP(Y205,R_DD!$A$1:$L$2131,5,0)</f>
        <v>#N/A</v>
      </c>
      <c r="AC205" s="947" t="e">
        <f>VLOOKUP(X205,R_DD!$B$6:$E$2112,4,0)</f>
        <v>#N/A</v>
      </c>
    </row>
    <row r="206" spans="22:29" ht="20.100000000000001" customHeight="1">
      <c r="V206" s="944" t="e">
        <f>VLOOKUP(U206,R_DD!$B$6:$E$2112,3,0)</f>
        <v>#N/A</v>
      </c>
      <c r="W206" s="943" t="e">
        <f>VLOOKUP(U206,R_DD!$B$6:$E$2112,4,0)</f>
        <v>#N/A</v>
      </c>
      <c r="Z206" s="946" t="e">
        <f>VLOOKUP(X206,R_DD!$B$6:$E$2112,3,0)</f>
        <v>#N/A</v>
      </c>
      <c r="AA206" s="946" t="e">
        <f>VLOOKUP(Y206,R_DD!$A$1:$L$2131,4,0)</f>
        <v>#N/A</v>
      </c>
      <c r="AB206" s="947" t="e">
        <f>VLOOKUP(Y206,R_DD!$A$1:$L$2131,5,0)</f>
        <v>#N/A</v>
      </c>
      <c r="AC206" s="947" t="e">
        <f>VLOOKUP(X206,R_DD!$B$6:$E$2112,4,0)</f>
        <v>#N/A</v>
      </c>
    </row>
    <row r="207" spans="22:29" ht="20.100000000000001" customHeight="1">
      <c r="V207" s="944" t="e">
        <f>VLOOKUP(U207,R_DD!$B$6:$E$2112,3,0)</f>
        <v>#N/A</v>
      </c>
      <c r="W207" s="943" t="e">
        <f>VLOOKUP(U207,R_DD!$B$6:$E$2112,4,0)</f>
        <v>#N/A</v>
      </c>
      <c r="Z207" s="946" t="e">
        <f>VLOOKUP(X207,R_DD!$B$6:$E$2112,3,0)</f>
        <v>#N/A</v>
      </c>
      <c r="AA207" s="946" t="e">
        <f>VLOOKUP(Y207,R_DD!$A$1:$L$2131,4,0)</f>
        <v>#N/A</v>
      </c>
      <c r="AB207" s="947" t="e">
        <f>VLOOKUP(Y207,R_DD!$A$1:$L$2131,5,0)</f>
        <v>#N/A</v>
      </c>
      <c r="AC207" s="947" t="e">
        <f>VLOOKUP(X207,R_DD!$B$6:$E$2112,4,0)</f>
        <v>#N/A</v>
      </c>
    </row>
    <row r="208" spans="22:29" ht="20.100000000000001" customHeight="1">
      <c r="V208" s="944" t="e">
        <f>VLOOKUP(U208,R_DD!$B$6:$E$2112,3,0)</f>
        <v>#N/A</v>
      </c>
      <c r="W208" s="943" t="e">
        <f>VLOOKUP(U208,R_DD!$B$6:$E$2112,4,0)</f>
        <v>#N/A</v>
      </c>
      <c r="Z208" s="946" t="e">
        <f>VLOOKUP(X208,R_DD!$B$6:$E$2112,3,0)</f>
        <v>#N/A</v>
      </c>
      <c r="AA208" s="946" t="e">
        <f>VLOOKUP(Y208,R_DD!$A$1:$L$2131,4,0)</f>
        <v>#N/A</v>
      </c>
      <c r="AB208" s="947" t="e">
        <f>VLOOKUP(Y208,R_DD!$A$1:$L$2131,5,0)</f>
        <v>#N/A</v>
      </c>
      <c r="AC208" s="947" t="e">
        <f>VLOOKUP(X208,R_DD!$B$6:$E$2112,4,0)</f>
        <v>#N/A</v>
      </c>
    </row>
    <row r="209" spans="22:29" ht="20.100000000000001" customHeight="1">
      <c r="V209" s="944" t="e">
        <f>VLOOKUP(U209,R_DD!$B$6:$E$2112,3,0)</f>
        <v>#N/A</v>
      </c>
      <c r="W209" s="943" t="e">
        <f>VLOOKUP(U209,R_DD!$B$6:$E$2112,4,0)</f>
        <v>#N/A</v>
      </c>
      <c r="Z209" s="946" t="e">
        <f>VLOOKUP(X209,R_DD!$B$6:$E$2112,3,0)</f>
        <v>#N/A</v>
      </c>
      <c r="AA209" s="946" t="e">
        <f>VLOOKUP(Y209,R_DD!$A$1:$L$2131,4,0)</f>
        <v>#N/A</v>
      </c>
      <c r="AB209" s="947" t="e">
        <f>VLOOKUP(Y209,R_DD!$A$1:$L$2131,5,0)</f>
        <v>#N/A</v>
      </c>
      <c r="AC209" s="947" t="e">
        <f>VLOOKUP(X209,R_DD!$B$6:$E$2112,4,0)</f>
        <v>#N/A</v>
      </c>
    </row>
    <row r="210" spans="22:29" ht="20.100000000000001" customHeight="1">
      <c r="V210" s="944" t="e">
        <f>VLOOKUP(U210,R_DD!$B$6:$E$2112,3,0)</f>
        <v>#N/A</v>
      </c>
      <c r="W210" s="943" t="e">
        <f>VLOOKUP(U210,R_DD!$B$6:$E$2112,4,0)</f>
        <v>#N/A</v>
      </c>
      <c r="Z210" s="946" t="e">
        <f>VLOOKUP(X210,R_DD!$B$6:$E$2112,3,0)</f>
        <v>#N/A</v>
      </c>
      <c r="AA210" s="946" t="e">
        <f>VLOOKUP(Y210,R_DD!$A$1:$L$2131,4,0)</f>
        <v>#N/A</v>
      </c>
      <c r="AB210" s="947" t="e">
        <f>VLOOKUP(Y210,R_DD!$A$1:$L$2131,5,0)</f>
        <v>#N/A</v>
      </c>
      <c r="AC210" s="947" t="e">
        <f>VLOOKUP(X210,R_DD!$B$6:$E$2112,4,0)</f>
        <v>#N/A</v>
      </c>
    </row>
    <row r="211" spans="22:29" ht="20.100000000000001" customHeight="1">
      <c r="V211" s="944" t="e">
        <f>VLOOKUP(U211,R_DD!$B$6:$E$2112,3,0)</f>
        <v>#N/A</v>
      </c>
      <c r="W211" s="943" t="e">
        <f>VLOOKUP(U211,R_DD!$B$6:$E$2112,4,0)</f>
        <v>#N/A</v>
      </c>
      <c r="Z211" s="946" t="e">
        <f>VLOOKUP(X211,R_DD!$B$6:$E$2112,3,0)</f>
        <v>#N/A</v>
      </c>
      <c r="AA211" s="946" t="e">
        <f>VLOOKUP(Y211,R_DD!$A$1:$L$2131,4,0)</f>
        <v>#N/A</v>
      </c>
      <c r="AB211" s="947" t="e">
        <f>VLOOKUP(Y211,R_DD!$A$1:$L$2131,5,0)</f>
        <v>#N/A</v>
      </c>
      <c r="AC211" s="947" t="e">
        <f>VLOOKUP(X211,R_DD!$B$6:$E$2112,4,0)</f>
        <v>#N/A</v>
      </c>
    </row>
    <row r="212" spans="22:29" ht="20.100000000000001" customHeight="1">
      <c r="V212" s="944" t="e">
        <f>VLOOKUP(U212,R_DD!$B$6:$E$2112,3,0)</f>
        <v>#N/A</v>
      </c>
      <c r="W212" s="943" t="e">
        <f>VLOOKUP(U212,R_DD!$B$6:$E$2112,4,0)</f>
        <v>#N/A</v>
      </c>
      <c r="Z212" s="946" t="e">
        <f>VLOOKUP(X212,R_DD!$B$6:$E$2112,3,0)</f>
        <v>#N/A</v>
      </c>
      <c r="AA212" s="946" t="e">
        <f>VLOOKUP(Y212,R_DD!$A$1:$L$2131,4,0)</f>
        <v>#N/A</v>
      </c>
      <c r="AB212" s="947" t="e">
        <f>VLOOKUP(Y212,R_DD!$A$1:$L$2131,5,0)</f>
        <v>#N/A</v>
      </c>
      <c r="AC212" s="947" t="e">
        <f>VLOOKUP(X212,R_DD!$B$6:$E$2112,4,0)</f>
        <v>#N/A</v>
      </c>
    </row>
    <row r="213" spans="22:29" ht="20.100000000000001" customHeight="1">
      <c r="V213" s="944" t="e">
        <f>VLOOKUP(U213,R_DD!$B$6:$E$2112,3,0)</f>
        <v>#N/A</v>
      </c>
      <c r="W213" s="943" t="e">
        <f>VLOOKUP(U213,R_DD!$B$6:$E$2112,4,0)</f>
        <v>#N/A</v>
      </c>
      <c r="Z213" s="946" t="e">
        <f>VLOOKUP(X213,R_DD!$B$6:$E$2112,3,0)</f>
        <v>#N/A</v>
      </c>
      <c r="AA213" s="946" t="e">
        <f>VLOOKUP(Y213,R_DD!$A$1:$L$2131,4,0)</f>
        <v>#N/A</v>
      </c>
      <c r="AB213" s="947" t="e">
        <f>VLOOKUP(Y213,R_DD!$A$1:$L$2131,5,0)</f>
        <v>#N/A</v>
      </c>
      <c r="AC213" s="947" t="e">
        <f>VLOOKUP(X213,R_DD!$B$6:$E$2112,4,0)</f>
        <v>#N/A</v>
      </c>
    </row>
    <row r="214" spans="22:29" ht="20.100000000000001" customHeight="1">
      <c r="V214" s="944" t="e">
        <f>VLOOKUP(U214,R_DD!$B$6:$E$2112,3,0)</f>
        <v>#N/A</v>
      </c>
      <c r="W214" s="943" t="e">
        <f>VLOOKUP(U214,R_DD!$B$6:$E$2112,4,0)</f>
        <v>#N/A</v>
      </c>
      <c r="Z214" s="946" t="e">
        <f>VLOOKUP(X214,R_DD!$B$6:$E$2112,3,0)</f>
        <v>#N/A</v>
      </c>
      <c r="AA214" s="946" t="e">
        <f>VLOOKUP(Y214,R_DD!$A$1:$L$2131,4,0)</f>
        <v>#N/A</v>
      </c>
      <c r="AB214" s="947" t="e">
        <f>VLOOKUP(Y214,R_DD!$A$1:$L$2131,5,0)</f>
        <v>#N/A</v>
      </c>
      <c r="AC214" s="947" t="e">
        <f>VLOOKUP(X214,R_DD!$B$6:$E$2112,4,0)</f>
        <v>#N/A</v>
      </c>
    </row>
    <row r="215" spans="22:29" ht="20.100000000000001" customHeight="1">
      <c r="V215" s="944" t="e">
        <f>VLOOKUP(U215,R_DD!$B$6:$E$2112,3,0)</f>
        <v>#N/A</v>
      </c>
      <c r="W215" s="943" t="e">
        <f>VLOOKUP(U215,R_DD!$B$6:$E$2112,4,0)</f>
        <v>#N/A</v>
      </c>
      <c r="Z215" s="946" t="e">
        <f>VLOOKUP(X215,R_DD!$B$6:$E$2112,3,0)</f>
        <v>#N/A</v>
      </c>
      <c r="AA215" s="946" t="e">
        <f>VLOOKUP(Y215,R_DD!$A$1:$L$2131,4,0)</f>
        <v>#N/A</v>
      </c>
      <c r="AB215" s="947" t="e">
        <f>VLOOKUP(Y215,R_DD!$A$1:$L$2131,5,0)</f>
        <v>#N/A</v>
      </c>
      <c r="AC215" s="947" t="e">
        <f>VLOOKUP(X215,R_DD!$B$6:$E$2112,4,0)</f>
        <v>#N/A</v>
      </c>
    </row>
    <row r="216" spans="22:29" ht="20.100000000000001" customHeight="1">
      <c r="V216" s="944" t="e">
        <f>VLOOKUP(U216,R_DD!$B$6:$E$2112,3,0)</f>
        <v>#N/A</v>
      </c>
      <c r="W216" s="943" t="e">
        <f>VLOOKUP(U216,R_DD!$B$6:$E$2112,4,0)</f>
        <v>#N/A</v>
      </c>
      <c r="Z216" s="946" t="e">
        <f>VLOOKUP(X216,R_DD!$B$6:$E$2112,3,0)</f>
        <v>#N/A</v>
      </c>
      <c r="AA216" s="946" t="e">
        <f>VLOOKUP(Y216,R_DD!$A$1:$L$2131,4,0)</f>
        <v>#N/A</v>
      </c>
      <c r="AB216" s="947" t="e">
        <f>VLOOKUP(Y216,R_DD!$A$1:$L$2131,5,0)</f>
        <v>#N/A</v>
      </c>
      <c r="AC216" s="947" t="e">
        <f>VLOOKUP(X216,R_DD!$B$6:$E$2112,4,0)</f>
        <v>#N/A</v>
      </c>
    </row>
    <row r="217" spans="22:29" ht="20.100000000000001" customHeight="1">
      <c r="V217" s="944" t="e">
        <f>VLOOKUP(U217,R_DD!$B$6:$E$2112,3,0)</f>
        <v>#N/A</v>
      </c>
      <c r="W217" s="943" t="e">
        <f>VLOOKUP(U217,R_DD!$B$6:$E$2112,4,0)</f>
        <v>#N/A</v>
      </c>
      <c r="Z217" s="946" t="e">
        <f>VLOOKUP(X217,R_DD!$B$6:$E$2112,3,0)</f>
        <v>#N/A</v>
      </c>
      <c r="AA217" s="946" t="e">
        <f>VLOOKUP(Y217,R_DD!$A$1:$L$2131,4,0)</f>
        <v>#N/A</v>
      </c>
      <c r="AB217" s="947" t="e">
        <f>VLOOKUP(Y217,R_DD!$A$1:$L$2131,5,0)</f>
        <v>#N/A</v>
      </c>
      <c r="AC217" s="947" t="e">
        <f>VLOOKUP(X217,R_DD!$B$6:$E$2112,4,0)</f>
        <v>#N/A</v>
      </c>
    </row>
    <row r="218" spans="22:29" ht="20.100000000000001" customHeight="1">
      <c r="V218" s="944" t="e">
        <f>VLOOKUP(U218,R_DD!$B$6:$E$2112,3,0)</f>
        <v>#N/A</v>
      </c>
      <c r="W218" s="943" t="e">
        <f>VLOOKUP(U218,R_DD!$B$6:$E$2112,4,0)</f>
        <v>#N/A</v>
      </c>
      <c r="Z218" s="946" t="e">
        <f>VLOOKUP(X218,R_DD!$B$6:$E$2112,3,0)</f>
        <v>#N/A</v>
      </c>
      <c r="AA218" s="946" t="e">
        <f>VLOOKUP(Y218,R_DD!$A$1:$L$2131,4,0)</f>
        <v>#N/A</v>
      </c>
      <c r="AB218" s="947" t="e">
        <f>VLOOKUP(Y218,R_DD!$A$1:$L$2131,5,0)</f>
        <v>#N/A</v>
      </c>
      <c r="AC218" s="947" t="e">
        <f>VLOOKUP(X218,R_DD!$B$6:$E$2112,4,0)</f>
        <v>#N/A</v>
      </c>
    </row>
    <row r="219" spans="22:29" ht="20.100000000000001" customHeight="1">
      <c r="V219" s="944" t="e">
        <f>VLOOKUP(U219,R_DD!$B$6:$E$2112,3,0)</f>
        <v>#N/A</v>
      </c>
      <c r="W219" s="943" t="e">
        <f>VLOOKUP(U219,R_DD!$B$6:$E$2112,4,0)</f>
        <v>#N/A</v>
      </c>
      <c r="Z219" s="946" t="e">
        <f>VLOOKUP(X219,R_DD!$B$6:$E$2112,3,0)</f>
        <v>#N/A</v>
      </c>
      <c r="AA219" s="946" t="e">
        <f>VLOOKUP(Y219,R_DD!$A$1:$L$2131,4,0)</f>
        <v>#N/A</v>
      </c>
      <c r="AB219" s="947" t="e">
        <f>VLOOKUP(Y219,R_DD!$A$1:$L$2131,5,0)</f>
        <v>#N/A</v>
      </c>
      <c r="AC219" s="947" t="e">
        <f>VLOOKUP(X219,R_DD!$B$6:$E$2112,4,0)</f>
        <v>#N/A</v>
      </c>
    </row>
    <row r="220" spans="22:29" ht="20.100000000000001" customHeight="1">
      <c r="V220" s="944" t="e">
        <f>VLOOKUP(U220,R_DD!$B$6:$E$2112,3,0)</f>
        <v>#N/A</v>
      </c>
      <c r="W220" s="943" t="e">
        <f>VLOOKUP(U220,R_DD!$B$6:$E$2112,4,0)</f>
        <v>#N/A</v>
      </c>
      <c r="Z220" s="946" t="e">
        <f>VLOOKUP(X220,R_DD!$B$6:$E$2112,3,0)</f>
        <v>#N/A</v>
      </c>
      <c r="AA220" s="946" t="e">
        <f>VLOOKUP(Y220,R_DD!$A$1:$L$2131,4,0)</f>
        <v>#N/A</v>
      </c>
      <c r="AB220" s="947" t="e">
        <f>VLOOKUP(Y220,R_DD!$A$1:$L$2131,5,0)</f>
        <v>#N/A</v>
      </c>
      <c r="AC220" s="947" t="e">
        <f>VLOOKUP(X220,R_DD!$B$6:$E$2112,4,0)</f>
        <v>#N/A</v>
      </c>
    </row>
    <row r="221" spans="22:29" ht="20.100000000000001" customHeight="1">
      <c r="V221" s="944" t="e">
        <f>VLOOKUP(U221,R_DD!$B$6:$E$2112,3,0)</f>
        <v>#N/A</v>
      </c>
      <c r="W221" s="943" t="e">
        <f>VLOOKUP(U221,R_DD!$B$6:$E$2112,4,0)</f>
        <v>#N/A</v>
      </c>
      <c r="Z221" s="946" t="e">
        <f>VLOOKUP(X221,R_DD!$B$6:$E$2112,3,0)</f>
        <v>#N/A</v>
      </c>
      <c r="AA221" s="946" t="e">
        <f>VLOOKUP(Y221,R_DD!$A$1:$L$2131,4,0)</f>
        <v>#N/A</v>
      </c>
      <c r="AB221" s="947" t="e">
        <f>VLOOKUP(Y221,R_DD!$A$1:$L$2131,5,0)</f>
        <v>#N/A</v>
      </c>
      <c r="AC221" s="947" t="e">
        <f>VLOOKUP(X221,R_DD!$B$6:$E$2112,4,0)</f>
        <v>#N/A</v>
      </c>
    </row>
    <row r="222" spans="22:29" ht="20.100000000000001" customHeight="1">
      <c r="V222" s="944" t="e">
        <f>VLOOKUP(U222,R_DD!$B$6:$E$2112,3,0)</f>
        <v>#N/A</v>
      </c>
      <c r="W222" s="943" t="e">
        <f>VLOOKUP(U222,R_DD!$B$6:$E$2112,4,0)</f>
        <v>#N/A</v>
      </c>
      <c r="Z222" s="946" t="e">
        <f>VLOOKUP(X222,R_DD!$B$6:$E$2112,3,0)</f>
        <v>#N/A</v>
      </c>
      <c r="AA222" s="946" t="e">
        <f>VLOOKUP(Y222,R_DD!$A$1:$L$2131,4,0)</f>
        <v>#N/A</v>
      </c>
      <c r="AB222" s="947" t="e">
        <f>VLOOKUP(Y222,R_DD!$A$1:$L$2131,5,0)</f>
        <v>#N/A</v>
      </c>
      <c r="AC222" s="947" t="e">
        <f>VLOOKUP(X222,R_DD!$B$6:$E$2112,4,0)</f>
        <v>#N/A</v>
      </c>
    </row>
    <row r="223" spans="22:29" ht="20.100000000000001" customHeight="1">
      <c r="V223" s="944" t="e">
        <f>VLOOKUP(U223,R_DD!$B$6:$E$2112,3,0)</f>
        <v>#N/A</v>
      </c>
      <c r="W223" s="943" t="e">
        <f>VLOOKUP(U223,R_DD!$B$6:$E$2112,4,0)</f>
        <v>#N/A</v>
      </c>
      <c r="Z223" s="946" t="e">
        <f>VLOOKUP(X223,R_DD!$B$6:$E$2112,3,0)</f>
        <v>#N/A</v>
      </c>
      <c r="AA223" s="946" t="e">
        <f>VLOOKUP(Y223,R_DD!$A$1:$L$2131,4,0)</f>
        <v>#N/A</v>
      </c>
      <c r="AB223" s="947" t="e">
        <f>VLOOKUP(Y223,R_DD!$A$1:$L$2131,5,0)</f>
        <v>#N/A</v>
      </c>
      <c r="AC223" s="947" t="e">
        <f>VLOOKUP(X223,R_DD!$B$6:$E$2112,4,0)</f>
        <v>#N/A</v>
      </c>
    </row>
    <row r="224" spans="22:29" ht="20.100000000000001" customHeight="1">
      <c r="V224" s="944" t="e">
        <f>VLOOKUP(U224,R_DD!$B$6:$E$2112,3,0)</f>
        <v>#N/A</v>
      </c>
      <c r="W224" s="943" t="e">
        <f>VLOOKUP(U224,R_DD!$B$6:$E$2112,4,0)</f>
        <v>#N/A</v>
      </c>
      <c r="Z224" s="946" t="e">
        <f>VLOOKUP(X224,R_DD!$B$6:$E$2112,3,0)</f>
        <v>#N/A</v>
      </c>
      <c r="AA224" s="946" t="e">
        <f>VLOOKUP(Y224,R_DD!$A$1:$L$2131,4,0)</f>
        <v>#N/A</v>
      </c>
      <c r="AB224" s="947" t="e">
        <f>VLOOKUP(Y224,R_DD!$A$1:$L$2131,5,0)</f>
        <v>#N/A</v>
      </c>
      <c r="AC224" s="947" t="e">
        <f>VLOOKUP(X224,R_DD!$B$6:$E$2112,4,0)</f>
        <v>#N/A</v>
      </c>
    </row>
    <row r="225" spans="22:29" ht="20.100000000000001" customHeight="1">
      <c r="V225" s="944" t="e">
        <f>VLOOKUP(U225,R_DD!$B$6:$E$2112,3,0)</f>
        <v>#N/A</v>
      </c>
      <c r="W225" s="943" t="e">
        <f>VLOOKUP(U225,R_DD!$B$6:$E$2112,4,0)</f>
        <v>#N/A</v>
      </c>
      <c r="Z225" s="946" t="e">
        <f>VLOOKUP(X225,R_DD!$B$6:$E$2112,3,0)</f>
        <v>#N/A</v>
      </c>
      <c r="AA225" s="946" t="e">
        <f>VLOOKUP(Y225,R_DD!$A$1:$L$2131,4,0)</f>
        <v>#N/A</v>
      </c>
      <c r="AB225" s="947" t="e">
        <f>VLOOKUP(Y225,R_DD!$A$1:$L$2131,5,0)</f>
        <v>#N/A</v>
      </c>
      <c r="AC225" s="947" t="e">
        <f>VLOOKUP(X225,R_DD!$B$6:$E$2112,4,0)</f>
        <v>#N/A</v>
      </c>
    </row>
    <row r="226" spans="22:29" ht="20.100000000000001" customHeight="1">
      <c r="V226" s="944" t="e">
        <f>VLOOKUP(U226,R_DD!$B$6:$E$2112,3,0)</f>
        <v>#N/A</v>
      </c>
      <c r="W226" s="943" t="e">
        <f>VLOOKUP(U226,R_DD!$B$6:$E$2112,4,0)</f>
        <v>#N/A</v>
      </c>
      <c r="Z226" s="946" t="e">
        <f>VLOOKUP(X226,R_DD!$B$6:$E$2112,3,0)</f>
        <v>#N/A</v>
      </c>
      <c r="AA226" s="946" t="e">
        <f>VLOOKUP(Y226,R_DD!$A$1:$L$2131,4,0)</f>
        <v>#N/A</v>
      </c>
      <c r="AB226" s="947" t="e">
        <f>VLOOKUP(Y226,R_DD!$A$1:$L$2131,5,0)</f>
        <v>#N/A</v>
      </c>
      <c r="AC226" s="947" t="e">
        <f>VLOOKUP(X226,R_DD!$B$6:$E$2112,4,0)</f>
        <v>#N/A</v>
      </c>
    </row>
    <row r="227" spans="22:29" ht="20.100000000000001" customHeight="1">
      <c r="V227" s="944" t="e">
        <f>VLOOKUP(U227,R_DD!$B$6:$E$2112,3,0)</f>
        <v>#N/A</v>
      </c>
      <c r="W227" s="943" t="e">
        <f>VLOOKUP(U227,R_DD!$B$6:$E$2112,4,0)</f>
        <v>#N/A</v>
      </c>
      <c r="Z227" s="946" t="e">
        <f>VLOOKUP(X227,R_DD!$B$6:$E$2112,3,0)</f>
        <v>#N/A</v>
      </c>
      <c r="AA227" s="946" t="e">
        <f>VLOOKUP(Y227,R_DD!$A$1:$L$2131,4,0)</f>
        <v>#N/A</v>
      </c>
      <c r="AB227" s="947" t="e">
        <f>VLOOKUP(Y227,R_DD!$A$1:$L$2131,5,0)</f>
        <v>#N/A</v>
      </c>
      <c r="AC227" s="947" t="e">
        <f>VLOOKUP(X227,R_DD!$B$6:$E$2112,4,0)</f>
        <v>#N/A</v>
      </c>
    </row>
    <row r="228" spans="22:29" ht="20.100000000000001" customHeight="1">
      <c r="V228" s="944" t="e">
        <f>VLOOKUP(U228,R_DD!$B$6:$E$2112,3,0)</f>
        <v>#N/A</v>
      </c>
      <c r="W228" s="943" t="e">
        <f>VLOOKUP(U228,R_DD!$B$6:$E$2112,4,0)</f>
        <v>#N/A</v>
      </c>
      <c r="Z228" s="946" t="e">
        <f>VLOOKUP(X228,R_DD!$B$6:$E$2112,3,0)</f>
        <v>#N/A</v>
      </c>
      <c r="AA228" s="946" t="e">
        <f>VLOOKUP(Y228,R_DD!$A$1:$L$2131,4,0)</f>
        <v>#N/A</v>
      </c>
      <c r="AB228" s="947" t="e">
        <f>VLOOKUP(Y228,R_DD!$A$1:$L$2131,5,0)</f>
        <v>#N/A</v>
      </c>
      <c r="AC228" s="947" t="e">
        <f>VLOOKUP(X228,R_DD!$B$6:$E$2112,4,0)</f>
        <v>#N/A</v>
      </c>
    </row>
    <row r="229" spans="22:29" ht="20.100000000000001" customHeight="1">
      <c r="V229" s="944" t="e">
        <f>VLOOKUP(U229,R_DD!$B$6:$E$2112,3,0)</f>
        <v>#N/A</v>
      </c>
      <c r="W229" s="943" t="e">
        <f>VLOOKUP(U229,R_DD!$B$6:$E$2112,4,0)</f>
        <v>#N/A</v>
      </c>
      <c r="Z229" s="946" t="e">
        <f>VLOOKUP(X229,R_DD!$B$6:$E$2112,3,0)</f>
        <v>#N/A</v>
      </c>
      <c r="AA229" s="946" t="e">
        <f>VLOOKUP(Y229,R_DD!$A$1:$L$2131,4,0)</f>
        <v>#N/A</v>
      </c>
      <c r="AB229" s="947" t="e">
        <f>VLOOKUP(Y229,R_DD!$A$1:$L$2131,5,0)</f>
        <v>#N/A</v>
      </c>
      <c r="AC229" s="947" t="e">
        <f>VLOOKUP(X229,R_DD!$B$6:$E$2112,4,0)</f>
        <v>#N/A</v>
      </c>
    </row>
    <row r="230" spans="22:29" ht="20.100000000000001" customHeight="1">
      <c r="V230" s="944" t="e">
        <f>VLOOKUP(U230,R_DD!$B$6:$E$2112,3,0)</f>
        <v>#N/A</v>
      </c>
      <c r="W230" s="943" t="e">
        <f>VLOOKUP(U230,R_DD!$B$6:$E$2112,4,0)</f>
        <v>#N/A</v>
      </c>
      <c r="Z230" s="946" t="e">
        <f>VLOOKUP(X230,R_DD!$B$6:$E$2112,3,0)</f>
        <v>#N/A</v>
      </c>
      <c r="AA230" s="946" t="e">
        <f>VLOOKUP(Y230,R_DD!$A$1:$L$2131,4,0)</f>
        <v>#N/A</v>
      </c>
      <c r="AB230" s="947" t="e">
        <f>VLOOKUP(Y230,R_DD!$A$1:$L$2131,5,0)</f>
        <v>#N/A</v>
      </c>
      <c r="AC230" s="947" t="e">
        <f>VLOOKUP(X230,R_DD!$B$6:$E$2112,4,0)</f>
        <v>#N/A</v>
      </c>
    </row>
    <row r="231" spans="22:29" ht="20.100000000000001" customHeight="1">
      <c r="V231" s="944" t="e">
        <f>VLOOKUP(U231,R_DD!$B$6:$E$2112,3,0)</f>
        <v>#N/A</v>
      </c>
      <c r="W231" s="943" t="e">
        <f>VLOOKUP(U231,R_DD!$B$6:$E$2112,4,0)</f>
        <v>#N/A</v>
      </c>
      <c r="Z231" s="946" t="e">
        <f>VLOOKUP(X231,R_DD!$B$6:$E$2112,3,0)</f>
        <v>#N/A</v>
      </c>
      <c r="AA231" s="946" t="e">
        <f>VLOOKUP(Y231,R_DD!$A$1:$L$2131,4,0)</f>
        <v>#N/A</v>
      </c>
      <c r="AB231" s="947" t="e">
        <f>VLOOKUP(Y231,R_DD!$A$1:$L$2131,5,0)</f>
        <v>#N/A</v>
      </c>
      <c r="AC231" s="947" t="e">
        <f>VLOOKUP(X231,R_DD!$B$6:$E$2112,4,0)</f>
        <v>#N/A</v>
      </c>
    </row>
    <row r="232" spans="22:29" ht="20.100000000000001" customHeight="1">
      <c r="V232" s="944" t="e">
        <f>VLOOKUP(U232,R_DD!$B$6:$E$2112,3,0)</f>
        <v>#N/A</v>
      </c>
      <c r="W232" s="943" t="e">
        <f>VLOOKUP(U232,R_DD!$B$6:$E$2112,4,0)</f>
        <v>#N/A</v>
      </c>
      <c r="Z232" s="946" t="e">
        <f>VLOOKUP(X232,R_DD!$B$6:$E$2112,3,0)</f>
        <v>#N/A</v>
      </c>
      <c r="AA232" s="946" t="e">
        <f>VLOOKUP(Y232,R_DD!$A$1:$L$2131,4,0)</f>
        <v>#N/A</v>
      </c>
      <c r="AB232" s="947" t="e">
        <f>VLOOKUP(Y232,R_DD!$A$1:$L$2131,5,0)</f>
        <v>#N/A</v>
      </c>
      <c r="AC232" s="947" t="e">
        <f>VLOOKUP(X232,R_DD!$B$6:$E$2112,4,0)</f>
        <v>#N/A</v>
      </c>
    </row>
    <row r="233" spans="22:29" ht="20.100000000000001" customHeight="1">
      <c r="V233" s="944" t="e">
        <f>VLOOKUP(U233,R_DD!$B$6:$E$2112,3,0)</f>
        <v>#N/A</v>
      </c>
      <c r="W233" s="943" t="e">
        <f>VLOOKUP(U233,R_DD!$B$6:$E$2112,4,0)</f>
        <v>#N/A</v>
      </c>
      <c r="Z233" s="946" t="e">
        <f>VLOOKUP(X233,R_DD!$B$6:$E$2112,3,0)</f>
        <v>#N/A</v>
      </c>
      <c r="AA233" s="946" t="e">
        <f>VLOOKUP(Y233,R_DD!$A$1:$L$2131,4,0)</f>
        <v>#N/A</v>
      </c>
      <c r="AB233" s="947" t="e">
        <f>VLOOKUP(Y233,R_DD!$A$1:$L$2131,5,0)</f>
        <v>#N/A</v>
      </c>
      <c r="AC233" s="947" t="e">
        <f>VLOOKUP(X233,R_DD!$B$6:$E$2112,4,0)</f>
        <v>#N/A</v>
      </c>
    </row>
    <row r="234" spans="22:29" ht="20.100000000000001" customHeight="1">
      <c r="V234" s="944" t="e">
        <f>VLOOKUP(U234,R_DD!$B$6:$E$2112,3,0)</f>
        <v>#N/A</v>
      </c>
      <c r="W234" s="943" t="e">
        <f>VLOOKUP(U234,R_DD!$B$6:$E$2112,4,0)</f>
        <v>#N/A</v>
      </c>
      <c r="Z234" s="946" t="e">
        <f>VLOOKUP(X234,R_DD!$B$6:$E$2112,3,0)</f>
        <v>#N/A</v>
      </c>
      <c r="AA234" s="946" t="e">
        <f>VLOOKUP(Y234,R_DD!$A$1:$L$2131,4,0)</f>
        <v>#N/A</v>
      </c>
      <c r="AB234" s="947" t="e">
        <f>VLOOKUP(Y234,R_DD!$A$1:$L$2131,5,0)</f>
        <v>#N/A</v>
      </c>
      <c r="AC234" s="947" t="e">
        <f>VLOOKUP(X234,R_DD!$B$6:$E$2112,4,0)</f>
        <v>#N/A</v>
      </c>
    </row>
    <row r="235" spans="22:29" ht="20.100000000000001" customHeight="1">
      <c r="V235" s="944" t="e">
        <f>VLOOKUP(U235,R_DD!$B$6:$E$2112,3,0)</f>
        <v>#N/A</v>
      </c>
      <c r="W235" s="943" t="e">
        <f>VLOOKUP(U235,R_DD!$B$6:$E$2112,4,0)</f>
        <v>#N/A</v>
      </c>
      <c r="Z235" s="946" t="e">
        <f>VLOOKUP(X235,R_DD!$B$6:$E$2112,3,0)</f>
        <v>#N/A</v>
      </c>
      <c r="AA235" s="946" t="e">
        <f>VLOOKUP(Y235,R_DD!$A$1:$L$2131,4,0)</f>
        <v>#N/A</v>
      </c>
      <c r="AB235" s="947" t="e">
        <f>VLOOKUP(Y235,R_DD!$A$1:$L$2131,5,0)</f>
        <v>#N/A</v>
      </c>
      <c r="AC235" s="947" t="e">
        <f>VLOOKUP(X235,R_DD!$B$6:$E$2112,4,0)</f>
        <v>#N/A</v>
      </c>
    </row>
    <row r="236" spans="22:29" ht="20.100000000000001" customHeight="1">
      <c r="V236" s="944" t="e">
        <f>VLOOKUP(U236,R_DD!$B$6:$E$2112,3,0)</f>
        <v>#N/A</v>
      </c>
      <c r="W236" s="943" t="e">
        <f>VLOOKUP(U236,R_DD!$B$6:$E$2112,4,0)</f>
        <v>#N/A</v>
      </c>
      <c r="Z236" s="946" t="e">
        <f>VLOOKUP(X236,R_DD!$B$6:$E$2112,3,0)</f>
        <v>#N/A</v>
      </c>
      <c r="AA236" s="946" t="e">
        <f>VLOOKUP(Y236,R_DD!$A$1:$L$2131,4,0)</f>
        <v>#N/A</v>
      </c>
      <c r="AB236" s="947" t="e">
        <f>VLOOKUP(Y236,R_DD!$A$1:$L$2131,5,0)</f>
        <v>#N/A</v>
      </c>
      <c r="AC236" s="947" t="e">
        <f>VLOOKUP(X236,R_DD!$B$6:$E$2112,4,0)</f>
        <v>#N/A</v>
      </c>
    </row>
    <row r="237" spans="22:29" ht="20.100000000000001" customHeight="1">
      <c r="V237" s="944" t="e">
        <f>VLOOKUP(U237,R_DD!$B$6:$E$2112,3,0)</f>
        <v>#N/A</v>
      </c>
      <c r="W237" s="943" t="e">
        <f>VLOOKUP(U237,R_DD!$B$6:$E$2112,4,0)</f>
        <v>#N/A</v>
      </c>
      <c r="Z237" s="946" t="e">
        <f>VLOOKUP(X237,R_DD!$B$6:$E$2112,3,0)</f>
        <v>#N/A</v>
      </c>
      <c r="AA237" s="946" t="e">
        <f>VLOOKUP(Y237,R_DD!$A$1:$L$2131,4,0)</f>
        <v>#N/A</v>
      </c>
      <c r="AB237" s="947" t="e">
        <f>VLOOKUP(Y237,R_DD!$A$1:$L$2131,5,0)</f>
        <v>#N/A</v>
      </c>
      <c r="AC237" s="947" t="e">
        <f>VLOOKUP(X237,R_DD!$B$6:$E$2112,4,0)</f>
        <v>#N/A</v>
      </c>
    </row>
    <row r="238" spans="22:29" ht="20.100000000000001" customHeight="1">
      <c r="V238" s="944" t="e">
        <f>VLOOKUP(U238,R_DD!$B$6:$E$2112,3,0)</f>
        <v>#N/A</v>
      </c>
      <c r="W238" s="943" t="e">
        <f>VLOOKUP(U238,R_DD!$B$6:$E$2112,4,0)</f>
        <v>#N/A</v>
      </c>
      <c r="Z238" s="946" t="e">
        <f>VLOOKUP(X238,R_DD!$B$6:$E$2112,3,0)</f>
        <v>#N/A</v>
      </c>
      <c r="AA238" s="946" t="e">
        <f>VLOOKUP(Y238,R_DD!$A$1:$L$2131,4,0)</f>
        <v>#N/A</v>
      </c>
      <c r="AB238" s="947" t="e">
        <f>VLOOKUP(Y238,R_DD!$A$1:$L$2131,5,0)</f>
        <v>#N/A</v>
      </c>
      <c r="AC238" s="947" t="e">
        <f>VLOOKUP(X238,R_DD!$B$6:$E$2112,4,0)</f>
        <v>#N/A</v>
      </c>
    </row>
    <row r="239" spans="22:29" ht="20.100000000000001" customHeight="1">
      <c r="V239" s="944" t="e">
        <f>VLOOKUP(U239,R_DD!$B$6:$E$2112,3,0)</f>
        <v>#N/A</v>
      </c>
      <c r="W239" s="943" t="e">
        <f>VLOOKUP(U239,R_DD!$B$6:$E$2112,4,0)</f>
        <v>#N/A</v>
      </c>
      <c r="Z239" s="946" t="e">
        <f>VLOOKUP(X239,R_DD!$B$6:$E$2112,3,0)</f>
        <v>#N/A</v>
      </c>
      <c r="AA239" s="946" t="e">
        <f>VLOOKUP(Y239,R_DD!$A$1:$L$2131,4,0)</f>
        <v>#N/A</v>
      </c>
      <c r="AB239" s="947" t="e">
        <f>VLOOKUP(Y239,R_DD!$A$1:$L$2131,5,0)</f>
        <v>#N/A</v>
      </c>
      <c r="AC239" s="947" t="e">
        <f>VLOOKUP(X239,R_DD!$B$6:$E$2112,4,0)</f>
        <v>#N/A</v>
      </c>
    </row>
    <row r="240" spans="22:29" ht="20.100000000000001" customHeight="1">
      <c r="V240" s="944" t="e">
        <f>VLOOKUP(U240,R_DD!$B$6:$E$2112,3,0)</f>
        <v>#N/A</v>
      </c>
      <c r="W240" s="943" t="e">
        <f>VLOOKUP(U240,R_DD!$B$6:$E$2112,4,0)</f>
        <v>#N/A</v>
      </c>
      <c r="Z240" s="946" t="e">
        <f>VLOOKUP(X240,R_DD!$B$6:$E$2112,3,0)</f>
        <v>#N/A</v>
      </c>
      <c r="AA240" s="946" t="e">
        <f>VLOOKUP(Y240,R_DD!$A$1:$L$2131,4,0)</f>
        <v>#N/A</v>
      </c>
      <c r="AB240" s="947" t="e">
        <f>VLOOKUP(Y240,R_DD!$A$1:$L$2131,5,0)</f>
        <v>#N/A</v>
      </c>
      <c r="AC240" s="947" t="e">
        <f>VLOOKUP(X240,R_DD!$B$6:$E$2112,4,0)</f>
        <v>#N/A</v>
      </c>
    </row>
    <row r="241" spans="22:29" ht="20.100000000000001" customHeight="1">
      <c r="V241" s="944" t="e">
        <f>VLOOKUP(U241,R_DD!$B$6:$E$2112,3,0)</f>
        <v>#N/A</v>
      </c>
      <c r="W241" s="943" t="e">
        <f>VLOOKUP(U241,R_DD!$B$6:$E$2112,4,0)</f>
        <v>#N/A</v>
      </c>
      <c r="Z241" s="946" t="e">
        <f>VLOOKUP(X241,R_DD!$B$6:$E$2112,3,0)</f>
        <v>#N/A</v>
      </c>
      <c r="AA241" s="946" t="e">
        <f>VLOOKUP(Y241,R_DD!$A$1:$L$2131,4,0)</f>
        <v>#N/A</v>
      </c>
      <c r="AB241" s="947" t="e">
        <f>VLOOKUP(Y241,R_DD!$A$1:$L$2131,5,0)</f>
        <v>#N/A</v>
      </c>
      <c r="AC241" s="947" t="e">
        <f>VLOOKUP(X241,R_DD!$B$6:$E$2112,4,0)</f>
        <v>#N/A</v>
      </c>
    </row>
    <row r="242" spans="22:29" ht="20.100000000000001" customHeight="1">
      <c r="V242" s="944" t="e">
        <f>VLOOKUP(U242,R_DD!$B$6:$E$2112,3,0)</f>
        <v>#N/A</v>
      </c>
      <c r="W242" s="943" t="e">
        <f>VLOOKUP(U242,R_DD!$B$6:$E$2112,4,0)</f>
        <v>#N/A</v>
      </c>
      <c r="Z242" s="946" t="e">
        <f>VLOOKUP(X242,R_DD!$B$6:$E$2112,3,0)</f>
        <v>#N/A</v>
      </c>
      <c r="AA242" s="946" t="e">
        <f>VLOOKUP(Y242,R_DD!$A$1:$L$2131,4,0)</f>
        <v>#N/A</v>
      </c>
      <c r="AB242" s="947" t="e">
        <f>VLOOKUP(Y242,R_DD!$A$1:$L$2131,5,0)</f>
        <v>#N/A</v>
      </c>
      <c r="AC242" s="947" t="e">
        <f>VLOOKUP(X242,R_DD!$B$6:$E$2112,4,0)</f>
        <v>#N/A</v>
      </c>
    </row>
    <row r="243" spans="22:29" ht="20.100000000000001" customHeight="1">
      <c r="V243" s="944" t="e">
        <f>VLOOKUP(U243,R_DD!$B$6:$E$2112,3,0)</f>
        <v>#N/A</v>
      </c>
      <c r="W243" s="943" t="e">
        <f>VLOOKUP(U243,R_DD!$B$6:$E$2112,4,0)</f>
        <v>#N/A</v>
      </c>
      <c r="Z243" s="946" t="e">
        <f>VLOOKUP(X243,R_DD!$B$6:$E$2112,3,0)</f>
        <v>#N/A</v>
      </c>
      <c r="AA243" s="946" t="e">
        <f>VLOOKUP(Y243,R_DD!$A$1:$L$2131,4,0)</f>
        <v>#N/A</v>
      </c>
      <c r="AB243" s="947" t="e">
        <f>VLOOKUP(Y243,R_DD!$A$1:$L$2131,5,0)</f>
        <v>#N/A</v>
      </c>
      <c r="AC243" s="947" t="e">
        <f>VLOOKUP(X243,R_DD!$B$6:$E$2112,4,0)</f>
        <v>#N/A</v>
      </c>
    </row>
    <row r="244" spans="22:29" ht="20.100000000000001" customHeight="1">
      <c r="V244" s="944" t="e">
        <f>VLOOKUP(U244,R_DD!$B$6:$E$2112,3,0)</f>
        <v>#N/A</v>
      </c>
      <c r="W244" s="943" t="e">
        <f>VLOOKUP(U244,R_DD!$B$6:$E$2112,4,0)</f>
        <v>#N/A</v>
      </c>
      <c r="Z244" s="946" t="e">
        <f>VLOOKUP(X244,R_DD!$B$6:$E$2112,3,0)</f>
        <v>#N/A</v>
      </c>
      <c r="AA244" s="946" t="e">
        <f>VLOOKUP(Y244,R_DD!$A$1:$L$2131,4,0)</f>
        <v>#N/A</v>
      </c>
      <c r="AB244" s="947" t="e">
        <f>VLOOKUP(Y244,R_DD!$A$1:$L$2131,5,0)</f>
        <v>#N/A</v>
      </c>
      <c r="AC244" s="947" t="e">
        <f>VLOOKUP(X244,R_DD!$B$6:$E$2112,4,0)</f>
        <v>#N/A</v>
      </c>
    </row>
    <row r="245" spans="22:29" ht="20.100000000000001" customHeight="1">
      <c r="V245" s="944" t="e">
        <f>VLOOKUP(U245,R_DD!$B$6:$E$2112,3,0)</f>
        <v>#N/A</v>
      </c>
      <c r="W245" s="943" t="e">
        <f>VLOOKUP(U245,R_DD!$B$6:$E$2112,4,0)</f>
        <v>#N/A</v>
      </c>
      <c r="Z245" s="946" t="e">
        <f>VLOOKUP(X245,R_DD!$B$6:$E$2112,3,0)</f>
        <v>#N/A</v>
      </c>
      <c r="AA245" s="946" t="e">
        <f>VLOOKUP(Y245,R_DD!$A$1:$L$2131,4,0)</f>
        <v>#N/A</v>
      </c>
      <c r="AB245" s="947" t="e">
        <f>VLOOKUP(Y245,R_DD!$A$1:$L$2131,5,0)</f>
        <v>#N/A</v>
      </c>
      <c r="AC245" s="947" t="e">
        <f>VLOOKUP(X245,R_DD!$B$6:$E$2112,4,0)</f>
        <v>#N/A</v>
      </c>
    </row>
    <row r="246" spans="22:29" ht="20.100000000000001" customHeight="1">
      <c r="V246" s="944" t="e">
        <f>VLOOKUP(U246,R_DD!$B$6:$E$2112,3,0)</f>
        <v>#N/A</v>
      </c>
      <c r="W246" s="943" t="e">
        <f>VLOOKUP(U246,R_DD!$B$6:$E$2112,4,0)</f>
        <v>#N/A</v>
      </c>
      <c r="Z246" s="946" t="e">
        <f>VLOOKUP(X246,R_DD!$B$6:$E$2112,3,0)</f>
        <v>#N/A</v>
      </c>
      <c r="AA246" s="946" t="e">
        <f>VLOOKUP(Y246,R_DD!$A$1:$L$2131,4,0)</f>
        <v>#N/A</v>
      </c>
      <c r="AB246" s="947" t="e">
        <f>VLOOKUP(Y246,R_DD!$A$1:$L$2131,5,0)</f>
        <v>#N/A</v>
      </c>
      <c r="AC246" s="947" t="e">
        <f>VLOOKUP(X246,R_DD!$B$6:$E$2112,4,0)</f>
        <v>#N/A</v>
      </c>
    </row>
    <row r="247" spans="22:29" ht="20.100000000000001" customHeight="1">
      <c r="V247" s="944" t="e">
        <f>VLOOKUP(U247,R_DD!$B$6:$E$2112,3,0)</f>
        <v>#N/A</v>
      </c>
      <c r="W247" s="943" t="e">
        <f>VLOOKUP(U247,R_DD!$B$6:$E$2112,4,0)</f>
        <v>#N/A</v>
      </c>
      <c r="Z247" s="946" t="e">
        <f>VLOOKUP(X247,R_DD!$B$6:$E$2112,3,0)</f>
        <v>#N/A</v>
      </c>
      <c r="AA247" s="946" t="e">
        <f>VLOOKUP(Y247,R_DD!$A$1:$L$2131,4,0)</f>
        <v>#N/A</v>
      </c>
      <c r="AB247" s="947" t="e">
        <f>VLOOKUP(Y247,R_DD!$A$1:$L$2131,5,0)</f>
        <v>#N/A</v>
      </c>
      <c r="AC247" s="947" t="e">
        <f>VLOOKUP(X247,R_DD!$B$6:$E$2112,4,0)</f>
        <v>#N/A</v>
      </c>
    </row>
    <row r="248" spans="22:29" ht="20.100000000000001" customHeight="1">
      <c r="V248" s="944" t="e">
        <f>VLOOKUP(U248,R_DD!$B$6:$E$2112,3,0)</f>
        <v>#N/A</v>
      </c>
      <c r="W248" s="943" t="e">
        <f>VLOOKUP(U248,R_DD!$B$6:$E$2112,4,0)</f>
        <v>#N/A</v>
      </c>
      <c r="Z248" s="946" t="e">
        <f>VLOOKUP(X248,R_DD!$B$6:$E$2112,3,0)</f>
        <v>#N/A</v>
      </c>
      <c r="AA248" s="946" t="e">
        <f>VLOOKUP(Y248,R_DD!$A$1:$L$2131,4,0)</f>
        <v>#N/A</v>
      </c>
      <c r="AB248" s="947" t="e">
        <f>VLOOKUP(Y248,R_DD!$A$1:$L$2131,5,0)</f>
        <v>#N/A</v>
      </c>
      <c r="AC248" s="947" t="e">
        <f>VLOOKUP(X248,R_DD!$B$6:$E$2112,4,0)</f>
        <v>#N/A</v>
      </c>
    </row>
    <row r="249" spans="22:29" ht="20.100000000000001" customHeight="1">
      <c r="V249" s="944" t="e">
        <f>VLOOKUP(U249,R_DD!$B$6:$E$2112,3,0)</f>
        <v>#N/A</v>
      </c>
      <c r="W249" s="943" t="e">
        <f>VLOOKUP(U249,R_DD!$B$6:$E$2112,4,0)</f>
        <v>#N/A</v>
      </c>
      <c r="Z249" s="946" t="e">
        <f>VLOOKUP(X249,R_DD!$B$6:$E$2112,3,0)</f>
        <v>#N/A</v>
      </c>
      <c r="AA249" s="946" t="e">
        <f>VLOOKUP(Y249,R_DD!$A$1:$L$2131,4,0)</f>
        <v>#N/A</v>
      </c>
      <c r="AB249" s="947" t="e">
        <f>VLOOKUP(Y249,R_DD!$A$1:$L$2131,5,0)</f>
        <v>#N/A</v>
      </c>
      <c r="AC249" s="947" t="e">
        <f>VLOOKUP(X249,R_DD!$B$6:$E$2112,4,0)</f>
        <v>#N/A</v>
      </c>
    </row>
    <row r="250" spans="22:29" ht="20.100000000000001" customHeight="1">
      <c r="V250" s="944" t="e">
        <f>VLOOKUP(U250,R_DD!$B$6:$E$2112,3,0)</f>
        <v>#N/A</v>
      </c>
      <c r="W250" s="943" t="e">
        <f>VLOOKUP(U250,R_DD!$B$6:$E$2112,4,0)</f>
        <v>#N/A</v>
      </c>
      <c r="Z250" s="946" t="e">
        <f>VLOOKUP(X250,R_DD!$B$6:$E$2112,3,0)</f>
        <v>#N/A</v>
      </c>
      <c r="AA250" s="946" t="e">
        <f>VLOOKUP(Y250,R_DD!$A$1:$L$2131,4,0)</f>
        <v>#N/A</v>
      </c>
      <c r="AB250" s="947" t="e">
        <f>VLOOKUP(Y250,R_DD!$A$1:$L$2131,5,0)</f>
        <v>#N/A</v>
      </c>
      <c r="AC250" s="947" t="e">
        <f>VLOOKUP(X250,R_DD!$B$6:$E$2112,4,0)</f>
        <v>#N/A</v>
      </c>
    </row>
    <row r="251" spans="22:29" ht="20.100000000000001" customHeight="1">
      <c r="V251" s="944" t="e">
        <f>VLOOKUP(U251,R_DD!$B$6:$E$2112,3,0)</f>
        <v>#N/A</v>
      </c>
      <c r="W251" s="943" t="e">
        <f>VLOOKUP(U251,R_DD!$B$6:$E$2112,4,0)</f>
        <v>#N/A</v>
      </c>
      <c r="Z251" s="946" t="e">
        <f>VLOOKUP(X251,R_DD!$B$6:$E$2112,3,0)</f>
        <v>#N/A</v>
      </c>
      <c r="AA251" s="946" t="e">
        <f>VLOOKUP(Y251,R_DD!$A$1:$L$2131,4,0)</f>
        <v>#N/A</v>
      </c>
      <c r="AB251" s="947" t="e">
        <f>VLOOKUP(Y251,R_DD!$A$1:$L$2131,5,0)</f>
        <v>#N/A</v>
      </c>
      <c r="AC251" s="947" t="e">
        <f>VLOOKUP(X251,R_DD!$B$6:$E$2112,4,0)</f>
        <v>#N/A</v>
      </c>
    </row>
    <row r="252" spans="22:29" ht="20.100000000000001" customHeight="1">
      <c r="V252" s="944" t="e">
        <f>VLOOKUP(U252,R_DD!$B$6:$E$2112,3,0)</f>
        <v>#N/A</v>
      </c>
      <c r="W252" s="943" t="e">
        <f>VLOOKUP(U252,R_DD!$B$6:$E$2112,4,0)</f>
        <v>#N/A</v>
      </c>
      <c r="Z252" s="946" t="e">
        <f>VLOOKUP(X252,R_DD!$B$6:$E$2112,3,0)</f>
        <v>#N/A</v>
      </c>
      <c r="AA252" s="946" t="e">
        <f>VLOOKUP(Y252,R_DD!$A$1:$L$2131,4,0)</f>
        <v>#N/A</v>
      </c>
      <c r="AB252" s="947" t="e">
        <f>VLOOKUP(Y252,R_DD!$A$1:$L$2131,5,0)</f>
        <v>#N/A</v>
      </c>
      <c r="AC252" s="947" t="e">
        <f>VLOOKUP(X252,R_DD!$B$6:$E$2112,4,0)</f>
        <v>#N/A</v>
      </c>
    </row>
    <row r="253" spans="22:29" ht="20.100000000000001" customHeight="1">
      <c r="V253" s="944" t="e">
        <f>VLOOKUP(U253,R_DD!$B$6:$E$2112,3,0)</f>
        <v>#N/A</v>
      </c>
      <c r="W253" s="943" t="e">
        <f>VLOOKUP(U253,R_DD!$B$6:$E$2112,4,0)</f>
        <v>#N/A</v>
      </c>
      <c r="Z253" s="946" t="e">
        <f>VLOOKUP(X253,R_DD!$B$6:$E$2112,3,0)</f>
        <v>#N/A</v>
      </c>
      <c r="AA253" s="946" t="e">
        <f>VLOOKUP(Y253,R_DD!$A$1:$L$2131,4,0)</f>
        <v>#N/A</v>
      </c>
      <c r="AB253" s="947" t="e">
        <f>VLOOKUP(Y253,R_DD!$A$1:$L$2131,5,0)</f>
        <v>#N/A</v>
      </c>
      <c r="AC253" s="947" t="e">
        <f>VLOOKUP(X253,R_DD!$B$6:$E$2112,4,0)</f>
        <v>#N/A</v>
      </c>
    </row>
    <row r="254" spans="22:29" ht="20.100000000000001" customHeight="1">
      <c r="V254" s="944" t="e">
        <f>VLOOKUP(U254,R_DD!$B$6:$E$2112,3,0)</f>
        <v>#N/A</v>
      </c>
      <c r="W254" s="943" t="e">
        <f>VLOOKUP(U254,R_DD!$B$6:$E$2112,4,0)</f>
        <v>#N/A</v>
      </c>
      <c r="Z254" s="946" t="e">
        <f>VLOOKUP(X254,R_DD!$B$6:$E$2112,3,0)</f>
        <v>#N/A</v>
      </c>
      <c r="AA254" s="946" t="e">
        <f>VLOOKUP(Y254,R_DD!$A$1:$L$2131,4,0)</f>
        <v>#N/A</v>
      </c>
      <c r="AB254" s="947" t="e">
        <f>VLOOKUP(Y254,R_DD!$A$1:$L$2131,5,0)</f>
        <v>#N/A</v>
      </c>
      <c r="AC254" s="947" t="e">
        <f>VLOOKUP(X254,R_DD!$B$6:$E$2112,4,0)</f>
        <v>#N/A</v>
      </c>
    </row>
    <row r="255" spans="22:29" ht="20.100000000000001" customHeight="1">
      <c r="V255" s="944" t="e">
        <f>VLOOKUP(U255,R_DD!$B$6:$E$2112,3,0)</f>
        <v>#N/A</v>
      </c>
      <c r="W255" s="943" t="e">
        <f>VLOOKUP(U255,R_DD!$B$6:$E$2112,4,0)</f>
        <v>#N/A</v>
      </c>
      <c r="Z255" s="946" t="e">
        <f>VLOOKUP(X255,R_DD!$B$6:$E$2112,3,0)</f>
        <v>#N/A</v>
      </c>
      <c r="AA255" s="946" t="e">
        <f>VLOOKUP(Y255,R_DD!$A$1:$L$2131,4,0)</f>
        <v>#N/A</v>
      </c>
      <c r="AB255" s="947" t="e">
        <f>VLOOKUP(Y255,R_DD!$A$1:$L$2131,5,0)</f>
        <v>#N/A</v>
      </c>
      <c r="AC255" s="947" t="e">
        <f>VLOOKUP(X255,R_DD!$B$6:$E$2112,4,0)</f>
        <v>#N/A</v>
      </c>
    </row>
    <row r="256" spans="22:29" ht="20.100000000000001" customHeight="1">
      <c r="V256" s="944" t="e">
        <f>VLOOKUP(U256,R_DD!$B$6:$E$2112,3,0)</f>
        <v>#N/A</v>
      </c>
      <c r="W256" s="943" t="e">
        <f>VLOOKUP(U256,R_DD!$B$6:$E$2112,4,0)</f>
        <v>#N/A</v>
      </c>
      <c r="Z256" s="946" t="e">
        <f>VLOOKUP(X256,R_DD!$B$6:$E$2112,3,0)</f>
        <v>#N/A</v>
      </c>
      <c r="AA256" s="946" t="e">
        <f>VLOOKUP(Y256,R_DD!$A$1:$L$2131,4,0)</f>
        <v>#N/A</v>
      </c>
      <c r="AB256" s="947" t="e">
        <f>VLOOKUP(Y256,R_DD!$A$1:$L$2131,5,0)</f>
        <v>#N/A</v>
      </c>
      <c r="AC256" s="947" t="e">
        <f>VLOOKUP(X256,R_DD!$B$6:$E$2112,4,0)</f>
        <v>#N/A</v>
      </c>
    </row>
    <row r="257" spans="22:29" ht="20.100000000000001" customHeight="1">
      <c r="V257" s="944" t="e">
        <f>VLOOKUP(U257,R_DD!$B$6:$E$2112,3,0)</f>
        <v>#N/A</v>
      </c>
      <c r="W257" s="943" t="e">
        <f>VLOOKUP(U257,R_DD!$B$6:$E$2112,4,0)</f>
        <v>#N/A</v>
      </c>
      <c r="Z257" s="946" t="e">
        <f>VLOOKUP(X257,R_DD!$B$6:$E$2112,3,0)</f>
        <v>#N/A</v>
      </c>
      <c r="AA257" s="946" t="e">
        <f>VLOOKUP(Y257,R_DD!$A$1:$L$2131,4,0)</f>
        <v>#N/A</v>
      </c>
      <c r="AB257" s="947" t="e">
        <f>VLOOKUP(Y257,R_DD!$A$1:$L$2131,5,0)</f>
        <v>#N/A</v>
      </c>
      <c r="AC257" s="947" t="e">
        <f>VLOOKUP(X257,R_DD!$B$6:$E$2112,4,0)</f>
        <v>#N/A</v>
      </c>
    </row>
    <row r="258" spans="22:29" ht="20.100000000000001" customHeight="1">
      <c r="V258" s="944" t="e">
        <f>VLOOKUP(U258,R_DD!$B$6:$E$2112,3,0)</f>
        <v>#N/A</v>
      </c>
      <c r="W258" s="943" t="e">
        <f>VLOOKUP(U258,R_DD!$B$6:$E$2112,4,0)</f>
        <v>#N/A</v>
      </c>
      <c r="Z258" s="946" t="e">
        <f>VLOOKUP(X258,R_DD!$B$6:$E$2112,3,0)</f>
        <v>#N/A</v>
      </c>
      <c r="AA258" s="946" t="e">
        <f>VLOOKUP(Y258,R_DD!$A$1:$L$2131,4,0)</f>
        <v>#N/A</v>
      </c>
      <c r="AB258" s="947" t="e">
        <f>VLOOKUP(Y258,R_DD!$A$1:$L$2131,5,0)</f>
        <v>#N/A</v>
      </c>
      <c r="AC258" s="947" t="e">
        <f>VLOOKUP(X258,R_DD!$B$6:$E$2112,4,0)</f>
        <v>#N/A</v>
      </c>
    </row>
    <row r="259" spans="22:29" ht="20.100000000000001" customHeight="1">
      <c r="V259" s="944" t="e">
        <f>VLOOKUP(U259,R_DD!$B$6:$E$2112,3,0)</f>
        <v>#N/A</v>
      </c>
      <c r="W259" s="943" t="e">
        <f>VLOOKUP(U259,R_DD!$B$6:$E$2112,4,0)</f>
        <v>#N/A</v>
      </c>
      <c r="Z259" s="946" t="e">
        <f>VLOOKUP(X259,R_DD!$B$6:$E$2112,3,0)</f>
        <v>#N/A</v>
      </c>
      <c r="AA259" s="946" t="e">
        <f>VLOOKUP(Y259,R_DD!$A$1:$L$2131,4,0)</f>
        <v>#N/A</v>
      </c>
      <c r="AB259" s="947" t="e">
        <f>VLOOKUP(Y259,R_DD!$A$1:$L$2131,5,0)</f>
        <v>#N/A</v>
      </c>
      <c r="AC259" s="947" t="e">
        <f>VLOOKUP(X259,R_DD!$B$6:$E$2112,4,0)</f>
        <v>#N/A</v>
      </c>
    </row>
    <row r="260" spans="22:29" ht="20.100000000000001" customHeight="1">
      <c r="V260" s="944" t="e">
        <f>VLOOKUP(U260,R_DD!$B$6:$E$2112,3,0)</f>
        <v>#N/A</v>
      </c>
      <c r="W260" s="943" t="e">
        <f>VLOOKUP(U260,R_DD!$B$6:$E$2112,4,0)</f>
        <v>#N/A</v>
      </c>
      <c r="Z260" s="946" t="e">
        <f>VLOOKUP(X260,R_DD!$B$6:$E$2112,3,0)</f>
        <v>#N/A</v>
      </c>
      <c r="AA260" s="946" t="e">
        <f>VLOOKUP(Y260,R_DD!$A$1:$L$2131,4,0)</f>
        <v>#N/A</v>
      </c>
      <c r="AB260" s="947" t="e">
        <f>VLOOKUP(Y260,R_DD!$A$1:$L$2131,5,0)</f>
        <v>#N/A</v>
      </c>
      <c r="AC260" s="947" t="e">
        <f>VLOOKUP(X260,R_DD!$B$6:$E$2112,4,0)</f>
        <v>#N/A</v>
      </c>
    </row>
    <row r="261" spans="22:29" ht="20.100000000000001" customHeight="1">
      <c r="V261" s="944" t="e">
        <f>VLOOKUP(U261,R_DD!$B$6:$E$2112,3,0)</f>
        <v>#N/A</v>
      </c>
      <c r="W261" s="943" t="e">
        <f>VLOOKUP(U261,R_DD!$B$6:$E$2112,4,0)</f>
        <v>#N/A</v>
      </c>
      <c r="Z261" s="946" t="e">
        <f>VLOOKUP(X261,R_DD!$B$6:$E$2112,3,0)</f>
        <v>#N/A</v>
      </c>
      <c r="AA261" s="946" t="e">
        <f>VLOOKUP(Y261,R_DD!$A$1:$L$2131,4,0)</f>
        <v>#N/A</v>
      </c>
      <c r="AB261" s="947" t="e">
        <f>VLOOKUP(Y261,R_DD!$A$1:$L$2131,5,0)</f>
        <v>#N/A</v>
      </c>
      <c r="AC261" s="947" t="e">
        <f>VLOOKUP(X261,R_DD!$B$6:$E$2112,4,0)</f>
        <v>#N/A</v>
      </c>
    </row>
    <row r="262" spans="22:29" ht="20.100000000000001" customHeight="1">
      <c r="V262" s="944" t="e">
        <f>VLOOKUP(U262,R_DD!$B$6:$E$2112,3,0)</f>
        <v>#N/A</v>
      </c>
      <c r="W262" s="943" t="e">
        <f>VLOOKUP(U262,R_DD!$B$6:$E$2112,4,0)</f>
        <v>#N/A</v>
      </c>
      <c r="Z262" s="946" t="e">
        <f>VLOOKUP(X262,R_DD!$B$6:$E$2112,3,0)</f>
        <v>#N/A</v>
      </c>
      <c r="AA262" s="946" t="e">
        <f>VLOOKUP(Y262,R_DD!$A$1:$L$2131,4,0)</f>
        <v>#N/A</v>
      </c>
      <c r="AB262" s="947" t="e">
        <f>VLOOKUP(Y262,R_DD!$A$1:$L$2131,5,0)</f>
        <v>#N/A</v>
      </c>
      <c r="AC262" s="947" t="e">
        <f>VLOOKUP(X262,R_DD!$B$6:$E$2112,4,0)</f>
        <v>#N/A</v>
      </c>
    </row>
    <row r="263" spans="22:29" ht="20.100000000000001" customHeight="1">
      <c r="V263" s="944" t="e">
        <f>VLOOKUP(U263,R_DD!$B$6:$E$2112,3,0)</f>
        <v>#N/A</v>
      </c>
      <c r="W263" s="943" t="e">
        <f>VLOOKUP(U263,R_DD!$B$6:$E$2112,4,0)</f>
        <v>#N/A</v>
      </c>
      <c r="Z263" s="946" t="e">
        <f>VLOOKUP(X263,R_DD!$B$6:$E$2112,3,0)</f>
        <v>#N/A</v>
      </c>
      <c r="AA263" s="946" t="e">
        <f>VLOOKUP(Y263,R_DD!$A$1:$L$2131,4,0)</f>
        <v>#N/A</v>
      </c>
      <c r="AB263" s="947" t="e">
        <f>VLOOKUP(Y263,R_DD!$A$1:$L$2131,5,0)</f>
        <v>#N/A</v>
      </c>
      <c r="AC263" s="947" t="e">
        <f>VLOOKUP(X263,R_DD!$B$6:$E$2112,4,0)</f>
        <v>#N/A</v>
      </c>
    </row>
    <row r="264" spans="22:29" ht="20.100000000000001" customHeight="1">
      <c r="V264" s="944" t="e">
        <f>VLOOKUP(U264,R_DD!$B$6:$E$2112,3,0)</f>
        <v>#N/A</v>
      </c>
      <c r="W264" s="943" t="e">
        <f>VLOOKUP(U264,R_DD!$B$6:$E$2112,4,0)</f>
        <v>#N/A</v>
      </c>
      <c r="Z264" s="946" t="e">
        <f>VLOOKUP(X264,R_DD!$B$6:$E$2112,3,0)</f>
        <v>#N/A</v>
      </c>
      <c r="AA264" s="946" t="e">
        <f>VLOOKUP(Y264,R_DD!$A$1:$L$2131,4,0)</f>
        <v>#N/A</v>
      </c>
      <c r="AB264" s="947" t="e">
        <f>VLOOKUP(Y264,R_DD!$A$1:$L$2131,5,0)</f>
        <v>#N/A</v>
      </c>
      <c r="AC264" s="947" t="e">
        <f>VLOOKUP(X264,R_DD!$B$6:$E$2112,4,0)</f>
        <v>#N/A</v>
      </c>
    </row>
    <row r="265" spans="22:29" ht="20.100000000000001" customHeight="1">
      <c r="V265" s="944" t="e">
        <f>VLOOKUP(U265,R_DD!$B$6:$E$2112,3,0)</f>
        <v>#N/A</v>
      </c>
      <c r="W265" s="943" t="e">
        <f>VLOOKUP(U265,R_DD!$B$6:$E$2112,4,0)</f>
        <v>#N/A</v>
      </c>
      <c r="Z265" s="946" t="e">
        <f>VLOOKUP(X265,R_DD!$B$6:$E$2112,3,0)</f>
        <v>#N/A</v>
      </c>
      <c r="AA265" s="946" t="e">
        <f>VLOOKUP(Y265,R_DD!$A$1:$L$2131,4,0)</f>
        <v>#N/A</v>
      </c>
      <c r="AB265" s="947" t="e">
        <f>VLOOKUP(Y265,R_DD!$A$1:$L$2131,5,0)</f>
        <v>#N/A</v>
      </c>
      <c r="AC265" s="947" t="e">
        <f>VLOOKUP(X265,R_DD!$B$6:$E$2112,4,0)</f>
        <v>#N/A</v>
      </c>
    </row>
    <row r="266" spans="22:29" ht="20.100000000000001" customHeight="1">
      <c r="V266" s="944" t="e">
        <f>VLOOKUP(U266,R_DD!$B$6:$E$2112,3,0)</f>
        <v>#N/A</v>
      </c>
      <c r="W266" s="943" t="e">
        <f>VLOOKUP(U266,R_DD!$B$6:$E$2112,4,0)</f>
        <v>#N/A</v>
      </c>
      <c r="Z266" s="946" t="e">
        <f>VLOOKUP(X266,R_DD!$B$6:$E$2112,3,0)</f>
        <v>#N/A</v>
      </c>
      <c r="AA266" s="946" t="e">
        <f>VLOOKUP(Y266,R_DD!$A$1:$L$2131,4,0)</f>
        <v>#N/A</v>
      </c>
      <c r="AB266" s="947" t="e">
        <f>VLOOKUP(Y266,R_DD!$A$1:$L$2131,5,0)</f>
        <v>#N/A</v>
      </c>
      <c r="AC266" s="947" t="e">
        <f>VLOOKUP(X266,R_DD!$B$6:$E$2112,4,0)</f>
        <v>#N/A</v>
      </c>
    </row>
    <row r="267" spans="22:29" ht="20.100000000000001" customHeight="1">
      <c r="V267" s="944" t="e">
        <f>VLOOKUP(U267,R_DD!$B$6:$E$2112,3,0)</f>
        <v>#N/A</v>
      </c>
      <c r="W267" s="943" t="e">
        <f>VLOOKUP(U267,R_DD!$B$6:$E$2112,4,0)</f>
        <v>#N/A</v>
      </c>
      <c r="Z267" s="946" t="e">
        <f>VLOOKUP(X267,R_DD!$B$6:$E$2112,3,0)</f>
        <v>#N/A</v>
      </c>
      <c r="AA267" s="946" t="e">
        <f>VLOOKUP(Y267,R_DD!$A$1:$L$2131,4,0)</f>
        <v>#N/A</v>
      </c>
      <c r="AB267" s="947" t="e">
        <f>VLOOKUP(Y267,R_DD!$A$1:$L$2131,5,0)</f>
        <v>#N/A</v>
      </c>
      <c r="AC267" s="947" t="e">
        <f>VLOOKUP(X267,R_DD!$B$6:$E$2112,4,0)</f>
        <v>#N/A</v>
      </c>
    </row>
    <row r="268" spans="22:29" ht="20.100000000000001" customHeight="1">
      <c r="V268" s="944" t="e">
        <f>VLOOKUP(U268,R_DD!$B$6:$E$2112,3,0)</f>
        <v>#N/A</v>
      </c>
      <c r="W268" s="943" t="e">
        <f>VLOOKUP(U268,R_DD!$B$6:$E$2112,4,0)</f>
        <v>#N/A</v>
      </c>
      <c r="Z268" s="946" t="e">
        <f>VLOOKUP(X268,R_DD!$B$6:$E$2112,3,0)</f>
        <v>#N/A</v>
      </c>
      <c r="AA268" s="946" t="e">
        <f>VLOOKUP(Y268,R_DD!$A$1:$L$2131,4,0)</f>
        <v>#N/A</v>
      </c>
      <c r="AB268" s="947" t="e">
        <f>VLOOKUP(Y268,R_DD!$A$1:$L$2131,5,0)</f>
        <v>#N/A</v>
      </c>
      <c r="AC268" s="947" t="e">
        <f>VLOOKUP(X268,R_DD!$B$6:$E$2112,4,0)</f>
        <v>#N/A</v>
      </c>
    </row>
    <row r="269" spans="22:29" ht="20.100000000000001" customHeight="1">
      <c r="V269" s="944" t="e">
        <f>VLOOKUP(U269,R_DD!$B$6:$E$2112,3,0)</f>
        <v>#N/A</v>
      </c>
      <c r="W269" s="943" t="e">
        <f>VLOOKUP(U269,R_DD!$B$6:$E$2112,4,0)</f>
        <v>#N/A</v>
      </c>
      <c r="Z269" s="946" t="e">
        <f>VLOOKUP(X269,R_DD!$B$6:$E$2112,3,0)</f>
        <v>#N/A</v>
      </c>
      <c r="AA269" s="946" t="e">
        <f>VLOOKUP(Y269,R_DD!$A$1:$L$2131,4,0)</f>
        <v>#N/A</v>
      </c>
      <c r="AB269" s="947" t="e">
        <f>VLOOKUP(Y269,R_DD!$A$1:$L$2131,5,0)</f>
        <v>#N/A</v>
      </c>
      <c r="AC269" s="947" t="e">
        <f>VLOOKUP(X269,R_DD!$B$6:$E$2112,4,0)</f>
        <v>#N/A</v>
      </c>
    </row>
    <row r="270" spans="22:29" ht="20.100000000000001" customHeight="1">
      <c r="V270" s="944" t="e">
        <f>VLOOKUP(U270,R_DD!$B$6:$E$2112,3,0)</f>
        <v>#N/A</v>
      </c>
      <c r="W270" s="943" t="e">
        <f>VLOOKUP(U270,R_DD!$B$6:$E$2112,4,0)</f>
        <v>#N/A</v>
      </c>
      <c r="Z270" s="946" t="e">
        <f>VLOOKUP(X270,R_DD!$B$6:$E$2112,3,0)</f>
        <v>#N/A</v>
      </c>
      <c r="AA270" s="946" t="e">
        <f>VLOOKUP(Y270,R_DD!$A$1:$L$2131,4,0)</f>
        <v>#N/A</v>
      </c>
      <c r="AB270" s="947" t="e">
        <f>VLOOKUP(Y270,R_DD!$A$1:$L$2131,5,0)</f>
        <v>#N/A</v>
      </c>
      <c r="AC270" s="947" t="e">
        <f>VLOOKUP(X270,R_DD!$B$6:$E$2112,4,0)</f>
        <v>#N/A</v>
      </c>
    </row>
    <row r="271" spans="22:29" ht="20.100000000000001" customHeight="1">
      <c r="V271" s="944" t="e">
        <f>VLOOKUP(U271,R_DD!$B$6:$E$2112,3,0)</f>
        <v>#N/A</v>
      </c>
      <c r="W271" s="943" t="e">
        <f>VLOOKUP(U271,R_DD!$B$6:$E$2112,4,0)</f>
        <v>#N/A</v>
      </c>
      <c r="Z271" s="946" t="e">
        <f>VLOOKUP(X271,R_DD!$B$6:$E$2112,3,0)</f>
        <v>#N/A</v>
      </c>
      <c r="AA271" s="946" t="e">
        <f>VLOOKUP(Y271,R_DD!$A$1:$L$2131,4,0)</f>
        <v>#N/A</v>
      </c>
      <c r="AB271" s="947" t="e">
        <f>VLOOKUP(Y271,R_DD!$A$1:$L$2131,5,0)</f>
        <v>#N/A</v>
      </c>
      <c r="AC271" s="947" t="e">
        <f>VLOOKUP(X271,R_DD!$B$6:$E$2112,4,0)</f>
        <v>#N/A</v>
      </c>
    </row>
    <row r="272" spans="22:29" ht="20.100000000000001" customHeight="1">
      <c r="V272" s="944" t="e">
        <f>VLOOKUP(U272,R_DD!$B$6:$E$2112,3,0)</f>
        <v>#N/A</v>
      </c>
      <c r="W272" s="943" t="e">
        <f>VLOOKUP(U272,R_DD!$B$6:$E$2112,4,0)</f>
        <v>#N/A</v>
      </c>
      <c r="Z272" s="946" t="e">
        <f>VLOOKUP(X272,R_DD!$B$6:$E$2112,3,0)</f>
        <v>#N/A</v>
      </c>
      <c r="AA272" s="946" t="e">
        <f>VLOOKUP(Y272,R_DD!$A$1:$L$2131,4,0)</f>
        <v>#N/A</v>
      </c>
      <c r="AB272" s="947" t="e">
        <f>VLOOKUP(Y272,R_DD!$A$1:$L$2131,5,0)</f>
        <v>#N/A</v>
      </c>
      <c r="AC272" s="947" t="e">
        <f>VLOOKUP(X272,R_DD!$B$6:$E$2112,4,0)</f>
        <v>#N/A</v>
      </c>
    </row>
    <row r="273" spans="22:29" ht="20.100000000000001" customHeight="1">
      <c r="V273" s="944" t="e">
        <f>VLOOKUP(U273,R_DD!$B$6:$E$2112,3,0)</f>
        <v>#N/A</v>
      </c>
      <c r="W273" s="943" t="e">
        <f>VLOOKUP(U273,R_DD!$B$6:$E$2112,4,0)</f>
        <v>#N/A</v>
      </c>
      <c r="Z273" s="946" t="e">
        <f>VLOOKUP(X273,R_DD!$B$6:$E$2112,3,0)</f>
        <v>#N/A</v>
      </c>
      <c r="AA273" s="946" t="e">
        <f>VLOOKUP(Y273,R_DD!$A$1:$L$2131,4,0)</f>
        <v>#N/A</v>
      </c>
      <c r="AB273" s="947" t="e">
        <f>VLOOKUP(Y273,R_DD!$A$1:$L$2131,5,0)</f>
        <v>#N/A</v>
      </c>
      <c r="AC273" s="947" t="e">
        <f>VLOOKUP(X273,R_DD!$B$6:$E$2112,4,0)</f>
        <v>#N/A</v>
      </c>
    </row>
    <row r="274" spans="22:29" ht="20.100000000000001" customHeight="1">
      <c r="V274" s="944" t="e">
        <f>VLOOKUP(U274,R_DD!$B$6:$E$2112,3,0)</f>
        <v>#N/A</v>
      </c>
      <c r="W274" s="943" t="e">
        <f>VLOOKUP(U274,R_DD!$B$6:$E$2112,4,0)</f>
        <v>#N/A</v>
      </c>
      <c r="Z274" s="946" t="e">
        <f>VLOOKUP(X274,R_DD!$B$6:$E$2112,3,0)</f>
        <v>#N/A</v>
      </c>
      <c r="AA274" s="946" t="e">
        <f>VLOOKUP(Y274,R_DD!$A$1:$L$2131,4,0)</f>
        <v>#N/A</v>
      </c>
      <c r="AB274" s="947" t="e">
        <f>VLOOKUP(Y274,R_DD!$A$1:$L$2131,5,0)</f>
        <v>#N/A</v>
      </c>
      <c r="AC274" s="947" t="e">
        <f>VLOOKUP(X274,R_DD!$B$6:$E$2112,4,0)</f>
        <v>#N/A</v>
      </c>
    </row>
    <row r="275" spans="22:29" ht="20.100000000000001" customHeight="1">
      <c r="V275" s="944" t="e">
        <f>VLOOKUP(U275,R_DD!$B$6:$E$2112,3,0)</f>
        <v>#N/A</v>
      </c>
      <c r="W275" s="943" t="e">
        <f>VLOOKUP(U275,R_DD!$B$6:$E$2112,4,0)</f>
        <v>#N/A</v>
      </c>
      <c r="Z275" s="946" t="e">
        <f>VLOOKUP(X275,R_DD!$B$6:$E$2112,3,0)</f>
        <v>#N/A</v>
      </c>
      <c r="AA275" s="946" t="e">
        <f>VLOOKUP(Y275,R_DD!$A$1:$L$2131,4,0)</f>
        <v>#N/A</v>
      </c>
      <c r="AB275" s="947" t="e">
        <f>VLOOKUP(Y275,R_DD!$A$1:$L$2131,5,0)</f>
        <v>#N/A</v>
      </c>
      <c r="AC275" s="947" t="e">
        <f>VLOOKUP(X275,R_DD!$B$6:$E$2112,4,0)</f>
        <v>#N/A</v>
      </c>
    </row>
    <row r="276" spans="22:29" ht="20.100000000000001" customHeight="1">
      <c r="V276" s="944" t="e">
        <f>VLOOKUP(U276,R_DD!$B$6:$E$2112,3,0)</f>
        <v>#N/A</v>
      </c>
      <c r="W276" s="943" t="e">
        <f>VLOOKUP(U276,R_DD!$B$6:$E$2112,4,0)</f>
        <v>#N/A</v>
      </c>
      <c r="Z276" s="946" t="e">
        <f>VLOOKUP(X276,R_DD!$B$6:$E$2112,3,0)</f>
        <v>#N/A</v>
      </c>
      <c r="AA276" s="946" t="e">
        <f>VLOOKUP(Y276,R_DD!$A$1:$L$2131,4,0)</f>
        <v>#N/A</v>
      </c>
      <c r="AB276" s="947" t="e">
        <f>VLOOKUP(Y276,R_DD!$A$1:$L$2131,5,0)</f>
        <v>#N/A</v>
      </c>
      <c r="AC276" s="947" t="e">
        <f>VLOOKUP(X276,R_DD!$B$6:$E$2112,4,0)</f>
        <v>#N/A</v>
      </c>
    </row>
    <row r="277" spans="22:29" ht="20.100000000000001" customHeight="1">
      <c r="V277" s="944" t="e">
        <f>VLOOKUP(U277,R_DD!$B$6:$E$2112,3,0)</f>
        <v>#N/A</v>
      </c>
      <c r="W277" s="943" t="e">
        <f>VLOOKUP(U277,R_DD!$B$6:$E$2112,4,0)</f>
        <v>#N/A</v>
      </c>
      <c r="Z277" s="946" t="e">
        <f>VLOOKUP(X277,R_DD!$B$6:$E$2112,3,0)</f>
        <v>#N/A</v>
      </c>
      <c r="AA277" s="946" t="e">
        <f>VLOOKUP(Y277,R_DD!$A$1:$L$2131,4,0)</f>
        <v>#N/A</v>
      </c>
      <c r="AB277" s="947" t="e">
        <f>VLOOKUP(Y277,R_DD!$A$1:$L$2131,5,0)</f>
        <v>#N/A</v>
      </c>
      <c r="AC277" s="947" t="e">
        <f>VLOOKUP(X277,R_DD!$B$6:$E$2112,4,0)</f>
        <v>#N/A</v>
      </c>
    </row>
    <row r="278" spans="22:29" ht="20.100000000000001" customHeight="1">
      <c r="V278" s="944" t="e">
        <f>VLOOKUP(U278,R_DD!$B$6:$E$2112,3,0)</f>
        <v>#N/A</v>
      </c>
      <c r="W278" s="943" t="e">
        <f>VLOOKUP(U278,R_DD!$B$6:$E$2112,4,0)</f>
        <v>#N/A</v>
      </c>
      <c r="Z278" s="946" t="e">
        <f>VLOOKUP(X278,R_DD!$B$6:$E$2112,3,0)</f>
        <v>#N/A</v>
      </c>
      <c r="AA278" s="946" t="e">
        <f>VLOOKUP(Y278,R_DD!$A$1:$L$2131,4,0)</f>
        <v>#N/A</v>
      </c>
      <c r="AB278" s="947" t="e">
        <f>VLOOKUP(Y278,R_DD!$A$1:$L$2131,5,0)</f>
        <v>#N/A</v>
      </c>
      <c r="AC278" s="947" t="e">
        <f>VLOOKUP(X278,R_DD!$B$6:$E$2112,4,0)</f>
        <v>#N/A</v>
      </c>
    </row>
    <row r="279" spans="22:29" ht="20.100000000000001" customHeight="1">
      <c r="V279" s="944" t="e">
        <f>VLOOKUP(U279,R_DD!$B$6:$E$2112,3,0)</f>
        <v>#N/A</v>
      </c>
      <c r="W279" s="943" t="e">
        <f>VLOOKUP(U279,R_DD!$B$6:$E$2112,4,0)</f>
        <v>#N/A</v>
      </c>
      <c r="Z279" s="946" t="e">
        <f>VLOOKUP(X279,R_DD!$B$6:$E$2112,3,0)</f>
        <v>#N/A</v>
      </c>
      <c r="AA279" s="946" t="e">
        <f>VLOOKUP(Y279,R_DD!$A$1:$L$2131,4,0)</f>
        <v>#N/A</v>
      </c>
      <c r="AB279" s="947" t="e">
        <f>VLOOKUP(Y279,R_DD!$A$1:$L$2131,5,0)</f>
        <v>#N/A</v>
      </c>
      <c r="AC279" s="947" t="e">
        <f>VLOOKUP(X279,R_DD!$B$6:$E$2112,4,0)</f>
        <v>#N/A</v>
      </c>
    </row>
    <row r="280" spans="22:29" ht="20.100000000000001" customHeight="1">
      <c r="V280" s="944" t="e">
        <f>VLOOKUP(U280,R_DD!$B$6:$E$2112,3,0)</f>
        <v>#N/A</v>
      </c>
      <c r="W280" s="943" t="e">
        <f>VLOOKUP(U280,R_DD!$B$6:$E$2112,4,0)</f>
        <v>#N/A</v>
      </c>
      <c r="Z280" s="946" t="e">
        <f>VLOOKUP(X280,R_DD!$B$6:$E$2112,3,0)</f>
        <v>#N/A</v>
      </c>
      <c r="AA280" s="946" t="e">
        <f>VLOOKUP(Y280,R_DD!$A$1:$L$2131,4,0)</f>
        <v>#N/A</v>
      </c>
      <c r="AB280" s="947" t="e">
        <f>VLOOKUP(Y280,R_DD!$A$1:$L$2131,5,0)</f>
        <v>#N/A</v>
      </c>
      <c r="AC280" s="947" t="e">
        <f>VLOOKUP(X280,R_DD!$B$6:$E$2112,4,0)</f>
        <v>#N/A</v>
      </c>
    </row>
    <row r="281" spans="22:29" ht="20.100000000000001" customHeight="1">
      <c r="V281" s="944" t="e">
        <f>VLOOKUP(U281,R_DD!$B$6:$E$2112,3,0)</f>
        <v>#N/A</v>
      </c>
      <c r="W281" s="943" t="e">
        <f>VLOOKUP(U281,R_DD!$B$6:$E$2112,4,0)</f>
        <v>#N/A</v>
      </c>
      <c r="Z281" s="946" t="e">
        <f>VLOOKUP(X281,R_DD!$B$6:$E$2112,3,0)</f>
        <v>#N/A</v>
      </c>
      <c r="AA281" s="946" t="e">
        <f>VLOOKUP(Y281,R_DD!$A$1:$L$2131,4,0)</f>
        <v>#N/A</v>
      </c>
      <c r="AB281" s="947" t="e">
        <f>VLOOKUP(Y281,R_DD!$A$1:$L$2131,5,0)</f>
        <v>#N/A</v>
      </c>
      <c r="AC281" s="947" t="e">
        <f>VLOOKUP(X281,R_DD!$B$6:$E$2112,4,0)</f>
        <v>#N/A</v>
      </c>
    </row>
    <row r="282" spans="22:29" ht="20.100000000000001" customHeight="1">
      <c r="V282" s="944" t="e">
        <f>VLOOKUP(U282,R_DD!$B$6:$E$2112,3,0)</f>
        <v>#N/A</v>
      </c>
      <c r="W282" s="943" t="e">
        <f>VLOOKUP(U282,R_DD!$B$6:$E$2112,4,0)</f>
        <v>#N/A</v>
      </c>
      <c r="Z282" s="946" t="e">
        <f>VLOOKUP(X282,R_DD!$B$6:$E$2112,3,0)</f>
        <v>#N/A</v>
      </c>
      <c r="AA282" s="946" t="e">
        <f>VLOOKUP(Y282,R_DD!$A$1:$L$2131,4,0)</f>
        <v>#N/A</v>
      </c>
      <c r="AB282" s="947" t="e">
        <f>VLOOKUP(Y282,R_DD!$A$1:$L$2131,5,0)</f>
        <v>#N/A</v>
      </c>
      <c r="AC282" s="947" t="e">
        <f>VLOOKUP(X282,R_DD!$B$6:$E$2112,4,0)</f>
        <v>#N/A</v>
      </c>
    </row>
    <row r="283" spans="22:29" ht="20.100000000000001" customHeight="1">
      <c r="V283" s="944" t="e">
        <f>VLOOKUP(U283,R_DD!$B$6:$E$2112,3,0)</f>
        <v>#N/A</v>
      </c>
      <c r="W283" s="943" t="e">
        <f>VLOOKUP(U283,R_DD!$B$6:$E$2112,4,0)</f>
        <v>#N/A</v>
      </c>
      <c r="Z283" s="946" t="e">
        <f>VLOOKUP(X283,R_DD!$B$6:$E$2112,3,0)</f>
        <v>#N/A</v>
      </c>
      <c r="AA283" s="946" t="e">
        <f>VLOOKUP(Y283,R_DD!$A$1:$L$2131,4,0)</f>
        <v>#N/A</v>
      </c>
      <c r="AB283" s="947" t="e">
        <f>VLOOKUP(Y283,R_DD!$A$1:$L$2131,5,0)</f>
        <v>#N/A</v>
      </c>
      <c r="AC283" s="947" t="e">
        <f>VLOOKUP(X283,R_DD!$B$6:$E$2112,4,0)</f>
        <v>#N/A</v>
      </c>
    </row>
    <row r="284" spans="22:29" ht="20.100000000000001" customHeight="1">
      <c r="V284" s="944" t="e">
        <f>VLOOKUP(U284,R_DD!$B$6:$E$2112,3,0)</f>
        <v>#N/A</v>
      </c>
      <c r="W284" s="943" t="e">
        <f>VLOOKUP(U284,R_DD!$B$6:$E$2112,4,0)</f>
        <v>#N/A</v>
      </c>
      <c r="Z284" s="946" t="e">
        <f>VLOOKUP(X284,R_DD!$B$6:$E$2112,3,0)</f>
        <v>#N/A</v>
      </c>
      <c r="AA284" s="946" t="e">
        <f>VLOOKUP(Y284,R_DD!$A$1:$L$2131,4,0)</f>
        <v>#N/A</v>
      </c>
      <c r="AB284" s="947" t="e">
        <f>VLOOKUP(Y284,R_DD!$A$1:$L$2131,5,0)</f>
        <v>#N/A</v>
      </c>
      <c r="AC284" s="947" t="e">
        <f>VLOOKUP(X284,R_DD!$B$6:$E$2112,4,0)</f>
        <v>#N/A</v>
      </c>
    </row>
    <row r="285" spans="22:29" ht="20.100000000000001" customHeight="1">
      <c r="V285" s="944" t="e">
        <f>VLOOKUP(U285,R_DD!$B$6:$E$2112,3,0)</f>
        <v>#N/A</v>
      </c>
      <c r="W285" s="943" t="e">
        <f>VLOOKUP(U285,R_DD!$B$6:$E$2112,4,0)</f>
        <v>#N/A</v>
      </c>
      <c r="Z285" s="946" t="e">
        <f>VLOOKUP(X285,R_DD!$B$6:$E$2112,3,0)</f>
        <v>#N/A</v>
      </c>
      <c r="AA285" s="946" t="e">
        <f>VLOOKUP(Y285,R_DD!$A$1:$L$2131,4,0)</f>
        <v>#N/A</v>
      </c>
      <c r="AB285" s="947" t="e">
        <f>VLOOKUP(Y285,R_DD!$A$1:$L$2131,5,0)</f>
        <v>#N/A</v>
      </c>
      <c r="AC285" s="947" t="e">
        <f>VLOOKUP(X285,R_DD!$B$6:$E$2112,4,0)</f>
        <v>#N/A</v>
      </c>
    </row>
    <row r="286" spans="22:29" ht="20.100000000000001" customHeight="1">
      <c r="V286" s="944" t="e">
        <f>VLOOKUP(U286,R_DD!$B$6:$E$2112,3,0)</f>
        <v>#N/A</v>
      </c>
      <c r="W286" s="943" t="e">
        <f>VLOOKUP(U286,R_DD!$B$6:$E$2112,4,0)</f>
        <v>#N/A</v>
      </c>
      <c r="Z286" s="946" t="e">
        <f>VLOOKUP(X286,R_DD!$B$6:$E$2112,3,0)</f>
        <v>#N/A</v>
      </c>
      <c r="AA286" s="946" t="e">
        <f>VLOOKUP(Y286,R_DD!$A$1:$L$2131,4,0)</f>
        <v>#N/A</v>
      </c>
      <c r="AB286" s="947" t="e">
        <f>VLOOKUP(Y286,R_DD!$A$1:$L$2131,5,0)</f>
        <v>#N/A</v>
      </c>
      <c r="AC286" s="947" t="e">
        <f>VLOOKUP(X286,R_DD!$B$6:$E$2112,4,0)</f>
        <v>#N/A</v>
      </c>
    </row>
    <row r="287" spans="22:29" ht="20.100000000000001" customHeight="1">
      <c r="V287" s="944" t="e">
        <f>VLOOKUP(U287,R_DD!$B$6:$E$2112,3,0)</f>
        <v>#N/A</v>
      </c>
      <c r="W287" s="943" t="e">
        <f>VLOOKUP(U287,R_DD!$B$6:$E$2112,4,0)</f>
        <v>#N/A</v>
      </c>
      <c r="Z287" s="946" t="e">
        <f>VLOOKUP(X287,R_DD!$B$6:$E$2112,3,0)</f>
        <v>#N/A</v>
      </c>
      <c r="AA287" s="946" t="e">
        <f>VLOOKUP(Y287,R_DD!$A$1:$L$2131,4,0)</f>
        <v>#N/A</v>
      </c>
      <c r="AB287" s="947" t="e">
        <f>VLOOKUP(Y287,R_DD!$A$1:$L$2131,5,0)</f>
        <v>#N/A</v>
      </c>
      <c r="AC287" s="947" t="e">
        <f>VLOOKUP(X287,R_DD!$B$6:$E$2112,4,0)</f>
        <v>#N/A</v>
      </c>
    </row>
    <row r="288" spans="22:29" ht="20.100000000000001" customHeight="1">
      <c r="V288" s="944" t="e">
        <f>VLOOKUP(U288,R_DD!$B$6:$E$2112,3,0)</f>
        <v>#N/A</v>
      </c>
      <c r="W288" s="943" t="e">
        <f>VLOOKUP(U288,R_DD!$B$6:$E$2112,4,0)</f>
        <v>#N/A</v>
      </c>
      <c r="Z288" s="946" t="e">
        <f>VLOOKUP(X288,R_DD!$B$6:$E$2112,3,0)</f>
        <v>#N/A</v>
      </c>
      <c r="AA288" s="946" t="e">
        <f>VLOOKUP(Y288,R_DD!$A$1:$L$2131,4,0)</f>
        <v>#N/A</v>
      </c>
      <c r="AB288" s="947" t="e">
        <f>VLOOKUP(Y288,R_DD!$A$1:$L$2131,5,0)</f>
        <v>#N/A</v>
      </c>
      <c r="AC288" s="947" t="e">
        <f>VLOOKUP(X288,R_DD!$B$6:$E$2112,4,0)</f>
        <v>#N/A</v>
      </c>
    </row>
    <row r="289" spans="22:29" ht="20.100000000000001" customHeight="1">
      <c r="V289" s="944" t="e">
        <f>VLOOKUP(U289,R_DD!$B$6:$E$2112,3,0)</f>
        <v>#N/A</v>
      </c>
      <c r="W289" s="943" t="e">
        <f>VLOOKUP(U289,R_DD!$B$6:$E$2112,4,0)</f>
        <v>#N/A</v>
      </c>
      <c r="Z289" s="946" t="e">
        <f>VLOOKUP(X289,R_DD!$B$6:$E$2112,3,0)</f>
        <v>#N/A</v>
      </c>
      <c r="AA289" s="946" t="e">
        <f>VLOOKUP(Y289,R_DD!$A$1:$L$2131,4,0)</f>
        <v>#N/A</v>
      </c>
      <c r="AB289" s="947" t="e">
        <f>VLOOKUP(Y289,R_DD!$A$1:$L$2131,5,0)</f>
        <v>#N/A</v>
      </c>
      <c r="AC289" s="947" t="e">
        <f>VLOOKUP(X289,R_DD!$B$6:$E$2112,4,0)</f>
        <v>#N/A</v>
      </c>
    </row>
    <row r="290" spans="22:29" ht="20.100000000000001" customHeight="1">
      <c r="V290" s="944" t="e">
        <f>VLOOKUP(U290,R_DD!$B$6:$E$2112,3,0)</f>
        <v>#N/A</v>
      </c>
      <c r="W290" s="943" t="e">
        <f>VLOOKUP(U290,R_DD!$B$6:$E$2112,4,0)</f>
        <v>#N/A</v>
      </c>
      <c r="Z290" s="946" t="e">
        <f>VLOOKUP(X290,R_DD!$B$6:$E$2112,3,0)</f>
        <v>#N/A</v>
      </c>
      <c r="AA290" s="946" t="e">
        <f>VLOOKUP(Y290,R_DD!$A$1:$L$2131,4,0)</f>
        <v>#N/A</v>
      </c>
      <c r="AB290" s="947" t="e">
        <f>VLOOKUP(Y290,R_DD!$A$1:$L$2131,5,0)</f>
        <v>#N/A</v>
      </c>
      <c r="AC290" s="947" t="e">
        <f>VLOOKUP(X290,R_DD!$B$6:$E$2112,4,0)</f>
        <v>#N/A</v>
      </c>
    </row>
    <row r="291" spans="22:29" ht="20.100000000000001" customHeight="1">
      <c r="V291" s="944" t="e">
        <f>VLOOKUP(U291,R_DD!$B$6:$E$2112,3,0)</f>
        <v>#N/A</v>
      </c>
      <c r="W291" s="943" t="e">
        <f>VLOOKUP(U291,R_DD!$B$6:$E$2112,4,0)</f>
        <v>#N/A</v>
      </c>
      <c r="Z291" s="946" t="e">
        <f>VLOOKUP(X291,R_DD!$B$6:$E$2112,3,0)</f>
        <v>#N/A</v>
      </c>
      <c r="AA291" s="946" t="e">
        <f>VLOOKUP(Y291,R_DD!$A$1:$L$2131,4,0)</f>
        <v>#N/A</v>
      </c>
      <c r="AB291" s="947" t="e">
        <f>VLOOKUP(Y291,R_DD!$A$1:$L$2131,5,0)</f>
        <v>#N/A</v>
      </c>
      <c r="AC291" s="947" t="e">
        <f>VLOOKUP(X291,R_DD!$B$6:$E$2112,4,0)</f>
        <v>#N/A</v>
      </c>
    </row>
    <row r="292" spans="22:29" ht="20.100000000000001" customHeight="1">
      <c r="V292" s="944" t="e">
        <f>VLOOKUP(U292,R_DD!$B$6:$E$2112,3,0)</f>
        <v>#N/A</v>
      </c>
      <c r="W292" s="943" t="e">
        <f>VLOOKUP(U292,R_DD!$B$6:$E$2112,4,0)</f>
        <v>#N/A</v>
      </c>
      <c r="Z292" s="946" t="e">
        <f>VLOOKUP(X292,R_DD!$B$6:$E$2112,3,0)</f>
        <v>#N/A</v>
      </c>
      <c r="AA292" s="946" t="e">
        <f>VLOOKUP(Y292,R_DD!$A$1:$L$2131,4,0)</f>
        <v>#N/A</v>
      </c>
      <c r="AB292" s="947" t="e">
        <f>VLOOKUP(Y292,R_DD!$A$1:$L$2131,5,0)</f>
        <v>#N/A</v>
      </c>
      <c r="AC292" s="947" t="e">
        <f>VLOOKUP(X292,R_DD!$B$6:$E$2112,4,0)</f>
        <v>#N/A</v>
      </c>
    </row>
    <row r="293" spans="22:29" ht="20.100000000000001" customHeight="1">
      <c r="V293" s="944" t="e">
        <f>VLOOKUP(U293,R_DD!$B$6:$E$2112,3,0)</f>
        <v>#N/A</v>
      </c>
      <c r="W293" s="943" t="e">
        <f>VLOOKUP(U293,R_DD!$B$6:$E$2112,4,0)</f>
        <v>#N/A</v>
      </c>
      <c r="Z293" s="946" t="e">
        <f>VLOOKUP(X293,R_DD!$B$6:$E$2112,3,0)</f>
        <v>#N/A</v>
      </c>
      <c r="AA293" s="946" t="e">
        <f>VLOOKUP(Y293,R_DD!$A$1:$L$2131,4,0)</f>
        <v>#N/A</v>
      </c>
      <c r="AB293" s="947" t="e">
        <f>VLOOKUP(Y293,R_DD!$A$1:$L$2131,5,0)</f>
        <v>#N/A</v>
      </c>
      <c r="AC293" s="947" t="e">
        <f>VLOOKUP(X293,R_DD!$B$6:$E$2112,4,0)</f>
        <v>#N/A</v>
      </c>
    </row>
    <row r="294" spans="22:29" ht="20.100000000000001" customHeight="1">
      <c r="V294" s="944" t="e">
        <f>VLOOKUP(U294,R_DD!$B$6:$E$2112,3,0)</f>
        <v>#N/A</v>
      </c>
      <c r="W294" s="943" t="e">
        <f>VLOOKUP(U294,R_DD!$B$6:$E$2112,4,0)</f>
        <v>#N/A</v>
      </c>
      <c r="Z294" s="946" t="e">
        <f>VLOOKUP(X294,R_DD!$B$6:$E$2112,3,0)</f>
        <v>#N/A</v>
      </c>
      <c r="AA294" s="946" t="e">
        <f>VLOOKUP(Y294,R_DD!$A$1:$L$2131,4,0)</f>
        <v>#N/A</v>
      </c>
      <c r="AB294" s="947" t="e">
        <f>VLOOKUP(Y294,R_DD!$A$1:$L$2131,5,0)</f>
        <v>#N/A</v>
      </c>
      <c r="AC294" s="947" t="e">
        <f>VLOOKUP(X294,R_DD!$B$6:$E$2112,4,0)</f>
        <v>#N/A</v>
      </c>
    </row>
    <row r="295" spans="22:29" ht="20.100000000000001" customHeight="1">
      <c r="V295" s="944" t="e">
        <f>VLOOKUP(U295,R_DD!$B$6:$E$2112,3,0)</f>
        <v>#N/A</v>
      </c>
      <c r="W295" s="943" t="e">
        <f>VLOOKUP(U295,R_DD!$B$6:$E$2112,4,0)</f>
        <v>#N/A</v>
      </c>
      <c r="Z295" s="946" t="e">
        <f>VLOOKUP(X295,R_DD!$B$6:$E$2112,3,0)</f>
        <v>#N/A</v>
      </c>
      <c r="AA295" s="946" t="e">
        <f>VLOOKUP(Y295,R_DD!$A$1:$L$2131,4,0)</f>
        <v>#N/A</v>
      </c>
      <c r="AB295" s="947" t="e">
        <f>VLOOKUP(Y295,R_DD!$A$1:$L$2131,5,0)</f>
        <v>#N/A</v>
      </c>
      <c r="AC295" s="947" t="e">
        <f>VLOOKUP(X295,R_DD!$B$6:$E$2112,4,0)</f>
        <v>#N/A</v>
      </c>
    </row>
    <row r="296" spans="22:29" ht="20.100000000000001" customHeight="1">
      <c r="V296" s="944" t="e">
        <f>VLOOKUP(U296,R_DD!$B$6:$E$2112,3,0)</f>
        <v>#N/A</v>
      </c>
      <c r="W296" s="943" t="e">
        <f>VLOOKUP(U296,R_DD!$B$6:$E$2112,4,0)</f>
        <v>#N/A</v>
      </c>
      <c r="Z296" s="946" t="e">
        <f>VLOOKUP(X296,R_DD!$B$6:$E$2112,3,0)</f>
        <v>#N/A</v>
      </c>
      <c r="AA296" s="946" t="e">
        <f>VLOOKUP(Y296,R_DD!$A$1:$L$2131,4,0)</f>
        <v>#N/A</v>
      </c>
      <c r="AB296" s="947" t="e">
        <f>VLOOKUP(Y296,R_DD!$A$1:$L$2131,5,0)</f>
        <v>#N/A</v>
      </c>
      <c r="AC296" s="947" t="e">
        <f>VLOOKUP(X296,R_DD!$B$6:$E$2112,4,0)</f>
        <v>#N/A</v>
      </c>
    </row>
    <row r="297" spans="22:29" ht="20.100000000000001" customHeight="1">
      <c r="V297" s="944" t="e">
        <f>VLOOKUP(U297,R_DD!$B$6:$E$2112,3,0)</f>
        <v>#N/A</v>
      </c>
      <c r="W297" s="943" t="e">
        <f>VLOOKUP(U297,R_DD!$B$6:$E$2112,4,0)</f>
        <v>#N/A</v>
      </c>
      <c r="Z297" s="946" t="e">
        <f>VLOOKUP(X297,R_DD!$B$6:$E$2112,3,0)</f>
        <v>#N/A</v>
      </c>
      <c r="AA297" s="946" t="e">
        <f>VLOOKUP(Y297,R_DD!$A$1:$L$2131,4,0)</f>
        <v>#N/A</v>
      </c>
      <c r="AB297" s="947" t="e">
        <f>VLOOKUP(Y297,R_DD!$A$1:$L$2131,5,0)</f>
        <v>#N/A</v>
      </c>
      <c r="AC297" s="947" t="e">
        <f>VLOOKUP(X297,R_DD!$B$6:$E$2112,4,0)</f>
        <v>#N/A</v>
      </c>
    </row>
    <row r="298" spans="22:29" ht="20.100000000000001" customHeight="1">
      <c r="V298" s="944" t="e">
        <f>VLOOKUP(U298,R_DD!$B$6:$E$2112,3,0)</f>
        <v>#N/A</v>
      </c>
      <c r="W298" s="943" t="e">
        <f>VLOOKUP(U298,R_DD!$B$6:$E$2112,4,0)</f>
        <v>#N/A</v>
      </c>
      <c r="Z298" s="946" t="e">
        <f>VLOOKUP(X298,R_DD!$B$6:$E$2112,3,0)</f>
        <v>#N/A</v>
      </c>
      <c r="AA298" s="946" t="e">
        <f>VLOOKUP(Y298,R_DD!$A$1:$L$2131,4,0)</f>
        <v>#N/A</v>
      </c>
      <c r="AB298" s="947" t="e">
        <f>VLOOKUP(Y298,R_DD!$A$1:$L$2131,5,0)</f>
        <v>#N/A</v>
      </c>
      <c r="AC298" s="947" t="e">
        <f>VLOOKUP(X298,R_DD!$B$6:$E$2112,4,0)</f>
        <v>#N/A</v>
      </c>
    </row>
    <row r="299" spans="22:29" ht="20.100000000000001" customHeight="1">
      <c r="V299" s="944" t="e">
        <f>VLOOKUP(U299,R_DD!$B$6:$E$2112,3,0)</f>
        <v>#N/A</v>
      </c>
      <c r="W299" s="943" t="e">
        <f>VLOOKUP(U299,R_DD!$B$6:$E$2112,4,0)</f>
        <v>#N/A</v>
      </c>
      <c r="Z299" s="946" t="e">
        <f>VLOOKUP(X299,R_DD!$B$6:$E$2112,3,0)</f>
        <v>#N/A</v>
      </c>
      <c r="AA299" s="946" t="e">
        <f>VLOOKUP(Y299,R_DD!$A$1:$L$2131,4,0)</f>
        <v>#N/A</v>
      </c>
      <c r="AB299" s="947" t="e">
        <f>VLOOKUP(Y299,R_DD!$A$1:$L$2131,5,0)</f>
        <v>#N/A</v>
      </c>
      <c r="AC299" s="947" t="e">
        <f>VLOOKUP(X299,R_DD!$B$6:$E$2112,4,0)</f>
        <v>#N/A</v>
      </c>
    </row>
    <row r="300" spans="22:29" ht="20.100000000000001" customHeight="1">
      <c r="V300" s="944" t="e">
        <f>VLOOKUP(U300,R_DD!$B$6:$E$2112,3,0)</f>
        <v>#N/A</v>
      </c>
      <c r="W300" s="943" t="e">
        <f>VLOOKUP(U300,R_DD!$B$6:$E$2112,4,0)</f>
        <v>#N/A</v>
      </c>
      <c r="Z300" s="946" t="e">
        <f>VLOOKUP(X300,R_DD!$B$6:$E$2112,3,0)</f>
        <v>#N/A</v>
      </c>
      <c r="AA300" s="946" t="e">
        <f>VLOOKUP(Y300,R_DD!$A$1:$L$2131,4,0)</f>
        <v>#N/A</v>
      </c>
      <c r="AB300" s="947" t="e">
        <f>VLOOKUP(Y300,R_DD!$A$1:$L$2131,5,0)</f>
        <v>#N/A</v>
      </c>
      <c r="AC300" s="947" t="e">
        <f>VLOOKUP(X300,R_DD!$B$6:$E$2112,4,0)</f>
        <v>#N/A</v>
      </c>
    </row>
    <row r="301" spans="22:29" ht="20.100000000000001" customHeight="1">
      <c r="V301" s="944" t="e">
        <f>VLOOKUP(U301,R_DD!$B$6:$E$2112,3,0)</f>
        <v>#N/A</v>
      </c>
      <c r="W301" s="943" t="e">
        <f>VLOOKUP(U301,R_DD!$B$6:$E$2112,4,0)</f>
        <v>#N/A</v>
      </c>
      <c r="Z301" s="946" t="e">
        <f>VLOOKUP(X301,R_DD!$B$6:$E$2112,3,0)</f>
        <v>#N/A</v>
      </c>
      <c r="AA301" s="946" t="e">
        <f>VLOOKUP(Y301,R_DD!$A$1:$L$2131,4,0)</f>
        <v>#N/A</v>
      </c>
      <c r="AB301" s="947" t="e">
        <f>VLOOKUP(Y301,R_DD!$A$1:$L$2131,5,0)</f>
        <v>#N/A</v>
      </c>
      <c r="AC301" s="947" t="e">
        <f>VLOOKUP(X301,R_DD!$B$6:$E$2112,4,0)</f>
        <v>#N/A</v>
      </c>
    </row>
    <row r="302" spans="22:29" ht="20.100000000000001" customHeight="1">
      <c r="V302" s="944" t="e">
        <f>VLOOKUP(U302,R_DD!$B$6:$E$2112,3,0)</f>
        <v>#N/A</v>
      </c>
      <c r="W302" s="943" t="e">
        <f>VLOOKUP(U302,R_DD!$B$6:$E$2112,4,0)</f>
        <v>#N/A</v>
      </c>
      <c r="Z302" s="946" t="e">
        <f>VLOOKUP(X302,R_DD!$B$6:$E$2112,3,0)</f>
        <v>#N/A</v>
      </c>
      <c r="AA302" s="946" t="e">
        <f>VLOOKUP(Y302,R_DD!$A$1:$L$2131,4,0)</f>
        <v>#N/A</v>
      </c>
      <c r="AB302" s="947" t="e">
        <f>VLOOKUP(Y302,R_DD!$A$1:$L$2131,5,0)</f>
        <v>#N/A</v>
      </c>
      <c r="AC302" s="947" t="e">
        <f>VLOOKUP(X302,R_DD!$B$6:$E$2112,4,0)</f>
        <v>#N/A</v>
      </c>
    </row>
    <row r="303" spans="22:29" ht="20.100000000000001" customHeight="1">
      <c r="V303" s="944" t="e">
        <f>VLOOKUP(U303,R_DD!$B$6:$E$2112,3,0)</f>
        <v>#N/A</v>
      </c>
      <c r="W303" s="943" t="e">
        <f>VLOOKUP(U303,R_DD!$B$6:$E$2112,4,0)</f>
        <v>#N/A</v>
      </c>
      <c r="Z303" s="946" t="e">
        <f>VLOOKUP(X303,R_DD!$B$6:$E$2112,3,0)</f>
        <v>#N/A</v>
      </c>
      <c r="AA303" s="946" t="e">
        <f>VLOOKUP(Y303,R_DD!$A$1:$L$2131,4,0)</f>
        <v>#N/A</v>
      </c>
      <c r="AB303" s="947" t="e">
        <f>VLOOKUP(Y303,R_DD!$A$1:$L$2131,5,0)</f>
        <v>#N/A</v>
      </c>
      <c r="AC303" s="947" t="e">
        <f>VLOOKUP(X303,R_DD!$B$6:$E$2112,4,0)</f>
        <v>#N/A</v>
      </c>
    </row>
    <row r="304" spans="22:29" ht="20.100000000000001" customHeight="1">
      <c r="V304" s="944" t="e">
        <f>VLOOKUP(U304,R_DD!$B$6:$E$2112,3,0)</f>
        <v>#N/A</v>
      </c>
      <c r="W304" s="943" t="e">
        <f>VLOOKUP(U304,R_DD!$B$6:$E$2112,4,0)</f>
        <v>#N/A</v>
      </c>
      <c r="Z304" s="946" t="e">
        <f>VLOOKUP(X304,R_DD!$B$6:$E$2112,3,0)</f>
        <v>#N/A</v>
      </c>
      <c r="AA304" s="946" t="e">
        <f>VLOOKUP(Y304,R_DD!$A$1:$L$2131,4,0)</f>
        <v>#N/A</v>
      </c>
      <c r="AB304" s="947" t="e">
        <f>VLOOKUP(Y304,R_DD!$A$1:$L$2131,5,0)</f>
        <v>#N/A</v>
      </c>
      <c r="AC304" s="947" t="e">
        <f>VLOOKUP(X304,R_DD!$B$6:$E$2112,4,0)</f>
        <v>#N/A</v>
      </c>
    </row>
    <row r="305" spans="22:29" ht="20.100000000000001" customHeight="1">
      <c r="V305" s="944" t="e">
        <f>VLOOKUP(U305,R_DD!$B$6:$E$2112,3,0)</f>
        <v>#N/A</v>
      </c>
      <c r="W305" s="943" t="e">
        <f>VLOOKUP(U305,R_DD!$B$6:$E$2112,4,0)</f>
        <v>#N/A</v>
      </c>
      <c r="Z305" s="946" t="e">
        <f>VLOOKUP(X305,R_DD!$B$6:$E$2112,3,0)</f>
        <v>#N/A</v>
      </c>
      <c r="AA305" s="946" t="e">
        <f>VLOOKUP(Y305,R_DD!$A$1:$L$2131,4,0)</f>
        <v>#N/A</v>
      </c>
      <c r="AB305" s="947" t="e">
        <f>VLOOKUP(Y305,R_DD!$A$1:$L$2131,5,0)</f>
        <v>#N/A</v>
      </c>
      <c r="AC305" s="947" t="e">
        <f>VLOOKUP(X305,R_DD!$B$6:$E$2112,4,0)</f>
        <v>#N/A</v>
      </c>
    </row>
    <row r="306" spans="22:29" ht="20.100000000000001" customHeight="1">
      <c r="V306" s="944" t="e">
        <f>VLOOKUP(U306,R_DD!$B$6:$E$2112,3,0)</f>
        <v>#N/A</v>
      </c>
      <c r="W306" s="943" t="e">
        <f>VLOOKUP(U306,R_DD!$B$6:$E$2112,4,0)</f>
        <v>#N/A</v>
      </c>
      <c r="Z306" s="946" t="e">
        <f>VLOOKUP(X306,R_DD!$B$6:$E$2112,3,0)</f>
        <v>#N/A</v>
      </c>
      <c r="AA306" s="946" t="e">
        <f>VLOOKUP(Y306,R_DD!$A$1:$L$2131,4,0)</f>
        <v>#N/A</v>
      </c>
      <c r="AB306" s="947" t="e">
        <f>VLOOKUP(Y306,R_DD!$A$1:$L$2131,5,0)</f>
        <v>#N/A</v>
      </c>
      <c r="AC306" s="947" t="e">
        <f>VLOOKUP(X306,R_DD!$B$6:$E$2112,4,0)</f>
        <v>#N/A</v>
      </c>
    </row>
    <row r="307" spans="22:29" ht="20.100000000000001" customHeight="1">
      <c r="V307" s="944" t="e">
        <f>VLOOKUP(U307,R_DD!$B$6:$E$2112,3,0)</f>
        <v>#N/A</v>
      </c>
      <c r="W307" s="943" t="e">
        <f>VLOOKUP(U307,R_DD!$B$6:$E$2112,4,0)</f>
        <v>#N/A</v>
      </c>
      <c r="Z307" s="946" t="e">
        <f>VLOOKUP(X307,R_DD!$B$6:$E$2112,3,0)</f>
        <v>#N/A</v>
      </c>
      <c r="AA307" s="946" t="e">
        <f>VLOOKUP(Y307,R_DD!$A$1:$L$2131,4,0)</f>
        <v>#N/A</v>
      </c>
      <c r="AB307" s="947" t="e">
        <f>VLOOKUP(Y307,R_DD!$A$1:$L$2131,5,0)</f>
        <v>#N/A</v>
      </c>
      <c r="AC307" s="947" t="e">
        <f>VLOOKUP(X307,R_DD!$B$6:$E$2112,4,0)</f>
        <v>#N/A</v>
      </c>
    </row>
    <row r="308" spans="22:29" ht="20.100000000000001" customHeight="1">
      <c r="V308" s="944" t="e">
        <f>VLOOKUP(U308,R_DD!$B$6:$E$2112,3,0)</f>
        <v>#N/A</v>
      </c>
      <c r="W308" s="943" t="e">
        <f>VLOOKUP(U308,R_DD!$B$6:$E$2112,4,0)</f>
        <v>#N/A</v>
      </c>
      <c r="Z308" s="946" t="e">
        <f>VLOOKUP(X308,R_DD!$B$6:$E$2112,3,0)</f>
        <v>#N/A</v>
      </c>
      <c r="AA308" s="946" t="e">
        <f>VLOOKUP(Y308,R_DD!$A$1:$L$2131,4,0)</f>
        <v>#N/A</v>
      </c>
      <c r="AB308" s="947" t="e">
        <f>VLOOKUP(Y308,R_DD!$A$1:$L$2131,5,0)</f>
        <v>#N/A</v>
      </c>
      <c r="AC308" s="947" t="e">
        <f>VLOOKUP(X308,R_DD!$B$6:$E$2112,4,0)</f>
        <v>#N/A</v>
      </c>
    </row>
    <row r="309" spans="22:29" ht="20.100000000000001" customHeight="1">
      <c r="V309" s="944" t="e">
        <f>VLOOKUP(U309,R_DD!$B$6:$E$2112,3,0)</f>
        <v>#N/A</v>
      </c>
      <c r="W309" s="943" t="e">
        <f>VLOOKUP(U309,R_DD!$B$6:$E$2112,4,0)</f>
        <v>#N/A</v>
      </c>
      <c r="Z309" s="946" t="e">
        <f>VLOOKUP(X309,R_DD!$B$6:$E$2112,3,0)</f>
        <v>#N/A</v>
      </c>
      <c r="AA309" s="946" t="e">
        <f>VLOOKUP(Y309,R_DD!$A$1:$L$2131,4,0)</f>
        <v>#N/A</v>
      </c>
      <c r="AB309" s="947" t="e">
        <f>VLOOKUP(Y309,R_DD!$A$1:$L$2131,5,0)</f>
        <v>#N/A</v>
      </c>
      <c r="AC309" s="947" t="e">
        <f>VLOOKUP(X309,R_DD!$B$6:$E$2112,4,0)</f>
        <v>#N/A</v>
      </c>
    </row>
    <row r="310" spans="22:29" ht="20.100000000000001" customHeight="1">
      <c r="V310" s="944" t="e">
        <f>VLOOKUP(U310,R_DD!$B$6:$E$2112,3,0)</f>
        <v>#N/A</v>
      </c>
      <c r="W310" s="943" t="e">
        <f>VLOOKUP(U310,R_DD!$B$6:$E$2112,4,0)</f>
        <v>#N/A</v>
      </c>
      <c r="Z310" s="946" t="e">
        <f>VLOOKUP(X310,R_DD!$B$6:$E$2112,3,0)</f>
        <v>#N/A</v>
      </c>
      <c r="AA310" s="946" t="e">
        <f>VLOOKUP(Y310,R_DD!$A$1:$L$2131,4,0)</f>
        <v>#N/A</v>
      </c>
      <c r="AB310" s="947" t="e">
        <f>VLOOKUP(Y310,R_DD!$A$1:$L$2131,5,0)</f>
        <v>#N/A</v>
      </c>
      <c r="AC310" s="947" t="e">
        <f>VLOOKUP(X310,R_DD!$B$6:$E$2112,4,0)</f>
        <v>#N/A</v>
      </c>
    </row>
    <row r="311" spans="22:29" ht="20.100000000000001" customHeight="1">
      <c r="V311" s="944" t="e">
        <f>VLOOKUP(U311,R_DD!$B$6:$E$2112,3,0)</f>
        <v>#N/A</v>
      </c>
      <c r="W311" s="943" t="e">
        <f>VLOOKUP(U311,R_DD!$B$6:$E$2112,4,0)</f>
        <v>#N/A</v>
      </c>
      <c r="Z311" s="946" t="e">
        <f>VLOOKUP(X311,R_DD!$B$6:$E$2112,3,0)</f>
        <v>#N/A</v>
      </c>
      <c r="AA311" s="946" t="e">
        <f>VLOOKUP(Y311,R_DD!$A$1:$L$2131,4,0)</f>
        <v>#N/A</v>
      </c>
      <c r="AB311" s="947" t="e">
        <f>VLOOKUP(Y311,R_DD!$A$1:$L$2131,5,0)</f>
        <v>#N/A</v>
      </c>
      <c r="AC311" s="947" t="e">
        <f>VLOOKUP(X311,R_DD!$B$6:$E$2112,4,0)</f>
        <v>#N/A</v>
      </c>
    </row>
    <row r="312" spans="22:29" ht="20.100000000000001" customHeight="1">
      <c r="V312" s="944" t="e">
        <f>VLOOKUP(U312,R_DD!$B$6:$E$2112,3,0)</f>
        <v>#N/A</v>
      </c>
      <c r="W312" s="943" t="e">
        <f>VLOOKUP(U312,R_DD!$B$6:$E$2112,4,0)</f>
        <v>#N/A</v>
      </c>
      <c r="Z312" s="946" t="e">
        <f>VLOOKUP(X312,R_DD!$B$6:$E$2112,3,0)</f>
        <v>#N/A</v>
      </c>
      <c r="AA312" s="946" t="e">
        <f>VLOOKUP(Y312,R_DD!$A$1:$L$2131,4,0)</f>
        <v>#N/A</v>
      </c>
      <c r="AB312" s="947" t="e">
        <f>VLOOKUP(Y312,R_DD!$A$1:$L$2131,5,0)</f>
        <v>#N/A</v>
      </c>
      <c r="AC312" s="947" t="e">
        <f>VLOOKUP(X312,R_DD!$B$6:$E$2112,4,0)</f>
        <v>#N/A</v>
      </c>
    </row>
    <row r="313" spans="22:29" ht="20.100000000000001" customHeight="1">
      <c r="V313" s="944" t="e">
        <f>VLOOKUP(U313,R_DD!$B$6:$E$2112,3,0)</f>
        <v>#N/A</v>
      </c>
      <c r="W313" s="943" t="e">
        <f>VLOOKUP(U313,R_DD!$B$6:$E$2112,4,0)</f>
        <v>#N/A</v>
      </c>
      <c r="Z313" s="946" t="e">
        <f>VLOOKUP(X313,R_DD!$B$6:$E$2112,3,0)</f>
        <v>#N/A</v>
      </c>
      <c r="AA313" s="946" t="e">
        <f>VLOOKUP(Y313,R_DD!$A$1:$L$2131,4,0)</f>
        <v>#N/A</v>
      </c>
      <c r="AB313" s="947" t="e">
        <f>VLOOKUP(Y313,R_DD!$A$1:$L$2131,5,0)</f>
        <v>#N/A</v>
      </c>
      <c r="AC313" s="947" t="e">
        <f>VLOOKUP(X313,R_DD!$B$6:$E$2112,4,0)</f>
        <v>#N/A</v>
      </c>
    </row>
    <row r="314" spans="22:29" ht="20.100000000000001" customHeight="1">
      <c r="V314" s="944" t="e">
        <f>VLOOKUP(U314,R_DD!$B$6:$E$2112,3,0)</f>
        <v>#N/A</v>
      </c>
      <c r="W314" s="943" t="e">
        <f>VLOOKUP(U314,R_DD!$B$6:$E$2112,4,0)</f>
        <v>#N/A</v>
      </c>
      <c r="Z314" s="946" t="e">
        <f>VLOOKUP(X314,R_DD!$B$6:$E$2112,3,0)</f>
        <v>#N/A</v>
      </c>
      <c r="AA314" s="946" t="e">
        <f>VLOOKUP(Y314,R_DD!$A$1:$L$2131,4,0)</f>
        <v>#N/A</v>
      </c>
      <c r="AB314" s="947" t="e">
        <f>VLOOKUP(Y314,R_DD!$A$1:$L$2131,5,0)</f>
        <v>#N/A</v>
      </c>
      <c r="AC314" s="947" t="e">
        <f>VLOOKUP(X314,R_DD!$B$6:$E$2112,4,0)</f>
        <v>#N/A</v>
      </c>
    </row>
    <row r="315" spans="22:29" ht="20.100000000000001" customHeight="1">
      <c r="V315" s="944" t="e">
        <f>VLOOKUP(U315,R_DD!$B$6:$E$2112,3,0)</f>
        <v>#N/A</v>
      </c>
      <c r="W315" s="943" t="e">
        <f>VLOOKUP(U315,R_DD!$B$6:$E$2112,4,0)</f>
        <v>#N/A</v>
      </c>
      <c r="Z315" s="946" t="e">
        <f>VLOOKUP(X315,R_DD!$B$6:$E$2112,3,0)</f>
        <v>#N/A</v>
      </c>
      <c r="AA315" s="946" t="e">
        <f>VLOOKUP(Y315,R_DD!$A$1:$L$2131,4,0)</f>
        <v>#N/A</v>
      </c>
      <c r="AB315" s="947" t="e">
        <f>VLOOKUP(Y315,R_DD!$A$1:$L$2131,5,0)</f>
        <v>#N/A</v>
      </c>
      <c r="AC315" s="947" t="e">
        <f>VLOOKUP(X315,R_DD!$B$6:$E$2112,4,0)</f>
        <v>#N/A</v>
      </c>
    </row>
    <row r="316" spans="22:29" ht="20.100000000000001" customHeight="1">
      <c r="V316" s="944" t="e">
        <f>VLOOKUP(U316,R_DD!$B$6:$E$2112,3,0)</f>
        <v>#N/A</v>
      </c>
      <c r="W316" s="943" t="e">
        <f>VLOOKUP(U316,R_DD!$B$6:$E$2112,4,0)</f>
        <v>#N/A</v>
      </c>
      <c r="Z316" s="946" t="e">
        <f>VLOOKUP(X316,R_DD!$B$6:$E$2112,3,0)</f>
        <v>#N/A</v>
      </c>
      <c r="AA316" s="946" t="e">
        <f>VLOOKUP(Y316,R_DD!$A$1:$L$2131,4,0)</f>
        <v>#N/A</v>
      </c>
      <c r="AB316" s="947" t="e">
        <f>VLOOKUP(Y316,R_DD!$A$1:$L$2131,5,0)</f>
        <v>#N/A</v>
      </c>
      <c r="AC316" s="947" t="e">
        <f>VLOOKUP(X316,R_DD!$B$6:$E$2112,4,0)</f>
        <v>#N/A</v>
      </c>
    </row>
    <row r="317" spans="22:29" ht="20.100000000000001" customHeight="1">
      <c r="V317" s="944" t="e">
        <f>VLOOKUP(U317,R_DD!$B$6:$E$2112,3,0)</f>
        <v>#N/A</v>
      </c>
      <c r="W317" s="943" t="e">
        <f>VLOOKUP(U317,R_DD!$B$6:$E$2112,4,0)</f>
        <v>#N/A</v>
      </c>
      <c r="Z317" s="946" t="e">
        <f>VLOOKUP(X317,R_DD!$B$6:$E$2112,3,0)</f>
        <v>#N/A</v>
      </c>
      <c r="AA317" s="946" t="e">
        <f>VLOOKUP(Y317,R_DD!$A$1:$L$2131,4,0)</f>
        <v>#N/A</v>
      </c>
      <c r="AB317" s="947" t="e">
        <f>VLOOKUP(Y317,R_DD!$A$1:$L$2131,5,0)</f>
        <v>#N/A</v>
      </c>
      <c r="AC317" s="947" t="e">
        <f>VLOOKUP(X317,R_DD!$B$6:$E$2112,4,0)</f>
        <v>#N/A</v>
      </c>
    </row>
    <row r="318" spans="22:29" ht="20.100000000000001" customHeight="1">
      <c r="V318" s="944" t="e">
        <f>VLOOKUP(U318,R_DD!$B$6:$E$2112,3,0)</f>
        <v>#N/A</v>
      </c>
      <c r="W318" s="943" t="e">
        <f>VLOOKUP(U318,R_DD!$B$6:$E$2112,4,0)</f>
        <v>#N/A</v>
      </c>
      <c r="Z318" s="946" t="e">
        <f>VLOOKUP(X318,R_DD!$B$6:$E$2112,3,0)</f>
        <v>#N/A</v>
      </c>
      <c r="AA318" s="946" t="e">
        <f>VLOOKUP(Y318,R_DD!$A$1:$L$2131,4,0)</f>
        <v>#N/A</v>
      </c>
      <c r="AB318" s="947" t="e">
        <f>VLOOKUP(Y318,R_DD!$A$1:$L$2131,5,0)</f>
        <v>#N/A</v>
      </c>
      <c r="AC318" s="947" t="e">
        <f>VLOOKUP(X318,R_DD!$B$6:$E$2112,4,0)</f>
        <v>#N/A</v>
      </c>
    </row>
    <row r="319" spans="22:29" ht="20.100000000000001" customHeight="1">
      <c r="V319" s="944" t="e">
        <f>VLOOKUP(U319,R_DD!$B$6:$E$2112,3,0)</f>
        <v>#N/A</v>
      </c>
      <c r="W319" s="943" t="e">
        <f>VLOOKUP(U319,R_DD!$B$6:$E$2112,4,0)</f>
        <v>#N/A</v>
      </c>
      <c r="Z319" s="946" t="e">
        <f>VLOOKUP(X319,R_DD!$B$6:$E$2112,3,0)</f>
        <v>#N/A</v>
      </c>
      <c r="AA319" s="946" t="e">
        <f>VLOOKUP(Y319,R_DD!$A$1:$L$2131,4,0)</f>
        <v>#N/A</v>
      </c>
      <c r="AB319" s="947" t="e">
        <f>VLOOKUP(Y319,R_DD!$A$1:$L$2131,5,0)</f>
        <v>#N/A</v>
      </c>
      <c r="AC319" s="947" t="e">
        <f>VLOOKUP(X319,R_DD!$B$6:$E$2112,4,0)</f>
        <v>#N/A</v>
      </c>
    </row>
    <row r="320" spans="22:29" ht="20.100000000000001" customHeight="1">
      <c r="V320" s="944" t="e">
        <f>VLOOKUP(U320,R_DD!$B$6:$E$2112,3,0)</f>
        <v>#N/A</v>
      </c>
      <c r="W320" s="943" t="e">
        <f>VLOOKUP(U320,R_DD!$B$6:$E$2112,4,0)</f>
        <v>#N/A</v>
      </c>
      <c r="Z320" s="946" t="e">
        <f>VLOOKUP(X320,R_DD!$B$6:$E$2112,3,0)</f>
        <v>#N/A</v>
      </c>
      <c r="AA320" s="946" t="e">
        <f>VLOOKUP(Y320,R_DD!$A$1:$L$2131,4,0)</f>
        <v>#N/A</v>
      </c>
      <c r="AB320" s="947" t="e">
        <f>VLOOKUP(Y320,R_DD!$A$1:$L$2131,5,0)</f>
        <v>#N/A</v>
      </c>
      <c r="AC320" s="947" t="e">
        <f>VLOOKUP(X320,R_DD!$B$6:$E$2112,4,0)</f>
        <v>#N/A</v>
      </c>
    </row>
    <row r="321" spans="22:29" ht="20.100000000000001" customHeight="1">
      <c r="V321" s="944" t="e">
        <f>VLOOKUP(U321,R_DD!$B$6:$E$2112,3,0)</f>
        <v>#N/A</v>
      </c>
      <c r="W321" s="943" t="e">
        <f>VLOOKUP(U321,R_DD!$B$6:$E$2112,4,0)</f>
        <v>#N/A</v>
      </c>
      <c r="Z321" s="946" t="e">
        <f>VLOOKUP(X321,R_DD!$B$6:$E$2112,3,0)</f>
        <v>#N/A</v>
      </c>
      <c r="AA321" s="946" t="e">
        <f>VLOOKUP(Y321,R_DD!$A$1:$L$2131,4,0)</f>
        <v>#N/A</v>
      </c>
      <c r="AB321" s="947" t="e">
        <f>VLOOKUP(Y321,R_DD!$A$1:$L$2131,5,0)</f>
        <v>#N/A</v>
      </c>
      <c r="AC321" s="947" t="e">
        <f>VLOOKUP(X321,R_DD!$B$6:$E$2112,4,0)</f>
        <v>#N/A</v>
      </c>
    </row>
    <row r="322" spans="22:29" ht="20.100000000000001" customHeight="1">
      <c r="V322" s="944" t="e">
        <f>VLOOKUP(U322,R_DD!$B$6:$E$2112,3,0)</f>
        <v>#N/A</v>
      </c>
      <c r="W322" s="943" t="e">
        <f>VLOOKUP(U322,R_DD!$B$6:$E$2112,4,0)</f>
        <v>#N/A</v>
      </c>
      <c r="Z322" s="946" t="e">
        <f>VLOOKUP(X322,R_DD!$B$6:$E$2112,3,0)</f>
        <v>#N/A</v>
      </c>
      <c r="AA322" s="946" t="e">
        <f>VLOOKUP(Y322,R_DD!$A$1:$L$2131,4,0)</f>
        <v>#N/A</v>
      </c>
      <c r="AB322" s="947" t="e">
        <f>VLOOKUP(Y322,R_DD!$A$1:$L$2131,5,0)</f>
        <v>#N/A</v>
      </c>
      <c r="AC322" s="947" t="e">
        <f>VLOOKUP(X322,R_DD!$B$6:$E$2112,4,0)</f>
        <v>#N/A</v>
      </c>
    </row>
    <row r="323" spans="22:29" ht="20.100000000000001" customHeight="1">
      <c r="V323" s="944" t="e">
        <f>VLOOKUP(U323,R_DD!$B$6:$E$2112,3,0)</f>
        <v>#N/A</v>
      </c>
      <c r="W323" s="943" t="e">
        <f>VLOOKUP(U323,R_DD!$B$6:$E$2112,4,0)</f>
        <v>#N/A</v>
      </c>
      <c r="Z323" s="946" t="e">
        <f>VLOOKUP(X323,R_DD!$B$6:$E$2112,3,0)</f>
        <v>#N/A</v>
      </c>
      <c r="AA323" s="946" t="e">
        <f>VLOOKUP(Y323,R_DD!$A$1:$L$2131,4,0)</f>
        <v>#N/A</v>
      </c>
      <c r="AB323" s="947" t="e">
        <f>VLOOKUP(Y323,R_DD!$A$1:$L$2131,5,0)</f>
        <v>#N/A</v>
      </c>
      <c r="AC323" s="947" t="e">
        <f>VLOOKUP(X323,R_DD!$B$6:$E$2112,4,0)</f>
        <v>#N/A</v>
      </c>
    </row>
    <row r="324" spans="22:29" ht="20.100000000000001" customHeight="1">
      <c r="V324" s="944" t="e">
        <f>VLOOKUP(U324,R_DD!$B$6:$E$2112,3,0)</f>
        <v>#N/A</v>
      </c>
      <c r="W324" s="943" t="e">
        <f>VLOOKUP(U324,R_DD!$B$6:$E$2112,4,0)</f>
        <v>#N/A</v>
      </c>
      <c r="Z324" s="946" t="e">
        <f>VLOOKUP(X324,R_DD!$B$6:$E$2112,3,0)</f>
        <v>#N/A</v>
      </c>
      <c r="AA324" s="946" t="e">
        <f>VLOOKUP(Y324,R_DD!$A$1:$L$2131,4,0)</f>
        <v>#N/A</v>
      </c>
      <c r="AB324" s="947" t="e">
        <f>VLOOKUP(Y324,R_DD!$A$1:$L$2131,5,0)</f>
        <v>#N/A</v>
      </c>
      <c r="AC324" s="947" t="e">
        <f>VLOOKUP(X324,R_DD!$B$6:$E$2112,4,0)</f>
        <v>#N/A</v>
      </c>
    </row>
    <row r="325" spans="22:29" ht="20.100000000000001" customHeight="1">
      <c r="V325" s="944" t="e">
        <f>VLOOKUP(U325,R_DD!$B$6:$E$2112,3,0)</f>
        <v>#N/A</v>
      </c>
      <c r="W325" s="943" t="e">
        <f>VLOOKUP(U325,R_DD!$B$6:$E$2112,4,0)</f>
        <v>#N/A</v>
      </c>
      <c r="Z325" s="946" t="e">
        <f>VLOOKUP(X325,R_DD!$B$6:$E$2112,3,0)</f>
        <v>#N/A</v>
      </c>
      <c r="AA325" s="946" t="e">
        <f>VLOOKUP(Y325,R_DD!$A$1:$L$2131,4,0)</f>
        <v>#N/A</v>
      </c>
      <c r="AB325" s="947" t="e">
        <f>VLOOKUP(Y325,R_DD!$A$1:$L$2131,5,0)</f>
        <v>#N/A</v>
      </c>
      <c r="AC325" s="947" t="e">
        <f>VLOOKUP(X325,R_DD!$B$6:$E$2112,4,0)</f>
        <v>#N/A</v>
      </c>
    </row>
    <row r="326" spans="22:29" ht="20.100000000000001" customHeight="1">
      <c r="V326" s="944" t="e">
        <f>VLOOKUP(U326,R_DD!$B$6:$E$2112,3,0)</f>
        <v>#N/A</v>
      </c>
      <c r="W326" s="943" t="e">
        <f>VLOOKUP(U326,R_DD!$B$6:$E$2112,4,0)</f>
        <v>#N/A</v>
      </c>
      <c r="Z326" s="946" t="e">
        <f>VLOOKUP(X326,R_DD!$B$6:$E$2112,3,0)</f>
        <v>#N/A</v>
      </c>
      <c r="AA326" s="946" t="e">
        <f>VLOOKUP(Y326,R_DD!$A$1:$L$2131,4,0)</f>
        <v>#N/A</v>
      </c>
      <c r="AB326" s="947" t="e">
        <f>VLOOKUP(Y326,R_DD!$A$1:$L$2131,5,0)</f>
        <v>#N/A</v>
      </c>
      <c r="AC326" s="947" t="e">
        <f>VLOOKUP(X326,R_DD!$B$6:$E$2112,4,0)</f>
        <v>#N/A</v>
      </c>
    </row>
    <row r="327" spans="22:29" ht="20.100000000000001" customHeight="1">
      <c r="V327" s="944" t="e">
        <f>VLOOKUP(U327,R_DD!$B$6:$E$2112,3,0)</f>
        <v>#N/A</v>
      </c>
      <c r="W327" s="943" t="e">
        <f>VLOOKUP(U327,R_DD!$B$6:$E$2112,4,0)</f>
        <v>#N/A</v>
      </c>
      <c r="Z327" s="946" t="e">
        <f>VLOOKUP(X327,R_DD!$B$6:$E$2112,3,0)</f>
        <v>#N/A</v>
      </c>
      <c r="AA327" s="946" t="e">
        <f>VLOOKUP(Y327,R_DD!$A$1:$L$2131,4,0)</f>
        <v>#N/A</v>
      </c>
      <c r="AB327" s="947" t="e">
        <f>VLOOKUP(Y327,R_DD!$A$1:$L$2131,5,0)</f>
        <v>#N/A</v>
      </c>
      <c r="AC327" s="947" t="e">
        <f>VLOOKUP(X327,R_DD!$B$6:$E$2112,4,0)</f>
        <v>#N/A</v>
      </c>
    </row>
    <row r="328" spans="22:29" ht="20.100000000000001" customHeight="1">
      <c r="V328" s="944" t="e">
        <f>VLOOKUP(U328,R_DD!$B$6:$E$2112,3,0)</f>
        <v>#N/A</v>
      </c>
      <c r="W328" s="943" t="e">
        <f>VLOOKUP(U328,R_DD!$B$6:$E$2112,4,0)</f>
        <v>#N/A</v>
      </c>
      <c r="Z328" s="946" t="e">
        <f>VLOOKUP(X328,R_DD!$B$6:$E$2112,3,0)</f>
        <v>#N/A</v>
      </c>
      <c r="AA328" s="946" t="e">
        <f>VLOOKUP(Y328,R_DD!$A$1:$L$2131,4,0)</f>
        <v>#N/A</v>
      </c>
      <c r="AB328" s="947" t="e">
        <f>VLOOKUP(Y328,R_DD!$A$1:$L$2131,5,0)</f>
        <v>#N/A</v>
      </c>
      <c r="AC328" s="947" t="e">
        <f>VLOOKUP(X328,R_DD!$B$6:$E$2112,4,0)</f>
        <v>#N/A</v>
      </c>
    </row>
    <row r="329" spans="22:29" ht="20.100000000000001" customHeight="1">
      <c r="V329" s="944" t="e">
        <f>VLOOKUP(U329,R_DD!$B$6:$E$2112,3,0)</f>
        <v>#N/A</v>
      </c>
      <c r="W329" s="943" t="e">
        <f>VLOOKUP(U329,R_DD!$B$6:$E$2112,4,0)</f>
        <v>#N/A</v>
      </c>
      <c r="Z329" s="946" t="e">
        <f>VLOOKUP(X329,R_DD!$B$6:$E$2112,3,0)</f>
        <v>#N/A</v>
      </c>
      <c r="AA329" s="946" t="e">
        <f>VLOOKUP(Y329,R_DD!$A$1:$L$2131,4,0)</f>
        <v>#N/A</v>
      </c>
      <c r="AB329" s="947" t="e">
        <f>VLOOKUP(Y329,R_DD!$A$1:$L$2131,5,0)</f>
        <v>#N/A</v>
      </c>
      <c r="AC329" s="947" t="e">
        <f>VLOOKUP(X329,R_DD!$B$6:$E$2112,4,0)</f>
        <v>#N/A</v>
      </c>
    </row>
    <row r="330" spans="22:29" ht="20.100000000000001" customHeight="1">
      <c r="V330" s="944" t="e">
        <f>VLOOKUP(U330,R_DD!$B$6:$E$2112,3,0)</f>
        <v>#N/A</v>
      </c>
      <c r="W330" s="943" t="e">
        <f>VLOOKUP(U330,R_DD!$B$6:$E$2112,4,0)</f>
        <v>#N/A</v>
      </c>
      <c r="Z330" s="946" t="e">
        <f>VLOOKUP(X330,R_DD!$B$6:$E$2112,3,0)</f>
        <v>#N/A</v>
      </c>
      <c r="AA330" s="946" t="e">
        <f>VLOOKUP(Y330,R_DD!$A$1:$L$2131,4,0)</f>
        <v>#N/A</v>
      </c>
      <c r="AB330" s="947" t="e">
        <f>VLOOKUP(Y330,R_DD!$A$1:$L$2131,5,0)</f>
        <v>#N/A</v>
      </c>
      <c r="AC330" s="947" t="e">
        <f>VLOOKUP(X330,R_DD!$B$6:$E$2112,4,0)</f>
        <v>#N/A</v>
      </c>
    </row>
    <row r="331" spans="22:29" ht="20.100000000000001" customHeight="1">
      <c r="V331" s="944" t="e">
        <f>VLOOKUP(U331,R_DD!$B$6:$E$2112,3,0)</f>
        <v>#N/A</v>
      </c>
      <c r="W331" s="943" t="e">
        <f>VLOOKUP(U331,R_DD!$B$6:$E$2112,4,0)</f>
        <v>#N/A</v>
      </c>
      <c r="Z331" s="946" t="e">
        <f>VLOOKUP(X331,R_DD!$B$6:$E$2112,3,0)</f>
        <v>#N/A</v>
      </c>
      <c r="AA331" s="946" t="e">
        <f>VLOOKUP(Y331,R_DD!$A$1:$L$2131,4,0)</f>
        <v>#N/A</v>
      </c>
      <c r="AB331" s="947" t="e">
        <f>VLOOKUP(Y331,R_DD!$A$1:$L$2131,5,0)</f>
        <v>#N/A</v>
      </c>
      <c r="AC331" s="947" t="e">
        <f>VLOOKUP(X331,R_DD!$B$6:$E$2112,4,0)</f>
        <v>#N/A</v>
      </c>
    </row>
    <row r="332" spans="22:29" ht="20.100000000000001" customHeight="1">
      <c r="V332" s="944" t="e">
        <f>VLOOKUP(U332,R_DD!$B$6:$E$2112,3,0)</f>
        <v>#N/A</v>
      </c>
      <c r="W332" s="943" t="e">
        <f>VLOOKUP(U332,R_DD!$B$6:$E$2112,4,0)</f>
        <v>#N/A</v>
      </c>
      <c r="Z332" s="946" t="e">
        <f>VLOOKUP(X332,R_DD!$B$6:$E$2112,3,0)</f>
        <v>#N/A</v>
      </c>
      <c r="AA332" s="946" t="e">
        <f>VLOOKUP(Y332,R_DD!$A$1:$L$2131,4,0)</f>
        <v>#N/A</v>
      </c>
      <c r="AB332" s="947" t="e">
        <f>VLOOKUP(Y332,R_DD!$A$1:$L$2131,5,0)</f>
        <v>#N/A</v>
      </c>
      <c r="AC332" s="947" t="e">
        <f>VLOOKUP(X332,R_DD!$B$6:$E$2112,4,0)</f>
        <v>#N/A</v>
      </c>
    </row>
    <row r="333" spans="22:29" ht="20.100000000000001" customHeight="1">
      <c r="V333" s="944" t="e">
        <f>VLOOKUP(U333,R_DD!$B$6:$E$2112,3,0)</f>
        <v>#N/A</v>
      </c>
      <c r="W333" s="943" t="e">
        <f>VLOOKUP(U333,R_DD!$B$6:$E$2112,4,0)</f>
        <v>#N/A</v>
      </c>
      <c r="Z333" s="946" t="e">
        <f>VLOOKUP(X333,R_DD!$B$6:$E$2112,3,0)</f>
        <v>#N/A</v>
      </c>
      <c r="AA333" s="946" t="e">
        <f>VLOOKUP(Y333,R_DD!$A$1:$L$2131,4,0)</f>
        <v>#N/A</v>
      </c>
      <c r="AB333" s="947" t="e">
        <f>VLOOKUP(Y333,R_DD!$A$1:$L$2131,5,0)</f>
        <v>#N/A</v>
      </c>
      <c r="AC333" s="947" t="e">
        <f>VLOOKUP(X333,R_DD!$B$6:$E$2112,4,0)</f>
        <v>#N/A</v>
      </c>
    </row>
    <row r="334" spans="22:29" ht="20.100000000000001" customHeight="1">
      <c r="V334" s="944" t="e">
        <f>VLOOKUP(U334,R_DD!$B$6:$E$2112,3,0)</f>
        <v>#N/A</v>
      </c>
      <c r="W334" s="943" t="e">
        <f>VLOOKUP(U334,R_DD!$B$6:$E$2112,4,0)</f>
        <v>#N/A</v>
      </c>
      <c r="Z334" s="946" t="e">
        <f>VLOOKUP(X334,R_DD!$B$6:$E$2112,3,0)</f>
        <v>#N/A</v>
      </c>
      <c r="AA334" s="946" t="e">
        <f>VLOOKUP(Y334,R_DD!$A$1:$L$2131,4,0)</f>
        <v>#N/A</v>
      </c>
      <c r="AB334" s="947" t="e">
        <f>VLOOKUP(Y334,R_DD!$A$1:$L$2131,5,0)</f>
        <v>#N/A</v>
      </c>
      <c r="AC334" s="947" t="e">
        <f>VLOOKUP(X334,R_DD!$B$6:$E$2112,4,0)</f>
        <v>#N/A</v>
      </c>
    </row>
    <row r="335" spans="22:29" ht="20.100000000000001" customHeight="1">
      <c r="V335" s="944" t="e">
        <f>VLOOKUP(U335,R_DD!$B$6:$E$2112,3,0)</f>
        <v>#N/A</v>
      </c>
      <c r="W335" s="943" t="e">
        <f>VLOOKUP(U335,R_DD!$B$6:$E$2112,4,0)</f>
        <v>#N/A</v>
      </c>
      <c r="Z335" s="946" t="e">
        <f>VLOOKUP(X335,R_DD!$B$6:$E$2112,3,0)</f>
        <v>#N/A</v>
      </c>
      <c r="AA335" s="946" t="e">
        <f>VLOOKUP(Y335,R_DD!$A$1:$L$2131,4,0)</f>
        <v>#N/A</v>
      </c>
      <c r="AB335" s="947" t="e">
        <f>VLOOKUP(Y335,R_DD!$A$1:$L$2131,5,0)</f>
        <v>#N/A</v>
      </c>
      <c r="AC335" s="947" t="e">
        <f>VLOOKUP(X335,R_DD!$B$6:$E$2112,4,0)</f>
        <v>#N/A</v>
      </c>
    </row>
    <row r="336" spans="22:29" ht="20.100000000000001" customHeight="1">
      <c r="V336" s="944" t="e">
        <f>VLOOKUP(U336,R_DD!$B$6:$E$2112,3,0)</f>
        <v>#N/A</v>
      </c>
      <c r="W336" s="943" t="e">
        <f>VLOOKUP(U336,R_DD!$B$6:$E$2112,4,0)</f>
        <v>#N/A</v>
      </c>
      <c r="Z336" s="946" t="e">
        <f>VLOOKUP(X336,R_DD!$B$6:$E$2112,3,0)</f>
        <v>#N/A</v>
      </c>
      <c r="AA336" s="946" t="e">
        <f>VLOOKUP(Y336,R_DD!$A$1:$L$2131,4,0)</f>
        <v>#N/A</v>
      </c>
      <c r="AB336" s="947" t="e">
        <f>VLOOKUP(Y336,R_DD!$A$1:$L$2131,5,0)</f>
        <v>#N/A</v>
      </c>
      <c r="AC336" s="947" t="e">
        <f>VLOOKUP(X336,R_DD!$B$6:$E$2112,4,0)</f>
        <v>#N/A</v>
      </c>
    </row>
    <row r="337" spans="22:29" ht="20.100000000000001" customHeight="1">
      <c r="V337" s="944" t="e">
        <f>VLOOKUP(U337,R_DD!$B$6:$E$2112,3,0)</f>
        <v>#N/A</v>
      </c>
      <c r="W337" s="943" t="e">
        <f>VLOOKUP(U337,R_DD!$B$6:$E$2112,4,0)</f>
        <v>#N/A</v>
      </c>
      <c r="Z337" s="946" t="e">
        <f>VLOOKUP(X337,R_DD!$B$6:$E$2112,3,0)</f>
        <v>#N/A</v>
      </c>
      <c r="AA337" s="946" t="e">
        <f>VLOOKUP(Y337,R_DD!$A$1:$L$2131,4,0)</f>
        <v>#N/A</v>
      </c>
      <c r="AB337" s="947" t="e">
        <f>VLOOKUP(Y337,R_DD!$A$1:$L$2131,5,0)</f>
        <v>#N/A</v>
      </c>
      <c r="AC337" s="947" t="e">
        <f>VLOOKUP(X337,R_DD!$B$6:$E$2112,4,0)</f>
        <v>#N/A</v>
      </c>
    </row>
    <row r="338" spans="22:29" ht="20.100000000000001" customHeight="1">
      <c r="V338" s="944" t="e">
        <f>VLOOKUP(U338,R_DD!$B$6:$E$2112,3,0)</f>
        <v>#N/A</v>
      </c>
      <c r="W338" s="943" t="e">
        <f>VLOOKUP(U338,R_DD!$B$6:$E$2112,4,0)</f>
        <v>#N/A</v>
      </c>
      <c r="Z338" s="946" t="e">
        <f>VLOOKUP(X338,R_DD!$B$6:$E$2112,3,0)</f>
        <v>#N/A</v>
      </c>
      <c r="AA338" s="946" t="e">
        <f>VLOOKUP(Y338,R_DD!$A$1:$L$2131,4,0)</f>
        <v>#N/A</v>
      </c>
      <c r="AB338" s="947" t="e">
        <f>VLOOKUP(Y338,R_DD!$A$1:$L$2131,5,0)</f>
        <v>#N/A</v>
      </c>
      <c r="AC338" s="947" t="e">
        <f>VLOOKUP(X338,R_DD!$B$6:$E$2112,4,0)</f>
        <v>#N/A</v>
      </c>
    </row>
    <row r="339" spans="22:29" ht="20.100000000000001" customHeight="1">
      <c r="V339" s="944" t="e">
        <f>VLOOKUP(U339,R_DD!$B$6:$E$2112,3,0)</f>
        <v>#N/A</v>
      </c>
      <c r="W339" s="943" t="e">
        <f>VLOOKUP(U339,R_DD!$B$6:$E$2112,4,0)</f>
        <v>#N/A</v>
      </c>
      <c r="Z339" s="946" t="e">
        <f>VLOOKUP(X339,R_DD!$B$6:$E$2112,3,0)</f>
        <v>#N/A</v>
      </c>
      <c r="AA339" s="946" t="e">
        <f>VLOOKUP(Y339,R_DD!$A$1:$L$2131,4,0)</f>
        <v>#N/A</v>
      </c>
      <c r="AB339" s="947" t="e">
        <f>VLOOKUP(Y339,R_DD!$A$1:$L$2131,5,0)</f>
        <v>#N/A</v>
      </c>
      <c r="AC339" s="947" t="e">
        <f>VLOOKUP(X339,R_DD!$B$6:$E$2112,4,0)</f>
        <v>#N/A</v>
      </c>
    </row>
    <row r="340" spans="22:29" ht="20.100000000000001" customHeight="1">
      <c r="V340" s="944" t="e">
        <f>VLOOKUP(U340,R_DD!$B$6:$E$2112,3,0)</f>
        <v>#N/A</v>
      </c>
      <c r="W340" s="943" t="e">
        <f>VLOOKUP(U340,R_DD!$B$6:$E$2112,4,0)</f>
        <v>#N/A</v>
      </c>
      <c r="Z340" s="946" t="e">
        <f>VLOOKUP(X340,R_DD!$B$6:$E$2112,3,0)</f>
        <v>#N/A</v>
      </c>
      <c r="AA340" s="946" t="e">
        <f>VLOOKUP(Y340,R_DD!$A$1:$L$2131,4,0)</f>
        <v>#N/A</v>
      </c>
      <c r="AB340" s="947" t="e">
        <f>VLOOKUP(Y340,R_DD!$A$1:$L$2131,5,0)</f>
        <v>#N/A</v>
      </c>
      <c r="AC340" s="947" t="e">
        <f>VLOOKUP(X340,R_DD!$B$6:$E$2112,4,0)</f>
        <v>#N/A</v>
      </c>
    </row>
    <row r="341" spans="22:29" ht="20.100000000000001" customHeight="1">
      <c r="V341" s="944" t="e">
        <f>VLOOKUP(U341,R_DD!$B$6:$E$2112,3,0)</f>
        <v>#N/A</v>
      </c>
      <c r="W341" s="943" t="e">
        <f>VLOOKUP(U341,R_DD!$B$6:$E$2112,4,0)</f>
        <v>#N/A</v>
      </c>
      <c r="Z341" s="946" t="e">
        <f>VLOOKUP(X341,R_DD!$B$6:$E$2112,3,0)</f>
        <v>#N/A</v>
      </c>
      <c r="AA341" s="946" t="e">
        <f>VLOOKUP(Y341,R_DD!$A$1:$L$2131,4,0)</f>
        <v>#N/A</v>
      </c>
      <c r="AB341" s="947" t="e">
        <f>VLOOKUP(Y341,R_DD!$A$1:$L$2131,5,0)</f>
        <v>#N/A</v>
      </c>
      <c r="AC341" s="947" t="e">
        <f>VLOOKUP(X341,R_DD!$B$6:$E$2112,4,0)</f>
        <v>#N/A</v>
      </c>
    </row>
    <row r="342" spans="22:29" ht="20.100000000000001" customHeight="1">
      <c r="V342" s="944" t="e">
        <f>VLOOKUP(U342,R_DD!$B$6:$E$2112,3,0)</f>
        <v>#N/A</v>
      </c>
      <c r="W342" s="943" t="e">
        <f>VLOOKUP(U342,R_DD!$B$6:$E$2112,4,0)</f>
        <v>#N/A</v>
      </c>
      <c r="Z342" s="946" t="e">
        <f>VLOOKUP(X342,R_DD!$B$6:$E$2112,3,0)</f>
        <v>#N/A</v>
      </c>
      <c r="AA342" s="946" t="e">
        <f>VLOOKUP(Y342,R_DD!$A$1:$L$2131,4,0)</f>
        <v>#N/A</v>
      </c>
      <c r="AB342" s="947" t="e">
        <f>VLOOKUP(Y342,R_DD!$A$1:$L$2131,5,0)</f>
        <v>#N/A</v>
      </c>
      <c r="AC342" s="947" t="e">
        <f>VLOOKUP(X342,R_DD!$B$6:$E$2112,4,0)</f>
        <v>#N/A</v>
      </c>
    </row>
    <row r="343" spans="22:29" ht="20.100000000000001" customHeight="1">
      <c r="V343" s="944" t="e">
        <f>VLOOKUP(U343,R_DD!$B$6:$E$2112,3,0)</f>
        <v>#N/A</v>
      </c>
      <c r="W343" s="943" t="e">
        <f>VLOOKUP(U343,R_DD!$B$6:$E$2112,4,0)</f>
        <v>#N/A</v>
      </c>
      <c r="Z343" s="946" t="e">
        <f>VLOOKUP(X343,R_DD!$B$6:$E$2112,3,0)</f>
        <v>#N/A</v>
      </c>
      <c r="AA343" s="946" t="e">
        <f>VLOOKUP(Y343,R_DD!$A$1:$L$2131,4,0)</f>
        <v>#N/A</v>
      </c>
      <c r="AB343" s="947" t="e">
        <f>VLOOKUP(Y343,R_DD!$A$1:$L$2131,5,0)</f>
        <v>#N/A</v>
      </c>
      <c r="AC343" s="947" t="e">
        <f>VLOOKUP(X343,R_DD!$B$6:$E$2112,4,0)</f>
        <v>#N/A</v>
      </c>
    </row>
    <row r="344" spans="22:29" ht="20.100000000000001" customHeight="1">
      <c r="V344" s="944" t="e">
        <f>VLOOKUP(U344,R_DD!$B$6:$E$2112,3,0)</f>
        <v>#N/A</v>
      </c>
      <c r="W344" s="943" t="e">
        <f>VLOOKUP(U344,R_DD!$B$6:$E$2112,4,0)</f>
        <v>#N/A</v>
      </c>
      <c r="Z344" s="946" t="e">
        <f>VLOOKUP(X344,R_DD!$B$6:$E$2112,3,0)</f>
        <v>#N/A</v>
      </c>
      <c r="AA344" s="946" t="e">
        <f>VLOOKUP(Y344,R_DD!$A$1:$L$2131,4,0)</f>
        <v>#N/A</v>
      </c>
      <c r="AB344" s="947" t="e">
        <f>VLOOKUP(Y344,R_DD!$A$1:$L$2131,5,0)</f>
        <v>#N/A</v>
      </c>
      <c r="AC344" s="947" t="e">
        <f>VLOOKUP(X344,R_DD!$B$6:$E$2112,4,0)</f>
        <v>#N/A</v>
      </c>
    </row>
    <row r="345" spans="22:29" ht="20.100000000000001" customHeight="1">
      <c r="V345" s="944" t="e">
        <f>VLOOKUP(U345,R_DD!$B$6:$E$2112,3,0)</f>
        <v>#N/A</v>
      </c>
      <c r="W345" s="943" t="e">
        <f>VLOOKUP(U345,R_DD!$B$6:$E$2112,4,0)</f>
        <v>#N/A</v>
      </c>
      <c r="Z345" s="946" t="e">
        <f>VLOOKUP(X345,R_DD!$B$6:$E$2112,3,0)</f>
        <v>#N/A</v>
      </c>
      <c r="AA345" s="946" t="e">
        <f>VLOOKUP(Y345,R_DD!$A$1:$L$2131,4,0)</f>
        <v>#N/A</v>
      </c>
      <c r="AB345" s="947" t="e">
        <f>VLOOKUP(Y345,R_DD!$A$1:$L$2131,5,0)</f>
        <v>#N/A</v>
      </c>
      <c r="AC345" s="947" t="e">
        <f>VLOOKUP(X345,R_DD!$B$6:$E$2112,4,0)</f>
        <v>#N/A</v>
      </c>
    </row>
    <row r="346" spans="22:29" ht="20.100000000000001" customHeight="1">
      <c r="V346" s="944" t="e">
        <f>VLOOKUP(U346,R_DD!$B$6:$E$2112,3,0)</f>
        <v>#N/A</v>
      </c>
      <c r="W346" s="943" t="e">
        <f>VLOOKUP(U346,R_DD!$B$6:$E$2112,4,0)</f>
        <v>#N/A</v>
      </c>
      <c r="Z346" s="946" t="e">
        <f>VLOOKUP(X346,R_DD!$B$6:$E$2112,3,0)</f>
        <v>#N/A</v>
      </c>
      <c r="AA346" s="946" t="e">
        <f>VLOOKUP(Y346,R_DD!$A$1:$L$2131,4,0)</f>
        <v>#N/A</v>
      </c>
      <c r="AB346" s="947" t="e">
        <f>VLOOKUP(Y346,R_DD!$A$1:$L$2131,5,0)</f>
        <v>#N/A</v>
      </c>
      <c r="AC346" s="947" t="e">
        <f>VLOOKUP(X346,R_DD!$B$6:$E$2112,4,0)</f>
        <v>#N/A</v>
      </c>
    </row>
    <row r="347" spans="22:29" ht="20.100000000000001" customHeight="1">
      <c r="V347" s="944" t="e">
        <f>VLOOKUP(U347,R_DD!$B$6:$E$2112,3,0)</f>
        <v>#N/A</v>
      </c>
      <c r="W347" s="943" t="e">
        <f>VLOOKUP(U347,R_DD!$B$6:$E$2112,4,0)</f>
        <v>#N/A</v>
      </c>
      <c r="Z347" s="946" t="e">
        <f>VLOOKUP(X347,R_DD!$B$6:$E$2112,3,0)</f>
        <v>#N/A</v>
      </c>
      <c r="AA347" s="946" t="e">
        <f>VLOOKUP(Y347,R_DD!$A$1:$L$2131,4,0)</f>
        <v>#N/A</v>
      </c>
      <c r="AB347" s="947" t="e">
        <f>VLOOKUP(Y347,R_DD!$A$1:$L$2131,5,0)</f>
        <v>#N/A</v>
      </c>
      <c r="AC347" s="947" t="e">
        <f>VLOOKUP(X347,R_DD!$B$6:$E$2112,4,0)</f>
        <v>#N/A</v>
      </c>
    </row>
    <row r="348" spans="22:29" ht="20.100000000000001" customHeight="1">
      <c r="V348" s="944" t="e">
        <f>VLOOKUP(U348,R_DD!$B$6:$E$2112,3,0)</f>
        <v>#N/A</v>
      </c>
      <c r="W348" s="943" t="e">
        <f>VLOOKUP(U348,R_DD!$B$6:$E$2112,4,0)</f>
        <v>#N/A</v>
      </c>
      <c r="Z348" s="946" t="e">
        <f>VLOOKUP(X348,R_DD!$B$6:$E$2112,3,0)</f>
        <v>#N/A</v>
      </c>
      <c r="AA348" s="946" t="e">
        <f>VLOOKUP(Y348,R_DD!$A$1:$L$2131,4,0)</f>
        <v>#N/A</v>
      </c>
      <c r="AB348" s="947" t="e">
        <f>VLOOKUP(Y348,R_DD!$A$1:$L$2131,5,0)</f>
        <v>#N/A</v>
      </c>
      <c r="AC348" s="947" t="e">
        <f>VLOOKUP(X348,R_DD!$B$6:$E$2112,4,0)</f>
        <v>#N/A</v>
      </c>
    </row>
    <row r="349" spans="22:29" ht="20.100000000000001" customHeight="1">
      <c r="V349" s="944" t="e">
        <f>VLOOKUP(U349,R_DD!$B$6:$E$2112,3,0)</f>
        <v>#N/A</v>
      </c>
      <c r="W349" s="943" t="e">
        <f>VLOOKUP(U349,R_DD!$B$6:$E$2112,4,0)</f>
        <v>#N/A</v>
      </c>
      <c r="Z349" s="946" t="e">
        <f>VLOOKUP(X349,R_DD!$B$6:$E$2112,3,0)</f>
        <v>#N/A</v>
      </c>
      <c r="AA349" s="946" t="e">
        <f>VLOOKUP(Y349,R_DD!$A$1:$L$2131,4,0)</f>
        <v>#N/A</v>
      </c>
      <c r="AB349" s="947" t="e">
        <f>VLOOKUP(Y349,R_DD!$A$1:$L$2131,5,0)</f>
        <v>#N/A</v>
      </c>
      <c r="AC349" s="947" t="e">
        <f>VLOOKUP(X349,R_DD!$B$6:$E$2112,4,0)</f>
        <v>#N/A</v>
      </c>
    </row>
    <row r="350" spans="22:29" ht="20.100000000000001" customHeight="1">
      <c r="V350" s="944" t="e">
        <f>VLOOKUP(U350,R_DD!$B$6:$E$2112,3,0)</f>
        <v>#N/A</v>
      </c>
      <c r="W350" s="943" t="e">
        <f>VLOOKUP(U350,R_DD!$B$6:$E$2112,4,0)</f>
        <v>#N/A</v>
      </c>
      <c r="Z350" s="946" t="e">
        <f>VLOOKUP(X350,R_DD!$B$6:$E$2112,3,0)</f>
        <v>#N/A</v>
      </c>
      <c r="AA350" s="946" t="e">
        <f>VLOOKUP(Y350,R_DD!$A$1:$L$2131,4,0)</f>
        <v>#N/A</v>
      </c>
      <c r="AB350" s="947" t="e">
        <f>VLOOKUP(Y350,R_DD!$A$1:$L$2131,5,0)</f>
        <v>#N/A</v>
      </c>
      <c r="AC350" s="947" t="e">
        <f>VLOOKUP(X350,R_DD!$B$6:$E$2112,4,0)</f>
        <v>#N/A</v>
      </c>
    </row>
    <row r="351" spans="22:29" ht="20.100000000000001" customHeight="1">
      <c r="V351" s="944" t="e">
        <f>VLOOKUP(U351,R_DD!$B$6:$E$2112,3,0)</f>
        <v>#N/A</v>
      </c>
      <c r="W351" s="943" t="e">
        <f>VLOOKUP(U351,R_DD!$B$6:$E$2112,4,0)</f>
        <v>#N/A</v>
      </c>
      <c r="Z351" s="946" t="e">
        <f>VLOOKUP(X351,R_DD!$B$6:$E$2112,3,0)</f>
        <v>#N/A</v>
      </c>
      <c r="AA351" s="946" t="e">
        <f>VLOOKUP(Y351,R_DD!$A$1:$L$2131,4,0)</f>
        <v>#N/A</v>
      </c>
      <c r="AB351" s="947" t="e">
        <f>VLOOKUP(Y351,R_DD!$A$1:$L$2131,5,0)</f>
        <v>#N/A</v>
      </c>
      <c r="AC351" s="947" t="e">
        <f>VLOOKUP(X351,R_DD!$B$6:$E$2112,4,0)</f>
        <v>#N/A</v>
      </c>
    </row>
    <row r="352" spans="22:29" ht="20.100000000000001" customHeight="1">
      <c r="V352" s="944" t="e">
        <f>VLOOKUP(U352,R_DD!$B$6:$E$2112,3,0)</f>
        <v>#N/A</v>
      </c>
      <c r="W352" s="943" t="e">
        <f>VLOOKUP(U352,R_DD!$B$6:$E$2112,4,0)</f>
        <v>#N/A</v>
      </c>
      <c r="Z352" s="946" t="e">
        <f>VLOOKUP(X352,R_DD!$B$6:$E$2112,3,0)</f>
        <v>#N/A</v>
      </c>
      <c r="AA352" s="946" t="e">
        <f>VLOOKUP(Y352,R_DD!$A$1:$L$2131,4,0)</f>
        <v>#N/A</v>
      </c>
      <c r="AB352" s="947" t="e">
        <f>VLOOKUP(Y352,R_DD!$A$1:$L$2131,5,0)</f>
        <v>#N/A</v>
      </c>
      <c r="AC352" s="947" t="e">
        <f>VLOOKUP(X352,R_DD!$B$6:$E$2112,4,0)</f>
        <v>#N/A</v>
      </c>
    </row>
    <row r="353" spans="22:29" ht="20.100000000000001" customHeight="1">
      <c r="V353" s="944" t="e">
        <f>VLOOKUP(U353,R_DD!$B$6:$E$2112,3,0)</f>
        <v>#N/A</v>
      </c>
      <c r="W353" s="943" t="e">
        <f>VLOOKUP(U353,R_DD!$B$6:$E$2112,4,0)</f>
        <v>#N/A</v>
      </c>
      <c r="Z353" s="946" t="e">
        <f>VLOOKUP(X353,R_DD!$B$6:$E$2112,3,0)</f>
        <v>#N/A</v>
      </c>
      <c r="AA353" s="946" t="e">
        <f>VLOOKUP(Y353,R_DD!$A$1:$L$2131,4,0)</f>
        <v>#N/A</v>
      </c>
      <c r="AB353" s="947" t="e">
        <f>VLOOKUP(Y353,R_DD!$A$1:$L$2131,5,0)</f>
        <v>#N/A</v>
      </c>
      <c r="AC353" s="947" t="e">
        <f>VLOOKUP(X353,R_DD!$B$6:$E$2112,4,0)</f>
        <v>#N/A</v>
      </c>
    </row>
    <row r="354" spans="22:29" ht="20.100000000000001" customHeight="1">
      <c r="V354" s="944" t="e">
        <f>VLOOKUP(U354,R_DD!$B$6:$E$2112,3,0)</f>
        <v>#N/A</v>
      </c>
      <c r="W354" s="943" t="e">
        <f>VLOOKUP(U354,R_DD!$B$6:$E$2112,4,0)</f>
        <v>#N/A</v>
      </c>
      <c r="Z354" s="946" t="e">
        <f>VLOOKUP(X354,R_DD!$B$6:$E$2112,3,0)</f>
        <v>#N/A</v>
      </c>
      <c r="AA354" s="946" t="e">
        <f>VLOOKUP(Y354,R_DD!$A$1:$L$2131,4,0)</f>
        <v>#N/A</v>
      </c>
      <c r="AB354" s="947" t="e">
        <f>VLOOKUP(Y354,R_DD!$A$1:$L$2131,5,0)</f>
        <v>#N/A</v>
      </c>
      <c r="AC354" s="947" t="e">
        <f>VLOOKUP(X354,R_DD!$B$6:$E$2112,4,0)</f>
        <v>#N/A</v>
      </c>
    </row>
    <row r="355" spans="22:29" ht="20.100000000000001" customHeight="1">
      <c r="V355" s="944" t="e">
        <f>VLOOKUP(U355,R_DD!$B$6:$E$2112,3,0)</f>
        <v>#N/A</v>
      </c>
      <c r="W355" s="943" t="e">
        <f>VLOOKUP(U355,R_DD!$B$6:$E$2112,4,0)</f>
        <v>#N/A</v>
      </c>
      <c r="Z355" s="946" t="e">
        <f>VLOOKUP(X355,R_DD!$B$6:$E$2112,3,0)</f>
        <v>#N/A</v>
      </c>
      <c r="AA355" s="946" t="e">
        <f>VLOOKUP(Y355,R_DD!$A$1:$L$2131,4,0)</f>
        <v>#N/A</v>
      </c>
      <c r="AB355" s="947" t="e">
        <f>VLOOKUP(Y355,R_DD!$A$1:$L$2131,5,0)</f>
        <v>#N/A</v>
      </c>
      <c r="AC355" s="947" t="e">
        <f>VLOOKUP(X355,R_DD!$B$6:$E$2112,4,0)</f>
        <v>#N/A</v>
      </c>
    </row>
    <row r="356" spans="22:29" ht="20.100000000000001" customHeight="1">
      <c r="V356" s="944" t="e">
        <f>VLOOKUP(U356,R_DD!$B$6:$E$2112,3,0)</f>
        <v>#N/A</v>
      </c>
      <c r="W356" s="943" t="e">
        <f>VLOOKUP(U356,R_DD!$B$6:$E$2112,4,0)</f>
        <v>#N/A</v>
      </c>
      <c r="Z356" s="946" t="e">
        <f>VLOOKUP(X356,R_DD!$B$6:$E$2112,3,0)</f>
        <v>#N/A</v>
      </c>
      <c r="AA356" s="946" t="e">
        <f>VLOOKUP(Y356,R_DD!$A$1:$L$2131,4,0)</f>
        <v>#N/A</v>
      </c>
      <c r="AB356" s="947" t="e">
        <f>VLOOKUP(Y356,R_DD!$A$1:$L$2131,5,0)</f>
        <v>#N/A</v>
      </c>
      <c r="AC356" s="947" t="e">
        <f>VLOOKUP(X356,R_DD!$B$6:$E$2112,4,0)</f>
        <v>#N/A</v>
      </c>
    </row>
    <row r="357" spans="22:29" ht="20.100000000000001" customHeight="1">
      <c r="V357" s="944" t="e">
        <f>VLOOKUP(U357,R_DD!$B$6:$E$2112,3,0)</f>
        <v>#N/A</v>
      </c>
      <c r="W357" s="943" t="e">
        <f>VLOOKUP(U357,R_DD!$B$6:$E$2112,4,0)</f>
        <v>#N/A</v>
      </c>
      <c r="Z357" s="946" t="e">
        <f>VLOOKUP(X357,R_DD!$B$6:$E$2112,3,0)</f>
        <v>#N/A</v>
      </c>
      <c r="AA357" s="946" t="e">
        <f>VLOOKUP(Y357,R_DD!$A$1:$L$2131,4,0)</f>
        <v>#N/A</v>
      </c>
      <c r="AB357" s="947" t="e">
        <f>VLOOKUP(Y357,R_DD!$A$1:$L$2131,5,0)</f>
        <v>#N/A</v>
      </c>
      <c r="AC357" s="947" t="e">
        <f>VLOOKUP(X357,R_DD!$B$6:$E$2112,4,0)</f>
        <v>#N/A</v>
      </c>
    </row>
    <row r="358" spans="22:29" ht="20.100000000000001" customHeight="1">
      <c r="V358" s="944" t="e">
        <f>VLOOKUP(U358,R_DD!$B$6:$E$2112,3,0)</f>
        <v>#N/A</v>
      </c>
      <c r="W358" s="943" t="e">
        <f>VLOOKUP(U358,R_DD!$B$6:$E$2112,4,0)</f>
        <v>#N/A</v>
      </c>
      <c r="Z358" s="946" t="e">
        <f>VLOOKUP(X358,R_DD!$B$6:$E$2112,3,0)</f>
        <v>#N/A</v>
      </c>
      <c r="AA358" s="946" t="e">
        <f>VLOOKUP(Y358,R_DD!$A$1:$L$2131,4,0)</f>
        <v>#N/A</v>
      </c>
      <c r="AB358" s="947" t="e">
        <f>VLOOKUP(Y358,R_DD!$A$1:$L$2131,5,0)</f>
        <v>#N/A</v>
      </c>
      <c r="AC358" s="947" t="e">
        <f>VLOOKUP(X358,R_DD!$B$6:$E$2112,4,0)</f>
        <v>#N/A</v>
      </c>
    </row>
    <row r="359" spans="22:29" ht="20.100000000000001" customHeight="1">
      <c r="V359" s="944" t="e">
        <f>VLOOKUP(U359,R_DD!$B$6:$E$2112,3,0)</f>
        <v>#N/A</v>
      </c>
      <c r="W359" s="943" t="e">
        <f>VLOOKUP(U359,R_DD!$B$6:$E$2112,4,0)</f>
        <v>#N/A</v>
      </c>
      <c r="Z359" s="946" t="e">
        <f>VLOOKUP(X359,R_DD!$B$6:$E$2112,3,0)</f>
        <v>#N/A</v>
      </c>
      <c r="AA359" s="946" t="e">
        <f>VLOOKUP(Y359,R_DD!$A$1:$L$2131,4,0)</f>
        <v>#N/A</v>
      </c>
      <c r="AB359" s="947" t="e">
        <f>VLOOKUP(Y359,R_DD!$A$1:$L$2131,5,0)</f>
        <v>#N/A</v>
      </c>
      <c r="AC359" s="947" t="e">
        <f>VLOOKUP(X359,R_DD!$B$6:$E$2112,4,0)</f>
        <v>#N/A</v>
      </c>
    </row>
    <row r="360" spans="22:29" ht="20.100000000000001" customHeight="1">
      <c r="V360" s="944" t="e">
        <f>VLOOKUP(U360,R_DD!$B$6:$E$2112,3,0)</f>
        <v>#N/A</v>
      </c>
      <c r="W360" s="943" t="e">
        <f>VLOOKUP(U360,R_DD!$B$6:$E$2112,4,0)</f>
        <v>#N/A</v>
      </c>
      <c r="Z360" s="946" t="e">
        <f>VLOOKUP(X360,R_DD!$B$6:$E$2112,3,0)</f>
        <v>#N/A</v>
      </c>
      <c r="AA360" s="946" t="e">
        <f>VLOOKUP(Y360,R_DD!$A$1:$L$2131,4,0)</f>
        <v>#N/A</v>
      </c>
      <c r="AB360" s="947" t="e">
        <f>VLOOKUP(Y360,R_DD!$A$1:$L$2131,5,0)</f>
        <v>#N/A</v>
      </c>
      <c r="AC360" s="947" t="e">
        <f>VLOOKUP(X360,R_DD!$B$6:$E$2112,4,0)</f>
        <v>#N/A</v>
      </c>
    </row>
    <row r="361" spans="22:29" ht="20.100000000000001" customHeight="1">
      <c r="V361" s="944" t="e">
        <f>VLOOKUP(U361,R_DD!$B$6:$E$2112,3,0)</f>
        <v>#N/A</v>
      </c>
      <c r="W361" s="943" t="e">
        <f>VLOOKUP(U361,R_DD!$B$6:$E$2112,4,0)</f>
        <v>#N/A</v>
      </c>
      <c r="Z361" s="946" t="e">
        <f>VLOOKUP(X361,R_DD!$B$6:$E$2112,3,0)</f>
        <v>#N/A</v>
      </c>
      <c r="AA361" s="946" t="e">
        <f>VLOOKUP(Y361,R_DD!$A$1:$L$2131,4,0)</f>
        <v>#N/A</v>
      </c>
      <c r="AB361" s="947" t="e">
        <f>VLOOKUP(Y361,R_DD!$A$1:$L$2131,5,0)</f>
        <v>#N/A</v>
      </c>
      <c r="AC361" s="947" t="e">
        <f>VLOOKUP(X361,R_DD!$B$6:$E$2112,4,0)</f>
        <v>#N/A</v>
      </c>
    </row>
    <row r="362" spans="22:29" ht="20.100000000000001" customHeight="1">
      <c r="V362" s="944" t="e">
        <f>VLOOKUP(U362,R_DD!$B$6:$E$2112,3,0)</f>
        <v>#N/A</v>
      </c>
      <c r="W362" s="943" t="e">
        <f>VLOOKUP(U362,R_DD!$B$6:$E$2112,4,0)</f>
        <v>#N/A</v>
      </c>
      <c r="Z362" s="946" t="e">
        <f>VLOOKUP(X362,R_DD!$B$6:$E$2112,3,0)</f>
        <v>#N/A</v>
      </c>
      <c r="AA362" s="946" t="e">
        <f>VLOOKUP(Y362,R_DD!$A$1:$L$2131,4,0)</f>
        <v>#N/A</v>
      </c>
      <c r="AB362" s="947" t="e">
        <f>VLOOKUP(Y362,R_DD!$A$1:$L$2131,5,0)</f>
        <v>#N/A</v>
      </c>
      <c r="AC362" s="947" t="e">
        <f>VLOOKUP(X362,R_DD!$B$6:$E$2112,4,0)</f>
        <v>#N/A</v>
      </c>
    </row>
    <row r="363" spans="22:29" ht="20.100000000000001" customHeight="1">
      <c r="V363" s="944" t="e">
        <f>VLOOKUP(U363,R_DD!$B$6:$E$2112,3,0)</f>
        <v>#N/A</v>
      </c>
      <c r="W363" s="943" t="e">
        <f>VLOOKUP(U363,R_DD!$B$6:$E$2112,4,0)</f>
        <v>#N/A</v>
      </c>
      <c r="Z363" s="946" t="e">
        <f>VLOOKUP(X363,R_DD!$B$6:$E$2112,3,0)</f>
        <v>#N/A</v>
      </c>
      <c r="AA363" s="946" t="e">
        <f>VLOOKUP(Y363,R_DD!$A$1:$L$2131,4,0)</f>
        <v>#N/A</v>
      </c>
      <c r="AB363" s="947" t="e">
        <f>VLOOKUP(Y363,R_DD!$A$1:$L$2131,5,0)</f>
        <v>#N/A</v>
      </c>
      <c r="AC363" s="947" t="e">
        <f>VLOOKUP(X363,R_DD!$B$6:$E$2112,4,0)</f>
        <v>#N/A</v>
      </c>
    </row>
    <row r="364" spans="22:29" ht="20.100000000000001" customHeight="1">
      <c r="V364" s="944" t="e">
        <f>VLOOKUP(U364,R_DD!$B$6:$E$2112,3,0)</f>
        <v>#N/A</v>
      </c>
      <c r="W364" s="943" t="e">
        <f>VLOOKUP(U364,R_DD!$B$6:$E$2112,4,0)</f>
        <v>#N/A</v>
      </c>
      <c r="Z364" s="946" t="e">
        <f>VLOOKUP(X364,R_DD!$B$6:$E$2112,3,0)</f>
        <v>#N/A</v>
      </c>
      <c r="AA364" s="946" t="e">
        <f>VLOOKUP(Y364,R_DD!$A$1:$L$2131,4,0)</f>
        <v>#N/A</v>
      </c>
      <c r="AB364" s="947" t="e">
        <f>VLOOKUP(Y364,R_DD!$A$1:$L$2131,5,0)</f>
        <v>#N/A</v>
      </c>
      <c r="AC364" s="947" t="e">
        <f>VLOOKUP(X364,R_DD!$B$6:$E$2112,4,0)</f>
        <v>#N/A</v>
      </c>
    </row>
    <row r="365" spans="22:29" ht="20.100000000000001" customHeight="1">
      <c r="V365" s="944" t="e">
        <f>VLOOKUP(U365,R_DD!$B$6:$E$2112,3,0)</f>
        <v>#N/A</v>
      </c>
      <c r="W365" s="943" t="e">
        <f>VLOOKUP(U365,R_DD!$B$6:$E$2112,4,0)</f>
        <v>#N/A</v>
      </c>
      <c r="Z365" s="946" t="e">
        <f>VLOOKUP(X365,R_DD!$B$6:$E$2112,3,0)</f>
        <v>#N/A</v>
      </c>
      <c r="AA365" s="946" t="e">
        <f>VLOOKUP(Y365,R_DD!$A$1:$L$2131,4,0)</f>
        <v>#N/A</v>
      </c>
      <c r="AB365" s="947" t="e">
        <f>VLOOKUP(Y365,R_DD!$A$1:$L$2131,5,0)</f>
        <v>#N/A</v>
      </c>
      <c r="AC365" s="947" t="e">
        <f>VLOOKUP(X365,R_DD!$B$6:$E$2112,4,0)</f>
        <v>#N/A</v>
      </c>
    </row>
    <row r="366" spans="22:29" ht="20.100000000000001" customHeight="1">
      <c r="V366" s="944" t="e">
        <f>VLOOKUP(U366,R_DD!$B$6:$E$2112,3,0)</f>
        <v>#N/A</v>
      </c>
      <c r="W366" s="943" t="e">
        <f>VLOOKUP(U366,R_DD!$B$6:$E$2112,4,0)</f>
        <v>#N/A</v>
      </c>
      <c r="Z366" s="946" t="e">
        <f>VLOOKUP(X366,R_DD!$B$6:$E$2112,3,0)</f>
        <v>#N/A</v>
      </c>
      <c r="AA366" s="946" t="e">
        <f>VLOOKUP(Y366,R_DD!$A$1:$L$2131,4,0)</f>
        <v>#N/A</v>
      </c>
      <c r="AB366" s="947" t="e">
        <f>VLOOKUP(Y366,R_DD!$A$1:$L$2131,5,0)</f>
        <v>#N/A</v>
      </c>
      <c r="AC366" s="947" t="e">
        <f>VLOOKUP(X366,R_DD!$B$6:$E$2112,4,0)</f>
        <v>#N/A</v>
      </c>
    </row>
    <row r="367" spans="22:29" ht="20.100000000000001" customHeight="1">
      <c r="V367" s="944" t="e">
        <f>VLOOKUP(U367,R_DD!$B$6:$E$2112,3,0)</f>
        <v>#N/A</v>
      </c>
      <c r="W367" s="943" t="e">
        <f>VLOOKUP(U367,R_DD!$B$6:$E$2112,4,0)</f>
        <v>#N/A</v>
      </c>
      <c r="Z367" s="946" t="e">
        <f>VLOOKUP(X367,R_DD!$B$6:$E$2112,3,0)</f>
        <v>#N/A</v>
      </c>
      <c r="AA367" s="946" t="e">
        <f>VLOOKUP(Y367,R_DD!$A$1:$L$2131,4,0)</f>
        <v>#N/A</v>
      </c>
      <c r="AB367" s="947" t="e">
        <f>VLOOKUP(Y367,R_DD!$A$1:$L$2131,5,0)</f>
        <v>#N/A</v>
      </c>
      <c r="AC367" s="947" t="e">
        <f>VLOOKUP(X367,R_DD!$B$6:$E$2112,4,0)</f>
        <v>#N/A</v>
      </c>
    </row>
    <row r="368" spans="22:29" ht="20.100000000000001" customHeight="1">
      <c r="V368" s="944" t="e">
        <f>VLOOKUP(U368,R_DD!$B$6:$E$2112,3,0)</f>
        <v>#N/A</v>
      </c>
      <c r="W368" s="943" t="e">
        <f>VLOOKUP(U368,R_DD!$B$6:$E$2112,4,0)</f>
        <v>#N/A</v>
      </c>
      <c r="Z368" s="946" t="e">
        <f>VLOOKUP(X368,R_DD!$B$6:$E$2112,3,0)</f>
        <v>#N/A</v>
      </c>
      <c r="AA368" s="946" t="e">
        <f>VLOOKUP(Y368,R_DD!$A$1:$L$2131,4,0)</f>
        <v>#N/A</v>
      </c>
      <c r="AB368" s="947" t="e">
        <f>VLOOKUP(Y368,R_DD!$A$1:$L$2131,5,0)</f>
        <v>#N/A</v>
      </c>
      <c r="AC368" s="947" t="e">
        <f>VLOOKUP(X368,R_DD!$B$6:$E$2112,4,0)</f>
        <v>#N/A</v>
      </c>
    </row>
    <row r="369" spans="22:29" ht="20.100000000000001" customHeight="1">
      <c r="V369" s="944" t="e">
        <f>VLOOKUP(U369,R_DD!$B$6:$E$2112,3,0)</f>
        <v>#N/A</v>
      </c>
      <c r="W369" s="943" t="e">
        <f>VLOOKUP(U369,R_DD!$B$6:$E$2112,4,0)</f>
        <v>#N/A</v>
      </c>
      <c r="Z369" s="946" t="e">
        <f>VLOOKUP(X369,R_DD!$B$6:$E$2112,3,0)</f>
        <v>#N/A</v>
      </c>
      <c r="AA369" s="946" t="e">
        <f>VLOOKUP(Y369,R_DD!$A$1:$L$2131,4,0)</f>
        <v>#N/A</v>
      </c>
      <c r="AB369" s="947" t="e">
        <f>VLOOKUP(Y369,R_DD!$A$1:$L$2131,5,0)</f>
        <v>#N/A</v>
      </c>
      <c r="AC369" s="947" t="e">
        <f>VLOOKUP(X369,R_DD!$B$6:$E$2112,4,0)</f>
        <v>#N/A</v>
      </c>
    </row>
    <row r="370" spans="22:29" ht="20.100000000000001" customHeight="1">
      <c r="V370" s="944" t="e">
        <f>VLOOKUP(U370,R_DD!$B$6:$E$2112,3,0)</f>
        <v>#N/A</v>
      </c>
      <c r="W370" s="943" t="e">
        <f>VLOOKUP(U370,R_DD!$B$6:$E$2112,4,0)</f>
        <v>#N/A</v>
      </c>
      <c r="Z370" s="946" t="e">
        <f>VLOOKUP(X370,R_DD!$B$6:$E$2112,3,0)</f>
        <v>#N/A</v>
      </c>
      <c r="AA370" s="946" t="e">
        <f>VLOOKUP(Y370,R_DD!$A$1:$L$2131,4,0)</f>
        <v>#N/A</v>
      </c>
      <c r="AB370" s="947" t="e">
        <f>VLOOKUP(Y370,R_DD!$A$1:$L$2131,5,0)</f>
        <v>#N/A</v>
      </c>
      <c r="AC370" s="947" t="e">
        <f>VLOOKUP(X370,R_DD!$B$6:$E$2112,4,0)</f>
        <v>#N/A</v>
      </c>
    </row>
    <row r="371" spans="22:29" ht="20.100000000000001" customHeight="1">
      <c r="V371" s="944" t="e">
        <f>VLOOKUP(U371,R_DD!$B$6:$E$2112,3,0)</f>
        <v>#N/A</v>
      </c>
      <c r="W371" s="943" t="e">
        <f>VLOOKUP(U371,R_DD!$B$6:$E$2112,4,0)</f>
        <v>#N/A</v>
      </c>
      <c r="Z371" s="946" t="e">
        <f>VLOOKUP(X371,R_DD!$B$6:$E$2112,3,0)</f>
        <v>#N/A</v>
      </c>
      <c r="AA371" s="946" t="e">
        <f>VLOOKUP(Y371,R_DD!$A$1:$L$2131,4,0)</f>
        <v>#N/A</v>
      </c>
      <c r="AB371" s="947" t="e">
        <f>VLOOKUP(Y371,R_DD!$A$1:$L$2131,5,0)</f>
        <v>#N/A</v>
      </c>
      <c r="AC371" s="947" t="e">
        <f>VLOOKUP(X371,R_DD!$B$6:$E$2112,4,0)</f>
        <v>#N/A</v>
      </c>
    </row>
    <row r="372" spans="22:29" ht="20.100000000000001" customHeight="1">
      <c r="V372" s="944" t="e">
        <f>VLOOKUP(U372,R_DD!$B$6:$E$2112,3,0)</f>
        <v>#N/A</v>
      </c>
      <c r="W372" s="943" t="e">
        <f>VLOOKUP(U372,R_DD!$B$6:$E$2112,4,0)</f>
        <v>#N/A</v>
      </c>
      <c r="Z372" s="946" t="e">
        <f>VLOOKUP(X372,R_DD!$B$6:$E$2112,3,0)</f>
        <v>#N/A</v>
      </c>
      <c r="AA372" s="946" t="e">
        <f>VLOOKUP(Y372,R_DD!$A$1:$L$2131,4,0)</f>
        <v>#N/A</v>
      </c>
      <c r="AB372" s="947" t="e">
        <f>VLOOKUP(Y372,R_DD!$A$1:$L$2131,5,0)</f>
        <v>#N/A</v>
      </c>
      <c r="AC372" s="947" t="e">
        <f>VLOOKUP(X372,R_DD!$B$6:$E$2112,4,0)</f>
        <v>#N/A</v>
      </c>
    </row>
    <row r="373" spans="22:29" ht="20.100000000000001" customHeight="1">
      <c r="V373" s="944" t="e">
        <f>VLOOKUP(U373,R_DD!$B$6:$E$2112,3,0)</f>
        <v>#N/A</v>
      </c>
      <c r="W373" s="943" t="e">
        <f>VLOOKUP(U373,R_DD!$B$6:$E$2112,4,0)</f>
        <v>#N/A</v>
      </c>
      <c r="Z373" s="946" t="e">
        <f>VLOOKUP(X373,R_DD!$B$6:$E$2112,3,0)</f>
        <v>#N/A</v>
      </c>
      <c r="AA373" s="946" t="e">
        <f>VLOOKUP(Y373,R_DD!$A$1:$L$2131,4,0)</f>
        <v>#N/A</v>
      </c>
      <c r="AB373" s="947" t="e">
        <f>VLOOKUP(Y373,R_DD!$A$1:$L$2131,5,0)</f>
        <v>#N/A</v>
      </c>
      <c r="AC373" s="947" t="e">
        <f>VLOOKUP(X373,R_DD!$B$6:$E$2112,4,0)</f>
        <v>#N/A</v>
      </c>
    </row>
    <row r="374" spans="22:29" ht="20.100000000000001" customHeight="1">
      <c r="V374" s="944" t="e">
        <f>VLOOKUP(U374,R_DD!$B$6:$E$2112,3,0)</f>
        <v>#N/A</v>
      </c>
      <c r="W374" s="943" t="e">
        <f>VLOOKUP(U374,R_DD!$B$6:$E$2112,4,0)</f>
        <v>#N/A</v>
      </c>
      <c r="Z374" s="946" t="e">
        <f>VLOOKUP(X374,R_DD!$B$6:$E$2112,3,0)</f>
        <v>#N/A</v>
      </c>
      <c r="AA374" s="946" t="e">
        <f>VLOOKUP(Y374,R_DD!$A$1:$L$2131,4,0)</f>
        <v>#N/A</v>
      </c>
      <c r="AB374" s="947" t="e">
        <f>VLOOKUP(Y374,R_DD!$A$1:$L$2131,5,0)</f>
        <v>#N/A</v>
      </c>
      <c r="AC374" s="947" t="e">
        <f>VLOOKUP(X374,R_DD!$B$6:$E$2112,4,0)</f>
        <v>#N/A</v>
      </c>
    </row>
    <row r="375" spans="22:29" ht="20.100000000000001" customHeight="1">
      <c r="V375" s="944" t="e">
        <f>VLOOKUP(U375,R_DD!$B$6:$E$2112,3,0)</f>
        <v>#N/A</v>
      </c>
      <c r="W375" s="943" t="e">
        <f>VLOOKUP(U375,R_DD!$B$6:$E$2112,4,0)</f>
        <v>#N/A</v>
      </c>
      <c r="Z375" s="946" t="e">
        <f>VLOOKUP(X375,R_DD!$B$6:$E$2112,3,0)</f>
        <v>#N/A</v>
      </c>
      <c r="AA375" s="946" t="e">
        <f>VLOOKUP(Y375,R_DD!$A$1:$L$2131,4,0)</f>
        <v>#N/A</v>
      </c>
      <c r="AB375" s="947" t="e">
        <f>VLOOKUP(Y375,R_DD!$A$1:$L$2131,5,0)</f>
        <v>#N/A</v>
      </c>
      <c r="AC375" s="947" t="e">
        <f>VLOOKUP(X375,R_DD!$B$6:$E$2112,4,0)</f>
        <v>#N/A</v>
      </c>
    </row>
    <row r="376" spans="22:29" ht="20.100000000000001" customHeight="1">
      <c r="V376" s="944" t="e">
        <f>VLOOKUP(U376,R_DD!$B$6:$E$2112,3,0)</f>
        <v>#N/A</v>
      </c>
      <c r="W376" s="943" t="e">
        <f>VLOOKUP(U376,R_DD!$B$6:$E$2112,4,0)</f>
        <v>#N/A</v>
      </c>
      <c r="Z376" s="946" t="e">
        <f>VLOOKUP(X376,R_DD!$B$6:$E$2112,3,0)</f>
        <v>#N/A</v>
      </c>
      <c r="AA376" s="946" t="e">
        <f>VLOOKUP(Y376,R_DD!$A$1:$L$2131,4,0)</f>
        <v>#N/A</v>
      </c>
      <c r="AB376" s="947" t="e">
        <f>VLOOKUP(Y376,R_DD!$A$1:$L$2131,5,0)</f>
        <v>#N/A</v>
      </c>
      <c r="AC376" s="947" t="e">
        <f>VLOOKUP(X376,R_DD!$B$6:$E$2112,4,0)</f>
        <v>#N/A</v>
      </c>
    </row>
    <row r="377" spans="22:29" ht="20.100000000000001" customHeight="1">
      <c r="V377" s="944" t="e">
        <f>VLOOKUP(U377,R_DD!$B$6:$E$2112,3,0)</f>
        <v>#N/A</v>
      </c>
      <c r="W377" s="943" t="e">
        <f>VLOOKUP(U377,R_DD!$B$6:$E$2112,4,0)</f>
        <v>#N/A</v>
      </c>
      <c r="Z377" s="946" t="e">
        <f>VLOOKUP(X377,R_DD!$B$6:$E$2112,3,0)</f>
        <v>#N/A</v>
      </c>
      <c r="AA377" s="946" t="e">
        <f>VLOOKUP(Y377,R_DD!$A$1:$L$2131,4,0)</f>
        <v>#N/A</v>
      </c>
      <c r="AB377" s="947" t="e">
        <f>VLOOKUP(Y377,R_DD!$A$1:$L$2131,5,0)</f>
        <v>#N/A</v>
      </c>
      <c r="AC377" s="947" t="e">
        <f>VLOOKUP(X377,R_DD!$B$6:$E$2112,4,0)</f>
        <v>#N/A</v>
      </c>
    </row>
    <row r="378" spans="22:29" ht="20.100000000000001" customHeight="1">
      <c r="V378" s="944" t="e">
        <f>VLOOKUP(U378,R_DD!$B$6:$E$2112,3,0)</f>
        <v>#N/A</v>
      </c>
      <c r="W378" s="943" t="e">
        <f>VLOOKUP(U378,R_DD!$B$6:$E$2112,4,0)</f>
        <v>#N/A</v>
      </c>
      <c r="Z378" s="946" t="e">
        <f>VLOOKUP(X378,R_DD!$B$6:$E$2112,3,0)</f>
        <v>#N/A</v>
      </c>
      <c r="AA378" s="946" t="e">
        <f>VLOOKUP(Y378,R_DD!$A$1:$L$2131,4,0)</f>
        <v>#N/A</v>
      </c>
      <c r="AB378" s="947" t="e">
        <f>VLOOKUP(Y378,R_DD!$A$1:$L$2131,5,0)</f>
        <v>#N/A</v>
      </c>
      <c r="AC378" s="947" t="e">
        <f>VLOOKUP(X378,R_DD!$B$6:$E$2112,4,0)</f>
        <v>#N/A</v>
      </c>
    </row>
    <row r="379" spans="22:29" ht="20.100000000000001" customHeight="1">
      <c r="V379" s="944" t="e">
        <f>VLOOKUP(U379,R_DD!$B$6:$E$2112,3,0)</f>
        <v>#N/A</v>
      </c>
      <c r="W379" s="943" t="e">
        <f>VLOOKUP(U379,R_DD!$B$6:$E$2112,4,0)</f>
        <v>#N/A</v>
      </c>
      <c r="Z379" s="946" t="e">
        <f>VLOOKUP(X379,R_DD!$B$6:$E$2112,3,0)</f>
        <v>#N/A</v>
      </c>
      <c r="AA379" s="946" t="e">
        <f>VLOOKUP(Y379,R_DD!$A$1:$L$2131,4,0)</f>
        <v>#N/A</v>
      </c>
      <c r="AB379" s="947" t="e">
        <f>VLOOKUP(Y379,R_DD!$A$1:$L$2131,5,0)</f>
        <v>#N/A</v>
      </c>
      <c r="AC379" s="947" t="e">
        <f>VLOOKUP(X379,R_DD!$B$6:$E$2112,4,0)</f>
        <v>#N/A</v>
      </c>
    </row>
    <row r="380" spans="22:29" ht="20.100000000000001" customHeight="1">
      <c r="V380" s="944" t="e">
        <f>VLOOKUP(U380,R_DD!$B$6:$E$2112,3,0)</f>
        <v>#N/A</v>
      </c>
      <c r="W380" s="943" t="e">
        <f>VLOOKUP(U380,R_DD!$B$6:$E$2112,4,0)</f>
        <v>#N/A</v>
      </c>
      <c r="Z380" s="946" t="e">
        <f>VLOOKUP(X380,R_DD!$B$6:$E$2112,3,0)</f>
        <v>#N/A</v>
      </c>
      <c r="AA380" s="946" t="e">
        <f>VLOOKUP(Y380,R_DD!$A$1:$L$2131,4,0)</f>
        <v>#N/A</v>
      </c>
      <c r="AB380" s="947" t="e">
        <f>VLOOKUP(Y380,R_DD!$A$1:$L$2131,5,0)</f>
        <v>#N/A</v>
      </c>
      <c r="AC380" s="947" t="e">
        <f>VLOOKUP(X380,R_DD!$B$6:$E$2112,4,0)</f>
        <v>#N/A</v>
      </c>
    </row>
    <row r="381" spans="22:29" ht="20.100000000000001" customHeight="1">
      <c r="V381" s="944" t="e">
        <f>VLOOKUP(U381,R_DD!$B$6:$E$2112,3,0)</f>
        <v>#N/A</v>
      </c>
      <c r="W381" s="943" t="e">
        <f>VLOOKUP(U381,R_DD!$B$6:$E$2112,4,0)</f>
        <v>#N/A</v>
      </c>
      <c r="Z381" s="946" t="e">
        <f>VLOOKUP(X381,R_DD!$B$6:$E$2112,3,0)</f>
        <v>#N/A</v>
      </c>
      <c r="AA381" s="946" t="e">
        <f>VLOOKUP(Y381,R_DD!$A$1:$L$2131,4,0)</f>
        <v>#N/A</v>
      </c>
      <c r="AB381" s="947" t="e">
        <f>VLOOKUP(Y381,R_DD!$A$1:$L$2131,5,0)</f>
        <v>#N/A</v>
      </c>
      <c r="AC381" s="947" t="e">
        <f>VLOOKUP(X381,R_DD!$B$6:$E$2112,4,0)</f>
        <v>#N/A</v>
      </c>
    </row>
    <row r="382" spans="22:29" ht="20.100000000000001" customHeight="1">
      <c r="V382" s="944" t="e">
        <f>VLOOKUP(U382,R_DD!$B$6:$E$2112,3,0)</f>
        <v>#N/A</v>
      </c>
      <c r="W382" s="943" t="e">
        <f>VLOOKUP(U382,R_DD!$B$6:$E$2112,4,0)</f>
        <v>#N/A</v>
      </c>
      <c r="Z382" s="946" t="e">
        <f>VLOOKUP(X382,R_DD!$B$6:$E$2112,3,0)</f>
        <v>#N/A</v>
      </c>
      <c r="AA382" s="946" t="e">
        <f>VLOOKUP(Y382,R_DD!$A$1:$L$2131,4,0)</f>
        <v>#N/A</v>
      </c>
      <c r="AB382" s="947" t="e">
        <f>VLOOKUP(Y382,R_DD!$A$1:$L$2131,5,0)</f>
        <v>#N/A</v>
      </c>
      <c r="AC382" s="947" t="e">
        <f>VLOOKUP(X382,R_DD!$B$6:$E$2112,4,0)</f>
        <v>#N/A</v>
      </c>
    </row>
    <row r="383" spans="22:29" ht="20.100000000000001" customHeight="1">
      <c r="V383" s="944" t="e">
        <f>VLOOKUP(U383,R_DD!$B$6:$E$2112,3,0)</f>
        <v>#N/A</v>
      </c>
      <c r="W383" s="943" t="e">
        <f>VLOOKUP(U383,R_DD!$B$6:$E$2112,4,0)</f>
        <v>#N/A</v>
      </c>
      <c r="Z383" s="946" t="e">
        <f>VLOOKUP(X383,R_DD!$B$6:$E$2112,3,0)</f>
        <v>#N/A</v>
      </c>
      <c r="AA383" s="946" t="e">
        <f>VLOOKUP(Y383,R_DD!$A$1:$L$2131,4,0)</f>
        <v>#N/A</v>
      </c>
      <c r="AB383" s="947" t="e">
        <f>VLOOKUP(Y383,R_DD!$A$1:$L$2131,5,0)</f>
        <v>#N/A</v>
      </c>
      <c r="AC383" s="947" t="e">
        <f>VLOOKUP(X383,R_DD!$B$6:$E$2112,4,0)</f>
        <v>#N/A</v>
      </c>
    </row>
    <row r="384" spans="22:29" ht="20.100000000000001" customHeight="1">
      <c r="V384" s="944" t="e">
        <f>VLOOKUP(U384,R_DD!$B$6:$E$2112,3,0)</f>
        <v>#N/A</v>
      </c>
      <c r="W384" s="943" t="e">
        <f>VLOOKUP(U384,R_DD!$B$6:$E$2112,4,0)</f>
        <v>#N/A</v>
      </c>
      <c r="Z384" s="946" t="e">
        <f>VLOOKUP(X384,R_DD!$B$6:$E$2112,3,0)</f>
        <v>#N/A</v>
      </c>
      <c r="AA384" s="946" t="e">
        <f>VLOOKUP(Y384,R_DD!$A$1:$L$2131,4,0)</f>
        <v>#N/A</v>
      </c>
      <c r="AB384" s="947" t="e">
        <f>VLOOKUP(Y384,R_DD!$A$1:$L$2131,5,0)</f>
        <v>#N/A</v>
      </c>
      <c r="AC384" s="947" t="e">
        <f>VLOOKUP(X384,R_DD!$B$6:$E$2112,4,0)</f>
        <v>#N/A</v>
      </c>
    </row>
    <row r="385" spans="22:29" ht="20.100000000000001" customHeight="1">
      <c r="V385" s="944" t="e">
        <f>VLOOKUP(U385,R_DD!$B$6:$E$2112,3,0)</f>
        <v>#N/A</v>
      </c>
      <c r="W385" s="943" t="e">
        <f>VLOOKUP(U385,R_DD!$B$6:$E$2112,4,0)</f>
        <v>#N/A</v>
      </c>
      <c r="Z385" s="946" t="e">
        <f>VLOOKUP(X385,R_DD!$B$6:$E$2112,3,0)</f>
        <v>#N/A</v>
      </c>
      <c r="AA385" s="946" t="e">
        <f>VLOOKUP(Y385,R_DD!$A$1:$L$2131,4,0)</f>
        <v>#N/A</v>
      </c>
      <c r="AB385" s="947" t="e">
        <f>VLOOKUP(Y385,R_DD!$A$1:$L$2131,5,0)</f>
        <v>#N/A</v>
      </c>
      <c r="AC385" s="947" t="e">
        <f>VLOOKUP(X385,R_DD!$B$6:$E$2112,4,0)</f>
        <v>#N/A</v>
      </c>
    </row>
    <row r="386" spans="22:29" ht="20.100000000000001" customHeight="1">
      <c r="V386" s="944" t="e">
        <f>VLOOKUP(U386,R_DD!$B$6:$E$2112,3,0)</f>
        <v>#N/A</v>
      </c>
      <c r="W386" s="943" t="e">
        <f>VLOOKUP(U386,R_DD!$B$6:$E$2112,4,0)</f>
        <v>#N/A</v>
      </c>
      <c r="Z386" s="946" t="e">
        <f>VLOOKUP(X386,R_DD!$B$6:$E$2112,3,0)</f>
        <v>#N/A</v>
      </c>
      <c r="AA386" s="946" t="e">
        <f>VLOOKUP(Y386,R_DD!$A$1:$L$2131,4,0)</f>
        <v>#N/A</v>
      </c>
      <c r="AB386" s="947" t="e">
        <f>VLOOKUP(Y386,R_DD!$A$1:$L$2131,5,0)</f>
        <v>#N/A</v>
      </c>
      <c r="AC386" s="947" t="e">
        <f>VLOOKUP(X386,R_DD!$B$6:$E$2112,4,0)</f>
        <v>#N/A</v>
      </c>
    </row>
    <row r="387" spans="22:29" ht="20.100000000000001" customHeight="1">
      <c r="V387" s="944" t="e">
        <f>VLOOKUP(U387,R_DD!$B$6:$E$2112,3,0)</f>
        <v>#N/A</v>
      </c>
      <c r="W387" s="943" t="e">
        <f>VLOOKUP(U387,R_DD!$B$6:$E$2112,4,0)</f>
        <v>#N/A</v>
      </c>
      <c r="Z387" s="946" t="e">
        <f>VLOOKUP(X387,R_DD!$B$6:$E$2112,3,0)</f>
        <v>#N/A</v>
      </c>
      <c r="AA387" s="946" t="e">
        <f>VLOOKUP(Y387,R_DD!$A$1:$L$2131,4,0)</f>
        <v>#N/A</v>
      </c>
      <c r="AB387" s="947" t="e">
        <f>VLOOKUP(Y387,R_DD!$A$1:$L$2131,5,0)</f>
        <v>#N/A</v>
      </c>
      <c r="AC387" s="947" t="e">
        <f>VLOOKUP(X387,R_DD!$B$6:$E$2112,4,0)</f>
        <v>#N/A</v>
      </c>
    </row>
    <row r="388" spans="22:29" ht="20.100000000000001" customHeight="1">
      <c r="V388" s="944" t="e">
        <f>VLOOKUP(U388,R_DD!$B$6:$E$2112,3,0)</f>
        <v>#N/A</v>
      </c>
      <c r="W388" s="943" t="e">
        <f>VLOOKUP(U388,R_DD!$B$6:$E$2112,4,0)</f>
        <v>#N/A</v>
      </c>
      <c r="Z388" s="946" t="e">
        <f>VLOOKUP(X388,R_DD!$B$6:$E$2112,3,0)</f>
        <v>#N/A</v>
      </c>
      <c r="AA388" s="946" t="e">
        <f>VLOOKUP(Y388,R_DD!$A$1:$L$2131,4,0)</f>
        <v>#N/A</v>
      </c>
      <c r="AB388" s="947" t="e">
        <f>VLOOKUP(Y388,R_DD!$A$1:$L$2131,5,0)</f>
        <v>#N/A</v>
      </c>
      <c r="AC388" s="947" t="e">
        <f>VLOOKUP(X388,R_DD!$B$6:$E$2112,4,0)</f>
        <v>#N/A</v>
      </c>
    </row>
    <row r="389" spans="22:29" ht="20.100000000000001" customHeight="1">
      <c r="V389" s="944" t="e">
        <f>VLOOKUP(U389,R_DD!$B$6:$E$2112,3,0)</f>
        <v>#N/A</v>
      </c>
      <c r="W389" s="943" t="e">
        <f>VLOOKUP(U389,R_DD!$B$6:$E$2112,4,0)</f>
        <v>#N/A</v>
      </c>
      <c r="Z389" s="946" t="e">
        <f>VLOOKUP(X389,R_DD!$B$6:$E$2112,3,0)</f>
        <v>#N/A</v>
      </c>
      <c r="AA389" s="946" t="e">
        <f>VLOOKUP(Y389,R_DD!$A$1:$L$2131,4,0)</f>
        <v>#N/A</v>
      </c>
      <c r="AB389" s="947" t="e">
        <f>VLOOKUP(Y389,R_DD!$A$1:$L$2131,5,0)</f>
        <v>#N/A</v>
      </c>
      <c r="AC389" s="947" t="e">
        <f>VLOOKUP(X389,R_DD!$B$6:$E$2112,4,0)</f>
        <v>#N/A</v>
      </c>
    </row>
    <row r="390" spans="22:29" ht="20.100000000000001" customHeight="1">
      <c r="V390" s="944" t="e">
        <f>VLOOKUP(U390,R_DD!$B$6:$E$2112,3,0)</f>
        <v>#N/A</v>
      </c>
      <c r="W390" s="943" t="e">
        <f>VLOOKUP(U390,R_DD!$B$6:$E$2112,4,0)</f>
        <v>#N/A</v>
      </c>
      <c r="Z390" s="946" t="e">
        <f>VLOOKUP(X390,R_DD!$B$6:$E$2112,3,0)</f>
        <v>#N/A</v>
      </c>
      <c r="AA390" s="946" t="e">
        <f>VLOOKUP(Y390,R_DD!$A$1:$L$2131,4,0)</f>
        <v>#N/A</v>
      </c>
      <c r="AB390" s="947" t="e">
        <f>VLOOKUP(Y390,R_DD!$A$1:$L$2131,5,0)</f>
        <v>#N/A</v>
      </c>
      <c r="AC390" s="947" t="e">
        <f>VLOOKUP(X390,R_DD!$B$6:$E$2112,4,0)</f>
        <v>#N/A</v>
      </c>
    </row>
    <row r="391" spans="22:29" ht="20.100000000000001" customHeight="1">
      <c r="V391" s="944" t="e">
        <f>VLOOKUP(U391,R_DD!$B$6:$E$2112,3,0)</f>
        <v>#N/A</v>
      </c>
      <c r="W391" s="943" t="e">
        <f>VLOOKUP(U391,R_DD!$B$6:$E$2112,4,0)</f>
        <v>#N/A</v>
      </c>
      <c r="Z391" s="946" t="e">
        <f>VLOOKUP(X391,R_DD!$B$6:$E$2112,3,0)</f>
        <v>#N/A</v>
      </c>
      <c r="AA391" s="946" t="e">
        <f>VLOOKUP(Y391,R_DD!$A$1:$L$2131,4,0)</f>
        <v>#N/A</v>
      </c>
      <c r="AB391" s="947" t="e">
        <f>VLOOKUP(Y391,R_DD!$A$1:$L$2131,5,0)</f>
        <v>#N/A</v>
      </c>
      <c r="AC391" s="947" t="e">
        <f>VLOOKUP(X391,R_DD!$B$6:$E$2112,4,0)</f>
        <v>#N/A</v>
      </c>
    </row>
    <row r="392" spans="22:29" ht="20.100000000000001" customHeight="1">
      <c r="V392" s="944" t="e">
        <f>VLOOKUP(U392,R_DD!$B$6:$E$2112,3,0)</f>
        <v>#N/A</v>
      </c>
      <c r="W392" s="943" t="e">
        <f>VLOOKUP(U392,R_DD!$B$6:$E$2112,4,0)</f>
        <v>#N/A</v>
      </c>
      <c r="Z392" s="946" t="e">
        <f>VLOOKUP(X392,R_DD!$B$6:$E$2112,3,0)</f>
        <v>#N/A</v>
      </c>
      <c r="AA392" s="946" t="e">
        <f>VLOOKUP(Y392,R_DD!$A$1:$L$2131,4,0)</f>
        <v>#N/A</v>
      </c>
      <c r="AB392" s="947" t="e">
        <f>VLOOKUP(Y392,R_DD!$A$1:$L$2131,5,0)</f>
        <v>#N/A</v>
      </c>
      <c r="AC392" s="947" t="e">
        <f>VLOOKUP(X392,R_DD!$B$6:$E$2112,4,0)</f>
        <v>#N/A</v>
      </c>
    </row>
    <row r="393" spans="22:29" ht="20.100000000000001" customHeight="1">
      <c r="V393" s="944" t="e">
        <f>VLOOKUP(U393,R_DD!$B$6:$E$2112,3,0)</f>
        <v>#N/A</v>
      </c>
      <c r="W393" s="943" t="e">
        <f>VLOOKUP(U393,R_DD!$B$6:$E$2112,4,0)</f>
        <v>#N/A</v>
      </c>
      <c r="Z393" s="946" t="e">
        <f>VLOOKUP(X393,R_DD!$B$6:$E$2112,3,0)</f>
        <v>#N/A</v>
      </c>
      <c r="AA393" s="946" t="e">
        <f>VLOOKUP(Y393,R_DD!$A$1:$L$2131,4,0)</f>
        <v>#N/A</v>
      </c>
      <c r="AB393" s="947" t="e">
        <f>VLOOKUP(Y393,R_DD!$A$1:$L$2131,5,0)</f>
        <v>#N/A</v>
      </c>
      <c r="AC393" s="947" t="e">
        <f>VLOOKUP(X393,R_DD!$B$6:$E$2112,4,0)</f>
        <v>#N/A</v>
      </c>
    </row>
    <row r="394" spans="22:29" ht="20.100000000000001" customHeight="1">
      <c r="V394" s="944" t="e">
        <f>VLOOKUP(U394,R_DD!$B$6:$E$2112,3,0)</f>
        <v>#N/A</v>
      </c>
      <c r="W394" s="943" t="e">
        <f>VLOOKUP(U394,R_DD!$B$6:$E$2112,4,0)</f>
        <v>#N/A</v>
      </c>
      <c r="Z394" s="946" t="e">
        <f>VLOOKUP(X394,R_DD!$B$6:$E$2112,3,0)</f>
        <v>#N/A</v>
      </c>
      <c r="AA394" s="946" t="e">
        <f>VLOOKUP(Y394,R_DD!$A$1:$L$2131,4,0)</f>
        <v>#N/A</v>
      </c>
      <c r="AB394" s="947" t="e">
        <f>VLOOKUP(Y394,R_DD!$A$1:$L$2131,5,0)</f>
        <v>#N/A</v>
      </c>
      <c r="AC394" s="947" t="e">
        <f>VLOOKUP(X394,R_DD!$B$6:$E$2112,4,0)</f>
        <v>#N/A</v>
      </c>
    </row>
    <row r="395" spans="22:29" ht="20.100000000000001" customHeight="1">
      <c r="V395" s="944" t="e">
        <f>VLOOKUP(U395,R_DD!$B$6:$E$2112,3,0)</f>
        <v>#N/A</v>
      </c>
      <c r="W395" s="943" t="e">
        <f>VLOOKUP(U395,R_DD!$B$6:$E$2112,4,0)</f>
        <v>#N/A</v>
      </c>
      <c r="Z395" s="946" t="e">
        <f>VLOOKUP(X395,R_DD!$B$6:$E$2112,3,0)</f>
        <v>#N/A</v>
      </c>
      <c r="AA395" s="946" t="e">
        <f>VLOOKUP(Y395,R_DD!$A$1:$L$2131,4,0)</f>
        <v>#N/A</v>
      </c>
      <c r="AB395" s="947" t="e">
        <f>VLOOKUP(Y395,R_DD!$A$1:$L$2131,5,0)</f>
        <v>#N/A</v>
      </c>
      <c r="AC395" s="947" t="e">
        <f>VLOOKUP(X395,R_DD!$B$6:$E$2112,4,0)</f>
        <v>#N/A</v>
      </c>
    </row>
    <row r="396" spans="22:29" ht="20.100000000000001" customHeight="1">
      <c r="V396" s="944" t="e">
        <f>VLOOKUP(U396,R_DD!$B$6:$E$2112,3,0)</f>
        <v>#N/A</v>
      </c>
      <c r="W396" s="943" t="e">
        <f>VLOOKUP(U396,R_DD!$B$6:$E$2112,4,0)</f>
        <v>#N/A</v>
      </c>
      <c r="Z396" s="946" t="e">
        <f>VLOOKUP(X396,R_DD!$B$6:$E$2112,3,0)</f>
        <v>#N/A</v>
      </c>
      <c r="AA396" s="946" t="e">
        <f>VLOOKUP(Y396,R_DD!$A$1:$L$2131,4,0)</f>
        <v>#N/A</v>
      </c>
      <c r="AB396" s="947" t="e">
        <f>VLOOKUP(Y396,R_DD!$A$1:$L$2131,5,0)</f>
        <v>#N/A</v>
      </c>
      <c r="AC396" s="947" t="e">
        <f>VLOOKUP(X396,R_DD!$B$6:$E$2112,4,0)</f>
        <v>#N/A</v>
      </c>
    </row>
    <row r="397" spans="22:29" ht="20.100000000000001" customHeight="1">
      <c r="V397" s="944" t="e">
        <f>VLOOKUP(U397,R_DD!$B$6:$E$2112,3,0)</f>
        <v>#N/A</v>
      </c>
      <c r="W397" s="943" t="e">
        <f>VLOOKUP(U397,R_DD!$B$6:$E$2112,4,0)</f>
        <v>#N/A</v>
      </c>
      <c r="Z397" s="946" t="e">
        <f>VLOOKUP(X397,R_DD!$B$6:$E$2112,3,0)</f>
        <v>#N/A</v>
      </c>
      <c r="AA397" s="946" t="e">
        <f>VLOOKUP(Y397,R_DD!$A$1:$L$2131,4,0)</f>
        <v>#N/A</v>
      </c>
      <c r="AB397" s="947" t="e">
        <f>VLOOKUP(Y397,R_DD!$A$1:$L$2131,5,0)</f>
        <v>#N/A</v>
      </c>
      <c r="AC397" s="947" t="e">
        <f>VLOOKUP(X397,R_DD!$B$6:$E$2112,4,0)</f>
        <v>#N/A</v>
      </c>
    </row>
    <row r="398" spans="22:29" ht="20.100000000000001" customHeight="1">
      <c r="V398" s="944" t="e">
        <f>VLOOKUP(U398,R_DD!$B$6:$E$2112,3,0)</f>
        <v>#N/A</v>
      </c>
      <c r="W398" s="943" t="e">
        <f>VLOOKUP(U398,R_DD!$B$6:$E$2112,4,0)</f>
        <v>#N/A</v>
      </c>
      <c r="Z398" s="946" t="e">
        <f>VLOOKUP(X398,R_DD!$B$6:$E$2112,3,0)</f>
        <v>#N/A</v>
      </c>
      <c r="AA398" s="946" t="e">
        <f>VLOOKUP(Y398,R_DD!$A$1:$L$2131,4,0)</f>
        <v>#N/A</v>
      </c>
      <c r="AB398" s="947" t="e">
        <f>VLOOKUP(Y398,R_DD!$A$1:$L$2131,5,0)</f>
        <v>#N/A</v>
      </c>
      <c r="AC398" s="947" t="e">
        <f>VLOOKUP(X398,R_DD!$B$6:$E$2112,4,0)</f>
        <v>#N/A</v>
      </c>
    </row>
    <row r="399" spans="22:29" ht="20.100000000000001" customHeight="1">
      <c r="V399" s="944" t="e">
        <f>VLOOKUP(U399,R_DD!$B$6:$E$2112,3,0)</f>
        <v>#N/A</v>
      </c>
      <c r="W399" s="943" t="e">
        <f>VLOOKUP(U399,R_DD!$B$6:$E$2112,4,0)</f>
        <v>#N/A</v>
      </c>
      <c r="Z399" s="946" t="e">
        <f>VLOOKUP(X399,R_DD!$B$6:$E$2112,3,0)</f>
        <v>#N/A</v>
      </c>
      <c r="AA399" s="946" t="e">
        <f>VLOOKUP(Y399,R_DD!$A$1:$L$2131,4,0)</f>
        <v>#N/A</v>
      </c>
      <c r="AB399" s="947" t="e">
        <f>VLOOKUP(Y399,R_DD!$A$1:$L$2131,5,0)</f>
        <v>#N/A</v>
      </c>
      <c r="AC399" s="947" t="e">
        <f>VLOOKUP(X399,R_DD!$B$6:$E$2112,4,0)</f>
        <v>#N/A</v>
      </c>
    </row>
    <row r="400" spans="22:29" ht="20.100000000000001" customHeight="1">
      <c r="V400" s="944" t="e">
        <f>VLOOKUP(U400,R_DD!$B$6:$E$2112,3,0)</f>
        <v>#N/A</v>
      </c>
      <c r="W400" s="943" t="e">
        <f>VLOOKUP(U400,R_DD!$B$6:$E$2112,4,0)</f>
        <v>#N/A</v>
      </c>
      <c r="Z400" s="946" t="e">
        <f>VLOOKUP(X400,R_DD!$B$6:$E$2112,3,0)</f>
        <v>#N/A</v>
      </c>
      <c r="AA400" s="946" t="e">
        <f>VLOOKUP(Y400,R_DD!$A$1:$L$2131,4,0)</f>
        <v>#N/A</v>
      </c>
      <c r="AB400" s="947" t="e">
        <f>VLOOKUP(Y400,R_DD!$A$1:$L$2131,5,0)</f>
        <v>#N/A</v>
      </c>
      <c r="AC400" s="947" t="e">
        <f>VLOOKUP(X400,R_DD!$B$6:$E$2112,4,0)</f>
        <v>#N/A</v>
      </c>
    </row>
    <row r="401" spans="22:29" ht="20.100000000000001" customHeight="1">
      <c r="V401" s="944" t="e">
        <f>VLOOKUP(U401,R_DD!$B$6:$E$2112,3,0)</f>
        <v>#N/A</v>
      </c>
      <c r="W401" s="943" t="e">
        <f>VLOOKUP(U401,R_DD!$B$6:$E$2112,4,0)</f>
        <v>#N/A</v>
      </c>
      <c r="Z401" s="946" t="e">
        <f>VLOOKUP(X401,R_DD!$B$6:$E$2112,3,0)</f>
        <v>#N/A</v>
      </c>
      <c r="AA401" s="946" t="e">
        <f>VLOOKUP(Y401,R_DD!$A$1:$L$2131,4,0)</f>
        <v>#N/A</v>
      </c>
      <c r="AB401" s="947" t="e">
        <f>VLOOKUP(Y401,R_DD!$A$1:$L$2131,5,0)</f>
        <v>#N/A</v>
      </c>
      <c r="AC401" s="947" t="e">
        <f>VLOOKUP(X401,R_DD!$B$6:$E$2112,4,0)</f>
        <v>#N/A</v>
      </c>
    </row>
    <row r="402" spans="22:29" ht="20.100000000000001" customHeight="1">
      <c r="V402" s="944" t="e">
        <f>VLOOKUP(U402,R_DD!$B$6:$E$2112,3,0)</f>
        <v>#N/A</v>
      </c>
      <c r="W402" s="943" t="e">
        <f>VLOOKUP(U402,R_DD!$B$6:$E$2112,4,0)</f>
        <v>#N/A</v>
      </c>
      <c r="Z402" s="946" t="e">
        <f>VLOOKUP(X402,R_DD!$B$6:$E$2112,3,0)</f>
        <v>#N/A</v>
      </c>
      <c r="AA402" s="946" t="e">
        <f>VLOOKUP(Y402,R_DD!$A$1:$L$2131,4,0)</f>
        <v>#N/A</v>
      </c>
      <c r="AB402" s="947" t="e">
        <f>VLOOKUP(Y402,R_DD!$A$1:$L$2131,5,0)</f>
        <v>#N/A</v>
      </c>
      <c r="AC402" s="947" t="e">
        <f>VLOOKUP(X402,R_DD!$B$6:$E$2112,4,0)</f>
        <v>#N/A</v>
      </c>
    </row>
    <row r="403" spans="22:29" ht="20.100000000000001" customHeight="1">
      <c r="V403" s="944" t="e">
        <f>VLOOKUP(U403,R_DD!$B$6:$E$2112,3,0)</f>
        <v>#N/A</v>
      </c>
      <c r="W403" s="943" t="e">
        <f>VLOOKUP(U403,R_DD!$B$6:$E$2112,4,0)</f>
        <v>#N/A</v>
      </c>
      <c r="Z403" s="946" t="e">
        <f>VLOOKUP(X403,R_DD!$B$6:$E$2112,3,0)</f>
        <v>#N/A</v>
      </c>
      <c r="AA403" s="946" t="e">
        <f>VLOOKUP(Y403,R_DD!$A$1:$L$2131,4,0)</f>
        <v>#N/A</v>
      </c>
      <c r="AB403" s="947" t="e">
        <f>VLOOKUP(Y403,R_DD!$A$1:$L$2131,5,0)</f>
        <v>#N/A</v>
      </c>
      <c r="AC403" s="947" t="e">
        <f>VLOOKUP(X403,R_DD!$B$6:$E$2112,4,0)</f>
        <v>#N/A</v>
      </c>
    </row>
    <row r="404" spans="22:29" ht="20.100000000000001" customHeight="1">
      <c r="V404" s="944" t="e">
        <f>VLOOKUP(U404,R_DD!$B$6:$E$2112,3,0)</f>
        <v>#N/A</v>
      </c>
      <c r="W404" s="943" t="e">
        <f>VLOOKUP(U404,R_DD!$B$6:$E$2112,4,0)</f>
        <v>#N/A</v>
      </c>
      <c r="Z404" s="946" t="e">
        <f>VLOOKUP(X404,R_DD!$B$6:$E$2112,3,0)</f>
        <v>#N/A</v>
      </c>
      <c r="AA404" s="946" t="e">
        <f>VLOOKUP(Y404,R_DD!$A$1:$L$2131,4,0)</f>
        <v>#N/A</v>
      </c>
      <c r="AB404" s="947" t="e">
        <f>VLOOKUP(Y404,R_DD!$A$1:$L$2131,5,0)</f>
        <v>#N/A</v>
      </c>
      <c r="AC404" s="947" t="e">
        <f>VLOOKUP(X404,R_DD!$B$6:$E$2112,4,0)</f>
        <v>#N/A</v>
      </c>
    </row>
    <row r="405" spans="22:29" ht="20.100000000000001" customHeight="1">
      <c r="V405" s="944" t="e">
        <f>VLOOKUP(U405,R_DD!$B$6:$E$2112,3,0)</f>
        <v>#N/A</v>
      </c>
      <c r="W405" s="943" t="e">
        <f>VLOOKUP(U405,R_DD!$B$6:$E$2112,4,0)</f>
        <v>#N/A</v>
      </c>
      <c r="Z405" s="946" t="e">
        <f>VLOOKUP(X405,R_DD!$B$6:$E$2112,3,0)</f>
        <v>#N/A</v>
      </c>
      <c r="AA405" s="946" t="e">
        <f>VLOOKUP(Y405,R_DD!$A$1:$L$2131,4,0)</f>
        <v>#N/A</v>
      </c>
      <c r="AB405" s="947" t="e">
        <f>VLOOKUP(Y405,R_DD!$A$1:$L$2131,5,0)</f>
        <v>#N/A</v>
      </c>
      <c r="AC405" s="947" t="e">
        <f>VLOOKUP(X405,R_DD!$B$6:$E$2112,4,0)</f>
        <v>#N/A</v>
      </c>
    </row>
    <row r="406" spans="22:29" ht="20.100000000000001" customHeight="1">
      <c r="V406" s="944" t="e">
        <f>VLOOKUP(U406,R_DD!$B$6:$E$2112,3,0)</f>
        <v>#N/A</v>
      </c>
      <c r="W406" s="943" t="e">
        <f>VLOOKUP(U406,R_DD!$B$6:$E$2112,4,0)</f>
        <v>#N/A</v>
      </c>
      <c r="Z406" s="946" t="e">
        <f>VLOOKUP(X406,R_DD!$B$6:$E$2112,3,0)</f>
        <v>#N/A</v>
      </c>
      <c r="AA406" s="946" t="e">
        <f>VLOOKUP(Y406,R_DD!$A$1:$L$2131,4,0)</f>
        <v>#N/A</v>
      </c>
      <c r="AB406" s="947" t="e">
        <f>VLOOKUP(Y406,R_DD!$A$1:$L$2131,5,0)</f>
        <v>#N/A</v>
      </c>
      <c r="AC406" s="947" t="e">
        <f>VLOOKUP(X406,R_DD!$B$6:$E$2112,4,0)</f>
        <v>#N/A</v>
      </c>
    </row>
    <row r="407" spans="22:29" ht="20.100000000000001" customHeight="1">
      <c r="V407" s="944" t="e">
        <f>VLOOKUP(U407,R_DD!$B$6:$E$2112,3,0)</f>
        <v>#N/A</v>
      </c>
      <c r="W407" s="943" t="e">
        <f>VLOOKUP(U407,R_DD!$B$6:$E$2112,4,0)</f>
        <v>#N/A</v>
      </c>
      <c r="Z407" s="946" t="e">
        <f>VLOOKUP(X407,R_DD!$B$6:$E$2112,3,0)</f>
        <v>#N/A</v>
      </c>
      <c r="AA407" s="946" t="e">
        <f>VLOOKUP(Y407,R_DD!$A$1:$L$2131,4,0)</f>
        <v>#N/A</v>
      </c>
      <c r="AB407" s="947" t="e">
        <f>VLOOKUP(Y407,R_DD!$A$1:$L$2131,5,0)</f>
        <v>#N/A</v>
      </c>
      <c r="AC407" s="947" t="e">
        <f>VLOOKUP(X407,R_DD!$B$6:$E$2112,4,0)</f>
        <v>#N/A</v>
      </c>
    </row>
    <row r="408" spans="22:29" ht="20.100000000000001" customHeight="1">
      <c r="V408" s="944" t="e">
        <f>VLOOKUP(U408,R_DD!$B$6:$E$2112,3,0)</f>
        <v>#N/A</v>
      </c>
      <c r="W408" s="943" t="e">
        <f>VLOOKUP(U408,R_DD!$B$6:$E$2112,4,0)</f>
        <v>#N/A</v>
      </c>
      <c r="Z408" s="946" t="e">
        <f>VLOOKUP(X408,R_DD!$B$6:$E$2112,3,0)</f>
        <v>#N/A</v>
      </c>
      <c r="AA408" s="946" t="e">
        <f>VLOOKUP(Y408,R_DD!$A$1:$L$2131,4,0)</f>
        <v>#N/A</v>
      </c>
      <c r="AB408" s="947" t="e">
        <f>VLOOKUP(Y408,R_DD!$A$1:$L$2131,5,0)</f>
        <v>#N/A</v>
      </c>
      <c r="AC408" s="947" t="e">
        <f>VLOOKUP(X408,R_DD!$B$6:$E$2112,4,0)</f>
        <v>#N/A</v>
      </c>
    </row>
    <row r="409" spans="22:29" ht="20.100000000000001" customHeight="1">
      <c r="V409" s="944" t="e">
        <f>VLOOKUP(U409,R_DD!$B$6:$E$2112,3,0)</f>
        <v>#N/A</v>
      </c>
      <c r="W409" s="943" t="e">
        <f>VLOOKUP(U409,R_DD!$B$6:$E$2112,4,0)</f>
        <v>#N/A</v>
      </c>
      <c r="Z409" s="946" t="e">
        <f>VLOOKUP(X409,R_DD!$B$6:$E$2112,3,0)</f>
        <v>#N/A</v>
      </c>
      <c r="AA409" s="946" t="e">
        <f>VLOOKUP(Y409,R_DD!$A$1:$L$2131,4,0)</f>
        <v>#N/A</v>
      </c>
      <c r="AB409" s="947" t="e">
        <f>VLOOKUP(Y409,R_DD!$A$1:$L$2131,5,0)</f>
        <v>#N/A</v>
      </c>
      <c r="AC409" s="947" t="e">
        <f>VLOOKUP(X409,R_DD!$B$6:$E$2112,4,0)</f>
        <v>#N/A</v>
      </c>
    </row>
    <row r="410" spans="22:29" ht="20.100000000000001" customHeight="1">
      <c r="V410" s="944" t="e">
        <f>VLOOKUP(U410,R_DD!$B$6:$E$2112,3,0)</f>
        <v>#N/A</v>
      </c>
      <c r="W410" s="943" t="e">
        <f>VLOOKUP(U410,R_DD!$B$6:$E$2112,4,0)</f>
        <v>#N/A</v>
      </c>
      <c r="Z410" s="946" t="e">
        <f>VLOOKUP(X410,R_DD!$B$6:$E$2112,3,0)</f>
        <v>#N/A</v>
      </c>
      <c r="AA410" s="946" t="e">
        <f>VLOOKUP(Y410,R_DD!$A$1:$L$2131,4,0)</f>
        <v>#N/A</v>
      </c>
      <c r="AB410" s="947" t="e">
        <f>VLOOKUP(Y410,R_DD!$A$1:$L$2131,5,0)</f>
        <v>#N/A</v>
      </c>
      <c r="AC410" s="947" t="e">
        <f>VLOOKUP(X410,R_DD!$B$6:$E$2112,4,0)</f>
        <v>#N/A</v>
      </c>
    </row>
    <row r="411" spans="22:29" ht="20.100000000000001" customHeight="1">
      <c r="V411" s="944" t="e">
        <f>VLOOKUP(U411,R_DD!$B$6:$E$2112,3,0)</f>
        <v>#N/A</v>
      </c>
      <c r="W411" s="943" t="e">
        <f>VLOOKUP(U411,R_DD!$B$6:$E$2112,4,0)</f>
        <v>#N/A</v>
      </c>
      <c r="Z411" s="946" t="e">
        <f>VLOOKUP(X411,R_DD!$B$6:$E$2112,3,0)</f>
        <v>#N/A</v>
      </c>
      <c r="AA411" s="946" t="e">
        <f>VLOOKUP(Y411,R_DD!$A$1:$L$2131,4,0)</f>
        <v>#N/A</v>
      </c>
      <c r="AB411" s="947" t="e">
        <f>VLOOKUP(Y411,R_DD!$A$1:$L$2131,5,0)</f>
        <v>#N/A</v>
      </c>
      <c r="AC411" s="947" t="e">
        <f>VLOOKUP(X411,R_DD!$B$6:$E$2112,4,0)</f>
        <v>#N/A</v>
      </c>
    </row>
    <row r="412" spans="22:29" ht="20.100000000000001" customHeight="1">
      <c r="V412" s="944" t="e">
        <f>VLOOKUP(U412,R_DD!$B$6:$E$2112,3,0)</f>
        <v>#N/A</v>
      </c>
      <c r="W412" s="943" t="e">
        <f>VLOOKUP(U412,R_DD!$B$6:$E$2112,4,0)</f>
        <v>#N/A</v>
      </c>
      <c r="Z412" s="946" t="e">
        <f>VLOOKUP(X412,R_DD!$B$6:$E$2112,3,0)</f>
        <v>#N/A</v>
      </c>
      <c r="AA412" s="946" t="e">
        <f>VLOOKUP(Y412,R_DD!$A$1:$L$2131,4,0)</f>
        <v>#N/A</v>
      </c>
      <c r="AB412" s="947" t="e">
        <f>VLOOKUP(Y412,R_DD!$A$1:$L$2131,5,0)</f>
        <v>#N/A</v>
      </c>
      <c r="AC412" s="947" t="e">
        <f>VLOOKUP(X412,R_DD!$B$6:$E$2112,4,0)</f>
        <v>#N/A</v>
      </c>
    </row>
    <row r="413" spans="22:29" ht="20.100000000000001" customHeight="1">
      <c r="V413" s="944" t="e">
        <f>VLOOKUP(U413,R_DD!$B$6:$E$2112,3,0)</f>
        <v>#N/A</v>
      </c>
      <c r="W413" s="943" t="e">
        <f>VLOOKUP(U413,R_DD!$B$6:$E$2112,4,0)</f>
        <v>#N/A</v>
      </c>
      <c r="Z413" s="946" t="e">
        <f>VLOOKUP(X413,R_DD!$B$6:$E$2112,3,0)</f>
        <v>#N/A</v>
      </c>
      <c r="AA413" s="946" t="e">
        <f>VLOOKUP(Y413,R_DD!$A$1:$L$2131,4,0)</f>
        <v>#N/A</v>
      </c>
      <c r="AB413" s="947" t="e">
        <f>VLOOKUP(Y413,R_DD!$A$1:$L$2131,5,0)</f>
        <v>#N/A</v>
      </c>
      <c r="AC413" s="947" t="e">
        <f>VLOOKUP(X413,R_DD!$B$6:$E$2112,4,0)</f>
        <v>#N/A</v>
      </c>
    </row>
    <row r="414" spans="22:29" ht="20.100000000000001" customHeight="1">
      <c r="V414" s="944" t="e">
        <f>VLOOKUP(U414,R_DD!$B$6:$E$2112,3,0)</f>
        <v>#N/A</v>
      </c>
      <c r="W414" s="943" t="e">
        <f>VLOOKUP(U414,R_DD!$B$6:$E$2112,4,0)</f>
        <v>#N/A</v>
      </c>
      <c r="Z414" s="946" t="e">
        <f>VLOOKUP(X414,R_DD!$B$6:$E$2112,3,0)</f>
        <v>#N/A</v>
      </c>
      <c r="AA414" s="946" t="e">
        <f>VLOOKUP(Y414,R_DD!$A$1:$L$2131,4,0)</f>
        <v>#N/A</v>
      </c>
      <c r="AB414" s="947" t="e">
        <f>VLOOKUP(Y414,R_DD!$A$1:$L$2131,5,0)</f>
        <v>#N/A</v>
      </c>
      <c r="AC414" s="947" t="e">
        <f>VLOOKUP(X414,R_DD!$B$6:$E$2112,4,0)</f>
        <v>#N/A</v>
      </c>
    </row>
    <row r="415" spans="22:29" ht="20.100000000000001" customHeight="1">
      <c r="V415" s="944" t="e">
        <f>VLOOKUP(U415,R_DD!$B$6:$E$2112,3,0)</f>
        <v>#N/A</v>
      </c>
      <c r="W415" s="943" t="e">
        <f>VLOOKUP(U415,R_DD!$B$6:$E$2112,4,0)</f>
        <v>#N/A</v>
      </c>
      <c r="Z415" s="946" t="e">
        <f>VLOOKUP(X415,R_DD!$B$6:$E$2112,3,0)</f>
        <v>#N/A</v>
      </c>
      <c r="AA415" s="946" t="e">
        <f>VLOOKUP(Y415,R_DD!$A$1:$L$2131,4,0)</f>
        <v>#N/A</v>
      </c>
      <c r="AB415" s="947" t="e">
        <f>VLOOKUP(Y415,R_DD!$A$1:$L$2131,5,0)</f>
        <v>#N/A</v>
      </c>
      <c r="AC415" s="947" t="e">
        <f>VLOOKUP(X415,R_DD!$B$6:$E$2112,4,0)</f>
        <v>#N/A</v>
      </c>
    </row>
    <row r="416" spans="22:29" ht="20.100000000000001" customHeight="1">
      <c r="V416" s="944" t="e">
        <f>VLOOKUP(U416,R_DD!$B$6:$E$2112,3,0)</f>
        <v>#N/A</v>
      </c>
      <c r="W416" s="943" t="e">
        <f>VLOOKUP(U416,R_DD!$B$6:$E$2112,4,0)</f>
        <v>#N/A</v>
      </c>
      <c r="Z416" s="946" t="e">
        <f>VLOOKUP(X416,R_DD!$B$6:$E$2112,3,0)</f>
        <v>#N/A</v>
      </c>
      <c r="AA416" s="946" t="e">
        <f>VLOOKUP(Y416,R_DD!$A$1:$L$2131,4,0)</f>
        <v>#N/A</v>
      </c>
      <c r="AB416" s="947" t="e">
        <f>VLOOKUP(Y416,R_DD!$A$1:$L$2131,5,0)</f>
        <v>#N/A</v>
      </c>
      <c r="AC416" s="947" t="e">
        <f>VLOOKUP(X416,R_DD!$B$6:$E$2112,4,0)</f>
        <v>#N/A</v>
      </c>
    </row>
    <row r="417" spans="22:29" ht="20.100000000000001" customHeight="1">
      <c r="V417" s="944" t="e">
        <f>VLOOKUP(U417,R_DD!$B$6:$E$2112,3,0)</f>
        <v>#N/A</v>
      </c>
      <c r="W417" s="943" t="e">
        <f>VLOOKUP(U417,R_DD!$B$6:$E$2112,4,0)</f>
        <v>#N/A</v>
      </c>
      <c r="Z417" s="946" t="e">
        <f>VLOOKUP(X417,R_DD!$B$6:$E$2112,3,0)</f>
        <v>#N/A</v>
      </c>
      <c r="AA417" s="946" t="e">
        <f>VLOOKUP(Y417,R_DD!$A$1:$L$2131,4,0)</f>
        <v>#N/A</v>
      </c>
      <c r="AB417" s="947" t="e">
        <f>VLOOKUP(Y417,R_DD!$A$1:$L$2131,5,0)</f>
        <v>#N/A</v>
      </c>
      <c r="AC417" s="947" t="e">
        <f>VLOOKUP(X417,R_DD!$B$6:$E$2112,4,0)</f>
        <v>#N/A</v>
      </c>
    </row>
    <row r="418" spans="22:29" ht="20.100000000000001" customHeight="1">
      <c r="V418" s="944" t="e">
        <f>VLOOKUP(U418,R_DD!$B$6:$E$2112,3,0)</f>
        <v>#N/A</v>
      </c>
      <c r="W418" s="943" t="e">
        <f>VLOOKUP(U418,R_DD!$B$6:$E$2112,4,0)</f>
        <v>#N/A</v>
      </c>
      <c r="Z418" s="946" t="e">
        <f>VLOOKUP(X418,R_DD!$B$6:$E$2112,3,0)</f>
        <v>#N/A</v>
      </c>
      <c r="AA418" s="946" t="e">
        <f>VLOOKUP(Y418,R_DD!$A$1:$L$2131,4,0)</f>
        <v>#N/A</v>
      </c>
      <c r="AB418" s="947" t="e">
        <f>VLOOKUP(Y418,R_DD!$A$1:$L$2131,5,0)</f>
        <v>#N/A</v>
      </c>
      <c r="AC418" s="947" t="e">
        <f>VLOOKUP(X418,R_DD!$B$6:$E$2112,4,0)</f>
        <v>#N/A</v>
      </c>
    </row>
    <row r="419" spans="22:29" ht="20.100000000000001" customHeight="1">
      <c r="V419" s="944" t="e">
        <f>VLOOKUP(U419,R_DD!$B$6:$E$2112,3,0)</f>
        <v>#N/A</v>
      </c>
      <c r="W419" s="943" t="e">
        <f>VLOOKUP(U419,R_DD!$B$6:$E$2112,4,0)</f>
        <v>#N/A</v>
      </c>
      <c r="Z419" s="946" t="e">
        <f>VLOOKUP(X419,R_DD!$B$6:$E$2112,3,0)</f>
        <v>#N/A</v>
      </c>
      <c r="AA419" s="946" t="e">
        <f>VLOOKUP(Y419,R_DD!$A$1:$L$2131,4,0)</f>
        <v>#N/A</v>
      </c>
      <c r="AB419" s="947" t="e">
        <f>VLOOKUP(Y419,R_DD!$A$1:$L$2131,5,0)</f>
        <v>#N/A</v>
      </c>
      <c r="AC419" s="947" t="e">
        <f>VLOOKUP(X419,R_DD!$B$6:$E$2112,4,0)</f>
        <v>#N/A</v>
      </c>
    </row>
    <row r="420" spans="22:29" ht="20.100000000000001" customHeight="1">
      <c r="V420" s="944" t="e">
        <f>VLOOKUP(U420,R_DD!$B$6:$E$2112,3,0)</f>
        <v>#N/A</v>
      </c>
      <c r="W420" s="943" t="e">
        <f>VLOOKUP(U420,R_DD!$B$6:$E$2112,4,0)</f>
        <v>#N/A</v>
      </c>
      <c r="Z420" s="946" t="e">
        <f>VLOOKUP(X420,R_DD!$B$6:$E$2112,3,0)</f>
        <v>#N/A</v>
      </c>
      <c r="AA420" s="946" t="e">
        <f>VLOOKUP(Y420,R_DD!$A$1:$L$2131,4,0)</f>
        <v>#N/A</v>
      </c>
      <c r="AB420" s="947" t="e">
        <f>VLOOKUP(Y420,R_DD!$A$1:$L$2131,5,0)</f>
        <v>#N/A</v>
      </c>
      <c r="AC420" s="947" t="e">
        <f>VLOOKUP(X420,R_DD!$B$6:$E$2112,4,0)</f>
        <v>#N/A</v>
      </c>
    </row>
    <row r="421" spans="22:29" ht="20.100000000000001" customHeight="1">
      <c r="V421" s="944" t="e">
        <f>VLOOKUP(U421,R_DD!$B$6:$E$2112,3,0)</f>
        <v>#N/A</v>
      </c>
      <c r="W421" s="943" t="e">
        <f>VLOOKUP(U421,R_DD!$B$6:$E$2112,4,0)</f>
        <v>#N/A</v>
      </c>
      <c r="Z421" s="946" t="e">
        <f>VLOOKUP(X421,R_DD!$B$6:$E$2112,3,0)</f>
        <v>#N/A</v>
      </c>
      <c r="AA421" s="946" t="e">
        <f>VLOOKUP(Y421,R_DD!$A$1:$L$2131,4,0)</f>
        <v>#N/A</v>
      </c>
      <c r="AB421" s="947" t="e">
        <f>VLOOKUP(Y421,R_DD!$A$1:$L$2131,5,0)</f>
        <v>#N/A</v>
      </c>
      <c r="AC421" s="947" t="e">
        <f>VLOOKUP(X421,R_DD!$B$6:$E$2112,4,0)</f>
        <v>#N/A</v>
      </c>
    </row>
    <row r="422" spans="22:29" ht="20.100000000000001" customHeight="1">
      <c r="V422" s="944" t="e">
        <f>VLOOKUP(U422,R_DD!$B$6:$E$2112,3,0)</f>
        <v>#N/A</v>
      </c>
      <c r="W422" s="943" t="e">
        <f>VLOOKUP(U422,R_DD!$B$6:$E$2112,4,0)</f>
        <v>#N/A</v>
      </c>
      <c r="Z422" s="946" t="e">
        <f>VLOOKUP(X422,R_DD!$B$6:$E$2112,3,0)</f>
        <v>#N/A</v>
      </c>
      <c r="AA422" s="946" t="e">
        <f>VLOOKUP(Y422,R_DD!$A$1:$L$2131,4,0)</f>
        <v>#N/A</v>
      </c>
      <c r="AB422" s="947" t="e">
        <f>VLOOKUP(Y422,R_DD!$A$1:$L$2131,5,0)</f>
        <v>#N/A</v>
      </c>
      <c r="AC422" s="947" t="e">
        <f>VLOOKUP(X422,R_DD!$B$6:$E$2112,4,0)</f>
        <v>#N/A</v>
      </c>
    </row>
    <row r="423" spans="22:29" ht="20.100000000000001" customHeight="1">
      <c r="V423" s="944" t="e">
        <f>VLOOKUP(U423,R_DD!$B$6:$E$2112,3,0)</f>
        <v>#N/A</v>
      </c>
      <c r="W423" s="943" t="e">
        <f>VLOOKUP(U423,R_DD!$B$6:$E$2112,4,0)</f>
        <v>#N/A</v>
      </c>
      <c r="Z423" s="946" t="e">
        <f>VLOOKUP(X423,R_DD!$B$6:$E$2112,3,0)</f>
        <v>#N/A</v>
      </c>
      <c r="AA423" s="946" t="e">
        <f>VLOOKUP(Y423,R_DD!$A$1:$L$2131,4,0)</f>
        <v>#N/A</v>
      </c>
      <c r="AB423" s="947" t="e">
        <f>VLOOKUP(Y423,R_DD!$A$1:$L$2131,5,0)</f>
        <v>#N/A</v>
      </c>
      <c r="AC423" s="947" t="e">
        <f>VLOOKUP(X423,R_DD!$B$6:$E$2112,4,0)</f>
        <v>#N/A</v>
      </c>
    </row>
    <row r="424" spans="22:29" ht="20.100000000000001" customHeight="1">
      <c r="V424" s="944" t="e">
        <f>VLOOKUP(U424,R_DD!$B$6:$E$2112,3,0)</f>
        <v>#N/A</v>
      </c>
      <c r="W424" s="943" t="e">
        <f>VLOOKUP(U424,R_DD!$B$6:$E$2112,4,0)</f>
        <v>#N/A</v>
      </c>
      <c r="Z424" s="946" t="e">
        <f>VLOOKUP(X424,R_DD!$B$6:$E$2112,3,0)</f>
        <v>#N/A</v>
      </c>
      <c r="AA424" s="946" t="e">
        <f>VLOOKUP(Y424,R_DD!$A$1:$L$2131,4,0)</f>
        <v>#N/A</v>
      </c>
      <c r="AB424" s="947" t="e">
        <f>VLOOKUP(Y424,R_DD!$A$1:$L$2131,5,0)</f>
        <v>#N/A</v>
      </c>
      <c r="AC424" s="947" t="e">
        <f>VLOOKUP(X424,R_DD!$B$6:$E$2112,4,0)</f>
        <v>#N/A</v>
      </c>
    </row>
    <row r="425" spans="22:29" ht="20.100000000000001" customHeight="1">
      <c r="V425" s="944" t="e">
        <f>VLOOKUP(U425,R_DD!$B$6:$E$2112,3,0)</f>
        <v>#N/A</v>
      </c>
      <c r="W425" s="943" t="e">
        <f>VLOOKUP(U425,R_DD!$B$6:$E$2112,4,0)</f>
        <v>#N/A</v>
      </c>
      <c r="Z425" s="946" t="e">
        <f>VLOOKUP(X425,R_DD!$B$6:$E$2112,3,0)</f>
        <v>#N/A</v>
      </c>
      <c r="AA425" s="946" t="e">
        <f>VLOOKUP(Y425,R_DD!$A$1:$L$2131,4,0)</f>
        <v>#N/A</v>
      </c>
      <c r="AB425" s="947" t="e">
        <f>VLOOKUP(Y425,R_DD!$A$1:$L$2131,5,0)</f>
        <v>#N/A</v>
      </c>
      <c r="AC425" s="947" t="e">
        <f>VLOOKUP(X425,R_DD!$B$6:$E$2112,4,0)</f>
        <v>#N/A</v>
      </c>
    </row>
    <row r="426" spans="22:29" ht="20.100000000000001" customHeight="1">
      <c r="V426" s="944" t="e">
        <f>VLOOKUP(U426,R_DD!$B$6:$E$2112,3,0)</f>
        <v>#N/A</v>
      </c>
      <c r="W426" s="943" t="e">
        <f>VLOOKUP(U426,R_DD!$B$6:$E$2112,4,0)</f>
        <v>#N/A</v>
      </c>
      <c r="Z426" s="946" t="e">
        <f>VLOOKUP(X426,R_DD!$B$6:$E$2112,3,0)</f>
        <v>#N/A</v>
      </c>
      <c r="AA426" s="946" t="e">
        <f>VLOOKUP(Y426,R_DD!$A$1:$L$2131,4,0)</f>
        <v>#N/A</v>
      </c>
      <c r="AB426" s="947" t="e">
        <f>VLOOKUP(Y426,R_DD!$A$1:$L$2131,5,0)</f>
        <v>#N/A</v>
      </c>
      <c r="AC426" s="947" t="e">
        <f>VLOOKUP(X426,R_DD!$B$6:$E$2112,4,0)</f>
        <v>#N/A</v>
      </c>
    </row>
    <row r="427" spans="22:29" ht="20.100000000000001" customHeight="1">
      <c r="V427" s="944" t="e">
        <f>VLOOKUP(U427,R_DD!$B$6:$E$2112,3,0)</f>
        <v>#N/A</v>
      </c>
      <c r="W427" s="943" t="e">
        <f>VLOOKUP(U427,R_DD!$B$6:$E$2112,4,0)</f>
        <v>#N/A</v>
      </c>
      <c r="Z427" s="946" t="e">
        <f>VLOOKUP(X427,R_DD!$B$6:$E$2112,3,0)</f>
        <v>#N/A</v>
      </c>
      <c r="AA427" s="946" t="e">
        <f>VLOOKUP(Y427,R_DD!$A$1:$L$2131,4,0)</f>
        <v>#N/A</v>
      </c>
      <c r="AB427" s="947" t="e">
        <f>VLOOKUP(Y427,R_DD!$A$1:$L$2131,5,0)</f>
        <v>#N/A</v>
      </c>
      <c r="AC427" s="947" t="e">
        <f>VLOOKUP(X427,R_DD!$B$6:$E$2112,4,0)</f>
        <v>#N/A</v>
      </c>
    </row>
    <row r="428" spans="22:29" ht="20.100000000000001" customHeight="1">
      <c r="V428" s="944" t="e">
        <f>VLOOKUP(U428,R_DD!$B$6:$E$2112,3,0)</f>
        <v>#N/A</v>
      </c>
      <c r="W428" s="943" t="e">
        <f>VLOOKUP(U428,R_DD!$B$6:$E$2112,4,0)</f>
        <v>#N/A</v>
      </c>
      <c r="Z428" s="946" t="e">
        <f>VLOOKUP(X428,R_DD!$B$6:$E$2112,3,0)</f>
        <v>#N/A</v>
      </c>
      <c r="AA428" s="946" t="e">
        <f>VLOOKUP(Y428,R_DD!$A$1:$L$2131,4,0)</f>
        <v>#N/A</v>
      </c>
      <c r="AB428" s="947" t="e">
        <f>VLOOKUP(Y428,R_DD!$A$1:$L$2131,5,0)</f>
        <v>#N/A</v>
      </c>
      <c r="AC428" s="947" t="e">
        <f>VLOOKUP(X428,R_DD!$B$6:$E$2112,4,0)</f>
        <v>#N/A</v>
      </c>
    </row>
    <row r="429" spans="22:29" ht="20.100000000000001" customHeight="1">
      <c r="V429" s="944" t="e">
        <f>VLOOKUP(U429,R_DD!$B$6:$E$2112,3,0)</f>
        <v>#N/A</v>
      </c>
      <c r="W429" s="943" t="e">
        <f>VLOOKUP(U429,R_DD!$B$6:$E$2112,4,0)</f>
        <v>#N/A</v>
      </c>
      <c r="Z429" s="946" t="e">
        <f>VLOOKUP(X429,R_DD!$B$6:$E$2112,3,0)</f>
        <v>#N/A</v>
      </c>
      <c r="AA429" s="946" t="e">
        <f>VLOOKUP(Y429,R_DD!$A$1:$L$2131,4,0)</f>
        <v>#N/A</v>
      </c>
      <c r="AB429" s="947" t="e">
        <f>VLOOKUP(Y429,R_DD!$A$1:$L$2131,5,0)</f>
        <v>#N/A</v>
      </c>
      <c r="AC429" s="947" t="e">
        <f>VLOOKUP(X429,R_DD!$B$6:$E$2112,4,0)</f>
        <v>#N/A</v>
      </c>
    </row>
    <row r="430" spans="22:29" ht="20.100000000000001" customHeight="1">
      <c r="V430" s="944" t="e">
        <f>VLOOKUP(U430,R_DD!$B$6:$E$2112,3,0)</f>
        <v>#N/A</v>
      </c>
      <c r="W430" s="943" t="e">
        <f>VLOOKUP(U430,R_DD!$B$6:$E$2112,4,0)</f>
        <v>#N/A</v>
      </c>
      <c r="Z430" s="946" t="e">
        <f>VLOOKUP(X430,R_DD!$B$6:$E$2112,3,0)</f>
        <v>#N/A</v>
      </c>
      <c r="AA430" s="946" t="e">
        <f>VLOOKUP(Y430,R_DD!$A$1:$L$2131,4,0)</f>
        <v>#N/A</v>
      </c>
      <c r="AB430" s="947" t="e">
        <f>VLOOKUP(Y430,R_DD!$A$1:$L$2131,5,0)</f>
        <v>#N/A</v>
      </c>
      <c r="AC430" s="947" t="e">
        <f>VLOOKUP(X430,R_DD!$B$6:$E$2112,4,0)</f>
        <v>#N/A</v>
      </c>
    </row>
    <row r="431" spans="22:29" ht="20.100000000000001" customHeight="1">
      <c r="V431" s="944" t="e">
        <f>VLOOKUP(U431,R_DD!$B$6:$E$2112,3,0)</f>
        <v>#N/A</v>
      </c>
      <c r="W431" s="943" t="e">
        <f>VLOOKUP(U431,R_DD!$B$6:$E$2112,4,0)</f>
        <v>#N/A</v>
      </c>
      <c r="Z431" s="946" t="e">
        <f>VLOOKUP(X431,R_DD!$B$6:$E$2112,3,0)</f>
        <v>#N/A</v>
      </c>
      <c r="AA431" s="946" t="e">
        <f>VLOOKUP(Y431,R_DD!$A$1:$L$2131,4,0)</f>
        <v>#N/A</v>
      </c>
      <c r="AB431" s="947" t="e">
        <f>VLOOKUP(Y431,R_DD!$A$1:$L$2131,5,0)</f>
        <v>#N/A</v>
      </c>
      <c r="AC431" s="947" t="e">
        <f>VLOOKUP(X431,R_DD!$B$6:$E$2112,4,0)</f>
        <v>#N/A</v>
      </c>
    </row>
    <row r="432" spans="22:29" ht="20.100000000000001" customHeight="1">
      <c r="V432" s="944" t="e">
        <f>VLOOKUP(U432,R_DD!$B$6:$E$2112,3,0)</f>
        <v>#N/A</v>
      </c>
      <c r="W432" s="943" t="e">
        <f>VLOOKUP(U432,R_DD!$B$6:$E$2112,4,0)</f>
        <v>#N/A</v>
      </c>
      <c r="Z432" s="946" t="e">
        <f>VLOOKUP(X432,R_DD!$B$6:$E$2112,3,0)</f>
        <v>#N/A</v>
      </c>
      <c r="AA432" s="946" t="e">
        <f>VLOOKUP(Y432,R_DD!$A$1:$L$2131,4,0)</f>
        <v>#N/A</v>
      </c>
      <c r="AB432" s="947" t="e">
        <f>VLOOKUP(Y432,R_DD!$A$1:$L$2131,5,0)</f>
        <v>#N/A</v>
      </c>
      <c r="AC432" s="947" t="e">
        <f>VLOOKUP(X432,R_DD!$B$6:$E$2112,4,0)</f>
        <v>#N/A</v>
      </c>
    </row>
    <row r="433" spans="22:29" ht="20.100000000000001" customHeight="1">
      <c r="V433" s="944" t="e">
        <f>VLOOKUP(U433,R_DD!$B$6:$E$2112,3,0)</f>
        <v>#N/A</v>
      </c>
      <c r="W433" s="943" t="e">
        <f>VLOOKUP(U433,R_DD!$B$6:$E$2112,4,0)</f>
        <v>#N/A</v>
      </c>
      <c r="Z433" s="946" t="e">
        <f>VLOOKUP(X433,R_DD!$B$6:$E$2112,3,0)</f>
        <v>#N/A</v>
      </c>
      <c r="AA433" s="946" t="e">
        <f>VLOOKUP(Y433,R_DD!$A$1:$L$2131,4,0)</f>
        <v>#N/A</v>
      </c>
      <c r="AB433" s="947" t="e">
        <f>VLOOKUP(Y433,R_DD!$A$1:$L$2131,5,0)</f>
        <v>#N/A</v>
      </c>
      <c r="AC433" s="947" t="e">
        <f>VLOOKUP(X433,R_DD!$B$6:$E$2112,4,0)</f>
        <v>#N/A</v>
      </c>
    </row>
    <row r="434" spans="22:29" ht="20.100000000000001" customHeight="1">
      <c r="V434" s="944" t="e">
        <f>VLOOKUP(U434,R_DD!$B$6:$E$2112,3,0)</f>
        <v>#N/A</v>
      </c>
      <c r="W434" s="943" t="e">
        <f>VLOOKUP(U434,R_DD!$B$6:$E$2112,4,0)</f>
        <v>#N/A</v>
      </c>
      <c r="Z434" s="946" t="e">
        <f>VLOOKUP(X434,R_DD!$B$6:$E$2112,3,0)</f>
        <v>#N/A</v>
      </c>
      <c r="AA434" s="946" t="e">
        <f>VLOOKUP(Y434,R_DD!$A$1:$L$2131,4,0)</f>
        <v>#N/A</v>
      </c>
      <c r="AB434" s="947" t="e">
        <f>VLOOKUP(Y434,R_DD!$A$1:$L$2131,5,0)</f>
        <v>#N/A</v>
      </c>
      <c r="AC434" s="947" t="e">
        <f>VLOOKUP(X434,R_DD!$B$6:$E$2112,4,0)</f>
        <v>#N/A</v>
      </c>
    </row>
    <row r="435" spans="22:29" ht="20.100000000000001" customHeight="1">
      <c r="V435" s="944" t="e">
        <f>VLOOKUP(U435,R_DD!$B$6:$E$2112,3,0)</f>
        <v>#N/A</v>
      </c>
      <c r="W435" s="943" t="e">
        <f>VLOOKUP(U435,R_DD!$B$6:$E$2112,4,0)</f>
        <v>#N/A</v>
      </c>
      <c r="Z435" s="946" t="e">
        <f>VLOOKUP(X435,R_DD!$B$6:$E$2112,3,0)</f>
        <v>#N/A</v>
      </c>
      <c r="AA435" s="946" t="e">
        <f>VLOOKUP(Y435,R_DD!$A$1:$L$2131,4,0)</f>
        <v>#N/A</v>
      </c>
      <c r="AB435" s="947" t="e">
        <f>VLOOKUP(Y435,R_DD!$A$1:$L$2131,5,0)</f>
        <v>#N/A</v>
      </c>
      <c r="AC435" s="947" t="e">
        <f>VLOOKUP(X435,R_DD!$B$6:$E$2112,4,0)</f>
        <v>#N/A</v>
      </c>
    </row>
    <row r="436" spans="22:29" ht="20.100000000000001" customHeight="1">
      <c r="V436" s="944" t="e">
        <f>VLOOKUP(U436,R_DD!$B$6:$E$2112,3,0)</f>
        <v>#N/A</v>
      </c>
      <c r="W436" s="943" t="e">
        <f>VLOOKUP(U436,R_DD!$B$6:$E$2112,4,0)</f>
        <v>#N/A</v>
      </c>
      <c r="Z436" s="946" t="e">
        <f>VLOOKUP(X436,R_DD!$B$6:$E$2112,3,0)</f>
        <v>#N/A</v>
      </c>
      <c r="AA436" s="946" t="e">
        <f>VLOOKUP(Y436,R_DD!$A$1:$L$2131,4,0)</f>
        <v>#N/A</v>
      </c>
      <c r="AB436" s="947" t="e">
        <f>VLOOKUP(Y436,R_DD!$A$1:$L$2131,5,0)</f>
        <v>#N/A</v>
      </c>
      <c r="AC436" s="947" t="e">
        <f>VLOOKUP(X436,R_DD!$B$6:$E$2112,4,0)</f>
        <v>#N/A</v>
      </c>
    </row>
    <row r="437" spans="22:29" ht="20.100000000000001" customHeight="1">
      <c r="V437" s="944" t="e">
        <f>VLOOKUP(U437,R_DD!$B$6:$E$2112,3,0)</f>
        <v>#N/A</v>
      </c>
      <c r="W437" s="943" t="e">
        <f>VLOOKUP(U437,R_DD!$B$6:$E$2112,4,0)</f>
        <v>#N/A</v>
      </c>
      <c r="Z437" s="946" t="e">
        <f>VLOOKUP(X437,R_DD!$B$6:$E$2112,3,0)</f>
        <v>#N/A</v>
      </c>
      <c r="AA437" s="946" t="e">
        <f>VLOOKUP(Y437,R_DD!$A$1:$L$2131,4,0)</f>
        <v>#N/A</v>
      </c>
      <c r="AB437" s="947" t="e">
        <f>VLOOKUP(Y437,R_DD!$A$1:$L$2131,5,0)</f>
        <v>#N/A</v>
      </c>
      <c r="AC437" s="947" t="e">
        <f>VLOOKUP(X437,R_DD!$B$6:$E$2112,4,0)</f>
        <v>#N/A</v>
      </c>
    </row>
    <row r="438" spans="22:29" ht="20.100000000000001" customHeight="1">
      <c r="V438" s="944" t="e">
        <f>VLOOKUP(U438,R_DD!$B$6:$E$2112,3,0)</f>
        <v>#N/A</v>
      </c>
      <c r="W438" s="943" t="e">
        <f>VLOOKUP(U438,R_DD!$B$6:$E$2112,4,0)</f>
        <v>#N/A</v>
      </c>
      <c r="Z438" s="946" t="e">
        <f>VLOOKUP(X438,R_DD!$B$6:$E$2112,3,0)</f>
        <v>#N/A</v>
      </c>
      <c r="AA438" s="946" t="e">
        <f>VLOOKUP(Y438,R_DD!$A$1:$L$2131,4,0)</f>
        <v>#N/A</v>
      </c>
      <c r="AB438" s="947" t="e">
        <f>VLOOKUP(Y438,R_DD!$A$1:$L$2131,5,0)</f>
        <v>#N/A</v>
      </c>
      <c r="AC438" s="947" t="e">
        <f>VLOOKUP(X438,R_DD!$B$6:$E$2112,4,0)</f>
        <v>#N/A</v>
      </c>
    </row>
    <row r="439" spans="22:29" ht="20.100000000000001" customHeight="1">
      <c r="V439" s="944" t="e">
        <f>VLOOKUP(U439,R_DD!$B$6:$E$2112,3,0)</f>
        <v>#N/A</v>
      </c>
      <c r="W439" s="943" t="e">
        <f>VLOOKUP(U439,R_DD!$B$6:$E$2112,4,0)</f>
        <v>#N/A</v>
      </c>
      <c r="Z439" s="946" t="e">
        <f>VLOOKUP(X439,R_DD!$B$6:$E$2112,3,0)</f>
        <v>#N/A</v>
      </c>
      <c r="AA439" s="946" t="e">
        <f>VLOOKUP(Y439,R_DD!$A$1:$L$2131,4,0)</f>
        <v>#N/A</v>
      </c>
      <c r="AB439" s="947" t="e">
        <f>VLOOKUP(Y439,R_DD!$A$1:$L$2131,5,0)</f>
        <v>#N/A</v>
      </c>
      <c r="AC439" s="947" t="e">
        <f>VLOOKUP(X439,R_DD!$B$6:$E$2112,4,0)</f>
        <v>#N/A</v>
      </c>
    </row>
    <row r="440" spans="22:29" ht="20.100000000000001" customHeight="1">
      <c r="V440" s="944" t="e">
        <f>VLOOKUP(U440,R_DD!$B$6:$E$2112,3,0)</f>
        <v>#N/A</v>
      </c>
      <c r="W440" s="943" t="e">
        <f>VLOOKUP(U440,R_DD!$B$6:$E$2112,4,0)</f>
        <v>#N/A</v>
      </c>
      <c r="Z440" s="946" t="e">
        <f>VLOOKUP(X440,R_DD!$B$6:$E$2112,3,0)</f>
        <v>#N/A</v>
      </c>
      <c r="AA440" s="946" t="e">
        <f>VLOOKUP(Y440,R_DD!$A$1:$L$2131,4,0)</f>
        <v>#N/A</v>
      </c>
      <c r="AB440" s="947" t="e">
        <f>VLOOKUP(Y440,R_DD!$A$1:$L$2131,5,0)</f>
        <v>#N/A</v>
      </c>
      <c r="AC440" s="947" t="e">
        <f>VLOOKUP(X440,R_DD!$B$6:$E$2112,4,0)</f>
        <v>#N/A</v>
      </c>
    </row>
    <row r="441" spans="22:29" ht="20.100000000000001" customHeight="1">
      <c r="V441" s="944" t="e">
        <f>VLOOKUP(U441,R_DD!$B$6:$E$2112,3,0)</f>
        <v>#N/A</v>
      </c>
      <c r="W441" s="943" t="e">
        <f>VLOOKUP(U441,R_DD!$B$6:$E$2112,4,0)</f>
        <v>#N/A</v>
      </c>
      <c r="Z441" s="946" t="e">
        <f>VLOOKUP(X441,R_DD!$B$6:$E$2112,3,0)</f>
        <v>#N/A</v>
      </c>
      <c r="AA441" s="946" t="e">
        <f>VLOOKUP(Y441,R_DD!$A$1:$L$2131,4,0)</f>
        <v>#N/A</v>
      </c>
      <c r="AB441" s="947" t="e">
        <f>VLOOKUP(Y441,R_DD!$A$1:$L$2131,5,0)</f>
        <v>#N/A</v>
      </c>
      <c r="AC441" s="947" t="e">
        <f>VLOOKUP(X441,R_DD!$B$6:$E$2112,4,0)</f>
        <v>#N/A</v>
      </c>
    </row>
    <row r="442" spans="22:29" ht="20.100000000000001" customHeight="1">
      <c r="V442" s="944" t="e">
        <f>VLOOKUP(U442,R_DD!$B$6:$E$2112,3,0)</f>
        <v>#N/A</v>
      </c>
      <c r="W442" s="943" t="e">
        <f>VLOOKUP(U442,R_DD!$B$6:$E$2112,4,0)</f>
        <v>#N/A</v>
      </c>
      <c r="Z442" s="946" t="e">
        <f>VLOOKUP(X442,R_DD!$B$6:$E$2112,3,0)</f>
        <v>#N/A</v>
      </c>
      <c r="AA442" s="946" t="e">
        <f>VLOOKUP(Y442,R_DD!$A$1:$L$2131,4,0)</f>
        <v>#N/A</v>
      </c>
      <c r="AB442" s="947" t="e">
        <f>VLOOKUP(Y442,R_DD!$A$1:$L$2131,5,0)</f>
        <v>#N/A</v>
      </c>
      <c r="AC442" s="947" t="e">
        <f>VLOOKUP(X442,R_DD!$B$6:$E$2112,4,0)</f>
        <v>#N/A</v>
      </c>
    </row>
    <row r="443" spans="22:29" ht="20.100000000000001" customHeight="1">
      <c r="V443" s="944" t="e">
        <f>VLOOKUP(U443,R_DD!$B$6:$E$2112,3,0)</f>
        <v>#N/A</v>
      </c>
      <c r="W443" s="943" t="e">
        <f>VLOOKUP(U443,R_DD!$B$6:$E$2112,4,0)</f>
        <v>#N/A</v>
      </c>
      <c r="Z443" s="946" t="e">
        <f>VLOOKUP(X443,R_DD!$B$6:$E$2112,3,0)</f>
        <v>#N/A</v>
      </c>
      <c r="AA443" s="946" t="e">
        <f>VLOOKUP(Y443,R_DD!$A$1:$L$2131,4,0)</f>
        <v>#N/A</v>
      </c>
      <c r="AB443" s="947" t="e">
        <f>VLOOKUP(Y443,R_DD!$A$1:$L$2131,5,0)</f>
        <v>#N/A</v>
      </c>
      <c r="AC443" s="947" t="e">
        <f>VLOOKUP(X443,R_DD!$B$6:$E$2112,4,0)</f>
        <v>#N/A</v>
      </c>
    </row>
    <row r="444" spans="22:29" ht="20.100000000000001" customHeight="1">
      <c r="V444" s="944" t="e">
        <f>VLOOKUP(U444,R_DD!$B$6:$E$2112,3,0)</f>
        <v>#N/A</v>
      </c>
      <c r="W444" s="943" t="e">
        <f>VLOOKUP(U444,R_DD!$B$6:$E$2112,4,0)</f>
        <v>#N/A</v>
      </c>
      <c r="Z444" s="946" t="e">
        <f>VLOOKUP(X444,R_DD!$B$6:$E$2112,3,0)</f>
        <v>#N/A</v>
      </c>
      <c r="AA444" s="946" t="e">
        <f>VLOOKUP(Y444,R_DD!$A$1:$L$2131,4,0)</f>
        <v>#N/A</v>
      </c>
      <c r="AB444" s="947" t="e">
        <f>VLOOKUP(Y444,R_DD!$A$1:$L$2131,5,0)</f>
        <v>#N/A</v>
      </c>
      <c r="AC444" s="947" t="e">
        <f>VLOOKUP(X444,R_DD!$B$6:$E$2112,4,0)</f>
        <v>#N/A</v>
      </c>
    </row>
    <row r="445" spans="22:29" ht="20.100000000000001" customHeight="1">
      <c r="V445" s="944" t="e">
        <f>VLOOKUP(U445,R_DD!$B$6:$E$2112,3,0)</f>
        <v>#N/A</v>
      </c>
      <c r="W445" s="943" t="e">
        <f>VLOOKUP(U445,R_DD!$B$6:$E$2112,4,0)</f>
        <v>#N/A</v>
      </c>
      <c r="Z445" s="946" t="e">
        <f>VLOOKUP(X445,R_DD!$B$6:$E$2112,3,0)</f>
        <v>#N/A</v>
      </c>
      <c r="AA445" s="946" t="e">
        <f>VLOOKUP(Y445,R_DD!$A$1:$L$2131,4,0)</f>
        <v>#N/A</v>
      </c>
      <c r="AB445" s="947" t="e">
        <f>VLOOKUP(Y445,R_DD!$A$1:$L$2131,5,0)</f>
        <v>#N/A</v>
      </c>
      <c r="AC445" s="947" t="e">
        <f>VLOOKUP(X445,R_DD!$B$6:$E$2112,4,0)</f>
        <v>#N/A</v>
      </c>
    </row>
    <row r="446" spans="22:29" ht="20.100000000000001" customHeight="1">
      <c r="V446" s="944" t="e">
        <f>VLOOKUP(U446,R_DD!$B$6:$E$2112,3,0)</f>
        <v>#N/A</v>
      </c>
      <c r="W446" s="943" t="e">
        <f>VLOOKUP(U446,R_DD!$B$6:$E$2112,4,0)</f>
        <v>#N/A</v>
      </c>
      <c r="Z446" s="946" t="e">
        <f>VLOOKUP(X446,R_DD!$B$6:$E$2112,3,0)</f>
        <v>#N/A</v>
      </c>
      <c r="AA446" s="946" t="e">
        <f>VLOOKUP(Y446,R_DD!$A$1:$L$2131,4,0)</f>
        <v>#N/A</v>
      </c>
      <c r="AB446" s="947" t="e">
        <f>VLOOKUP(Y446,R_DD!$A$1:$L$2131,5,0)</f>
        <v>#N/A</v>
      </c>
      <c r="AC446" s="947" t="e">
        <f>VLOOKUP(X446,R_DD!$B$6:$E$2112,4,0)</f>
        <v>#N/A</v>
      </c>
    </row>
    <row r="447" spans="22:29" ht="20.100000000000001" customHeight="1">
      <c r="V447" s="944" t="e">
        <f>VLOOKUP(U447,R_DD!$B$6:$E$2112,3,0)</f>
        <v>#N/A</v>
      </c>
      <c r="W447" s="943" t="e">
        <f>VLOOKUP(U447,R_DD!$B$6:$E$2112,4,0)</f>
        <v>#N/A</v>
      </c>
      <c r="Z447" s="946" t="e">
        <f>VLOOKUP(X447,R_DD!$B$6:$E$2112,3,0)</f>
        <v>#N/A</v>
      </c>
      <c r="AA447" s="946" t="e">
        <f>VLOOKUP(Y447,R_DD!$A$1:$L$2131,4,0)</f>
        <v>#N/A</v>
      </c>
      <c r="AB447" s="947" t="e">
        <f>VLOOKUP(Y447,R_DD!$A$1:$L$2131,5,0)</f>
        <v>#N/A</v>
      </c>
      <c r="AC447" s="947" t="e">
        <f>VLOOKUP(X447,R_DD!$B$6:$E$2112,4,0)</f>
        <v>#N/A</v>
      </c>
    </row>
    <row r="448" spans="22:29" ht="20.100000000000001" customHeight="1">
      <c r="V448" s="944" t="e">
        <f>VLOOKUP(U448,R_DD!$B$6:$E$2112,3,0)</f>
        <v>#N/A</v>
      </c>
      <c r="W448" s="943" t="e">
        <f>VLOOKUP(U448,R_DD!$B$6:$E$2112,4,0)</f>
        <v>#N/A</v>
      </c>
      <c r="Z448" s="946" t="e">
        <f>VLOOKUP(X448,R_DD!$B$6:$E$2112,3,0)</f>
        <v>#N/A</v>
      </c>
      <c r="AA448" s="946" t="e">
        <f>VLOOKUP(Y448,R_DD!$A$1:$L$2131,4,0)</f>
        <v>#N/A</v>
      </c>
      <c r="AB448" s="947" t="e">
        <f>VLOOKUP(Y448,R_DD!$A$1:$L$2131,5,0)</f>
        <v>#N/A</v>
      </c>
      <c r="AC448" s="947" t="e">
        <f>VLOOKUP(X448,R_DD!$B$6:$E$2112,4,0)</f>
        <v>#N/A</v>
      </c>
    </row>
    <row r="449" spans="22:29" ht="20.100000000000001" customHeight="1">
      <c r="V449" s="944" t="e">
        <f>VLOOKUP(U449,R_DD!$B$6:$E$2112,3,0)</f>
        <v>#N/A</v>
      </c>
      <c r="W449" s="943" t="e">
        <f>VLOOKUP(U449,R_DD!$B$6:$E$2112,4,0)</f>
        <v>#N/A</v>
      </c>
      <c r="Z449" s="946" t="e">
        <f>VLOOKUP(X449,R_DD!$B$6:$E$2112,3,0)</f>
        <v>#N/A</v>
      </c>
      <c r="AA449" s="946" t="e">
        <f>VLOOKUP(Y449,R_DD!$A$1:$L$2131,4,0)</f>
        <v>#N/A</v>
      </c>
      <c r="AB449" s="947" t="e">
        <f>VLOOKUP(Y449,R_DD!$A$1:$L$2131,5,0)</f>
        <v>#N/A</v>
      </c>
      <c r="AC449" s="947" t="e">
        <f>VLOOKUP(X449,R_DD!$B$6:$E$2112,4,0)</f>
        <v>#N/A</v>
      </c>
    </row>
    <row r="450" spans="22:29" ht="20.100000000000001" customHeight="1">
      <c r="V450" s="944" t="e">
        <f>VLOOKUP(U450,R_DD!$B$6:$E$2112,3,0)</f>
        <v>#N/A</v>
      </c>
      <c r="W450" s="943" t="e">
        <f>VLOOKUP(U450,R_DD!$B$6:$E$2112,4,0)</f>
        <v>#N/A</v>
      </c>
      <c r="Z450" s="946" t="e">
        <f>VLOOKUP(X450,R_DD!$B$6:$E$2112,3,0)</f>
        <v>#N/A</v>
      </c>
      <c r="AA450" s="946" t="e">
        <f>VLOOKUP(Y450,R_DD!$A$1:$L$2131,4,0)</f>
        <v>#N/A</v>
      </c>
      <c r="AB450" s="947" t="e">
        <f>VLOOKUP(Y450,R_DD!$A$1:$L$2131,5,0)</f>
        <v>#N/A</v>
      </c>
      <c r="AC450" s="947" t="e">
        <f>VLOOKUP(X450,R_DD!$B$6:$E$2112,4,0)</f>
        <v>#N/A</v>
      </c>
    </row>
    <row r="451" spans="22:29" ht="20.100000000000001" customHeight="1">
      <c r="V451" s="944" t="e">
        <f>VLOOKUP(U451,R_DD!$B$6:$E$2112,3,0)</f>
        <v>#N/A</v>
      </c>
      <c r="W451" s="943" t="e">
        <f>VLOOKUP(U451,R_DD!$B$6:$E$2112,4,0)</f>
        <v>#N/A</v>
      </c>
      <c r="Z451" s="946" t="e">
        <f>VLOOKUP(X451,R_DD!$B$6:$E$2112,3,0)</f>
        <v>#N/A</v>
      </c>
      <c r="AA451" s="946" t="e">
        <f>VLOOKUP(Y451,R_DD!$A$1:$L$2131,4,0)</f>
        <v>#N/A</v>
      </c>
      <c r="AB451" s="947" t="e">
        <f>VLOOKUP(Y451,R_DD!$A$1:$L$2131,5,0)</f>
        <v>#N/A</v>
      </c>
      <c r="AC451" s="947" t="e">
        <f>VLOOKUP(X451,R_DD!$B$6:$E$2112,4,0)</f>
        <v>#N/A</v>
      </c>
    </row>
    <row r="452" spans="22:29" ht="20.100000000000001" customHeight="1">
      <c r="V452" s="944" t="e">
        <f>VLOOKUP(U452,R_DD!$B$6:$E$2112,3,0)</f>
        <v>#N/A</v>
      </c>
      <c r="W452" s="943" t="e">
        <f>VLOOKUP(U452,R_DD!$B$6:$E$2112,4,0)</f>
        <v>#N/A</v>
      </c>
      <c r="Z452" s="946" t="e">
        <f>VLOOKUP(X452,R_DD!$B$6:$E$2112,3,0)</f>
        <v>#N/A</v>
      </c>
      <c r="AA452" s="946" t="e">
        <f>VLOOKUP(Y452,R_DD!$A$1:$L$2131,4,0)</f>
        <v>#N/A</v>
      </c>
      <c r="AB452" s="947" t="e">
        <f>VLOOKUP(Y452,R_DD!$A$1:$L$2131,5,0)</f>
        <v>#N/A</v>
      </c>
      <c r="AC452" s="947" t="e">
        <f>VLOOKUP(X452,R_DD!$B$6:$E$2112,4,0)</f>
        <v>#N/A</v>
      </c>
    </row>
    <row r="453" spans="22:29" ht="20.100000000000001" customHeight="1">
      <c r="V453" s="944" t="e">
        <f>VLOOKUP(U453,R_DD!$B$6:$E$2112,3,0)</f>
        <v>#N/A</v>
      </c>
      <c r="W453" s="943" t="e">
        <f>VLOOKUP(U453,R_DD!$B$6:$E$2112,4,0)</f>
        <v>#N/A</v>
      </c>
      <c r="Z453" s="946" t="e">
        <f>VLOOKUP(X453,R_DD!$B$6:$E$2112,3,0)</f>
        <v>#N/A</v>
      </c>
      <c r="AA453" s="946" t="e">
        <f>VLOOKUP(Y453,R_DD!$A$1:$L$2131,4,0)</f>
        <v>#N/A</v>
      </c>
      <c r="AB453" s="947" t="e">
        <f>VLOOKUP(Y453,R_DD!$A$1:$L$2131,5,0)</f>
        <v>#N/A</v>
      </c>
      <c r="AC453" s="947" t="e">
        <f>VLOOKUP(X453,R_DD!$B$6:$E$2112,4,0)</f>
        <v>#N/A</v>
      </c>
    </row>
    <row r="454" spans="22:29" ht="20.100000000000001" customHeight="1">
      <c r="V454" s="944" t="e">
        <f>VLOOKUP(U454,R_DD!$B$6:$E$2112,3,0)</f>
        <v>#N/A</v>
      </c>
      <c r="W454" s="943" t="e">
        <f>VLOOKUP(U454,R_DD!$B$6:$E$2112,4,0)</f>
        <v>#N/A</v>
      </c>
      <c r="Z454" s="946" t="e">
        <f>VLOOKUP(X454,R_DD!$B$6:$E$2112,3,0)</f>
        <v>#N/A</v>
      </c>
      <c r="AA454" s="946" t="e">
        <f>VLOOKUP(Y454,R_DD!$A$1:$L$2131,4,0)</f>
        <v>#N/A</v>
      </c>
      <c r="AB454" s="947" t="e">
        <f>VLOOKUP(Y454,R_DD!$A$1:$L$2131,5,0)</f>
        <v>#N/A</v>
      </c>
      <c r="AC454" s="947" t="e">
        <f>VLOOKUP(X454,R_DD!$B$6:$E$2112,4,0)</f>
        <v>#N/A</v>
      </c>
    </row>
    <row r="455" spans="22:29" ht="20.100000000000001" customHeight="1">
      <c r="V455" s="944" t="e">
        <f>VLOOKUP(U455,R_DD!$B$6:$E$2112,3,0)</f>
        <v>#N/A</v>
      </c>
      <c r="W455" s="943" t="e">
        <f>VLOOKUP(U455,R_DD!$B$6:$E$2112,4,0)</f>
        <v>#N/A</v>
      </c>
      <c r="Z455" s="946" t="e">
        <f>VLOOKUP(X455,R_DD!$B$6:$E$2112,3,0)</f>
        <v>#N/A</v>
      </c>
      <c r="AA455" s="946" t="e">
        <f>VLOOKUP(Y455,R_DD!$A$1:$L$2131,4,0)</f>
        <v>#N/A</v>
      </c>
      <c r="AB455" s="947" t="e">
        <f>VLOOKUP(Y455,R_DD!$A$1:$L$2131,5,0)</f>
        <v>#N/A</v>
      </c>
      <c r="AC455" s="947" t="e">
        <f>VLOOKUP(X455,R_DD!$B$6:$E$2112,4,0)</f>
        <v>#N/A</v>
      </c>
    </row>
    <row r="456" spans="22:29" ht="20.100000000000001" customHeight="1">
      <c r="V456" s="944" t="e">
        <f>VLOOKUP(U456,R_DD!$B$6:$E$2112,3,0)</f>
        <v>#N/A</v>
      </c>
      <c r="W456" s="943" t="e">
        <f>VLOOKUP(U456,R_DD!$B$6:$E$2112,4,0)</f>
        <v>#N/A</v>
      </c>
      <c r="Z456" s="946" t="e">
        <f>VLOOKUP(X456,R_DD!$B$6:$E$2112,3,0)</f>
        <v>#N/A</v>
      </c>
      <c r="AA456" s="946" t="e">
        <f>VLOOKUP(Y456,R_DD!$A$1:$L$2131,4,0)</f>
        <v>#N/A</v>
      </c>
      <c r="AB456" s="947" t="e">
        <f>VLOOKUP(Y456,R_DD!$A$1:$L$2131,5,0)</f>
        <v>#N/A</v>
      </c>
      <c r="AC456" s="947" t="e">
        <f>VLOOKUP(X456,R_DD!$B$6:$E$2112,4,0)</f>
        <v>#N/A</v>
      </c>
    </row>
    <row r="457" spans="22:29" ht="20.100000000000001" customHeight="1">
      <c r="V457" s="944" t="e">
        <f>VLOOKUP(U457,R_DD!$B$6:$E$2112,3,0)</f>
        <v>#N/A</v>
      </c>
      <c r="W457" s="943" t="e">
        <f>VLOOKUP(U457,R_DD!$B$6:$E$2112,4,0)</f>
        <v>#N/A</v>
      </c>
      <c r="Z457" s="946" t="e">
        <f>VLOOKUP(X457,R_DD!$B$6:$E$2112,3,0)</f>
        <v>#N/A</v>
      </c>
      <c r="AA457" s="946" t="e">
        <f>VLOOKUP(Y457,R_DD!$A$1:$L$2131,4,0)</f>
        <v>#N/A</v>
      </c>
      <c r="AB457" s="947" t="e">
        <f>VLOOKUP(Y457,R_DD!$A$1:$L$2131,5,0)</f>
        <v>#N/A</v>
      </c>
      <c r="AC457" s="947" t="e">
        <f>VLOOKUP(X457,R_DD!$B$6:$E$2112,4,0)</f>
        <v>#N/A</v>
      </c>
    </row>
    <row r="458" spans="22:29" ht="20.100000000000001" customHeight="1">
      <c r="V458" s="944" t="e">
        <f>VLOOKUP(U458,R_DD!$B$6:$E$2112,3,0)</f>
        <v>#N/A</v>
      </c>
      <c r="W458" s="943" t="e">
        <f>VLOOKUP(U458,R_DD!$B$6:$E$2112,4,0)</f>
        <v>#N/A</v>
      </c>
      <c r="Z458" s="946" t="e">
        <f>VLOOKUP(X458,R_DD!$B$6:$E$2112,3,0)</f>
        <v>#N/A</v>
      </c>
      <c r="AA458" s="946" t="e">
        <f>VLOOKUP(Y458,R_DD!$A$1:$L$2131,4,0)</f>
        <v>#N/A</v>
      </c>
      <c r="AB458" s="947" t="e">
        <f>VLOOKUP(Y458,R_DD!$A$1:$L$2131,5,0)</f>
        <v>#N/A</v>
      </c>
      <c r="AC458" s="947" t="e">
        <f>VLOOKUP(X458,R_DD!$B$6:$E$2112,4,0)</f>
        <v>#N/A</v>
      </c>
    </row>
    <row r="459" spans="22:29" ht="20.100000000000001" customHeight="1">
      <c r="V459" s="944" t="e">
        <f>VLOOKUP(U459,R_DD!$B$6:$E$2112,3,0)</f>
        <v>#N/A</v>
      </c>
      <c r="W459" s="943" t="e">
        <f>VLOOKUP(U459,R_DD!$B$6:$E$2112,4,0)</f>
        <v>#N/A</v>
      </c>
      <c r="Z459" s="946" t="e">
        <f>VLOOKUP(X459,R_DD!$B$6:$E$2112,3,0)</f>
        <v>#N/A</v>
      </c>
      <c r="AA459" s="946" t="e">
        <f>VLOOKUP(Y459,R_DD!$A$1:$L$2131,4,0)</f>
        <v>#N/A</v>
      </c>
      <c r="AB459" s="947" t="e">
        <f>VLOOKUP(Y459,R_DD!$A$1:$L$2131,5,0)</f>
        <v>#N/A</v>
      </c>
      <c r="AC459" s="947" t="e">
        <f>VLOOKUP(X459,R_DD!$B$6:$E$2112,4,0)</f>
        <v>#N/A</v>
      </c>
    </row>
    <row r="460" spans="22:29" ht="20.100000000000001" customHeight="1">
      <c r="V460" s="944" t="e">
        <f>VLOOKUP(U460,R_DD!$B$6:$E$2112,3,0)</f>
        <v>#N/A</v>
      </c>
      <c r="W460" s="943" t="e">
        <f>VLOOKUP(U460,R_DD!$B$6:$E$2112,4,0)</f>
        <v>#N/A</v>
      </c>
      <c r="Z460" s="946" t="e">
        <f>VLOOKUP(X460,R_DD!$B$6:$E$2112,3,0)</f>
        <v>#N/A</v>
      </c>
      <c r="AA460" s="946" t="e">
        <f>VLOOKUP(Y460,R_DD!$A$1:$L$2131,4,0)</f>
        <v>#N/A</v>
      </c>
      <c r="AB460" s="947" t="e">
        <f>VLOOKUP(Y460,R_DD!$A$1:$L$2131,5,0)</f>
        <v>#N/A</v>
      </c>
      <c r="AC460" s="947" t="e">
        <f>VLOOKUP(X460,R_DD!$B$6:$E$2112,4,0)</f>
        <v>#N/A</v>
      </c>
    </row>
    <row r="461" spans="22:29" ht="20.100000000000001" customHeight="1">
      <c r="V461" s="944" t="e">
        <f>VLOOKUP(U461,R_DD!$B$6:$E$2112,3,0)</f>
        <v>#N/A</v>
      </c>
      <c r="W461" s="943" t="e">
        <f>VLOOKUP(U461,R_DD!$B$6:$E$2112,4,0)</f>
        <v>#N/A</v>
      </c>
      <c r="Z461" s="946" t="e">
        <f>VLOOKUP(X461,R_DD!$B$6:$E$2112,3,0)</f>
        <v>#N/A</v>
      </c>
      <c r="AA461" s="946" t="e">
        <f>VLOOKUP(Y461,R_DD!$A$1:$L$2131,4,0)</f>
        <v>#N/A</v>
      </c>
      <c r="AB461" s="947" t="e">
        <f>VLOOKUP(Y461,R_DD!$A$1:$L$2131,5,0)</f>
        <v>#N/A</v>
      </c>
      <c r="AC461" s="947" t="e">
        <f>VLOOKUP(X461,R_DD!$B$6:$E$2112,4,0)</f>
        <v>#N/A</v>
      </c>
    </row>
    <row r="462" spans="22:29" ht="20.100000000000001" customHeight="1">
      <c r="V462" s="944" t="e">
        <f>VLOOKUP(U462,R_DD!$B$6:$E$2112,3,0)</f>
        <v>#N/A</v>
      </c>
      <c r="W462" s="943" t="e">
        <f>VLOOKUP(U462,R_DD!$B$6:$E$2112,4,0)</f>
        <v>#N/A</v>
      </c>
      <c r="Z462" s="946" t="e">
        <f>VLOOKUP(X462,R_DD!$B$6:$E$2112,3,0)</f>
        <v>#N/A</v>
      </c>
      <c r="AA462" s="946" t="e">
        <f>VLOOKUP(Y462,R_DD!$A$1:$L$2131,4,0)</f>
        <v>#N/A</v>
      </c>
      <c r="AB462" s="947" t="e">
        <f>VLOOKUP(Y462,R_DD!$A$1:$L$2131,5,0)</f>
        <v>#N/A</v>
      </c>
      <c r="AC462" s="947" t="e">
        <f>VLOOKUP(X462,R_DD!$B$6:$E$2112,4,0)</f>
        <v>#N/A</v>
      </c>
    </row>
    <row r="463" spans="22:29" ht="20.100000000000001" customHeight="1">
      <c r="V463" s="944" t="e">
        <f>VLOOKUP(U463,R_DD!$B$6:$E$2112,3,0)</f>
        <v>#N/A</v>
      </c>
      <c r="W463" s="943" t="e">
        <f>VLOOKUP(U463,R_DD!$B$6:$E$2112,4,0)</f>
        <v>#N/A</v>
      </c>
      <c r="Z463" s="946" t="e">
        <f>VLOOKUP(X463,R_DD!$B$6:$E$2112,3,0)</f>
        <v>#N/A</v>
      </c>
      <c r="AA463" s="946" t="e">
        <f>VLOOKUP(Y463,R_DD!$A$1:$L$2131,4,0)</f>
        <v>#N/A</v>
      </c>
      <c r="AB463" s="947" t="e">
        <f>VLOOKUP(Y463,R_DD!$A$1:$L$2131,5,0)</f>
        <v>#N/A</v>
      </c>
      <c r="AC463" s="947" t="e">
        <f>VLOOKUP(X463,R_DD!$B$6:$E$2112,4,0)</f>
        <v>#N/A</v>
      </c>
    </row>
    <row r="464" spans="22:29" ht="20.100000000000001" customHeight="1">
      <c r="V464" s="944" t="e">
        <f>VLOOKUP(U464,R_DD!$B$6:$E$2112,3,0)</f>
        <v>#N/A</v>
      </c>
      <c r="W464" s="943" t="e">
        <f>VLOOKUP(U464,R_DD!$B$6:$E$2112,4,0)</f>
        <v>#N/A</v>
      </c>
      <c r="Z464" s="946" t="e">
        <f>VLOOKUP(X464,R_DD!$B$6:$E$2112,3,0)</f>
        <v>#N/A</v>
      </c>
      <c r="AA464" s="946" t="e">
        <f>VLOOKUP(Y464,R_DD!$A$1:$L$2131,4,0)</f>
        <v>#N/A</v>
      </c>
      <c r="AB464" s="947" t="e">
        <f>VLOOKUP(Y464,R_DD!$A$1:$L$2131,5,0)</f>
        <v>#N/A</v>
      </c>
      <c r="AC464" s="947" t="e">
        <f>VLOOKUP(X464,R_DD!$B$6:$E$2112,4,0)</f>
        <v>#N/A</v>
      </c>
    </row>
    <row r="465" spans="22:29" ht="20.100000000000001" customHeight="1">
      <c r="V465" s="944" t="e">
        <f>VLOOKUP(U465,R_DD!$B$6:$E$2112,3,0)</f>
        <v>#N/A</v>
      </c>
      <c r="W465" s="943" t="e">
        <f>VLOOKUP(U465,R_DD!$B$6:$E$2112,4,0)</f>
        <v>#N/A</v>
      </c>
      <c r="Z465" s="946" t="e">
        <f>VLOOKUP(X465,R_DD!$B$6:$E$2112,3,0)</f>
        <v>#N/A</v>
      </c>
      <c r="AA465" s="946" t="e">
        <f>VLOOKUP(Y465,R_DD!$A$1:$L$2131,4,0)</f>
        <v>#N/A</v>
      </c>
      <c r="AB465" s="947" t="e">
        <f>VLOOKUP(Y465,R_DD!$A$1:$L$2131,5,0)</f>
        <v>#N/A</v>
      </c>
      <c r="AC465" s="947" t="e">
        <f>VLOOKUP(X465,R_DD!$B$6:$E$2112,4,0)</f>
        <v>#N/A</v>
      </c>
    </row>
    <row r="466" spans="22:29" ht="20.100000000000001" customHeight="1">
      <c r="V466" s="944" t="e">
        <f>VLOOKUP(U466,R_DD!$B$6:$E$2112,3,0)</f>
        <v>#N/A</v>
      </c>
      <c r="W466" s="943" t="e">
        <f>VLOOKUP(U466,R_DD!$B$6:$E$2112,4,0)</f>
        <v>#N/A</v>
      </c>
      <c r="Z466" s="946" t="e">
        <f>VLOOKUP(X466,R_DD!$B$6:$E$2112,3,0)</f>
        <v>#N/A</v>
      </c>
      <c r="AA466" s="946" t="e">
        <f>VLOOKUP(Y466,R_DD!$A$1:$L$2131,4,0)</f>
        <v>#N/A</v>
      </c>
      <c r="AB466" s="947" t="e">
        <f>VLOOKUP(Y466,R_DD!$A$1:$L$2131,5,0)</f>
        <v>#N/A</v>
      </c>
      <c r="AC466" s="947" t="e">
        <f>VLOOKUP(X466,R_DD!$B$6:$E$2112,4,0)</f>
        <v>#N/A</v>
      </c>
    </row>
    <row r="467" spans="22:29" ht="20.100000000000001" customHeight="1">
      <c r="V467" s="944" t="e">
        <f>VLOOKUP(U467,R_DD!$B$6:$E$2112,3,0)</f>
        <v>#N/A</v>
      </c>
      <c r="W467" s="943" t="e">
        <f>VLOOKUP(U467,R_DD!$B$6:$E$2112,4,0)</f>
        <v>#N/A</v>
      </c>
      <c r="Z467" s="946" t="e">
        <f>VLOOKUP(X467,R_DD!$B$6:$E$2112,3,0)</f>
        <v>#N/A</v>
      </c>
      <c r="AA467" s="946" t="e">
        <f>VLOOKUP(Y467,R_DD!$A$1:$L$2131,4,0)</f>
        <v>#N/A</v>
      </c>
      <c r="AB467" s="947" t="e">
        <f>VLOOKUP(Y467,R_DD!$A$1:$L$2131,5,0)</f>
        <v>#N/A</v>
      </c>
      <c r="AC467" s="947" t="e">
        <f>VLOOKUP(X467,R_DD!$B$6:$E$2112,4,0)</f>
        <v>#N/A</v>
      </c>
    </row>
    <row r="468" spans="22:29" ht="20.100000000000001" customHeight="1">
      <c r="V468" s="944" t="e">
        <f>VLOOKUP(U468,R_DD!$B$6:$E$2112,3,0)</f>
        <v>#N/A</v>
      </c>
      <c r="W468" s="943" t="e">
        <f>VLOOKUP(U468,R_DD!$B$6:$E$2112,4,0)</f>
        <v>#N/A</v>
      </c>
      <c r="Z468" s="946" t="e">
        <f>VLOOKUP(X468,R_DD!$B$6:$E$2112,3,0)</f>
        <v>#N/A</v>
      </c>
      <c r="AA468" s="946" t="e">
        <f>VLOOKUP(Y468,R_DD!$A$1:$L$2131,4,0)</f>
        <v>#N/A</v>
      </c>
      <c r="AB468" s="947" t="e">
        <f>VLOOKUP(Y468,R_DD!$A$1:$L$2131,5,0)</f>
        <v>#N/A</v>
      </c>
      <c r="AC468" s="947" t="e">
        <f>VLOOKUP(X468,R_DD!$B$6:$E$2112,4,0)</f>
        <v>#N/A</v>
      </c>
    </row>
    <row r="469" spans="22:29" ht="20.100000000000001" customHeight="1">
      <c r="V469" s="944" t="e">
        <f>VLOOKUP(U469,R_DD!$B$6:$E$2112,3,0)</f>
        <v>#N/A</v>
      </c>
      <c r="W469" s="943" t="e">
        <f>VLOOKUP(U469,R_DD!$B$6:$E$2112,4,0)</f>
        <v>#N/A</v>
      </c>
      <c r="Z469" s="946" t="e">
        <f>VLOOKUP(X469,R_DD!$B$6:$E$2112,3,0)</f>
        <v>#N/A</v>
      </c>
      <c r="AA469" s="946" t="e">
        <f>VLOOKUP(Y469,R_DD!$A$1:$L$2131,4,0)</f>
        <v>#N/A</v>
      </c>
      <c r="AB469" s="947" t="e">
        <f>VLOOKUP(Y469,R_DD!$A$1:$L$2131,5,0)</f>
        <v>#N/A</v>
      </c>
      <c r="AC469" s="947" t="e">
        <f>VLOOKUP(X469,R_DD!$B$6:$E$2112,4,0)</f>
        <v>#N/A</v>
      </c>
    </row>
    <row r="470" spans="22:29" ht="20.100000000000001" customHeight="1">
      <c r="V470" s="944" t="e">
        <f>VLOOKUP(U470,R_DD!$B$6:$E$2112,3,0)</f>
        <v>#N/A</v>
      </c>
      <c r="W470" s="943" t="e">
        <f>VLOOKUP(U470,R_DD!$B$6:$E$2112,4,0)</f>
        <v>#N/A</v>
      </c>
      <c r="Z470" s="946" t="e">
        <f>VLOOKUP(X470,R_DD!$B$6:$E$2112,3,0)</f>
        <v>#N/A</v>
      </c>
      <c r="AA470" s="946" t="e">
        <f>VLOOKUP(Y470,R_DD!$A$1:$L$2131,4,0)</f>
        <v>#N/A</v>
      </c>
      <c r="AB470" s="947" t="e">
        <f>VLOOKUP(Y470,R_DD!$A$1:$L$2131,5,0)</f>
        <v>#N/A</v>
      </c>
      <c r="AC470" s="947" t="e">
        <f>VLOOKUP(X470,R_DD!$B$6:$E$2112,4,0)</f>
        <v>#N/A</v>
      </c>
    </row>
    <row r="471" spans="22:29" ht="20.100000000000001" customHeight="1">
      <c r="V471" s="944" t="e">
        <f>VLOOKUP(U471,R_DD!$B$6:$E$2112,3,0)</f>
        <v>#N/A</v>
      </c>
      <c r="W471" s="943" t="e">
        <f>VLOOKUP(U471,R_DD!$B$6:$E$2112,4,0)</f>
        <v>#N/A</v>
      </c>
      <c r="Z471" s="946" t="e">
        <f>VLOOKUP(X471,R_DD!$B$6:$E$2112,3,0)</f>
        <v>#N/A</v>
      </c>
      <c r="AA471" s="946" t="e">
        <f>VLOOKUP(Y471,R_DD!$A$1:$L$2131,4,0)</f>
        <v>#N/A</v>
      </c>
      <c r="AB471" s="947" t="e">
        <f>VLOOKUP(Y471,R_DD!$A$1:$L$2131,5,0)</f>
        <v>#N/A</v>
      </c>
      <c r="AC471" s="947" t="e">
        <f>VLOOKUP(X471,R_DD!$B$6:$E$2112,4,0)</f>
        <v>#N/A</v>
      </c>
    </row>
    <row r="472" spans="22:29" ht="20.100000000000001" customHeight="1">
      <c r="V472" s="944" t="e">
        <f>VLOOKUP(U472,R_DD!$B$6:$E$2112,3,0)</f>
        <v>#N/A</v>
      </c>
      <c r="W472" s="943" t="e">
        <f>VLOOKUP(U472,R_DD!$B$6:$E$2112,4,0)</f>
        <v>#N/A</v>
      </c>
      <c r="Z472" s="946" t="e">
        <f>VLOOKUP(X472,R_DD!$B$6:$E$2112,3,0)</f>
        <v>#N/A</v>
      </c>
      <c r="AA472" s="946" t="e">
        <f>VLOOKUP(Y472,R_DD!$A$1:$L$2131,4,0)</f>
        <v>#N/A</v>
      </c>
      <c r="AB472" s="947" t="e">
        <f>VLOOKUP(Y472,R_DD!$A$1:$L$2131,5,0)</f>
        <v>#N/A</v>
      </c>
      <c r="AC472" s="947" t="e">
        <f>VLOOKUP(X472,R_DD!$B$6:$E$2112,4,0)</f>
        <v>#N/A</v>
      </c>
    </row>
    <row r="473" spans="22:29" ht="20.100000000000001" customHeight="1">
      <c r="V473" s="944" t="e">
        <f>VLOOKUP(U473,R_DD!$B$6:$E$2112,3,0)</f>
        <v>#N/A</v>
      </c>
      <c r="W473" s="943" t="e">
        <f>VLOOKUP(U473,R_DD!$B$6:$E$2112,4,0)</f>
        <v>#N/A</v>
      </c>
      <c r="Z473" s="946" t="e">
        <f>VLOOKUP(X473,R_DD!$B$6:$E$2112,3,0)</f>
        <v>#N/A</v>
      </c>
      <c r="AA473" s="946" t="e">
        <f>VLOOKUP(Y473,R_DD!$A$1:$L$2131,4,0)</f>
        <v>#N/A</v>
      </c>
      <c r="AB473" s="947" t="e">
        <f>VLOOKUP(Y473,R_DD!$A$1:$L$2131,5,0)</f>
        <v>#N/A</v>
      </c>
      <c r="AC473" s="947" t="e">
        <f>VLOOKUP(X473,R_DD!$B$6:$E$2112,4,0)</f>
        <v>#N/A</v>
      </c>
    </row>
    <row r="474" spans="22:29" ht="20.100000000000001" customHeight="1">
      <c r="V474" s="944" t="e">
        <f>VLOOKUP(U474,R_DD!$B$6:$E$2112,3,0)</f>
        <v>#N/A</v>
      </c>
      <c r="W474" s="943" t="e">
        <f>VLOOKUP(U474,R_DD!$B$6:$E$2112,4,0)</f>
        <v>#N/A</v>
      </c>
      <c r="Z474" s="946" t="e">
        <f>VLOOKUP(X474,R_DD!$B$6:$E$2112,3,0)</f>
        <v>#N/A</v>
      </c>
      <c r="AA474" s="946" t="e">
        <f>VLOOKUP(Y474,R_DD!$A$1:$L$2131,4,0)</f>
        <v>#N/A</v>
      </c>
      <c r="AB474" s="947" t="e">
        <f>VLOOKUP(Y474,R_DD!$A$1:$L$2131,5,0)</f>
        <v>#N/A</v>
      </c>
      <c r="AC474" s="947" t="e">
        <f>VLOOKUP(X474,R_DD!$B$6:$E$2112,4,0)</f>
        <v>#N/A</v>
      </c>
    </row>
    <row r="475" spans="22:29" ht="20.100000000000001" customHeight="1">
      <c r="V475" s="944" t="e">
        <f>VLOOKUP(U475,R_DD!$B$6:$E$2112,3,0)</f>
        <v>#N/A</v>
      </c>
      <c r="W475" s="943" t="e">
        <f>VLOOKUP(U475,R_DD!$B$6:$E$2112,4,0)</f>
        <v>#N/A</v>
      </c>
      <c r="Z475" s="946" t="e">
        <f>VLOOKUP(X475,R_DD!$B$6:$E$2112,3,0)</f>
        <v>#N/A</v>
      </c>
      <c r="AA475" s="946" t="e">
        <f>VLOOKUP(Y475,R_DD!$A$1:$L$2131,4,0)</f>
        <v>#N/A</v>
      </c>
      <c r="AB475" s="947" t="e">
        <f>VLOOKUP(Y475,R_DD!$A$1:$L$2131,5,0)</f>
        <v>#N/A</v>
      </c>
      <c r="AC475" s="947" t="e">
        <f>VLOOKUP(X475,R_DD!$B$6:$E$2112,4,0)</f>
        <v>#N/A</v>
      </c>
    </row>
    <row r="476" spans="22:29" ht="20.100000000000001" customHeight="1">
      <c r="V476" s="944" t="e">
        <f>VLOOKUP(U476,R_DD!$B$6:$E$2112,3,0)</f>
        <v>#N/A</v>
      </c>
      <c r="W476" s="943" t="e">
        <f>VLOOKUP(U476,R_DD!$B$6:$E$2112,4,0)</f>
        <v>#N/A</v>
      </c>
      <c r="Z476" s="946" t="e">
        <f>VLOOKUP(X476,R_DD!$B$6:$E$2112,3,0)</f>
        <v>#N/A</v>
      </c>
      <c r="AA476" s="946" t="e">
        <f>VLOOKUP(Y476,R_DD!$A$1:$L$2131,4,0)</f>
        <v>#N/A</v>
      </c>
      <c r="AB476" s="947" t="e">
        <f>VLOOKUP(Y476,R_DD!$A$1:$L$2131,5,0)</f>
        <v>#N/A</v>
      </c>
      <c r="AC476" s="947" t="e">
        <f>VLOOKUP(X476,R_DD!$B$6:$E$2112,4,0)</f>
        <v>#N/A</v>
      </c>
    </row>
    <row r="477" spans="22:29" ht="20.100000000000001" customHeight="1">
      <c r="V477" s="944" t="e">
        <f>VLOOKUP(U477,R_DD!$B$6:$E$2112,3,0)</f>
        <v>#N/A</v>
      </c>
      <c r="W477" s="943" t="e">
        <f>VLOOKUP(U477,R_DD!$B$6:$E$2112,4,0)</f>
        <v>#N/A</v>
      </c>
      <c r="Z477" s="946" t="e">
        <f>VLOOKUP(X477,R_DD!$B$6:$E$2112,3,0)</f>
        <v>#N/A</v>
      </c>
      <c r="AA477" s="946" t="e">
        <f>VLOOKUP(Y477,R_DD!$A$1:$L$2131,4,0)</f>
        <v>#N/A</v>
      </c>
      <c r="AB477" s="947" t="e">
        <f>VLOOKUP(Y477,R_DD!$A$1:$L$2131,5,0)</f>
        <v>#N/A</v>
      </c>
      <c r="AC477" s="947" t="e">
        <f>VLOOKUP(X477,R_DD!$B$6:$E$2112,4,0)</f>
        <v>#N/A</v>
      </c>
    </row>
    <row r="478" spans="22:29" ht="20.100000000000001" customHeight="1">
      <c r="V478" s="944" t="e">
        <f>VLOOKUP(U478,R_DD!$B$6:$E$2112,3,0)</f>
        <v>#N/A</v>
      </c>
      <c r="W478" s="943" t="e">
        <f>VLOOKUP(U478,R_DD!$B$6:$E$2112,4,0)</f>
        <v>#N/A</v>
      </c>
      <c r="Z478" s="946" t="e">
        <f>VLOOKUP(X478,R_DD!$B$6:$E$2112,3,0)</f>
        <v>#N/A</v>
      </c>
      <c r="AA478" s="946" t="e">
        <f>VLOOKUP(Y478,R_DD!$A$1:$L$2131,4,0)</f>
        <v>#N/A</v>
      </c>
      <c r="AB478" s="947" t="e">
        <f>VLOOKUP(Y478,R_DD!$A$1:$L$2131,5,0)</f>
        <v>#N/A</v>
      </c>
      <c r="AC478" s="947" t="e">
        <f>VLOOKUP(X478,R_DD!$B$6:$E$2112,4,0)</f>
        <v>#N/A</v>
      </c>
    </row>
    <row r="479" spans="22:29" ht="20.100000000000001" customHeight="1">
      <c r="V479" s="944" t="e">
        <f>VLOOKUP(U479,R_DD!$B$6:$E$2112,3,0)</f>
        <v>#N/A</v>
      </c>
      <c r="W479" s="943" t="e">
        <f>VLOOKUP(U479,R_DD!$B$6:$E$2112,4,0)</f>
        <v>#N/A</v>
      </c>
      <c r="Z479" s="946" t="e">
        <f>VLOOKUP(X479,R_DD!$B$6:$E$2112,3,0)</f>
        <v>#N/A</v>
      </c>
      <c r="AA479" s="946" t="e">
        <f>VLOOKUP(Y479,R_DD!$A$1:$L$2131,4,0)</f>
        <v>#N/A</v>
      </c>
      <c r="AB479" s="947" t="e">
        <f>VLOOKUP(Y479,R_DD!$A$1:$L$2131,5,0)</f>
        <v>#N/A</v>
      </c>
      <c r="AC479" s="947" t="e">
        <f>VLOOKUP(X479,R_DD!$B$6:$E$2112,4,0)</f>
        <v>#N/A</v>
      </c>
    </row>
    <row r="480" spans="22:29" ht="20.100000000000001" customHeight="1">
      <c r="V480" s="944" t="e">
        <f>VLOOKUP(U480,R_DD!$B$6:$E$2112,3,0)</f>
        <v>#N/A</v>
      </c>
      <c r="W480" s="943" t="e">
        <f>VLOOKUP(U480,R_DD!$B$6:$E$2112,4,0)</f>
        <v>#N/A</v>
      </c>
      <c r="Z480" s="946" t="e">
        <f>VLOOKUP(X480,R_DD!$B$6:$E$2112,3,0)</f>
        <v>#N/A</v>
      </c>
      <c r="AA480" s="946" t="e">
        <f>VLOOKUP(Y480,R_DD!$A$1:$L$2131,4,0)</f>
        <v>#N/A</v>
      </c>
      <c r="AB480" s="947" t="e">
        <f>VLOOKUP(Y480,R_DD!$A$1:$L$2131,5,0)</f>
        <v>#N/A</v>
      </c>
      <c r="AC480" s="947" t="e">
        <f>VLOOKUP(X480,R_DD!$B$6:$E$2112,4,0)</f>
        <v>#N/A</v>
      </c>
    </row>
    <row r="481" spans="22:29" ht="20.100000000000001" customHeight="1">
      <c r="V481" s="944" t="e">
        <f>VLOOKUP(U481,R_DD!$B$6:$E$2112,3,0)</f>
        <v>#N/A</v>
      </c>
      <c r="W481" s="943" t="e">
        <f>VLOOKUP(U481,R_DD!$B$6:$E$2112,4,0)</f>
        <v>#N/A</v>
      </c>
      <c r="Z481" s="946" t="e">
        <f>VLOOKUP(X481,R_DD!$B$6:$E$2112,3,0)</f>
        <v>#N/A</v>
      </c>
      <c r="AA481" s="946" t="e">
        <f>VLOOKUP(Y481,R_DD!$A$1:$L$2131,4,0)</f>
        <v>#N/A</v>
      </c>
      <c r="AB481" s="947" t="e">
        <f>VLOOKUP(Y481,R_DD!$A$1:$L$2131,5,0)</f>
        <v>#N/A</v>
      </c>
      <c r="AC481" s="947" t="e">
        <f>VLOOKUP(X481,R_DD!$B$6:$E$2112,4,0)</f>
        <v>#N/A</v>
      </c>
    </row>
    <row r="482" spans="22:29" ht="20.100000000000001" customHeight="1">
      <c r="V482" s="944" t="e">
        <f>VLOOKUP(U482,R_DD!$B$6:$E$2112,3,0)</f>
        <v>#N/A</v>
      </c>
      <c r="W482" s="943" t="e">
        <f>VLOOKUP(U482,R_DD!$B$6:$E$2112,4,0)</f>
        <v>#N/A</v>
      </c>
      <c r="Z482" s="946" t="e">
        <f>VLOOKUP(X482,R_DD!$B$6:$E$2112,3,0)</f>
        <v>#N/A</v>
      </c>
      <c r="AA482" s="946" t="e">
        <f>VLOOKUP(Y482,R_DD!$A$1:$L$2131,4,0)</f>
        <v>#N/A</v>
      </c>
      <c r="AB482" s="947" t="e">
        <f>VLOOKUP(Y482,R_DD!$A$1:$L$2131,5,0)</f>
        <v>#N/A</v>
      </c>
      <c r="AC482" s="947" t="e">
        <f>VLOOKUP(X482,R_DD!$B$6:$E$2112,4,0)</f>
        <v>#N/A</v>
      </c>
    </row>
    <row r="483" spans="22:29" ht="20.100000000000001" customHeight="1">
      <c r="V483" s="944" t="e">
        <f>VLOOKUP(U483,R_DD!$B$6:$E$2112,3,0)</f>
        <v>#N/A</v>
      </c>
      <c r="W483" s="943" t="e">
        <f>VLOOKUP(U483,R_DD!$B$6:$E$2112,4,0)</f>
        <v>#N/A</v>
      </c>
      <c r="Z483" s="946" t="e">
        <f>VLOOKUP(X483,R_DD!$B$6:$E$2112,3,0)</f>
        <v>#N/A</v>
      </c>
      <c r="AA483" s="946" t="e">
        <f>VLOOKUP(Y483,R_DD!$A$1:$L$2131,4,0)</f>
        <v>#N/A</v>
      </c>
      <c r="AB483" s="947" t="e">
        <f>VLOOKUP(Y483,R_DD!$A$1:$L$2131,5,0)</f>
        <v>#N/A</v>
      </c>
      <c r="AC483" s="947" t="e">
        <f>VLOOKUP(X483,R_DD!$B$6:$E$2112,4,0)</f>
        <v>#N/A</v>
      </c>
    </row>
    <row r="484" spans="22:29" ht="20.100000000000001" customHeight="1">
      <c r="V484" s="944" t="e">
        <f>VLOOKUP(U484,R_DD!$B$6:$E$2112,3,0)</f>
        <v>#N/A</v>
      </c>
      <c r="W484" s="943" t="e">
        <f>VLOOKUP(U484,R_DD!$B$6:$E$2112,4,0)</f>
        <v>#N/A</v>
      </c>
      <c r="Z484" s="946" t="e">
        <f>VLOOKUP(X484,R_DD!$B$6:$E$2112,3,0)</f>
        <v>#N/A</v>
      </c>
      <c r="AA484" s="946" t="e">
        <f>VLOOKUP(Y484,R_DD!$A$1:$L$2131,4,0)</f>
        <v>#N/A</v>
      </c>
      <c r="AB484" s="947" t="e">
        <f>VLOOKUP(Y484,R_DD!$A$1:$L$2131,5,0)</f>
        <v>#N/A</v>
      </c>
      <c r="AC484" s="947" t="e">
        <f>VLOOKUP(X484,R_DD!$B$6:$E$2112,4,0)</f>
        <v>#N/A</v>
      </c>
    </row>
    <row r="485" spans="22:29" ht="20.100000000000001" customHeight="1">
      <c r="V485" s="944" t="e">
        <f>VLOOKUP(U485,R_DD!$B$6:$E$2112,3,0)</f>
        <v>#N/A</v>
      </c>
      <c r="W485" s="943" t="e">
        <f>VLOOKUP(U485,R_DD!$B$6:$E$2112,4,0)</f>
        <v>#N/A</v>
      </c>
      <c r="Z485" s="946" t="e">
        <f>VLOOKUP(X485,R_DD!$B$6:$E$2112,3,0)</f>
        <v>#N/A</v>
      </c>
      <c r="AA485" s="946" t="e">
        <f>VLOOKUP(Y485,R_DD!$A$1:$L$2131,4,0)</f>
        <v>#N/A</v>
      </c>
      <c r="AB485" s="947" t="e">
        <f>VLOOKUP(Y485,R_DD!$A$1:$L$2131,5,0)</f>
        <v>#N/A</v>
      </c>
      <c r="AC485" s="947" t="e">
        <f>VLOOKUP(X485,R_DD!$B$6:$E$2112,4,0)</f>
        <v>#N/A</v>
      </c>
    </row>
    <row r="486" spans="22:29" ht="20.100000000000001" customHeight="1">
      <c r="V486" s="944" t="e">
        <f>VLOOKUP(U486,R_DD!$B$6:$E$2112,3,0)</f>
        <v>#N/A</v>
      </c>
      <c r="W486" s="943" t="e">
        <f>VLOOKUP(U486,R_DD!$B$6:$E$2112,4,0)</f>
        <v>#N/A</v>
      </c>
      <c r="Z486" s="946" t="e">
        <f>VLOOKUP(X486,R_DD!$B$6:$E$2112,3,0)</f>
        <v>#N/A</v>
      </c>
      <c r="AA486" s="946" t="e">
        <f>VLOOKUP(Y486,R_DD!$A$1:$L$2131,4,0)</f>
        <v>#N/A</v>
      </c>
      <c r="AB486" s="947" t="e">
        <f>VLOOKUP(Y486,R_DD!$A$1:$L$2131,5,0)</f>
        <v>#N/A</v>
      </c>
      <c r="AC486" s="947" t="e">
        <f>VLOOKUP(X486,R_DD!$B$6:$E$2112,4,0)</f>
        <v>#N/A</v>
      </c>
    </row>
    <row r="487" spans="22:29" ht="20.100000000000001" customHeight="1">
      <c r="V487" s="944" t="e">
        <f>VLOOKUP(U487,R_DD!$B$6:$E$2112,3,0)</f>
        <v>#N/A</v>
      </c>
      <c r="W487" s="943" t="e">
        <f>VLOOKUP(U487,R_DD!$B$6:$E$2112,4,0)</f>
        <v>#N/A</v>
      </c>
      <c r="Z487" s="946" t="e">
        <f>VLOOKUP(X487,R_DD!$B$6:$E$2112,3,0)</f>
        <v>#N/A</v>
      </c>
      <c r="AA487" s="946" t="e">
        <f>VLOOKUP(Y487,R_DD!$A$1:$L$2131,4,0)</f>
        <v>#N/A</v>
      </c>
      <c r="AB487" s="947" t="e">
        <f>VLOOKUP(Y487,R_DD!$A$1:$L$2131,5,0)</f>
        <v>#N/A</v>
      </c>
      <c r="AC487" s="947" t="e">
        <f>VLOOKUP(X487,R_DD!$B$6:$E$2112,4,0)</f>
        <v>#N/A</v>
      </c>
    </row>
    <row r="488" spans="22:29" ht="20.100000000000001" customHeight="1">
      <c r="V488" s="944" t="e">
        <f>VLOOKUP(U488,R_DD!$B$6:$E$2112,3,0)</f>
        <v>#N/A</v>
      </c>
      <c r="W488" s="943" t="e">
        <f>VLOOKUP(U488,R_DD!$B$6:$E$2112,4,0)</f>
        <v>#N/A</v>
      </c>
      <c r="Z488" s="946" t="e">
        <f>VLOOKUP(X488,R_DD!$B$6:$E$2112,3,0)</f>
        <v>#N/A</v>
      </c>
      <c r="AA488" s="946" t="e">
        <f>VLOOKUP(Y488,R_DD!$A$1:$L$2131,4,0)</f>
        <v>#N/A</v>
      </c>
      <c r="AB488" s="947" t="e">
        <f>VLOOKUP(Y488,R_DD!$A$1:$L$2131,5,0)</f>
        <v>#N/A</v>
      </c>
      <c r="AC488" s="947" t="e">
        <f>VLOOKUP(X488,R_DD!$B$6:$E$2112,4,0)</f>
        <v>#N/A</v>
      </c>
    </row>
    <row r="489" spans="22:29" ht="20.100000000000001" customHeight="1">
      <c r="V489" s="944" t="e">
        <f>VLOOKUP(U489,R_DD!$B$6:$E$2112,3,0)</f>
        <v>#N/A</v>
      </c>
      <c r="W489" s="943" t="e">
        <f>VLOOKUP(U489,R_DD!$B$6:$E$2112,4,0)</f>
        <v>#N/A</v>
      </c>
      <c r="Z489" s="946" t="e">
        <f>VLOOKUP(X489,R_DD!$B$6:$E$2112,3,0)</f>
        <v>#N/A</v>
      </c>
      <c r="AA489" s="946" t="e">
        <f>VLOOKUP(Y489,R_DD!$A$1:$L$2131,4,0)</f>
        <v>#N/A</v>
      </c>
      <c r="AB489" s="947" t="e">
        <f>VLOOKUP(Y489,R_DD!$A$1:$L$2131,5,0)</f>
        <v>#N/A</v>
      </c>
      <c r="AC489" s="947" t="e">
        <f>VLOOKUP(X489,R_DD!$B$6:$E$2112,4,0)</f>
        <v>#N/A</v>
      </c>
    </row>
    <row r="490" spans="22:29" ht="20.100000000000001" customHeight="1">
      <c r="V490" s="944" t="e">
        <f>VLOOKUP(U490,R_DD!$B$6:$E$2112,3,0)</f>
        <v>#N/A</v>
      </c>
      <c r="W490" s="943" t="e">
        <f>VLOOKUP(U490,R_DD!$B$6:$E$2112,4,0)</f>
        <v>#N/A</v>
      </c>
      <c r="Z490" s="946" t="e">
        <f>VLOOKUP(X490,R_DD!$B$6:$E$2112,3,0)</f>
        <v>#N/A</v>
      </c>
      <c r="AA490" s="946" t="e">
        <f>VLOOKUP(Y490,R_DD!$A$1:$L$2131,4,0)</f>
        <v>#N/A</v>
      </c>
      <c r="AB490" s="947" t="e">
        <f>VLOOKUP(Y490,R_DD!$A$1:$L$2131,5,0)</f>
        <v>#N/A</v>
      </c>
      <c r="AC490" s="947" t="e">
        <f>VLOOKUP(X490,R_DD!$B$6:$E$2112,4,0)</f>
        <v>#N/A</v>
      </c>
    </row>
    <row r="491" spans="22:29" ht="20.100000000000001" customHeight="1">
      <c r="V491" s="944" t="e">
        <f>VLOOKUP(U491,R_DD!$B$6:$E$2112,3,0)</f>
        <v>#N/A</v>
      </c>
      <c r="W491" s="943" t="e">
        <f>VLOOKUP(U491,R_DD!$B$6:$E$2112,4,0)</f>
        <v>#N/A</v>
      </c>
      <c r="Z491" s="946" t="e">
        <f>VLOOKUP(X491,R_DD!$B$6:$E$2112,3,0)</f>
        <v>#N/A</v>
      </c>
      <c r="AA491" s="946" t="e">
        <f>VLOOKUP(Y491,R_DD!$A$1:$L$2131,4,0)</f>
        <v>#N/A</v>
      </c>
      <c r="AB491" s="947" t="e">
        <f>VLOOKUP(Y491,R_DD!$A$1:$L$2131,5,0)</f>
        <v>#N/A</v>
      </c>
      <c r="AC491" s="947" t="e">
        <f>VLOOKUP(X491,R_DD!$B$6:$E$2112,4,0)</f>
        <v>#N/A</v>
      </c>
    </row>
    <row r="492" spans="22:29" ht="20.100000000000001" customHeight="1">
      <c r="V492" s="944" t="e">
        <f>VLOOKUP(U492,R_DD!$B$6:$E$2112,3,0)</f>
        <v>#N/A</v>
      </c>
      <c r="W492" s="943" t="e">
        <f>VLOOKUP(U492,R_DD!$B$6:$E$2112,4,0)</f>
        <v>#N/A</v>
      </c>
      <c r="Z492" s="946" t="e">
        <f>VLOOKUP(X492,R_DD!$B$6:$E$2112,3,0)</f>
        <v>#N/A</v>
      </c>
      <c r="AA492" s="946" t="e">
        <f>VLOOKUP(Y492,R_DD!$A$1:$L$2131,4,0)</f>
        <v>#N/A</v>
      </c>
      <c r="AB492" s="947" t="e">
        <f>VLOOKUP(Y492,R_DD!$A$1:$L$2131,5,0)</f>
        <v>#N/A</v>
      </c>
      <c r="AC492" s="947" t="e">
        <f>VLOOKUP(X492,R_DD!$B$6:$E$2112,4,0)</f>
        <v>#N/A</v>
      </c>
    </row>
    <row r="493" spans="22:29" ht="20.100000000000001" customHeight="1">
      <c r="V493" s="944" t="e">
        <f>VLOOKUP(U493,R_DD!$B$6:$E$2112,3,0)</f>
        <v>#N/A</v>
      </c>
      <c r="W493" s="943" t="e">
        <f>VLOOKUP(U493,R_DD!$B$6:$E$2112,4,0)</f>
        <v>#N/A</v>
      </c>
      <c r="Z493" s="946" t="e">
        <f>VLOOKUP(X493,R_DD!$B$6:$E$2112,3,0)</f>
        <v>#N/A</v>
      </c>
      <c r="AA493" s="946" t="e">
        <f>VLOOKUP(Y493,R_DD!$A$1:$L$2131,4,0)</f>
        <v>#N/A</v>
      </c>
      <c r="AB493" s="947" t="e">
        <f>VLOOKUP(Y493,R_DD!$A$1:$L$2131,5,0)</f>
        <v>#N/A</v>
      </c>
      <c r="AC493" s="947" t="e">
        <f>VLOOKUP(X493,R_DD!$B$6:$E$2112,4,0)</f>
        <v>#N/A</v>
      </c>
    </row>
    <row r="494" spans="22:29" ht="20.100000000000001" customHeight="1">
      <c r="V494" s="944" t="e">
        <f>VLOOKUP(U494,R_DD!$B$6:$E$2112,3,0)</f>
        <v>#N/A</v>
      </c>
      <c r="W494" s="943" t="e">
        <f>VLOOKUP(U494,R_DD!$B$6:$E$2112,4,0)</f>
        <v>#N/A</v>
      </c>
      <c r="Z494" s="946" t="e">
        <f>VLOOKUP(X494,R_DD!$B$6:$E$2112,3,0)</f>
        <v>#N/A</v>
      </c>
      <c r="AA494" s="946" t="e">
        <f>VLOOKUP(Y494,R_DD!$A$1:$L$2131,4,0)</f>
        <v>#N/A</v>
      </c>
      <c r="AB494" s="947" t="e">
        <f>VLOOKUP(Y494,R_DD!$A$1:$L$2131,5,0)</f>
        <v>#N/A</v>
      </c>
      <c r="AC494" s="947" t="e">
        <f>VLOOKUP(X494,R_DD!$B$6:$E$2112,4,0)</f>
        <v>#N/A</v>
      </c>
    </row>
    <row r="495" spans="22:29" ht="20.100000000000001" customHeight="1">
      <c r="V495" s="944" t="e">
        <f>VLOOKUP(U495,R_DD!$B$6:$E$2112,3,0)</f>
        <v>#N/A</v>
      </c>
      <c r="W495" s="943" t="e">
        <f>VLOOKUP(U495,R_DD!$B$6:$E$2112,4,0)</f>
        <v>#N/A</v>
      </c>
      <c r="Z495" s="946" t="e">
        <f>VLOOKUP(X495,R_DD!$B$6:$E$2112,3,0)</f>
        <v>#N/A</v>
      </c>
      <c r="AA495" s="946" t="e">
        <f>VLOOKUP(Y495,R_DD!$A$1:$L$2131,4,0)</f>
        <v>#N/A</v>
      </c>
      <c r="AB495" s="947" t="e">
        <f>VLOOKUP(Y495,R_DD!$A$1:$L$2131,5,0)</f>
        <v>#N/A</v>
      </c>
      <c r="AC495" s="947" t="e">
        <f>VLOOKUP(X495,R_DD!$B$6:$E$2112,4,0)</f>
        <v>#N/A</v>
      </c>
    </row>
    <row r="496" spans="22:29" ht="20.100000000000001" customHeight="1">
      <c r="V496" s="944" t="e">
        <f>VLOOKUP(U496,R_DD!$B$6:$E$2112,3,0)</f>
        <v>#N/A</v>
      </c>
      <c r="W496" s="943" t="e">
        <f>VLOOKUP(U496,R_DD!$B$6:$E$2112,4,0)</f>
        <v>#N/A</v>
      </c>
      <c r="Z496" s="946" t="e">
        <f>VLOOKUP(X496,R_DD!$B$6:$E$2112,3,0)</f>
        <v>#N/A</v>
      </c>
      <c r="AA496" s="946" t="e">
        <f>VLOOKUP(Y496,R_DD!$A$1:$L$2131,4,0)</f>
        <v>#N/A</v>
      </c>
      <c r="AB496" s="947" t="e">
        <f>VLOOKUP(Y496,R_DD!$A$1:$L$2131,5,0)</f>
        <v>#N/A</v>
      </c>
      <c r="AC496" s="947" t="e">
        <f>VLOOKUP(X496,R_DD!$B$6:$E$2112,4,0)</f>
        <v>#N/A</v>
      </c>
    </row>
    <row r="497" spans="22:29" ht="20.100000000000001" customHeight="1">
      <c r="V497" s="944" t="e">
        <f>VLOOKUP(U497,R_DD!$B$6:$E$2112,3,0)</f>
        <v>#N/A</v>
      </c>
      <c r="W497" s="943" t="e">
        <f>VLOOKUP(U497,R_DD!$B$6:$E$2112,4,0)</f>
        <v>#N/A</v>
      </c>
      <c r="Z497" s="946" t="e">
        <f>VLOOKUP(X497,R_DD!$B$6:$E$2112,3,0)</f>
        <v>#N/A</v>
      </c>
      <c r="AA497" s="946" t="e">
        <f>VLOOKUP(Y497,R_DD!$A$1:$L$2131,4,0)</f>
        <v>#N/A</v>
      </c>
      <c r="AB497" s="947" t="e">
        <f>VLOOKUP(Y497,R_DD!$A$1:$L$2131,5,0)</f>
        <v>#N/A</v>
      </c>
      <c r="AC497" s="947" t="e">
        <f>VLOOKUP(X497,R_DD!$B$6:$E$2112,4,0)</f>
        <v>#N/A</v>
      </c>
    </row>
    <row r="498" spans="22:29" ht="20.100000000000001" customHeight="1">
      <c r="V498" s="944" t="e">
        <f>VLOOKUP(U498,R_DD!$B$6:$E$2112,3,0)</f>
        <v>#N/A</v>
      </c>
      <c r="W498" s="943" t="e">
        <f>VLOOKUP(U498,R_DD!$B$6:$E$2112,4,0)</f>
        <v>#N/A</v>
      </c>
      <c r="Z498" s="946" t="e">
        <f>VLOOKUP(X498,R_DD!$B$6:$E$2112,3,0)</f>
        <v>#N/A</v>
      </c>
      <c r="AA498" s="946" t="e">
        <f>VLOOKUP(Y498,R_DD!$A$1:$L$2131,4,0)</f>
        <v>#N/A</v>
      </c>
      <c r="AB498" s="947" t="e">
        <f>VLOOKUP(Y498,R_DD!$A$1:$L$2131,5,0)</f>
        <v>#N/A</v>
      </c>
      <c r="AC498" s="947" t="e">
        <f>VLOOKUP(X498,R_DD!$B$6:$E$2112,4,0)</f>
        <v>#N/A</v>
      </c>
    </row>
    <row r="499" spans="22:29" ht="20.100000000000001" customHeight="1">
      <c r="V499" s="944" t="e">
        <f>VLOOKUP(U499,R_DD!$B$6:$E$2112,3,0)</f>
        <v>#N/A</v>
      </c>
      <c r="W499" s="943" t="e">
        <f>VLOOKUP(U499,R_DD!$B$6:$E$2112,4,0)</f>
        <v>#N/A</v>
      </c>
      <c r="Z499" s="946" t="e">
        <f>VLOOKUP(X499,R_DD!$B$6:$E$2112,3,0)</f>
        <v>#N/A</v>
      </c>
      <c r="AA499" s="946" t="e">
        <f>VLOOKUP(Y499,R_DD!$A$1:$L$2131,4,0)</f>
        <v>#N/A</v>
      </c>
      <c r="AB499" s="947" t="e">
        <f>VLOOKUP(Y499,R_DD!$A$1:$L$2131,5,0)</f>
        <v>#N/A</v>
      </c>
      <c r="AC499" s="947" t="e">
        <f>VLOOKUP(X499,R_DD!$B$6:$E$2112,4,0)</f>
        <v>#N/A</v>
      </c>
    </row>
    <row r="500" spans="22:29" ht="20.100000000000001" customHeight="1">
      <c r="V500" s="944" t="e">
        <f>VLOOKUP(U500,R_DD!$B$6:$E$2112,3,0)</f>
        <v>#N/A</v>
      </c>
      <c r="W500" s="943" t="e">
        <f>VLOOKUP(U500,R_DD!$B$6:$E$2112,4,0)</f>
        <v>#N/A</v>
      </c>
      <c r="Z500" s="946" t="e">
        <f>VLOOKUP(X500,R_DD!$B$6:$E$2112,3,0)</f>
        <v>#N/A</v>
      </c>
      <c r="AA500" s="946" t="e">
        <f>VLOOKUP(Y500,R_DD!$A$1:$L$2131,4,0)</f>
        <v>#N/A</v>
      </c>
      <c r="AB500" s="947" t="e">
        <f>VLOOKUP(Y500,R_DD!$A$1:$L$2131,5,0)</f>
        <v>#N/A</v>
      </c>
      <c r="AC500" s="947" t="e">
        <f>VLOOKUP(X500,R_DD!$B$6:$E$2112,4,0)</f>
        <v>#N/A</v>
      </c>
    </row>
    <row r="501" spans="22:29" ht="20.100000000000001" customHeight="1">
      <c r="V501" s="944" t="e">
        <f>VLOOKUP(U501,R_DD!$B$6:$E$2112,3,0)</f>
        <v>#N/A</v>
      </c>
      <c r="W501" s="943" t="e">
        <f>VLOOKUP(U501,R_DD!$B$6:$E$2112,4,0)</f>
        <v>#N/A</v>
      </c>
      <c r="Z501" s="946" t="e">
        <f>VLOOKUP(X501,R_DD!$B$6:$E$2112,3,0)</f>
        <v>#N/A</v>
      </c>
      <c r="AA501" s="946" t="e">
        <f>VLOOKUP(Y501,R_DD!$A$1:$L$2131,4,0)</f>
        <v>#N/A</v>
      </c>
      <c r="AB501" s="947" t="e">
        <f>VLOOKUP(Y501,R_DD!$A$1:$L$2131,5,0)</f>
        <v>#N/A</v>
      </c>
      <c r="AC501" s="947" t="e">
        <f>VLOOKUP(X501,R_DD!$B$6:$E$2112,4,0)</f>
        <v>#N/A</v>
      </c>
    </row>
    <row r="502" spans="22:29" ht="20.100000000000001" customHeight="1">
      <c r="V502" s="944" t="e">
        <f>VLOOKUP(U502,R_DD!$B$6:$E$2112,3,0)</f>
        <v>#N/A</v>
      </c>
      <c r="W502" s="943" t="e">
        <f>VLOOKUP(U502,R_DD!$B$6:$E$2112,4,0)</f>
        <v>#N/A</v>
      </c>
      <c r="Z502" s="946" t="e">
        <f>VLOOKUP(X502,R_DD!$B$6:$E$2112,3,0)</f>
        <v>#N/A</v>
      </c>
      <c r="AA502" s="946" t="e">
        <f>VLOOKUP(Y502,R_DD!$A$1:$L$2131,4,0)</f>
        <v>#N/A</v>
      </c>
      <c r="AB502" s="947" t="e">
        <f>VLOOKUP(Y502,R_DD!$A$1:$L$2131,5,0)</f>
        <v>#N/A</v>
      </c>
      <c r="AC502" s="947" t="e">
        <f>VLOOKUP(X502,R_DD!$B$6:$E$2112,4,0)</f>
        <v>#N/A</v>
      </c>
    </row>
    <row r="503" spans="22:29" ht="20.100000000000001" customHeight="1">
      <c r="V503" s="944" t="e">
        <f>VLOOKUP(U503,R_DD!$B$6:$E$2112,3,0)</f>
        <v>#N/A</v>
      </c>
      <c r="W503" s="943" t="e">
        <f>VLOOKUP(U503,R_DD!$B$6:$E$2112,4,0)</f>
        <v>#N/A</v>
      </c>
      <c r="Z503" s="946" t="e">
        <f>VLOOKUP(X503,R_DD!$B$6:$E$2112,3,0)</f>
        <v>#N/A</v>
      </c>
      <c r="AA503" s="946" t="e">
        <f>VLOOKUP(Y503,R_DD!$A$1:$L$2131,4,0)</f>
        <v>#N/A</v>
      </c>
      <c r="AB503" s="947" t="e">
        <f>VLOOKUP(Y503,R_DD!$A$1:$L$2131,5,0)</f>
        <v>#N/A</v>
      </c>
      <c r="AC503" s="947" t="e">
        <f>VLOOKUP(X503,R_DD!$B$6:$E$2112,4,0)</f>
        <v>#N/A</v>
      </c>
    </row>
    <row r="504" spans="22:29" ht="20.100000000000001" customHeight="1">
      <c r="V504" s="944" t="e">
        <f>VLOOKUP(U504,R_DD!$B$6:$E$2112,3,0)</f>
        <v>#N/A</v>
      </c>
      <c r="W504" s="943" t="e">
        <f>VLOOKUP(U504,R_DD!$B$6:$E$2112,4,0)</f>
        <v>#N/A</v>
      </c>
      <c r="Z504" s="946" t="e">
        <f>VLOOKUP(X504,R_DD!$B$6:$E$2112,3,0)</f>
        <v>#N/A</v>
      </c>
      <c r="AA504" s="946" t="e">
        <f>VLOOKUP(Y504,R_DD!$A$1:$L$2131,4,0)</f>
        <v>#N/A</v>
      </c>
      <c r="AB504" s="947" t="e">
        <f>VLOOKUP(Y504,R_DD!$A$1:$L$2131,5,0)</f>
        <v>#N/A</v>
      </c>
      <c r="AC504" s="947" t="e">
        <f>VLOOKUP(X504,R_DD!$B$6:$E$2112,4,0)</f>
        <v>#N/A</v>
      </c>
    </row>
    <row r="505" spans="22:29" ht="20.100000000000001" customHeight="1">
      <c r="V505" s="944" t="e">
        <f>VLOOKUP(U505,R_DD!$B$6:$E$2112,3,0)</f>
        <v>#N/A</v>
      </c>
      <c r="W505" s="943" t="e">
        <f>VLOOKUP(U505,R_DD!$B$6:$E$2112,4,0)</f>
        <v>#N/A</v>
      </c>
      <c r="Z505" s="946" t="e">
        <f>VLOOKUP(X505,R_DD!$B$6:$E$2112,3,0)</f>
        <v>#N/A</v>
      </c>
      <c r="AA505" s="946" t="e">
        <f>VLOOKUP(Y505,R_DD!$A$1:$L$2131,4,0)</f>
        <v>#N/A</v>
      </c>
      <c r="AB505" s="947" t="e">
        <f>VLOOKUP(Y505,R_DD!$A$1:$L$2131,5,0)</f>
        <v>#N/A</v>
      </c>
      <c r="AC505" s="947" t="e">
        <f>VLOOKUP(X505,R_DD!$B$6:$E$2112,4,0)</f>
        <v>#N/A</v>
      </c>
    </row>
    <row r="506" spans="22:29" ht="20.100000000000001" customHeight="1">
      <c r="V506" s="944" t="e">
        <f>VLOOKUP(U506,R_DD!$B$6:$E$2112,3,0)</f>
        <v>#N/A</v>
      </c>
      <c r="W506" s="943" t="e">
        <f>VLOOKUP(U506,R_DD!$B$6:$E$2112,4,0)</f>
        <v>#N/A</v>
      </c>
      <c r="Z506" s="946" t="e">
        <f>VLOOKUP(X506,R_DD!$B$6:$E$2112,3,0)</f>
        <v>#N/A</v>
      </c>
      <c r="AA506" s="946" t="e">
        <f>VLOOKUP(Y506,R_DD!$A$1:$L$2131,4,0)</f>
        <v>#N/A</v>
      </c>
      <c r="AB506" s="947" t="e">
        <f>VLOOKUP(Y506,R_DD!$A$1:$L$2131,5,0)</f>
        <v>#N/A</v>
      </c>
      <c r="AC506" s="947" t="e">
        <f>VLOOKUP(X506,R_DD!$B$6:$E$2112,4,0)</f>
        <v>#N/A</v>
      </c>
    </row>
    <row r="507" spans="22:29" ht="20.100000000000001" customHeight="1">
      <c r="V507" s="944" t="e">
        <f>VLOOKUP(U507,R_DD!$B$6:$E$2112,3,0)</f>
        <v>#N/A</v>
      </c>
      <c r="W507" s="943" t="e">
        <f>VLOOKUP(U507,R_DD!$B$6:$E$2112,4,0)</f>
        <v>#N/A</v>
      </c>
      <c r="Z507" s="946" t="e">
        <f>VLOOKUP(X507,R_DD!$B$6:$E$2112,3,0)</f>
        <v>#N/A</v>
      </c>
      <c r="AA507" s="946" t="e">
        <f>VLOOKUP(Y507,R_DD!$A$1:$L$2131,4,0)</f>
        <v>#N/A</v>
      </c>
      <c r="AB507" s="947" t="e">
        <f>VLOOKUP(Y507,R_DD!$A$1:$L$2131,5,0)</f>
        <v>#N/A</v>
      </c>
      <c r="AC507" s="947" t="e">
        <f>VLOOKUP(X507,R_DD!$B$6:$E$2112,4,0)</f>
        <v>#N/A</v>
      </c>
    </row>
    <row r="508" spans="22:29" ht="20.100000000000001" customHeight="1">
      <c r="V508" s="944" t="e">
        <f>VLOOKUP(U508,R_DD!$B$6:$E$2112,3,0)</f>
        <v>#N/A</v>
      </c>
      <c r="W508" s="943" t="e">
        <f>VLOOKUP(U508,R_DD!$B$6:$E$2112,4,0)</f>
        <v>#N/A</v>
      </c>
      <c r="Z508" s="946" t="e">
        <f>VLOOKUP(X508,R_DD!$B$6:$E$2112,3,0)</f>
        <v>#N/A</v>
      </c>
      <c r="AA508" s="946" t="e">
        <f>VLOOKUP(Y508,R_DD!$A$1:$L$2131,4,0)</f>
        <v>#N/A</v>
      </c>
      <c r="AB508" s="947" t="e">
        <f>VLOOKUP(Y508,R_DD!$A$1:$L$2131,5,0)</f>
        <v>#N/A</v>
      </c>
      <c r="AC508" s="947" t="e">
        <f>VLOOKUP(X508,R_DD!$B$6:$E$2112,4,0)</f>
        <v>#N/A</v>
      </c>
    </row>
    <row r="509" spans="22:29" ht="20.100000000000001" customHeight="1">
      <c r="V509" s="944" t="e">
        <f>VLOOKUP(U509,R_DD!$B$6:$E$2112,3,0)</f>
        <v>#N/A</v>
      </c>
      <c r="W509" s="943" t="e">
        <f>VLOOKUP(U509,R_DD!$B$6:$E$2112,4,0)</f>
        <v>#N/A</v>
      </c>
      <c r="Z509" s="946" t="e">
        <f>VLOOKUP(X509,R_DD!$B$6:$E$2112,3,0)</f>
        <v>#N/A</v>
      </c>
      <c r="AA509" s="946" t="e">
        <f>VLOOKUP(Y509,R_DD!$A$1:$L$2131,4,0)</f>
        <v>#N/A</v>
      </c>
      <c r="AB509" s="947" t="e">
        <f>VLOOKUP(Y509,R_DD!$A$1:$L$2131,5,0)</f>
        <v>#N/A</v>
      </c>
      <c r="AC509" s="947" t="e">
        <f>VLOOKUP(X509,R_DD!$B$6:$E$2112,4,0)</f>
        <v>#N/A</v>
      </c>
    </row>
    <row r="510" spans="22:29" ht="20.100000000000001" customHeight="1">
      <c r="V510" s="944" t="e">
        <f>VLOOKUP(U510,R_DD!$B$6:$E$2112,3,0)</f>
        <v>#N/A</v>
      </c>
      <c r="W510" s="943" t="e">
        <f>VLOOKUP(U510,R_DD!$B$6:$E$2112,4,0)</f>
        <v>#N/A</v>
      </c>
      <c r="Z510" s="946" t="e">
        <f>VLOOKUP(X510,R_DD!$B$6:$E$2112,3,0)</f>
        <v>#N/A</v>
      </c>
      <c r="AA510" s="946" t="e">
        <f>VLOOKUP(Y510,R_DD!$A$1:$L$2131,4,0)</f>
        <v>#N/A</v>
      </c>
      <c r="AB510" s="947" t="e">
        <f>VLOOKUP(Y510,R_DD!$A$1:$L$2131,5,0)</f>
        <v>#N/A</v>
      </c>
      <c r="AC510" s="947" t="e">
        <f>VLOOKUP(X510,R_DD!$B$6:$E$2112,4,0)</f>
        <v>#N/A</v>
      </c>
    </row>
    <row r="511" spans="22:29" ht="20.100000000000001" customHeight="1">
      <c r="V511" s="944" t="e">
        <f>VLOOKUP(U511,R_DD!$B$6:$E$2112,3,0)</f>
        <v>#N/A</v>
      </c>
      <c r="W511" s="943" t="e">
        <f>VLOOKUP(U511,R_DD!$B$6:$E$2112,4,0)</f>
        <v>#N/A</v>
      </c>
      <c r="Z511" s="946" t="e">
        <f>VLOOKUP(X511,R_DD!$B$6:$E$2112,3,0)</f>
        <v>#N/A</v>
      </c>
      <c r="AA511" s="946" t="e">
        <f>VLOOKUP(Y511,R_DD!$A$1:$L$2131,4,0)</f>
        <v>#N/A</v>
      </c>
      <c r="AB511" s="947" t="e">
        <f>VLOOKUP(Y511,R_DD!$A$1:$L$2131,5,0)</f>
        <v>#N/A</v>
      </c>
      <c r="AC511" s="947" t="e">
        <f>VLOOKUP(X511,R_DD!$B$6:$E$2112,4,0)</f>
        <v>#N/A</v>
      </c>
    </row>
    <row r="512" spans="22:29" ht="20.100000000000001" customHeight="1">
      <c r="V512" s="944" t="e">
        <f>VLOOKUP(U512,R_DD!$B$6:$E$2112,3,0)</f>
        <v>#N/A</v>
      </c>
      <c r="W512" s="943" t="e">
        <f>VLOOKUP(U512,R_DD!$B$6:$E$2112,4,0)</f>
        <v>#N/A</v>
      </c>
      <c r="Z512" s="946" t="e">
        <f>VLOOKUP(X512,R_DD!$B$6:$E$2112,3,0)</f>
        <v>#N/A</v>
      </c>
      <c r="AA512" s="946" t="e">
        <f>VLOOKUP(Y512,R_DD!$A$1:$L$2131,4,0)</f>
        <v>#N/A</v>
      </c>
      <c r="AB512" s="947" t="e">
        <f>VLOOKUP(Y512,R_DD!$A$1:$L$2131,5,0)</f>
        <v>#N/A</v>
      </c>
      <c r="AC512" s="947" t="e">
        <f>VLOOKUP(X512,R_DD!$B$6:$E$2112,4,0)</f>
        <v>#N/A</v>
      </c>
    </row>
    <row r="513" spans="22:29" ht="20.100000000000001" customHeight="1">
      <c r="V513" s="944" t="e">
        <f>VLOOKUP(U513,R_DD!$B$6:$E$2112,3,0)</f>
        <v>#N/A</v>
      </c>
      <c r="W513" s="943" t="e">
        <f>VLOOKUP(U513,R_DD!$B$6:$E$2112,4,0)</f>
        <v>#N/A</v>
      </c>
      <c r="Z513" s="946" t="e">
        <f>VLOOKUP(X513,R_DD!$B$6:$E$2112,3,0)</f>
        <v>#N/A</v>
      </c>
      <c r="AA513" s="946" t="e">
        <f>VLOOKUP(Y513,R_DD!$A$1:$L$2131,4,0)</f>
        <v>#N/A</v>
      </c>
      <c r="AB513" s="947" t="e">
        <f>VLOOKUP(Y513,R_DD!$A$1:$L$2131,5,0)</f>
        <v>#N/A</v>
      </c>
      <c r="AC513" s="947" t="e">
        <f>VLOOKUP(X513,R_DD!$B$6:$E$2112,4,0)</f>
        <v>#N/A</v>
      </c>
    </row>
    <row r="514" spans="22:29" ht="20.100000000000001" customHeight="1">
      <c r="V514" s="944" t="e">
        <f>VLOOKUP(U514,R_DD!$B$6:$E$2112,3,0)</f>
        <v>#N/A</v>
      </c>
      <c r="W514" s="943" t="e">
        <f>VLOOKUP(U514,R_DD!$B$6:$E$2112,4,0)</f>
        <v>#N/A</v>
      </c>
      <c r="Z514" s="946" t="e">
        <f>VLOOKUP(X514,R_DD!$B$6:$E$2112,3,0)</f>
        <v>#N/A</v>
      </c>
      <c r="AA514" s="946" t="e">
        <f>VLOOKUP(Y514,R_DD!$A$1:$L$2131,4,0)</f>
        <v>#N/A</v>
      </c>
      <c r="AB514" s="947" t="e">
        <f>VLOOKUP(Y514,R_DD!$A$1:$L$2131,5,0)</f>
        <v>#N/A</v>
      </c>
      <c r="AC514" s="947" t="e">
        <f>VLOOKUP(X514,R_DD!$B$6:$E$2112,4,0)</f>
        <v>#N/A</v>
      </c>
    </row>
    <row r="515" spans="22:29" ht="20.100000000000001" customHeight="1">
      <c r="V515" s="944" t="e">
        <f>VLOOKUP(U515,R_DD!$B$6:$E$2112,3,0)</f>
        <v>#N/A</v>
      </c>
      <c r="W515" s="943" t="e">
        <f>VLOOKUP(U515,R_DD!$B$6:$E$2112,4,0)</f>
        <v>#N/A</v>
      </c>
      <c r="Z515" s="946" t="e">
        <f>VLOOKUP(X515,R_DD!$B$6:$E$2112,3,0)</f>
        <v>#N/A</v>
      </c>
      <c r="AA515" s="946" t="e">
        <f>VLOOKUP(Y515,R_DD!$A$1:$L$2131,4,0)</f>
        <v>#N/A</v>
      </c>
      <c r="AB515" s="947" t="e">
        <f>VLOOKUP(Y515,R_DD!$A$1:$L$2131,5,0)</f>
        <v>#N/A</v>
      </c>
      <c r="AC515" s="947" t="e">
        <f>VLOOKUP(X515,R_DD!$B$6:$E$2112,4,0)</f>
        <v>#N/A</v>
      </c>
    </row>
    <row r="516" spans="22:29" ht="20.100000000000001" customHeight="1">
      <c r="V516" s="944" t="e">
        <f>VLOOKUP(U516,R_DD!$B$6:$E$2112,3,0)</f>
        <v>#N/A</v>
      </c>
      <c r="W516" s="943" t="e">
        <f>VLOOKUP(U516,R_DD!$B$6:$E$2112,4,0)</f>
        <v>#N/A</v>
      </c>
      <c r="Z516" s="946" t="e">
        <f>VLOOKUP(X516,R_DD!$B$6:$E$2112,3,0)</f>
        <v>#N/A</v>
      </c>
      <c r="AA516" s="946" t="e">
        <f>VLOOKUP(Y516,R_DD!$A$1:$L$2131,4,0)</f>
        <v>#N/A</v>
      </c>
      <c r="AB516" s="947" t="e">
        <f>VLOOKUP(Y516,R_DD!$A$1:$L$2131,5,0)</f>
        <v>#N/A</v>
      </c>
      <c r="AC516" s="947" t="e">
        <f>VLOOKUP(X516,R_DD!$B$6:$E$2112,4,0)</f>
        <v>#N/A</v>
      </c>
    </row>
    <row r="517" spans="22:29" ht="20.100000000000001" customHeight="1">
      <c r="V517" s="944" t="e">
        <f>VLOOKUP(U517,R_DD!$B$6:$E$2112,3,0)</f>
        <v>#N/A</v>
      </c>
      <c r="W517" s="943" t="e">
        <f>VLOOKUP(U517,R_DD!$B$6:$E$2112,4,0)</f>
        <v>#N/A</v>
      </c>
      <c r="Z517" s="946" t="e">
        <f>VLOOKUP(X517,R_DD!$B$6:$E$2112,3,0)</f>
        <v>#N/A</v>
      </c>
      <c r="AA517" s="946" t="e">
        <f>VLOOKUP(Y517,R_DD!$A$1:$L$2131,4,0)</f>
        <v>#N/A</v>
      </c>
      <c r="AB517" s="947" t="e">
        <f>VLOOKUP(Y517,R_DD!$A$1:$L$2131,5,0)</f>
        <v>#N/A</v>
      </c>
      <c r="AC517" s="947" t="e">
        <f>VLOOKUP(X517,R_DD!$B$6:$E$2112,4,0)</f>
        <v>#N/A</v>
      </c>
    </row>
    <row r="518" spans="22:29" ht="20.100000000000001" customHeight="1">
      <c r="V518" s="944" t="e">
        <f>VLOOKUP(U518,R_DD!$B$6:$E$2112,3,0)</f>
        <v>#N/A</v>
      </c>
      <c r="W518" s="943" t="e">
        <f>VLOOKUP(U518,R_DD!$B$6:$E$2112,4,0)</f>
        <v>#N/A</v>
      </c>
      <c r="Z518" s="946" t="e">
        <f>VLOOKUP(X518,R_DD!$B$6:$E$2112,3,0)</f>
        <v>#N/A</v>
      </c>
      <c r="AA518" s="946" t="e">
        <f>VLOOKUP(Y518,R_DD!$A$1:$L$2131,4,0)</f>
        <v>#N/A</v>
      </c>
      <c r="AB518" s="947" t="e">
        <f>VLOOKUP(Y518,R_DD!$A$1:$L$2131,5,0)</f>
        <v>#N/A</v>
      </c>
      <c r="AC518" s="947" t="e">
        <f>VLOOKUP(X518,R_DD!$B$6:$E$2112,4,0)</f>
        <v>#N/A</v>
      </c>
    </row>
    <row r="519" spans="22:29" ht="20.100000000000001" customHeight="1">
      <c r="V519" s="944" t="e">
        <f>VLOOKUP(U519,R_DD!$B$6:$E$2112,3,0)</f>
        <v>#N/A</v>
      </c>
      <c r="W519" s="943" t="e">
        <f>VLOOKUP(U519,R_DD!$B$6:$E$2112,4,0)</f>
        <v>#N/A</v>
      </c>
      <c r="Z519" s="946" t="e">
        <f>VLOOKUP(X519,R_DD!$B$6:$E$2112,3,0)</f>
        <v>#N/A</v>
      </c>
      <c r="AA519" s="946" t="e">
        <f>VLOOKUP(Y519,R_DD!$A$1:$L$2131,4,0)</f>
        <v>#N/A</v>
      </c>
      <c r="AB519" s="947" t="e">
        <f>VLOOKUP(Y519,R_DD!$A$1:$L$2131,5,0)</f>
        <v>#N/A</v>
      </c>
      <c r="AC519" s="947" t="e">
        <f>VLOOKUP(X519,R_DD!$B$6:$E$2112,4,0)</f>
        <v>#N/A</v>
      </c>
    </row>
    <row r="520" spans="22:29" ht="20.100000000000001" customHeight="1">
      <c r="V520" s="944" t="e">
        <f>VLOOKUP(U520,R_DD!$B$6:$E$2112,3,0)</f>
        <v>#N/A</v>
      </c>
      <c r="W520" s="943" t="e">
        <f>VLOOKUP(U520,R_DD!$B$6:$E$2112,4,0)</f>
        <v>#N/A</v>
      </c>
      <c r="Z520" s="946" t="e">
        <f>VLOOKUP(X520,R_DD!$B$6:$E$2112,3,0)</f>
        <v>#N/A</v>
      </c>
      <c r="AA520" s="946" t="e">
        <f>VLOOKUP(Y520,R_DD!$A$1:$L$2131,4,0)</f>
        <v>#N/A</v>
      </c>
      <c r="AB520" s="947" t="e">
        <f>VLOOKUP(Y520,R_DD!$A$1:$L$2131,5,0)</f>
        <v>#N/A</v>
      </c>
      <c r="AC520" s="947" t="e">
        <f>VLOOKUP(X520,R_DD!$B$6:$E$2112,4,0)</f>
        <v>#N/A</v>
      </c>
    </row>
    <row r="521" spans="22:29" ht="20.100000000000001" customHeight="1">
      <c r="V521" s="944" t="e">
        <f>VLOOKUP(U521,R_DD!$B$6:$E$2112,3,0)</f>
        <v>#N/A</v>
      </c>
      <c r="W521" s="943" t="e">
        <f>VLOOKUP(U521,R_DD!$B$6:$E$2112,4,0)</f>
        <v>#N/A</v>
      </c>
      <c r="Z521" s="946" t="e">
        <f>VLOOKUP(X521,R_DD!$B$6:$E$2112,3,0)</f>
        <v>#N/A</v>
      </c>
      <c r="AA521" s="946" t="e">
        <f>VLOOKUP(Y521,R_DD!$A$1:$L$2131,4,0)</f>
        <v>#N/A</v>
      </c>
      <c r="AB521" s="947" t="e">
        <f>VLOOKUP(Y521,R_DD!$A$1:$L$2131,5,0)</f>
        <v>#N/A</v>
      </c>
      <c r="AC521" s="947" t="e">
        <f>VLOOKUP(X521,R_DD!$B$6:$E$2112,4,0)</f>
        <v>#N/A</v>
      </c>
    </row>
    <row r="522" spans="22:29" ht="20.100000000000001" customHeight="1">
      <c r="V522" s="944" t="e">
        <f>VLOOKUP(U522,R_DD!$B$6:$E$2112,3,0)</f>
        <v>#N/A</v>
      </c>
      <c r="W522" s="943" t="e">
        <f>VLOOKUP(U522,R_DD!$B$6:$E$2112,4,0)</f>
        <v>#N/A</v>
      </c>
      <c r="Z522" s="946" t="e">
        <f>VLOOKUP(X522,R_DD!$B$6:$E$2112,3,0)</f>
        <v>#N/A</v>
      </c>
      <c r="AA522" s="946" t="e">
        <f>VLOOKUP(Y522,R_DD!$A$1:$L$2131,4,0)</f>
        <v>#N/A</v>
      </c>
      <c r="AB522" s="947" t="e">
        <f>VLOOKUP(Y522,R_DD!$A$1:$L$2131,5,0)</f>
        <v>#N/A</v>
      </c>
      <c r="AC522" s="947" t="e">
        <f>VLOOKUP(X522,R_DD!$B$6:$E$2112,4,0)</f>
        <v>#N/A</v>
      </c>
    </row>
    <row r="523" spans="22:29" ht="20.100000000000001" customHeight="1">
      <c r="V523" s="944" t="e">
        <f>VLOOKUP(U523,R_DD!$B$6:$E$2112,3,0)</f>
        <v>#N/A</v>
      </c>
      <c r="W523" s="943" t="e">
        <f>VLOOKUP(U523,R_DD!$B$6:$E$2112,4,0)</f>
        <v>#N/A</v>
      </c>
      <c r="Z523" s="946" t="e">
        <f>VLOOKUP(X523,R_DD!$B$6:$E$2112,3,0)</f>
        <v>#N/A</v>
      </c>
      <c r="AA523" s="946" t="e">
        <f>VLOOKUP(Y523,R_DD!$A$1:$L$2131,4,0)</f>
        <v>#N/A</v>
      </c>
      <c r="AB523" s="947" t="e">
        <f>VLOOKUP(Y523,R_DD!$A$1:$L$2131,5,0)</f>
        <v>#N/A</v>
      </c>
      <c r="AC523" s="947" t="e">
        <f>VLOOKUP(X523,R_DD!$B$6:$E$2112,4,0)</f>
        <v>#N/A</v>
      </c>
    </row>
    <row r="524" spans="22:29" ht="20.100000000000001" customHeight="1">
      <c r="V524" s="944" t="e">
        <f>VLOOKUP(U524,R_DD!$B$6:$E$2112,3,0)</f>
        <v>#N/A</v>
      </c>
      <c r="W524" s="943" t="e">
        <f>VLOOKUP(U524,R_DD!$B$6:$E$2112,4,0)</f>
        <v>#N/A</v>
      </c>
      <c r="Z524" s="946" t="e">
        <f>VLOOKUP(X524,R_DD!$B$6:$E$2112,3,0)</f>
        <v>#N/A</v>
      </c>
      <c r="AA524" s="946" t="e">
        <f>VLOOKUP(Y524,R_DD!$A$1:$L$2131,4,0)</f>
        <v>#N/A</v>
      </c>
      <c r="AB524" s="947" t="e">
        <f>VLOOKUP(Y524,R_DD!$A$1:$L$2131,5,0)</f>
        <v>#N/A</v>
      </c>
      <c r="AC524" s="947" t="e">
        <f>VLOOKUP(X524,R_DD!$B$6:$E$2112,4,0)</f>
        <v>#N/A</v>
      </c>
    </row>
    <row r="525" spans="22:29" ht="20.100000000000001" customHeight="1">
      <c r="V525" s="944" t="e">
        <f>VLOOKUP(U525,R_DD!$B$6:$E$2112,3,0)</f>
        <v>#N/A</v>
      </c>
      <c r="W525" s="943" t="e">
        <f>VLOOKUP(U525,R_DD!$B$6:$E$2112,4,0)</f>
        <v>#N/A</v>
      </c>
      <c r="Z525" s="946" t="e">
        <f>VLOOKUP(X525,R_DD!$B$6:$E$2112,3,0)</f>
        <v>#N/A</v>
      </c>
      <c r="AA525" s="946" t="e">
        <f>VLOOKUP(Y525,R_DD!$A$1:$L$2131,4,0)</f>
        <v>#N/A</v>
      </c>
      <c r="AB525" s="947" t="e">
        <f>VLOOKUP(Y525,R_DD!$A$1:$L$2131,5,0)</f>
        <v>#N/A</v>
      </c>
      <c r="AC525" s="947" t="e">
        <f>VLOOKUP(X525,R_DD!$B$6:$E$2112,4,0)</f>
        <v>#N/A</v>
      </c>
    </row>
    <row r="526" spans="22:29" ht="20.100000000000001" customHeight="1">
      <c r="V526" s="944" t="e">
        <f>VLOOKUP(U526,R_DD!$B$6:$E$2112,3,0)</f>
        <v>#N/A</v>
      </c>
      <c r="W526" s="943" t="e">
        <f>VLOOKUP(U526,R_DD!$B$6:$E$2112,4,0)</f>
        <v>#N/A</v>
      </c>
      <c r="Z526" s="946" t="e">
        <f>VLOOKUP(X526,R_DD!$B$6:$E$2112,3,0)</f>
        <v>#N/A</v>
      </c>
      <c r="AA526" s="946" t="e">
        <f>VLOOKUP(Y526,R_DD!$A$1:$L$2131,4,0)</f>
        <v>#N/A</v>
      </c>
      <c r="AB526" s="947" t="e">
        <f>VLOOKUP(Y526,R_DD!$A$1:$L$2131,5,0)</f>
        <v>#N/A</v>
      </c>
      <c r="AC526" s="947" t="e">
        <f>VLOOKUP(X526,R_DD!$B$6:$E$2112,4,0)</f>
        <v>#N/A</v>
      </c>
    </row>
    <row r="527" spans="22:29" ht="20.100000000000001" customHeight="1">
      <c r="V527" s="944" t="e">
        <f>VLOOKUP(U527,R_DD!$B$6:$E$2112,3,0)</f>
        <v>#N/A</v>
      </c>
      <c r="W527" s="943" t="e">
        <f>VLOOKUP(U527,R_DD!$B$6:$E$2112,4,0)</f>
        <v>#N/A</v>
      </c>
      <c r="Z527" s="946" t="e">
        <f>VLOOKUP(X527,R_DD!$B$6:$E$2112,3,0)</f>
        <v>#N/A</v>
      </c>
      <c r="AA527" s="946" t="e">
        <f>VLOOKUP(Y527,R_DD!$A$1:$L$2131,4,0)</f>
        <v>#N/A</v>
      </c>
      <c r="AB527" s="947" t="e">
        <f>VLOOKUP(Y527,R_DD!$A$1:$L$2131,5,0)</f>
        <v>#N/A</v>
      </c>
      <c r="AC527" s="947" t="e">
        <f>VLOOKUP(X527,R_DD!$B$6:$E$2112,4,0)</f>
        <v>#N/A</v>
      </c>
    </row>
    <row r="528" spans="22:29" ht="20.100000000000001" customHeight="1">
      <c r="V528" s="944" t="e">
        <f>VLOOKUP(U528,R_DD!$B$6:$E$2112,3,0)</f>
        <v>#N/A</v>
      </c>
      <c r="W528" s="943" t="e">
        <f>VLOOKUP(U528,R_DD!$B$6:$E$2112,4,0)</f>
        <v>#N/A</v>
      </c>
      <c r="Z528" s="946" t="e">
        <f>VLOOKUP(X528,R_DD!$B$6:$E$2112,3,0)</f>
        <v>#N/A</v>
      </c>
      <c r="AA528" s="946" t="e">
        <f>VLOOKUP(Y528,R_DD!$A$1:$L$2131,4,0)</f>
        <v>#N/A</v>
      </c>
      <c r="AB528" s="947" t="e">
        <f>VLOOKUP(Y528,R_DD!$A$1:$L$2131,5,0)</f>
        <v>#N/A</v>
      </c>
      <c r="AC528" s="947" t="e">
        <f>VLOOKUP(X528,R_DD!$B$6:$E$2112,4,0)</f>
        <v>#N/A</v>
      </c>
    </row>
    <row r="529" spans="22:29" ht="20.100000000000001" customHeight="1">
      <c r="V529" s="944" t="e">
        <f>VLOOKUP(U529,R_DD!$B$6:$E$2112,3,0)</f>
        <v>#N/A</v>
      </c>
      <c r="W529" s="943" t="e">
        <f>VLOOKUP(U529,R_DD!$B$6:$E$2112,4,0)</f>
        <v>#N/A</v>
      </c>
      <c r="Z529" s="946" t="e">
        <f>VLOOKUP(X529,R_DD!$B$6:$E$2112,3,0)</f>
        <v>#N/A</v>
      </c>
      <c r="AA529" s="946" t="e">
        <f>VLOOKUP(Y529,R_DD!$A$1:$L$2131,4,0)</f>
        <v>#N/A</v>
      </c>
      <c r="AB529" s="947" t="e">
        <f>VLOOKUP(Y529,R_DD!$A$1:$L$2131,5,0)</f>
        <v>#N/A</v>
      </c>
      <c r="AC529" s="947" t="e">
        <f>VLOOKUP(X529,R_DD!$B$6:$E$2112,4,0)</f>
        <v>#N/A</v>
      </c>
    </row>
    <row r="530" spans="22:29" ht="20.100000000000001" customHeight="1">
      <c r="V530" s="944" t="e">
        <f>VLOOKUP(U530,R_DD!$B$6:$E$2112,3,0)</f>
        <v>#N/A</v>
      </c>
      <c r="W530" s="943" t="e">
        <f>VLOOKUP(U530,R_DD!$B$6:$E$2112,4,0)</f>
        <v>#N/A</v>
      </c>
      <c r="Z530" s="946" t="e">
        <f>VLOOKUP(X530,R_DD!$B$6:$E$2112,3,0)</f>
        <v>#N/A</v>
      </c>
      <c r="AA530" s="946" t="e">
        <f>VLOOKUP(Y530,R_DD!$A$1:$L$2131,4,0)</f>
        <v>#N/A</v>
      </c>
      <c r="AB530" s="947" t="e">
        <f>VLOOKUP(Y530,R_DD!$A$1:$L$2131,5,0)</f>
        <v>#N/A</v>
      </c>
      <c r="AC530" s="947" t="e">
        <f>VLOOKUP(X530,R_DD!$B$6:$E$2112,4,0)</f>
        <v>#N/A</v>
      </c>
    </row>
    <row r="531" spans="22:29" ht="20.100000000000001" customHeight="1">
      <c r="V531" s="944" t="e">
        <f>VLOOKUP(U531,R_DD!$B$6:$E$2112,3,0)</f>
        <v>#N/A</v>
      </c>
      <c r="W531" s="943" t="e">
        <f>VLOOKUP(U531,R_DD!$B$6:$E$2112,4,0)</f>
        <v>#N/A</v>
      </c>
      <c r="Z531" s="946" t="e">
        <f>VLOOKUP(X531,R_DD!$B$6:$E$2112,3,0)</f>
        <v>#N/A</v>
      </c>
      <c r="AA531" s="946" t="e">
        <f>VLOOKUP(Y531,R_DD!$A$1:$L$2131,4,0)</f>
        <v>#N/A</v>
      </c>
      <c r="AB531" s="947" t="e">
        <f>VLOOKUP(Y531,R_DD!$A$1:$L$2131,5,0)</f>
        <v>#N/A</v>
      </c>
      <c r="AC531" s="947" t="e">
        <f>VLOOKUP(X531,R_DD!$B$6:$E$2112,4,0)</f>
        <v>#N/A</v>
      </c>
    </row>
    <row r="532" spans="22:29" ht="20.100000000000001" customHeight="1">
      <c r="V532" s="944" t="e">
        <f>VLOOKUP(U532,R_DD!$B$6:$E$2112,3,0)</f>
        <v>#N/A</v>
      </c>
      <c r="W532" s="943" t="e">
        <f>VLOOKUP(U532,R_DD!$B$6:$E$2112,4,0)</f>
        <v>#N/A</v>
      </c>
      <c r="Z532" s="946" t="e">
        <f>VLOOKUP(X532,R_DD!$B$6:$E$2112,3,0)</f>
        <v>#N/A</v>
      </c>
      <c r="AA532" s="946" t="e">
        <f>VLOOKUP(Y532,R_DD!$A$1:$L$2131,4,0)</f>
        <v>#N/A</v>
      </c>
      <c r="AB532" s="947" t="e">
        <f>VLOOKUP(Y532,R_DD!$A$1:$L$2131,5,0)</f>
        <v>#N/A</v>
      </c>
      <c r="AC532" s="947" t="e">
        <f>VLOOKUP(X532,R_DD!$B$6:$E$2112,4,0)</f>
        <v>#N/A</v>
      </c>
    </row>
    <row r="533" spans="22:29" ht="20.100000000000001" customHeight="1">
      <c r="V533" s="944" t="e">
        <f>VLOOKUP(U533,R_DD!$B$6:$E$2112,3,0)</f>
        <v>#N/A</v>
      </c>
      <c r="W533" s="943" t="e">
        <f>VLOOKUP(U533,R_DD!$B$6:$E$2112,4,0)</f>
        <v>#N/A</v>
      </c>
      <c r="Z533" s="946" t="e">
        <f>VLOOKUP(X533,R_DD!$B$6:$E$2112,3,0)</f>
        <v>#N/A</v>
      </c>
      <c r="AA533" s="946" t="e">
        <f>VLOOKUP(Y533,R_DD!$A$1:$L$2131,4,0)</f>
        <v>#N/A</v>
      </c>
      <c r="AB533" s="947" t="e">
        <f>VLOOKUP(Y533,R_DD!$A$1:$L$2131,5,0)</f>
        <v>#N/A</v>
      </c>
      <c r="AC533" s="947" t="e">
        <f>VLOOKUP(X533,R_DD!$B$6:$E$2112,4,0)</f>
        <v>#N/A</v>
      </c>
    </row>
    <row r="534" spans="22:29" ht="20.100000000000001" customHeight="1">
      <c r="V534" s="944" t="e">
        <f>VLOOKUP(U534,R_DD!$B$6:$E$2112,3,0)</f>
        <v>#N/A</v>
      </c>
      <c r="W534" s="943" t="e">
        <f>VLOOKUP(U534,R_DD!$B$6:$E$2112,4,0)</f>
        <v>#N/A</v>
      </c>
      <c r="Z534" s="946" t="e">
        <f>VLOOKUP(X534,R_DD!$B$6:$E$2112,3,0)</f>
        <v>#N/A</v>
      </c>
      <c r="AA534" s="946" t="e">
        <f>VLOOKUP(Y534,R_DD!$A$1:$L$2131,4,0)</f>
        <v>#N/A</v>
      </c>
      <c r="AB534" s="947" t="e">
        <f>VLOOKUP(Y534,R_DD!$A$1:$L$2131,5,0)</f>
        <v>#N/A</v>
      </c>
      <c r="AC534" s="947" t="e">
        <f>VLOOKUP(X534,R_DD!$B$6:$E$2112,4,0)</f>
        <v>#N/A</v>
      </c>
    </row>
    <row r="535" spans="22:29" ht="20.100000000000001" customHeight="1">
      <c r="V535" s="944" t="e">
        <f>VLOOKUP(U535,R_DD!$B$6:$E$2112,3,0)</f>
        <v>#N/A</v>
      </c>
      <c r="W535" s="943" t="e">
        <f>VLOOKUP(U535,R_DD!$B$6:$E$2112,4,0)</f>
        <v>#N/A</v>
      </c>
      <c r="Z535" s="946" t="e">
        <f>VLOOKUP(X535,R_DD!$B$6:$E$2112,3,0)</f>
        <v>#N/A</v>
      </c>
      <c r="AA535" s="946" t="e">
        <f>VLOOKUP(Y535,R_DD!$A$1:$L$2131,4,0)</f>
        <v>#N/A</v>
      </c>
      <c r="AB535" s="947" t="e">
        <f>VLOOKUP(Y535,R_DD!$A$1:$L$2131,5,0)</f>
        <v>#N/A</v>
      </c>
      <c r="AC535" s="947" t="e">
        <f>VLOOKUP(X535,R_DD!$B$6:$E$2112,4,0)</f>
        <v>#N/A</v>
      </c>
    </row>
    <row r="536" spans="22:29" ht="20.100000000000001" customHeight="1">
      <c r="V536" s="944" t="e">
        <f>VLOOKUP(U536,R_DD!$B$6:$E$2112,3,0)</f>
        <v>#N/A</v>
      </c>
      <c r="W536" s="943" t="e">
        <f>VLOOKUP(U536,R_DD!$B$6:$E$2112,4,0)</f>
        <v>#N/A</v>
      </c>
      <c r="Z536" s="946" t="e">
        <f>VLOOKUP(X536,R_DD!$B$6:$E$2112,3,0)</f>
        <v>#N/A</v>
      </c>
      <c r="AA536" s="946" t="e">
        <f>VLOOKUP(Y536,R_DD!$A$1:$L$2131,4,0)</f>
        <v>#N/A</v>
      </c>
      <c r="AB536" s="947" t="e">
        <f>VLOOKUP(Y536,R_DD!$A$1:$L$2131,5,0)</f>
        <v>#N/A</v>
      </c>
      <c r="AC536" s="947" t="e">
        <f>VLOOKUP(X536,R_DD!$B$6:$E$2112,4,0)</f>
        <v>#N/A</v>
      </c>
    </row>
    <row r="537" spans="22:29" ht="20.100000000000001" customHeight="1">
      <c r="V537" s="944" t="e">
        <f>VLOOKUP(U537,R_DD!$B$6:$E$2112,3,0)</f>
        <v>#N/A</v>
      </c>
      <c r="W537" s="943" t="e">
        <f>VLOOKUP(U537,R_DD!$B$6:$E$2112,4,0)</f>
        <v>#N/A</v>
      </c>
      <c r="Z537" s="946" t="e">
        <f>VLOOKUP(X537,R_DD!$B$6:$E$2112,3,0)</f>
        <v>#N/A</v>
      </c>
      <c r="AA537" s="946" t="e">
        <f>VLOOKUP(Y537,R_DD!$A$1:$L$2131,4,0)</f>
        <v>#N/A</v>
      </c>
      <c r="AB537" s="947" t="e">
        <f>VLOOKUP(Y537,R_DD!$A$1:$L$2131,5,0)</f>
        <v>#N/A</v>
      </c>
      <c r="AC537" s="947" t="e">
        <f>VLOOKUP(X537,R_DD!$B$6:$E$2112,4,0)</f>
        <v>#N/A</v>
      </c>
    </row>
    <row r="538" spans="22:29" ht="20.100000000000001" customHeight="1">
      <c r="V538" s="944" t="e">
        <f>VLOOKUP(U538,R_DD!$B$6:$E$2112,3,0)</f>
        <v>#N/A</v>
      </c>
      <c r="W538" s="943" t="e">
        <f>VLOOKUP(U538,R_DD!$B$6:$E$2112,4,0)</f>
        <v>#N/A</v>
      </c>
      <c r="Z538" s="946" t="e">
        <f>VLOOKUP(X538,R_DD!$B$6:$E$2112,3,0)</f>
        <v>#N/A</v>
      </c>
      <c r="AA538" s="946" t="e">
        <f>VLOOKUP(Y538,R_DD!$A$1:$L$2131,4,0)</f>
        <v>#N/A</v>
      </c>
      <c r="AB538" s="947" t="e">
        <f>VLOOKUP(Y538,R_DD!$A$1:$L$2131,5,0)</f>
        <v>#N/A</v>
      </c>
      <c r="AC538" s="947" t="e">
        <f>VLOOKUP(X538,R_DD!$B$6:$E$2112,4,0)</f>
        <v>#N/A</v>
      </c>
    </row>
    <row r="539" spans="22:29" ht="20.100000000000001" customHeight="1">
      <c r="V539" s="944" t="e">
        <f>VLOOKUP(U539,R_DD!$B$6:$E$2112,3,0)</f>
        <v>#N/A</v>
      </c>
      <c r="W539" s="943" t="e">
        <f>VLOOKUP(U539,R_DD!$B$6:$E$2112,4,0)</f>
        <v>#N/A</v>
      </c>
      <c r="Z539" s="946" t="e">
        <f>VLOOKUP(X539,R_DD!$B$6:$E$2112,3,0)</f>
        <v>#N/A</v>
      </c>
      <c r="AA539" s="946" t="e">
        <f>VLOOKUP(Y539,R_DD!$A$1:$L$2131,4,0)</f>
        <v>#N/A</v>
      </c>
      <c r="AB539" s="947" t="e">
        <f>VLOOKUP(Y539,R_DD!$A$1:$L$2131,5,0)</f>
        <v>#N/A</v>
      </c>
      <c r="AC539" s="947" t="e">
        <f>VLOOKUP(X539,R_DD!$B$6:$E$2112,4,0)</f>
        <v>#N/A</v>
      </c>
    </row>
    <row r="540" spans="22:29" ht="20.100000000000001" customHeight="1">
      <c r="V540" s="944" t="e">
        <f>VLOOKUP(U540,R_DD!$B$6:$E$2112,3,0)</f>
        <v>#N/A</v>
      </c>
      <c r="W540" s="943" t="e">
        <f>VLOOKUP(U540,R_DD!$B$6:$E$2112,4,0)</f>
        <v>#N/A</v>
      </c>
      <c r="Z540" s="946" t="e">
        <f>VLOOKUP(X540,R_DD!$B$6:$E$2112,3,0)</f>
        <v>#N/A</v>
      </c>
      <c r="AA540" s="946" t="e">
        <f>VLOOKUP(Y540,R_DD!$A$1:$L$2131,4,0)</f>
        <v>#N/A</v>
      </c>
      <c r="AB540" s="947" t="e">
        <f>VLOOKUP(Y540,R_DD!$A$1:$L$2131,5,0)</f>
        <v>#N/A</v>
      </c>
      <c r="AC540" s="947" t="e">
        <f>VLOOKUP(X540,R_DD!$B$6:$E$2112,4,0)</f>
        <v>#N/A</v>
      </c>
    </row>
    <row r="541" spans="22:29" ht="20.100000000000001" customHeight="1">
      <c r="V541" s="944" t="e">
        <f>VLOOKUP(U541,R_DD!$B$6:$E$2112,3,0)</f>
        <v>#N/A</v>
      </c>
      <c r="W541" s="943" t="e">
        <f>VLOOKUP(U541,R_DD!$B$6:$E$2112,4,0)</f>
        <v>#N/A</v>
      </c>
      <c r="Z541" s="946" t="e">
        <f>VLOOKUP(X541,R_DD!$B$6:$E$2112,3,0)</f>
        <v>#N/A</v>
      </c>
      <c r="AA541" s="946" t="e">
        <f>VLOOKUP(Y541,R_DD!$A$1:$L$2131,4,0)</f>
        <v>#N/A</v>
      </c>
      <c r="AB541" s="947" t="e">
        <f>VLOOKUP(Y541,R_DD!$A$1:$L$2131,5,0)</f>
        <v>#N/A</v>
      </c>
      <c r="AC541" s="947" t="e">
        <f>VLOOKUP(X541,R_DD!$B$6:$E$2112,4,0)</f>
        <v>#N/A</v>
      </c>
    </row>
    <row r="542" spans="22:29" ht="20.100000000000001" customHeight="1">
      <c r="V542" s="944" t="e">
        <f>VLOOKUP(U542,R_DD!$B$6:$E$2112,3,0)</f>
        <v>#N/A</v>
      </c>
      <c r="W542" s="943" t="e">
        <f>VLOOKUP(U542,R_DD!$B$6:$E$2112,4,0)</f>
        <v>#N/A</v>
      </c>
      <c r="Z542" s="946" t="e">
        <f>VLOOKUP(X542,R_DD!$B$6:$E$2112,3,0)</f>
        <v>#N/A</v>
      </c>
      <c r="AA542" s="946" t="e">
        <f>VLOOKUP(Y542,R_DD!$A$1:$L$2131,4,0)</f>
        <v>#N/A</v>
      </c>
      <c r="AB542" s="947" t="e">
        <f>VLOOKUP(Y542,R_DD!$A$1:$L$2131,5,0)</f>
        <v>#N/A</v>
      </c>
      <c r="AC542" s="947" t="e">
        <f>VLOOKUP(X542,R_DD!$B$6:$E$2112,4,0)</f>
        <v>#N/A</v>
      </c>
    </row>
    <row r="543" spans="22:29" ht="20.100000000000001" customHeight="1">
      <c r="V543" s="944" t="e">
        <f>VLOOKUP(U543,R_DD!$B$6:$E$2112,3,0)</f>
        <v>#N/A</v>
      </c>
      <c r="W543" s="943" t="e">
        <f>VLOOKUP(U543,R_DD!$B$6:$E$2112,4,0)</f>
        <v>#N/A</v>
      </c>
      <c r="Z543" s="946" t="e">
        <f>VLOOKUP(X543,R_DD!$B$6:$E$2112,3,0)</f>
        <v>#N/A</v>
      </c>
      <c r="AA543" s="946" t="e">
        <f>VLOOKUP(Y543,R_DD!$A$1:$L$2131,4,0)</f>
        <v>#N/A</v>
      </c>
      <c r="AB543" s="947" t="e">
        <f>VLOOKUP(Y543,R_DD!$A$1:$L$2131,5,0)</f>
        <v>#N/A</v>
      </c>
      <c r="AC543" s="947" t="e">
        <f>VLOOKUP(X543,R_DD!$B$6:$E$2112,4,0)</f>
        <v>#N/A</v>
      </c>
    </row>
    <row r="544" spans="22:29" ht="20.100000000000001" customHeight="1">
      <c r="V544" s="944" t="e">
        <f>VLOOKUP(U544,R_DD!$B$6:$E$2112,3,0)</f>
        <v>#N/A</v>
      </c>
      <c r="W544" s="943" t="e">
        <f>VLOOKUP(U544,R_DD!$B$6:$E$2112,4,0)</f>
        <v>#N/A</v>
      </c>
      <c r="Z544" s="946" t="e">
        <f>VLOOKUP(X544,R_DD!$B$6:$E$2112,3,0)</f>
        <v>#N/A</v>
      </c>
      <c r="AA544" s="946" t="e">
        <f>VLOOKUP(Y544,R_DD!$A$1:$L$2131,4,0)</f>
        <v>#N/A</v>
      </c>
      <c r="AB544" s="947" t="e">
        <f>VLOOKUP(Y544,R_DD!$A$1:$L$2131,5,0)</f>
        <v>#N/A</v>
      </c>
      <c r="AC544" s="947" t="e">
        <f>VLOOKUP(X544,R_DD!$B$6:$E$2112,4,0)</f>
        <v>#N/A</v>
      </c>
    </row>
    <row r="545" spans="22:29" ht="20.100000000000001" customHeight="1">
      <c r="V545" s="944" t="e">
        <f>VLOOKUP(U545,R_DD!$B$6:$E$2112,3,0)</f>
        <v>#N/A</v>
      </c>
      <c r="W545" s="943" t="e">
        <f>VLOOKUP(U545,R_DD!$B$6:$E$2112,4,0)</f>
        <v>#N/A</v>
      </c>
      <c r="Z545" s="946" t="e">
        <f>VLOOKUP(X545,R_DD!$B$6:$E$2112,3,0)</f>
        <v>#N/A</v>
      </c>
      <c r="AA545" s="946" t="e">
        <f>VLOOKUP(Y545,R_DD!$A$1:$L$2131,4,0)</f>
        <v>#N/A</v>
      </c>
      <c r="AB545" s="947" t="e">
        <f>VLOOKUP(Y545,R_DD!$A$1:$L$2131,5,0)</f>
        <v>#N/A</v>
      </c>
      <c r="AC545" s="947" t="e">
        <f>VLOOKUP(X545,R_DD!$B$6:$E$2112,4,0)</f>
        <v>#N/A</v>
      </c>
    </row>
    <row r="546" spans="22:29" ht="20.100000000000001" customHeight="1">
      <c r="V546" s="944" t="e">
        <f>VLOOKUP(U546,R_DD!$B$6:$E$2112,3,0)</f>
        <v>#N/A</v>
      </c>
      <c r="W546" s="943" t="e">
        <f>VLOOKUP(U546,R_DD!$B$6:$E$2112,4,0)</f>
        <v>#N/A</v>
      </c>
      <c r="Z546" s="946" t="e">
        <f>VLOOKUP(X546,R_DD!$B$6:$E$2112,3,0)</f>
        <v>#N/A</v>
      </c>
      <c r="AA546" s="946" t="e">
        <f>VLOOKUP(Y546,R_DD!$A$1:$L$2131,4,0)</f>
        <v>#N/A</v>
      </c>
      <c r="AB546" s="947" t="e">
        <f>VLOOKUP(Y546,R_DD!$A$1:$L$2131,5,0)</f>
        <v>#N/A</v>
      </c>
      <c r="AC546" s="947" t="e">
        <f>VLOOKUP(X546,R_DD!$B$6:$E$2112,4,0)</f>
        <v>#N/A</v>
      </c>
    </row>
    <row r="547" spans="22:29" ht="20.100000000000001" customHeight="1">
      <c r="V547" s="944" t="e">
        <f>VLOOKUP(U547,R_DD!$B$6:$E$2112,3,0)</f>
        <v>#N/A</v>
      </c>
      <c r="W547" s="943" t="e">
        <f>VLOOKUP(U547,R_DD!$B$6:$E$2112,4,0)</f>
        <v>#N/A</v>
      </c>
      <c r="Z547" s="946" t="e">
        <f>VLOOKUP(X547,R_DD!$B$6:$E$2112,3,0)</f>
        <v>#N/A</v>
      </c>
      <c r="AA547" s="946" t="e">
        <f>VLOOKUP(Y547,R_DD!$A$1:$L$2131,4,0)</f>
        <v>#N/A</v>
      </c>
      <c r="AB547" s="947" t="e">
        <f>VLOOKUP(Y547,R_DD!$A$1:$L$2131,5,0)</f>
        <v>#N/A</v>
      </c>
      <c r="AC547" s="947" t="e">
        <f>VLOOKUP(X547,R_DD!$B$6:$E$2112,4,0)</f>
        <v>#N/A</v>
      </c>
    </row>
    <row r="548" spans="22:29" ht="20.100000000000001" customHeight="1">
      <c r="V548" s="944" t="e">
        <f>VLOOKUP(U548,R_DD!$B$6:$E$2112,3,0)</f>
        <v>#N/A</v>
      </c>
      <c r="W548" s="943" t="e">
        <f>VLOOKUP(U548,R_DD!$B$6:$E$2112,4,0)</f>
        <v>#N/A</v>
      </c>
      <c r="Z548" s="946" t="e">
        <f>VLOOKUP(X548,R_DD!$B$6:$E$2112,3,0)</f>
        <v>#N/A</v>
      </c>
      <c r="AA548" s="946" t="e">
        <f>VLOOKUP(Y548,R_DD!$A$1:$L$2131,4,0)</f>
        <v>#N/A</v>
      </c>
      <c r="AB548" s="947" t="e">
        <f>VLOOKUP(Y548,R_DD!$A$1:$L$2131,5,0)</f>
        <v>#N/A</v>
      </c>
      <c r="AC548" s="947" t="e">
        <f>VLOOKUP(X548,R_DD!$B$6:$E$2112,4,0)</f>
        <v>#N/A</v>
      </c>
    </row>
    <row r="549" spans="22:29" ht="20.100000000000001" customHeight="1">
      <c r="V549" s="944" t="e">
        <f>VLOOKUP(U549,R_DD!$B$6:$E$2112,3,0)</f>
        <v>#N/A</v>
      </c>
      <c r="W549" s="943" t="e">
        <f>VLOOKUP(U549,R_DD!$B$6:$E$2112,4,0)</f>
        <v>#N/A</v>
      </c>
      <c r="Z549" s="946" t="e">
        <f>VLOOKUP(X549,R_DD!$B$6:$E$2112,3,0)</f>
        <v>#N/A</v>
      </c>
      <c r="AA549" s="946" t="e">
        <f>VLOOKUP(Y549,R_DD!$A$1:$L$2131,4,0)</f>
        <v>#N/A</v>
      </c>
      <c r="AB549" s="947" t="e">
        <f>VLOOKUP(Y549,R_DD!$A$1:$L$2131,5,0)</f>
        <v>#N/A</v>
      </c>
      <c r="AC549" s="947" t="e">
        <f>VLOOKUP(X549,R_DD!$B$6:$E$2112,4,0)</f>
        <v>#N/A</v>
      </c>
    </row>
    <row r="550" spans="22:29" ht="20.100000000000001" customHeight="1">
      <c r="V550" s="944" t="e">
        <f>VLOOKUP(U550,R_DD!$B$6:$E$2112,3,0)</f>
        <v>#N/A</v>
      </c>
      <c r="W550" s="943" t="e">
        <f>VLOOKUP(U550,R_DD!$B$6:$E$2112,4,0)</f>
        <v>#N/A</v>
      </c>
      <c r="Z550" s="946" t="e">
        <f>VLOOKUP(X550,R_DD!$B$6:$E$2112,3,0)</f>
        <v>#N/A</v>
      </c>
      <c r="AA550" s="946" t="e">
        <f>VLOOKUP(Y550,R_DD!$A$1:$L$2131,4,0)</f>
        <v>#N/A</v>
      </c>
      <c r="AB550" s="947" t="e">
        <f>VLOOKUP(Y550,R_DD!$A$1:$L$2131,5,0)</f>
        <v>#N/A</v>
      </c>
      <c r="AC550" s="947" t="e">
        <f>VLOOKUP(X550,R_DD!$B$6:$E$2112,4,0)</f>
        <v>#N/A</v>
      </c>
    </row>
    <row r="551" spans="22:29" ht="20.100000000000001" customHeight="1">
      <c r="V551" s="944" t="e">
        <f>VLOOKUP(U551,R_DD!$B$6:$E$2112,3,0)</f>
        <v>#N/A</v>
      </c>
      <c r="W551" s="943" t="e">
        <f>VLOOKUP(U551,R_DD!$B$6:$E$2112,4,0)</f>
        <v>#N/A</v>
      </c>
      <c r="Z551" s="946" t="e">
        <f>VLOOKUP(X551,R_DD!$B$6:$E$2112,3,0)</f>
        <v>#N/A</v>
      </c>
      <c r="AA551" s="946" t="e">
        <f>VLOOKUP(Y551,R_DD!$A$1:$L$2131,4,0)</f>
        <v>#N/A</v>
      </c>
      <c r="AB551" s="947" t="e">
        <f>VLOOKUP(Y551,R_DD!$A$1:$L$2131,5,0)</f>
        <v>#N/A</v>
      </c>
      <c r="AC551" s="947" t="e">
        <f>VLOOKUP(X551,R_DD!$B$6:$E$2112,4,0)</f>
        <v>#N/A</v>
      </c>
    </row>
    <row r="552" spans="22:29" ht="20.100000000000001" customHeight="1">
      <c r="V552" s="944" t="e">
        <f>VLOOKUP(U552,R_DD!$B$6:$E$2112,3,0)</f>
        <v>#N/A</v>
      </c>
      <c r="W552" s="943" t="e">
        <f>VLOOKUP(U552,R_DD!$B$6:$E$2112,4,0)</f>
        <v>#N/A</v>
      </c>
      <c r="Z552" s="946" t="e">
        <f>VLOOKUP(X552,R_DD!$B$6:$E$2112,3,0)</f>
        <v>#N/A</v>
      </c>
      <c r="AA552" s="946" t="e">
        <f>VLOOKUP(Y552,R_DD!$A$1:$L$2131,4,0)</f>
        <v>#N/A</v>
      </c>
      <c r="AB552" s="947" t="e">
        <f>VLOOKUP(Y552,R_DD!$A$1:$L$2131,5,0)</f>
        <v>#N/A</v>
      </c>
      <c r="AC552" s="947" t="e">
        <f>VLOOKUP(X552,R_DD!$B$6:$E$2112,4,0)</f>
        <v>#N/A</v>
      </c>
    </row>
    <row r="553" spans="22:29" ht="20.100000000000001" customHeight="1">
      <c r="V553" s="944" t="e">
        <f>VLOOKUP(U553,R_DD!$B$6:$E$2112,3,0)</f>
        <v>#N/A</v>
      </c>
      <c r="W553" s="943" t="e">
        <f>VLOOKUP(U553,R_DD!$B$6:$E$2112,4,0)</f>
        <v>#N/A</v>
      </c>
      <c r="Z553" s="946" t="e">
        <f>VLOOKUP(X553,R_DD!$B$6:$E$2112,3,0)</f>
        <v>#N/A</v>
      </c>
      <c r="AA553" s="946" t="e">
        <f>VLOOKUP(Y553,R_DD!$A$1:$L$2131,4,0)</f>
        <v>#N/A</v>
      </c>
      <c r="AB553" s="947" t="e">
        <f>VLOOKUP(Y553,R_DD!$A$1:$L$2131,5,0)</f>
        <v>#N/A</v>
      </c>
      <c r="AC553" s="947" t="e">
        <f>VLOOKUP(X553,R_DD!$B$6:$E$2112,4,0)</f>
        <v>#N/A</v>
      </c>
    </row>
    <row r="554" spans="22:29" ht="20.100000000000001" customHeight="1">
      <c r="V554" s="944" t="e">
        <f>VLOOKUP(U554,R_DD!$B$6:$E$2112,3,0)</f>
        <v>#N/A</v>
      </c>
      <c r="W554" s="943" t="e">
        <f>VLOOKUP(U554,R_DD!$B$6:$E$2112,4,0)</f>
        <v>#N/A</v>
      </c>
      <c r="Z554" s="946" t="e">
        <f>VLOOKUP(X554,R_DD!$B$6:$E$2112,3,0)</f>
        <v>#N/A</v>
      </c>
      <c r="AA554" s="946" t="e">
        <f>VLOOKUP(Y554,R_DD!$A$1:$L$2131,4,0)</f>
        <v>#N/A</v>
      </c>
      <c r="AB554" s="947" t="e">
        <f>VLOOKUP(Y554,R_DD!$A$1:$L$2131,5,0)</f>
        <v>#N/A</v>
      </c>
      <c r="AC554" s="947" t="e">
        <f>VLOOKUP(X554,R_DD!$B$6:$E$2112,4,0)</f>
        <v>#N/A</v>
      </c>
    </row>
    <row r="555" spans="22:29" ht="20.100000000000001" customHeight="1">
      <c r="V555" s="944" t="e">
        <f>VLOOKUP(U555,R_DD!$B$6:$E$2112,3,0)</f>
        <v>#N/A</v>
      </c>
      <c r="W555" s="943" t="e">
        <f>VLOOKUP(U555,R_DD!$B$6:$E$2112,4,0)</f>
        <v>#N/A</v>
      </c>
      <c r="Z555" s="946" t="e">
        <f>VLOOKUP(X555,R_DD!$B$6:$E$2112,3,0)</f>
        <v>#N/A</v>
      </c>
      <c r="AA555" s="946" t="e">
        <f>VLOOKUP(Y555,R_DD!$A$1:$L$2131,4,0)</f>
        <v>#N/A</v>
      </c>
      <c r="AB555" s="947" t="e">
        <f>VLOOKUP(Y555,R_DD!$A$1:$L$2131,5,0)</f>
        <v>#N/A</v>
      </c>
      <c r="AC555" s="947" t="e">
        <f>VLOOKUP(X555,R_DD!$B$6:$E$2112,4,0)</f>
        <v>#N/A</v>
      </c>
    </row>
    <row r="556" spans="22:29" ht="20.100000000000001" customHeight="1">
      <c r="V556" s="944" t="e">
        <f>VLOOKUP(U556,R_DD!$B$6:$E$2112,3,0)</f>
        <v>#N/A</v>
      </c>
      <c r="W556" s="943" t="e">
        <f>VLOOKUP(U556,R_DD!$B$6:$E$2112,4,0)</f>
        <v>#N/A</v>
      </c>
      <c r="Z556" s="946" t="e">
        <f>VLOOKUP(X556,R_DD!$B$6:$E$2112,3,0)</f>
        <v>#N/A</v>
      </c>
      <c r="AA556" s="946" t="e">
        <f>VLOOKUP(Y556,R_DD!$A$1:$L$2131,4,0)</f>
        <v>#N/A</v>
      </c>
      <c r="AB556" s="947" t="e">
        <f>VLOOKUP(Y556,R_DD!$A$1:$L$2131,5,0)</f>
        <v>#N/A</v>
      </c>
      <c r="AC556" s="947" t="e">
        <f>VLOOKUP(X556,R_DD!$B$6:$E$2112,4,0)</f>
        <v>#N/A</v>
      </c>
    </row>
    <row r="557" spans="22:29" ht="20.100000000000001" customHeight="1">
      <c r="V557" s="944" t="e">
        <f>VLOOKUP(U557,R_DD!$B$6:$E$2112,3,0)</f>
        <v>#N/A</v>
      </c>
      <c r="W557" s="943" t="e">
        <f>VLOOKUP(U557,R_DD!$B$6:$E$2112,4,0)</f>
        <v>#N/A</v>
      </c>
      <c r="Z557" s="946" t="e">
        <f>VLOOKUP(X557,R_DD!$B$6:$E$2112,3,0)</f>
        <v>#N/A</v>
      </c>
      <c r="AA557" s="946" t="e">
        <f>VLOOKUP(Y557,R_DD!$A$1:$L$2131,4,0)</f>
        <v>#N/A</v>
      </c>
      <c r="AB557" s="947" t="e">
        <f>VLOOKUP(Y557,R_DD!$A$1:$L$2131,5,0)</f>
        <v>#N/A</v>
      </c>
      <c r="AC557" s="947" t="e">
        <f>VLOOKUP(X557,R_DD!$B$6:$E$2112,4,0)</f>
        <v>#N/A</v>
      </c>
    </row>
    <row r="558" spans="22:29" ht="20.100000000000001" customHeight="1">
      <c r="V558" s="944" t="e">
        <f>VLOOKUP(U558,R_DD!$B$6:$E$2112,3,0)</f>
        <v>#N/A</v>
      </c>
      <c r="W558" s="943" t="e">
        <f>VLOOKUP(U558,R_DD!$B$6:$E$2112,4,0)</f>
        <v>#N/A</v>
      </c>
      <c r="Z558" s="946" t="e">
        <f>VLOOKUP(X558,R_DD!$B$6:$E$2112,3,0)</f>
        <v>#N/A</v>
      </c>
      <c r="AA558" s="946" t="e">
        <f>VLOOKUP(Y558,R_DD!$A$1:$L$2131,4,0)</f>
        <v>#N/A</v>
      </c>
      <c r="AB558" s="947" t="e">
        <f>VLOOKUP(Y558,R_DD!$A$1:$L$2131,5,0)</f>
        <v>#N/A</v>
      </c>
      <c r="AC558" s="947" t="e">
        <f>VLOOKUP(X558,R_DD!$B$6:$E$2112,4,0)</f>
        <v>#N/A</v>
      </c>
    </row>
    <row r="559" spans="22:29" ht="20.100000000000001" customHeight="1">
      <c r="V559" s="944" t="e">
        <f>VLOOKUP(U559,R_DD!$B$6:$E$2112,3,0)</f>
        <v>#N/A</v>
      </c>
      <c r="W559" s="943" t="e">
        <f>VLOOKUP(U559,R_DD!$B$6:$E$2112,4,0)</f>
        <v>#N/A</v>
      </c>
      <c r="Z559" s="946" t="e">
        <f>VLOOKUP(X559,R_DD!$B$6:$E$2112,3,0)</f>
        <v>#N/A</v>
      </c>
      <c r="AA559" s="946" t="e">
        <f>VLOOKUP(Y559,R_DD!$A$1:$L$2131,4,0)</f>
        <v>#N/A</v>
      </c>
      <c r="AB559" s="947" t="e">
        <f>VLOOKUP(Y559,R_DD!$A$1:$L$2131,5,0)</f>
        <v>#N/A</v>
      </c>
      <c r="AC559" s="947" t="e">
        <f>VLOOKUP(X559,R_DD!$B$6:$E$2112,4,0)</f>
        <v>#N/A</v>
      </c>
    </row>
    <row r="560" spans="22:29" ht="20.100000000000001" customHeight="1">
      <c r="V560" s="944" t="e">
        <f>VLOOKUP(U560,R_DD!$B$6:$E$2112,3,0)</f>
        <v>#N/A</v>
      </c>
      <c r="W560" s="943" t="e">
        <f>VLOOKUP(U560,R_DD!$B$6:$E$2112,4,0)</f>
        <v>#N/A</v>
      </c>
      <c r="Z560" s="946" t="e">
        <f>VLOOKUP(X560,R_DD!$B$6:$E$2112,3,0)</f>
        <v>#N/A</v>
      </c>
      <c r="AA560" s="946" t="e">
        <f>VLOOKUP(Y560,R_DD!$A$1:$L$2131,4,0)</f>
        <v>#N/A</v>
      </c>
      <c r="AB560" s="947" t="e">
        <f>VLOOKUP(Y560,R_DD!$A$1:$L$2131,5,0)</f>
        <v>#N/A</v>
      </c>
      <c r="AC560" s="947" t="e">
        <f>VLOOKUP(X560,R_DD!$B$6:$E$2112,4,0)</f>
        <v>#N/A</v>
      </c>
    </row>
    <row r="561" spans="22:29" ht="20.100000000000001" customHeight="1">
      <c r="V561" s="944" t="e">
        <f>VLOOKUP(U561,R_DD!$B$6:$E$2112,3,0)</f>
        <v>#N/A</v>
      </c>
      <c r="W561" s="943" t="e">
        <f>VLOOKUP(U561,R_DD!$B$6:$E$2112,4,0)</f>
        <v>#N/A</v>
      </c>
      <c r="Z561" s="946" t="e">
        <f>VLOOKUP(X561,R_DD!$B$6:$E$2112,3,0)</f>
        <v>#N/A</v>
      </c>
      <c r="AA561" s="946" t="e">
        <f>VLOOKUP(Y561,R_DD!$A$1:$L$2131,4,0)</f>
        <v>#N/A</v>
      </c>
      <c r="AB561" s="947" t="e">
        <f>VLOOKUP(Y561,R_DD!$A$1:$L$2131,5,0)</f>
        <v>#N/A</v>
      </c>
      <c r="AC561" s="947" t="e">
        <f>VLOOKUP(X561,R_DD!$B$6:$E$2112,4,0)</f>
        <v>#N/A</v>
      </c>
    </row>
    <row r="562" spans="22:29" ht="20.100000000000001" customHeight="1">
      <c r="V562" s="944" t="e">
        <f>VLOOKUP(U562,R_DD!$B$6:$E$2112,3,0)</f>
        <v>#N/A</v>
      </c>
      <c r="W562" s="943" t="e">
        <f>VLOOKUP(U562,R_DD!$B$6:$E$2112,4,0)</f>
        <v>#N/A</v>
      </c>
      <c r="Z562" s="946" t="e">
        <f>VLOOKUP(X562,R_DD!$B$6:$E$2112,3,0)</f>
        <v>#N/A</v>
      </c>
      <c r="AA562" s="946" t="e">
        <f>VLOOKUP(Y562,R_DD!$A$1:$L$2131,4,0)</f>
        <v>#N/A</v>
      </c>
      <c r="AB562" s="947" t="e">
        <f>VLOOKUP(Y562,R_DD!$A$1:$L$2131,5,0)</f>
        <v>#N/A</v>
      </c>
      <c r="AC562" s="947" t="e">
        <f>VLOOKUP(X562,R_DD!$B$6:$E$2112,4,0)</f>
        <v>#N/A</v>
      </c>
    </row>
    <row r="563" spans="22:29" ht="20.100000000000001" customHeight="1">
      <c r="V563" s="944" t="e">
        <f>VLOOKUP(U563,R_DD!$B$6:$E$2112,3,0)</f>
        <v>#N/A</v>
      </c>
      <c r="W563" s="943" t="e">
        <f>VLOOKUP(U563,R_DD!$B$6:$E$2112,4,0)</f>
        <v>#N/A</v>
      </c>
      <c r="Z563" s="946" t="e">
        <f>VLOOKUP(X563,R_DD!$B$6:$E$2112,3,0)</f>
        <v>#N/A</v>
      </c>
      <c r="AA563" s="946" t="e">
        <f>VLOOKUP(Y563,R_DD!$A$1:$L$2131,4,0)</f>
        <v>#N/A</v>
      </c>
      <c r="AB563" s="947" t="e">
        <f>VLOOKUP(Y563,R_DD!$A$1:$L$2131,5,0)</f>
        <v>#N/A</v>
      </c>
      <c r="AC563" s="947" t="e">
        <f>VLOOKUP(X563,R_DD!$B$6:$E$2112,4,0)</f>
        <v>#N/A</v>
      </c>
    </row>
    <row r="564" spans="22:29" ht="20.100000000000001" customHeight="1">
      <c r="V564" s="944" t="e">
        <f>VLOOKUP(U564,R_DD!$B$6:$E$2112,3,0)</f>
        <v>#N/A</v>
      </c>
      <c r="W564" s="943" t="e">
        <f>VLOOKUP(U564,R_DD!$B$6:$E$2112,4,0)</f>
        <v>#N/A</v>
      </c>
      <c r="Z564" s="946" t="e">
        <f>VLOOKUP(X564,R_DD!$B$6:$E$2112,3,0)</f>
        <v>#N/A</v>
      </c>
      <c r="AA564" s="946" t="e">
        <f>VLOOKUP(Y564,R_DD!$A$1:$L$2131,4,0)</f>
        <v>#N/A</v>
      </c>
      <c r="AB564" s="947" t="e">
        <f>VLOOKUP(Y564,R_DD!$A$1:$L$2131,5,0)</f>
        <v>#N/A</v>
      </c>
      <c r="AC564" s="947" t="e">
        <f>VLOOKUP(X564,R_DD!$B$6:$E$2112,4,0)</f>
        <v>#N/A</v>
      </c>
    </row>
    <row r="565" spans="22:29" ht="20.100000000000001" customHeight="1">
      <c r="V565" s="944" t="e">
        <f>VLOOKUP(U565,R_DD!$B$6:$E$2112,3,0)</f>
        <v>#N/A</v>
      </c>
      <c r="W565" s="943" t="e">
        <f>VLOOKUP(U565,R_DD!$B$6:$E$2112,4,0)</f>
        <v>#N/A</v>
      </c>
      <c r="Z565" s="946" t="e">
        <f>VLOOKUP(X565,R_DD!$B$6:$E$2112,3,0)</f>
        <v>#N/A</v>
      </c>
      <c r="AA565" s="946" t="e">
        <f>VLOOKUP(Y565,R_DD!$A$1:$L$2131,4,0)</f>
        <v>#N/A</v>
      </c>
      <c r="AB565" s="947" t="e">
        <f>VLOOKUP(Y565,R_DD!$A$1:$L$2131,5,0)</f>
        <v>#N/A</v>
      </c>
      <c r="AC565" s="947" t="e">
        <f>VLOOKUP(X565,R_DD!$B$6:$E$2112,4,0)</f>
        <v>#N/A</v>
      </c>
    </row>
    <row r="566" spans="22:29" ht="20.100000000000001" customHeight="1">
      <c r="V566" s="944" t="e">
        <f>VLOOKUP(U566,R_DD!$B$6:$E$2112,3,0)</f>
        <v>#N/A</v>
      </c>
      <c r="W566" s="943" t="e">
        <f>VLOOKUP(U566,R_DD!$B$6:$E$2112,4,0)</f>
        <v>#N/A</v>
      </c>
      <c r="Z566" s="946" t="e">
        <f>VLOOKUP(X566,R_DD!$B$6:$E$2112,3,0)</f>
        <v>#N/A</v>
      </c>
      <c r="AA566" s="946" t="e">
        <f>VLOOKUP(Y566,R_DD!$A$1:$L$2131,4,0)</f>
        <v>#N/A</v>
      </c>
      <c r="AB566" s="947" t="e">
        <f>VLOOKUP(Y566,R_DD!$A$1:$L$2131,5,0)</f>
        <v>#N/A</v>
      </c>
      <c r="AC566" s="947" t="e">
        <f>VLOOKUP(X566,R_DD!$B$6:$E$2112,4,0)</f>
        <v>#N/A</v>
      </c>
    </row>
    <row r="567" spans="22:29" ht="20.100000000000001" customHeight="1">
      <c r="V567" s="944" t="e">
        <f>VLOOKUP(U567,R_DD!$B$6:$E$2112,3,0)</f>
        <v>#N/A</v>
      </c>
      <c r="W567" s="943" t="e">
        <f>VLOOKUP(U567,R_DD!$B$6:$E$2112,4,0)</f>
        <v>#N/A</v>
      </c>
      <c r="Z567" s="946" t="e">
        <f>VLOOKUP(X567,R_DD!$B$6:$E$2112,3,0)</f>
        <v>#N/A</v>
      </c>
      <c r="AA567" s="946" t="e">
        <f>VLOOKUP(Y567,R_DD!$A$1:$L$2131,4,0)</f>
        <v>#N/A</v>
      </c>
      <c r="AB567" s="947" t="e">
        <f>VLOOKUP(Y567,R_DD!$A$1:$L$2131,5,0)</f>
        <v>#N/A</v>
      </c>
      <c r="AC567" s="947" t="e">
        <f>VLOOKUP(X567,R_DD!$B$6:$E$2112,4,0)</f>
        <v>#N/A</v>
      </c>
    </row>
    <row r="568" spans="22:29" ht="20.100000000000001" customHeight="1">
      <c r="V568" s="944" t="e">
        <f>VLOOKUP(U568,R_DD!$B$6:$E$2112,3,0)</f>
        <v>#N/A</v>
      </c>
      <c r="W568" s="943" t="e">
        <f>VLOOKUP(U568,R_DD!$B$6:$E$2112,4,0)</f>
        <v>#N/A</v>
      </c>
      <c r="Z568" s="946" t="e">
        <f>VLOOKUP(X568,R_DD!$B$6:$E$2112,3,0)</f>
        <v>#N/A</v>
      </c>
      <c r="AA568" s="946" t="e">
        <f>VLOOKUP(Y568,R_DD!$A$1:$L$2131,4,0)</f>
        <v>#N/A</v>
      </c>
      <c r="AB568" s="947" t="e">
        <f>VLOOKUP(Y568,R_DD!$A$1:$L$2131,5,0)</f>
        <v>#N/A</v>
      </c>
      <c r="AC568" s="947" t="e">
        <f>VLOOKUP(X568,R_DD!$B$6:$E$2112,4,0)</f>
        <v>#N/A</v>
      </c>
    </row>
    <row r="569" spans="22:29" ht="20.100000000000001" customHeight="1">
      <c r="V569" s="944" t="e">
        <f>VLOOKUP(U569,R_DD!$B$6:$E$2112,3,0)</f>
        <v>#N/A</v>
      </c>
      <c r="W569" s="943" t="e">
        <f>VLOOKUP(U569,R_DD!$B$6:$E$2112,4,0)</f>
        <v>#N/A</v>
      </c>
      <c r="Z569" s="946" t="e">
        <f>VLOOKUP(X569,R_DD!$B$6:$E$2112,3,0)</f>
        <v>#N/A</v>
      </c>
      <c r="AA569" s="946" t="e">
        <f>VLOOKUP(Y569,R_DD!$A$1:$L$2131,4,0)</f>
        <v>#N/A</v>
      </c>
      <c r="AB569" s="947" t="e">
        <f>VLOOKUP(Y569,R_DD!$A$1:$L$2131,5,0)</f>
        <v>#N/A</v>
      </c>
      <c r="AC569" s="947" t="e">
        <f>VLOOKUP(X569,R_DD!$B$6:$E$2112,4,0)</f>
        <v>#N/A</v>
      </c>
    </row>
    <row r="570" spans="22:29" ht="20.100000000000001" customHeight="1">
      <c r="V570" s="944" t="e">
        <f>VLOOKUP(U570,R_DD!$B$6:$E$2112,3,0)</f>
        <v>#N/A</v>
      </c>
      <c r="W570" s="943" t="e">
        <f>VLOOKUP(U570,R_DD!$B$6:$E$2112,4,0)</f>
        <v>#N/A</v>
      </c>
      <c r="Z570" s="946" t="e">
        <f>VLOOKUP(X570,R_DD!$B$6:$E$2112,3,0)</f>
        <v>#N/A</v>
      </c>
      <c r="AA570" s="946" t="e">
        <f>VLOOKUP(Y570,R_DD!$A$1:$L$2131,4,0)</f>
        <v>#N/A</v>
      </c>
      <c r="AB570" s="947" t="e">
        <f>VLOOKUP(Y570,R_DD!$A$1:$L$2131,5,0)</f>
        <v>#N/A</v>
      </c>
      <c r="AC570" s="947" t="e">
        <f>VLOOKUP(X570,R_DD!$B$6:$E$2112,4,0)</f>
        <v>#N/A</v>
      </c>
    </row>
    <row r="571" spans="22:29" ht="20.100000000000001" customHeight="1">
      <c r="V571" s="944" t="e">
        <f>VLOOKUP(U571,R_DD!$B$6:$E$2112,3,0)</f>
        <v>#N/A</v>
      </c>
      <c r="W571" s="943" t="e">
        <f>VLOOKUP(U571,R_DD!$B$6:$E$2112,4,0)</f>
        <v>#N/A</v>
      </c>
      <c r="Z571" s="946" t="e">
        <f>VLOOKUP(X571,R_DD!$B$6:$E$2112,3,0)</f>
        <v>#N/A</v>
      </c>
      <c r="AA571" s="946" t="e">
        <f>VLOOKUP(Y571,R_DD!$A$1:$L$2131,4,0)</f>
        <v>#N/A</v>
      </c>
      <c r="AB571" s="947" t="e">
        <f>VLOOKUP(Y571,R_DD!$A$1:$L$2131,5,0)</f>
        <v>#N/A</v>
      </c>
      <c r="AC571" s="947" t="e">
        <f>VLOOKUP(X571,R_DD!$B$6:$E$2112,4,0)</f>
        <v>#N/A</v>
      </c>
    </row>
    <row r="572" spans="22:29" ht="20.100000000000001" customHeight="1">
      <c r="V572" s="944" t="e">
        <f>VLOOKUP(U572,R_DD!$B$6:$E$2112,3,0)</f>
        <v>#N/A</v>
      </c>
      <c r="W572" s="943" t="e">
        <f>VLOOKUP(U572,R_DD!$B$6:$E$2112,4,0)</f>
        <v>#N/A</v>
      </c>
      <c r="Z572" s="946" t="e">
        <f>VLOOKUP(X572,R_DD!$B$6:$E$2112,3,0)</f>
        <v>#N/A</v>
      </c>
      <c r="AA572" s="946" t="e">
        <f>VLOOKUP(Y572,R_DD!$A$1:$L$2131,4,0)</f>
        <v>#N/A</v>
      </c>
      <c r="AB572" s="947" t="e">
        <f>VLOOKUP(Y572,R_DD!$A$1:$L$2131,5,0)</f>
        <v>#N/A</v>
      </c>
      <c r="AC572" s="947" t="e">
        <f>VLOOKUP(X572,R_DD!$B$6:$E$2112,4,0)</f>
        <v>#N/A</v>
      </c>
    </row>
    <row r="573" spans="22:29" ht="20.100000000000001" customHeight="1">
      <c r="V573" s="944" t="e">
        <f>VLOOKUP(U573,R_DD!$B$6:$E$2112,3,0)</f>
        <v>#N/A</v>
      </c>
      <c r="W573" s="943" t="e">
        <f>VLOOKUP(U573,R_DD!$B$6:$E$2112,4,0)</f>
        <v>#N/A</v>
      </c>
      <c r="Z573" s="946" t="e">
        <f>VLOOKUP(X573,R_DD!$B$6:$E$2112,3,0)</f>
        <v>#N/A</v>
      </c>
      <c r="AA573" s="946" t="e">
        <f>VLOOKUP(Y573,R_DD!$A$1:$L$2131,4,0)</f>
        <v>#N/A</v>
      </c>
      <c r="AB573" s="947" t="e">
        <f>VLOOKUP(Y573,R_DD!$A$1:$L$2131,5,0)</f>
        <v>#N/A</v>
      </c>
      <c r="AC573" s="947" t="e">
        <f>VLOOKUP(X573,R_DD!$B$6:$E$2112,4,0)</f>
        <v>#N/A</v>
      </c>
    </row>
    <row r="574" spans="22:29" ht="20.100000000000001" customHeight="1">
      <c r="V574" s="944" t="e">
        <f>VLOOKUP(U574,R_DD!$B$6:$E$2112,3,0)</f>
        <v>#N/A</v>
      </c>
      <c r="W574" s="943" t="e">
        <f>VLOOKUP(U574,R_DD!$B$6:$E$2112,4,0)</f>
        <v>#N/A</v>
      </c>
      <c r="Z574" s="946" t="e">
        <f>VLOOKUP(X574,R_DD!$B$6:$E$2112,3,0)</f>
        <v>#N/A</v>
      </c>
      <c r="AA574" s="946" t="e">
        <f>VLOOKUP(Y574,R_DD!$A$1:$L$2131,4,0)</f>
        <v>#N/A</v>
      </c>
      <c r="AB574" s="947" t="e">
        <f>VLOOKUP(Y574,R_DD!$A$1:$L$2131,5,0)</f>
        <v>#N/A</v>
      </c>
      <c r="AC574" s="947" t="e">
        <f>VLOOKUP(X574,R_DD!$B$6:$E$2112,4,0)</f>
        <v>#N/A</v>
      </c>
    </row>
    <row r="575" spans="22:29" ht="20.100000000000001" customHeight="1">
      <c r="V575" s="944" t="e">
        <f>VLOOKUP(U575,R_DD!$B$6:$E$2112,3,0)</f>
        <v>#N/A</v>
      </c>
      <c r="W575" s="943" t="e">
        <f>VLOOKUP(U575,R_DD!$B$6:$E$2112,4,0)</f>
        <v>#N/A</v>
      </c>
      <c r="Z575" s="946" t="e">
        <f>VLOOKUP(X575,R_DD!$B$6:$E$2112,3,0)</f>
        <v>#N/A</v>
      </c>
      <c r="AA575" s="946" t="e">
        <f>VLOOKUP(Y575,R_DD!$A$1:$L$2131,4,0)</f>
        <v>#N/A</v>
      </c>
      <c r="AB575" s="947" t="e">
        <f>VLOOKUP(Y575,R_DD!$A$1:$L$2131,5,0)</f>
        <v>#N/A</v>
      </c>
      <c r="AC575" s="947" t="e">
        <f>VLOOKUP(X575,R_DD!$B$6:$E$2112,4,0)</f>
        <v>#N/A</v>
      </c>
    </row>
    <row r="576" spans="22:29" ht="20.100000000000001" customHeight="1">
      <c r="V576" s="944" t="e">
        <f>VLOOKUP(U576,R_DD!$B$6:$E$2112,3,0)</f>
        <v>#N/A</v>
      </c>
      <c r="W576" s="943" t="e">
        <f>VLOOKUP(U576,R_DD!$B$6:$E$2112,4,0)</f>
        <v>#N/A</v>
      </c>
      <c r="Z576" s="946" t="e">
        <f>VLOOKUP(X576,R_DD!$B$6:$E$2112,3,0)</f>
        <v>#N/A</v>
      </c>
      <c r="AA576" s="946" t="e">
        <f>VLOOKUP(Y576,R_DD!$A$1:$L$2131,4,0)</f>
        <v>#N/A</v>
      </c>
      <c r="AB576" s="947" t="e">
        <f>VLOOKUP(Y576,R_DD!$A$1:$L$2131,5,0)</f>
        <v>#N/A</v>
      </c>
      <c r="AC576" s="947" t="e">
        <f>VLOOKUP(X576,R_DD!$B$6:$E$2112,4,0)</f>
        <v>#N/A</v>
      </c>
    </row>
    <row r="577" spans="22:29" ht="20.100000000000001" customHeight="1">
      <c r="V577" s="944" t="e">
        <f>VLOOKUP(U577,R_DD!$B$6:$E$2112,3,0)</f>
        <v>#N/A</v>
      </c>
      <c r="W577" s="943" t="e">
        <f>VLOOKUP(U577,R_DD!$B$6:$E$2112,4,0)</f>
        <v>#N/A</v>
      </c>
      <c r="Z577" s="946" t="e">
        <f>VLOOKUP(X577,R_DD!$B$6:$E$2112,3,0)</f>
        <v>#N/A</v>
      </c>
      <c r="AA577" s="946" t="e">
        <f>VLOOKUP(Y577,R_DD!$A$1:$L$2131,4,0)</f>
        <v>#N/A</v>
      </c>
      <c r="AB577" s="947" t="e">
        <f>VLOOKUP(Y577,R_DD!$A$1:$L$2131,5,0)</f>
        <v>#N/A</v>
      </c>
      <c r="AC577" s="947" t="e">
        <f>VLOOKUP(X577,R_DD!$B$6:$E$2112,4,0)</f>
        <v>#N/A</v>
      </c>
    </row>
    <row r="578" spans="22:29" ht="20.100000000000001" customHeight="1">
      <c r="V578" s="944" t="e">
        <f>VLOOKUP(U578,R_DD!$B$6:$E$2112,3,0)</f>
        <v>#N/A</v>
      </c>
      <c r="W578" s="943" t="e">
        <f>VLOOKUP(U578,R_DD!$B$6:$E$2112,4,0)</f>
        <v>#N/A</v>
      </c>
      <c r="Z578" s="946" t="e">
        <f>VLOOKUP(X578,R_DD!$B$6:$E$2112,3,0)</f>
        <v>#N/A</v>
      </c>
      <c r="AA578" s="946" t="e">
        <f>VLOOKUP(Y578,R_DD!$A$1:$L$2131,4,0)</f>
        <v>#N/A</v>
      </c>
      <c r="AB578" s="947" t="e">
        <f>VLOOKUP(Y578,R_DD!$A$1:$L$2131,5,0)</f>
        <v>#N/A</v>
      </c>
      <c r="AC578" s="947" t="e">
        <f>VLOOKUP(X578,R_DD!$B$6:$E$2112,4,0)</f>
        <v>#N/A</v>
      </c>
    </row>
    <row r="579" spans="22:29" ht="20.100000000000001" customHeight="1">
      <c r="V579" s="944" t="e">
        <f>VLOOKUP(U579,R_DD!$B$6:$E$2112,3,0)</f>
        <v>#N/A</v>
      </c>
      <c r="W579" s="943" t="e">
        <f>VLOOKUP(U579,R_DD!$B$6:$E$2112,4,0)</f>
        <v>#N/A</v>
      </c>
      <c r="Z579" s="946" t="e">
        <f>VLOOKUP(X579,R_DD!$B$6:$E$2112,3,0)</f>
        <v>#N/A</v>
      </c>
      <c r="AA579" s="946" t="e">
        <f>VLOOKUP(Y579,R_DD!$A$1:$L$2131,4,0)</f>
        <v>#N/A</v>
      </c>
      <c r="AB579" s="947" t="e">
        <f>VLOOKUP(Y579,R_DD!$A$1:$L$2131,5,0)</f>
        <v>#N/A</v>
      </c>
      <c r="AC579" s="947" t="e">
        <f>VLOOKUP(X579,R_DD!$B$6:$E$2112,4,0)</f>
        <v>#N/A</v>
      </c>
    </row>
    <row r="580" spans="22:29" ht="20.100000000000001" customHeight="1">
      <c r="V580" s="944" t="e">
        <f>VLOOKUP(U580,R_DD!$B$6:$E$2112,3,0)</f>
        <v>#N/A</v>
      </c>
      <c r="W580" s="943" t="e">
        <f>VLOOKUP(U580,R_DD!$B$6:$E$2112,4,0)</f>
        <v>#N/A</v>
      </c>
      <c r="Z580" s="946" t="e">
        <f>VLOOKUP(X580,R_DD!$B$6:$E$2112,3,0)</f>
        <v>#N/A</v>
      </c>
      <c r="AA580" s="946" t="e">
        <f>VLOOKUP(Y580,R_DD!$A$1:$L$2131,4,0)</f>
        <v>#N/A</v>
      </c>
      <c r="AB580" s="947" t="e">
        <f>VLOOKUP(Y580,R_DD!$A$1:$L$2131,5,0)</f>
        <v>#N/A</v>
      </c>
      <c r="AC580" s="947" t="e">
        <f>VLOOKUP(X580,R_DD!$B$6:$E$2112,4,0)</f>
        <v>#N/A</v>
      </c>
    </row>
    <row r="581" spans="22:29" ht="20.100000000000001" customHeight="1">
      <c r="V581" s="944" t="e">
        <f>VLOOKUP(U581,R_DD!$B$6:$E$2112,3,0)</f>
        <v>#N/A</v>
      </c>
      <c r="W581" s="943" t="e">
        <f>VLOOKUP(U581,R_DD!$B$6:$E$2112,4,0)</f>
        <v>#N/A</v>
      </c>
      <c r="Z581" s="946" t="e">
        <f>VLOOKUP(X581,R_DD!$B$6:$E$2112,3,0)</f>
        <v>#N/A</v>
      </c>
      <c r="AA581" s="946" t="e">
        <f>VLOOKUP(Y581,R_DD!$A$1:$L$2131,4,0)</f>
        <v>#N/A</v>
      </c>
      <c r="AB581" s="947" t="e">
        <f>VLOOKUP(Y581,R_DD!$A$1:$L$2131,5,0)</f>
        <v>#N/A</v>
      </c>
      <c r="AC581" s="947" t="e">
        <f>VLOOKUP(X581,R_DD!$B$6:$E$2112,4,0)</f>
        <v>#N/A</v>
      </c>
    </row>
    <row r="582" spans="22:29" ht="20.100000000000001" customHeight="1">
      <c r="V582" s="944" t="e">
        <f>VLOOKUP(U582,R_DD!$B$6:$E$2112,3,0)</f>
        <v>#N/A</v>
      </c>
      <c r="W582" s="943" t="e">
        <f>VLOOKUP(U582,R_DD!$B$6:$E$2112,4,0)</f>
        <v>#N/A</v>
      </c>
      <c r="Z582" s="946" t="e">
        <f>VLOOKUP(X582,R_DD!$B$6:$E$2112,3,0)</f>
        <v>#N/A</v>
      </c>
      <c r="AA582" s="946" t="e">
        <f>VLOOKUP(Y582,R_DD!$A$1:$L$2131,4,0)</f>
        <v>#N/A</v>
      </c>
      <c r="AB582" s="947" t="e">
        <f>VLOOKUP(Y582,R_DD!$A$1:$L$2131,5,0)</f>
        <v>#N/A</v>
      </c>
      <c r="AC582" s="947" t="e">
        <f>VLOOKUP(X582,R_DD!$B$6:$E$2112,4,0)</f>
        <v>#N/A</v>
      </c>
    </row>
    <row r="583" spans="22:29" ht="20.100000000000001" customHeight="1">
      <c r="V583" s="944" t="e">
        <f>VLOOKUP(U583,R_DD!$B$6:$E$2112,3,0)</f>
        <v>#N/A</v>
      </c>
      <c r="W583" s="943" t="e">
        <f>VLOOKUP(U583,R_DD!$B$6:$E$2112,4,0)</f>
        <v>#N/A</v>
      </c>
      <c r="Z583" s="946" t="e">
        <f>VLOOKUP(X583,R_DD!$B$6:$E$2112,3,0)</f>
        <v>#N/A</v>
      </c>
      <c r="AA583" s="946" t="e">
        <f>VLOOKUP(Y583,R_DD!$A$1:$L$2131,4,0)</f>
        <v>#N/A</v>
      </c>
      <c r="AB583" s="947" t="e">
        <f>VLOOKUP(Y583,R_DD!$A$1:$L$2131,5,0)</f>
        <v>#N/A</v>
      </c>
      <c r="AC583" s="947" t="e">
        <f>VLOOKUP(X583,R_DD!$B$6:$E$2112,4,0)</f>
        <v>#N/A</v>
      </c>
    </row>
    <row r="584" spans="22:29" ht="20.100000000000001" customHeight="1">
      <c r="V584" s="944" t="e">
        <f>VLOOKUP(U584,R_DD!$B$6:$E$2112,3,0)</f>
        <v>#N/A</v>
      </c>
      <c r="W584" s="943" t="e">
        <f>VLOOKUP(U584,R_DD!$B$6:$E$2112,4,0)</f>
        <v>#N/A</v>
      </c>
      <c r="Z584" s="946" t="e">
        <f>VLOOKUP(X584,R_DD!$B$6:$E$2112,3,0)</f>
        <v>#N/A</v>
      </c>
      <c r="AA584" s="946" t="e">
        <f>VLOOKUP(Y584,R_DD!$A$1:$L$2131,4,0)</f>
        <v>#N/A</v>
      </c>
      <c r="AB584" s="947" t="e">
        <f>VLOOKUP(Y584,R_DD!$A$1:$L$2131,5,0)</f>
        <v>#N/A</v>
      </c>
      <c r="AC584" s="947" t="e">
        <f>VLOOKUP(X584,R_DD!$B$6:$E$2112,4,0)</f>
        <v>#N/A</v>
      </c>
    </row>
    <row r="585" spans="22:29" ht="20.100000000000001" customHeight="1">
      <c r="V585" s="944" t="e">
        <f>VLOOKUP(U585,R_DD!$B$6:$E$2112,3,0)</f>
        <v>#N/A</v>
      </c>
      <c r="W585" s="943" t="e">
        <f>VLOOKUP(U585,R_DD!$B$6:$E$2112,4,0)</f>
        <v>#N/A</v>
      </c>
      <c r="Z585" s="946" t="e">
        <f>VLOOKUP(X585,R_DD!$B$6:$E$2112,3,0)</f>
        <v>#N/A</v>
      </c>
      <c r="AA585" s="946" t="e">
        <f>VLOOKUP(Y585,R_DD!$A$1:$L$2131,4,0)</f>
        <v>#N/A</v>
      </c>
      <c r="AB585" s="947" t="e">
        <f>VLOOKUP(Y585,R_DD!$A$1:$L$2131,5,0)</f>
        <v>#N/A</v>
      </c>
      <c r="AC585" s="947" t="e">
        <f>VLOOKUP(X585,R_DD!$B$6:$E$2112,4,0)</f>
        <v>#N/A</v>
      </c>
    </row>
    <row r="586" spans="22:29" ht="20.100000000000001" customHeight="1">
      <c r="V586" s="944" t="e">
        <f>VLOOKUP(U586,R_DD!$B$6:$E$2112,3,0)</f>
        <v>#N/A</v>
      </c>
      <c r="W586" s="943" t="e">
        <f>VLOOKUP(U586,R_DD!$B$6:$E$2112,4,0)</f>
        <v>#N/A</v>
      </c>
      <c r="Z586" s="946" t="e">
        <f>VLOOKUP(X586,R_DD!$B$6:$E$2112,3,0)</f>
        <v>#N/A</v>
      </c>
      <c r="AA586" s="946" t="e">
        <f>VLOOKUP(Y586,R_DD!$A$1:$L$2131,4,0)</f>
        <v>#N/A</v>
      </c>
      <c r="AB586" s="947" t="e">
        <f>VLOOKUP(Y586,R_DD!$A$1:$L$2131,5,0)</f>
        <v>#N/A</v>
      </c>
      <c r="AC586" s="947" t="e">
        <f>VLOOKUP(X586,R_DD!$B$6:$E$2112,4,0)</f>
        <v>#N/A</v>
      </c>
    </row>
    <row r="587" spans="22:29" ht="20.100000000000001" customHeight="1">
      <c r="V587" s="944" t="e">
        <f>VLOOKUP(U587,R_DD!$B$6:$E$2112,3,0)</f>
        <v>#N/A</v>
      </c>
      <c r="W587" s="943" t="e">
        <f>VLOOKUP(U587,R_DD!$B$6:$E$2112,4,0)</f>
        <v>#N/A</v>
      </c>
      <c r="Z587" s="946" t="e">
        <f>VLOOKUP(X587,R_DD!$B$6:$E$2112,3,0)</f>
        <v>#N/A</v>
      </c>
      <c r="AA587" s="946" t="e">
        <f>VLOOKUP(Y587,R_DD!$A$1:$L$2131,4,0)</f>
        <v>#N/A</v>
      </c>
      <c r="AB587" s="947" t="e">
        <f>VLOOKUP(Y587,R_DD!$A$1:$L$2131,5,0)</f>
        <v>#N/A</v>
      </c>
      <c r="AC587" s="947" t="e">
        <f>VLOOKUP(X587,R_DD!$B$6:$E$2112,4,0)</f>
        <v>#N/A</v>
      </c>
    </row>
    <row r="588" spans="22:29" ht="20.100000000000001" customHeight="1">
      <c r="V588" s="944" t="e">
        <f>VLOOKUP(U588,R_DD!$B$6:$E$2112,3,0)</f>
        <v>#N/A</v>
      </c>
      <c r="W588" s="943" t="e">
        <f>VLOOKUP(U588,R_DD!$B$6:$E$2112,4,0)</f>
        <v>#N/A</v>
      </c>
      <c r="Z588" s="946" t="e">
        <f>VLOOKUP(X588,R_DD!$B$6:$E$2112,3,0)</f>
        <v>#N/A</v>
      </c>
      <c r="AA588" s="946" t="e">
        <f>VLOOKUP(Y588,R_DD!$A$1:$L$2131,4,0)</f>
        <v>#N/A</v>
      </c>
      <c r="AB588" s="947" t="e">
        <f>VLOOKUP(Y588,R_DD!$A$1:$L$2131,5,0)</f>
        <v>#N/A</v>
      </c>
      <c r="AC588" s="947" t="e">
        <f>VLOOKUP(X588,R_DD!$B$6:$E$2112,4,0)</f>
        <v>#N/A</v>
      </c>
    </row>
    <row r="589" spans="22:29" ht="20.100000000000001" customHeight="1">
      <c r="V589" s="944" t="e">
        <f>VLOOKUP(U589,R_DD!$B$6:$E$2112,3,0)</f>
        <v>#N/A</v>
      </c>
      <c r="W589" s="943" t="e">
        <f>VLOOKUP(U589,R_DD!$B$6:$E$2112,4,0)</f>
        <v>#N/A</v>
      </c>
      <c r="Z589" s="946" t="e">
        <f>VLOOKUP(X589,R_DD!$B$6:$E$2112,3,0)</f>
        <v>#N/A</v>
      </c>
      <c r="AA589" s="946" t="e">
        <f>VLOOKUP(Y589,R_DD!$A$1:$L$2131,4,0)</f>
        <v>#N/A</v>
      </c>
      <c r="AB589" s="947" t="e">
        <f>VLOOKUP(Y589,R_DD!$A$1:$L$2131,5,0)</f>
        <v>#N/A</v>
      </c>
      <c r="AC589" s="947" t="e">
        <f>VLOOKUP(X589,R_DD!$B$6:$E$2112,4,0)</f>
        <v>#N/A</v>
      </c>
    </row>
    <row r="590" spans="22:29" ht="20.100000000000001" customHeight="1">
      <c r="V590" s="944" t="e">
        <f>VLOOKUP(U590,R_DD!$B$6:$E$2112,3,0)</f>
        <v>#N/A</v>
      </c>
      <c r="W590" s="943" t="e">
        <f>VLOOKUP(U590,R_DD!$B$6:$E$2112,4,0)</f>
        <v>#N/A</v>
      </c>
      <c r="Z590" s="946" t="e">
        <f>VLOOKUP(X590,R_DD!$B$6:$E$2112,3,0)</f>
        <v>#N/A</v>
      </c>
      <c r="AA590" s="946" t="e">
        <f>VLOOKUP(Y590,R_DD!$A$1:$L$2131,4,0)</f>
        <v>#N/A</v>
      </c>
      <c r="AB590" s="947" t="e">
        <f>VLOOKUP(Y590,R_DD!$A$1:$L$2131,5,0)</f>
        <v>#N/A</v>
      </c>
      <c r="AC590" s="947" t="e">
        <f>VLOOKUP(X590,R_DD!$B$6:$E$2112,4,0)</f>
        <v>#N/A</v>
      </c>
    </row>
    <row r="591" spans="22:29" ht="20.100000000000001" customHeight="1">
      <c r="V591" s="944" t="e">
        <f>VLOOKUP(U591,R_DD!$B$6:$E$2112,3,0)</f>
        <v>#N/A</v>
      </c>
      <c r="W591" s="943" t="e">
        <f>VLOOKUP(U591,R_DD!$B$6:$E$2112,4,0)</f>
        <v>#N/A</v>
      </c>
      <c r="Z591" s="946" t="e">
        <f>VLOOKUP(X591,R_DD!$B$6:$E$2112,3,0)</f>
        <v>#N/A</v>
      </c>
      <c r="AA591" s="946" t="e">
        <f>VLOOKUP(Y591,R_DD!$A$1:$L$2131,4,0)</f>
        <v>#N/A</v>
      </c>
      <c r="AB591" s="947" t="e">
        <f>VLOOKUP(Y591,R_DD!$A$1:$L$2131,5,0)</f>
        <v>#N/A</v>
      </c>
      <c r="AC591" s="947" t="e">
        <f>VLOOKUP(X591,R_DD!$B$6:$E$2112,4,0)</f>
        <v>#N/A</v>
      </c>
    </row>
    <row r="592" spans="22:29" ht="20.100000000000001" customHeight="1">
      <c r="V592" s="944" t="e">
        <f>VLOOKUP(U592,R_DD!$B$6:$E$2112,3,0)</f>
        <v>#N/A</v>
      </c>
      <c r="W592" s="943" t="e">
        <f>VLOOKUP(U592,R_DD!$B$6:$E$2112,4,0)</f>
        <v>#N/A</v>
      </c>
      <c r="Z592" s="946" t="e">
        <f>VLOOKUP(X592,R_DD!$B$6:$E$2112,3,0)</f>
        <v>#N/A</v>
      </c>
      <c r="AA592" s="946" t="e">
        <f>VLOOKUP(Y592,R_DD!$A$1:$L$2131,4,0)</f>
        <v>#N/A</v>
      </c>
      <c r="AB592" s="947" t="e">
        <f>VLOOKUP(Y592,R_DD!$A$1:$L$2131,5,0)</f>
        <v>#N/A</v>
      </c>
      <c r="AC592" s="947" t="e">
        <f>VLOOKUP(X592,R_DD!$B$6:$E$2112,4,0)</f>
        <v>#N/A</v>
      </c>
    </row>
    <row r="593" spans="22:29" ht="20.100000000000001" customHeight="1">
      <c r="V593" s="944" t="e">
        <f>VLOOKUP(U593,R_DD!$B$6:$E$2112,3,0)</f>
        <v>#N/A</v>
      </c>
      <c r="W593" s="943" t="e">
        <f>VLOOKUP(U593,R_DD!$B$6:$E$2112,4,0)</f>
        <v>#N/A</v>
      </c>
      <c r="Z593" s="946" t="e">
        <f>VLOOKUP(X593,R_DD!$B$6:$E$2112,3,0)</f>
        <v>#N/A</v>
      </c>
      <c r="AA593" s="946" t="e">
        <f>VLOOKUP(Y593,R_DD!$A$1:$L$2131,4,0)</f>
        <v>#N/A</v>
      </c>
      <c r="AB593" s="947" t="e">
        <f>VLOOKUP(Y593,R_DD!$A$1:$L$2131,5,0)</f>
        <v>#N/A</v>
      </c>
      <c r="AC593" s="947" t="e">
        <f>VLOOKUP(X593,R_DD!$B$6:$E$2112,4,0)</f>
        <v>#N/A</v>
      </c>
    </row>
    <row r="594" spans="22:29" ht="20.100000000000001" customHeight="1">
      <c r="V594" s="944" t="e">
        <f>VLOOKUP(U594,R_DD!$B$6:$E$2112,3,0)</f>
        <v>#N/A</v>
      </c>
      <c r="W594" s="943" t="e">
        <f>VLOOKUP(U594,R_DD!$B$6:$E$2112,4,0)</f>
        <v>#N/A</v>
      </c>
      <c r="Z594" s="946" t="e">
        <f>VLOOKUP(X594,R_DD!$B$6:$E$2112,3,0)</f>
        <v>#N/A</v>
      </c>
      <c r="AA594" s="946" t="e">
        <f>VLOOKUP(Y594,R_DD!$A$1:$L$2131,4,0)</f>
        <v>#N/A</v>
      </c>
      <c r="AB594" s="947" t="e">
        <f>VLOOKUP(Y594,R_DD!$A$1:$L$2131,5,0)</f>
        <v>#N/A</v>
      </c>
      <c r="AC594" s="947" t="e">
        <f>VLOOKUP(X594,R_DD!$B$6:$E$2112,4,0)</f>
        <v>#N/A</v>
      </c>
    </row>
    <row r="595" spans="22:29" ht="20.100000000000001" customHeight="1">
      <c r="V595" s="944" t="e">
        <f>VLOOKUP(U595,R_DD!$B$6:$E$2112,3,0)</f>
        <v>#N/A</v>
      </c>
      <c r="W595" s="943" t="e">
        <f>VLOOKUP(U595,R_DD!$B$6:$E$2112,4,0)</f>
        <v>#N/A</v>
      </c>
      <c r="Z595" s="946" t="e">
        <f>VLOOKUP(X595,R_DD!$B$6:$E$2112,3,0)</f>
        <v>#N/A</v>
      </c>
      <c r="AA595" s="946" t="e">
        <f>VLOOKUP(Y595,R_DD!$A$1:$L$2131,4,0)</f>
        <v>#N/A</v>
      </c>
      <c r="AB595" s="947" t="e">
        <f>VLOOKUP(Y595,R_DD!$A$1:$L$2131,5,0)</f>
        <v>#N/A</v>
      </c>
      <c r="AC595" s="947" t="e">
        <f>VLOOKUP(X595,R_DD!$B$6:$E$2112,4,0)</f>
        <v>#N/A</v>
      </c>
    </row>
    <row r="596" spans="22:29" ht="20.100000000000001" customHeight="1">
      <c r="V596" s="944" t="e">
        <f>VLOOKUP(U596,R_DD!$B$6:$E$2112,3,0)</f>
        <v>#N/A</v>
      </c>
      <c r="W596" s="943" t="e">
        <f>VLOOKUP(U596,R_DD!$B$6:$E$2112,4,0)</f>
        <v>#N/A</v>
      </c>
      <c r="Z596" s="946" t="e">
        <f>VLOOKUP(X596,R_DD!$B$6:$E$2112,3,0)</f>
        <v>#N/A</v>
      </c>
      <c r="AA596" s="946" t="e">
        <f>VLOOKUP(Y596,R_DD!$A$1:$L$2131,4,0)</f>
        <v>#N/A</v>
      </c>
      <c r="AB596" s="947" t="e">
        <f>VLOOKUP(Y596,R_DD!$A$1:$L$2131,5,0)</f>
        <v>#N/A</v>
      </c>
      <c r="AC596" s="947" t="e">
        <f>VLOOKUP(X596,R_DD!$B$6:$E$2112,4,0)</f>
        <v>#N/A</v>
      </c>
    </row>
    <row r="597" spans="22:29" ht="20.100000000000001" customHeight="1">
      <c r="V597" s="944" t="e">
        <f>VLOOKUP(U597,R_DD!$B$6:$E$2112,3,0)</f>
        <v>#N/A</v>
      </c>
      <c r="W597" s="943" t="e">
        <f>VLOOKUP(U597,R_DD!$B$6:$E$2112,4,0)</f>
        <v>#N/A</v>
      </c>
      <c r="Z597" s="946" t="e">
        <f>VLOOKUP(X597,R_DD!$B$6:$E$2112,3,0)</f>
        <v>#N/A</v>
      </c>
      <c r="AA597" s="946" t="e">
        <f>VLOOKUP(Y597,R_DD!$A$1:$L$2131,4,0)</f>
        <v>#N/A</v>
      </c>
      <c r="AB597" s="947" t="e">
        <f>VLOOKUP(Y597,R_DD!$A$1:$L$2131,5,0)</f>
        <v>#N/A</v>
      </c>
      <c r="AC597" s="947" t="e">
        <f>VLOOKUP(X597,R_DD!$B$6:$E$2112,4,0)</f>
        <v>#N/A</v>
      </c>
    </row>
    <row r="598" spans="22:29" ht="20.100000000000001" customHeight="1">
      <c r="V598" s="944" t="e">
        <f>VLOOKUP(U598,R_DD!$B$6:$E$2112,3,0)</f>
        <v>#N/A</v>
      </c>
      <c r="W598" s="943" t="e">
        <f>VLOOKUP(U598,R_DD!$B$6:$E$2112,4,0)</f>
        <v>#N/A</v>
      </c>
      <c r="Z598" s="946" t="e">
        <f>VLOOKUP(X598,R_DD!$B$6:$E$2112,3,0)</f>
        <v>#N/A</v>
      </c>
      <c r="AA598" s="946" t="e">
        <f>VLOOKUP(Y598,R_DD!$A$1:$L$2131,4,0)</f>
        <v>#N/A</v>
      </c>
      <c r="AB598" s="947" t="e">
        <f>VLOOKUP(Y598,R_DD!$A$1:$L$2131,5,0)</f>
        <v>#N/A</v>
      </c>
      <c r="AC598" s="947" t="e">
        <f>VLOOKUP(X598,R_DD!$B$6:$E$2112,4,0)</f>
        <v>#N/A</v>
      </c>
    </row>
    <row r="599" spans="22:29" ht="20.100000000000001" customHeight="1">
      <c r="V599" s="944" t="e">
        <f>VLOOKUP(U599,R_DD!$B$6:$E$2112,3,0)</f>
        <v>#N/A</v>
      </c>
      <c r="W599" s="943" t="e">
        <f>VLOOKUP(U599,R_DD!$B$6:$E$2112,4,0)</f>
        <v>#N/A</v>
      </c>
      <c r="Z599" s="946" t="e">
        <f>VLOOKUP(X599,R_DD!$B$6:$E$2112,3,0)</f>
        <v>#N/A</v>
      </c>
      <c r="AA599" s="946" t="e">
        <f>VLOOKUP(Y599,R_DD!$A$1:$L$2131,4,0)</f>
        <v>#N/A</v>
      </c>
      <c r="AB599" s="947" t="e">
        <f>VLOOKUP(Y599,R_DD!$A$1:$L$2131,5,0)</f>
        <v>#N/A</v>
      </c>
      <c r="AC599" s="947" t="e">
        <f>VLOOKUP(X599,R_DD!$B$6:$E$2112,4,0)</f>
        <v>#N/A</v>
      </c>
    </row>
    <row r="600" spans="22:29" ht="20.100000000000001" customHeight="1">
      <c r="V600" s="944" t="e">
        <f>VLOOKUP(U600,R_DD!$B$6:$E$2112,3,0)</f>
        <v>#N/A</v>
      </c>
      <c r="W600" s="943" t="e">
        <f>VLOOKUP(U600,R_DD!$B$6:$E$2112,4,0)</f>
        <v>#N/A</v>
      </c>
      <c r="Z600" s="946" t="e">
        <f>VLOOKUP(X600,R_DD!$B$6:$E$2112,3,0)</f>
        <v>#N/A</v>
      </c>
      <c r="AA600" s="946" t="e">
        <f>VLOOKUP(Y600,R_DD!$A$1:$L$2131,4,0)</f>
        <v>#N/A</v>
      </c>
      <c r="AB600" s="947" t="e">
        <f>VLOOKUP(Y600,R_DD!$A$1:$L$2131,5,0)</f>
        <v>#N/A</v>
      </c>
      <c r="AC600" s="947" t="e">
        <f>VLOOKUP(X600,R_DD!$B$6:$E$2112,4,0)</f>
        <v>#N/A</v>
      </c>
    </row>
    <row r="601" spans="22:29" ht="20.100000000000001" customHeight="1">
      <c r="V601" s="944" t="e">
        <f>VLOOKUP(U601,R_DD!$B$6:$E$2112,3,0)</f>
        <v>#N/A</v>
      </c>
      <c r="W601" s="943" t="e">
        <f>VLOOKUP(U601,R_DD!$B$6:$E$2112,4,0)</f>
        <v>#N/A</v>
      </c>
      <c r="Z601" s="946" t="e">
        <f>VLOOKUP(X601,R_DD!$B$6:$E$2112,3,0)</f>
        <v>#N/A</v>
      </c>
      <c r="AA601" s="946" t="e">
        <f>VLOOKUP(Y601,R_DD!$A$1:$L$2131,4,0)</f>
        <v>#N/A</v>
      </c>
      <c r="AB601" s="947" t="e">
        <f>VLOOKUP(Y601,R_DD!$A$1:$L$2131,5,0)</f>
        <v>#N/A</v>
      </c>
      <c r="AC601" s="947" t="e">
        <f>VLOOKUP(X601,R_DD!$B$6:$E$2112,4,0)</f>
        <v>#N/A</v>
      </c>
    </row>
    <row r="602" spans="22:29" ht="20.100000000000001" customHeight="1">
      <c r="V602" s="944" t="e">
        <f>VLOOKUP(U602,R_DD!$B$6:$E$2112,3,0)</f>
        <v>#N/A</v>
      </c>
      <c r="W602" s="943" t="e">
        <f>VLOOKUP(U602,R_DD!$B$6:$E$2112,4,0)</f>
        <v>#N/A</v>
      </c>
      <c r="Z602" s="946" t="e">
        <f>VLOOKUP(X602,R_DD!$B$6:$E$2112,3,0)</f>
        <v>#N/A</v>
      </c>
      <c r="AA602" s="946" t="e">
        <f>VLOOKUP(Y602,R_DD!$A$1:$L$2131,4,0)</f>
        <v>#N/A</v>
      </c>
      <c r="AB602" s="947" t="e">
        <f>VLOOKUP(Y602,R_DD!$A$1:$L$2131,5,0)</f>
        <v>#N/A</v>
      </c>
      <c r="AC602" s="947" t="e">
        <f>VLOOKUP(X602,R_DD!$B$6:$E$2112,4,0)</f>
        <v>#N/A</v>
      </c>
    </row>
    <row r="603" spans="22:29" ht="20.100000000000001" customHeight="1">
      <c r="V603" s="944" t="e">
        <f>VLOOKUP(U603,R_DD!$B$6:$E$2112,3,0)</f>
        <v>#N/A</v>
      </c>
      <c r="W603" s="943" t="e">
        <f>VLOOKUP(U603,R_DD!$B$6:$E$2112,4,0)</f>
        <v>#N/A</v>
      </c>
      <c r="Z603" s="946" t="e">
        <f>VLOOKUP(X603,R_DD!$B$6:$E$2112,3,0)</f>
        <v>#N/A</v>
      </c>
      <c r="AA603" s="946" t="e">
        <f>VLOOKUP(Y603,R_DD!$A$1:$L$2131,4,0)</f>
        <v>#N/A</v>
      </c>
      <c r="AB603" s="947" t="e">
        <f>VLOOKUP(Y603,R_DD!$A$1:$L$2131,5,0)</f>
        <v>#N/A</v>
      </c>
      <c r="AC603" s="947" t="e">
        <f>VLOOKUP(X603,R_DD!$B$6:$E$2112,4,0)</f>
        <v>#N/A</v>
      </c>
    </row>
    <row r="604" spans="22:29" ht="20.100000000000001" customHeight="1">
      <c r="V604" s="944" t="e">
        <f>VLOOKUP(U604,R_DD!$B$6:$E$2112,3,0)</f>
        <v>#N/A</v>
      </c>
      <c r="W604" s="943" t="e">
        <f>VLOOKUP(U604,R_DD!$B$6:$E$2112,4,0)</f>
        <v>#N/A</v>
      </c>
      <c r="Z604" s="946" t="e">
        <f>VLOOKUP(X604,R_DD!$B$6:$E$2112,3,0)</f>
        <v>#N/A</v>
      </c>
      <c r="AA604" s="946" t="e">
        <f>VLOOKUP(Y604,R_DD!$A$1:$L$2131,4,0)</f>
        <v>#N/A</v>
      </c>
      <c r="AB604" s="947" t="e">
        <f>VLOOKUP(Y604,R_DD!$A$1:$L$2131,5,0)</f>
        <v>#N/A</v>
      </c>
      <c r="AC604" s="947" t="e">
        <f>VLOOKUP(X604,R_DD!$B$6:$E$2112,4,0)</f>
        <v>#N/A</v>
      </c>
    </row>
    <row r="605" spans="22:29" ht="20.100000000000001" customHeight="1">
      <c r="V605" s="944" t="e">
        <f>VLOOKUP(U605,R_DD!$B$6:$E$2112,3,0)</f>
        <v>#N/A</v>
      </c>
      <c r="W605" s="943" t="e">
        <f>VLOOKUP(U605,R_DD!$B$6:$E$2112,4,0)</f>
        <v>#N/A</v>
      </c>
      <c r="Z605" s="946" t="e">
        <f>VLOOKUP(X605,R_DD!$B$6:$E$2112,3,0)</f>
        <v>#N/A</v>
      </c>
      <c r="AA605" s="946" t="e">
        <f>VLOOKUP(Y605,R_DD!$A$1:$L$2131,4,0)</f>
        <v>#N/A</v>
      </c>
      <c r="AB605" s="947" t="e">
        <f>VLOOKUP(Y605,R_DD!$A$1:$L$2131,5,0)</f>
        <v>#N/A</v>
      </c>
      <c r="AC605" s="947" t="e">
        <f>VLOOKUP(X605,R_DD!$B$6:$E$2112,4,0)</f>
        <v>#N/A</v>
      </c>
    </row>
    <row r="606" spans="22:29" ht="20.100000000000001" customHeight="1">
      <c r="V606" s="944" t="e">
        <f>VLOOKUP(U606,R_DD!$B$6:$E$2112,3,0)</f>
        <v>#N/A</v>
      </c>
      <c r="W606" s="943" t="e">
        <f>VLOOKUP(U606,R_DD!$B$6:$E$2112,4,0)</f>
        <v>#N/A</v>
      </c>
      <c r="Z606" s="946" t="e">
        <f>VLOOKUP(X606,R_DD!$B$6:$E$2112,3,0)</f>
        <v>#N/A</v>
      </c>
      <c r="AA606" s="946" t="e">
        <f>VLOOKUP(Y606,R_DD!$A$1:$L$2131,4,0)</f>
        <v>#N/A</v>
      </c>
      <c r="AB606" s="947" t="e">
        <f>VLOOKUP(Y606,R_DD!$A$1:$L$2131,5,0)</f>
        <v>#N/A</v>
      </c>
      <c r="AC606" s="947" t="e">
        <f>VLOOKUP(X606,R_DD!$B$6:$E$2112,4,0)</f>
        <v>#N/A</v>
      </c>
    </row>
    <row r="607" spans="22:29" ht="20.100000000000001" customHeight="1">
      <c r="V607" s="944" t="e">
        <f>VLOOKUP(U607,R_DD!$B$6:$E$2112,3,0)</f>
        <v>#N/A</v>
      </c>
      <c r="W607" s="943" t="e">
        <f>VLOOKUP(U607,R_DD!$B$6:$E$2112,4,0)</f>
        <v>#N/A</v>
      </c>
      <c r="Z607" s="946" t="e">
        <f>VLOOKUP(X607,R_DD!$B$6:$E$2112,3,0)</f>
        <v>#N/A</v>
      </c>
      <c r="AA607" s="946" t="e">
        <f>VLOOKUP(Y607,R_DD!$A$1:$L$2131,4,0)</f>
        <v>#N/A</v>
      </c>
      <c r="AB607" s="947" t="e">
        <f>VLOOKUP(Y607,R_DD!$A$1:$L$2131,5,0)</f>
        <v>#N/A</v>
      </c>
      <c r="AC607" s="947" t="e">
        <f>VLOOKUP(X607,R_DD!$B$6:$E$2112,4,0)</f>
        <v>#N/A</v>
      </c>
    </row>
    <row r="608" spans="22:29" ht="20.100000000000001" customHeight="1">
      <c r="V608" s="944" t="e">
        <f>VLOOKUP(U608,R_DD!$B$6:$E$2112,3,0)</f>
        <v>#N/A</v>
      </c>
      <c r="W608" s="943" t="e">
        <f>VLOOKUP(U608,R_DD!$B$6:$E$2112,4,0)</f>
        <v>#N/A</v>
      </c>
      <c r="Z608" s="946" t="e">
        <f>VLOOKUP(X608,R_DD!$B$6:$E$2112,3,0)</f>
        <v>#N/A</v>
      </c>
      <c r="AA608" s="946" t="e">
        <f>VLOOKUP(Y608,R_DD!$A$1:$L$2131,4,0)</f>
        <v>#N/A</v>
      </c>
      <c r="AB608" s="947" t="e">
        <f>VLOOKUP(Y608,R_DD!$A$1:$L$2131,5,0)</f>
        <v>#N/A</v>
      </c>
      <c r="AC608" s="947" t="e">
        <f>VLOOKUP(X608,R_DD!$B$6:$E$2112,4,0)</f>
        <v>#N/A</v>
      </c>
    </row>
    <row r="609" spans="22:29" ht="20.100000000000001" customHeight="1">
      <c r="V609" s="944" t="e">
        <f>VLOOKUP(U609,R_DD!$B$6:$E$2112,3,0)</f>
        <v>#N/A</v>
      </c>
      <c r="W609" s="943" t="e">
        <f>VLOOKUP(U609,R_DD!$B$6:$E$2112,4,0)</f>
        <v>#N/A</v>
      </c>
      <c r="Z609" s="946" t="e">
        <f>VLOOKUP(X609,R_DD!$B$6:$E$2112,3,0)</f>
        <v>#N/A</v>
      </c>
      <c r="AA609" s="946" t="e">
        <f>VLOOKUP(Y609,R_DD!$A$1:$L$2131,4,0)</f>
        <v>#N/A</v>
      </c>
      <c r="AB609" s="947" t="e">
        <f>VLOOKUP(Y609,R_DD!$A$1:$L$2131,5,0)</f>
        <v>#N/A</v>
      </c>
      <c r="AC609" s="947" t="e">
        <f>VLOOKUP(X609,R_DD!$B$6:$E$2112,4,0)</f>
        <v>#N/A</v>
      </c>
    </row>
    <row r="610" spans="22:29" ht="20.100000000000001" customHeight="1">
      <c r="V610" s="944" t="e">
        <f>VLOOKUP(U610,R_DD!$B$6:$E$2112,3,0)</f>
        <v>#N/A</v>
      </c>
      <c r="W610" s="943" t="e">
        <f>VLOOKUP(U610,R_DD!$B$6:$E$2112,4,0)</f>
        <v>#N/A</v>
      </c>
      <c r="Z610" s="946" t="e">
        <f>VLOOKUP(X610,R_DD!$B$6:$E$2112,3,0)</f>
        <v>#N/A</v>
      </c>
      <c r="AA610" s="946" t="e">
        <f>VLOOKUP(Y610,R_DD!$A$1:$L$2131,4,0)</f>
        <v>#N/A</v>
      </c>
      <c r="AB610" s="947" t="e">
        <f>VLOOKUP(Y610,R_DD!$A$1:$L$2131,5,0)</f>
        <v>#N/A</v>
      </c>
      <c r="AC610" s="947" t="e">
        <f>VLOOKUP(X610,R_DD!$B$6:$E$2112,4,0)</f>
        <v>#N/A</v>
      </c>
    </row>
    <row r="611" spans="22:29" ht="20.100000000000001" customHeight="1">
      <c r="V611" s="944" t="e">
        <f>VLOOKUP(U611,R_DD!$B$6:$E$2112,3,0)</f>
        <v>#N/A</v>
      </c>
      <c r="W611" s="943" t="e">
        <f>VLOOKUP(U611,R_DD!$B$6:$E$2112,4,0)</f>
        <v>#N/A</v>
      </c>
      <c r="Z611" s="946" t="e">
        <f>VLOOKUP(X611,R_DD!$B$6:$E$2112,3,0)</f>
        <v>#N/A</v>
      </c>
      <c r="AA611" s="946" t="e">
        <f>VLOOKUP(Y611,R_DD!$A$1:$L$2131,4,0)</f>
        <v>#N/A</v>
      </c>
      <c r="AB611" s="947" t="e">
        <f>VLOOKUP(Y611,R_DD!$A$1:$L$2131,5,0)</f>
        <v>#N/A</v>
      </c>
      <c r="AC611" s="947" t="e">
        <f>VLOOKUP(X611,R_DD!$B$6:$E$2112,4,0)</f>
        <v>#N/A</v>
      </c>
    </row>
    <row r="612" spans="22:29" ht="20.100000000000001" customHeight="1">
      <c r="V612" s="944" t="e">
        <f>VLOOKUP(U612,R_DD!$B$6:$E$2112,3,0)</f>
        <v>#N/A</v>
      </c>
      <c r="W612" s="943" t="e">
        <f>VLOOKUP(U612,R_DD!$B$6:$E$2112,4,0)</f>
        <v>#N/A</v>
      </c>
      <c r="Z612" s="946" t="e">
        <f>VLOOKUP(X612,R_DD!$B$6:$E$2112,3,0)</f>
        <v>#N/A</v>
      </c>
      <c r="AA612" s="946" t="e">
        <f>VLOOKUP(Y612,R_DD!$A$1:$L$2131,4,0)</f>
        <v>#N/A</v>
      </c>
      <c r="AB612" s="947" t="e">
        <f>VLOOKUP(Y612,R_DD!$A$1:$L$2131,5,0)</f>
        <v>#N/A</v>
      </c>
      <c r="AC612" s="947" t="e">
        <f>VLOOKUP(X612,R_DD!$B$6:$E$2112,4,0)</f>
        <v>#N/A</v>
      </c>
    </row>
    <row r="613" spans="22:29" ht="20.100000000000001" customHeight="1">
      <c r="V613" s="944" t="e">
        <f>VLOOKUP(U613,R_DD!$B$6:$E$2112,3,0)</f>
        <v>#N/A</v>
      </c>
      <c r="W613" s="943" t="e">
        <f>VLOOKUP(U613,R_DD!$B$6:$E$2112,4,0)</f>
        <v>#N/A</v>
      </c>
      <c r="Z613" s="946" t="e">
        <f>VLOOKUP(X613,R_DD!$B$6:$E$2112,3,0)</f>
        <v>#N/A</v>
      </c>
      <c r="AA613" s="946" t="e">
        <f>VLOOKUP(Y613,R_DD!$A$1:$L$2131,4,0)</f>
        <v>#N/A</v>
      </c>
      <c r="AB613" s="947" t="e">
        <f>VLOOKUP(Y613,R_DD!$A$1:$L$2131,5,0)</f>
        <v>#N/A</v>
      </c>
      <c r="AC613" s="947" t="e">
        <f>VLOOKUP(X613,R_DD!$B$6:$E$2112,4,0)</f>
        <v>#N/A</v>
      </c>
    </row>
    <row r="614" spans="22:29" ht="20.100000000000001" customHeight="1">
      <c r="V614" s="944" t="e">
        <f>VLOOKUP(U614,R_DD!$B$6:$E$2112,3,0)</f>
        <v>#N/A</v>
      </c>
      <c r="W614" s="943" t="e">
        <f>VLOOKUP(U614,R_DD!$B$6:$E$2112,4,0)</f>
        <v>#N/A</v>
      </c>
      <c r="Z614" s="946" t="e">
        <f>VLOOKUP(X614,R_DD!$B$6:$E$2112,3,0)</f>
        <v>#N/A</v>
      </c>
      <c r="AA614" s="946" t="e">
        <f>VLOOKUP(Y614,R_DD!$A$1:$L$2131,4,0)</f>
        <v>#N/A</v>
      </c>
      <c r="AB614" s="947" t="e">
        <f>VLOOKUP(Y614,R_DD!$A$1:$L$2131,5,0)</f>
        <v>#N/A</v>
      </c>
      <c r="AC614" s="947" t="e">
        <f>VLOOKUP(X614,R_DD!$B$6:$E$2112,4,0)</f>
        <v>#N/A</v>
      </c>
    </row>
    <row r="615" spans="22:29" ht="20.100000000000001" customHeight="1">
      <c r="V615" s="944" t="e">
        <f>VLOOKUP(U615,R_DD!$B$6:$E$2112,3,0)</f>
        <v>#N/A</v>
      </c>
      <c r="W615" s="943" t="e">
        <f>VLOOKUP(U615,R_DD!$B$6:$E$2112,4,0)</f>
        <v>#N/A</v>
      </c>
      <c r="Z615" s="946" t="e">
        <f>VLOOKUP(X615,R_DD!$B$6:$E$2112,3,0)</f>
        <v>#N/A</v>
      </c>
      <c r="AA615" s="946" t="e">
        <f>VLOOKUP(Y615,R_DD!$A$1:$L$2131,4,0)</f>
        <v>#N/A</v>
      </c>
      <c r="AB615" s="947" t="e">
        <f>VLOOKUP(Y615,R_DD!$A$1:$L$2131,5,0)</f>
        <v>#N/A</v>
      </c>
      <c r="AC615" s="947" t="e">
        <f>VLOOKUP(X615,R_DD!$B$6:$E$2112,4,0)</f>
        <v>#N/A</v>
      </c>
    </row>
    <row r="616" spans="22:29" ht="20.100000000000001" customHeight="1">
      <c r="V616" s="944" t="e">
        <f>VLOOKUP(U616,R_DD!$B$6:$E$2112,3,0)</f>
        <v>#N/A</v>
      </c>
      <c r="W616" s="943" t="e">
        <f>VLOOKUP(U616,R_DD!$B$6:$E$2112,4,0)</f>
        <v>#N/A</v>
      </c>
      <c r="Z616" s="946" t="e">
        <f>VLOOKUP(X616,R_DD!$B$6:$E$2112,3,0)</f>
        <v>#N/A</v>
      </c>
      <c r="AA616" s="946" t="e">
        <f>VLOOKUP(Y616,R_DD!$A$1:$L$2131,4,0)</f>
        <v>#N/A</v>
      </c>
      <c r="AB616" s="947" t="e">
        <f>VLOOKUP(Y616,R_DD!$A$1:$L$2131,5,0)</f>
        <v>#N/A</v>
      </c>
      <c r="AC616" s="947" t="e">
        <f>VLOOKUP(X616,R_DD!$B$6:$E$2112,4,0)</f>
        <v>#N/A</v>
      </c>
    </row>
    <row r="617" spans="22:29" ht="20.100000000000001" customHeight="1">
      <c r="V617" s="944" t="e">
        <f>VLOOKUP(U617,R_DD!$B$6:$E$2112,3,0)</f>
        <v>#N/A</v>
      </c>
      <c r="W617" s="943" t="e">
        <f>VLOOKUP(U617,R_DD!$B$6:$E$2112,4,0)</f>
        <v>#N/A</v>
      </c>
      <c r="Z617" s="946" t="e">
        <f>VLOOKUP(X617,R_DD!$B$6:$E$2112,3,0)</f>
        <v>#N/A</v>
      </c>
      <c r="AA617" s="946" t="e">
        <f>VLOOKUP(Y617,R_DD!$A$1:$L$2131,4,0)</f>
        <v>#N/A</v>
      </c>
      <c r="AB617" s="947" t="e">
        <f>VLOOKUP(Y617,R_DD!$A$1:$L$2131,5,0)</f>
        <v>#N/A</v>
      </c>
      <c r="AC617" s="947" t="e">
        <f>VLOOKUP(X617,R_DD!$B$6:$E$2112,4,0)</f>
        <v>#N/A</v>
      </c>
    </row>
    <row r="618" spans="22:29" ht="20.100000000000001" customHeight="1">
      <c r="V618" s="944" t="e">
        <f>VLOOKUP(U618,R_DD!$B$6:$E$2112,3,0)</f>
        <v>#N/A</v>
      </c>
      <c r="W618" s="943" t="e">
        <f>VLOOKUP(U618,R_DD!$B$6:$E$2112,4,0)</f>
        <v>#N/A</v>
      </c>
      <c r="Z618" s="946" t="e">
        <f>VLOOKUP(X618,R_DD!$B$6:$E$2112,3,0)</f>
        <v>#N/A</v>
      </c>
      <c r="AA618" s="946" t="e">
        <f>VLOOKUP(Y618,R_DD!$A$1:$L$2131,4,0)</f>
        <v>#N/A</v>
      </c>
      <c r="AB618" s="947" t="e">
        <f>VLOOKUP(Y618,R_DD!$A$1:$L$2131,5,0)</f>
        <v>#N/A</v>
      </c>
      <c r="AC618" s="947" t="e">
        <f>VLOOKUP(X618,R_DD!$B$6:$E$2112,4,0)</f>
        <v>#N/A</v>
      </c>
    </row>
    <row r="619" spans="22:29" ht="20.100000000000001" customHeight="1">
      <c r="V619" s="944" t="e">
        <f>VLOOKUP(U619,R_DD!$B$6:$E$2112,3,0)</f>
        <v>#N/A</v>
      </c>
      <c r="W619" s="943" t="e">
        <f>VLOOKUP(U619,R_DD!$B$6:$E$2112,4,0)</f>
        <v>#N/A</v>
      </c>
      <c r="Z619" s="946" t="e">
        <f>VLOOKUP(X619,R_DD!$B$6:$E$2112,3,0)</f>
        <v>#N/A</v>
      </c>
      <c r="AA619" s="946" t="e">
        <f>VLOOKUP(Y619,R_DD!$A$1:$L$2131,4,0)</f>
        <v>#N/A</v>
      </c>
      <c r="AB619" s="947" t="e">
        <f>VLOOKUP(Y619,R_DD!$A$1:$L$2131,5,0)</f>
        <v>#N/A</v>
      </c>
      <c r="AC619" s="947" t="e">
        <f>VLOOKUP(X619,R_DD!$B$6:$E$2112,4,0)</f>
        <v>#N/A</v>
      </c>
    </row>
    <row r="620" spans="22:29" ht="20.100000000000001" customHeight="1">
      <c r="V620" s="944" t="e">
        <f>VLOOKUP(U620,R_DD!$B$6:$E$2112,3,0)</f>
        <v>#N/A</v>
      </c>
      <c r="W620" s="943" t="e">
        <f>VLOOKUP(U620,R_DD!$B$6:$E$2112,4,0)</f>
        <v>#N/A</v>
      </c>
      <c r="Z620" s="946" t="e">
        <f>VLOOKUP(X620,R_DD!$B$6:$E$2112,3,0)</f>
        <v>#N/A</v>
      </c>
      <c r="AA620" s="946" t="e">
        <f>VLOOKUP(Y620,R_DD!$A$1:$L$2131,4,0)</f>
        <v>#N/A</v>
      </c>
      <c r="AB620" s="947" t="e">
        <f>VLOOKUP(Y620,R_DD!$A$1:$L$2131,5,0)</f>
        <v>#N/A</v>
      </c>
      <c r="AC620" s="947" t="e">
        <f>VLOOKUP(X620,R_DD!$B$6:$E$2112,4,0)</f>
        <v>#N/A</v>
      </c>
    </row>
    <row r="621" spans="22:29" ht="20.100000000000001" customHeight="1">
      <c r="V621" s="944" t="e">
        <f>VLOOKUP(U621,R_DD!$B$6:$E$2112,3,0)</f>
        <v>#N/A</v>
      </c>
      <c r="W621" s="943" t="e">
        <f>VLOOKUP(U621,R_DD!$B$6:$E$2112,4,0)</f>
        <v>#N/A</v>
      </c>
      <c r="Z621" s="946" t="e">
        <f>VLOOKUP(X621,R_DD!$B$6:$E$2112,3,0)</f>
        <v>#N/A</v>
      </c>
      <c r="AA621" s="946" t="e">
        <f>VLOOKUP(Y621,R_DD!$A$1:$L$2131,4,0)</f>
        <v>#N/A</v>
      </c>
      <c r="AB621" s="947" t="e">
        <f>VLOOKUP(Y621,R_DD!$A$1:$L$2131,5,0)</f>
        <v>#N/A</v>
      </c>
      <c r="AC621" s="947" t="e">
        <f>VLOOKUP(X621,R_DD!$B$6:$E$2112,4,0)</f>
        <v>#N/A</v>
      </c>
    </row>
    <row r="622" spans="22:29" ht="20.100000000000001" customHeight="1">
      <c r="V622" s="944" t="e">
        <f>VLOOKUP(U622,R_DD!$B$6:$E$2112,3,0)</f>
        <v>#N/A</v>
      </c>
      <c r="W622" s="943" t="e">
        <f>VLOOKUP(U622,R_DD!$B$6:$E$2112,4,0)</f>
        <v>#N/A</v>
      </c>
      <c r="Z622" s="946" t="e">
        <f>VLOOKUP(X622,R_DD!$B$6:$E$2112,3,0)</f>
        <v>#N/A</v>
      </c>
      <c r="AA622" s="946" t="e">
        <f>VLOOKUP(Y622,R_DD!$A$1:$L$2131,4,0)</f>
        <v>#N/A</v>
      </c>
      <c r="AB622" s="947" t="e">
        <f>VLOOKUP(Y622,R_DD!$A$1:$L$2131,5,0)</f>
        <v>#N/A</v>
      </c>
      <c r="AC622" s="947" t="e">
        <f>VLOOKUP(X622,R_DD!$B$6:$E$2112,4,0)</f>
        <v>#N/A</v>
      </c>
    </row>
    <row r="623" spans="22:29" ht="20.100000000000001" customHeight="1">
      <c r="V623" s="944" t="e">
        <f>VLOOKUP(U623,R_DD!$B$6:$E$2112,3,0)</f>
        <v>#N/A</v>
      </c>
      <c r="W623" s="943" t="e">
        <f>VLOOKUP(U623,R_DD!$B$6:$E$2112,4,0)</f>
        <v>#N/A</v>
      </c>
      <c r="Z623" s="946" t="e">
        <f>VLOOKUP(X623,R_DD!$B$6:$E$2112,3,0)</f>
        <v>#N/A</v>
      </c>
      <c r="AA623" s="946" t="e">
        <f>VLOOKUP(Y623,R_DD!$A$1:$L$2131,4,0)</f>
        <v>#N/A</v>
      </c>
      <c r="AB623" s="947" t="e">
        <f>VLOOKUP(Y623,R_DD!$A$1:$L$2131,5,0)</f>
        <v>#N/A</v>
      </c>
      <c r="AC623" s="947" t="e">
        <f>VLOOKUP(X623,R_DD!$B$6:$E$2112,4,0)</f>
        <v>#N/A</v>
      </c>
    </row>
    <row r="624" spans="22:29" ht="20.100000000000001" customHeight="1">
      <c r="V624" s="944" t="e">
        <f>VLOOKUP(U624,R_DD!$B$6:$E$2112,3,0)</f>
        <v>#N/A</v>
      </c>
      <c r="W624" s="943" t="e">
        <f>VLOOKUP(U624,R_DD!$B$6:$E$2112,4,0)</f>
        <v>#N/A</v>
      </c>
      <c r="Z624" s="946" t="e">
        <f>VLOOKUP(X624,R_DD!$B$6:$E$2112,3,0)</f>
        <v>#N/A</v>
      </c>
      <c r="AA624" s="946" t="e">
        <f>VLOOKUP(Y624,R_DD!$A$1:$L$2131,4,0)</f>
        <v>#N/A</v>
      </c>
      <c r="AB624" s="947" t="e">
        <f>VLOOKUP(Y624,R_DD!$A$1:$L$2131,5,0)</f>
        <v>#N/A</v>
      </c>
      <c r="AC624" s="947" t="e">
        <f>VLOOKUP(X624,R_DD!$B$6:$E$2112,4,0)</f>
        <v>#N/A</v>
      </c>
    </row>
    <row r="625" spans="22:29" ht="20.100000000000001" customHeight="1">
      <c r="V625" s="944" t="e">
        <f>VLOOKUP(U625,R_DD!$B$6:$E$2112,3,0)</f>
        <v>#N/A</v>
      </c>
      <c r="W625" s="943" t="e">
        <f>VLOOKUP(U625,R_DD!$B$6:$E$2112,4,0)</f>
        <v>#N/A</v>
      </c>
      <c r="Z625" s="946" t="e">
        <f>VLOOKUP(X625,R_DD!$B$6:$E$2112,3,0)</f>
        <v>#N/A</v>
      </c>
      <c r="AA625" s="946" t="e">
        <f>VLOOKUP(Y625,R_DD!$A$1:$L$2131,4,0)</f>
        <v>#N/A</v>
      </c>
      <c r="AB625" s="947" t="e">
        <f>VLOOKUP(Y625,R_DD!$A$1:$L$2131,5,0)</f>
        <v>#N/A</v>
      </c>
      <c r="AC625" s="947" t="e">
        <f>VLOOKUP(X625,R_DD!$B$6:$E$2112,4,0)</f>
        <v>#N/A</v>
      </c>
    </row>
    <row r="626" spans="22:29" ht="20.100000000000001" customHeight="1">
      <c r="V626" s="944" t="e">
        <f>VLOOKUP(U626,R_DD!$B$6:$E$2112,3,0)</f>
        <v>#N/A</v>
      </c>
      <c r="W626" s="943" t="e">
        <f>VLOOKUP(U626,R_DD!$B$6:$E$2112,4,0)</f>
        <v>#N/A</v>
      </c>
      <c r="Z626" s="946" t="e">
        <f>VLOOKUP(X626,R_DD!$B$6:$E$2112,3,0)</f>
        <v>#N/A</v>
      </c>
      <c r="AA626" s="946" t="e">
        <f>VLOOKUP(Y626,R_DD!$A$1:$L$2131,4,0)</f>
        <v>#N/A</v>
      </c>
      <c r="AB626" s="947" t="e">
        <f>VLOOKUP(Y626,R_DD!$A$1:$L$2131,5,0)</f>
        <v>#N/A</v>
      </c>
      <c r="AC626" s="947" t="e">
        <f>VLOOKUP(X626,R_DD!$B$6:$E$2112,4,0)</f>
        <v>#N/A</v>
      </c>
    </row>
    <row r="627" spans="22:29" ht="20.100000000000001" customHeight="1">
      <c r="V627" s="944" t="e">
        <f>VLOOKUP(U627,R_DD!$B$6:$E$2112,3,0)</f>
        <v>#N/A</v>
      </c>
      <c r="W627" s="943" t="e">
        <f>VLOOKUP(U627,R_DD!$B$6:$E$2112,4,0)</f>
        <v>#N/A</v>
      </c>
      <c r="Z627" s="946" t="e">
        <f>VLOOKUP(X627,R_DD!$B$6:$E$2112,3,0)</f>
        <v>#N/A</v>
      </c>
      <c r="AA627" s="946" t="e">
        <f>VLOOKUP(Y627,R_DD!$A$1:$L$2131,4,0)</f>
        <v>#N/A</v>
      </c>
      <c r="AB627" s="947" t="e">
        <f>VLOOKUP(Y627,R_DD!$A$1:$L$2131,5,0)</f>
        <v>#N/A</v>
      </c>
      <c r="AC627" s="947" t="e">
        <f>VLOOKUP(X627,R_DD!$B$6:$E$2112,4,0)</f>
        <v>#N/A</v>
      </c>
    </row>
    <row r="628" spans="22:29" ht="20.100000000000001" customHeight="1">
      <c r="V628" s="944" t="e">
        <f>VLOOKUP(U628,R_DD!$B$6:$E$2112,3,0)</f>
        <v>#N/A</v>
      </c>
      <c r="W628" s="943" t="e">
        <f>VLOOKUP(U628,R_DD!$B$6:$E$2112,4,0)</f>
        <v>#N/A</v>
      </c>
      <c r="Z628" s="946" t="e">
        <f>VLOOKUP(X628,R_DD!$B$6:$E$2112,3,0)</f>
        <v>#N/A</v>
      </c>
      <c r="AA628" s="946" t="e">
        <f>VLOOKUP(Y628,R_DD!$A$1:$L$2131,4,0)</f>
        <v>#N/A</v>
      </c>
      <c r="AB628" s="947" t="e">
        <f>VLOOKUP(Y628,R_DD!$A$1:$L$2131,5,0)</f>
        <v>#N/A</v>
      </c>
      <c r="AC628" s="947" t="e">
        <f>VLOOKUP(X628,R_DD!$B$6:$E$2112,4,0)</f>
        <v>#N/A</v>
      </c>
    </row>
    <row r="629" spans="22:29" ht="20.100000000000001" customHeight="1">
      <c r="V629" s="944" t="e">
        <f>VLOOKUP(U629,R_DD!$B$6:$E$2112,3,0)</f>
        <v>#N/A</v>
      </c>
      <c r="W629" s="943" t="e">
        <f>VLOOKUP(U629,R_DD!$B$6:$E$2112,4,0)</f>
        <v>#N/A</v>
      </c>
      <c r="Z629" s="946" t="e">
        <f>VLOOKUP(X629,R_DD!$B$6:$E$2112,3,0)</f>
        <v>#N/A</v>
      </c>
      <c r="AA629" s="946" t="e">
        <f>VLOOKUP(Y629,R_DD!$A$1:$L$2131,4,0)</f>
        <v>#N/A</v>
      </c>
      <c r="AB629" s="947" t="e">
        <f>VLOOKUP(Y629,R_DD!$A$1:$L$2131,5,0)</f>
        <v>#N/A</v>
      </c>
      <c r="AC629" s="947" t="e">
        <f>VLOOKUP(X629,R_DD!$B$6:$E$2112,4,0)</f>
        <v>#N/A</v>
      </c>
    </row>
    <row r="630" spans="22:29" ht="20.100000000000001" customHeight="1">
      <c r="V630" s="944" t="e">
        <f>VLOOKUP(U630,R_DD!$B$6:$E$2112,3,0)</f>
        <v>#N/A</v>
      </c>
      <c r="W630" s="943" t="e">
        <f>VLOOKUP(U630,R_DD!$B$6:$E$2112,4,0)</f>
        <v>#N/A</v>
      </c>
      <c r="Z630" s="946" t="e">
        <f>VLOOKUP(X630,R_DD!$B$6:$E$2112,3,0)</f>
        <v>#N/A</v>
      </c>
      <c r="AA630" s="946" t="e">
        <f>VLOOKUP(Y630,R_DD!$A$1:$L$2131,4,0)</f>
        <v>#N/A</v>
      </c>
      <c r="AB630" s="947" t="e">
        <f>VLOOKUP(Y630,R_DD!$A$1:$L$2131,5,0)</f>
        <v>#N/A</v>
      </c>
      <c r="AC630" s="947" t="e">
        <f>VLOOKUP(X630,R_DD!$B$6:$E$2112,4,0)</f>
        <v>#N/A</v>
      </c>
    </row>
    <row r="631" spans="22:29" ht="20.100000000000001" customHeight="1">
      <c r="V631" s="944" t="e">
        <f>VLOOKUP(U631,R_DD!$B$6:$E$2112,3,0)</f>
        <v>#N/A</v>
      </c>
      <c r="W631" s="943" t="e">
        <f>VLOOKUP(U631,R_DD!$B$6:$E$2112,4,0)</f>
        <v>#N/A</v>
      </c>
      <c r="Z631" s="946" t="e">
        <f>VLOOKUP(X631,R_DD!$B$6:$E$2112,3,0)</f>
        <v>#N/A</v>
      </c>
      <c r="AA631" s="946" t="e">
        <f>VLOOKUP(Y631,R_DD!$A$1:$L$2131,4,0)</f>
        <v>#N/A</v>
      </c>
      <c r="AB631" s="947" t="e">
        <f>VLOOKUP(Y631,R_DD!$A$1:$L$2131,5,0)</f>
        <v>#N/A</v>
      </c>
      <c r="AC631" s="947" t="e">
        <f>VLOOKUP(X631,R_DD!$B$6:$E$2112,4,0)</f>
        <v>#N/A</v>
      </c>
    </row>
    <row r="632" spans="22:29" ht="20.100000000000001" customHeight="1">
      <c r="V632" s="944" t="e">
        <f>VLOOKUP(U632,R_DD!$B$6:$E$2112,3,0)</f>
        <v>#N/A</v>
      </c>
      <c r="W632" s="943" t="e">
        <f>VLOOKUP(U632,R_DD!$B$6:$E$2112,4,0)</f>
        <v>#N/A</v>
      </c>
      <c r="Z632" s="946" t="e">
        <f>VLOOKUP(X632,R_DD!$B$6:$E$2112,3,0)</f>
        <v>#N/A</v>
      </c>
      <c r="AA632" s="946" t="e">
        <f>VLOOKUP(Y632,R_DD!$A$1:$L$2131,4,0)</f>
        <v>#N/A</v>
      </c>
      <c r="AB632" s="947" t="e">
        <f>VLOOKUP(Y632,R_DD!$A$1:$L$2131,5,0)</f>
        <v>#N/A</v>
      </c>
      <c r="AC632" s="947" t="e">
        <f>VLOOKUP(X632,R_DD!$B$6:$E$2112,4,0)</f>
        <v>#N/A</v>
      </c>
    </row>
    <row r="633" spans="22:29" ht="20.100000000000001" customHeight="1">
      <c r="V633" s="944" t="e">
        <f>VLOOKUP(U633,R_DD!$B$6:$E$2112,3,0)</f>
        <v>#N/A</v>
      </c>
      <c r="W633" s="943" t="e">
        <f>VLOOKUP(U633,R_DD!$B$6:$E$2112,4,0)</f>
        <v>#N/A</v>
      </c>
      <c r="Z633" s="946" t="e">
        <f>VLOOKUP(X633,R_DD!$B$6:$E$2112,3,0)</f>
        <v>#N/A</v>
      </c>
      <c r="AA633" s="946" t="e">
        <f>VLOOKUP(Y633,R_DD!$A$1:$L$2131,4,0)</f>
        <v>#N/A</v>
      </c>
      <c r="AB633" s="947" t="e">
        <f>VLOOKUP(Y633,R_DD!$A$1:$L$2131,5,0)</f>
        <v>#N/A</v>
      </c>
      <c r="AC633" s="947" t="e">
        <f>VLOOKUP(X633,R_DD!$B$6:$E$2112,4,0)</f>
        <v>#N/A</v>
      </c>
    </row>
    <row r="634" spans="22:29" ht="20.100000000000001" customHeight="1">
      <c r="V634" s="944" t="e">
        <f>VLOOKUP(U634,R_DD!$B$6:$E$2112,3,0)</f>
        <v>#N/A</v>
      </c>
      <c r="W634" s="943" t="e">
        <f>VLOOKUP(U634,R_DD!$B$6:$E$2112,4,0)</f>
        <v>#N/A</v>
      </c>
      <c r="Z634" s="946" t="e">
        <f>VLOOKUP(X634,R_DD!$B$6:$E$2112,3,0)</f>
        <v>#N/A</v>
      </c>
      <c r="AA634" s="946" t="e">
        <f>VLOOKUP(Y634,R_DD!$A$1:$L$2131,4,0)</f>
        <v>#N/A</v>
      </c>
      <c r="AB634" s="947" t="e">
        <f>VLOOKUP(Y634,R_DD!$A$1:$L$2131,5,0)</f>
        <v>#N/A</v>
      </c>
      <c r="AC634" s="947" t="e">
        <f>VLOOKUP(X634,R_DD!$B$6:$E$2112,4,0)</f>
        <v>#N/A</v>
      </c>
    </row>
    <row r="635" spans="22:29" ht="20.100000000000001" customHeight="1">
      <c r="V635" s="944" t="e">
        <f>VLOOKUP(U635,R_DD!$B$6:$E$2112,3,0)</f>
        <v>#N/A</v>
      </c>
      <c r="W635" s="943" t="e">
        <f>VLOOKUP(U635,R_DD!$B$6:$E$2112,4,0)</f>
        <v>#N/A</v>
      </c>
      <c r="Z635" s="946" t="e">
        <f>VLOOKUP(X635,R_DD!$B$6:$E$2112,3,0)</f>
        <v>#N/A</v>
      </c>
      <c r="AA635" s="946" t="e">
        <f>VLOOKUP(Y635,R_DD!$A$1:$L$2131,4,0)</f>
        <v>#N/A</v>
      </c>
      <c r="AB635" s="947" t="e">
        <f>VLOOKUP(Y635,R_DD!$A$1:$L$2131,5,0)</f>
        <v>#N/A</v>
      </c>
      <c r="AC635" s="947" t="e">
        <f>VLOOKUP(X635,R_DD!$B$6:$E$2112,4,0)</f>
        <v>#N/A</v>
      </c>
    </row>
    <row r="636" spans="22:29" ht="20.100000000000001" customHeight="1">
      <c r="V636" s="944" t="e">
        <f>VLOOKUP(U636,R_DD!$B$6:$E$2112,3,0)</f>
        <v>#N/A</v>
      </c>
      <c r="W636" s="943" t="e">
        <f>VLOOKUP(U636,R_DD!$B$6:$E$2112,4,0)</f>
        <v>#N/A</v>
      </c>
      <c r="Z636" s="946" t="e">
        <f>VLOOKUP(X636,R_DD!$B$6:$E$2112,3,0)</f>
        <v>#N/A</v>
      </c>
      <c r="AA636" s="946" t="e">
        <f>VLOOKUP(Y636,R_DD!$A$1:$L$2131,4,0)</f>
        <v>#N/A</v>
      </c>
      <c r="AB636" s="947" t="e">
        <f>VLOOKUP(Y636,R_DD!$A$1:$L$2131,5,0)</f>
        <v>#N/A</v>
      </c>
      <c r="AC636" s="947" t="e">
        <f>VLOOKUP(X636,R_DD!$B$6:$E$2112,4,0)</f>
        <v>#N/A</v>
      </c>
    </row>
    <row r="637" spans="22:29" ht="20.100000000000001" customHeight="1">
      <c r="V637" s="944" t="e">
        <f>VLOOKUP(U637,R_DD!$B$6:$E$2112,3,0)</f>
        <v>#N/A</v>
      </c>
      <c r="W637" s="943" t="e">
        <f>VLOOKUP(U637,R_DD!$B$6:$E$2112,4,0)</f>
        <v>#N/A</v>
      </c>
      <c r="Z637" s="946" t="e">
        <f>VLOOKUP(X637,R_DD!$B$6:$E$2112,3,0)</f>
        <v>#N/A</v>
      </c>
      <c r="AA637" s="946" t="e">
        <f>VLOOKUP(Y637,R_DD!$A$1:$L$2131,4,0)</f>
        <v>#N/A</v>
      </c>
      <c r="AB637" s="947" t="e">
        <f>VLOOKUP(Y637,R_DD!$A$1:$L$2131,5,0)</f>
        <v>#N/A</v>
      </c>
      <c r="AC637" s="947" t="e">
        <f>VLOOKUP(X637,R_DD!$B$6:$E$2112,4,0)</f>
        <v>#N/A</v>
      </c>
    </row>
    <row r="638" spans="22:29" ht="20.100000000000001" customHeight="1">
      <c r="V638" s="944" t="e">
        <f>VLOOKUP(U638,R_DD!$B$6:$E$2112,3,0)</f>
        <v>#N/A</v>
      </c>
      <c r="W638" s="943" t="e">
        <f>VLOOKUP(U638,R_DD!$B$6:$E$2112,4,0)</f>
        <v>#N/A</v>
      </c>
      <c r="Z638" s="946" t="e">
        <f>VLOOKUP(X638,R_DD!$B$6:$E$2112,3,0)</f>
        <v>#N/A</v>
      </c>
      <c r="AA638" s="946" t="e">
        <f>VLOOKUP(Y638,R_DD!$A$1:$L$2131,4,0)</f>
        <v>#N/A</v>
      </c>
      <c r="AB638" s="947" t="e">
        <f>VLOOKUP(Y638,R_DD!$A$1:$L$2131,5,0)</f>
        <v>#N/A</v>
      </c>
      <c r="AC638" s="947" t="e">
        <f>VLOOKUP(X638,R_DD!$B$6:$E$2112,4,0)</f>
        <v>#N/A</v>
      </c>
    </row>
    <row r="639" spans="22:29" ht="20.100000000000001" customHeight="1">
      <c r="V639" s="944" t="e">
        <f>VLOOKUP(U639,R_DD!$B$6:$E$2112,3,0)</f>
        <v>#N/A</v>
      </c>
      <c r="W639" s="943" t="e">
        <f>VLOOKUP(U639,R_DD!$B$6:$E$2112,4,0)</f>
        <v>#N/A</v>
      </c>
      <c r="Z639" s="946" t="e">
        <f>VLOOKUP(X639,R_DD!$B$6:$E$2112,3,0)</f>
        <v>#N/A</v>
      </c>
      <c r="AA639" s="946" t="e">
        <f>VLOOKUP(Y639,R_DD!$A$1:$L$2131,4,0)</f>
        <v>#N/A</v>
      </c>
      <c r="AB639" s="947" t="e">
        <f>VLOOKUP(Y639,R_DD!$A$1:$L$2131,5,0)</f>
        <v>#N/A</v>
      </c>
      <c r="AC639" s="947" t="e">
        <f>VLOOKUP(X639,R_DD!$B$6:$E$2112,4,0)</f>
        <v>#N/A</v>
      </c>
    </row>
    <row r="640" spans="22:29" ht="20.100000000000001" customHeight="1">
      <c r="V640" s="944" t="e">
        <f>VLOOKUP(U640,R_DD!$B$6:$E$2112,3,0)</f>
        <v>#N/A</v>
      </c>
      <c r="W640" s="943" t="e">
        <f>VLOOKUP(U640,R_DD!$B$6:$E$2112,4,0)</f>
        <v>#N/A</v>
      </c>
      <c r="Z640" s="946" t="e">
        <f>VLOOKUP(X640,R_DD!$B$6:$E$2112,3,0)</f>
        <v>#N/A</v>
      </c>
      <c r="AA640" s="946" t="e">
        <f>VLOOKUP(Y640,R_DD!$A$1:$L$2131,4,0)</f>
        <v>#N/A</v>
      </c>
      <c r="AB640" s="947" t="e">
        <f>VLOOKUP(Y640,R_DD!$A$1:$L$2131,5,0)</f>
        <v>#N/A</v>
      </c>
      <c r="AC640" s="947" t="e">
        <f>VLOOKUP(X640,R_DD!$B$6:$E$2112,4,0)</f>
        <v>#N/A</v>
      </c>
    </row>
    <row r="641" spans="22:29" ht="20.100000000000001" customHeight="1">
      <c r="V641" s="944" t="e">
        <f>VLOOKUP(U641,R_DD!$B$6:$E$2112,3,0)</f>
        <v>#N/A</v>
      </c>
      <c r="W641" s="943" t="e">
        <f>VLOOKUP(U641,R_DD!$B$6:$E$2112,4,0)</f>
        <v>#N/A</v>
      </c>
      <c r="Z641" s="946" t="e">
        <f>VLOOKUP(X641,R_DD!$B$6:$E$2112,3,0)</f>
        <v>#N/A</v>
      </c>
      <c r="AA641" s="946" t="e">
        <f>VLOOKUP(Y641,R_DD!$A$1:$L$2131,4,0)</f>
        <v>#N/A</v>
      </c>
      <c r="AB641" s="947" t="e">
        <f>VLOOKUP(Y641,R_DD!$A$1:$L$2131,5,0)</f>
        <v>#N/A</v>
      </c>
      <c r="AC641" s="947" t="e">
        <f>VLOOKUP(X641,R_DD!$B$6:$E$2112,4,0)</f>
        <v>#N/A</v>
      </c>
    </row>
    <row r="642" spans="22:29" ht="20.100000000000001" customHeight="1">
      <c r="V642" s="944" t="e">
        <f>VLOOKUP(U642,R_DD!$B$6:$E$2112,3,0)</f>
        <v>#N/A</v>
      </c>
      <c r="W642" s="943" t="e">
        <f>VLOOKUP(U642,R_DD!$B$6:$E$2112,4,0)</f>
        <v>#N/A</v>
      </c>
      <c r="Z642" s="946" t="e">
        <f>VLOOKUP(X642,R_DD!$B$6:$E$2112,3,0)</f>
        <v>#N/A</v>
      </c>
      <c r="AA642" s="946" t="e">
        <f>VLOOKUP(Y642,R_DD!$A$1:$L$2131,4,0)</f>
        <v>#N/A</v>
      </c>
      <c r="AB642" s="947" t="e">
        <f>VLOOKUP(Y642,R_DD!$A$1:$L$2131,5,0)</f>
        <v>#N/A</v>
      </c>
      <c r="AC642" s="947" t="e">
        <f>VLOOKUP(X642,R_DD!$B$6:$E$2112,4,0)</f>
        <v>#N/A</v>
      </c>
    </row>
    <row r="643" spans="22:29" ht="20.100000000000001" customHeight="1">
      <c r="V643" s="944" t="e">
        <f>VLOOKUP(U643,R_DD!$B$6:$E$2112,3,0)</f>
        <v>#N/A</v>
      </c>
      <c r="W643" s="943" t="e">
        <f>VLOOKUP(U643,R_DD!$B$6:$E$2112,4,0)</f>
        <v>#N/A</v>
      </c>
      <c r="Z643" s="946" t="e">
        <f>VLOOKUP(X643,R_DD!$B$6:$E$2112,3,0)</f>
        <v>#N/A</v>
      </c>
      <c r="AA643" s="946" t="e">
        <f>VLOOKUP(Y643,R_DD!$A$1:$L$2131,4,0)</f>
        <v>#N/A</v>
      </c>
      <c r="AB643" s="947" t="e">
        <f>VLOOKUP(Y643,R_DD!$A$1:$L$2131,5,0)</f>
        <v>#N/A</v>
      </c>
      <c r="AC643" s="947" t="e">
        <f>VLOOKUP(X643,R_DD!$B$6:$E$2112,4,0)</f>
        <v>#N/A</v>
      </c>
    </row>
    <row r="644" spans="22:29" ht="20.100000000000001" customHeight="1">
      <c r="V644" s="944" t="e">
        <f>VLOOKUP(U644,R_DD!$B$6:$E$2112,3,0)</f>
        <v>#N/A</v>
      </c>
      <c r="W644" s="943" t="e">
        <f>VLOOKUP(U644,R_DD!$B$6:$E$2112,4,0)</f>
        <v>#N/A</v>
      </c>
      <c r="Z644" s="946" t="e">
        <f>VLOOKUP(X644,R_DD!$B$6:$E$2112,3,0)</f>
        <v>#N/A</v>
      </c>
      <c r="AA644" s="946" t="e">
        <f>VLOOKUP(Y644,R_DD!$A$1:$L$2131,4,0)</f>
        <v>#N/A</v>
      </c>
      <c r="AB644" s="947" t="e">
        <f>VLOOKUP(Y644,R_DD!$A$1:$L$2131,5,0)</f>
        <v>#N/A</v>
      </c>
      <c r="AC644" s="947" t="e">
        <f>VLOOKUP(X644,R_DD!$B$6:$E$2112,4,0)</f>
        <v>#N/A</v>
      </c>
    </row>
    <row r="645" spans="22:29" ht="20.100000000000001" customHeight="1">
      <c r="V645" s="944" t="e">
        <f>VLOOKUP(U645,R_DD!$B$6:$E$2112,3,0)</f>
        <v>#N/A</v>
      </c>
      <c r="W645" s="943" t="e">
        <f>VLOOKUP(U645,R_DD!$B$6:$E$2112,4,0)</f>
        <v>#N/A</v>
      </c>
      <c r="Z645" s="946" t="e">
        <f>VLOOKUP(X645,R_DD!$B$6:$E$2112,3,0)</f>
        <v>#N/A</v>
      </c>
      <c r="AA645" s="946" t="e">
        <f>VLOOKUP(Y645,R_DD!$A$1:$L$2131,4,0)</f>
        <v>#N/A</v>
      </c>
      <c r="AB645" s="947" t="e">
        <f>VLOOKUP(Y645,R_DD!$A$1:$L$2131,5,0)</f>
        <v>#N/A</v>
      </c>
      <c r="AC645" s="947" t="e">
        <f>VLOOKUP(X645,R_DD!$B$6:$E$2112,4,0)</f>
        <v>#N/A</v>
      </c>
    </row>
    <row r="646" spans="22:29" ht="20.100000000000001" customHeight="1">
      <c r="V646" s="944" t="e">
        <f>VLOOKUP(U646,R_DD!$B$6:$E$2112,3,0)</f>
        <v>#N/A</v>
      </c>
      <c r="W646" s="943" t="e">
        <f>VLOOKUP(U646,R_DD!$B$6:$E$2112,4,0)</f>
        <v>#N/A</v>
      </c>
      <c r="Z646" s="946" t="e">
        <f>VLOOKUP(X646,R_DD!$B$6:$E$2112,3,0)</f>
        <v>#N/A</v>
      </c>
      <c r="AA646" s="946" t="e">
        <f>VLOOKUP(Y646,R_DD!$A$1:$L$2131,4,0)</f>
        <v>#N/A</v>
      </c>
      <c r="AB646" s="947" t="e">
        <f>VLOOKUP(Y646,R_DD!$A$1:$L$2131,5,0)</f>
        <v>#N/A</v>
      </c>
      <c r="AC646" s="947" t="e">
        <f>VLOOKUP(X646,R_DD!$B$6:$E$2112,4,0)</f>
        <v>#N/A</v>
      </c>
    </row>
    <row r="647" spans="22:29" ht="20.100000000000001" customHeight="1">
      <c r="V647" s="944" t="e">
        <f>VLOOKUP(U647,R_DD!$B$6:$E$2112,3,0)</f>
        <v>#N/A</v>
      </c>
      <c r="W647" s="943" t="e">
        <f>VLOOKUP(U647,R_DD!$B$6:$E$2112,4,0)</f>
        <v>#N/A</v>
      </c>
      <c r="Z647" s="946" t="e">
        <f>VLOOKUP(X647,R_DD!$B$6:$E$2112,3,0)</f>
        <v>#N/A</v>
      </c>
      <c r="AA647" s="946" t="e">
        <f>VLOOKUP(Y647,R_DD!$A$1:$L$2131,4,0)</f>
        <v>#N/A</v>
      </c>
      <c r="AB647" s="947" t="e">
        <f>VLOOKUP(Y647,R_DD!$A$1:$L$2131,5,0)</f>
        <v>#N/A</v>
      </c>
      <c r="AC647" s="947" t="e">
        <f>VLOOKUP(X647,R_DD!$B$6:$E$2112,4,0)</f>
        <v>#N/A</v>
      </c>
    </row>
    <row r="648" spans="22:29" ht="20.100000000000001" customHeight="1">
      <c r="V648" s="944" t="e">
        <f>VLOOKUP(U648,R_DD!$B$6:$E$2112,3,0)</f>
        <v>#N/A</v>
      </c>
      <c r="W648" s="943" t="e">
        <f>VLOOKUP(U648,R_DD!$B$6:$E$2112,4,0)</f>
        <v>#N/A</v>
      </c>
      <c r="Z648" s="946" t="e">
        <f>VLOOKUP(X648,R_DD!$B$6:$E$2112,3,0)</f>
        <v>#N/A</v>
      </c>
      <c r="AA648" s="946" t="e">
        <f>VLOOKUP(Y648,R_DD!$A$1:$L$2131,4,0)</f>
        <v>#N/A</v>
      </c>
      <c r="AB648" s="947" t="e">
        <f>VLOOKUP(Y648,R_DD!$A$1:$L$2131,5,0)</f>
        <v>#N/A</v>
      </c>
      <c r="AC648" s="947" t="e">
        <f>VLOOKUP(X648,R_DD!$B$6:$E$2112,4,0)</f>
        <v>#N/A</v>
      </c>
    </row>
    <row r="649" spans="22:29" ht="20.100000000000001" customHeight="1">
      <c r="V649" s="944" t="e">
        <f>VLOOKUP(U649,R_DD!$B$6:$E$2112,3,0)</f>
        <v>#N/A</v>
      </c>
      <c r="W649" s="943" t="e">
        <f>VLOOKUP(U649,R_DD!$B$6:$E$2112,4,0)</f>
        <v>#N/A</v>
      </c>
      <c r="Z649" s="946" t="e">
        <f>VLOOKUP(X649,R_DD!$B$6:$E$2112,3,0)</f>
        <v>#N/A</v>
      </c>
      <c r="AA649" s="946" t="e">
        <f>VLOOKUP(Y649,R_DD!$A$1:$L$2131,4,0)</f>
        <v>#N/A</v>
      </c>
      <c r="AB649" s="947" t="e">
        <f>VLOOKUP(Y649,R_DD!$A$1:$L$2131,5,0)</f>
        <v>#N/A</v>
      </c>
      <c r="AC649" s="947" t="e">
        <f>VLOOKUP(X649,R_DD!$B$6:$E$2112,4,0)</f>
        <v>#N/A</v>
      </c>
    </row>
    <row r="650" spans="22:29" ht="20.100000000000001" customHeight="1">
      <c r="V650" s="944" t="e">
        <f>VLOOKUP(U650,R_DD!$B$6:$E$2112,3,0)</f>
        <v>#N/A</v>
      </c>
      <c r="W650" s="943" t="e">
        <f>VLOOKUP(U650,R_DD!$B$6:$E$2112,4,0)</f>
        <v>#N/A</v>
      </c>
      <c r="Z650" s="946" t="e">
        <f>VLOOKUP(X650,R_DD!$B$6:$E$2112,3,0)</f>
        <v>#N/A</v>
      </c>
      <c r="AA650" s="946" t="e">
        <f>VLOOKUP(Y650,R_DD!$A$1:$L$2131,4,0)</f>
        <v>#N/A</v>
      </c>
      <c r="AB650" s="947" t="e">
        <f>VLOOKUP(Y650,R_DD!$A$1:$L$2131,5,0)</f>
        <v>#N/A</v>
      </c>
      <c r="AC650" s="947" t="e">
        <f>VLOOKUP(X650,R_DD!$B$6:$E$2112,4,0)</f>
        <v>#N/A</v>
      </c>
    </row>
    <row r="651" spans="22:29" ht="20.100000000000001" customHeight="1">
      <c r="V651" s="944" t="e">
        <f>VLOOKUP(U651,R_DD!$B$6:$E$2112,3,0)</f>
        <v>#N/A</v>
      </c>
      <c r="W651" s="943" t="e">
        <f>VLOOKUP(U651,R_DD!$B$6:$E$2112,4,0)</f>
        <v>#N/A</v>
      </c>
      <c r="Z651" s="946" t="e">
        <f>VLOOKUP(X651,R_DD!$B$6:$E$2112,3,0)</f>
        <v>#N/A</v>
      </c>
      <c r="AA651" s="946" t="e">
        <f>VLOOKUP(Y651,R_DD!$A$1:$L$2131,4,0)</f>
        <v>#N/A</v>
      </c>
      <c r="AB651" s="947" t="e">
        <f>VLOOKUP(Y651,R_DD!$A$1:$L$2131,5,0)</f>
        <v>#N/A</v>
      </c>
      <c r="AC651" s="947" t="e">
        <f>VLOOKUP(X651,R_DD!$B$6:$E$2112,4,0)</f>
        <v>#N/A</v>
      </c>
    </row>
    <row r="652" spans="22:29" ht="20.100000000000001" customHeight="1">
      <c r="V652" s="944" t="e">
        <f>VLOOKUP(U652,R_DD!$B$6:$E$2112,3,0)</f>
        <v>#N/A</v>
      </c>
      <c r="W652" s="943" t="e">
        <f>VLOOKUP(U652,R_DD!$B$6:$E$2112,4,0)</f>
        <v>#N/A</v>
      </c>
      <c r="Z652" s="946" t="e">
        <f>VLOOKUP(X652,R_DD!$B$6:$E$2112,3,0)</f>
        <v>#N/A</v>
      </c>
      <c r="AA652" s="946" t="e">
        <f>VLOOKUP(Y652,R_DD!$A$1:$L$2131,4,0)</f>
        <v>#N/A</v>
      </c>
      <c r="AB652" s="947" t="e">
        <f>VLOOKUP(Y652,R_DD!$A$1:$L$2131,5,0)</f>
        <v>#N/A</v>
      </c>
      <c r="AC652" s="947" t="e">
        <f>VLOOKUP(X652,R_DD!$B$6:$E$2112,4,0)</f>
        <v>#N/A</v>
      </c>
    </row>
    <row r="653" spans="22:29" ht="20.100000000000001" customHeight="1">
      <c r="V653" s="944" t="e">
        <f>VLOOKUP(U653,R_DD!$B$6:$E$2112,3,0)</f>
        <v>#N/A</v>
      </c>
      <c r="W653" s="943" t="e">
        <f>VLOOKUP(U653,R_DD!$B$6:$E$2112,4,0)</f>
        <v>#N/A</v>
      </c>
      <c r="Z653" s="946" t="e">
        <f>VLOOKUP(X653,R_DD!$B$6:$E$2112,3,0)</f>
        <v>#N/A</v>
      </c>
      <c r="AA653" s="946" t="e">
        <f>VLOOKUP(Y653,R_DD!$A$1:$L$2131,4,0)</f>
        <v>#N/A</v>
      </c>
      <c r="AB653" s="947" t="e">
        <f>VLOOKUP(Y653,R_DD!$A$1:$L$2131,5,0)</f>
        <v>#N/A</v>
      </c>
      <c r="AC653" s="947" t="e">
        <f>VLOOKUP(X653,R_DD!$B$6:$E$2112,4,0)</f>
        <v>#N/A</v>
      </c>
    </row>
    <row r="654" spans="22:29" ht="20.100000000000001" customHeight="1">
      <c r="V654" s="944" t="e">
        <f>VLOOKUP(U654,R_DD!$B$6:$E$2112,3,0)</f>
        <v>#N/A</v>
      </c>
      <c r="W654" s="943" t="e">
        <f>VLOOKUP(U654,R_DD!$B$6:$E$2112,4,0)</f>
        <v>#N/A</v>
      </c>
      <c r="Z654" s="946" t="e">
        <f>VLOOKUP(X654,R_DD!$B$6:$E$2112,3,0)</f>
        <v>#N/A</v>
      </c>
      <c r="AA654" s="946" t="e">
        <f>VLOOKUP(Y654,R_DD!$A$1:$L$2131,4,0)</f>
        <v>#N/A</v>
      </c>
      <c r="AB654" s="947" t="e">
        <f>VLOOKUP(Y654,R_DD!$A$1:$L$2131,5,0)</f>
        <v>#N/A</v>
      </c>
      <c r="AC654" s="947" t="e">
        <f>VLOOKUP(X654,R_DD!$B$6:$E$2112,4,0)</f>
        <v>#N/A</v>
      </c>
    </row>
    <row r="655" spans="22:29" ht="20.100000000000001" customHeight="1">
      <c r="V655" s="944" t="e">
        <f>VLOOKUP(U655,R_DD!$B$6:$E$2112,3,0)</f>
        <v>#N/A</v>
      </c>
      <c r="W655" s="943" t="e">
        <f>VLOOKUP(U655,R_DD!$B$6:$E$2112,4,0)</f>
        <v>#N/A</v>
      </c>
      <c r="Z655" s="946" t="e">
        <f>VLOOKUP(X655,R_DD!$B$6:$E$2112,3,0)</f>
        <v>#N/A</v>
      </c>
      <c r="AA655" s="946" t="e">
        <f>VLOOKUP(Y655,R_DD!$A$1:$L$2131,4,0)</f>
        <v>#N/A</v>
      </c>
      <c r="AB655" s="947" t="e">
        <f>VLOOKUP(Y655,R_DD!$A$1:$L$2131,5,0)</f>
        <v>#N/A</v>
      </c>
      <c r="AC655" s="947" t="e">
        <f>VLOOKUP(X655,R_DD!$B$6:$E$2112,4,0)</f>
        <v>#N/A</v>
      </c>
    </row>
    <row r="656" spans="22:29" ht="20.100000000000001" customHeight="1">
      <c r="V656" s="944" t="e">
        <f>VLOOKUP(U656,R_DD!$B$6:$E$2112,3,0)</f>
        <v>#N/A</v>
      </c>
      <c r="W656" s="943" t="e">
        <f>VLOOKUP(U656,R_DD!$B$6:$E$2112,4,0)</f>
        <v>#N/A</v>
      </c>
      <c r="Z656" s="946" t="e">
        <f>VLOOKUP(X656,R_DD!$B$6:$E$2112,3,0)</f>
        <v>#N/A</v>
      </c>
      <c r="AA656" s="946" t="e">
        <f>VLOOKUP(Y656,R_DD!$A$1:$L$2131,4,0)</f>
        <v>#N/A</v>
      </c>
      <c r="AB656" s="947" t="e">
        <f>VLOOKUP(Y656,R_DD!$A$1:$L$2131,5,0)</f>
        <v>#N/A</v>
      </c>
      <c r="AC656" s="947" t="e">
        <f>VLOOKUP(X656,R_DD!$B$6:$E$2112,4,0)</f>
        <v>#N/A</v>
      </c>
    </row>
    <row r="657" spans="22:29" ht="20.100000000000001" customHeight="1">
      <c r="V657" s="944" t="e">
        <f>VLOOKUP(U657,R_DD!$B$6:$E$2112,3,0)</f>
        <v>#N/A</v>
      </c>
      <c r="W657" s="943" t="e">
        <f>VLOOKUP(U657,R_DD!$B$6:$E$2112,4,0)</f>
        <v>#N/A</v>
      </c>
      <c r="Z657" s="946" t="e">
        <f>VLOOKUP(X657,R_DD!$B$6:$E$2112,3,0)</f>
        <v>#N/A</v>
      </c>
      <c r="AA657" s="946" t="e">
        <f>VLOOKUP(Y657,R_DD!$A$1:$L$2131,4,0)</f>
        <v>#N/A</v>
      </c>
      <c r="AB657" s="947" t="e">
        <f>VLOOKUP(Y657,R_DD!$A$1:$L$2131,5,0)</f>
        <v>#N/A</v>
      </c>
      <c r="AC657" s="947" t="e">
        <f>VLOOKUP(X657,R_DD!$B$6:$E$2112,4,0)</f>
        <v>#N/A</v>
      </c>
    </row>
    <row r="658" spans="22:29" ht="20.100000000000001" customHeight="1">
      <c r="V658" s="944" t="e">
        <f>VLOOKUP(U658,R_DD!$B$6:$E$2112,3,0)</f>
        <v>#N/A</v>
      </c>
      <c r="W658" s="943" t="e">
        <f>VLOOKUP(U658,R_DD!$B$6:$E$2112,4,0)</f>
        <v>#N/A</v>
      </c>
      <c r="Z658" s="946" t="e">
        <f>VLOOKUP(X658,R_DD!$B$6:$E$2112,3,0)</f>
        <v>#N/A</v>
      </c>
      <c r="AA658" s="946" t="e">
        <f>VLOOKUP(Y658,R_DD!$A$1:$L$2131,4,0)</f>
        <v>#N/A</v>
      </c>
      <c r="AB658" s="947" t="e">
        <f>VLOOKUP(Y658,R_DD!$A$1:$L$2131,5,0)</f>
        <v>#N/A</v>
      </c>
      <c r="AC658" s="947" t="e">
        <f>VLOOKUP(X658,R_DD!$B$6:$E$2112,4,0)</f>
        <v>#N/A</v>
      </c>
    </row>
    <row r="659" spans="22:29" ht="20.100000000000001" customHeight="1">
      <c r="V659" s="944" t="e">
        <f>VLOOKUP(U659,R_DD!$B$6:$E$2112,3,0)</f>
        <v>#N/A</v>
      </c>
      <c r="W659" s="943" t="e">
        <f>VLOOKUP(U659,R_DD!$B$6:$E$2112,4,0)</f>
        <v>#N/A</v>
      </c>
      <c r="Z659" s="946" t="e">
        <f>VLOOKUP(X659,R_DD!$B$6:$E$2112,3,0)</f>
        <v>#N/A</v>
      </c>
      <c r="AA659" s="946" t="e">
        <f>VLOOKUP(Y659,R_DD!$A$1:$L$2131,4,0)</f>
        <v>#N/A</v>
      </c>
      <c r="AB659" s="947" t="e">
        <f>VLOOKUP(Y659,R_DD!$A$1:$L$2131,5,0)</f>
        <v>#N/A</v>
      </c>
      <c r="AC659" s="947" t="e">
        <f>VLOOKUP(X659,R_DD!$B$6:$E$2112,4,0)</f>
        <v>#N/A</v>
      </c>
    </row>
    <row r="660" spans="22:29" ht="20.100000000000001" customHeight="1">
      <c r="V660" s="944" t="e">
        <f>VLOOKUP(U660,R_DD!$B$6:$E$2112,3,0)</f>
        <v>#N/A</v>
      </c>
      <c r="W660" s="943" t="e">
        <f>VLOOKUP(U660,R_DD!$B$6:$E$2112,4,0)</f>
        <v>#N/A</v>
      </c>
      <c r="Z660" s="946" t="e">
        <f>VLOOKUP(X660,R_DD!$B$6:$E$2112,3,0)</f>
        <v>#N/A</v>
      </c>
      <c r="AA660" s="946" t="e">
        <f>VLOOKUP(Y660,R_DD!$A$1:$L$2131,4,0)</f>
        <v>#N/A</v>
      </c>
      <c r="AB660" s="947" t="e">
        <f>VLOOKUP(Y660,R_DD!$A$1:$L$2131,5,0)</f>
        <v>#N/A</v>
      </c>
      <c r="AC660" s="947" t="e">
        <f>VLOOKUP(X660,R_DD!$B$6:$E$2112,4,0)</f>
        <v>#N/A</v>
      </c>
    </row>
    <row r="661" spans="22:29" ht="20.100000000000001" customHeight="1">
      <c r="V661" s="944" t="e">
        <f>VLOOKUP(U661,R_DD!$B$6:$E$2112,3,0)</f>
        <v>#N/A</v>
      </c>
      <c r="W661" s="943" t="e">
        <f>VLOOKUP(U661,R_DD!$B$6:$E$2112,4,0)</f>
        <v>#N/A</v>
      </c>
      <c r="Z661" s="946" t="e">
        <f>VLOOKUP(X661,R_DD!$B$6:$E$2112,3,0)</f>
        <v>#N/A</v>
      </c>
      <c r="AA661" s="946" t="e">
        <f>VLOOKUP(Y661,R_DD!$A$1:$L$2131,4,0)</f>
        <v>#N/A</v>
      </c>
      <c r="AB661" s="947" t="e">
        <f>VLOOKUP(Y661,R_DD!$A$1:$L$2131,5,0)</f>
        <v>#N/A</v>
      </c>
      <c r="AC661" s="947" t="e">
        <f>VLOOKUP(X661,R_DD!$B$6:$E$2112,4,0)</f>
        <v>#N/A</v>
      </c>
    </row>
    <row r="662" spans="22:29" ht="20.100000000000001" customHeight="1">
      <c r="V662" s="944" t="e">
        <f>VLOOKUP(U662,R_DD!$B$6:$E$2112,3,0)</f>
        <v>#N/A</v>
      </c>
      <c r="W662" s="943" t="e">
        <f>VLOOKUP(U662,R_DD!$B$6:$E$2112,4,0)</f>
        <v>#N/A</v>
      </c>
      <c r="Z662" s="946" t="e">
        <f>VLOOKUP(X662,R_DD!$B$6:$E$2112,3,0)</f>
        <v>#N/A</v>
      </c>
      <c r="AA662" s="946" t="e">
        <f>VLOOKUP(Y662,R_DD!$A$1:$L$2131,4,0)</f>
        <v>#N/A</v>
      </c>
      <c r="AB662" s="947" t="e">
        <f>VLOOKUP(Y662,R_DD!$A$1:$L$2131,5,0)</f>
        <v>#N/A</v>
      </c>
      <c r="AC662" s="947" t="e">
        <f>VLOOKUP(X662,R_DD!$B$6:$E$2112,4,0)</f>
        <v>#N/A</v>
      </c>
    </row>
    <row r="663" spans="22:29" ht="20.100000000000001" customHeight="1">
      <c r="V663" s="944" t="e">
        <f>VLOOKUP(U663,R_DD!$B$6:$E$2112,3,0)</f>
        <v>#N/A</v>
      </c>
      <c r="W663" s="943" t="e">
        <f>VLOOKUP(U663,R_DD!$B$6:$E$2112,4,0)</f>
        <v>#N/A</v>
      </c>
      <c r="Z663" s="946" t="e">
        <f>VLOOKUP(X663,R_DD!$B$6:$E$2112,3,0)</f>
        <v>#N/A</v>
      </c>
      <c r="AA663" s="946" t="e">
        <f>VLOOKUP(Y663,R_DD!$A$1:$L$2131,4,0)</f>
        <v>#N/A</v>
      </c>
      <c r="AB663" s="947" t="e">
        <f>VLOOKUP(Y663,R_DD!$A$1:$L$2131,5,0)</f>
        <v>#N/A</v>
      </c>
      <c r="AC663" s="947" t="e">
        <f>VLOOKUP(X663,R_DD!$B$6:$E$2112,4,0)</f>
        <v>#N/A</v>
      </c>
    </row>
    <row r="664" spans="22:29" ht="20.100000000000001" customHeight="1">
      <c r="V664" s="944" t="e">
        <f>VLOOKUP(U664,R_DD!$B$6:$E$2112,3,0)</f>
        <v>#N/A</v>
      </c>
      <c r="W664" s="943" t="e">
        <f>VLOOKUP(U664,R_DD!$B$6:$E$2112,4,0)</f>
        <v>#N/A</v>
      </c>
      <c r="Z664" s="946" t="e">
        <f>VLOOKUP(X664,R_DD!$B$6:$E$2112,3,0)</f>
        <v>#N/A</v>
      </c>
      <c r="AA664" s="946" t="e">
        <f>VLOOKUP(Y664,R_DD!$A$1:$L$2131,4,0)</f>
        <v>#N/A</v>
      </c>
      <c r="AB664" s="947" t="e">
        <f>VLOOKUP(Y664,R_DD!$A$1:$L$2131,5,0)</f>
        <v>#N/A</v>
      </c>
      <c r="AC664" s="947" t="e">
        <f>VLOOKUP(X664,R_DD!$B$6:$E$2112,4,0)</f>
        <v>#N/A</v>
      </c>
    </row>
    <row r="665" spans="22:29" ht="20.100000000000001" customHeight="1">
      <c r="V665" s="944" t="e">
        <f>VLOOKUP(U665,R_DD!$B$6:$E$2112,3,0)</f>
        <v>#N/A</v>
      </c>
      <c r="W665" s="943" t="e">
        <f>VLOOKUP(U665,R_DD!$B$6:$E$2112,4,0)</f>
        <v>#N/A</v>
      </c>
      <c r="Z665" s="946" t="e">
        <f>VLOOKUP(X665,R_DD!$B$6:$E$2112,3,0)</f>
        <v>#N/A</v>
      </c>
      <c r="AA665" s="946" t="e">
        <f>VLOOKUP(Y665,R_DD!$A$1:$L$2131,4,0)</f>
        <v>#N/A</v>
      </c>
      <c r="AB665" s="947" t="e">
        <f>VLOOKUP(Y665,R_DD!$A$1:$L$2131,5,0)</f>
        <v>#N/A</v>
      </c>
      <c r="AC665" s="947" t="e">
        <f>VLOOKUP(X665,R_DD!$B$6:$E$2112,4,0)</f>
        <v>#N/A</v>
      </c>
    </row>
    <row r="666" spans="22:29" ht="20.100000000000001" customHeight="1">
      <c r="V666" s="944" t="e">
        <f>VLOOKUP(U666,R_DD!$B$6:$E$2112,3,0)</f>
        <v>#N/A</v>
      </c>
      <c r="W666" s="943" t="e">
        <f>VLOOKUP(U666,R_DD!$B$6:$E$2112,4,0)</f>
        <v>#N/A</v>
      </c>
      <c r="Z666" s="946" t="e">
        <f>VLOOKUP(X666,R_DD!$B$6:$E$2112,3,0)</f>
        <v>#N/A</v>
      </c>
      <c r="AA666" s="946" t="e">
        <f>VLOOKUP(Y666,R_DD!$A$1:$L$2131,4,0)</f>
        <v>#N/A</v>
      </c>
      <c r="AB666" s="947" t="e">
        <f>VLOOKUP(Y666,R_DD!$A$1:$L$2131,5,0)</f>
        <v>#N/A</v>
      </c>
      <c r="AC666" s="947" t="e">
        <f>VLOOKUP(X666,R_DD!$B$6:$E$2112,4,0)</f>
        <v>#N/A</v>
      </c>
    </row>
    <row r="667" spans="22:29" ht="20.100000000000001" customHeight="1">
      <c r="V667" s="944" t="e">
        <f>VLOOKUP(U667,R_DD!$B$6:$E$2112,3,0)</f>
        <v>#N/A</v>
      </c>
      <c r="W667" s="943" t="e">
        <f>VLOOKUP(U667,R_DD!$B$6:$E$2112,4,0)</f>
        <v>#N/A</v>
      </c>
      <c r="Z667" s="946" t="e">
        <f>VLOOKUP(X667,R_DD!$B$6:$E$2112,3,0)</f>
        <v>#N/A</v>
      </c>
      <c r="AA667" s="946" t="e">
        <f>VLOOKUP(Y667,R_DD!$A$1:$L$2131,4,0)</f>
        <v>#N/A</v>
      </c>
      <c r="AB667" s="947" t="e">
        <f>VLOOKUP(Y667,R_DD!$A$1:$L$2131,5,0)</f>
        <v>#N/A</v>
      </c>
      <c r="AC667" s="947" t="e">
        <f>VLOOKUP(X667,R_DD!$B$6:$E$2112,4,0)</f>
        <v>#N/A</v>
      </c>
    </row>
    <row r="668" spans="22:29" ht="20.100000000000001" customHeight="1">
      <c r="V668" s="944" t="e">
        <f>VLOOKUP(U668,R_DD!$B$6:$E$2112,3,0)</f>
        <v>#N/A</v>
      </c>
      <c r="W668" s="943" t="e">
        <f>VLOOKUP(U668,R_DD!$B$6:$E$2112,4,0)</f>
        <v>#N/A</v>
      </c>
      <c r="Z668" s="946" t="e">
        <f>VLOOKUP(X668,R_DD!$B$6:$E$2112,3,0)</f>
        <v>#N/A</v>
      </c>
      <c r="AA668" s="946" t="e">
        <f>VLOOKUP(Y668,R_DD!$A$1:$L$2131,4,0)</f>
        <v>#N/A</v>
      </c>
      <c r="AB668" s="947" t="e">
        <f>VLOOKUP(Y668,R_DD!$A$1:$L$2131,5,0)</f>
        <v>#N/A</v>
      </c>
      <c r="AC668" s="947" t="e">
        <f>VLOOKUP(X668,R_DD!$B$6:$E$2112,4,0)</f>
        <v>#N/A</v>
      </c>
    </row>
    <row r="669" spans="22:29" ht="20.100000000000001" customHeight="1">
      <c r="V669" s="944" t="e">
        <f>VLOOKUP(U669,R_DD!$B$6:$E$2112,3,0)</f>
        <v>#N/A</v>
      </c>
      <c r="W669" s="943" t="e">
        <f>VLOOKUP(U669,R_DD!$B$6:$E$2112,4,0)</f>
        <v>#N/A</v>
      </c>
      <c r="Z669" s="946" t="e">
        <f>VLOOKUP(X669,R_DD!$B$6:$E$2112,3,0)</f>
        <v>#N/A</v>
      </c>
      <c r="AA669" s="946" t="e">
        <f>VLOOKUP(Y669,R_DD!$A$1:$L$2131,4,0)</f>
        <v>#N/A</v>
      </c>
      <c r="AB669" s="947" t="e">
        <f>VLOOKUP(Y669,R_DD!$A$1:$L$2131,5,0)</f>
        <v>#N/A</v>
      </c>
      <c r="AC669" s="947" t="e">
        <f>VLOOKUP(X669,R_DD!$B$6:$E$2112,4,0)</f>
        <v>#N/A</v>
      </c>
    </row>
    <row r="670" spans="22:29" ht="20.100000000000001" customHeight="1">
      <c r="V670" s="944" t="e">
        <f>VLOOKUP(U670,R_DD!$B$6:$E$2112,3,0)</f>
        <v>#N/A</v>
      </c>
      <c r="W670" s="943" t="e">
        <f>VLOOKUP(U670,R_DD!$B$6:$E$2112,4,0)</f>
        <v>#N/A</v>
      </c>
      <c r="Z670" s="946" t="e">
        <f>VLOOKUP(X670,R_DD!$B$6:$E$2112,3,0)</f>
        <v>#N/A</v>
      </c>
      <c r="AA670" s="946" t="e">
        <f>VLOOKUP(Y670,R_DD!$A$1:$L$2131,4,0)</f>
        <v>#N/A</v>
      </c>
      <c r="AB670" s="947" t="e">
        <f>VLOOKUP(Y670,R_DD!$A$1:$L$2131,5,0)</f>
        <v>#N/A</v>
      </c>
      <c r="AC670" s="947" t="e">
        <f>VLOOKUP(X670,R_DD!$B$6:$E$2112,4,0)</f>
        <v>#N/A</v>
      </c>
    </row>
    <row r="671" spans="22:29" ht="20.100000000000001" customHeight="1">
      <c r="V671" s="944" t="e">
        <f>VLOOKUP(U671,R_DD!$B$6:$E$2112,3,0)</f>
        <v>#N/A</v>
      </c>
      <c r="W671" s="943" t="e">
        <f>VLOOKUP(U671,R_DD!$B$6:$E$2112,4,0)</f>
        <v>#N/A</v>
      </c>
      <c r="Z671" s="946" t="e">
        <f>VLOOKUP(X671,R_DD!$B$6:$E$2112,3,0)</f>
        <v>#N/A</v>
      </c>
      <c r="AA671" s="946" t="e">
        <f>VLOOKUP(Y671,R_DD!$A$1:$L$2131,4,0)</f>
        <v>#N/A</v>
      </c>
      <c r="AB671" s="947" t="e">
        <f>VLOOKUP(Y671,R_DD!$A$1:$L$2131,5,0)</f>
        <v>#N/A</v>
      </c>
      <c r="AC671" s="947" t="e">
        <f>VLOOKUP(X671,R_DD!$B$6:$E$2112,4,0)</f>
        <v>#N/A</v>
      </c>
    </row>
    <row r="672" spans="22:29" ht="20.100000000000001" customHeight="1">
      <c r="V672" s="944" t="e">
        <f>VLOOKUP(U672,R_DD!$B$6:$E$2112,3,0)</f>
        <v>#N/A</v>
      </c>
      <c r="W672" s="943" t="e">
        <f>VLOOKUP(U672,R_DD!$B$6:$E$2112,4,0)</f>
        <v>#N/A</v>
      </c>
      <c r="Z672" s="946" t="e">
        <f>VLOOKUP(X672,R_DD!$B$6:$E$2112,3,0)</f>
        <v>#N/A</v>
      </c>
      <c r="AA672" s="946" t="e">
        <f>VLOOKUP(Y672,R_DD!$A$1:$L$2131,4,0)</f>
        <v>#N/A</v>
      </c>
      <c r="AB672" s="947" t="e">
        <f>VLOOKUP(Y672,R_DD!$A$1:$L$2131,5,0)</f>
        <v>#N/A</v>
      </c>
      <c r="AC672" s="947" t="e">
        <f>VLOOKUP(X672,R_DD!$B$6:$E$2112,4,0)</f>
        <v>#N/A</v>
      </c>
    </row>
    <row r="673" spans="22:29" ht="20.100000000000001" customHeight="1">
      <c r="V673" s="944" t="e">
        <f>VLOOKUP(U673,R_DD!$B$6:$E$2112,3,0)</f>
        <v>#N/A</v>
      </c>
      <c r="W673" s="943" t="e">
        <f>VLOOKUP(U673,R_DD!$B$6:$E$2112,4,0)</f>
        <v>#N/A</v>
      </c>
      <c r="Z673" s="946" t="e">
        <f>VLOOKUP(X673,R_DD!$B$6:$E$2112,3,0)</f>
        <v>#N/A</v>
      </c>
      <c r="AA673" s="946" t="e">
        <f>VLOOKUP(Y673,R_DD!$A$1:$L$2131,4,0)</f>
        <v>#N/A</v>
      </c>
      <c r="AB673" s="947" t="e">
        <f>VLOOKUP(Y673,R_DD!$A$1:$L$2131,5,0)</f>
        <v>#N/A</v>
      </c>
      <c r="AC673" s="947" t="e">
        <f>VLOOKUP(X673,R_DD!$B$6:$E$2112,4,0)</f>
        <v>#N/A</v>
      </c>
    </row>
    <row r="674" spans="22:29" ht="20.100000000000001" customHeight="1">
      <c r="V674" s="944" t="e">
        <f>VLOOKUP(U674,R_DD!$B$6:$E$2112,3,0)</f>
        <v>#N/A</v>
      </c>
      <c r="W674" s="943" t="e">
        <f>VLOOKUP(U674,R_DD!$B$6:$E$2112,4,0)</f>
        <v>#N/A</v>
      </c>
      <c r="Z674" s="946" t="e">
        <f>VLOOKUP(X674,R_DD!$B$6:$E$2112,3,0)</f>
        <v>#N/A</v>
      </c>
      <c r="AA674" s="946" t="e">
        <f>VLOOKUP(Y674,R_DD!$A$1:$L$2131,4,0)</f>
        <v>#N/A</v>
      </c>
      <c r="AB674" s="947" t="e">
        <f>VLOOKUP(Y674,R_DD!$A$1:$L$2131,5,0)</f>
        <v>#N/A</v>
      </c>
      <c r="AC674" s="947" t="e">
        <f>VLOOKUP(X674,R_DD!$B$6:$E$2112,4,0)</f>
        <v>#N/A</v>
      </c>
    </row>
    <row r="675" spans="22:29" ht="20.100000000000001" customHeight="1">
      <c r="V675" s="944" t="e">
        <f>VLOOKUP(U675,R_DD!$B$6:$E$2112,3,0)</f>
        <v>#N/A</v>
      </c>
      <c r="W675" s="943" t="e">
        <f>VLOOKUP(U675,R_DD!$B$6:$E$2112,4,0)</f>
        <v>#N/A</v>
      </c>
      <c r="Z675" s="946" t="e">
        <f>VLOOKUP(X675,R_DD!$B$6:$E$2112,3,0)</f>
        <v>#N/A</v>
      </c>
      <c r="AA675" s="946" t="e">
        <f>VLOOKUP(Y675,R_DD!$A$1:$L$2131,4,0)</f>
        <v>#N/A</v>
      </c>
      <c r="AB675" s="947" t="e">
        <f>VLOOKUP(Y675,R_DD!$A$1:$L$2131,5,0)</f>
        <v>#N/A</v>
      </c>
      <c r="AC675" s="947" t="e">
        <f>VLOOKUP(X675,R_DD!$B$6:$E$2112,4,0)</f>
        <v>#N/A</v>
      </c>
    </row>
    <row r="676" spans="22:29" ht="20.100000000000001" customHeight="1">
      <c r="V676" s="944" t="e">
        <f>VLOOKUP(U676,R_DD!$B$6:$E$2112,3,0)</f>
        <v>#N/A</v>
      </c>
      <c r="W676" s="943" t="e">
        <f>VLOOKUP(U676,R_DD!$B$6:$E$2112,4,0)</f>
        <v>#N/A</v>
      </c>
      <c r="Z676" s="946" t="e">
        <f>VLOOKUP(X676,R_DD!$B$6:$E$2112,3,0)</f>
        <v>#N/A</v>
      </c>
      <c r="AA676" s="946" t="e">
        <f>VLOOKUP(Y676,R_DD!$A$1:$L$2131,4,0)</f>
        <v>#N/A</v>
      </c>
      <c r="AB676" s="947" t="e">
        <f>VLOOKUP(Y676,R_DD!$A$1:$L$2131,5,0)</f>
        <v>#N/A</v>
      </c>
      <c r="AC676" s="947" t="e">
        <f>VLOOKUP(X676,R_DD!$B$6:$E$2112,4,0)</f>
        <v>#N/A</v>
      </c>
    </row>
    <row r="677" spans="22:29" ht="20.100000000000001" customHeight="1">
      <c r="V677" s="944" t="e">
        <f>VLOOKUP(U677,R_DD!$B$6:$E$2112,3,0)</f>
        <v>#N/A</v>
      </c>
      <c r="W677" s="943" t="e">
        <f>VLOOKUP(U677,R_DD!$B$6:$E$2112,4,0)</f>
        <v>#N/A</v>
      </c>
      <c r="Z677" s="946" t="e">
        <f>VLOOKUP(X677,R_DD!$B$6:$E$2112,3,0)</f>
        <v>#N/A</v>
      </c>
      <c r="AA677" s="946" t="e">
        <f>VLOOKUP(Y677,R_DD!$A$1:$L$2131,4,0)</f>
        <v>#N/A</v>
      </c>
      <c r="AB677" s="947" t="e">
        <f>VLOOKUP(Y677,R_DD!$A$1:$L$2131,5,0)</f>
        <v>#N/A</v>
      </c>
      <c r="AC677" s="947" t="e">
        <f>VLOOKUP(X677,R_DD!$B$6:$E$2112,4,0)</f>
        <v>#N/A</v>
      </c>
    </row>
    <row r="678" spans="22:29" ht="20.100000000000001" customHeight="1">
      <c r="V678" s="944" t="e">
        <f>VLOOKUP(U678,R_DD!$B$6:$E$2112,3,0)</f>
        <v>#N/A</v>
      </c>
      <c r="W678" s="943" t="e">
        <f>VLOOKUP(U678,R_DD!$B$6:$E$2112,4,0)</f>
        <v>#N/A</v>
      </c>
      <c r="Z678" s="946" t="e">
        <f>VLOOKUP(X678,R_DD!$B$6:$E$2112,3,0)</f>
        <v>#N/A</v>
      </c>
      <c r="AA678" s="946" t="e">
        <f>VLOOKUP(Y678,R_DD!$A$1:$L$2131,4,0)</f>
        <v>#N/A</v>
      </c>
      <c r="AB678" s="947" t="e">
        <f>VLOOKUP(Y678,R_DD!$A$1:$L$2131,5,0)</f>
        <v>#N/A</v>
      </c>
      <c r="AC678" s="947" t="e">
        <f>VLOOKUP(X678,R_DD!$B$6:$E$2112,4,0)</f>
        <v>#N/A</v>
      </c>
    </row>
    <row r="679" spans="22:29" ht="20.100000000000001" customHeight="1">
      <c r="V679" s="944" t="e">
        <f>VLOOKUP(U679,R_DD!$B$6:$E$2112,3,0)</f>
        <v>#N/A</v>
      </c>
      <c r="W679" s="943" t="e">
        <f>VLOOKUP(U679,R_DD!$B$6:$E$2112,4,0)</f>
        <v>#N/A</v>
      </c>
      <c r="Z679" s="946" t="e">
        <f>VLOOKUP(X679,R_DD!$B$6:$E$2112,3,0)</f>
        <v>#N/A</v>
      </c>
      <c r="AA679" s="946" t="e">
        <f>VLOOKUP(Y679,R_DD!$A$1:$L$2131,4,0)</f>
        <v>#N/A</v>
      </c>
      <c r="AB679" s="947" t="e">
        <f>VLOOKUP(Y679,R_DD!$A$1:$L$2131,5,0)</f>
        <v>#N/A</v>
      </c>
      <c r="AC679" s="947" t="e">
        <f>VLOOKUP(X679,R_DD!$B$6:$E$2112,4,0)</f>
        <v>#N/A</v>
      </c>
    </row>
    <row r="680" spans="22:29" ht="20.100000000000001" customHeight="1">
      <c r="V680" s="944" t="e">
        <f>VLOOKUP(U680,R_DD!$B$6:$E$2112,3,0)</f>
        <v>#N/A</v>
      </c>
      <c r="W680" s="943" t="e">
        <f>VLOOKUP(U680,R_DD!$B$6:$E$2112,4,0)</f>
        <v>#N/A</v>
      </c>
      <c r="Z680" s="946" t="e">
        <f>VLOOKUP(X680,R_DD!$B$6:$E$2112,3,0)</f>
        <v>#N/A</v>
      </c>
      <c r="AA680" s="946" t="e">
        <f>VLOOKUP(Y680,R_DD!$A$1:$L$2131,4,0)</f>
        <v>#N/A</v>
      </c>
      <c r="AB680" s="947" t="e">
        <f>VLOOKUP(Y680,R_DD!$A$1:$L$2131,5,0)</f>
        <v>#N/A</v>
      </c>
      <c r="AC680" s="947" t="e">
        <f>VLOOKUP(X680,R_DD!$B$6:$E$2112,4,0)</f>
        <v>#N/A</v>
      </c>
    </row>
    <row r="681" spans="22:29" ht="20.100000000000001" customHeight="1">
      <c r="V681" s="944" t="e">
        <f>VLOOKUP(U681,R_DD!$B$6:$E$2112,3,0)</f>
        <v>#N/A</v>
      </c>
      <c r="W681" s="943" t="e">
        <f>VLOOKUP(U681,R_DD!$B$6:$E$2112,4,0)</f>
        <v>#N/A</v>
      </c>
      <c r="Z681" s="946" t="e">
        <f>VLOOKUP(X681,R_DD!$B$6:$E$2112,3,0)</f>
        <v>#N/A</v>
      </c>
      <c r="AA681" s="946" t="e">
        <f>VLOOKUP(Y681,R_DD!$A$1:$L$2131,4,0)</f>
        <v>#N/A</v>
      </c>
      <c r="AB681" s="947" t="e">
        <f>VLOOKUP(Y681,R_DD!$A$1:$L$2131,5,0)</f>
        <v>#N/A</v>
      </c>
      <c r="AC681" s="947" t="e">
        <f>VLOOKUP(X681,R_DD!$B$6:$E$2112,4,0)</f>
        <v>#N/A</v>
      </c>
    </row>
    <row r="682" spans="22:29" ht="20.100000000000001" customHeight="1">
      <c r="V682" s="944" t="e">
        <f>VLOOKUP(U682,R_DD!$B$6:$E$2112,3,0)</f>
        <v>#N/A</v>
      </c>
      <c r="W682" s="943" t="e">
        <f>VLOOKUP(U682,R_DD!$B$6:$E$2112,4,0)</f>
        <v>#N/A</v>
      </c>
      <c r="Z682" s="946" t="e">
        <f>VLOOKUP(X682,R_DD!$B$6:$E$2112,3,0)</f>
        <v>#N/A</v>
      </c>
      <c r="AA682" s="946" t="e">
        <f>VLOOKUP(Y682,R_DD!$A$1:$L$2131,4,0)</f>
        <v>#N/A</v>
      </c>
      <c r="AB682" s="947" t="e">
        <f>VLOOKUP(Y682,R_DD!$A$1:$L$2131,5,0)</f>
        <v>#N/A</v>
      </c>
      <c r="AC682" s="947" t="e">
        <f>VLOOKUP(X682,R_DD!$B$6:$E$2112,4,0)</f>
        <v>#N/A</v>
      </c>
    </row>
    <row r="683" spans="22:29" ht="20.100000000000001" customHeight="1">
      <c r="V683" s="944" t="e">
        <f>VLOOKUP(U683,R_DD!$B$6:$E$2112,3,0)</f>
        <v>#N/A</v>
      </c>
      <c r="W683" s="943" t="e">
        <f>VLOOKUP(U683,R_DD!$B$6:$E$2112,4,0)</f>
        <v>#N/A</v>
      </c>
      <c r="Z683" s="946" t="e">
        <f>VLOOKUP(X683,R_DD!$B$6:$E$2112,3,0)</f>
        <v>#N/A</v>
      </c>
      <c r="AA683" s="946" t="e">
        <f>VLOOKUP(Y683,R_DD!$A$1:$L$2131,4,0)</f>
        <v>#N/A</v>
      </c>
      <c r="AB683" s="947" t="e">
        <f>VLOOKUP(Y683,R_DD!$A$1:$L$2131,5,0)</f>
        <v>#N/A</v>
      </c>
      <c r="AC683" s="947" t="e">
        <f>VLOOKUP(X683,R_DD!$B$6:$E$2112,4,0)</f>
        <v>#N/A</v>
      </c>
    </row>
    <row r="684" spans="22:29" ht="20.100000000000001" customHeight="1">
      <c r="V684" s="944" t="e">
        <f>VLOOKUP(U684,R_DD!$B$6:$E$2112,3,0)</f>
        <v>#N/A</v>
      </c>
      <c r="W684" s="943" t="e">
        <f>VLOOKUP(U684,R_DD!$B$6:$E$2112,4,0)</f>
        <v>#N/A</v>
      </c>
      <c r="Z684" s="946" t="e">
        <f>VLOOKUP(X684,R_DD!$B$6:$E$2112,3,0)</f>
        <v>#N/A</v>
      </c>
      <c r="AA684" s="946" t="e">
        <f>VLOOKUP(Y684,R_DD!$A$1:$L$2131,4,0)</f>
        <v>#N/A</v>
      </c>
      <c r="AB684" s="947" t="e">
        <f>VLOOKUP(Y684,R_DD!$A$1:$L$2131,5,0)</f>
        <v>#N/A</v>
      </c>
      <c r="AC684" s="947" t="e">
        <f>VLOOKUP(X684,R_DD!$B$6:$E$2112,4,0)</f>
        <v>#N/A</v>
      </c>
    </row>
    <row r="685" spans="22:29" ht="20.100000000000001" customHeight="1">
      <c r="V685" s="944" t="e">
        <f>VLOOKUP(U685,R_DD!$B$6:$E$2112,3,0)</f>
        <v>#N/A</v>
      </c>
      <c r="W685" s="943" t="e">
        <f>VLOOKUP(U685,R_DD!$B$6:$E$2112,4,0)</f>
        <v>#N/A</v>
      </c>
      <c r="Z685" s="946" t="e">
        <f>VLOOKUP(X685,R_DD!$B$6:$E$2112,3,0)</f>
        <v>#N/A</v>
      </c>
      <c r="AA685" s="946" t="e">
        <f>VLOOKUP(Y685,R_DD!$A$1:$L$2131,4,0)</f>
        <v>#N/A</v>
      </c>
      <c r="AB685" s="947" t="e">
        <f>VLOOKUP(Y685,R_DD!$A$1:$L$2131,5,0)</f>
        <v>#N/A</v>
      </c>
      <c r="AC685" s="947" t="e">
        <f>VLOOKUP(X685,R_DD!$B$6:$E$2112,4,0)</f>
        <v>#N/A</v>
      </c>
    </row>
    <row r="686" spans="22:29" ht="20.100000000000001" customHeight="1">
      <c r="V686" s="944" t="e">
        <f>VLOOKUP(U686,R_DD!$B$6:$E$2112,3,0)</f>
        <v>#N/A</v>
      </c>
      <c r="W686" s="943" t="e">
        <f>VLOOKUP(U686,R_DD!$B$6:$E$2112,4,0)</f>
        <v>#N/A</v>
      </c>
      <c r="Z686" s="946" t="e">
        <f>VLOOKUP(X686,R_DD!$B$6:$E$2112,3,0)</f>
        <v>#N/A</v>
      </c>
      <c r="AA686" s="946" t="e">
        <f>VLOOKUP(Y686,R_DD!$A$1:$L$2131,4,0)</f>
        <v>#N/A</v>
      </c>
      <c r="AB686" s="947" t="e">
        <f>VLOOKUP(Y686,R_DD!$A$1:$L$2131,5,0)</f>
        <v>#N/A</v>
      </c>
      <c r="AC686" s="947" t="e">
        <f>VLOOKUP(X686,R_DD!$B$6:$E$2112,4,0)</f>
        <v>#N/A</v>
      </c>
    </row>
    <row r="687" spans="22:29" ht="20.100000000000001" customHeight="1">
      <c r="V687" s="944" t="e">
        <f>VLOOKUP(U687,R_DD!$B$6:$E$2112,3,0)</f>
        <v>#N/A</v>
      </c>
      <c r="W687" s="943" t="e">
        <f>VLOOKUP(U687,R_DD!$B$6:$E$2112,4,0)</f>
        <v>#N/A</v>
      </c>
      <c r="Z687" s="946" t="e">
        <f>VLOOKUP(X687,R_DD!$B$6:$E$2112,3,0)</f>
        <v>#N/A</v>
      </c>
      <c r="AA687" s="946" t="e">
        <f>VLOOKUP(Y687,R_DD!$A$1:$L$2131,4,0)</f>
        <v>#N/A</v>
      </c>
      <c r="AB687" s="947" t="e">
        <f>VLOOKUP(Y687,R_DD!$A$1:$L$2131,5,0)</f>
        <v>#N/A</v>
      </c>
      <c r="AC687" s="947" t="e">
        <f>VLOOKUP(X687,R_DD!$B$6:$E$2112,4,0)</f>
        <v>#N/A</v>
      </c>
    </row>
    <row r="688" spans="22:29" ht="20.100000000000001" customHeight="1">
      <c r="V688" s="944" t="e">
        <f>VLOOKUP(U688,R_DD!$B$6:$E$2112,3,0)</f>
        <v>#N/A</v>
      </c>
      <c r="W688" s="943" t="e">
        <f>VLOOKUP(U688,R_DD!$B$6:$E$2112,4,0)</f>
        <v>#N/A</v>
      </c>
      <c r="Z688" s="946" t="e">
        <f>VLOOKUP(X688,R_DD!$B$6:$E$2112,3,0)</f>
        <v>#N/A</v>
      </c>
      <c r="AA688" s="946" t="e">
        <f>VLOOKUP(Y688,R_DD!$A$1:$L$2131,4,0)</f>
        <v>#N/A</v>
      </c>
      <c r="AB688" s="947" t="e">
        <f>VLOOKUP(Y688,R_DD!$A$1:$L$2131,5,0)</f>
        <v>#N/A</v>
      </c>
      <c r="AC688" s="947" t="e">
        <f>VLOOKUP(X688,R_DD!$B$6:$E$2112,4,0)</f>
        <v>#N/A</v>
      </c>
    </row>
    <row r="689" spans="22:29" ht="20.100000000000001" customHeight="1">
      <c r="V689" s="944" t="e">
        <f>VLOOKUP(U689,R_DD!$B$6:$E$2112,3,0)</f>
        <v>#N/A</v>
      </c>
      <c r="W689" s="943" t="e">
        <f>VLOOKUP(U689,R_DD!$B$6:$E$2112,4,0)</f>
        <v>#N/A</v>
      </c>
      <c r="Z689" s="946" t="e">
        <f>VLOOKUP(X689,R_DD!$B$6:$E$2112,3,0)</f>
        <v>#N/A</v>
      </c>
      <c r="AA689" s="946" t="e">
        <f>VLOOKUP(Y689,R_DD!$A$1:$L$2131,4,0)</f>
        <v>#N/A</v>
      </c>
      <c r="AB689" s="947" t="e">
        <f>VLOOKUP(Y689,R_DD!$A$1:$L$2131,5,0)</f>
        <v>#N/A</v>
      </c>
      <c r="AC689" s="947" t="e">
        <f>VLOOKUP(X689,R_DD!$B$6:$E$2112,4,0)</f>
        <v>#N/A</v>
      </c>
    </row>
    <row r="690" spans="22:29" ht="20.100000000000001" customHeight="1">
      <c r="V690" s="944" t="e">
        <f>VLOOKUP(U690,R_DD!$B$6:$E$2112,3,0)</f>
        <v>#N/A</v>
      </c>
      <c r="W690" s="943" t="e">
        <f>VLOOKUP(U690,R_DD!$B$6:$E$2112,4,0)</f>
        <v>#N/A</v>
      </c>
      <c r="Z690" s="946" t="e">
        <f>VLOOKUP(X690,R_DD!$B$6:$E$2112,3,0)</f>
        <v>#N/A</v>
      </c>
      <c r="AA690" s="946" t="e">
        <f>VLOOKUP(Y690,R_DD!$A$1:$L$2131,4,0)</f>
        <v>#N/A</v>
      </c>
      <c r="AB690" s="947" t="e">
        <f>VLOOKUP(Y690,R_DD!$A$1:$L$2131,5,0)</f>
        <v>#N/A</v>
      </c>
      <c r="AC690" s="947" t="e">
        <f>VLOOKUP(X690,R_DD!$B$6:$E$2112,4,0)</f>
        <v>#N/A</v>
      </c>
    </row>
    <row r="691" spans="22:29" ht="20.100000000000001" customHeight="1">
      <c r="V691" s="944" t="e">
        <f>VLOOKUP(U691,R_DD!$B$6:$E$2112,3,0)</f>
        <v>#N/A</v>
      </c>
      <c r="W691" s="943" t="e">
        <f>VLOOKUP(U691,R_DD!$B$6:$E$2112,4,0)</f>
        <v>#N/A</v>
      </c>
      <c r="Z691" s="946" t="e">
        <f>VLOOKUP(X691,R_DD!$B$6:$E$2112,3,0)</f>
        <v>#N/A</v>
      </c>
      <c r="AA691" s="946" t="e">
        <f>VLOOKUP(Y691,R_DD!$A$1:$L$2131,4,0)</f>
        <v>#N/A</v>
      </c>
      <c r="AB691" s="947" t="e">
        <f>VLOOKUP(Y691,R_DD!$A$1:$L$2131,5,0)</f>
        <v>#N/A</v>
      </c>
      <c r="AC691" s="947" t="e">
        <f>VLOOKUP(X691,R_DD!$B$6:$E$2112,4,0)</f>
        <v>#N/A</v>
      </c>
    </row>
    <row r="692" spans="22:29" ht="20.100000000000001" customHeight="1">
      <c r="V692" s="944" t="e">
        <f>VLOOKUP(U692,R_DD!$B$6:$E$2112,3,0)</f>
        <v>#N/A</v>
      </c>
      <c r="W692" s="943" t="e">
        <f>VLOOKUP(U692,R_DD!$B$6:$E$2112,4,0)</f>
        <v>#N/A</v>
      </c>
      <c r="Z692" s="946" t="e">
        <f>VLOOKUP(X692,R_DD!$B$6:$E$2112,3,0)</f>
        <v>#N/A</v>
      </c>
      <c r="AA692" s="946" t="e">
        <f>VLOOKUP(Y692,R_DD!$A$1:$L$2131,4,0)</f>
        <v>#N/A</v>
      </c>
      <c r="AB692" s="947" t="e">
        <f>VLOOKUP(Y692,R_DD!$A$1:$L$2131,5,0)</f>
        <v>#N/A</v>
      </c>
      <c r="AC692" s="947" t="e">
        <f>VLOOKUP(X692,R_DD!$B$6:$E$2112,4,0)</f>
        <v>#N/A</v>
      </c>
    </row>
    <row r="693" spans="22:29" ht="20.100000000000001" customHeight="1">
      <c r="V693" s="944" t="e">
        <f>VLOOKUP(U693,R_DD!$B$6:$E$2112,3,0)</f>
        <v>#N/A</v>
      </c>
      <c r="W693" s="943" t="e">
        <f>VLOOKUP(U693,R_DD!$B$6:$E$2112,4,0)</f>
        <v>#N/A</v>
      </c>
      <c r="Z693" s="946" t="e">
        <f>VLOOKUP(X693,R_DD!$B$6:$E$2112,3,0)</f>
        <v>#N/A</v>
      </c>
      <c r="AA693" s="946" t="e">
        <f>VLOOKUP(Y693,R_DD!$A$1:$L$2131,4,0)</f>
        <v>#N/A</v>
      </c>
      <c r="AB693" s="947" t="e">
        <f>VLOOKUP(Y693,R_DD!$A$1:$L$2131,5,0)</f>
        <v>#N/A</v>
      </c>
      <c r="AC693" s="947" t="e">
        <f>VLOOKUP(X693,R_DD!$B$6:$E$2112,4,0)</f>
        <v>#N/A</v>
      </c>
    </row>
    <row r="694" spans="22:29" ht="20.100000000000001" customHeight="1">
      <c r="V694" s="944" t="e">
        <f>VLOOKUP(U694,R_DD!$B$6:$E$2112,3,0)</f>
        <v>#N/A</v>
      </c>
      <c r="W694" s="943" t="e">
        <f>VLOOKUP(U694,R_DD!$B$6:$E$2112,4,0)</f>
        <v>#N/A</v>
      </c>
      <c r="Z694" s="946" t="e">
        <f>VLOOKUP(X694,R_DD!$B$6:$E$2112,3,0)</f>
        <v>#N/A</v>
      </c>
      <c r="AA694" s="946" t="e">
        <f>VLOOKUP(Y694,R_DD!$A$1:$L$2131,4,0)</f>
        <v>#N/A</v>
      </c>
      <c r="AB694" s="947" t="e">
        <f>VLOOKUP(Y694,R_DD!$A$1:$L$2131,5,0)</f>
        <v>#N/A</v>
      </c>
      <c r="AC694" s="947" t="e">
        <f>VLOOKUP(X694,R_DD!$B$6:$E$2112,4,0)</f>
        <v>#N/A</v>
      </c>
    </row>
    <row r="695" spans="22:29" ht="20.100000000000001" customHeight="1">
      <c r="V695" s="944" t="e">
        <f>VLOOKUP(U695,R_DD!$B$6:$E$2112,3,0)</f>
        <v>#N/A</v>
      </c>
      <c r="W695" s="943" t="e">
        <f>VLOOKUP(U695,R_DD!$B$6:$E$2112,4,0)</f>
        <v>#N/A</v>
      </c>
      <c r="Z695" s="946" t="e">
        <f>VLOOKUP(X695,R_DD!$B$6:$E$2112,3,0)</f>
        <v>#N/A</v>
      </c>
      <c r="AA695" s="946" t="e">
        <f>VLOOKUP(Y695,R_DD!$A$1:$L$2131,4,0)</f>
        <v>#N/A</v>
      </c>
      <c r="AB695" s="947" t="e">
        <f>VLOOKUP(Y695,R_DD!$A$1:$L$2131,5,0)</f>
        <v>#N/A</v>
      </c>
      <c r="AC695" s="947" t="e">
        <f>VLOOKUP(X695,R_DD!$B$6:$E$2112,4,0)</f>
        <v>#N/A</v>
      </c>
    </row>
    <row r="696" spans="22:29" ht="20.100000000000001" customHeight="1">
      <c r="V696" s="944" t="e">
        <f>VLOOKUP(U696,R_DD!$B$6:$E$2112,3,0)</f>
        <v>#N/A</v>
      </c>
      <c r="W696" s="943" t="e">
        <f>VLOOKUP(U696,R_DD!$B$6:$E$2112,4,0)</f>
        <v>#N/A</v>
      </c>
      <c r="Z696" s="946" t="e">
        <f>VLOOKUP(X696,R_DD!$B$6:$E$2112,3,0)</f>
        <v>#N/A</v>
      </c>
      <c r="AA696" s="946" t="e">
        <f>VLOOKUP(Y696,R_DD!$A$1:$L$2131,4,0)</f>
        <v>#N/A</v>
      </c>
      <c r="AB696" s="947" t="e">
        <f>VLOOKUP(Y696,R_DD!$A$1:$L$2131,5,0)</f>
        <v>#N/A</v>
      </c>
      <c r="AC696" s="947" t="e">
        <f>VLOOKUP(X696,R_DD!$B$6:$E$2112,4,0)</f>
        <v>#N/A</v>
      </c>
    </row>
    <row r="697" spans="22:29" ht="20.100000000000001" customHeight="1">
      <c r="V697" s="944" t="e">
        <f>VLOOKUP(U697,R_DD!$B$6:$E$2112,3,0)</f>
        <v>#N/A</v>
      </c>
      <c r="W697" s="943" t="e">
        <f>VLOOKUP(U697,R_DD!$B$6:$E$2112,4,0)</f>
        <v>#N/A</v>
      </c>
      <c r="Z697" s="946" t="e">
        <f>VLOOKUP(X697,R_DD!$B$6:$E$2112,3,0)</f>
        <v>#N/A</v>
      </c>
      <c r="AA697" s="946" t="e">
        <f>VLOOKUP(Y697,R_DD!$A$1:$L$2131,4,0)</f>
        <v>#N/A</v>
      </c>
      <c r="AB697" s="947" t="e">
        <f>VLOOKUP(Y697,R_DD!$A$1:$L$2131,5,0)</f>
        <v>#N/A</v>
      </c>
      <c r="AC697" s="947" t="e">
        <f>VLOOKUP(X697,R_DD!$B$6:$E$2112,4,0)</f>
        <v>#N/A</v>
      </c>
    </row>
    <row r="698" spans="22:29" ht="20.100000000000001" customHeight="1">
      <c r="V698" s="944" t="e">
        <f>VLOOKUP(U698,R_DD!$B$6:$E$2112,3,0)</f>
        <v>#N/A</v>
      </c>
      <c r="W698" s="943" t="e">
        <f>VLOOKUP(U698,R_DD!$B$6:$E$2112,4,0)</f>
        <v>#N/A</v>
      </c>
      <c r="Z698" s="946" t="e">
        <f>VLOOKUP(X698,R_DD!$B$6:$E$2112,3,0)</f>
        <v>#N/A</v>
      </c>
      <c r="AA698" s="946" t="e">
        <f>VLOOKUP(Y698,R_DD!$A$1:$L$2131,4,0)</f>
        <v>#N/A</v>
      </c>
      <c r="AB698" s="947" t="e">
        <f>VLOOKUP(Y698,R_DD!$A$1:$L$2131,5,0)</f>
        <v>#N/A</v>
      </c>
      <c r="AC698" s="947" t="e">
        <f>VLOOKUP(X698,R_DD!$B$6:$E$2112,4,0)</f>
        <v>#N/A</v>
      </c>
    </row>
    <row r="699" spans="22:29" ht="20.100000000000001" customHeight="1">
      <c r="V699" s="944" t="e">
        <f>VLOOKUP(U699,R_DD!$B$6:$E$2112,3,0)</f>
        <v>#N/A</v>
      </c>
      <c r="W699" s="943" t="e">
        <f>VLOOKUP(U699,R_DD!$B$6:$E$2112,4,0)</f>
        <v>#N/A</v>
      </c>
      <c r="Z699" s="946" t="e">
        <f>VLOOKUP(X699,R_DD!$B$6:$E$2112,3,0)</f>
        <v>#N/A</v>
      </c>
      <c r="AA699" s="946" t="e">
        <f>VLOOKUP(Y699,R_DD!$A$1:$L$2131,4,0)</f>
        <v>#N/A</v>
      </c>
      <c r="AB699" s="947" t="e">
        <f>VLOOKUP(Y699,R_DD!$A$1:$L$2131,5,0)</f>
        <v>#N/A</v>
      </c>
      <c r="AC699" s="947" t="e">
        <f>VLOOKUP(X699,R_DD!$B$6:$E$2112,4,0)</f>
        <v>#N/A</v>
      </c>
    </row>
    <row r="700" spans="22:29" ht="20.100000000000001" customHeight="1">
      <c r="V700" s="944" t="e">
        <f>VLOOKUP(U700,R_DD!$B$6:$E$2112,3,0)</f>
        <v>#N/A</v>
      </c>
      <c r="W700" s="943" t="e">
        <f>VLOOKUP(U700,R_DD!$B$6:$E$2112,4,0)</f>
        <v>#N/A</v>
      </c>
      <c r="Z700" s="946" t="e">
        <f>VLOOKUP(X700,R_DD!$B$6:$E$2112,3,0)</f>
        <v>#N/A</v>
      </c>
      <c r="AA700" s="946" t="e">
        <f>VLOOKUP(Y700,R_DD!$A$1:$L$2131,4,0)</f>
        <v>#N/A</v>
      </c>
      <c r="AB700" s="947" t="e">
        <f>VLOOKUP(Y700,R_DD!$A$1:$L$2131,5,0)</f>
        <v>#N/A</v>
      </c>
      <c r="AC700" s="947" t="e">
        <f>VLOOKUP(X700,R_DD!$B$6:$E$2112,4,0)</f>
        <v>#N/A</v>
      </c>
    </row>
    <row r="701" spans="22:29" ht="20.100000000000001" customHeight="1">
      <c r="V701" s="944" t="e">
        <f>VLOOKUP(U701,R_DD!$B$6:$E$2112,3,0)</f>
        <v>#N/A</v>
      </c>
      <c r="W701" s="943" t="e">
        <f>VLOOKUP(U701,R_DD!$B$6:$E$2112,4,0)</f>
        <v>#N/A</v>
      </c>
      <c r="Z701" s="946" t="e">
        <f>VLOOKUP(X701,R_DD!$B$6:$E$2112,3,0)</f>
        <v>#N/A</v>
      </c>
      <c r="AA701" s="946" t="e">
        <f>VLOOKUP(Y701,R_DD!$A$1:$L$2131,4,0)</f>
        <v>#N/A</v>
      </c>
      <c r="AB701" s="947" t="e">
        <f>VLOOKUP(Y701,R_DD!$A$1:$L$2131,5,0)</f>
        <v>#N/A</v>
      </c>
      <c r="AC701" s="947" t="e">
        <f>VLOOKUP(X701,R_DD!$B$6:$E$2112,4,0)</f>
        <v>#N/A</v>
      </c>
    </row>
    <row r="702" spans="22:29" ht="20.100000000000001" customHeight="1">
      <c r="V702" s="944" t="e">
        <f>VLOOKUP(U702,R_DD!$B$6:$E$2112,3,0)</f>
        <v>#N/A</v>
      </c>
      <c r="W702" s="943" t="e">
        <f>VLOOKUP(U702,R_DD!$B$6:$E$2112,4,0)</f>
        <v>#N/A</v>
      </c>
      <c r="Z702" s="946" t="e">
        <f>VLOOKUP(X702,R_DD!$B$6:$E$2112,3,0)</f>
        <v>#N/A</v>
      </c>
      <c r="AA702" s="946" t="e">
        <f>VLOOKUP(Y702,R_DD!$A$1:$L$2131,4,0)</f>
        <v>#N/A</v>
      </c>
      <c r="AB702" s="947" t="e">
        <f>VLOOKUP(Y702,R_DD!$A$1:$L$2131,5,0)</f>
        <v>#N/A</v>
      </c>
      <c r="AC702" s="947" t="e">
        <f>VLOOKUP(X702,R_DD!$B$6:$E$2112,4,0)</f>
        <v>#N/A</v>
      </c>
    </row>
    <row r="703" spans="22:29" ht="20.100000000000001" customHeight="1">
      <c r="V703" s="944" t="e">
        <f>VLOOKUP(U703,R_DD!$B$6:$E$2112,3,0)</f>
        <v>#N/A</v>
      </c>
      <c r="W703" s="943" t="e">
        <f>VLOOKUP(U703,R_DD!$B$6:$E$2112,4,0)</f>
        <v>#N/A</v>
      </c>
      <c r="Z703" s="946" t="e">
        <f>VLOOKUP(X703,R_DD!$B$6:$E$2112,3,0)</f>
        <v>#N/A</v>
      </c>
      <c r="AA703" s="946" t="e">
        <f>VLOOKUP(Y703,R_DD!$A$1:$L$2131,4,0)</f>
        <v>#N/A</v>
      </c>
      <c r="AB703" s="947" t="e">
        <f>VLOOKUP(Y703,R_DD!$A$1:$L$2131,5,0)</f>
        <v>#N/A</v>
      </c>
      <c r="AC703" s="947" t="e">
        <f>VLOOKUP(X703,R_DD!$B$6:$E$2112,4,0)</f>
        <v>#N/A</v>
      </c>
    </row>
    <row r="704" spans="22:29" ht="20.100000000000001" customHeight="1">
      <c r="V704" s="944" t="e">
        <f>VLOOKUP(U704,R_DD!$B$6:$E$2112,3,0)</f>
        <v>#N/A</v>
      </c>
      <c r="W704" s="943" t="e">
        <f>VLOOKUP(U704,R_DD!$B$6:$E$2112,4,0)</f>
        <v>#N/A</v>
      </c>
      <c r="Z704" s="946" t="e">
        <f>VLOOKUP(X704,R_DD!$B$6:$E$2112,3,0)</f>
        <v>#N/A</v>
      </c>
      <c r="AA704" s="946" t="e">
        <f>VLOOKUP(Y704,R_DD!$A$1:$L$2131,4,0)</f>
        <v>#N/A</v>
      </c>
      <c r="AB704" s="947" t="e">
        <f>VLOOKUP(Y704,R_DD!$A$1:$L$2131,5,0)</f>
        <v>#N/A</v>
      </c>
      <c r="AC704" s="947" t="e">
        <f>VLOOKUP(X704,R_DD!$B$6:$E$2112,4,0)</f>
        <v>#N/A</v>
      </c>
    </row>
    <row r="705" spans="22:29" ht="20.100000000000001" customHeight="1">
      <c r="V705" s="944" t="e">
        <f>VLOOKUP(U705,R_DD!$B$6:$E$2112,3,0)</f>
        <v>#N/A</v>
      </c>
      <c r="W705" s="943" t="e">
        <f>VLOOKUP(U705,R_DD!$B$6:$E$2112,4,0)</f>
        <v>#N/A</v>
      </c>
      <c r="Z705" s="946" t="e">
        <f>VLOOKUP(X705,R_DD!$B$6:$E$2112,3,0)</f>
        <v>#N/A</v>
      </c>
      <c r="AA705" s="946" t="e">
        <f>VLOOKUP(Y705,R_DD!$A$1:$L$2131,4,0)</f>
        <v>#N/A</v>
      </c>
      <c r="AB705" s="947" t="e">
        <f>VLOOKUP(Y705,R_DD!$A$1:$L$2131,5,0)</f>
        <v>#N/A</v>
      </c>
      <c r="AC705" s="947" t="e">
        <f>VLOOKUP(X705,R_DD!$B$6:$E$2112,4,0)</f>
        <v>#N/A</v>
      </c>
    </row>
    <row r="706" spans="22:29" ht="20.100000000000001" customHeight="1">
      <c r="V706" s="944" t="e">
        <f>VLOOKUP(U706,R_DD!$B$6:$E$2112,3,0)</f>
        <v>#N/A</v>
      </c>
      <c r="W706" s="943" t="e">
        <f>VLOOKUP(U706,R_DD!$B$6:$E$2112,4,0)</f>
        <v>#N/A</v>
      </c>
      <c r="Z706" s="946" t="e">
        <f>VLOOKUP(X706,R_DD!$B$6:$E$2112,3,0)</f>
        <v>#N/A</v>
      </c>
      <c r="AA706" s="946" t="e">
        <f>VLOOKUP(Y706,R_DD!$A$1:$L$2131,4,0)</f>
        <v>#N/A</v>
      </c>
      <c r="AB706" s="947" t="e">
        <f>VLOOKUP(Y706,R_DD!$A$1:$L$2131,5,0)</f>
        <v>#N/A</v>
      </c>
      <c r="AC706" s="947" t="e">
        <f>VLOOKUP(X706,R_DD!$B$6:$E$2112,4,0)</f>
        <v>#N/A</v>
      </c>
    </row>
    <row r="707" spans="22:29" ht="20.100000000000001" customHeight="1">
      <c r="V707" s="944" t="e">
        <f>VLOOKUP(U707,R_DD!$B$6:$E$2112,3,0)</f>
        <v>#N/A</v>
      </c>
      <c r="W707" s="943" t="e">
        <f>VLOOKUP(U707,R_DD!$B$6:$E$2112,4,0)</f>
        <v>#N/A</v>
      </c>
      <c r="Z707" s="946" t="e">
        <f>VLOOKUP(X707,R_DD!$B$6:$E$2112,3,0)</f>
        <v>#N/A</v>
      </c>
      <c r="AA707" s="946" t="e">
        <f>VLOOKUP(Y707,R_DD!$A$1:$L$2131,4,0)</f>
        <v>#N/A</v>
      </c>
      <c r="AB707" s="947" t="e">
        <f>VLOOKUP(Y707,R_DD!$A$1:$L$2131,5,0)</f>
        <v>#N/A</v>
      </c>
      <c r="AC707" s="947" t="e">
        <f>VLOOKUP(X707,R_DD!$B$6:$E$2112,4,0)</f>
        <v>#N/A</v>
      </c>
    </row>
    <row r="708" spans="22:29" ht="20.100000000000001" customHeight="1">
      <c r="V708" s="944" t="e">
        <f>VLOOKUP(U708,R_DD!$B$6:$E$2112,3,0)</f>
        <v>#N/A</v>
      </c>
      <c r="W708" s="943" t="e">
        <f>VLOOKUP(U708,R_DD!$B$6:$E$2112,4,0)</f>
        <v>#N/A</v>
      </c>
      <c r="Z708" s="946" t="e">
        <f>VLOOKUP(X708,R_DD!$B$6:$E$2112,3,0)</f>
        <v>#N/A</v>
      </c>
      <c r="AA708" s="946" t="e">
        <f>VLOOKUP(Y708,R_DD!$A$1:$L$2131,4,0)</f>
        <v>#N/A</v>
      </c>
      <c r="AB708" s="947" t="e">
        <f>VLOOKUP(Y708,R_DD!$A$1:$L$2131,5,0)</f>
        <v>#N/A</v>
      </c>
      <c r="AC708" s="947" t="e">
        <f>VLOOKUP(X708,R_DD!$B$6:$E$2112,4,0)</f>
        <v>#N/A</v>
      </c>
    </row>
    <row r="709" spans="22:29" ht="20.100000000000001" customHeight="1">
      <c r="V709" s="944" t="e">
        <f>VLOOKUP(U709,R_DD!$B$6:$E$2112,3,0)</f>
        <v>#N/A</v>
      </c>
      <c r="W709" s="943" t="e">
        <f>VLOOKUP(U709,R_DD!$B$6:$E$2112,4,0)</f>
        <v>#N/A</v>
      </c>
      <c r="Z709" s="946" t="e">
        <f>VLOOKUP(X709,R_DD!$B$6:$E$2112,3,0)</f>
        <v>#N/A</v>
      </c>
      <c r="AA709" s="946" t="e">
        <f>VLOOKUP(Y709,R_DD!$A$1:$L$2131,4,0)</f>
        <v>#N/A</v>
      </c>
      <c r="AB709" s="947" t="e">
        <f>VLOOKUP(Y709,R_DD!$A$1:$L$2131,5,0)</f>
        <v>#N/A</v>
      </c>
      <c r="AC709" s="947" t="e">
        <f>VLOOKUP(X709,R_DD!$B$6:$E$2112,4,0)</f>
        <v>#N/A</v>
      </c>
    </row>
    <row r="710" spans="22:29" ht="20.100000000000001" customHeight="1">
      <c r="V710" s="944" t="e">
        <f>VLOOKUP(U710,R_DD!$B$6:$E$2112,3,0)</f>
        <v>#N/A</v>
      </c>
      <c r="W710" s="943" t="e">
        <f>VLOOKUP(U710,R_DD!$B$6:$E$2112,4,0)</f>
        <v>#N/A</v>
      </c>
      <c r="Z710" s="946" t="e">
        <f>VLOOKUP(X710,R_DD!$B$6:$E$2112,3,0)</f>
        <v>#N/A</v>
      </c>
      <c r="AA710" s="946" t="e">
        <f>VLOOKUP(Y710,R_DD!$A$1:$L$2131,4,0)</f>
        <v>#N/A</v>
      </c>
      <c r="AB710" s="947" t="e">
        <f>VLOOKUP(Y710,R_DD!$A$1:$L$2131,5,0)</f>
        <v>#N/A</v>
      </c>
      <c r="AC710" s="947" t="e">
        <f>VLOOKUP(X710,R_DD!$B$6:$E$2112,4,0)</f>
        <v>#N/A</v>
      </c>
    </row>
    <row r="711" spans="22:29" ht="20.100000000000001" customHeight="1">
      <c r="V711" s="944" t="e">
        <f>VLOOKUP(U711,R_DD!$B$6:$E$2112,3,0)</f>
        <v>#N/A</v>
      </c>
      <c r="W711" s="943" t="e">
        <f>VLOOKUP(U711,R_DD!$B$6:$E$2112,4,0)</f>
        <v>#N/A</v>
      </c>
      <c r="Z711" s="946" t="e">
        <f>VLOOKUP(X711,R_DD!$B$6:$E$2112,3,0)</f>
        <v>#N/A</v>
      </c>
      <c r="AA711" s="946" t="e">
        <f>VLOOKUP(Y711,R_DD!$A$1:$L$2131,4,0)</f>
        <v>#N/A</v>
      </c>
      <c r="AB711" s="947" t="e">
        <f>VLOOKUP(Y711,R_DD!$A$1:$L$2131,5,0)</f>
        <v>#N/A</v>
      </c>
      <c r="AC711" s="947" t="e">
        <f>VLOOKUP(X711,R_DD!$B$6:$E$2112,4,0)</f>
        <v>#N/A</v>
      </c>
    </row>
    <row r="712" spans="22:29" ht="20.100000000000001" customHeight="1">
      <c r="V712" s="944" t="e">
        <f>VLOOKUP(U712,R_DD!$B$6:$E$2112,3,0)</f>
        <v>#N/A</v>
      </c>
      <c r="W712" s="943" t="e">
        <f>VLOOKUP(U712,R_DD!$B$6:$E$2112,4,0)</f>
        <v>#N/A</v>
      </c>
      <c r="Z712" s="946" t="e">
        <f>VLOOKUP(X712,R_DD!$B$6:$E$2112,3,0)</f>
        <v>#N/A</v>
      </c>
      <c r="AA712" s="946" t="e">
        <f>VLOOKUP(Y712,R_DD!$A$1:$L$2131,4,0)</f>
        <v>#N/A</v>
      </c>
      <c r="AB712" s="947" t="e">
        <f>VLOOKUP(Y712,R_DD!$A$1:$L$2131,5,0)</f>
        <v>#N/A</v>
      </c>
      <c r="AC712" s="947" t="e">
        <f>VLOOKUP(X712,R_DD!$B$6:$E$2112,4,0)</f>
        <v>#N/A</v>
      </c>
    </row>
    <row r="713" spans="22:29" ht="20.100000000000001" customHeight="1">
      <c r="V713" s="944" t="e">
        <f>VLOOKUP(U713,R_DD!$B$6:$E$2112,3,0)</f>
        <v>#N/A</v>
      </c>
      <c r="W713" s="943" t="e">
        <f>VLOOKUP(U713,R_DD!$B$6:$E$2112,4,0)</f>
        <v>#N/A</v>
      </c>
      <c r="Z713" s="946" t="e">
        <f>VLOOKUP(X713,R_DD!$B$6:$E$2112,3,0)</f>
        <v>#N/A</v>
      </c>
      <c r="AA713" s="946" t="e">
        <f>VLOOKUP(Y713,R_DD!$A$1:$L$2131,4,0)</f>
        <v>#N/A</v>
      </c>
      <c r="AB713" s="947" t="e">
        <f>VLOOKUP(Y713,R_DD!$A$1:$L$2131,5,0)</f>
        <v>#N/A</v>
      </c>
      <c r="AC713" s="947" t="e">
        <f>VLOOKUP(X713,R_DD!$B$6:$E$2112,4,0)</f>
        <v>#N/A</v>
      </c>
    </row>
    <row r="714" spans="22:29" ht="20.100000000000001" customHeight="1">
      <c r="V714" s="944" t="e">
        <f>VLOOKUP(U714,R_DD!$B$6:$E$2112,3,0)</f>
        <v>#N/A</v>
      </c>
      <c r="W714" s="943" t="e">
        <f>VLOOKUP(U714,R_DD!$B$6:$E$2112,4,0)</f>
        <v>#N/A</v>
      </c>
      <c r="Z714" s="946" t="e">
        <f>VLOOKUP(X714,R_DD!$B$6:$E$2112,3,0)</f>
        <v>#N/A</v>
      </c>
      <c r="AA714" s="946" t="e">
        <f>VLOOKUP(Y714,R_DD!$A$1:$L$2131,4,0)</f>
        <v>#N/A</v>
      </c>
      <c r="AB714" s="947" t="e">
        <f>VLOOKUP(Y714,R_DD!$A$1:$L$2131,5,0)</f>
        <v>#N/A</v>
      </c>
      <c r="AC714" s="947" t="e">
        <f>VLOOKUP(X714,R_DD!$B$6:$E$2112,4,0)</f>
        <v>#N/A</v>
      </c>
    </row>
    <row r="715" spans="22:29" ht="20.100000000000001" customHeight="1">
      <c r="V715" s="944" t="e">
        <f>VLOOKUP(U715,R_DD!$B$6:$E$2112,3,0)</f>
        <v>#N/A</v>
      </c>
      <c r="W715" s="943" t="e">
        <f>VLOOKUP(U715,R_DD!$B$6:$E$2112,4,0)</f>
        <v>#N/A</v>
      </c>
      <c r="Z715" s="946" t="e">
        <f>VLOOKUP(X715,R_DD!$B$6:$E$2112,3,0)</f>
        <v>#N/A</v>
      </c>
      <c r="AA715" s="946" t="e">
        <f>VLOOKUP(Y715,R_DD!$A$1:$L$2131,4,0)</f>
        <v>#N/A</v>
      </c>
      <c r="AB715" s="947" t="e">
        <f>VLOOKUP(Y715,R_DD!$A$1:$L$2131,5,0)</f>
        <v>#N/A</v>
      </c>
      <c r="AC715" s="947" t="e">
        <f>VLOOKUP(X715,R_DD!$B$6:$E$2112,4,0)</f>
        <v>#N/A</v>
      </c>
    </row>
    <row r="716" spans="22:29" ht="20.100000000000001" customHeight="1">
      <c r="V716" s="944" t="e">
        <f>VLOOKUP(U716,R_DD!$B$6:$E$2112,3,0)</f>
        <v>#N/A</v>
      </c>
      <c r="W716" s="943" t="e">
        <f>VLOOKUP(U716,R_DD!$B$6:$E$2112,4,0)</f>
        <v>#N/A</v>
      </c>
      <c r="Z716" s="946" t="e">
        <f>VLOOKUP(X716,R_DD!$B$6:$E$2112,3,0)</f>
        <v>#N/A</v>
      </c>
      <c r="AA716" s="946" t="e">
        <f>VLOOKUP(Y716,R_DD!$A$1:$L$2131,4,0)</f>
        <v>#N/A</v>
      </c>
      <c r="AB716" s="947" t="e">
        <f>VLOOKUP(Y716,R_DD!$A$1:$L$2131,5,0)</f>
        <v>#N/A</v>
      </c>
      <c r="AC716" s="947" t="e">
        <f>VLOOKUP(X716,R_DD!$B$6:$E$2112,4,0)</f>
        <v>#N/A</v>
      </c>
    </row>
    <row r="717" spans="22:29" ht="20.100000000000001" customHeight="1">
      <c r="V717" s="944" t="e">
        <f>VLOOKUP(U717,R_DD!$B$6:$E$2112,3,0)</f>
        <v>#N/A</v>
      </c>
      <c r="W717" s="943" t="e">
        <f>VLOOKUP(U717,R_DD!$B$6:$E$2112,4,0)</f>
        <v>#N/A</v>
      </c>
      <c r="Z717" s="946" t="e">
        <f>VLOOKUP(X717,R_DD!$B$6:$E$2112,3,0)</f>
        <v>#N/A</v>
      </c>
      <c r="AA717" s="946" t="e">
        <f>VLOOKUP(Y717,R_DD!$A$1:$L$2131,4,0)</f>
        <v>#N/A</v>
      </c>
      <c r="AB717" s="947" t="e">
        <f>VLOOKUP(Y717,R_DD!$A$1:$L$2131,5,0)</f>
        <v>#N/A</v>
      </c>
      <c r="AC717" s="947" t="e">
        <f>VLOOKUP(X717,R_DD!$B$6:$E$2112,4,0)</f>
        <v>#N/A</v>
      </c>
    </row>
    <row r="718" spans="22:29" ht="20.100000000000001" customHeight="1">
      <c r="V718" s="944" t="e">
        <f>VLOOKUP(U718,R_DD!$B$6:$E$2112,3,0)</f>
        <v>#N/A</v>
      </c>
      <c r="W718" s="943" t="e">
        <f>VLOOKUP(U718,R_DD!$B$6:$E$2112,4,0)</f>
        <v>#N/A</v>
      </c>
      <c r="Z718" s="946" t="e">
        <f>VLOOKUP(X718,R_DD!$B$6:$E$2112,3,0)</f>
        <v>#N/A</v>
      </c>
      <c r="AA718" s="946" t="e">
        <f>VLOOKUP(Y718,R_DD!$A$1:$L$2131,4,0)</f>
        <v>#N/A</v>
      </c>
      <c r="AB718" s="947" t="e">
        <f>VLOOKUP(Y718,R_DD!$A$1:$L$2131,5,0)</f>
        <v>#N/A</v>
      </c>
      <c r="AC718" s="947" t="e">
        <f>VLOOKUP(X718,R_DD!$B$6:$E$2112,4,0)</f>
        <v>#N/A</v>
      </c>
    </row>
    <row r="719" spans="22:29" ht="20.100000000000001" customHeight="1">
      <c r="V719" s="944" t="e">
        <f>VLOOKUP(U719,R_DD!$B$6:$E$2112,3,0)</f>
        <v>#N/A</v>
      </c>
      <c r="W719" s="943" t="e">
        <f>VLOOKUP(U719,R_DD!$B$6:$E$2112,4,0)</f>
        <v>#N/A</v>
      </c>
      <c r="Z719" s="946" t="e">
        <f>VLOOKUP(X719,R_DD!$B$6:$E$2112,3,0)</f>
        <v>#N/A</v>
      </c>
      <c r="AA719" s="946" t="e">
        <f>VLOOKUP(Y719,R_DD!$A$1:$L$2131,4,0)</f>
        <v>#N/A</v>
      </c>
      <c r="AB719" s="947" t="e">
        <f>VLOOKUP(Y719,R_DD!$A$1:$L$2131,5,0)</f>
        <v>#N/A</v>
      </c>
      <c r="AC719" s="947" t="e">
        <f>VLOOKUP(X719,R_DD!$B$6:$E$2112,4,0)</f>
        <v>#N/A</v>
      </c>
    </row>
    <row r="720" spans="22:29" ht="20.100000000000001" customHeight="1">
      <c r="V720" s="944" t="e">
        <f>VLOOKUP(U720,R_DD!$B$6:$E$2112,3,0)</f>
        <v>#N/A</v>
      </c>
      <c r="W720" s="943" t="e">
        <f>VLOOKUP(U720,R_DD!$B$6:$E$2112,4,0)</f>
        <v>#N/A</v>
      </c>
      <c r="Z720" s="946" t="e">
        <f>VLOOKUP(X720,R_DD!$B$6:$E$2112,3,0)</f>
        <v>#N/A</v>
      </c>
      <c r="AA720" s="946" t="e">
        <f>VLOOKUP(Y720,R_DD!$A$1:$L$2131,4,0)</f>
        <v>#N/A</v>
      </c>
      <c r="AB720" s="947" t="e">
        <f>VLOOKUP(Y720,R_DD!$A$1:$L$2131,5,0)</f>
        <v>#N/A</v>
      </c>
      <c r="AC720" s="947" t="e">
        <f>VLOOKUP(X720,R_DD!$B$6:$E$2112,4,0)</f>
        <v>#N/A</v>
      </c>
    </row>
    <row r="721" spans="22:29" ht="20.100000000000001" customHeight="1">
      <c r="V721" s="944" t="e">
        <f>VLOOKUP(U721,R_DD!$B$6:$E$2112,3,0)</f>
        <v>#N/A</v>
      </c>
      <c r="W721" s="943" t="e">
        <f>VLOOKUP(U721,R_DD!$B$6:$E$2112,4,0)</f>
        <v>#N/A</v>
      </c>
      <c r="Z721" s="946" t="e">
        <f>VLOOKUP(X721,R_DD!$B$6:$E$2112,3,0)</f>
        <v>#N/A</v>
      </c>
      <c r="AA721" s="946" t="e">
        <f>VLOOKUP(Y721,R_DD!$A$1:$L$2131,4,0)</f>
        <v>#N/A</v>
      </c>
      <c r="AB721" s="947" t="e">
        <f>VLOOKUP(Y721,R_DD!$A$1:$L$2131,5,0)</f>
        <v>#N/A</v>
      </c>
      <c r="AC721" s="947" t="e">
        <f>VLOOKUP(X721,R_DD!$B$6:$E$2112,4,0)</f>
        <v>#N/A</v>
      </c>
    </row>
    <row r="722" spans="22:29" ht="20.100000000000001" customHeight="1">
      <c r="V722" s="944" t="e">
        <f>VLOOKUP(U722,R_DD!$B$6:$E$2112,3,0)</f>
        <v>#N/A</v>
      </c>
      <c r="W722" s="943" t="e">
        <f>VLOOKUP(U722,R_DD!$B$6:$E$2112,4,0)</f>
        <v>#N/A</v>
      </c>
      <c r="Z722" s="946" t="e">
        <f>VLOOKUP(X722,R_DD!$B$6:$E$2112,3,0)</f>
        <v>#N/A</v>
      </c>
      <c r="AA722" s="946" t="e">
        <f>VLOOKUP(Y722,R_DD!$A$1:$L$2131,4,0)</f>
        <v>#N/A</v>
      </c>
      <c r="AB722" s="947" t="e">
        <f>VLOOKUP(Y722,R_DD!$A$1:$L$2131,5,0)</f>
        <v>#N/A</v>
      </c>
      <c r="AC722" s="947" t="e">
        <f>VLOOKUP(X722,R_DD!$B$6:$E$2112,4,0)</f>
        <v>#N/A</v>
      </c>
    </row>
    <row r="723" spans="22:29" ht="20.100000000000001" customHeight="1">
      <c r="V723" s="944" t="e">
        <f>VLOOKUP(U723,R_DD!$B$6:$E$2112,3,0)</f>
        <v>#N/A</v>
      </c>
      <c r="W723" s="943" t="e">
        <f>VLOOKUP(U723,R_DD!$B$6:$E$2112,4,0)</f>
        <v>#N/A</v>
      </c>
      <c r="Z723" s="946" t="e">
        <f>VLOOKUP(X723,R_DD!$B$6:$E$2112,3,0)</f>
        <v>#N/A</v>
      </c>
      <c r="AA723" s="946" t="e">
        <f>VLOOKUP(Y723,R_DD!$A$1:$L$2131,4,0)</f>
        <v>#N/A</v>
      </c>
      <c r="AB723" s="947" t="e">
        <f>VLOOKUP(Y723,R_DD!$A$1:$L$2131,5,0)</f>
        <v>#N/A</v>
      </c>
      <c r="AC723" s="947" t="e">
        <f>VLOOKUP(X723,R_DD!$B$6:$E$2112,4,0)</f>
        <v>#N/A</v>
      </c>
    </row>
    <row r="724" spans="22:29" ht="20.100000000000001" customHeight="1">
      <c r="V724" s="944" t="e">
        <f>VLOOKUP(U724,R_DD!$B$6:$E$2112,3,0)</f>
        <v>#N/A</v>
      </c>
      <c r="W724" s="943" t="e">
        <f>VLOOKUP(U724,R_DD!$B$6:$E$2112,4,0)</f>
        <v>#N/A</v>
      </c>
      <c r="Z724" s="946" t="e">
        <f>VLOOKUP(X724,R_DD!$B$6:$E$2112,3,0)</f>
        <v>#N/A</v>
      </c>
      <c r="AA724" s="946" t="e">
        <f>VLOOKUP(Y724,R_DD!$A$1:$L$2131,4,0)</f>
        <v>#N/A</v>
      </c>
      <c r="AB724" s="947" t="e">
        <f>VLOOKUP(Y724,R_DD!$A$1:$L$2131,5,0)</f>
        <v>#N/A</v>
      </c>
      <c r="AC724" s="947" t="e">
        <f>VLOOKUP(X724,R_DD!$B$6:$E$2112,4,0)</f>
        <v>#N/A</v>
      </c>
    </row>
    <row r="725" spans="22:29" ht="20.100000000000001" customHeight="1">
      <c r="V725" s="944" t="e">
        <f>VLOOKUP(U725,R_DD!$B$6:$E$2112,3,0)</f>
        <v>#N/A</v>
      </c>
      <c r="W725" s="943" t="e">
        <f>VLOOKUP(U725,R_DD!$B$6:$E$2112,4,0)</f>
        <v>#N/A</v>
      </c>
      <c r="Z725" s="946" t="e">
        <f>VLOOKUP(X725,R_DD!$B$6:$E$2112,3,0)</f>
        <v>#N/A</v>
      </c>
      <c r="AA725" s="946" t="e">
        <f>VLOOKUP(Y725,R_DD!$A$1:$L$2131,4,0)</f>
        <v>#N/A</v>
      </c>
      <c r="AB725" s="947" t="e">
        <f>VLOOKUP(Y725,R_DD!$A$1:$L$2131,5,0)</f>
        <v>#N/A</v>
      </c>
      <c r="AC725" s="947" t="e">
        <f>VLOOKUP(X725,R_DD!$B$6:$E$2112,4,0)</f>
        <v>#N/A</v>
      </c>
    </row>
    <row r="726" spans="22:29" ht="20.100000000000001" customHeight="1">
      <c r="V726" s="944" t="e">
        <f>VLOOKUP(U726,R_DD!$B$6:$E$2112,3,0)</f>
        <v>#N/A</v>
      </c>
      <c r="W726" s="943" t="e">
        <f>VLOOKUP(U726,R_DD!$B$6:$E$2112,4,0)</f>
        <v>#N/A</v>
      </c>
      <c r="Z726" s="946" t="e">
        <f>VLOOKUP(X726,R_DD!$B$6:$E$2112,3,0)</f>
        <v>#N/A</v>
      </c>
      <c r="AA726" s="946" t="e">
        <f>VLOOKUP(Y726,R_DD!$A$1:$L$2131,4,0)</f>
        <v>#N/A</v>
      </c>
      <c r="AB726" s="947" t="e">
        <f>VLOOKUP(Y726,R_DD!$A$1:$L$2131,5,0)</f>
        <v>#N/A</v>
      </c>
      <c r="AC726" s="947" t="e">
        <f>VLOOKUP(X726,R_DD!$B$6:$E$2112,4,0)</f>
        <v>#N/A</v>
      </c>
    </row>
    <row r="727" spans="22:29" ht="20.100000000000001" customHeight="1">
      <c r="V727" s="944" t="e">
        <f>VLOOKUP(U727,R_DD!$B$6:$E$2112,3,0)</f>
        <v>#N/A</v>
      </c>
      <c r="W727" s="943" t="e">
        <f>VLOOKUP(U727,R_DD!$B$6:$E$2112,4,0)</f>
        <v>#N/A</v>
      </c>
      <c r="Z727" s="946" t="e">
        <f>VLOOKUP(X727,R_DD!$B$6:$E$2112,3,0)</f>
        <v>#N/A</v>
      </c>
      <c r="AA727" s="946" t="e">
        <f>VLOOKUP(Y727,R_DD!$A$1:$L$2131,4,0)</f>
        <v>#N/A</v>
      </c>
      <c r="AB727" s="947" t="e">
        <f>VLOOKUP(Y727,R_DD!$A$1:$L$2131,5,0)</f>
        <v>#N/A</v>
      </c>
      <c r="AC727" s="947" t="e">
        <f>VLOOKUP(X727,R_DD!$B$6:$E$2112,4,0)</f>
        <v>#N/A</v>
      </c>
    </row>
    <row r="728" spans="22:29" ht="20.100000000000001" customHeight="1">
      <c r="V728" s="944" t="e">
        <f>VLOOKUP(U728,R_DD!$B$6:$E$2112,3,0)</f>
        <v>#N/A</v>
      </c>
      <c r="W728" s="943" t="e">
        <f>VLOOKUP(U728,R_DD!$B$6:$E$2112,4,0)</f>
        <v>#N/A</v>
      </c>
      <c r="Z728" s="946" t="e">
        <f>VLOOKUP(X728,R_DD!$B$6:$E$2112,3,0)</f>
        <v>#N/A</v>
      </c>
      <c r="AA728" s="946" t="e">
        <f>VLOOKUP(Y728,R_DD!$A$1:$L$2131,4,0)</f>
        <v>#N/A</v>
      </c>
      <c r="AB728" s="947" t="e">
        <f>VLOOKUP(Y728,R_DD!$A$1:$L$2131,5,0)</f>
        <v>#N/A</v>
      </c>
      <c r="AC728" s="947" t="e">
        <f>VLOOKUP(X728,R_DD!$B$6:$E$2112,4,0)</f>
        <v>#N/A</v>
      </c>
    </row>
    <row r="729" spans="22:29" ht="20.100000000000001" customHeight="1">
      <c r="V729" s="944" t="e">
        <f>VLOOKUP(U729,R_DD!$B$6:$E$2112,3,0)</f>
        <v>#N/A</v>
      </c>
      <c r="W729" s="943" t="e">
        <f>VLOOKUP(U729,R_DD!$B$6:$E$2112,4,0)</f>
        <v>#N/A</v>
      </c>
      <c r="Z729" s="946" t="e">
        <f>VLOOKUP(X729,R_DD!$B$6:$E$2112,3,0)</f>
        <v>#N/A</v>
      </c>
      <c r="AA729" s="946" t="e">
        <f>VLOOKUP(Y729,R_DD!$A$1:$L$2131,4,0)</f>
        <v>#N/A</v>
      </c>
      <c r="AB729" s="947" t="e">
        <f>VLOOKUP(Y729,R_DD!$A$1:$L$2131,5,0)</f>
        <v>#N/A</v>
      </c>
      <c r="AC729" s="947" t="e">
        <f>VLOOKUP(X729,R_DD!$B$6:$E$2112,4,0)</f>
        <v>#N/A</v>
      </c>
    </row>
    <row r="730" spans="22:29" ht="20.100000000000001" customHeight="1">
      <c r="V730" s="944" t="e">
        <f>VLOOKUP(U730,R_DD!$B$6:$E$2112,3,0)</f>
        <v>#N/A</v>
      </c>
      <c r="W730" s="943" t="e">
        <f>VLOOKUP(U730,R_DD!$B$6:$E$2112,4,0)</f>
        <v>#N/A</v>
      </c>
      <c r="Z730" s="946" t="e">
        <f>VLOOKUP(X730,R_DD!$B$6:$E$2112,3,0)</f>
        <v>#N/A</v>
      </c>
      <c r="AA730" s="946" t="e">
        <f>VLOOKUP(Y730,R_DD!$A$1:$L$2131,4,0)</f>
        <v>#N/A</v>
      </c>
      <c r="AB730" s="947" t="e">
        <f>VLOOKUP(Y730,R_DD!$A$1:$L$2131,5,0)</f>
        <v>#N/A</v>
      </c>
      <c r="AC730" s="947" t="e">
        <f>VLOOKUP(X730,R_DD!$B$6:$E$2112,4,0)</f>
        <v>#N/A</v>
      </c>
    </row>
    <row r="731" spans="22:29" ht="20.100000000000001" customHeight="1">
      <c r="V731" s="944" t="e">
        <f>VLOOKUP(U731,R_DD!$B$6:$E$2112,3,0)</f>
        <v>#N/A</v>
      </c>
      <c r="W731" s="943" t="e">
        <f>VLOOKUP(U731,R_DD!$B$6:$E$2112,4,0)</f>
        <v>#N/A</v>
      </c>
      <c r="Z731" s="946" t="e">
        <f>VLOOKUP(X731,R_DD!$B$6:$E$2112,3,0)</f>
        <v>#N/A</v>
      </c>
      <c r="AA731" s="946" t="e">
        <f>VLOOKUP(Y731,R_DD!$A$1:$L$2131,4,0)</f>
        <v>#N/A</v>
      </c>
      <c r="AB731" s="947" t="e">
        <f>VLOOKUP(Y731,R_DD!$A$1:$L$2131,5,0)</f>
        <v>#N/A</v>
      </c>
      <c r="AC731" s="947" t="e">
        <f>VLOOKUP(X731,R_DD!$B$6:$E$2112,4,0)</f>
        <v>#N/A</v>
      </c>
    </row>
    <row r="732" spans="22:29" ht="20.100000000000001" customHeight="1">
      <c r="V732" s="944" t="e">
        <f>VLOOKUP(U732,R_DD!$B$6:$E$2112,3,0)</f>
        <v>#N/A</v>
      </c>
      <c r="W732" s="943" t="e">
        <f>VLOOKUP(U732,R_DD!$B$6:$E$2112,4,0)</f>
        <v>#N/A</v>
      </c>
      <c r="Z732" s="946" t="e">
        <f>VLOOKUP(X732,R_DD!$B$6:$E$2112,3,0)</f>
        <v>#N/A</v>
      </c>
      <c r="AA732" s="946" t="e">
        <f>VLOOKUP(Y732,R_DD!$A$1:$L$2131,4,0)</f>
        <v>#N/A</v>
      </c>
      <c r="AB732" s="947" t="e">
        <f>VLOOKUP(Y732,R_DD!$A$1:$L$2131,5,0)</f>
        <v>#N/A</v>
      </c>
      <c r="AC732" s="947" t="e">
        <f>VLOOKUP(X732,R_DD!$B$6:$E$2112,4,0)</f>
        <v>#N/A</v>
      </c>
    </row>
    <row r="733" spans="22:29" ht="20.100000000000001" customHeight="1">
      <c r="V733" s="944" t="e">
        <f>VLOOKUP(U733,R_DD!$B$6:$E$2112,3,0)</f>
        <v>#N/A</v>
      </c>
      <c r="W733" s="943" t="e">
        <f>VLOOKUP(U733,R_DD!$B$6:$E$2112,4,0)</f>
        <v>#N/A</v>
      </c>
      <c r="Z733" s="946" t="e">
        <f>VLOOKUP(X733,R_DD!$B$6:$E$2112,3,0)</f>
        <v>#N/A</v>
      </c>
      <c r="AA733" s="946" t="e">
        <f>VLOOKUP(Y733,R_DD!$A$1:$L$2131,4,0)</f>
        <v>#N/A</v>
      </c>
      <c r="AB733" s="947" t="e">
        <f>VLOOKUP(Y733,R_DD!$A$1:$L$2131,5,0)</f>
        <v>#N/A</v>
      </c>
      <c r="AC733" s="947" t="e">
        <f>VLOOKUP(X733,R_DD!$B$6:$E$2112,4,0)</f>
        <v>#N/A</v>
      </c>
    </row>
    <row r="734" spans="22:29" ht="20.100000000000001" customHeight="1">
      <c r="V734" s="944" t="e">
        <f>VLOOKUP(U734,R_DD!$B$6:$E$2112,3,0)</f>
        <v>#N/A</v>
      </c>
      <c r="W734" s="943" t="e">
        <f>VLOOKUP(U734,R_DD!$B$6:$E$2112,4,0)</f>
        <v>#N/A</v>
      </c>
      <c r="Z734" s="946" t="e">
        <f>VLOOKUP(X734,R_DD!$B$6:$E$2112,3,0)</f>
        <v>#N/A</v>
      </c>
      <c r="AA734" s="946" t="e">
        <f>VLOOKUP(Y734,R_DD!$A$1:$L$2131,4,0)</f>
        <v>#N/A</v>
      </c>
      <c r="AB734" s="947" t="e">
        <f>VLOOKUP(Y734,R_DD!$A$1:$L$2131,5,0)</f>
        <v>#N/A</v>
      </c>
      <c r="AC734" s="947" t="e">
        <f>VLOOKUP(X734,R_DD!$B$6:$E$2112,4,0)</f>
        <v>#N/A</v>
      </c>
    </row>
    <row r="735" spans="22:29" ht="20.100000000000001" customHeight="1">
      <c r="V735" s="944" t="e">
        <f>VLOOKUP(U735,R_DD!$B$6:$E$2112,3,0)</f>
        <v>#N/A</v>
      </c>
      <c r="W735" s="943" t="e">
        <f>VLOOKUP(U735,R_DD!$B$6:$E$2112,4,0)</f>
        <v>#N/A</v>
      </c>
      <c r="Z735" s="946" t="e">
        <f>VLOOKUP(X735,R_DD!$B$6:$E$2112,3,0)</f>
        <v>#N/A</v>
      </c>
      <c r="AA735" s="946" t="e">
        <f>VLOOKUP(Y735,R_DD!$A$1:$L$2131,4,0)</f>
        <v>#N/A</v>
      </c>
      <c r="AB735" s="947" t="e">
        <f>VLOOKUP(Y735,R_DD!$A$1:$L$2131,5,0)</f>
        <v>#N/A</v>
      </c>
      <c r="AC735" s="947" t="e">
        <f>VLOOKUP(X735,R_DD!$B$6:$E$2112,4,0)</f>
        <v>#N/A</v>
      </c>
    </row>
    <row r="736" spans="22:29" ht="20.100000000000001" customHeight="1">
      <c r="V736" s="944" t="e">
        <f>VLOOKUP(U736,R_DD!$B$6:$E$2112,3,0)</f>
        <v>#N/A</v>
      </c>
      <c r="W736" s="943" t="e">
        <f>VLOOKUP(U736,R_DD!$B$6:$E$2112,4,0)</f>
        <v>#N/A</v>
      </c>
      <c r="Z736" s="946" t="e">
        <f>VLOOKUP(X736,R_DD!$B$6:$E$2112,3,0)</f>
        <v>#N/A</v>
      </c>
      <c r="AA736" s="946" t="e">
        <f>VLOOKUP(Y736,R_DD!$A$1:$L$2131,4,0)</f>
        <v>#N/A</v>
      </c>
      <c r="AB736" s="947" t="e">
        <f>VLOOKUP(Y736,R_DD!$A$1:$L$2131,5,0)</f>
        <v>#N/A</v>
      </c>
      <c r="AC736" s="947" t="e">
        <f>VLOOKUP(X736,R_DD!$B$6:$E$2112,4,0)</f>
        <v>#N/A</v>
      </c>
    </row>
    <row r="737" spans="22:29" ht="20.100000000000001" customHeight="1">
      <c r="V737" s="944" t="e">
        <f>VLOOKUP(U737,R_DD!$B$6:$E$2112,3,0)</f>
        <v>#N/A</v>
      </c>
      <c r="W737" s="943" t="e">
        <f>VLOOKUP(U737,R_DD!$B$6:$E$2112,4,0)</f>
        <v>#N/A</v>
      </c>
      <c r="Z737" s="946" t="e">
        <f>VLOOKUP(X737,R_DD!$B$6:$E$2112,3,0)</f>
        <v>#N/A</v>
      </c>
      <c r="AA737" s="946" t="e">
        <f>VLOOKUP(Y737,R_DD!$A$1:$L$2131,4,0)</f>
        <v>#N/A</v>
      </c>
      <c r="AB737" s="947" t="e">
        <f>VLOOKUP(Y737,R_DD!$A$1:$L$2131,5,0)</f>
        <v>#N/A</v>
      </c>
      <c r="AC737" s="947" t="e">
        <f>VLOOKUP(X737,R_DD!$B$6:$E$2112,4,0)</f>
        <v>#N/A</v>
      </c>
    </row>
    <row r="738" spans="22:29" ht="20.100000000000001" customHeight="1">
      <c r="V738" s="944" t="e">
        <f>VLOOKUP(U738,R_DD!$B$6:$E$2112,3,0)</f>
        <v>#N/A</v>
      </c>
      <c r="W738" s="943" t="e">
        <f>VLOOKUP(U738,R_DD!$B$6:$E$2112,4,0)</f>
        <v>#N/A</v>
      </c>
      <c r="Z738" s="946" t="e">
        <f>VLOOKUP(X738,R_DD!$B$6:$E$2112,3,0)</f>
        <v>#N/A</v>
      </c>
      <c r="AA738" s="946" t="e">
        <f>VLOOKUP(Y738,R_DD!$A$1:$L$2131,4,0)</f>
        <v>#N/A</v>
      </c>
      <c r="AB738" s="947" t="e">
        <f>VLOOKUP(Y738,R_DD!$A$1:$L$2131,5,0)</f>
        <v>#N/A</v>
      </c>
      <c r="AC738" s="947" t="e">
        <f>VLOOKUP(X738,R_DD!$B$6:$E$2112,4,0)</f>
        <v>#N/A</v>
      </c>
    </row>
    <row r="739" spans="22:29" ht="20.100000000000001" customHeight="1">
      <c r="V739" s="944" t="e">
        <f>VLOOKUP(U739,R_DD!$B$6:$E$2112,3,0)</f>
        <v>#N/A</v>
      </c>
      <c r="W739" s="943" t="e">
        <f>VLOOKUP(U739,R_DD!$B$6:$E$2112,4,0)</f>
        <v>#N/A</v>
      </c>
      <c r="Z739" s="946" t="e">
        <f>VLOOKUP(X739,R_DD!$B$6:$E$2112,3,0)</f>
        <v>#N/A</v>
      </c>
      <c r="AA739" s="946" t="e">
        <f>VLOOKUP(Y739,R_DD!$A$1:$L$2131,4,0)</f>
        <v>#N/A</v>
      </c>
      <c r="AB739" s="947" t="e">
        <f>VLOOKUP(Y739,R_DD!$A$1:$L$2131,5,0)</f>
        <v>#N/A</v>
      </c>
      <c r="AC739" s="947" t="e">
        <f>VLOOKUP(X739,R_DD!$B$6:$E$2112,4,0)</f>
        <v>#N/A</v>
      </c>
    </row>
    <row r="740" spans="22:29" ht="20.100000000000001" customHeight="1">
      <c r="V740" s="944" t="e">
        <f>VLOOKUP(U740,R_DD!$B$6:$E$2112,3,0)</f>
        <v>#N/A</v>
      </c>
      <c r="W740" s="943" t="e">
        <f>VLOOKUP(U740,R_DD!$B$6:$E$2112,4,0)</f>
        <v>#N/A</v>
      </c>
      <c r="Z740" s="946" t="e">
        <f>VLOOKUP(X740,R_DD!$B$6:$E$2112,3,0)</f>
        <v>#N/A</v>
      </c>
      <c r="AA740" s="946" t="e">
        <f>VLOOKUP(Y740,R_DD!$A$1:$L$2131,4,0)</f>
        <v>#N/A</v>
      </c>
      <c r="AB740" s="947" t="e">
        <f>VLOOKUP(Y740,R_DD!$A$1:$L$2131,5,0)</f>
        <v>#N/A</v>
      </c>
      <c r="AC740" s="947" t="e">
        <f>VLOOKUP(X740,R_DD!$B$6:$E$2112,4,0)</f>
        <v>#N/A</v>
      </c>
    </row>
    <row r="741" spans="22:29" ht="20.100000000000001" customHeight="1">
      <c r="V741" s="944" t="e">
        <f>VLOOKUP(U741,R_DD!$B$6:$E$2112,3,0)</f>
        <v>#N/A</v>
      </c>
      <c r="W741" s="943" t="e">
        <f>VLOOKUP(U741,R_DD!$B$6:$E$2112,4,0)</f>
        <v>#N/A</v>
      </c>
      <c r="Z741" s="946" t="e">
        <f>VLOOKUP(X741,R_DD!$B$6:$E$2112,3,0)</f>
        <v>#N/A</v>
      </c>
      <c r="AA741" s="946" t="e">
        <f>VLOOKUP(Y741,R_DD!$A$1:$L$2131,4,0)</f>
        <v>#N/A</v>
      </c>
      <c r="AB741" s="947" t="e">
        <f>VLOOKUP(Y741,R_DD!$A$1:$L$2131,5,0)</f>
        <v>#N/A</v>
      </c>
      <c r="AC741" s="947" t="e">
        <f>VLOOKUP(X741,R_DD!$B$6:$E$2112,4,0)</f>
        <v>#N/A</v>
      </c>
    </row>
    <row r="742" spans="22:29" ht="20.100000000000001" customHeight="1">
      <c r="V742" s="944" t="e">
        <f>VLOOKUP(U742,R_DD!$B$6:$E$2112,3,0)</f>
        <v>#N/A</v>
      </c>
      <c r="W742" s="943" t="e">
        <f>VLOOKUP(U742,R_DD!$B$6:$E$2112,4,0)</f>
        <v>#N/A</v>
      </c>
      <c r="Z742" s="946" t="e">
        <f>VLOOKUP(X742,R_DD!$B$6:$E$2112,3,0)</f>
        <v>#N/A</v>
      </c>
      <c r="AA742" s="946" t="e">
        <f>VLOOKUP(Y742,R_DD!$A$1:$L$2131,4,0)</f>
        <v>#N/A</v>
      </c>
      <c r="AB742" s="947" t="e">
        <f>VLOOKUP(Y742,R_DD!$A$1:$L$2131,5,0)</f>
        <v>#N/A</v>
      </c>
      <c r="AC742" s="947" t="e">
        <f>VLOOKUP(X742,R_DD!$B$6:$E$2112,4,0)</f>
        <v>#N/A</v>
      </c>
    </row>
    <row r="743" spans="22:29" ht="20.100000000000001" customHeight="1">
      <c r="V743" s="944" t="e">
        <f>VLOOKUP(U743,R_DD!$B$6:$E$2112,3,0)</f>
        <v>#N/A</v>
      </c>
      <c r="W743" s="943" t="e">
        <f>VLOOKUP(U743,R_DD!$B$6:$E$2112,4,0)</f>
        <v>#N/A</v>
      </c>
      <c r="Z743" s="946" t="e">
        <f>VLOOKUP(X743,R_DD!$B$6:$E$2112,3,0)</f>
        <v>#N/A</v>
      </c>
      <c r="AA743" s="946" t="e">
        <f>VLOOKUP(Y743,R_DD!$A$1:$L$2131,4,0)</f>
        <v>#N/A</v>
      </c>
      <c r="AB743" s="947" t="e">
        <f>VLOOKUP(Y743,R_DD!$A$1:$L$2131,5,0)</f>
        <v>#N/A</v>
      </c>
      <c r="AC743" s="947" t="e">
        <f>VLOOKUP(X743,R_DD!$B$6:$E$2112,4,0)</f>
        <v>#N/A</v>
      </c>
    </row>
    <row r="744" spans="22:29" ht="20.100000000000001" customHeight="1">
      <c r="V744" s="944" t="e">
        <f>VLOOKUP(U744,R_DD!$B$6:$E$2112,3,0)</f>
        <v>#N/A</v>
      </c>
      <c r="W744" s="943" t="e">
        <f>VLOOKUP(U744,R_DD!$B$6:$E$2112,4,0)</f>
        <v>#N/A</v>
      </c>
      <c r="Z744" s="946" t="e">
        <f>VLOOKUP(X744,R_DD!$B$6:$E$2112,3,0)</f>
        <v>#N/A</v>
      </c>
      <c r="AA744" s="946" t="e">
        <f>VLOOKUP(Y744,R_DD!$A$1:$L$2131,4,0)</f>
        <v>#N/A</v>
      </c>
      <c r="AB744" s="947" t="e">
        <f>VLOOKUP(Y744,R_DD!$A$1:$L$2131,5,0)</f>
        <v>#N/A</v>
      </c>
      <c r="AC744" s="947" t="e">
        <f>VLOOKUP(X744,R_DD!$B$6:$E$2112,4,0)</f>
        <v>#N/A</v>
      </c>
    </row>
    <row r="745" spans="22:29" ht="20.100000000000001" customHeight="1">
      <c r="V745" s="944" t="e">
        <f>VLOOKUP(U745,R_DD!$B$6:$E$2112,3,0)</f>
        <v>#N/A</v>
      </c>
      <c r="W745" s="943" t="e">
        <f>VLOOKUP(U745,R_DD!$B$6:$E$2112,4,0)</f>
        <v>#N/A</v>
      </c>
      <c r="Z745" s="946" t="e">
        <f>VLOOKUP(X745,R_DD!$B$6:$E$2112,3,0)</f>
        <v>#N/A</v>
      </c>
      <c r="AA745" s="946" t="e">
        <f>VLOOKUP(Y745,R_DD!$A$1:$L$2131,4,0)</f>
        <v>#N/A</v>
      </c>
      <c r="AB745" s="947" t="e">
        <f>VLOOKUP(Y745,R_DD!$A$1:$L$2131,5,0)</f>
        <v>#N/A</v>
      </c>
      <c r="AC745" s="947" t="e">
        <f>VLOOKUP(X745,R_DD!$B$6:$E$2112,4,0)</f>
        <v>#N/A</v>
      </c>
    </row>
    <row r="746" spans="22:29" ht="20.100000000000001" customHeight="1">
      <c r="V746" s="944" t="e">
        <f>VLOOKUP(U746,R_DD!$B$6:$E$2112,3,0)</f>
        <v>#N/A</v>
      </c>
      <c r="W746" s="943" t="e">
        <f>VLOOKUP(U746,R_DD!$B$6:$E$2112,4,0)</f>
        <v>#N/A</v>
      </c>
      <c r="Z746" s="946" t="e">
        <f>VLOOKUP(X746,R_DD!$B$6:$E$2112,3,0)</f>
        <v>#N/A</v>
      </c>
      <c r="AA746" s="946" t="e">
        <f>VLOOKUP(Y746,R_DD!$A$1:$L$2131,4,0)</f>
        <v>#N/A</v>
      </c>
      <c r="AB746" s="947" t="e">
        <f>VLOOKUP(Y746,R_DD!$A$1:$L$2131,5,0)</f>
        <v>#N/A</v>
      </c>
      <c r="AC746" s="947" t="e">
        <f>VLOOKUP(X746,R_DD!$B$6:$E$2112,4,0)</f>
        <v>#N/A</v>
      </c>
    </row>
    <row r="747" spans="22:29" ht="20.100000000000001" customHeight="1">
      <c r="V747" s="944" t="e">
        <f>VLOOKUP(U747,R_DD!$B$6:$E$2112,3,0)</f>
        <v>#N/A</v>
      </c>
      <c r="W747" s="943" t="e">
        <f>VLOOKUP(U747,R_DD!$B$6:$E$2112,4,0)</f>
        <v>#N/A</v>
      </c>
      <c r="Z747" s="946" t="e">
        <f>VLOOKUP(X747,R_DD!$B$6:$E$2112,3,0)</f>
        <v>#N/A</v>
      </c>
      <c r="AA747" s="946" t="e">
        <f>VLOOKUP(Y747,R_DD!$A$1:$L$2131,4,0)</f>
        <v>#N/A</v>
      </c>
      <c r="AB747" s="947" t="e">
        <f>VLOOKUP(Y747,R_DD!$A$1:$L$2131,5,0)</f>
        <v>#N/A</v>
      </c>
      <c r="AC747" s="947" t="e">
        <f>VLOOKUP(X747,R_DD!$B$6:$E$2112,4,0)</f>
        <v>#N/A</v>
      </c>
    </row>
    <row r="748" spans="22:29" ht="20.100000000000001" customHeight="1">
      <c r="V748" s="944" t="e">
        <f>VLOOKUP(U748,R_DD!$B$6:$E$2112,3,0)</f>
        <v>#N/A</v>
      </c>
      <c r="W748" s="943" t="e">
        <f>VLOOKUP(U748,R_DD!$B$6:$E$2112,4,0)</f>
        <v>#N/A</v>
      </c>
      <c r="Z748" s="946" t="e">
        <f>VLOOKUP(X748,R_DD!$B$6:$E$2112,3,0)</f>
        <v>#N/A</v>
      </c>
      <c r="AA748" s="946" t="e">
        <f>VLOOKUP(Y748,R_DD!$A$1:$L$2131,4,0)</f>
        <v>#N/A</v>
      </c>
      <c r="AB748" s="947" t="e">
        <f>VLOOKUP(Y748,R_DD!$A$1:$L$2131,5,0)</f>
        <v>#N/A</v>
      </c>
      <c r="AC748" s="947" t="e">
        <f>VLOOKUP(X748,R_DD!$B$6:$E$2112,4,0)</f>
        <v>#N/A</v>
      </c>
    </row>
    <row r="749" spans="22:29" ht="20.100000000000001" customHeight="1">
      <c r="V749" s="944" t="e">
        <f>VLOOKUP(U749,R_DD!$B$6:$E$2112,3,0)</f>
        <v>#N/A</v>
      </c>
      <c r="W749" s="943" t="e">
        <f>VLOOKUP(U749,R_DD!$B$6:$E$2112,4,0)</f>
        <v>#N/A</v>
      </c>
      <c r="Z749" s="946" t="e">
        <f>VLOOKUP(X749,R_DD!$B$6:$E$2112,3,0)</f>
        <v>#N/A</v>
      </c>
      <c r="AA749" s="946" t="e">
        <f>VLOOKUP(Y749,R_DD!$A$1:$L$2131,4,0)</f>
        <v>#N/A</v>
      </c>
      <c r="AB749" s="947" t="e">
        <f>VLOOKUP(Y749,R_DD!$A$1:$L$2131,5,0)</f>
        <v>#N/A</v>
      </c>
      <c r="AC749" s="947" t="e">
        <f>VLOOKUP(X749,R_DD!$B$6:$E$2112,4,0)</f>
        <v>#N/A</v>
      </c>
    </row>
    <row r="750" spans="22:29" ht="20.100000000000001" customHeight="1">
      <c r="V750" s="944" t="e">
        <f>VLOOKUP(U750,R_DD!$B$6:$E$2112,3,0)</f>
        <v>#N/A</v>
      </c>
      <c r="W750" s="943" t="e">
        <f>VLOOKUP(U750,R_DD!$B$6:$E$2112,4,0)</f>
        <v>#N/A</v>
      </c>
      <c r="Z750" s="946" t="e">
        <f>VLOOKUP(X750,R_DD!$B$6:$E$2112,3,0)</f>
        <v>#N/A</v>
      </c>
      <c r="AA750" s="946" t="e">
        <f>VLOOKUP(Y750,R_DD!$A$1:$L$2131,4,0)</f>
        <v>#N/A</v>
      </c>
      <c r="AB750" s="947" t="e">
        <f>VLOOKUP(Y750,R_DD!$A$1:$L$2131,5,0)</f>
        <v>#N/A</v>
      </c>
      <c r="AC750" s="947" t="e">
        <f>VLOOKUP(X750,R_DD!$B$6:$E$2112,4,0)</f>
        <v>#N/A</v>
      </c>
    </row>
    <row r="751" spans="22:29" ht="20.100000000000001" customHeight="1">
      <c r="V751" s="944" t="e">
        <f>VLOOKUP(U751,R_DD!$B$6:$E$2112,3,0)</f>
        <v>#N/A</v>
      </c>
      <c r="W751" s="943" t="e">
        <f>VLOOKUP(U751,R_DD!$B$6:$E$2112,4,0)</f>
        <v>#N/A</v>
      </c>
      <c r="Z751" s="946" t="e">
        <f>VLOOKUP(X751,R_DD!$B$6:$E$2112,3,0)</f>
        <v>#N/A</v>
      </c>
      <c r="AA751" s="946" t="e">
        <f>VLOOKUP(Y751,R_DD!$A$1:$L$2131,4,0)</f>
        <v>#N/A</v>
      </c>
      <c r="AB751" s="947" t="e">
        <f>VLOOKUP(Y751,R_DD!$A$1:$L$2131,5,0)</f>
        <v>#N/A</v>
      </c>
      <c r="AC751" s="947" t="e">
        <f>VLOOKUP(X751,R_DD!$B$6:$E$2112,4,0)</f>
        <v>#N/A</v>
      </c>
    </row>
    <row r="752" spans="22:29" ht="20.100000000000001" customHeight="1">
      <c r="V752" s="944" t="e">
        <f>VLOOKUP(U752,R_DD!$B$6:$E$2112,3,0)</f>
        <v>#N/A</v>
      </c>
      <c r="W752" s="943" t="e">
        <f>VLOOKUP(U752,R_DD!$B$6:$E$2112,4,0)</f>
        <v>#N/A</v>
      </c>
      <c r="Z752" s="946" t="e">
        <f>VLOOKUP(X752,R_DD!$B$6:$E$2112,3,0)</f>
        <v>#N/A</v>
      </c>
      <c r="AA752" s="946" t="e">
        <f>VLOOKUP(Y752,R_DD!$A$1:$L$2131,4,0)</f>
        <v>#N/A</v>
      </c>
      <c r="AB752" s="947" t="e">
        <f>VLOOKUP(Y752,R_DD!$A$1:$L$2131,5,0)</f>
        <v>#N/A</v>
      </c>
      <c r="AC752" s="947" t="e">
        <f>VLOOKUP(X752,R_DD!$B$6:$E$2112,4,0)</f>
        <v>#N/A</v>
      </c>
    </row>
    <row r="753" spans="22:29" ht="20.100000000000001" customHeight="1">
      <c r="V753" s="944" t="e">
        <f>VLOOKUP(U753,R_DD!$B$6:$E$2112,3,0)</f>
        <v>#N/A</v>
      </c>
      <c r="W753" s="943" t="e">
        <f>VLOOKUP(U753,R_DD!$B$6:$E$2112,4,0)</f>
        <v>#N/A</v>
      </c>
      <c r="Z753" s="946" t="e">
        <f>VLOOKUP(X753,R_DD!$B$6:$E$2112,3,0)</f>
        <v>#N/A</v>
      </c>
      <c r="AA753" s="946" t="e">
        <f>VLOOKUP(Y753,R_DD!$A$1:$L$2131,4,0)</f>
        <v>#N/A</v>
      </c>
      <c r="AB753" s="947" t="e">
        <f>VLOOKUP(Y753,R_DD!$A$1:$L$2131,5,0)</f>
        <v>#N/A</v>
      </c>
      <c r="AC753" s="947" t="e">
        <f>VLOOKUP(X753,R_DD!$B$6:$E$2112,4,0)</f>
        <v>#N/A</v>
      </c>
    </row>
    <row r="754" spans="22:29" ht="20.100000000000001" customHeight="1">
      <c r="V754" s="944" t="e">
        <f>VLOOKUP(U754,R_DD!$B$6:$E$2112,3,0)</f>
        <v>#N/A</v>
      </c>
      <c r="W754" s="943" t="e">
        <f>VLOOKUP(U754,R_DD!$B$6:$E$2112,4,0)</f>
        <v>#N/A</v>
      </c>
      <c r="Z754" s="946" t="e">
        <f>VLOOKUP(X754,R_DD!$B$6:$E$2112,3,0)</f>
        <v>#N/A</v>
      </c>
      <c r="AA754" s="946" t="e">
        <f>VLOOKUP(Y754,R_DD!$A$1:$L$2131,4,0)</f>
        <v>#N/A</v>
      </c>
      <c r="AB754" s="947" t="e">
        <f>VLOOKUP(Y754,R_DD!$A$1:$L$2131,5,0)</f>
        <v>#N/A</v>
      </c>
      <c r="AC754" s="947" t="e">
        <f>VLOOKUP(X754,R_DD!$B$6:$E$2112,4,0)</f>
        <v>#N/A</v>
      </c>
    </row>
    <row r="755" spans="22:29" ht="20.100000000000001" customHeight="1">
      <c r="V755" s="944" t="e">
        <f>VLOOKUP(U755,R_DD!$B$6:$E$2112,3,0)</f>
        <v>#N/A</v>
      </c>
      <c r="W755" s="943" t="e">
        <f>VLOOKUP(U755,R_DD!$B$6:$E$2112,4,0)</f>
        <v>#N/A</v>
      </c>
      <c r="Z755" s="946" t="e">
        <f>VLOOKUP(X755,R_DD!$B$6:$E$2112,3,0)</f>
        <v>#N/A</v>
      </c>
      <c r="AA755" s="946" t="e">
        <f>VLOOKUP(Y755,R_DD!$A$1:$L$2131,4,0)</f>
        <v>#N/A</v>
      </c>
      <c r="AB755" s="947" t="e">
        <f>VLOOKUP(Y755,R_DD!$A$1:$L$2131,5,0)</f>
        <v>#N/A</v>
      </c>
      <c r="AC755" s="947" t="e">
        <f>VLOOKUP(X755,R_DD!$B$6:$E$2112,4,0)</f>
        <v>#N/A</v>
      </c>
    </row>
    <row r="756" spans="22:29" ht="20.100000000000001" customHeight="1">
      <c r="V756" s="944" t="e">
        <f>VLOOKUP(U756,R_DD!$B$6:$E$2112,3,0)</f>
        <v>#N/A</v>
      </c>
      <c r="W756" s="943" t="e">
        <f>VLOOKUP(U756,R_DD!$B$6:$E$2112,4,0)</f>
        <v>#N/A</v>
      </c>
      <c r="Z756" s="946" t="e">
        <f>VLOOKUP(X756,R_DD!$B$6:$E$2112,3,0)</f>
        <v>#N/A</v>
      </c>
      <c r="AA756" s="946" t="e">
        <f>VLOOKUP(Y756,R_DD!$A$1:$L$2131,4,0)</f>
        <v>#N/A</v>
      </c>
      <c r="AB756" s="947" t="e">
        <f>VLOOKUP(Y756,R_DD!$A$1:$L$2131,5,0)</f>
        <v>#N/A</v>
      </c>
      <c r="AC756" s="947" t="e">
        <f>VLOOKUP(X756,R_DD!$B$6:$E$2112,4,0)</f>
        <v>#N/A</v>
      </c>
    </row>
    <row r="757" spans="22:29" ht="20.100000000000001" customHeight="1">
      <c r="V757" s="944" t="e">
        <f>VLOOKUP(U757,R_DD!$B$6:$E$2112,3,0)</f>
        <v>#N/A</v>
      </c>
      <c r="W757" s="943" t="e">
        <f>VLOOKUP(U757,R_DD!$B$6:$E$2112,4,0)</f>
        <v>#N/A</v>
      </c>
      <c r="Z757" s="946" t="e">
        <f>VLOOKUP(X757,R_DD!$B$6:$E$2112,3,0)</f>
        <v>#N/A</v>
      </c>
      <c r="AA757" s="946" t="e">
        <f>VLOOKUP(Y757,R_DD!$A$1:$L$2131,4,0)</f>
        <v>#N/A</v>
      </c>
      <c r="AB757" s="947" t="e">
        <f>VLOOKUP(Y757,R_DD!$A$1:$L$2131,5,0)</f>
        <v>#N/A</v>
      </c>
      <c r="AC757" s="947" t="e">
        <f>VLOOKUP(X757,R_DD!$B$6:$E$2112,4,0)</f>
        <v>#N/A</v>
      </c>
    </row>
    <row r="758" spans="22:29" ht="20.100000000000001" customHeight="1">
      <c r="V758" s="944" t="e">
        <f>VLOOKUP(U758,R_DD!$B$6:$E$2112,3,0)</f>
        <v>#N/A</v>
      </c>
      <c r="W758" s="943" t="e">
        <f>VLOOKUP(U758,R_DD!$B$6:$E$2112,4,0)</f>
        <v>#N/A</v>
      </c>
      <c r="Z758" s="946" t="e">
        <f>VLOOKUP(X758,R_DD!$B$6:$E$2112,3,0)</f>
        <v>#N/A</v>
      </c>
      <c r="AA758" s="946" t="e">
        <f>VLOOKUP(Y758,R_DD!$A$1:$L$2131,4,0)</f>
        <v>#N/A</v>
      </c>
      <c r="AB758" s="947" t="e">
        <f>VLOOKUP(Y758,R_DD!$A$1:$L$2131,5,0)</f>
        <v>#N/A</v>
      </c>
      <c r="AC758" s="947" t="e">
        <f>VLOOKUP(X758,R_DD!$B$6:$E$2112,4,0)</f>
        <v>#N/A</v>
      </c>
    </row>
    <row r="759" spans="22:29" ht="20.100000000000001" customHeight="1">
      <c r="V759" s="944" t="e">
        <f>VLOOKUP(U759,R_DD!$B$6:$E$2112,3,0)</f>
        <v>#N/A</v>
      </c>
      <c r="W759" s="943" t="e">
        <f>VLOOKUP(U759,R_DD!$B$6:$E$2112,4,0)</f>
        <v>#N/A</v>
      </c>
      <c r="Z759" s="946" t="e">
        <f>VLOOKUP(X759,R_DD!$B$6:$E$2112,3,0)</f>
        <v>#N/A</v>
      </c>
      <c r="AA759" s="946" t="e">
        <f>VLOOKUP(Y759,R_DD!$A$1:$L$2131,4,0)</f>
        <v>#N/A</v>
      </c>
      <c r="AB759" s="947" t="e">
        <f>VLOOKUP(Y759,R_DD!$A$1:$L$2131,5,0)</f>
        <v>#N/A</v>
      </c>
      <c r="AC759" s="947" t="e">
        <f>VLOOKUP(X759,R_DD!$B$6:$E$2112,4,0)</f>
        <v>#N/A</v>
      </c>
    </row>
    <row r="760" spans="22:29" ht="20.100000000000001" customHeight="1">
      <c r="V760" s="944" t="e">
        <f>VLOOKUP(U760,R_DD!$B$6:$E$2112,3,0)</f>
        <v>#N/A</v>
      </c>
      <c r="W760" s="943" t="e">
        <f>VLOOKUP(U760,R_DD!$B$6:$E$2112,4,0)</f>
        <v>#N/A</v>
      </c>
      <c r="Z760" s="946" t="e">
        <f>VLOOKUP(X760,R_DD!$B$6:$E$2112,3,0)</f>
        <v>#N/A</v>
      </c>
      <c r="AA760" s="946" t="e">
        <f>VLOOKUP(Y760,R_DD!$A$1:$L$2131,4,0)</f>
        <v>#N/A</v>
      </c>
      <c r="AB760" s="947" t="e">
        <f>VLOOKUP(Y760,R_DD!$A$1:$L$2131,5,0)</f>
        <v>#N/A</v>
      </c>
      <c r="AC760" s="947" t="e">
        <f>VLOOKUP(X760,R_DD!$B$6:$E$2112,4,0)</f>
        <v>#N/A</v>
      </c>
    </row>
    <row r="761" spans="22:29" ht="20.100000000000001" customHeight="1">
      <c r="V761" s="944" t="e">
        <f>VLOOKUP(U761,R_DD!$B$6:$E$2112,3,0)</f>
        <v>#N/A</v>
      </c>
      <c r="W761" s="943" t="e">
        <f>VLOOKUP(U761,R_DD!$B$6:$E$2112,4,0)</f>
        <v>#N/A</v>
      </c>
      <c r="Z761" s="946" t="e">
        <f>VLOOKUP(X761,R_DD!$B$6:$E$2112,3,0)</f>
        <v>#N/A</v>
      </c>
      <c r="AA761" s="946" t="e">
        <f>VLOOKUP(Y761,R_DD!$A$1:$L$2131,4,0)</f>
        <v>#N/A</v>
      </c>
      <c r="AB761" s="947" t="e">
        <f>VLOOKUP(Y761,R_DD!$A$1:$L$2131,5,0)</f>
        <v>#N/A</v>
      </c>
      <c r="AC761" s="947" t="e">
        <f>VLOOKUP(X761,R_DD!$B$6:$E$2112,4,0)</f>
        <v>#N/A</v>
      </c>
    </row>
    <row r="762" spans="22:29" ht="20.100000000000001" customHeight="1">
      <c r="V762" s="944" t="e">
        <f>VLOOKUP(U762,R_DD!$B$6:$E$2112,3,0)</f>
        <v>#N/A</v>
      </c>
      <c r="W762" s="943" t="e">
        <f>VLOOKUP(U762,R_DD!$B$6:$E$2112,4,0)</f>
        <v>#N/A</v>
      </c>
      <c r="Z762" s="946" t="e">
        <f>VLOOKUP(X762,R_DD!$B$6:$E$2112,3,0)</f>
        <v>#N/A</v>
      </c>
      <c r="AA762" s="946" t="e">
        <f>VLOOKUP(Y762,R_DD!$A$1:$L$2131,4,0)</f>
        <v>#N/A</v>
      </c>
      <c r="AB762" s="947" t="e">
        <f>VLOOKUP(Y762,R_DD!$A$1:$L$2131,5,0)</f>
        <v>#N/A</v>
      </c>
      <c r="AC762" s="947" t="e">
        <f>VLOOKUP(X762,R_DD!$B$6:$E$2112,4,0)</f>
        <v>#N/A</v>
      </c>
    </row>
    <row r="763" spans="22:29" ht="20.100000000000001" customHeight="1">
      <c r="V763" s="944" t="e">
        <f>VLOOKUP(U763,R_DD!$B$6:$E$2112,3,0)</f>
        <v>#N/A</v>
      </c>
      <c r="W763" s="943" t="e">
        <f>VLOOKUP(U763,R_DD!$B$6:$E$2112,4,0)</f>
        <v>#N/A</v>
      </c>
      <c r="Z763" s="946" t="e">
        <f>VLOOKUP(X763,R_DD!$B$6:$E$2112,3,0)</f>
        <v>#N/A</v>
      </c>
      <c r="AA763" s="946" t="e">
        <f>VLOOKUP(Y763,R_DD!$A$1:$L$2131,4,0)</f>
        <v>#N/A</v>
      </c>
      <c r="AB763" s="947" t="e">
        <f>VLOOKUP(Y763,R_DD!$A$1:$L$2131,5,0)</f>
        <v>#N/A</v>
      </c>
      <c r="AC763" s="947" t="e">
        <f>VLOOKUP(X763,R_DD!$B$6:$E$2112,4,0)</f>
        <v>#N/A</v>
      </c>
    </row>
    <row r="764" spans="22:29" ht="20.100000000000001" customHeight="1">
      <c r="V764" s="944" t="e">
        <f>VLOOKUP(U764,R_DD!$B$6:$E$2112,3,0)</f>
        <v>#N/A</v>
      </c>
      <c r="W764" s="943" t="e">
        <f>VLOOKUP(U764,R_DD!$B$6:$E$2112,4,0)</f>
        <v>#N/A</v>
      </c>
      <c r="Z764" s="946" t="e">
        <f>VLOOKUP(X764,R_DD!$B$6:$E$2112,3,0)</f>
        <v>#N/A</v>
      </c>
      <c r="AA764" s="946" t="e">
        <f>VLOOKUP(Y764,R_DD!$A$1:$L$2131,4,0)</f>
        <v>#N/A</v>
      </c>
      <c r="AB764" s="947" t="e">
        <f>VLOOKUP(Y764,R_DD!$A$1:$L$2131,5,0)</f>
        <v>#N/A</v>
      </c>
      <c r="AC764" s="947" t="e">
        <f>VLOOKUP(X764,R_DD!$B$6:$E$2112,4,0)</f>
        <v>#N/A</v>
      </c>
    </row>
    <row r="765" spans="22:29" ht="20.100000000000001" customHeight="1">
      <c r="V765" s="944" t="e">
        <f>VLOOKUP(U765,R_DD!$B$6:$E$2112,3,0)</f>
        <v>#N/A</v>
      </c>
      <c r="W765" s="943" t="e">
        <f>VLOOKUP(U765,R_DD!$B$6:$E$2112,4,0)</f>
        <v>#N/A</v>
      </c>
      <c r="Z765" s="946" t="e">
        <f>VLOOKUP(X765,R_DD!$B$6:$E$2112,3,0)</f>
        <v>#N/A</v>
      </c>
      <c r="AA765" s="946" t="e">
        <f>VLOOKUP(Y765,R_DD!$A$1:$L$2131,4,0)</f>
        <v>#N/A</v>
      </c>
      <c r="AB765" s="947" t="e">
        <f>VLOOKUP(Y765,R_DD!$A$1:$L$2131,5,0)</f>
        <v>#N/A</v>
      </c>
      <c r="AC765" s="947" t="e">
        <f>VLOOKUP(X765,R_DD!$B$6:$E$2112,4,0)</f>
        <v>#N/A</v>
      </c>
    </row>
    <row r="766" spans="22:29" ht="20.100000000000001" customHeight="1">
      <c r="V766" s="944" t="e">
        <f>VLOOKUP(U766,R_DD!$B$6:$E$2112,3,0)</f>
        <v>#N/A</v>
      </c>
      <c r="W766" s="943" t="e">
        <f>VLOOKUP(U766,R_DD!$B$6:$E$2112,4,0)</f>
        <v>#N/A</v>
      </c>
      <c r="Z766" s="946" t="e">
        <f>VLOOKUP(X766,R_DD!$B$6:$E$2112,3,0)</f>
        <v>#N/A</v>
      </c>
      <c r="AA766" s="946" t="e">
        <f>VLOOKUP(Y766,R_DD!$A$1:$L$2131,4,0)</f>
        <v>#N/A</v>
      </c>
      <c r="AB766" s="947" t="e">
        <f>VLOOKUP(Y766,R_DD!$A$1:$L$2131,5,0)</f>
        <v>#N/A</v>
      </c>
      <c r="AC766" s="947" t="e">
        <f>VLOOKUP(X766,R_DD!$B$6:$E$2112,4,0)</f>
        <v>#N/A</v>
      </c>
    </row>
    <row r="767" spans="22:29" ht="20.100000000000001" customHeight="1">
      <c r="V767" s="944" t="e">
        <f>VLOOKUP(U767,R_DD!$B$6:$E$2112,3,0)</f>
        <v>#N/A</v>
      </c>
      <c r="W767" s="943" t="e">
        <f>VLOOKUP(U767,R_DD!$B$6:$E$2112,4,0)</f>
        <v>#N/A</v>
      </c>
      <c r="Z767" s="946" t="e">
        <f>VLOOKUP(X767,R_DD!$B$6:$E$2112,3,0)</f>
        <v>#N/A</v>
      </c>
      <c r="AA767" s="946" t="e">
        <f>VLOOKUP(Y767,R_DD!$A$1:$L$2131,4,0)</f>
        <v>#N/A</v>
      </c>
      <c r="AB767" s="947" t="e">
        <f>VLOOKUP(Y767,R_DD!$A$1:$L$2131,5,0)</f>
        <v>#N/A</v>
      </c>
      <c r="AC767" s="947" t="e">
        <f>VLOOKUP(X767,R_DD!$B$6:$E$2112,4,0)</f>
        <v>#N/A</v>
      </c>
    </row>
    <row r="768" spans="22:29" ht="20.100000000000001" customHeight="1">
      <c r="V768" s="944" t="e">
        <f>VLOOKUP(U768,R_DD!$B$6:$E$2112,3,0)</f>
        <v>#N/A</v>
      </c>
      <c r="W768" s="943" t="e">
        <f>VLOOKUP(U768,R_DD!$B$6:$E$2112,4,0)</f>
        <v>#N/A</v>
      </c>
      <c r="Z768" s="946" t="e">
        <f>VLOOKUP(X768,R_DD!$B$6:$E$2112,3,0)</f>
        <v>#N/A</v>
      </c>
      <c r="AA768" s="946" t="e">
        <f>VLOOKUP(Y768,R_DD!$A$1:$L$2131,4,0)</f>
        <v>#N/A</v>
      </c>
      <c r="AB768" s="947" t="e">
        <f>VLOOKUP(Y768,R_DD!$A$1:$L$2131,5,0)</f>
        <v>#N/A</v>
      </c>
      <c r="AC768" s="947" t="e">
        <f>VLOOKUP(X768,R_DD!$B$6:$E$2112,4,0)</f>
        <v>#N/A</v>
      </c>
    </row>
    <row r="769" spans="22:29" ht="20.100000000000001" customHeight="1">
      <c r="V769" s="944" t="e">
        <f>VLOOKUP(U769,R_DD!$B$6:$E$2112,3,0)</f>
        <v>#N/A</v>
      </c>
      <c r="W769" s="943" t="e">
        <f>VLOOKUP(U769,R_DD!$B$6:$E$2112,4,0)</f>
        <v>#N/A</v>
      </c>
      <c r="Z769" s="946" t="e">
        <f>VLOOKUP(X769,R_DD!$B$6:$E$2112,3,0)</f>
        <v>#N/A</v>
      </c>
      <c r="AA769" s="946" t="e">
        <f>VLOOKUP(Y769,R_DD!$A$1:$L$2131,4,0)</f>
        <v>#N/A</v>
      </c>
      <c r="AB769" s="947" t="e">
        <f>VLOOKUP(Y769,R_DD!$A$1:$L$2131,5,0)</f>
        <v>#N/A</v>
      </c>
      <c r="AC769" s="947" t="e">
        <f>VLOOKUP(X769,R_DD!$B$6:$E$2112,4,0)</f>
        <v>#N/A</v>
      </c>
    </row>
    <row r="770" spans="22:29" ht="20.100000000000001" customHeight="1">
      <c r="V770" s="944" t="e">
        <f>VLOOKUP(U770,R_DD!$B$6:$E$2112,3,0)</f>
        <v>#N/A</v>
      </c>
      <c r="W770" s="943" t="e">
        <f>VLOOKUP(U770,R_DD!$B$6:$E$2112,4,0)</f>
        <v>#N/A</v>
      </c>
      <c r="Z770" s="946" t="e">
        <f>VLOOKUP(X770,R_DD!$B$6:$E$2112,3,0)</f>
        <v>#N/A</v>
      </c>
      <c r="AA770" s="946" t="e">
        <f>VLOOKUP(Y770,R_DD!$A$1:$L$2131,4,0)</f>
        <v>#N/A</v>
      </c>
      <c r="AB770" s="947" t="e">
        <f>VLOOKUP(Y770,R_DD!$A$1:$L$2131,5,0)</f>
        <v>#N/A</v>
      </c>
      <c r="AC770" s="947" t="e">
        <f>VLOOKUP(X770,R_DD!$B$6:$E$2112,4,0)</f>
        <v>#N/A</v>
      </c>
    </row>
    <row r="771" spans="22:29" ht="20.100000000000001" customHeight="1">
      <c r="V771" s="944" t="e">
        <f>VLOOKUP(U771,R_DD!$B$6:$E$2112,3,0)</f>
        <v>#N/A</v>
      </c>
      <c r="W771" s="943" t="e">
        <f>VLOOKUP(U771,R_DD!$B$6:$E$2112,4,0)</f>
        <v>#N/A</v>
      </c>
      <c r="Z771" s="946" t="e">
        <f>VLOOKUP(X771,R_DD!$B$6:$E$2112,3,0)</f>
        <v>#N/A</v>
      </c>
      <c r="AA771" s="946" t="e">
        <f>VLOOKUP(Y771,R_DD!$A$1:$L$2131,4,0)</f>
        <v>#N/A</v>
      </c>
      <c r="AB771" s="947" t="e">
        <f>VLOOKUP(Y771,R_DD!$A$1:$L$2131,5,0)</f>
        <v>#N/A</v>
      </c>
      <c r="AC771" s="947" t="e">
        <f>VLOOKUP(X771,R_DD!$B$6:$E$2112,4,0)</f>
        <v>#N/A</v>
      </c>
    </row>
    <row r="772" spans="22:29" ht="20.100000000000001" customHeight="1">
      <c r="V772" s="944" t="e">
        <f>VLOOKUP(U772,R_DD!$B$6:$E$2112,3,0)</f>
        <v>#N/A</v>
      </c>
      <c r="W772" s="943" t="e">
        <f>VLOOKUP(U772,R_DD!$B$6:$E$2112,4,0)</f>
        <v>#N/A</v>
      </c>
      <c r="Z772" s="946" t="e">
        <f>VLOOKUP(X772,R_DD!$B$6:$E$2112,3,0)</f>
        <v>#N/A</v>
      </c>
      <c r="AA772" s="946" t="e">
        <f>VLOOKUP(Y772,R_DD!$A$1:$L$2131,4,0)</f>
        <v>#N/A</v>
      </c>
      <c r="AB772" s="947" t="e">
        <f>VLOOKUP(Y772,R_DD!$A$1:$L$2131,5,0)</f>
        <v>#N/A</v>
      </c>
      <c r="AC772" s="947" t="e">
        <f>VLOOKUP(X772,R_DD!$B$6:$E$2112,4,0)</f>
        <v>#N/A</v>
      </c>
    </row>
    <row r="773" spans="22:29" ht="20.100000000000001" customHeight="1">
      <c r="V773" s="944" t="e">
        <f>VLOOKUP(U773,R_DD!$B$6:$E$2112,3,0)</f>
        <v>#N/A</v>
      </c>
      <c r="W773" s="943" t="e">
        <f>VLOOKUP(U773,R_DD!$B$6:$E$2112,4,0)</f>
        <v>#N/A</v>
      </c>
      <c r="Z773" s="946" t="e">
        <f>VLOOKUP(X773,R_DD!$B$6:$E$2112,3,0)</f>
        <v>#N/A</v>
      </c>
      <c r="AA773" s="946" t="e">
        <f>VLOOKUP(Y773,R_DD!$A$1:$L$2131,4,0)</f>
        <v>#N/A</v>
      </c>
      <c r="AB773" s="947" t="e">
        <f>VLOOKUP(Y773,R_DD!$A$1:$L$2131,5,0)</f>
        <v>#N/A</v>
      </c>
      <c r="AC773" s="947" t="e">
        <f>VLOOKUP(X773,R_DD!$B$6:$E$2112,4,0)</f>
        <v>#N/A</v>
      </c>
    </row>
    <row r="774" spans="22:29" ht="20.100000000000001" customHeight="1">
      <c r="V774" s="944" t="e">
        <f>VLOOKUP(U774,R_DD!$B$6:$E$2112,3,0)</f>
        <v>#N/A</v>
      </c>
      <c r="W774" s="943" t="e">
        <f>VLOOKUP(U774,R_DD!$B$6:$E$2112,4,0)</f>
        <v>#N/A</v>
      </c>
      <c r="Z774" s="946" t="e">
        <f>VLOOKUP(X774,R_DD!$B$6:$E$2112,3,0)</f>
        <v>#N/A</v>
      </c>
      <c r="AA774" s="946" t="e">
        <f>VLOOKUP(Y774,R_DD!$A$1:$L$2131,4,0)</f>
        <v>#N/A</v>
      </c>
      <c r="AB774" s="947" t="e">
        <f>VLOOKUP(Y774,R_DD!$A$1:$L$2131,5,0)</f>
        <v>#N/A</v>
      </c>
      <c r="AC774" s="947" t="e">
        <f>VLOOKUP(X774,R_DD!$B$6:$E$2112,4,0)</f>
        <v>#N/A</v>
      </c>
    </row>
    <row r="775" spans="22:29" ht="20.100000000000001" customHeight="1">
      <c r="V775" s="944" t="e">
        <f>VLOOKUP(U775,R_DD!$B$6:$E$2112,3,0)</f>
        <v>#N/A</v>
      </c>
      <c r="W775" s="943" t="e">
        <f>VLOOKUP(U775,R_DD!$B$6:$E$2112,4,0)</f>
        <v>#N/A</v>
      </c>
      <c r="Z775" s="946" t="e">
        <f>VLOOKUP(X775,R_DD!$B$6:$E$2112,3,0)</f>
        <v>#N/A</v>
      </c>
      <c r="AA775" s="946" t="e">
        <f>VLOOKUP(Y775,R_DD!$A$1:$L$2131,4,0)</f>
        <v>#N/A</v>
      </c>
      <c r="AB775" s="947" t="e">
        <f>VLOOKUP(Y775,R_DD!$A$1:$L$2131,5,0)</f>
        <v>#N/A</v>
      </c>
      <c r="AC775" s="947" t="e">
        <f>VLOOKUP(X775,R_DD!$B$6:$E$2112,4,0)</f>
        <v>#N/A</v>
      </c>
    </row>
    <row r="776" spans="22:29" ht="20.100000000000001" customHeight="1">
      <c r="V776" s="944" t="e">
        <f>VLOOKUP(U776,R_DD!$B$6:$E$2112,3,0)</f>
        <v>#N/A</v>
      </c>
      <c r="W776" s="943" t="e">
        <f>VLOOKUP(U776,R_DD!$B$6:$E$2112,4,0)</f>
        <v>#N/A</v>
      </c>
      <c r="Z776" s="946" t="e">
        <f>VLOOKUP(X776,R_DD!$B$6:$E$2112,3,0)</f>
        <v>#N/A</v>
      </c>
      <c r="AA776" s="946" t="e">
        <f>VLOOKUP(Y776,R_DD!$A$1:$L$2131,4,0)</f>
        <v>#N/A</v>
      </c>
      <c r="AB776" s="947" t="e">
        <f>VLOOKUP(Y776,R_DD!$A$1:$L$2131,5,0)</f>
        <v>#N/A</v>
      </c>
      <c r="AC776" s="947" t="e">
        <f>VLOOKUP(X776,R_DD!$B$6:$E$2112,4,0)</f>
        <v>#N/A</v>
      </c>
    </row>
    <row r="777" spans="22:29" ht="20.100000000000001" customHeight="1">
      <c r="V777" s="944" t="e">
        <f>VLOOKUP(U777,R_DD!$B$6:$E$2112,3,0)</f>
        <v>#N/A</v>
      </c>
      <c r="W777" s="943" t="e">
        <f>VLOOKUP(U777,R_DD!$B$6:$E$2112,4,0)</f>
        <v>#N/A</v>
      </c>
      <c r="Z777" s="946" t="e">
        <f>VLOOKUP(X777,R_DD!$B$6:$E$2112,3,0)</f>
        <v>#N/A</v>
      </c>
      <c r="AA777" s="946" t="e">
        <f>VLOOKUP(Y777,R_DD!$A$1:$L$2131,4,0)</f>
        <v>#N/A</v>
      </c>
      <c r="AB777" s="947" t="e">
        <f>VLOOKUP(Y777,R_DD!$A$1:$L$2131,5,0)</f>
        <v>#N/A</v>
      </c>
      <c r="AC777" s="947" t="e">
        <f>VLOOKUP(X777,R_DD!$B$6:$E$2112,4,0)</f>
        <v>#N/A</v>
      </c>
    </row>
    <row r="778" spans="22:29" ht="20.100000000000001" customHeight="1">
      <c r="V778" s="944" t="e">
        <f>VLOOKUP(U778,R_DD!$B$6:$E$2112,3,0)</f>
        <v>#N/A</v>
      </c>
      <c r="W778" s="943" t="e">
        <f>VLOOKUP(U778,R_DD!$B$6:$E$2112,4,0)</f>
        <v>#N/A</v>
      </c>
      <c r="Z778" s="946" t="e">
        <f>VLOOKUP(X778,R_DD!$B$6:$E$2112,3,0)</f>
        <v>#N/A</v>
      </c>
      <c r="AA778" s="946" t="e">
        <f>VLOOKUP(Y778,R_DD!$A$1:$L$2131,4,0)</f>
        <v>#N/A</v>
      </c>
      <c r="AB778" s="947" t="e">
        <f>VLOOKUP(Y778,R_DD!$A$1:$L$2131,5,0)</f>
        <v>#N/A</v>
      </c>
      <c r="AC778" s="947" t="e">
        <f>VLOOKUP(X778,R_DD!$B$6:$E$2112,4,0)</f>
        <v>#N/A</v>
      </c>
    </row>
    <row r="779" spans="22:29" ht="20.100000000000001" customHeight="1">
      <c r="V779" s="944" t="e">
        <f>VLOOKUP(U779,R_DD!$B$6:$E$2112,3,0)</f>
        <v>#N/A</v>
      </c>
      <c r="W779" s="943" t="e">
        <f>VLOOKUP(U779,R_DD!$B$6:$E$2112,4,0)</f>
        <v>#N/A</v>
      </c>
      <c r="Z779" s="946" t="e">
        <f>VLOOKUP(X779,R_DD!$B$6:$E$2112,3,0)</f>
        <v>#N/A</v>
      </c>
      <c r="AA779" s="946" t="e">
        <f>VLOOKUP(Y779,R_DD!$A$1:$L$2131,4,0)</f>
        <v>#N/A</v>
      </c>
      <c r="AB779" s="947" t="e">
        <f>VLOOKUP(Y779,R_DD!$A$1:$L$2131,5,0)</f>
        <v>#N/A</v>
      </c>
      <c r="AC779" s="947" t="e">
        <f>VLOOKUP(X779,R_DD!$B$6:$E$2112,4,0)</f>
        <v>#N/A</v>
      </c>
    </row>
    <row r="780" spans="22:29" ht="20.100000000000001" customHeight="1">
      <c r="V780" s="944" t="e">
        <f>VLOOKUP(U780,R_DD!$B$6:$E$2112,3,0)</f>
        <v>#N/A</v>
      </c>
      <c r="W780" s="943" t="e">
        <f>VLOOKUP(U780,R_DD!$B$6:$E$2112,4,0)</f>
        <v>#N/A</v>
      </c>
      <c r="Z780" s="946" t="e">
        <f>VLOOKUP(X780,R_DD!$B$6:$E$2112,3,0)</f>
        <v>#N/A</v>
      </c>
      <c r="AA780" s="946" t="e">
        <f>VLOOKUP(Y780,R_DD!$A$1:$L$2131,4,0)</f>
        <v>#N/A</v>
      </c>
      <c r="AB780" s="947" t="e">
        <f>VLOOKUP(Y780,R_DD!$A$1:$L$2131,5,0)</f>
        <v>#N/A</v>
      </c>
      <c r="AC780" s="947" t="e">
        <f>VLOOKUP(X780,R_DD!$B$6:$E$2112,4,0)</f>
        <v>#N/A</v>
      </c>
    </row>
    <row r="781" spans="22:29" ht="20.100000000000001" customHeight="1">
      <c r="V781" s="944" t="e">
        <f>VLOOKUP(U781,R_DD!$B$6:$E$2112,3,0)</f>
        <v>#N/A</v>
      </c>
      <c r="W781" s="943" t="e">
        <f>VLOOKUP(U781,R_DD!$B$6:$E$2112,4,0)</f>
        <v>#N/A</v>
      </c>
      <c r="Z781" s="946" t="e">
        <f>VLOOKUP(X781,R_DD!$B$6:$E$2112,3,0)</f>
        <v>#N/A</v>
      </c>
      <c r="AA781" s="946" t="e">
        <f>VLOOKUP(Y781,R_DD!$A$1:$L$2131,4,0)</f>
        <v>#N/A</v>
      </c>
      <c r="AB781" s="947" t="e">
        <f>VLOOKUP(Y781,R_DD!$A$1:$L$2131,5,0)</f>
        <v>#N/A</v>
      </c>
      <c r="AC781" s="947" t="e">
        <f>VLOOKUP(X781,R_DD!$B$6:$E$2112,4,0)</f>
        <v>#N/A</v>
      </c>
    </row>
    <row r="782" spans="22:29" ht="20.100000000000001" customHeight="1">
      <c r="V782" s="944" t="e">
        <f>VLOOKUP(U782,R_DD!$B$6:$E$2112,3,0)</f>
        <v>#N/A</v>
      </c>
      <c r="W782" s="943" t="e">
        <f>VLOOKUP(U782,R_DD!$B$6:$E$2112,4,0)</f>
        <v>#N/A</v>
      </c>
      <c r="Z782" s="946" t="e">
        <f>VLOOKUP(X782,R_DD!$B$6:$E$2112,3,0)</f>
        <v>#N/A</v>
      </c>
      <c r="AA782" s="946" t="e">
        <f>VLOOKUP(Y782,R_DD!$A$1:$L$2131,4,0)</f>
        <v>#N/A</v>
      </c>
      <c r="AB782" s="947" t="e">
        <f>VLOOKUP(Y782,R_DD!$A$1:$L$2131,5,0)</f>
        <v>#N/A</v>
      </c>
      <c r="AC782" s="947" t="e">
        <f>VLOOKUP(X782,R_DD!$B$6:$E$2112,4,0)</f>
        <v>#N/A</v>
      </c>
    </row>
    <row r="783" spans="22:29" ht="20.100000000000001" customHeight="1">
      <c r="V783" s="944" t="e">
        <f>VLOOKUP(U783,R_DD!$B$6:$E$2112,3,0)</f>
        <v>#N/A</v>
      </c>
      <c r="W783" s="943" t="e">
        <f>VLOOKUP(U783,R_DD!$B$6:$E$2112,4,0)</f>
        <v>#N/A</v>
      </c>
      <c r="Z783" s="946" t="e">
        <f>VLOOKUP(X783,R_DD!$B$6:$E$2112,3,0)</f>
        <v>#N/A</v>
      </c>
      <c r="AA783" s="946" t="e">
        <f>VLOOKUP(Y783,R_DD!$A$1:$L$2131,4,0)</f>
        <v>#N/A</v>
      </c>
      <c r="AB783" s="947" t="e">
        <f>VLOOKUP(Y783,R_DD!$A$1:$L$2131,5,0)</f>
        <v>#N/A</v>
      </c>
      <c r="AC783" s="947" t="e">
        <f>VLOOKUP(X783,R_DD!$B$6:$E$2112,4,0)</f>
        <v>#N/A</v>
      </c>
    </row>
    <row r="784" spans="22:29" ht="20.100000000000001" customHeight="1">
      <c r="V784" s="944" t="e">
        <f>VLOOKUP(U784,R_DD!$B$6:$E$2112,3,0)</f>
        <v>#N/A</v>
      </c>
      <c r="W784" s="943" t="e">
        <f>VLOOKUP(U784,R_DD!$B$6:$E$2112,4,0)</f>
        <v>#N/A</v>
      </c>
      <c r="Z784" s="946" t="e">
        <f>VLOOKUP(X784,R_DD!$B$6:$E$2112,3,0)</f>
        <v>#N/A</v>
      </c>
      <c r="AA784" s="946" t="e">
        <f>VLOOKUP(Y784,R_DD!$A$1:$L$2131,4,0)</f>
        <v>#N/A</v>
      </c>
      <c r="AB784" s="947" t="e">
        <f>VLOOKUP(Y784,R_DD!$A$1:$L$2131,5,0)</f>
        <v>#N/A</v>
      </c>
      <c r="AC784" s="947" t="e">
        <f>VLOOKUP(X784,R_DD!$B$6:$E$2112,4,0)</f>
        <v>#N/A</v>
      </c>
    </row>
    <row r="785" spans="22:29" ht="20.100000000000001" customHeight="1">
      <c r="V785" s="944" t="e">
        <f>VLOOKUP(U785,R_DD!$B$6:$E$2112,3,0)</f>
        <v>#N/A</v>
      </c>
      <c r="W785" s="943" t="e">
        <f>VLOOKUP(U785,R_DD!$B$6:$E$2112,4,0)</f>
        <v>#N/A</v>
      </c>
      <c r="Z785" s="946" t="e">
        <f>VLOOKUP(X785,R_DD!$B$6:$E$2112,3,0)</f>
        <v>#N/A</v>
      </c>
      <c r="AA785" s="946" t="e">
        <f>VLOOKUP(Y785,R_DD!$A$1:$L$2131,4,0)</f>
        <v>#N/A</v>
      </c>
      <c r="AB785" s="947" t="e">
        <f>VLOOKUP(Y785,R_DD!$A$1:$L$2131,5,0)</f>
        <v>#N/A</v>
      </c>
      <c r="AC785" s="947" t="e">
        <f>VLOOKUP(X785,R_DD!$B$6:$E$2112,4,0)</f>
        <v>#N/A</v>
      </c>
    </row>
    <row r="786" spans="22:29" ht="20.100000000000001" customHeight="1">
      <c r="V786" s="944" t="e">
        <f>VLOOKUP(U786,R_DD!$B$6:$E$2112,3,0)</f>
        <v>#N/A</v>
      </c>
      <c r="W786" s="943" t="e">
        <f>VLOOKUP(U786,R_DD!$B$6:$E$2112,4,0)</f>
        <v>#N/A</v>
      </c>
      <c r="Z786" s="946" t="e">
        <f>VLOOKUP(X786,R_DD!$B$6:$E$2112,3,0)</f>
        <v>#N/A</v>
      </c>
      <c r="AA786" s="946" t="e">
        <f>VLOOKUP(Y786,R_DD!$A$1:$L$2131,4,0)</f>
        <v>#N/A</v>
      </c>
      <c r="AB786" s="947" t="e">
        <f>VLOOKUP(Y786,R_DD!$A$1:$L$2131,5,0)</f>
        <v>#N/A</v>
      </c>
      <c r="AC786" s="947" t="e">
        <f>VLOOKUP(X786,R_DD!$B$6:$E$2112,4,0)</f>
        <v>#N/A</v>
      </c>
    </row>
    <row r="787" spans="22:29" ht="20.100000000000001" customHeight="1">
      <c r="V787" s="944" t="e">
        <f>VLOOKUP(U787,R_DD!$B$6:$E$2112,3,0)</f>
        <v>#N/A</v>
      </c>
      <c r="W787" s="943" t="e">
        <f>VLOOKUP(U787,R_DD!$B$6:$E$2112,4,0)</f>
        <v>#N/A</v>
      </c>
      <c r="Z787" s="946" t="e">
        <f>VLOOKUP(X787,R_DD!$B$6:$E$2112,3,0)</f>
        <v>#N/A</v>
      </c>
      <c r="AA787" s="946" t="e">
        <f>VLOOKUP(Y787,R_DD!$A$1:$L$2131,4,0)</f>
        <v>#N/A</v>
      </c>
      <c r="AB787" s="947" t="e">
        <f>VLOOKUP(Y787,R_DD!$A$1:$L$2131,5,0)</f>
        <v>#N/A</v>
      </c>
      <c r="AC787" s="947" t="e">
        <f>VLOOKUP(X787,R_DD!$B$6:$E$2112,4,0)</f>
        <v>#N/A</v>
      </c>
    </row>
    <row r="788" spans="22:29" ht="20.100000000000001" customHeight="1">
      <c r="V788" s="944" t="e">
        <f>VLOOKUP(U788,R_DD!$B$6:$E$2112,3,0)</f>
        <v>#N/A</v>
      </c>
      <c r="W788" s="943" t="e">
        <f>VLOOKUP(U788,R_DD!$B$6:$E$2112,4,0)</f>
        <v>#N/A</v>
      </c>
      <c r="Z788" s="946" t="e">
        <f>VLOOKUP(X788,R_DD!$B$6:$E$2112,3,0)</f>
        <v>#N/A</v>
      </c>
      <c r="AA788" s="946" t="e">
        <f>VLOOKUP(Y788,R_DD!$A$1:$L$2131,4,0)</f>
        <v>#N/A</v>
      </c>
      <c r="AB788" s="947" t="e">
        <f>VLOOKUP(Y788,R_DD!$A$1:$L$2131,5,0)</f>
        <v>#N/A</v>
      </c>
      <c r="AC788" s="947" t="e">
        <f>VLOOKUP(X788,R_DD!$B$6:$E$2112,4,0)</f>
        <v>#N/A</v>
      </c>
    </row>
    <row r="789" spans="22:29" ht="20.100000000000001" customHeight="1">
      <c r="V789" s="944" t="e">
        <f>VLOOKUP(U789,R_DD!$B$6:$E$2112,3,0)</f>
        <v>#N/A</v>
      </c>
      <c r="W789" s="943" t="e">
        <f>VLOOKUP(U789,R_DD!$B$6:$E$2112,4,0)</f>
        <v>#N/A</v>
      </c>
      <c r="Z789" s="946" t="e">
        <f>VLOOKUP(X789,R_DD!$B$6:$E$2112,3,0)</f>
        <v>#N/A</v>
      </c>
      <c r="AA789" s="946" t="e">
        <f>VLOOKUP(Y789,R_DD!$A$1:$L$2131,4,0)</f>
        <v>#N/A</v>
      </c>
      <c r="AB789" s="947" t="e">
        <f>VLOOKUP(Y789,R_DD!$A$1:$L$2131,5,0)</f>
        <v>#N/A</v>
      </c>
      <c r="AC789" s="947" t="e">
        <f>VLOOKUP(X789,R_DD!$B$6:$E$2112,4,0)</f>
        <v>#N/A</v>
      </c>
    </row>
    <row r="790" spans="22:29" ht="20.100000000000001" customHeight="1">
      <c r="V790" s="944" t="e">
        <f>VLOOKUP(U790,R_DD!$B$6:$E$2112,3,0)</f>
        <v>#N/A</v>
      </c>
      <c r="W790" s="943" t="e">
        <f>VLOOKUP(U790,R_DD!$B$6:$E$2112,4,0)</f>
        <v>#N/A</v>
      </c>
      <c r="Z790" s="946" t="e">
        <f>VLOOKUP(X790,R_DD!$B$6:$E$2112,3,0)</f>
        <v>#N/A</v>
      </c>
      <c r="AA790" s="946" t="e">
        <f>VLOOKUP(Y790,R_DD!$A$1:$L$2131,4,0)</f>
        <v>#N/A</v>
      </c>
      <c r="AB790" s="947" t="e">
        <f>VLOOKUP(Y790,R_DD!$A$1:$L$2131,5,0)</f>
        <v>#N/A</v>
      </c>
      <c r="AC790" s="947" t="e">
        <f>VLOOKUP(X790,R_DD!$B$6:$E$2112,4,0)</f>
        <v>#N/A</v>
      </c>
    </row>
    <row r="791" spans="22:29" ht="20.100000000000001" customHeight="1">
      <c r="V791" s="944" t="e">
        <f>VLOOKUP(U791,R_DD!$B$6:$E$2112,3,0)</f>
        <v>#N/A</v>
      </c>
      <c r="W791" s="943" t="e">
        <f>VLOOKUP(U791,R_DD!$B$6:$E$2112,4,0)</f>
        <v>#N/A</v>
      </c>
      <c r="Z791" s="946" t="e">
        <f>VLOOKUP(X791,R_DD!$B$6:$E$2112,3,0)</f>
        <v>#N/A</v>
      </c>
      <c r="AA791" s="946" t="e">
        <f>VLOOKUP(Y791,R_DD!$A$1:$L$2131,4,0)</f>
        <v>#N/A</v>
      </c>
      <c r="AB791" s="947" t="e">
        <f>VLOOKUP(Y791,R_DD!$A$1:$L$2131,5,0)</f>
        <v>#N/A</v>
      </c>
      <c r="AC791" s="947" t="e">
        <f>VLOOKUP(X791,R_DD!$B$6:$E$2112,4,0)</f>
        <v>#N/A</v>
      </c>
    </row>
    <row r="792" spans="22:29" ht="20.100000000000001" customHeight="1">
      <c r="V792" s="944" t="e">
        <f>VLOOKUP(U792,R_DD!$B$6:$E$2112,3,0)</f>
        <v>#N/A</v>
      </c>
      <c r="W792" s="943" t="e">
        <f>VLOOKUP(U792,R_DD!$B$6:$E$2112,4,0)</f>
        <v>#N/A</v>
      </c>
      <c r="Z792" s="946" t="e">
        <f>VLOOKUP(X792,R_DD!$B$6:$E$2112,3,0)</f>
        <v>#N/A</v>
      </c>
      <c r="AA792" s="946" t="e">
        <f>VLOOKUP(Y792,R_DD!$A$1:$L$2131,4,0)</f>
        <v>#N/A</v>
      </c>
      <c r="AB792" s="947" t="e">
        <f>VLOOKUP(Y792,R_DD!$A$1:$L$2131,5,0)</f>
        <v>#N/A</v>
      </c>
      <c r="AC792" s="947" t="e">
        <f>VLOOKUP(X792,R_DD!$B$6:$E$2112,4,0)</f>
        <v>#N/A</v>
      </c>
    </row>
    <row r="793" spans="22:29" ht="20.100000000000001" customHeight="1">
      <c r="V793" s="944" t="e">
        <f>VLOOKUP(U793,R_DD!$B$6:$E$2112,3,0)</f>
        <v>#N/A</v>
      </c>
      <c r="W793" s="943" t="e">
        <f>VLOOKUP(U793,R_DD!$B$6:$E$2112,4,0)</f>
        <v>#N/A</v>
      </c>
      <c r="Z793" s="946" t="e">
        <f>VLOOKUP(X793,R_DD!$B$6:$E$2112,3,0)</f>
        <v>#N/A</v>
      </c>
      <c r="AA793" s="946" t="e">
        <f>VLOOKUP(Y793,R_DD!$A$1:$L$2131,4,0)</f>
        <v>#N/A</v>
      </c>
      <c r="AB793" s="947" t="e">
        <f>VLOOKUP(Y793,R_DD!$A$1:$L$2131,5,0)</f>
        <v>#N/A</v>
      </c>
      <c r="AC793" s="947" t="e">
        <f>VLOOKUP(X793,R_DD!$B$6:$E$2112,4,0)</f>
        <v>#N/A</v>
      </c>
    </row>
    <row r="794" spans="22:29" ht="20.100000000000001" customHeight="1">
      <c r="V794" s="944" t="e">
        <f>VLOOKUP(U794,R_DD!$B$6:$E$2112,3,0)</f>
        <v>#N/A</v>
      </c>
      <c r="W794" s="943" t="e">
        <f>VLOOKUP(U794,R_DD!$B$6:$E$2112,4,0)</f>
        <v>#N/A</v>
      </c>
      <c r="Z794" s="946" t="e">
        <f>VLOOKUP(X794,R_DD!$B$6:$E$2112,3,0)</f>
        <v>#N/A</v>
      </c>
      <c r="AA794" s="946" t="e">
        <f>VLOOKUP(Y794,R_DD!$A$1:$L$2131,4,0)</f>
        <v>#N/A</v>
      </c>
      <c r="AB794" s="947" t="e">
        <f>VLOOKUP(Y794,R_DD!$A$1:$L$2131,5,0)</f>
        <v>#N/A</v>
      </c>
      <c r="AC794" s="947" t="e">
        <f>VLOOKUP(X794,R_DD!$B$6:$E$2112,4,0)</f>
        <v>#N/A</v>
      </c>
    </row>
    <row r="795" spans="22:29" ht="20.100000000000001" customHeight="1">
      <c r="V795" s="944" t="e">
        <f>VLOOKUP(U795,R_DD!$B$6:$E$2112,3,0)</f>
        <v>#N/A</v>
      </c>
      <c r="W795" s="943" t="e">
        <f>VLOOKUP(U795,R_DD!$B$6:$E$2112,4,0)</f>
        <v>#N/A</v>
      </c>
      <c r="Z795" s="946" t="e">
        <f>VLOOKUP(X795,R_DD!$B$6:$E$2112,3,0)</f>
        <v>#N/A</v>
      </c>
      <c r="AA795" s="946" t="e">
        <f>VLOOKUP(Y795,R_DD!$A$1:$L$2131,4,0)</f>
        <v>#N/A</v>
      </c>
      <c r="AB795" s="947" t="e">
        <f>VLOOKUP(Y795,R_DD!$A$1:$L$2131,5,0)</f>
        <v>#N/A</v>
      </c>
      <c r="AC795" s="947" t="e">
        <f>VLOOKUP(X795,R_DD!$B$6:$E$2112,4,0)</f>
        <v>#N/A</v>
      </c>
    </row>
    <row r="796" spans="22:29" ht="20.100000000000001" customHeight="1">
      <c r="V796" s="944" t="e">
        <f>VLOOKUP(U796,R_DD!$B$6:$E$2112,3,0)</f>
        <v>#N/A</v>
      </c>
      <c r="W796" s="943" t="e">
        <f>VLOOKUP(U796,R_DD!$B$6:$E$2112,4,0)</f>
        <v>#N/A</v>
      </c>
      <c r="Z796" s="946" t="e">
        <f>VLOOKUP(X796,R_DD!$B$6:$E$2112,3,0)</f>
        <v>#N/A</v>
      </c>
      <c r="AA796" s="946" t="e">
        <f>VLOOKUP(Y796,R_DD!$A$1:$L$2131,4,0)</f>
        <v>#N/A</v>
      </c>
      <c r="AB796" s="947" t="e">
        <f>VLOOKUP(Y796,R_DD!$A$1:$L$2131,5,0)</f>
        <v>#N/A</v>
      </c>
      <c r="AC796" s="947" t="e">
        <f>VLOOKUP(X796,R_DD!$B$6:$E$2112,4,0)</f>
        <v>#N/A</v>
      </c>
    </row>
    <row r="797" spans="22:29" ht="20.100000000000001" customHeight="1">
      <c r="V797" s="944" t="e">
        <f>VLOOKUP(U797,R_DD!$B$6:$E$2112,3,0)</f>
        <v>#N/A</v>
      </c>
      <c r="W797" s="943" t="e">
        <f>VLOOKUP(U797,R_DD!$B$6:$E$2112,4,0)</f>
        <v>#N/A</v>
      </c>
      <c r="Z797" s="946" t="e">
        <f>VLOOKUP(X797,R_DD!$B$6:$E$2112,3,0)</f>
        <v>#N/A</v>
      </c>
      <c r="AA797" s="946" t="e">
        <f>VLOOKUP(Y797,R_DD!$A$1:$L$2131,4,0)</f>
        <v>#N/A</v>
      </c>
      <c r="AB797" s="947" t="e">
        <f>VLOOKUP(Y797,R_DD!$A$1:$L$2131,5,0)</f>
        <v>#N/A</v>
      </c>
      <c r="AC797" s="947" t="e">
        <f>VLOOKUP(X797,R_DD!$B$6:$E$2112,4,0)</f>
        <v>#N/A</v>
      </c>
    </row>
    <row r="798" spans="22:29" ht="20.100000000000001" customHeight="1">
      <c r="V798" s="944" t="e">
        <f>VLOOKUP(U798,R_DD!$B$6:$E$2112,3,0)</f>
        <v>#N/A</v>
      </c>
      <c r="W798" s="943" t="e">
        <f>VLOOKUP(U798,R_DD!$B$6:$E$2112,4,0)</f>
        <v>#N/A</v>
      </c>
      <c r="Z798" s="946" t="e">
        <f>VLOOKUP(X798,R_DD!$B$6:$E$2112,3,0)</f>
        <v>#N/A</v>
      </c>
      <c r="AA798" s="946" t="e">
        <f>VLOOKUP(Y798,R_DD!$A$1:$L$2131,4,0)</f>
        <v>#N/A</v>
      </c>
      <c r="AB798" s="947" t="e">
        <f>VLOOKUP(Y798,R_DD!$A$1:$L$2131,5,0)</f>
        <v>#N/A</v>
      </c>
      <c r="AC798" s="947" t="e">
        <f>VLOOKUP(X798,R_DD!$B$6:$E$2112,4,0)</f>
        <v>#N/A</v>
      </c>
    </row>
    <row r="799" spans="22:29" ht="20.100000000000001" customHeight="1">
      <c r="V799" s="944" t="e">
        <f>VLOOKUP(U799,R_DD!$B$6:$E$2112,3,0)</f>
        <v>#N/A</v>
      </c>
      <c r="W799" s="943" t="e">
        <f>VLOOKUP(U799,R_DD!$B$6:$E$2112,4,0)</f>
        <v>#N/A</v>
      </c>
      <c r="Z799" s="946" t="e">
        <f>VLOOKUP(X799,R_DD!$B$6:$E$2112,3,0)</f>
        <v>#N/A</v>
      </c>
      <c r="AA799" s="946" t="e">
        <f>VLOOKUP(Y799,R_DD!$A$1:$L$2131,4,0)</f>
        <v>#N/A</v>
      </c>
      <c r="AB799" s="947" t="e">
        <f>VLOOKUP(Y799,R_DD!$A$1:$L$2131,5,0)</f>
        <v>#N/A</v>
      </c>
      <c r="AC799" s="947" t="e">
        <f>VLOOKUP(X799,R_DD!$B$6:$E$2112,4,0)</f>
        <v>#N/A</v>
      </c>
    </row>
    <row r="800" spans="22:29" ht="20.100000000000001" customHeight="1">
      <c r="V800" s="944" t="e">
        <f>VLOOKUP(U800,R_DD!$B$6:$E$2112,3,0)</f>
        <v>#N/A</v>
      </c>
      <c r="W800" s="943" t="e">
        <f>VLOOKUP(U800,R_DD!$B$6:$E$2112,4,0)</f>
        <v>#N/A</v>
      </c>
      <c r="Z800" s="946" t="e">
        <f>VLOOKUP(X800,R_DD!$B$6:$E$2112,3,0)</f>
        <v>#N/A</v>
      </c>
      <c r="AA800" s="946" t="e">
        <f>VLOOKUP(Y800,R_DD!$A$1:$L$2131,4,0)</f>
        <v>#N/A</v>
      </c>
      <c r="AB800" s="947" t="e">
        <f>VLOOKUP(Y800,R_DD!$A$1:$L$2131,5,0)</f>
        <v>#N/A</v>
      </c>
      <c r="AC800" s="947" t="e">
        <f>VLOOKUP(X800,R_DD!$B$6:$E$2112,4,0)</f>
        <v>#N/A</v>
      </c>
    </row>
    <row r="801" spans="22:29" ht="20.100000000000001" customHeight="1">
      <c r="V801" s="944" t="e">
        <f>VLOOKUP(U801,R_DD!$B$6:$E$2112,3,0)</f>
        <v>#N/A</v>
      </c>
      <c r="W801" s="943" t="e">
        <f>VLOOKUP(U801,R_DD!$B$6:$E$2112,4,0)</f>
        <v>#N/A</v>
      </c>
      <c r="Z801" s="946" t="e">
        <f>VLOOKUP(X801,R_DD!$B$6:$E$2112,3,0)</f>
        <v>#N/A</v>
      </c>
      <c r="AA801" s="946" t="e">
        <f>VLOOKUP(Y801,R_DD!$A$1:$L$2131,4,0)</f>
        <v>#N/A</v>
      </c>
      <c r="AB801" s="947" t="e">
        <f>VLOOKUP(Y801,R_DD!$A$1:$L$2131,5,0)</f>
        <v>#N/A</v>
      </c>
      <c r="AC801" s="947" t="e">
        <f>VLOOKUP(X801,R_DD!$B$6:$E$2112,4,0)</f>
        <v>#N/A</v>
      </c>
    </row>
    <row r="802" spans="22:29" ht="20.100000000000001" customHeight="1">
      <c r="V802" s="944" t="e">
        <f>VLOOKUP(U802,R_DD!$B$6:$E$2112,3,0)</f>
        <v>#N/A</v>
      </c>
      <c r="W802" s="943" t="e">
        <f>VLOOKUP(U802,R_DD!$B$6:$E$2112,4,0)</f>
        <v>#N/A</v>
      </c>
      <c r="Z802" s="946" t="e">
        <f>VLOOKUP(X802,R_DD!$B$6:$E$2112,3,0)</f>
        <v>#N/A</v>
      </c>
      <c r="AA802" s="946" t="e">
        <f>VLOOKUP(Y802,R_DD!$A$1:$L$2131,4,0)</f>
        <v>#N/A</v>
      </c>
      <c r="AB802" s="947" t="e">
        <f>VLOOKUP(Y802,R_DD!$A$1:$L$2131,5,0)</f>
        <v>#N/A</v>
      </c>
      <c r="AC802" s="947" t="e">
        <f>VLOOKUP(X802,R_DD!$B$6:$E$2112,4,0)</f>
        <v>#N/A</v>
      </c>
    </row>
    <row r="803" spans="22:29" ht="20.100000000000001" customHeight="1">
      <c r="V803" s="944" t="e">
        <f>VLOOKUP(U803,R_DD!$B$6:$E$2112,3,0)</f>
        <v>#N/A</v>
      </c>
      <c r="W803" s="943" t="e">
        <f>VLOOKUP(U803,R_DD!$B$6:$E$2112,4,0)</f>
        <v>#N/A</v>
      </c>
      <c r="Z803" s="946" t="e">
        <f>VLOOKUP(X803,R_DD!$B$6:$E$2112,3,0)</f>
        <v>#N/A</v>
      </c>
      <c r="AA803" s="946" t="e">
        <f>VLOOKUP(Y803,R_DD!$A$1:$L$2131,4,0)</f>
        <v>#N/A</v>
      </c>
      <c r="AB803" s="947" t="e">
        <f>VLOOKUP(Y803,R_DD!$A$1:$L$2131,5,0)</f>
        <v>#N/A</v>
      </c>
      <c r="AC803" s="947" t="e">
        <f>VLOOKUP(X803,R_DD!$B$6:$E$2112,4,0)</f>
        <v>#N/A</v>
      </c>
    </row>
    <row r="804" spans="22:29" ht="20.100000000000001" customHeight="1">
      <c r="V804" s="944" t="e">
        <f>VLOOKUP(U804,R_DD!$B$6:$E$2112,3,0)</f>
        <v>#N/A</v>
      </c>
      <c r="W804" s="943" t="e">
        <f>VLOOKUP(U804,R_DD!$B$6:$E$2112,4,0)</f>
        <v>#N/A</v>
      </c>
      <c r="Z804" s="946" t="e">
        <f>VLOOKUP(X804,R_DD!$B$6:$E$2112,3,0)</f>
        <v>#N/A</v>
      </c>
      <c r="AA804" s="946" t="e">
        <f>VLOOKUP(Y804,R_DD!$A$1:$L$2131,4,0)</f>
        <v>#N/A</v>
      </c>
      <c r="AB804" s="947" t="e">
        <f>VLOOKUP(Y804,R_DD!$A$1:$L$2131,5,0)</f>
        <v>#N/A</v>
      </c>
      <c r="AC804" s="947" t="e">
        <f>VLOOKUP(X804,R_DD!$B$6:$E$2112,4,0)</f>
        <v>#N/A</v>
      </c>
    </row>
    <row r="805" spans="22:29" ht="20.100000000000001" customHeight="1">
      <c r="V805" s="944" t="e">
        <f>VLOOKUP(U805,R_DD!$B$6:$E$2112,3,0)</f>
        <v>#N/A</v>
      </c>
      <c r="W805" s="943" t="e">
        <f>VLOOKUP(U805,R_DD!$B$6:$E$2112,4,0)</f>
        <v>#N/A</v>
      </c>
      <c r="Z805" s="946" t="e">
        <f>VLOOKUP(X805,R_DD!$B$6:$E$2112,3,0)</f>
        <v>#N/A</v>
      </c>
      <c r="AA805" s="946" t="e">
        <f>VLOOKUP(Y805,R_DD!$A$1:$L$2131,4,0)</f>
        <v>#N/A</v>
      </c>
      <c r="AB805" s="947" t="e">
        <f>VLOOKUP(Y805,R_DD!$A$1:$L$2131,5,0)</f>
        <v>#N/A</v>
      </c>
      <c r="AC805" s="947" t="e">
        <f>VLOOKUP(X805,R_DD!$B$6:$E$2112,4,0)</f>
        <v>#N/A</v>
      </c>
    </row>
    <row r="806" spans="22:29" ht="20.100000000000001" customHeight="1">
      <c r="V806" s="944" t="e">
        <f>VLOOKUP(U806,R_DD!$B$6:$E$2112,3,0)</f>
        <v>#N/A</v>
      </c>
      <c r="W806" s="943" t="e">
        <f>VLOOKUP(U806,R_DD!$B$6:$E$2112,4,0)</f>
        <v>#N/A</v>
      </c>
      <c r="Z806" s="946" t="e">
        <f>VLOOKUP(X806,R_DD!$B$6:$E$2112,3,0)</f>
        <v>#N/A</v>
      </c>
      <c r="AA806" s="946" t="e">
        <f>VLOOKUP(Y806,R_DD!$A$1:$L$2131,4,0)</f>
        <v>#N/A</v>
      </c>
      <c r="AB806" s="947" t="e">
        <f>VLOOKUP(Y806,R_DD!$A$1:$L$2131,5,0)</f>
        <v>#N/A</v>
      </c>
      <c r="AC806" s="947" t="e">
        <f>VLOOKUP(X806,R_DD!$B$6:$E$2112,4,0)</f>
        <v>#N/A</v>
      </c>
    </row>
    <row r="807" spans="22:29" ht="20.100000000000001" customHeight="1">
      <c r="V807" s="944" t="e">
        <f>VLOOKUP(U807,R_DD!$B$6:$E$2112,3,0)</f>
        <v>#N/A</v>
      </c>
      <c r="W807" s="943" t="e">
        <f>VLOOKUP(U807,R_DD!$B$6:$E$2112,4,0)</f>
        <v>#N/A</v>
      </c>
      <c r="Z807" s="946" t="e">
        <f>VLOOKUP(X807,R_DD!$B$6:$E$2112,3,0)</f>
        <v>#N/A</v>
      </c>
      <c r="AA807" s="946" t="e">
        <f>VLOOKUP(Y807,R_DD!$A$1:$L$2131,4,0)</f>
        <v>#N/A</v>
      </c>
      <c r="AB807" s="947" t="e">
        <f>VLOOKUP(Y807,R_DD!$A$1:$L$2131,5,0)</f>
        <v>#N/A</v>
      </c>
      <c r="AC807" s="947" t="e">
        <f>VLOOKUP(X807,R_DD!$B$6:$E$2112,4,0)</f>
        <v>#N/A</v>
      </c>
    </row>
    <row r="808" spans="22:29" ht="20.100000000000001" customHeight="1">
      <c r="V808" s="944" t="e">
        <f>VLOOKUP(U808,R_DD!$B$6:$E$2112,3,0)</f>
        <v>#N/A</v>
      </c>
      <c r="W808" s="943" t="e">
        <f>VLOOKUP(U808,R_DD!$B$6:$E$2112,4,0)</f>
        <v>#N/A</v>
      </c>
      <c r="Z808" s="946" t="e">
        <f>VLOOKUP(X808,R_DD!$B$6:$E$2112,3,0)</f>
        <v>#N/A</v>
      </c>
      <c r="AA808" s="946" t="e">
        <f>VLOOKUP(Y808,R_DD!$A$1:$L$2131,4,0)</f>
        <v>#N/A</v>
      </c>
      <c r="AB808" s="947" t="e">
        <f>VLOOKUP(Y808,R_DD!$A$1:$L$2131,5,0)</f>
        <v>#N/A</v>
      </c>
      <c r="AC808" s="947" t="e">
        <f>VLOOKUP(X808,R_DD!$B$6:$E$2112,4,0)</f>
        <v>#N/A</v>
      </c>
    </row>
    <row r="809" spans="22:29" ht="20.100000000000001" customHeight="1">
      <c r="V809" s="944" t="e">
        <f>VLOOKUP(U809,R_DD!$B$6:$E$2112,3,0)</f>
        <v>#N/A</v>
      </c>
      <c r="W809" s="943" t="e">
        <f>VLOOKUP(U809,R_DD!$B$6:$E$2112,4,0)</f>
        <v>#N/A</v>
      </c>
      <c r="Z809" s="946" t="e">
        <f>VLOOKUP(X809,R_DD!$B$6:$E$2112,3,0)</f>
        <v>#N/A</v>
      </c>
      <c r="AA809" s="946" t="e">
        <f>VLOOKUP(Y809,R_DD!$A$1:$L$2131,4,0)</f>
        <v>#N/A</v>
      </c>
      <c r="AB809" s="947" t="e">
        <f>VLOOKUP(Y809,R_DD!$A$1:$L$2131,5,0)</f>
        <v>#N/A</v>
      </c>
      <c r="AC809" s="947" t="e">
        <f>VLOOKUP(X809,R_DD!$B$6:$E$2112,4,0)</f>
        <v>#N/A</v>
      </c>
    </row>
    <row r="810" spans="22:29" ht="20.100000000000001" customHeight="1">
      <c r="V810" s="944" t="e">
        <f>VLOOKUP(U810,R_DD!$B$6:$E$2112,3,0)</f>
        <v>#N/A</v>
      </c>
      <c r="W810" s="943" t="e">
        <f>VLOOKUP(U810,R_DD!$B$6:$E$2112,4,0)</f>
        <v>#N/A</v>
      </c>
      <c r="Z810" s="946" t="e">
        <f>VLOOKUP(X810,R_DD!$B$6:$E$2112,3,0)</f>
        <v>#N/A</v>
      </c>
      <c r="AA810" s="946" t="e">
        <f>VLOOKUP(Y810,R_DD!$A$1:$L$2131,4,0)</f>
        <v>#N/A</v>
      </c>
      <c r="AB810" s="947" t="e">
        <f>VLOOKUP(Y810,R_DD!$A$1:$L$2131,5,0)</f>
        <v>#N/A</v>
      </c>
      <c r="AC810" s="947" t="e">
        <f>VLOOKUP(X810,R_DD!$B$6:$E$2112,4,0)</f>
        <v>#N/A</v>
      </c>
    </row>
    <row r="811" spans="22:29" ht="20.100000000000001" customHeight="1">
      <c r="V811" s="944" t="e">
        <f>VLOOKUP(U811,R_DD!$B$6:$E$2112,3,0)</f>
        <v>#N/A</v>
      </c>
      <c r="W811" s="943" t="e">
        <f>VLOOKUP(U811,R_DD!$B$6:$E$2112,4,0)</f>
        <v>#N/A</v>
      </c>
      <c r="Z811" s="946" t="e">
        <f>VLOOKUP(X811,R_DD!$B$6:$E$2112,3,0)</f>
        <v>#N/A</v>
      </c>
      <c r="AA811" s="946" t="e">
        <f>VLOOKUP(Y811,R_DD!$A$1:$L$2131,4,0)</f>
        <v>#N/A</v>
      </c>
      <c r="AB811" s="947" t="e">
        <f>VLOOKUP(Y811,R_DD!$A$1:$L$2131,5,0)</f>
        <v>#N/A</v>
      </c>
      <c r="AC811" s="947" t="e">
        <f>VLOOKUP(X811,R_DD!$B$6:$E$2112,4,0)</f>
        <v>#N/A</v>
      </c>
    </row>
    <row r="812" spans="22:29" ht="20.100000000000001" customHeight="1">
      <c r="V812" s="944" t="e">
        <f>VLOOKUP(U812,R_DD!$B$6:$E$2112,3,0)</f>
        <v>#N/A</v>
      </c>
      <c r="W812" s="943" t="e">
        <f>VLOOKUP(U812,R_DD!$B$6:$E$2112,4,0)</f>
        <v>#N/A</v>
      </c>
      <c r="Z812" s="946" t="e">
        <f>VLOOKUP(X812,R_DD!$B$6:$E$2112,3,0)</f>
        <v>#N/A</v>
      </c>
      <c r="AA812" s="946" t="e">
        <f>VLOOKUP(Y812,R_DD!$A$1:$L$2131,4,0)</f>
        <v>#N/A</v>
      </c>
      <c r="AB812" s="947" t="e">
        <f>VLOOKUP(Y812,R_DD!$A$1:$L$2131,5,0)</f>
        <v>#N/A</v>
      </c>
      <c r="AC812" s="947" t="e">
        <f>VLOOKUP(X812,R_DD!$B$6:$E$2112,4,0)</f>
        <v>#N/A</v>
      </c>
    </row>
    <row r="813" spans="22:29" ht="20.100000000000001" customHeight="1">
      <c r="V813" s="944" t="e">
        <f>VLOOKUP(U813,R_DD!$B$6:$E$2112,3,0)</f>
        <v>#N/A</v>
      </c>
      <c r="W813" s="943" t="e">
        <f>VLOOKUP(U813,R_DD!$B$6:$E$2112,4,0)</f>
        <v>#N/A</v>
      </c>
      <c r="Z813" s="946" t="e">
        <f>VLOOKUP(X813,R_DD!$B$6:$E$2112,3,0)</f>
        <v>#N/A</v>
      </c>
      <c r="AA813" s="946" t="e">
        <f>VLOOKUP(Y813,R_DD!$A$1:$L$2131,4,0)</f>
        <v>#N/A</v>
      </c>
      <c r="AB813" s="947" t="e">
        <f>VLOOKUP(Y813,R_DD!$A$1:$L$2131,5,0)</f>
        <v>#N/A</v>
      </c>
      <c r="AC813" s="947" t="e">
        <f>VLOOKUP(X813,R_DD!$B$6:$E$2112,4,0)</f>
        <v>#N/A</v>
      </c>
    </row>
    <row r="814" spans="22:29" ht="20.100000000000001" customHeight="1">
      <c r="V814" s="944" t="e">
        <f>VLOOKUP(U814,R_DD!$B$6:$E$2112,3,0)</f>
        <v>#N/A</v>
      </c>
      <c r="W814" s="943" t="e">
        <f>VLOOKUP(U814,R_DD!$B$6:$E$2112,4,0)</f>
        <v>#N/A</v>
      </c>
      <c r="Z814" s="946" t="e">
        <f>VLOOKUP(X814,R_DD!$B$6:$E$2112,3,0)</f>
        <v>#N/A</v>
      </c>
      <c r="AA814" s="946" t="e">
        <f>VLOOKUP(Y814,R_DD!$A$1:$L$2131,4,0)</f>
        <v>#N/A</v>
      </c>
      <c r="AB814" s="947" t="e">
        <f>VLOOKUP(Y814,R_DD!$A$1:$L$2131,5,0)</f>
        <v>#N/A</v>
      </c>
      <c r="AC814" s="947" t="e">
        <f>VLOOKUP(X814,R_DD!$B$6:$E$2112,4,0)</f>
        <v>#N/A</v>
      </c>
    </row>
    <row r="815" spans="22:29" ht="20.100000000000001" customHeight="1">
      <c r="V815" s="944" t="e">
        <f>VLOOKUP(U815,R_DD!$B$6:$E$2112,3,0)</f>
        <v>#N/A</v>
      </c>
      <c r="W815" s="943" t="e">
        <f>VLOOKUP(U815,R_DD!$B$6:$E$2112,4,0)</f>
        <v>#N/A</v>
      </c>
      <c r="Z815" s="946" t="e">
        <f>VLOOKUP(X815,R_DD!$B$6:$E$2112,3,0)</f>
        <v>#N/A</v>
      </c>
      <c r="AA815" s="946" t="e">
        <f>VLOOKUP(Y815,R_DD!$A$1:$L$2131,4,0)</f>
        <v>#N/A</v>
      </c>
      <c r="AB815" s="947" t="e">
        <f>VLOOKUP(Y815,R_DD!$A$1:$L$2131,5,0)</f>
        <v>#N/A</v>
      </c>
      <c r="AC815" s="947" t="e">
        <f>VLOOKUP(X815,R_DD!$B$6:$E$2112,4,0)</f>
        <v>#N/A</v>
      </c>
    </row>
    <row r="816" spans="22:29" ht="20.100000000000001" customHeight="1">
      <c r="V816" s="944" t="e">
        <f>VLOOKUP(U816,R_DD!$B$6:$E$2112,3,0)</f>
        <v>#N/A</v>
      </c>
      <c r="W816" s="943" t="e">
        <f>VLOOKUP(U816,R_DD!$B$6:$E$2112,4,0)</f>
        <v>#N/A</v>
      </c>
      <c r="Z816" s="946" t="e">
        <f>VLOOKUP(X816,R_DD!$B$6:$E$2112,3,0)</f>
        <v>#N/A</v>
      </c>
      <c r="AA816" s="946" t="e">
        <f>VLOOKUP(Y816,R_DD!$A$1:$L$2131,4,0)</f>
        <v>#N/A</v>
      </c>
      <c r="AB816" s="947" t="e">
        <f>VLOOKUP(Y816,R_DD!$A$1:$L$2131,5,0)</f>
        <v>#N/A</v>
      </c>
      <c r="AC816" s="947" t="e">
        <f>VLOOKUP(X816,R_DD!$B$6:$E$2112,4,0)</f>
        <v>#N/A</v>
      </c>
    </row>
    <row r="817" spans="22:29" ht="20.100000000000001" customHeight="1">
      <c r="V817" s="944" t="e">
        <f>VLOOKUP(U817,R_DD!$B$6:$E$2112,3,0)</f>
        <v>#N/A</v>
      </c>
      <c r="W817" s="943" t="e">
        <f>VLOOKUP(U817,R_DD!$B$6:$E$2112,4,0)</f>
        <v>#N/A</v>
      </c>
      <c r="Z817" s="946" t="e">
        <f>VLOOKUP(X817,R_DD!$B$6:$E$2112,3,0)</f>
        <v>#N/A</v>
      </c>
      <c r="AA817" s="946" t="e">
        <f>VLOOKUP(Y817,R_DD!$A$1:$L$2131,4,0)</f>
        <v>#N/A</v>
      </c>
      <c r="AB817" s="947" t="e">
        <f>VLOOKUP(Y817,R_DD!$A$1:$L$2131,5,0)</f>
        <v>#N/A</v>
      </c>
      <c r="AC817" s="947" t="e">
        <f>VLOOKUP(X817,R_DD!$B$6:$E$2112,4,0)</f>
        <v>#N/A</v>
      </c>
    </row>
    <row r="818" spans="22:29" ht="20.100000000000001" customHeight="1">
      <c r="V818" s="944" t="e">
        <f>VLOOKUP(U818,R_DD!$B$6:$E$2112,3,0)</f>
        <v>#N/A</v>
      </c>
      <c r="W818" s="943" t="e">
        <f>VLOOKUP(U818,R_DD!$B$6:$E$2112,4,0)</f>
        <v>#N/A</v>
      </c>
      <c r="Z818" s="946" t="e">
        <f>VLOOKUP(X818,R_DD!$B$6:$E$2112,3,0)</f>
        <v>#N/A</v>
      </c>
      <c r="AA818" s="946" t="e">
        <f>VLOOKUP(Y818,R_DD!$A$1:$L$2131,4,0)</f>
        <v>#N/A</v>
      </c>
      <c r="AB818" s="947" t="e">
        <f>VLOOKUP(Y818,R_DD!$A$1:$L$2131,5,0)</f>
        <v>#N/A</v>
      </c>
      <c r="AC818" s="947" t="e">
        <f>VLOOKUP(X818,R_DD!$B$6:$E$2112,4,0)</f>
        <v>#N/A</v>
      </c>
    </row>
    <row r="819" spans="22:29" ht="20.100000000000001" customHeight="1">
      <c r="V819" s="944" t="e">
        <f>VLOOKUP(U819,R_DD!$B$6:$E$2112,3,0)</f>
        <v>#N/A</v>
      </c>
      <c r="W819" s="943" t="e">
        <f>VLOOKUP(U819,R_DD!$B$6:$E$2112,4,0)</f>
        <v>#N/A</v>
      </c>
      <c r="Z819" s="946" t="e">
        <f>VLOOKUP(X819,R_DD!$B$6:$E$2112,3,0)</f>
        <v>#N/A</v>
      </c>
      <c r="AA819" s="946" t="e">
        <f>VLOOKUP(Y819,R_DD!$A$1:$L$2131,4,0)</f>
        <v>#N/A</v>
      </c>
      <c r="AB819" s="947" t="e">
        <f>VLOOKUP(Y819,R_DD!$A$1:$L$2131,5,0)</f>
        <v>#N/A</v>
      </c>
      <c r="AC819" s="947" t="e">
        <f>VLOOKUP(X819,R_DD!$B$6:$E$2112,4,0)</f>
        <v>#N/A</v>
      </c>
    </row>
    <row r="820" spans="22:29" ht="20.100000000000001" customHeight="1">
      <c r="V820" s="944" t="e">
        <f>VLOOKUP(U820,R_DD!$B$6:$E$2112,3,0)</f>
        <v>#N/A</v>
      </c>
      <c r="W820" s="943" t="e">
        <f>VLOOKUP(U820,R_DD!$B$6:$E$2112,4,0)</f>
        <v>#N/A</v>
      </c>
      <c r="Z820" s="946" t="e">
        <f>VLOOKUP(X820,R_DD!$B$6:$E$2112,3,0)</f>
        <v>#N/A</v>
      </c>
      <c r="AA820" s="946" t="e">
        <f>VLOOKUP(Y820,R_DD!$A$1:$L$2131,4,0)</f>
        <v>#N/A</v>
      </c>
      <c r="AB820" s="947" t="e">
        <f>VLOOKUP(Y820,R_DD!$A$1:$L$2131,5,0)</f>
        <v>#N/A</v>
      </c>
      <c r="AC820" s="947" t="e">
        <f>VLOOKUP(X820,R_DD!$B$6:$E$2112,4,0)</f>
        <v>#N/A</v>
      </c>
    </row>
    <row r="821" spans="22:29" ht="20.100000000000001" customHeight="1">
      <c r="V821" s="944" t="e">
        <f>VLOOKUP(U821,R_DD!$B$6:$E$2112,3,0)</f>
        <v>#N/A</v>
      </c>
      <c r="W821" s="943" t="e">
        <f>VLOOKUP(U821,R_DD!$B$6:$E$2112,4,0)</f>
        <v>#N/A</v>
      </c>
      <c r="Z821" s="946" t="e">
        <f>VLOOKUP(X821,R_DD!$B$6:$E$2112,3,0)</f>
        <v>#N/A</v>
      </c>
      <c r="AA821" s="946" t="e">
        <f>VLOOKUP(Y821,R_DD!$A$1:$L$2131,4,0)</f>
        <v>#N/A</v>
      </c>
      <c r="AB821" s="947" t="e">
        <f>VLOOKUP(Y821,R_DD!$A$1:$L$2131,5,0)</f>
        <v>#N/A</v>
      </c>
      <c r="AC821" s="947" t="e">
        <f>VLOOKUP(X821,R_DD!$B$6:$E$2112,4,0)</f>
        <v>#N/A</v>
      </c>
    </row>
    <row r="822" spans="22:29" ht="20.100000000000001" customHeight="1">
      <c r="V822" s="944" t="e">
        <f>VLOOKUP(U822,R_DD!$B$6:$E$2112,3,0)</f>
        <v>#N/A</v>
      </c>
      <c r="W822" s="943" t="e">
        <f>VLOOKUP(U822,R_DD!$B$6:$E$2112,4,0)</f>
        <v>#N/A</v>
      </c>
      <c r="Z822" s="946" t="e">
        <f>VLOOKUP(X822,R_DD!$B$6:$E$2112,3,0)</f>
        <v>#N/A</v>
      </c>
      <c r="AA822" s="946" t="e">
        <f>VLOOKUP(Y822,R_DD!$A$1:$L$2131,4,0)</f>
        <v>#N/A</v>
      </c>
      <c r="AB822" s="947" t="e">
        <f>VLOOKUP(Y822,R_DD!$A$1:$L$2131,5,0)</f>
        <v>#N/A</v>
      </c>
      <c r="AC822" s="947" t="e">
        <f>VLOOKUP(X822,R_DD!$B$6:$E$2112,4,0)</f>
        <v>#N/A</v>
      </c>
    </row>
    <row r="823" spans="22:29" ht="20.100000000000001" customHeight="1">
      <c r="V823" s="944" t="e">
        <f>VLOOKUP(U823,R_DD!$B$6:$E$2112,3,0)</f>
        <v>#N/A</v>
      </c>
      <c r="W823" s="943" t="e">
        <f>VLOOKUP(U823,R_DD!$B$6:$E$2112,4,0)</f>
        <v>#N/A</v>
      </c>
      <c r="Z823" s="946" t="e">
        <f>VLOOKUP(X823,R_DD!$B$6:$E$2112,3,0)</f>
        <v>#N/A</v>
      </c>
      <c r="AA823" s="946" t="e">
        <f>VLOOKUP(Y823,R_DD!$A$1:$L$2131,4,0)</f>
        <v>#N/A</v>
      </c>
      <c r="AB823" s="947" t="e">
        <f>VLOOKUP(Y823,R_DD!$A$1:$L$2131,5,0)</f>
        <v>#N/A</v>
      </c>
      <c r="AC823" s="947" t="e">
        <f>VLOOKUP(X823,R_DD!$B$6:$E$2112,4,0)</f>
        <v>#N/A</v>
      </c>
    </row>
    <row r="824" spans="22:29" ht="20.100000000000001" customHeight="1">
      <c r="V824" s="944" t="e">
        <f>VLOOKUP(U824,R_DD!$B$6:$E$2112,3,0)</f>
        <v>#N/A</v>
      </c>
      <c r="W824" s="943" t="e">
        <f>VLOOKUP(U824,R_DD!$B$6:$E$2112,4,0)</f>
        <v>#N/A</v>
      </c>
      <c r="Z824" s="946" t="e">
        <f>VLOOKUP(X824,R_DD!$B$6:$E$2112,3,0)</f>
        <v>#N/A</v>
      </c>
      <c r="AA824" s="946" t="e">
        <f>VLOOKUP(Y824,R_DD!$A$1:$L$2131,4,0)</f>
        <v>#N/A</v>
      </c>
      <c r="AB824" s="947" t="e">
        <f>VLOOKUP(Y824,R_DD!$A$1:$L$2131,5,0)</f>
        <v>#N/A</v>
      </c>
      <c r="AC824" s="947" t="e">
        <f>VLOOKUP(X824,R_DD!$B$6:$E$2112,4,0)</f>
        <v>#N/A</v>
      </c>
    </row>
    <row r="825" spans="22:29" ht="20.100000000000001" customHeight="1">
      <c r="V825" s="944" t="e">
        <f>VLOOKUP(U825,R_DD!$B$6:$E$2112,3,0)</f>
        <v>#N/A</v>
      </c>
      <c r="W825" s="943" t="e">
        <f>VLOOKUP(U825,R_DD!$B$6:$E$2112,4,0)</f>
        <v>#N/A</v>
      </c>
      <c r="Z825" s="946" t="e">
        <f>VLOOKUP(X825,R_DD!$B$6:$E$2112,3,0)</f>
        <v>#N/A</v>
      </c>
      <c r="AA825" s="946" t="e">
        <f>VLOOKUP(Y825,R_DD!$A$1:$L$2131,4,0)</f>
        <v>#N/A</v>
      </c>
      <c r="AB825" s="947" t="e">
        <f>VLOOKUP(Y825,R_DD!$A$1:$L$2131,5,0)</f>
        <v>#N/A</v>
      </c>
      <c r="AC825" s="947" t="e">
        <f>VLOOKUP(X825,R_DD!$B$6:$E$2112,4,0)</f>
        <v>#N/A</v>
      </c>
    </row>
    <row r="826" spans="22:29" ht="20.100000000000001" customHeight="1">
      <c r="V826" s="944" t="e">
        <f>VLOOKUP(U826,R_DD!$B$6:$E$2112,3,0)</f>
        <v>#N/A</v>
      </c>
      <c r="W826" s="943" t="e">
        <f>VLOOKUP(U826,R_DD!$B$6:$E$2112,4,0)</f>
        <v>#N/A</v>
      </c>
      <c r="Z826" s="946" t="e">
        <f>VLOOKUP(X826,R_DD!$B$6:$E$2112,3,0)</f>
        <v>#N/A</v>
      </c>
      <c r="AA826" s="946" t="e">
        <f>VLOOKUP(Y826,R_DD!$A$1:$L$2131,4,0)</f>
        <v>#N/A</v>
      </c>
      <c r="AB826" s="947" t="e">
        <f>VLOOKUP(Y826,R_DD!$A$1:$L$2131,5,0)</f>
        <v>#N/A</v>
      </c>
      <c r="AC826" s="947" t="e">
        <f>VLOOKUP(X826,R_DD!$B$6:$E$2112,4,0)</f>
        <v>#N/A</v>
      </c>
    </row>
    <row r="827" spans="22:29" ht="20.100000000000001" customHeight="1">
      <c r="V827" s="944" t="e">
        <f>VLOOKUP(U827,R_DD!$B$6:$E$2112,3,0)</f>
        <v>#N/A</v>
      </c>
      <c r="W827" s="943" t="e">
        <f>VLOOKUP(U827,R_DD!$B$6:$E$2112,4,0)</f>
        <v>#N/A</v>
      </c>
      <c r="Z827" s="946" t="e">
        <f>VLOOKUP(X827,R_DD!$B$6:$E$2112,3,0)</f>
        <v>#N/A</v>
      </c>
      <c r="AA827" s="946" t="e">
        <f>VLOOKUP(Y827,R_DD!$A$1:$L$2131,4,0)</f>
        <v>#N/A</v>
      </c>
      <c r="AB827" s="947" t="e">
        <f>VLOOKUP(Y827,R_DD!$A$1:$L$2131,5,0)</f>
        <v>#N/A</v>
      </c>
      <c r="AC827" s="947" t="e">
        <f>VLOOKUP(X827,R_DD!$B$6:$E$2112,4,0)</f>
        <v>#N/A</v>
      </c>
    </row>
    <row r="828" spans="22:29" ht="20.100000000000001" customHeight="1">
      <c r="V828" s="944" t="e">
        <f>VLOOKUP(U828,R_DD!$B$6:$E$2112,3,0)</f>
        <v>#N/A</v>
      </c>
      <c r="W828" s="943" t="e">
        <f>VLOOKUP(U828,R_DD!$B$6:$E$2112,4,0)</f>
        <v>#N/A</v>
      </c>
      <c r="Z828" s="946" t="e">
        <f>VLOOKUP(X828,R_DD!$B$6:$E$2112,3,0)</f>
        <v>#N/A</v>
      </c>
      <c r="AA828" s="946" t="e">
        <f>VLOOKUP(Y828,R_DD!$A$1:$L$2131,4,0)</f>
        <v>#N/A</v>
      </c>
      <c r="AB828" s="947" t="e">
        <f>VLOOKUP(Y828,R_DD!$A$1:$L$2131,5,0)</f>
        <v>#N/A</v>
      </c>
      <c r="AC828" s="947" t="e">
        <f>VLOOKUP(X828,R_DD!$B$6:$E$2112,4,0)</f>
        <v>#N/A</v>
      </c>
    </row>
    <row r="829" spans="22:29" ht="20.100000000000001" customHeight="1">
      <c r="V829" s="944" t="e">
        <f>VLOOKUP(U829,R_DD!$B$6:$E$2112,3,0)</f>
        <v>#N/A</v>
      </c>
      <c r="W829" s="943" t="e">
        <f>VLOOKUP(U829,R_DD!$B$6:$E$2112,4,0)</f>
        <v>#N/A</v>
      </c>
      <c r="Z829" s="946" t="e">
        <f>VLOOKUP(X829,R_DD!$B$6:$E$2112,3,0)</f>
        <v>#N/A</v>
      </c>
      <c r="AA829" s="946" t="e">
        <f>VLOOKUP(Y829,R_DD!$A$1:$L$2131,4,0)</f>
        <v>#N/A</v>
      </c>
      <c r="AB829" s="947" t="e">
        <f>VLOOKUP(Y829,R_DD!$A$1:$L$2131,5,0)</f>
        <v>#N/A</v>
      </c>
      <c r="AC829" s="947" t="e">
        <f>VLOOKUP(X829,R_DD!$B$6:$E$2112,4,0)</f>
        <v>#N/A</v>
      </c>
    </row>
    <row r="830" spans="22:29" ht="20.100000000000001" customHeight="1">
      <c r="V830" s="944" t="e">
        <f>VLOOKUP(U830,R_DD!$B$6:$E$2112,3,0)</f>
        <v>#N/A</v>
      </c>
      <c r="W830" s="943" t="e">
        <f>VLOOKUP(U830,R_DD!$B$6:$E$2112,4,0)</f>
        <v>#N/A</v>
      </c>
      <c r="Z830" s="946" t="e">
        <f>VLOOKUP(X830,R_DD!$B$6:$E$2112,3,0)</f>
        <v>#N/A</v>
      </c>
      <c r="AA830" s="946" t="e">
        <f>VLOOKUP(Y830,R_DD!$A$1:$L$2131,4,0)</f>
        <v>#N/A</v>
      </c>
      <c r="AB830" s="947" t="e">
        <f>VLOOKUP(Y830,R_DD!$A$1:$L$2131,5,0)</f>
        <v>#N/A</v>
      </c>
      <c r="AC830" s="947" t="e">
        <f>VLOOKUP(X830,R_DD!$B$6:$E$2112,4,0)</f>
        <v>#N/A</v>
      </c>
    </row>
    <row r="831" spans="22:29" ht="20.100000000000001" customHeight="1">
      <c r="V831" s="944" t="e">
        <f>VLOOKUP(U831,R_DD!$B$6:$E$2112,3,0)</f>
        <v>#N/A</v>
      </c>
      <c r="W831" s="943" t="e">
        <f>VLOOKUP(U831,R_DD!$B$6:$E$2112,4,0)</f>
        <v>#N/A</v>
      </c>
      <c r="Z831" s="946" t="e">
        <f>VLOOKUP(X831,R_DD!$B$6:$E$2112,3,0)</f>
        <v>#N/A</v>
      </c>
      <c r="AA831" s="946" t="e">
        <f>VLOOKUP(Y831,R_DD!$A$1:$L$2131,4,0)</f>
        <v>#N/A</v>
      </c>
      <c r="AB831" s="947" t="e">
        <f>VLOOKUP(Y831,R_DD!$A$1:$L$2131,5,0)</f>
        <v>#N/A</v>
      </c>
      <c r="AC831" s="947" t="e">
        <f>VLOOKUP(X831,R_DD!$B$6:$E$2112,4,0)</f>
        <v>#N/A</v>
      </c>
    </row>
    <row r="832" spans="22:29" ht="20.100000000000001" customHeight="1">
      <c r="V832" s="944" t="e">
        <f>VLOOKUP(U832,R_DD!$B$6:$E$2112,3,0)</f>
        <v>#N/A</v>
      </c>
      <c r="W832" s="943" t="e">
        <f>VLOOKUP(U832,R_DD!$B$6:$E$2112,4,0)</f>
        <v>#N/A</v>
      </c>
      <c r="Z832" s="946" t="e">
        <f>VLOOKUP(X832,R_DD!$B$6:$E$2112,3,0)</f>
        <v>#N/A</v>
      </c>
      <c r="AA832" s="946" t="e">
        <f>VLOOKUP(Y832,R_DD!$A$1:$L$2131,4,0)</f>
        <v>#N/A</v>
      </c>
      <c r="AB832" s="947" t="e">
        <f>VLOOKUP(Y832,R_DD!$A$1:$L$2131,5,0)</f>
        <v>#N/A</v>
      </c>
      <c r="AC832" s="947" t="e">
        <f>VLOOKUP(X832,R_DD!$B$6:$E$2112,4,0)</f>
        <v>#N/A</v>
      </c>
    </row>
    <row r="833" spans="22:29" ht="20.100000000000001" customHeight="1">
      <c r="V833" s="944" t="e">
        <f>VLOOKUP(U833,R_DD!$B$6:$E$2112,3,0)</f>
        <v>#N/A</v>
      </c>
      <c r="W833" s="943" t="e">
        <f>VLOOKUP(U833,R_DD!$B$6:$E$2112,4,0)</f>
        <v>#N/A</v>
      </c>
      <c r="Z833" s="946" t="e">
        <f>VLOOKUP(X833,R_DD!$B$6:$E$2112,3,0)</f>
        <v>#N/A</v>
      </c>
      <c r="AA833" s="946" t="e">
        <f>VLOOKUP(Y833,R_DD!$A$1:$L$2131,4,0)</f>
        <v>#N/A</v>
      </c>
      <c r="AB833" s="947" t="e">
        <f>VLOOKUP(Y833,R_DD!$A$1:$L$2131,5,0)</f>
        <v>#N/A</v>
      </c>
      <c r="AC833" s="947" t="e">
        <f>VLOOKUP(X833,R_DD!$B$6:$E$2112,4,0)</f>
        <v>#N/A</v>
      </c>
    </row>
    <row r="834" spans="22:29" ht="20.100000000000001" customHeight="1">
      <c r="V834" s="944" t="e">
        <f>VLOOKUP(U834,R_DD!$B$6:$E$2112,3,0)</f>
        <v>#N/A</v>
      </c>
      <c r="W834" s="943" t="e">
        <f>VLOOKUP(U834,R_DD!$B$6:$E$2112,4,0)</f>
        <v>#N/A</v>
      </c>
      <c r="Z834" s="946" t="e">
        <f>VLOOKUP(X834,R_DD!$B$6:$E$2112,3,0)</f>
        <v>#N/A</v>
      </c>
      <c r="AA834" s="946" t="e">
        <f>VLOOKUP(Y834,R_DD!$A$1:$L$2131,4,0)</f>
        <v>#N/A</v>
      </c>
      <c r="AB834" s="947" t="e">
        <f>VLOOKUP(Y834,R_DD!$A$1:$L$2131,5,0)</f>
        <v>#N/A</v>
      </c>
      <c r="AC834" s="947" t="e">
        <f>VLOOKUP(X834,R_DD!$B$6:$E$2112,4,0)</f>
        <v>#N/A</v>
      </c>
    </row>
    <row r="835" spans="22:29" ht="20.100000000000001" customHeight="1">
      <c r="V835" s="944" t="e">
        <f>VLOOKUP(U835,R_DD!$B$6:$E$2112,3,0)</f>
        <v>#N/A</v>
      </c>
      <c r="W835" s="943" t="e">
        <f>VLOOKUP(U835,R_DD!$B$6:$E$2112,4,0)</f>
        <v>#N/A</v>
      </c>
      <c r="Z835" s="946" t="e">
        <f>VLOOKUP(X835,R_DD!$B$6:$E$2112,3,0)</f>
        <v>#N/A</v>
      </c>
      <c r="AA835" s="946" t="e">
        <f>VLOOKUP(Y835,R_DD!$A$1:$L$2131,4,0)</f>
        <v>#N/A</v>
      </c>
      <c r="AB835" s="947" t="e">
        <f>VLOOKUP(Y835,R_DD!$A$1:$L$2131,5,0)</f>
        <v>#N/A</v>
      </c>
      <c r="AC835" s="947" t="e">
        <f>VLOOKUP(X835,R_DD!$B$6:$E$2112,4,0)</f>
        <v>#N/A</v>
      </c>
    </row>
    <row r="836" spans="22:29" ht="20.100000000000001" customHeight="1">
      <c r="V836" s="944" t="e">
        <f>VLOOKUP(U836,R_DD!$B$6:$E$2112,3,0)</f>
        <v>#N/A</v>
      </c>
      <c r="W836" s="943" t="e">
        <f>VLOOKUP(U836,R_DD!$B$6:$E$2112,4,0)</f>
        <v>#N/A</v>
      </c>
      <c r="Z836" s="946" t="e">
        <f>VLOOKUP(X836,R_DD!$B$6:$E$2112,3,0)</f>
        <v>#N/A</v>
      </c>
      <c r="AA836" s="946" t="e">
        <f>VLOOKUP(Y836,R_DD!$A$1:$L$2131,4,0)</f>
        <v>#N/A</v>
      </c>
      <c r="AB836" s="947" t="e">
        <f>VLOOKUP(Y836,R_DD!$A$1:$L$2131,5,0)</f>
        <v>#N/A</v>
      </c>
      <c r="AC836" s="947" t="e">
        <f>VLOOKUP(X836,R_DD!$B$6:$E$2112,4,0)</f>
        <v>#N/A</v>
      </c>
    </row>
    <row r="837" spans="22:29" ht="20.100000000000001" customHeight="1">
      <c r="V837" s="944" t="e">
        <f>VLOOKUP(U837,R_DD!$B$6:$E$2112,3,0)</f>
        <v>#N/A</v>
      </c>
      <c r="W837" s="943" t="e">
        <f>VLOOKUP(U837,R_DD!$B$6:$E$2112,4,0)</f>
        <v>#N/A</v>
      </c>
      <c r="Z837" s="946" t="e">
        <f>VLOOKUP(X837,R_DD!$B$6:$E$2112,3,0)</f>
        <v>#N/A</v>
      </c>
      <c r="AA837" s="946" t="e">
        <f>VLOOKUP(Y837,R_DD!$A$1:$L$2131,4,0)</f>
        <v>#N/A</v>
      </c>
      <c r="AB837" s="947" t="e">
        <f>VLOOKUP(Y837,R_DD!$A$1:$L$2131,5,0)</f>
        <v>#N/A</v>
      </c>
      <c r="AC837" s="947" t="e">
        <f>VLOOKUP(X837,R_DD!$B$6:$E$2112,4,0)</f>
        <v>#N/A</v>
      </c>
    </row>
    <row r="838" spans="22:29" ht="20.100000000000001" customHeight="1">
      <c r="V838" s="944" t="e">
        <f>VLOOKUP(U838,R_DD!$B$6:$E$2112,3,0)</f>
        <v>#N/A</v>
      </c>
      <c r="W838" s="943" t="e">
        <f>VLOOKUP(U838,R_DD!$B$6:$E$2112,4,0)</f>
        <v>#N/A</v>
      </c>
      <c r="Z838" s="946" t="e">
        <f>VLOOKUP(X838,R_DD!$B$6:$E$2112,3,0)</f>
        <v>#N/A</v>
      </c>
      <c r="AA838" s="946" t="e">
        <f>VLOOKUP(Y838,R_DD!$A$1:$L$2131,4,0)</f>
        <v>#N/A</v>
      </c>
      <c r="AB838" s="947" t="e">
        <f>VLOOKUP(Y838,R_DD!$A$1:$L$2131,5,0)</f>
        <v>#N/A</v>
      </c>
      <c r="AC838" s="947" t="e">
        <f>VLOOKUP(X838,R_DD!$B$6:$E$2112,4,0)</f>
        <v>#N/A</v>
      </c>
    </row>
    <row r="839" spans="22:29" ht="20.100000000000001" customHeight="1">
      <c r="V839" s="944" t="e">
        <f>VLOOKUP(U839,R_DD!$B$6:$E$2112,3,0)</f>
        <v>#N/A</v>
      </c>
      <c r="W839" s="943" t="e">
        <f>VLOOKUP(U839,R_DD!$B$6:$E$2112,4,0)</f>
        <v>#N/A</v>
      </c>
      <c r="Z839" s="946" t="e">
        <f>VLOOKUP(X839,R_DD!$B$6:$E$2112,3,0)</f>
        <v>#N/A</v>
      </c>
      <c r="AA839" s="946" t="e">
        <f>VLOOKUP(Y839,R_DD!$A$1:$L$2131,4,0)</f>
        <v>#N/A</v>
      </c>
      <c r="AB839" s="947" t="e">
        <f>VLOOKUP(Y839,R_DD!$A$1:$L$2131,5,0)</f>
        <v>#N/A</v>
      </c>
      <c r="AC839" s="947" t="e">
        <f>VLOOKUP(X839,R_DD!$B$6:$E$2112,4,0)</f>
        <v>#N/A</v>
      </c>
    </row>
    <row r="840" spans="22:29" ht="20.100000000000001" customHeight="1">
      <c r="V840" s="944" t="e">
        <f>VLOOKUP(U840,R_DD!$B$6:$E$2112,3,0)</f>
        <v>#N/A</v>
      </c>
      <c r="W840" s="943" t="e">
        <f>VLOOKUP(U840,R_DD!$B$6:$E$2112,4,0)</f>
        <v>#N/A</v>
      </c>
      <c r="Z840" s="946" t="e">
        <f>VLOOKUP(X840,R_DD!$B$6:$E$2112,3,0)</f>
        <v>#N/A</v>
      </c>
      <c r="AA840" s="946" t="e">
        <f>VLOOKUP(Y840,R_DD!$A$1:$L$2131,4,0)</f>
        <v>#N/A</v>
      </c>
      <c r="AB840" s="947" t="e">
        <f>VLOOKUP(Y840,R_DD!$A$1:$L$2131,5,0)</f>
        <v>#N/A</v>
      </c>
      <c r="AC840" s="947" t="e">
        <f>VLOOKUP(X840,R_DD!$B$6:$E$2112,4,0)</f>
        <v>#N/A</v>
      </c>
    </row>
    <row r="841" spans="22:29" ht="20.100000000000001" customHeight="1">
      <c r="V841" s="944" t="e">
        <f>VLOOKUP(U841,R_DD!$B$6:$E$2112,3,0)</f>
        <v>#N/A</v>
      </c>
      <c r="W841" s="943" t="e">
        <f>VLOOKUP(U841,R_DD!$B$6:$E$2112,4,0)</f>
        <v>#N/A</v>
      </c>
      <c r="Z841" s="946" t="e">
        <f>VLOOKUP(X841,R_DD!$B$6:$E$2112,3,0)</f>
        <v>#N/A</v>
      </c>
      <c r="AA841" s="946" t="e">
        <f>VLOOKUP(Y841,R_DD!$A$1:$L$2131,4,0)</f>
        <v>#N/A</v>
      </c>
      <c r="AB841" s="947" t="e">
        <f>VLOOKUP(Y841,R_DD!$A$1:$L$2131,5,0)</f>
        <v>#N/A</v>
      </c>
      <c r="AC841" s="947" t="e">
        <f>VLOOKUP(X841,R_DD!$B$6:$E$2112,4,0)</f>
        <v>#N/A</v>
      </c>
    </row>
    <row r="842" spans="22:29" ht="20.100000000000001" customHeight="1">
      <c r="V842" s="944" t="e">
        <f>VLOOKUP(U842,R_DD!$B$6:$E$2112,3,0)</f>
        <v>#N/A</v>
      </c>
      <c r="W842" s="943" t="e">
        <f>VLOOKUP(U842,R_DD!$B$6:$E$2112,4,0)</f>
        <v>#N/A</v>
      </c>
      <c r="Z842" s="946" t="e">
        <f>VLOOKUP(X842,R_DD!$B$6:$E$2112,3,0)</f>
        <v>#N/A</v>
      </c>
      <c r="AA842" s="946" t="e">
        <f>VLOOKUP(Y842,R_DD!$A$1:$L$2131,4,0)</f>
        <v>#N/A</v>
      </c>
      <c r="AB842" s="947" t="e">
        <f>VLOOKUP(Y842,R_DD!$A$1:$L$2131,5,0)</f>
        <v>#N/A</v>
      </c>
      <c r="AC842" s="947" t="e">
        <f>VLOOKUP(X842,R_DD!$B$6:$E$2112,4,0)</f>
        <v>#N/A</v>
      </c>
    </row>
    <row r="843" spans="22:29" ht="20.100000000000001" customHeight="1">
      <c r="V843" s="944" t="e">
        <f>VLOOKUP(U843,R_DD!$B$6:$E$2112,3,0)</f>
        <v>#N/A</v>
      </c>
      <c r="W843" s="943" t="e">
        <f>VLOOKUP(U843,R_DD!$B$6:$E$2112,4,0)</f>
        <v>#N/A</v>
      </c>
      <c r="Z843" s="946" t="e">
        <f>VLOOKUP(X843,R_DD!$B$6:$E$2112,3,0)</f>
        <v>#N/A</v>
      </c>
      <c r="AA843" s="946" t="e">
        <f>VLOOKUP(Y843,R_DD!$A$1:$L$2131,4,0)</f>
        <v>#N/A</v>
      </c>
      <c r="AB843" s="947" t="e">
        <f>VLOOKUP(Y843,R_DD!$A$1:$L$2131,5,0)</f>
        <v>#N/A</v>
      </c>
      <c r="AC843" s="947" t="e">
        <f>VLOOKUP(X843,R_DD!$B$6:$E$2112,4,0)</f>
        <v>#N/A</v>
      </c>
    </row>
    <row r="844" spans="22:29" ht="20.100000000000001" customHeight="1">
      <c r="V844" s="944" t="e">
        <f>VLOOKUP(U844,R_DD!$B$6:$E$2112,3,0)</f>
        <v>#N/A</v>
      </c>
      <c r="W844" s="943" t="e">
        <f>VLOOKUP(U844,R_DD!$B$6:$E$2112,4,0)</f>
        <v>#N/A</v>
      </c>
      <c r="Z844" s="946" t="e">
        <f>VLOOKUP(X844,R_DD!$B$6:$E$2112,3,0)</f>
        <v>#N/A</v>
      </c>
      <c r="AA844" s="946" t="e">
        <f>VLOOKUP(Y844,R_DD!$A$1:$L$2131,4,0)</f>
        <v>#N/A</v>
      </c>
      <c r="AB844" s="947" t="e">
        <f>VLOOKUP(Y844,R_DD!$A$1:$L$2131,5,0)</f>
        <v>#N/A</v>
      </c>
      <c r="AC844" s="947" t="e">
        <f>VLOOKUP(X844,R_DD!$B$6:$E$2112,4,0)</f>
        <v>#N/A</v>
      </c>
    </row>
    <row r="845" spans="22:29" ht="20.100000000000001" customHeight="1">
      <c r="V845" s="944" t="e">
        <f>VLOOKUP(U845,R_DD!$B$6:$E$2112,3,0)</f>
        <v>#N/A</v>
      </c>
      <c r="W845" s="943" t="e">
        <f>VLOOKUP(U845,R_DD!$B$6:$E$2112,4,0)</f>
        <v>#N/A</v>
      </c>
      <c r="Z845" s="946" t="e">
        <f>VLOOKUP(X845,R_DD!$B$6:$E$2112,3,0)</f>
        <v>#N/A</v>
      </c>
      <c r="AA845" s="946" t="e">
        <f>VLOOKUP(Y845,R_DD!$A$1:$L$2131,4,0)</f>
        <v>#N/A</v>
      </c>
      <c r="AB845" s="947" t="e">
        <f>VLOOKUP(Y845,R_DD!$A$1:$L$2131,5,0)</f>
        <v>#N/A</v>
      </c>
      <c r="AC845" s="947" t="e">
        <f>VLOOKUP(X845,R_DD!$B$6:$E$2112,4,0)</f>
        <v>#N/A</v>
      </c>
    </row>
    <row r="846" spans="22:29" ht="20.100000000000001" customHeight="1">
      <c r="V846" s="944" t="e">
        <f>VLOOKUP(U846,R_DD!$B$6:$E$2112,3,0)</f>
        <v>#N/A</v>
      </c>
      <c r="W846" s="943" t="e">
        <f>VLOOKUP(U846,R_DD!$B$6:$E$2112,4,0)</f>
        <v>#N/A</v>
      </c>
      <c r="Z846" s="946" t="e">
        <f>VLOOKUP(X846,R_DD!$B$6:$E$2112,3,0)</f>
        <v>#N/A</v>
      </c>
      <c r="AA846" s="946" t="e">
        <f>VLOOKUP(Y846,R_DD!$A$1:$L$2131,4,0)</f>
        <v>#N/A</v>
      </c>
      <c r="AB846" s="947" t="e">
        <f>VLOOKUP(Y846,R_DD!$A$1:$L$2131,5,0)</f>
        <v>#N/A</v>
      </c>
      <c r="AC846" s="947" t="e">
        <f>VLOOKUP(X846,R_DD!$B$6:$E$2112,4,0)</f>
        <v>#N/A</v>
      </c>
    </row>
    <row r="847" spans="22:29" ht="20.100000000000001" customHeight="1">
      <c r="V847" s="944" t="e">
        <f>VLOOKUP(U847,R_DD!$B$6:$E$2112,3,0)</f>
        <v>#N/A</v>
      </c>
      <c r="W847" s="943" t="e">
        <f>VLOOKUP(U847,R_DD!$B$6:$E$2112,4,0)</f>
        <v>#N/A</v>
      </c>
      <c r="Z847" s="946" t="e">
        <f>VLOOKUP(X847,R_DD!$B$6:$E$2112,3,0)</f>
        <v>#N/A</v>
      </c>
      <c r="AA847" s="946" t="e">
        <f>VLOOKUP(Y847,R_DD!$A$1:$L$2131,4,0)</f>
        <v>#N/A</v>
      </c>
      <c r="AB847" s="947" t="e">
        <f>VLOOKUP(Y847,R_DD!$A$1:$L$2131,5,0)</f>
        <v>#N/A</v>
      </c>
      <c r="AC847" s="947" t="e">
        <f>VLOOKUP(X847,R_DD!$B$6:$E$2112,4,0)</f>
        <v>#N/A</v>
      </c>
    </row>
    <row r="848" spans="22:29" ht="20.100000000000001" customHeight="1">
      <c r="V848" s="944" t="e">
        <f>VLOOKUP(U848,R_DD!$B$6:$E$2112,3,0)</f>
        <v>#N/A</v>
      </c>
      <c r="W848" s="943" t="e">
        <f>VLOOKUP(U848,R_DD!$B$6:$E$2112,4,0)</f>
        <v>#N/A</v>
      </c>
      <c r="Z848" s="946" t="e">
        <f>VLOOKUP(X848,R_DD!$B$6:$E$2112,3,0)</f>
        <v>#N/A</v>
      </c>
      <c r="AA848" s="946" t="e">
        <f>VLOOKUP(Y848,R_DD!$A$1:$L$2131,4,0)</f>
        <v>#N/A</v>
      </c>
      <c r="AB848" s="947" t="e">
        <f>VLOOKUP(Y848,R_DD!$A$1:$L$2131,5,0)</f>
        <v>#N/A</v>
      </c>
      <c r="AC848" s="947" t="e">
        <f>VLOOKUP(X848,R_DD!$B$6:$E$2112,4,0)</f>
        <v>#N/A</v>
      </c>
    </row>
    <row r="849" spans="22:29" ht="20.100000000000001" customHeight="1">
      <c r="V849" s="944" t="e">
        <f>VLOOKUP(U849,R_DD!$B$6:$E$2112,3,0)</f>
        <v>#N/A</v>
      </c>
      <c r="W849" s="943" t="e">
        <f>VLOOKUP(U849,R_DD!$B$6:$E$2112,4,0)</f>
        <v>#N/A</v>
      </c>
      <c r="Z849" s="946" t="e">
        <f>VLOOKUP(X849,R_DD!$B$6:$E$2112,3,0)</f>
        <v>#N/A</v>
      </c>
      <c r="AA849" s="946" t="e">
        <f>VLOOKUP(Y849,R_DD!$A$1:$L$2131,4,0)</f>
        <v>#N/A</v>
      </c>
      <c r="AB849" s="947" t="e">
        <f>VLOOKUP(Y849,R_DD!$A$1:$L$2131,5,0)</f>
        <v>#N/A</v>
      </c>
      <c r="AC849" s="947" t="e">
        <f>VLOOKUP(X849,R_DD!$B$6:$E$2112,4,0)</f>
        <v>#N/A</v>
      </c>
    </row>
    <row r="850" spans="22:29" ht="20.100000000000001" customHeight="1">
      <c r="V850" s="944" t="e">
        <f>VLOOKUP(U850,R_DD!$B$6:$E$2112,3,0)</f>
        <v>#N/A</v>
      </c>
      <c r="W850" s="943" t="e">
        <f>VLOOKUP(U850,R_DD!$B$6:$E$2112,4,0)</f>
        <v>#N/A</v>
      </c>
      <c r="Z850" s="946" t="e">
        <f>VLOOKUP(X850,R_DD!$B$6:$E$2112,3,0)</f>
        <v>#N/A</v>
      </c>
      <c r="AA850" s="946" t="e">
        <f>VLOOKUP(Y850,R_DD!$A$1:$L$2131,4,0)</f>
        <v>#N/A</v>
      </c>
      <c r="AB850" s="947" t="e">
        <f>VLOOKUP(Y850,R_DD!$A$1:$L$2131,5,0)</f>
        <v>#N/A</v>
      </c>
      <c r="AC850" s="947" t="e">
        <f>VLOOKUP(X850,R_DD!$B$6:$E$2112,4,0)</f>
        <v>#N/A</v>
      </c>
    </row>
    <row r="851" spans="22:29" ht="20.100000000000001" customHeight="1">
      <c r="V851" s="944" t="e">
        <f>VLOOKUP(U851,R_DD!$B$6:$E$2112,3,0)</f>
        <v>#N/A</v>
      </c>
      <c r="W851" s="943" t="e">
        <f>VLOOKUP(U851,R_DD!$B$6:$E$2112,4,0)</f>
        <v>#N/A</v>
      </c>
      <c r="Z851" s="946" t="e">
        <f>VLOOKUP(X851,R_DD!$B$6:$E$2112,3,0)</f>
        <v>#N/A</v>
      </c>
      <c r="AA851" s="946" t="e">
        <f>VLOOKUP(Y851,R_DD!$A$1:$L$2131,4,0)</f>
        <v>#N/A</v>
      </c>
      <c r="AB851" s="947" t="e">
        <f>VLOOKUP(Y851,R_DD!$A$1:$L$2131,5,0)</f>
        <v>#N/A</v>
      </c>
      <c r="AC851" s="947" t="e">
        <f>VLOOKUP(X851,R_DD!$B$6:$E$2112,4,0)</f>
        <v>#N/A</v>
      </c>
    </row>
    <row r="852" spans="22:29" ht="20.100000000000001" customHeight="1">
      <c r="V852" s="944" t="e">
        <f>VLOOKUP(U852,R_DD!$B$6:$E$2112,3,0)</f>
        <v>#N/A</v>
      </c>
      <c r="W852" s="943" t="e">
        <f>VLOOKUP(U852,R_DD!$B$6:$E$2112,4,0)</f>
        <v>#N/A</v>
      </c>
      <c r="Z852" s="946" t="e">
        <f>VLOOKUP(X852,R_DD!$B$6:$E$2112,3,0)</f>
        <v>#N/A</v>
      </c>
      <c r="AA852" s="946" t="e">
        <f>VLOOKUP(Y852,R_DD!$A$1:$L$2131,4,0)</f>
        <v>#N/A</v>
      </c>
      <c r="AB852" s="947" t="e">
        <f>VLOOKUP(Y852,R_DD!$A$1:$L$2131,5,0)</f>
        <v>#N/A</v>
      </c>
      <c r="AC852" s="947" t="e">
        <f>VLOOKUP(X852,R_DD!$B$6:$E$2112,4,0)</f>
        <v>#N/A</v>
      </c>
    </row>
    <row r="853" spans="22:29" ht="20.100000000000001" customHeight="1">
      <c r="V853" s="944" t="e">
        <f>VLOOKUP(U853,R_DD!$B$6:$E$2112,3,0)</f>
        <v>#N/A</v>
      </c>
      <c r="W853" s="943" t="e">
        <f>VLOOKUP(U853,R_DD!$B$6:$E$2112,4,0)</f>
        <v>#N/A</v>
      </c>
      <c r="Z853" s="946" t="e">
        <f>VLOOKUP(X853,R_DD!$B$6:$E$2112,3,0)</f>
        <v>#N/A</v>
      </c>
      <c r="AA853" s="946" t="e">
        <f>VLOOKUP(Y853,R_DD!$A$1:$L$2131,4,0)</f>
        <v>#N/A</v>
      </c>
      <c r="AB853" s="947" t="e">
        <f>VLOOKUP(Y853,R_DD!$A$1:$L$2131,5,0)</f>
        <v>#N/A</v>
      </c>
      <c r="AC853" s="947" t="e">
        <f>VLOOKUP(X853,R_DD!$B$6:$E$2112,4,0)</f>
        <v>#N/A</v>
      </c>
    </row>
    <row r="854" spans="22:29" ht="20.100000000000001" customHeight="1">
      <c r="V854" s="944" t="e">
        <f>VLOOKUP(U854,R_DD!$B$6:$E$2112,3,0)</f>
        <v>#N/A</v>
      </c>
      <c r="W854" s="943" t="e">
        <f>VLOOKUP(U854,R_DD!$B$6:$E$2112,4,0)</f>
        <v>#N/A</v>
      </c>
      <c r="Z854" s="946" t="e">
        <f>VLOOKUP(X854,R_DD!$B$6:$E$2112,3,0)</f>
        <v>#N/A</v>
      </c>
      <c r="AA854" s="946" t="e">
        <f>VLOOKUP(Y854,R_DD!$A$1:$L$2131,4,0)</f>
        <v>#N/A</v>
      </c>
      <c r="AB854" s="947" t="e">
        <f>VLOOKUP(Y854,R_DD!$A$1:$L$2131,5,0)</f>
        <v>#N/A</v>
      </c>
      <c r="AC854" s="947" t="e">
        <f>VLOOKUP(X854,R_DD!$B$6:$E$2112,4,0)</f>
        <v>#N/A</v>
      </c>
    </row>
    <row r="855" spans="22:29" ht="20.100000000000001" customHeight="1">
      <c r="V855" s="944" t="e">
        <f>VLOOKUP(U855,R_DD!$B$6:$E$2112,3,0)</f>
        <v>#N/A</v>
      </c>
      <c r="W855" s="943" t="e">
        <f>VLOOKUP(U855,R_DD!$B$6:$E$2112,4,0)</f>
        <v>#N/A</v>
      </c>
      <c r="Z855" s="946" t="e">
        <f>VLOOKUP(X855,R_DD!$B$6:$E$2112,3,0)</f>
        <v>#N/A</v>
      </c>
      <c r="AA855" s="946" t="e">
        <f>VLOOKUP(Y855,R_DD!$A$1:$L$2131,4,0)</f>
        <v>#N/A</v>
      </c>
      <c r="AB855" s="947" t="e">
        <f>VLOOKUP(Y855,R_DD!$A$1:$L$2131,5,0)</f>
        <v>#N/A</v>
      </c>
      <c r="AC855" s="947" t="e">
        <f>VLOOKUP(X855,R_DD!$B$6:$E$2112,4,0)</f>
        <v>#N/A</v>
      </c>
    </row>
    <row r="856" spans="22:29" ht="20.100000000000001" customHeight="1">
      <c r="V856" s="944" t="e">
        <f>VLOOKUP(U856,R_DD!$B$6:$E$2112,3,0)</f>
        <v>#N/A</v>
      </c>
      <c r="W856" s="943" t="e">
        <f>VLOOKUP(U856,R_DD!$B$6:$E$2112,4,0)</f>
        <v>#N/A</v>
      </c>
      <c r="Z856" s="946" t="e">
        <f>VLOOKUP(X856,R_DD!$B$6:$E$2112,3,0)</f>
        <v>#N/A</v>
      </c>
      <c r="AA856" s="946" t="e">
        <f>VLOOKUP(Y856,R_DD!$A$1:$L$2131,4,0)</f>
        <v>#N/A</v>
      </c>
      <c r="AB856" s="947" t="e">
        <f>VLOOKUP(Y856,R_DD!$A$1:$L$2131,5,0)</f>
        <v>#N/A</v>
      </c>
      <c r="AC856" s="947" t="e">
        <f>VLOOKUP(X856,R_DD!$B$6:$E$2112,4,0)</f>
        <v>#N/A</v>
      </c>
    </row>
    <row r="857" spans="22:29" ht="20.100000000000001" customHeight="1">
      <c r="V857" s="944" t="e">
        <f>VLOOKUP(U857,R_DD!$B$6:$E$2112,3,0)</f>
        <v>#N/A</v>
      </c>
      <c r="W857" s="943" t="e">
        <f>VLOOKUP(U857,R_DD!$B$6:$E$2112,4,0)</f>
        <v>#N/A</v>
      </c>
      <c r="Z857" s="946" t="e">
        <f>VLOOKUP(X857,R_DD!$B$6:$E$2112,3,0)</f>
        <v>#N/A</v>
      </c>
      <c r="AA857" s="946" t="e">
        <f>VLOOKUP(Y857,R_DD!$A$1:$L$2131,4,0)</f>
        <v>#N/A</v>
      </c>
      <c r="AB857" s="947" t="e">
        <f>VLOOKUP(Y857,R_DD!$A$1:$L$2131,5,0)</f>
        <v>#N/A</v>
      </c>
      <c r="AC857" s="947" t="e">
        <f>VLOOKUP(X857,R_DD!$B$6:$E$2112,4,0)</f>
        <v>#N/A</v>
      </c>
    </row>
    <row r="858" spans="22:29" ht="20.100000000000001" customHeight="1">
      <c r="V858" s="944" t="e">
        <f>VLOOKUP(U858,R_DD!$B$6:$E$2112,3,0)</f>
        <v>#N/A</v>
      </c>
      <c r="W858" s="943" t="e">
        <f>VLOOKUP(U858,R_DD!$B$6:$E$2112,4,0)</f>
        <v>#N/A</v>
      </c>
      <c r="Z858" s="946" t="e">
        <f>VLOOKUP(X858,R_DD!$B$6:$E$2112,3,0)</f>
        <v>#N/A</v>
      </c>
      <c r="AA858" s="946" t="e">
        <f>VLOOKUP(Y858,R_DD!$A$1:$L$2131,4,0)</f>
        <v>#N/A</v>
      </c>
      <c r="AB858" s="947" t="e">
        <f>VLOOKUP(Y858,R_DD!$A$1:$L$2131,5,0)</f>
        <v>#N/A</v>
      </c>
      <c r="AC858" s="947" t="e">
        <f>VLOOKUP(X858,R_DD!$B$6:$E$2112,4,0)</f>
        <v>#N/A</v>
      </c>
    </row>
    <row r="859" spans="22:29" ht="20.100000000000001" customHeight="1">
      <c r="V859" s="944" t="e">
        <f>VLOOKUP(U859,R_DD!$B$6:$E$2112,3,0)</f>
        <v>#N/A</v>
      </c>
      <c r="W859" s="943" t="e">
        <f>VLOOKUP(U859,R_DD!$B$6:$E$2112,4,0)</f>
        <v>#N/A</v>
      </c>
      <c r="Z859" s="946" t="e">
        <f>VLOOKUP(X859,R_DD!$B$6:$E$2112,3,0)</f>
        <v>#N/A</v>
      </c>
      <c r="AA859" s="946" t="e">
        <f>VLOOKUP(Y859,R_DD!$A$1:$L$2131,4,0)</f>
        <v>#N/A</v>
      </c>
      <c r="AB859" s="947" t="e">
        <f>VLOOKUP(Y859,R_DD!$A$1:$L$2131,5,0)</f>
        <v>#N/A</v>
      </c>
      <c r="AC859" s="947" t="e">
        <f>VLOOKUP(X859,R_DD!$B$6:$E$2112,4,0)</f>
        <v>#N/A</v>
      </c>
    </row>
    <row r="860" spans="22:29" ht="20.100000000000001" customHeight="1">
      <c r="V860" s="944" t="e">
        <f>VLOOKUP(U860,R_DD!$B$6:$E$2112,3,0)</f>
        <v>#N/A</v>
      </c>
      <c r="W860" s="943" t="e">
        <f>VLOOKUP(U860,R_DD!$B$6:$E$2112,4,0)</f>
        <v>#N/A</v>
      </c>
      <c r="Z860" s="946" t="e">
        <f>VLOOKUP(X860,R_DD!$B$6:$E$2112,3,0)</f>
        <v>#N/A</v>
      </c>
      <c r="AA860" s="946" t="e">
        <f>VLOOKUP(Y860,R_DD!$A$1:$L$2131,4,0)</f>
        <v>#N/A</v>
      </c>
      <c r="AB860" s="947" t="e">
        <f>VLOOKUP(Y860,R_DD!$A$1:$L$2131,5,0)</f>
        <v>#N/A</v>
      </c>
      <c r="AC860" s="947" t="e">
        <f>VLOOKUP(X860,R_DD!$B$6:$E$2112,4,0)</f>
        <v>#N/A</v>
      </c>
    </row>
    <row r="861" spans="22:29" ht="20.100000000000001" customHeight="1">
      <c r="V861" s="944" t="e">
        <f>VLOOKUP(U861,R_DD!$B$6:$E$2112,3,0)</f>
        <v>#N/A</v>
      </c>
      <c r="W861" s="943" t="e">
        <f>VLOOKUP(U861,R_DD!$B$6:$E$2112,4,0)</f>
        <v>#N/A</v>
      </c>
      <c r="Z861" s="946" t="e">
        <f>VLOOKUP(X861,R_DD!$B$6:$E$2112,3,0)</f>
        <v>#N/A</v>
      </c>
      <c r="AA861" s="946" t="e">
        <f>VLOOKUP(Y861,R_DD!$A$1:$L$2131,4,0)</f>
        <v>#N/A</v>
      </c>
      <c r="AB861" s="947" t="e">
        <f>VLOOKUP(Y861,R_DD!$A$1:$L$2131,5,0)</f>
        <v>#N/A</v>
      </c>
      <c r="AC861" s="947" t="e">
        <f>VLOOKUP(X861,R_DD!$B$6:$E$2112,4,0)</f>
        <v>#N/A</v>
      </c>
    </row>
    <row r="862" spans="22:29" ht="20.100000000000001" customHeight="1">
      <c r="V862" s="944" t="e">
        <f>VLOOKUP(U862,R_DD!$B$6:$E$2112,3,0)</f>
        <v>#N/A</v>
      </c>
      <c r="W862" s="943" t="e">
        <f>VLOOKUP(U862,R_DD!$B$6:$E$2112,4,0)</f>
        <v>#N/A</v>
      </c>
      <c r="Z862" s="946" t="e">
        <f>VLOOKUP(X862,R_DD!$B$6:$E$2112,3,0)</f>
        <v>#N/A</v>
      </c>
      <c r="AA862" s="946" t="e">
        <f>VLOOKUP(Y862,R_DD!$A$1:$L$2131,4,0)</f>
        <v>#N/A</v>
      </c>
      <c r="AB862" s="947" t="e">
        <f>VLOOKUP(Y862,R_DD!$A$1:$L$2131,5,0)</f>
        <v>#N/A</v>
      </c>
      <c r="AC862" s="947" t="e">
        <f>VLOOKUP(X862,R_DD!$B$6:$E$2112,4,0)</f>
        <v>#N/A</v>
      </c>
    </row>
    <row r="863" spans="22:29" ht="20.100000000000001" customHeight="1">
      <c r="V863" s="944" t="e">
        <f>VLOOKUP(U863,R_DD!$B$6:$E$2112,3,0)</f>
        <v>#N/A</v>
      </c>
      <c r="W863" s="943" t="e">
        <f>VLOOKUP(U863,R_DD!$B$6:$E$2112,4,0)</f>
        <v>#N/A</v>
      </c>
      <c r="Z863" s="946" t="e">
        <f>VLOOKUP(X863,R_DD!$B$6:$E$2112,3,0)</f>
        <v>#N/A</v>
      </c>
      <c r="AA863" s="946" t="e">
        <f>VLOOKUP(Y863,R_DD!$A$1:$L$2131,4,0)</f>
        <v>#N/A</v>
      </c>
      <c r="AB863" s="947" t="e">
        <f>VLOOKUP(Y863,R_DD!$A$1:$L$2131,5,0)</f>
        <v>#N/A</v>
      </c>
      <c r="AC863" s="947" t="e">
        <f>VLOOKUP(X863,R_DD!$B$6:$E$2112,4,0)</f>
        <v>#N/A</v>
      </c>
    </row>
    <row r="864" spans="22:29" ht="20.100000000000001" customHeight="1">
      <c r="V864" s="944" t="e">
        <f>VLOOKUP(U864,R_DD!$B$6:$E$2112,3,0)</f>
        <v>#N/A</v>
      </c>
      <c r="W864" s="943" t="e">
        <f>VLOOKUP(U864,R_DD!$B$6:$E$2112,4,0)</f>
        <v>#N/A</v>
      </c>
      <c r="Z864" s="946" t="e">
        <f>VLOOKUP(X864,R_DD!$B$6:$E$2112,3,0)</f>
        <v>#N/A</v>
      </c>
      <c r="AA864" s="946" t="e">
        <f>VLOOKUP(Y864,R_DD!$A$1:$L$2131,4,0)</f>
        <v>#N/A</v>
      </c>
      <c r="AB864" s="947" t="e">
        <f>VLOOKUP(Y864,R_DD!$A$1:$L$2131,5,0)</f>
        <v>#N/A</v>
      </c>
      <c r="AC864" s="947" t="e">
        <f>VLOOKUP(X864,R_DD!$B$6:$E$2112,4,0)</f>
        <v>#N/A</v>
      </c>
    </row>
    <row r="865" spans="22:29" ht="20.100000000000001" customHeight="1">
      <c r="V865" s="944" t="e">
        <f>VLOOKUP(U865,R_DD!$B$6:$E$2112,3,0)</f>
        <v>#N/A</v>
      </c>
      <c r="W865" s="943" t="e">
        <f>VLOOKUP(U865,R_DD!$B$6:$E$2112,4,0)</f>
        <v>#N/A</v>
      </c>
      <c r="Z865" s="946" t="e">
        <f>VLOOKUP(X865,R_DD!$B$6:$E$2112,3,0)</f>
        <v>#N/A</v>
      </c>
      <c r="AA865" s="946" t="e">
        <f>VLOOKUP(Y865,R_DD!$A$1:$L$2131,4,0)</f>
        <v>#N/A</v>
      </c>
      <c r="AB865" s="947" t="e">
        <f>VLOOKUP(Y865,R_DD!$A$1:$L$2131,5,0)</f>
        <v>#N/A</v>
      </c>
      <c r="AC865" s="947" t="e">
        <f>VLOOKUP(X865,R_DD!$B$6:$E$2112,4,0)</f>
        <v>#N/A</v>
      </c>
    </row>
    <row r="866" spans="22:29" ht="20.100000000000001" customHeight="1">
      <c r="V866" s="944" t="e">
        <f>VLOOKUP(U866,R_DD!$B$6:$E$2112,3,0)</f>
        <v>#N/A</v>
      </c>
      <c r="W866" s="943" t="e">
        <f>VLOOKUP(U866,R_DD!$B$6:$E$2112,4,0)</f>
        <v>#N/A</v>
      </c>
      <c r="Z866" s="946" t="e">
        <f>VLOOKUP(X866,R_DD!$B$6:$E$2112,3,0)</f>
        <v>#N/A</v>
      </c>
      <c r="AA866" s="946" t="e">
        <f>VLOOKUP(Y866,R_DD!$A$1:$L$2131,4,0)</f>
        <v>#N/A</v>
      </c>
      <c r="AB866" s="947" t="e">
        <f>VLOOKUP(Y866,R_DD!$A$1:$L$2131,5,0)</f>
        <v>#N/A</v>
      </c>
      <c r="AC866" s="947" t="e">
        <f>VLOOKUP(X866,R_DD!$B$6:$E$2112,4,0)</f>
        <v>#N/A</v>
      </c>
    </row>
    <row r="867" spans="22:29" ht="20.100000000000001" customHeight="1">
      <c r="V867" s="944" t="e">
        <f>VLOOKUP(U867,R_DD!$B$6:$E$2112,3,0)</f>
        <v>#N/A</v>
      </c>
      <c r="W867" s="943" t="e">
        <f>VLOOKUP(U867,R_DD!$B$6:$E$2112,4,0)</f>
        <v>#N/A</v>
      </c>
      <c r="Z867" s="946" t="e">
        <f>VLOOKUP(X867,R_DD!$B$6:$E$2112,3,0)</f>
        <v>#N/A</v>
      </c>
      <c r="AA867" s="946" t="e">
        <f>VLOOKUP(Y867,R_DD!$A$1:$L$2131,4,0)</f>
        <v>#N/A</v>
      </c>
      <c r="AB867" s="947" t="e">
        <f>VLOOKUP(Y867,R_DD!$A$1:$L$2131,5,0)</f>
        <v>#N/A</v>
      </c>
      <c r="AC867" s="947" t="e">
        <f>VLOOKUP(X867,R_DD!$B$6:$E$2112,4,0)</f>
        <v>#N/A</v>
      </c>
    </row>
    <row r="868" spans="22:29" ht="20.100000000000001" customHeight="1">
      <c r="V868" s="944" t="e">
        <f>VLOOKUP(U868,R_DD!$B$6:$E$2112,3,0)</f>
        <v>#N/A</v>
      </c>
      <c r="W868" s="943" t="e">
        <f>VLOOKUP(U868,R_DD!$B$6:$E$2112,4,0)</f>
        <v>#N/A</v>
      </c>
      <c r="Z868" s="946" t="e">
        <f>VLOOKUP(X868,R_DD!$B$6:$E$2112,3,0)</f>
        <v>#N/A</v>
      </c>
      <c r="AA868" s="946" t="e">
        <f>VLOOKUP(Y868,R_DD!$A$1:$L$2131,4,0)</f>
        <v>#N/A</v>
      </c>
      <c r="AB868" s="947" t="e">
        <f>VLOOKUP(Y868,R_DD!$A$1:$L$2131,5,0)</f>
        <v>#N/A</v>
      </c>
      <c r="AC868" s="947" t="e">
        <f>VLOOKUP(X868,R_DD!$B$6:$E$2112,4,0)</f>
        <v>#N/A</v>
      </c>
    </row>
    <row r="869" spans="22:29" ht="20.100000000000001" customHeight="1">
      <c r="V869" s="944" t="e">
        <f>VLOOKUP(U869,R_DD!$B$6:$E$2112,3,0)</f>
        <v>#N/A</v>
      </c>
      <c r="W869" s="943" t="e">
        <f>VLOOKUP(U869,R_DD!$B$6:$E$2112,4,0)</f>
        <v>#N/A</v>
      </c>
      <c r="Z869" s="946" t="e">
        <f>VLOOKUP(X869,R_DD!$B$6:$E$2112,3,0)</f>
        <v>#N/A</v>
      </c>
      <c r="AA869" s="946" t="e">
        <f>VLOOKUP(Y869,R_DD!$A$1:$L$2131,4,0)</f>
        <v>#N/A</v>
      </c>
      <c r="AB869" s="947" t="e">
        <f>VLOOKUP(Y869,R_DD!$A$1:$L$2131,5,0)</f>
        <v>#N/A</v>
      </c>
      <c r="AC869" s="947" t="e">
        <f>VLOOKUP(X869,R_DD!$B$6:$E$2112,4,0)</f>
        <v>#N/A</v>
      </c>
    </row>
    <row r="870" spans="22:29" ht="20.100000000000001" customHeight="1">
      <c r="V870" s="944" t="e">
        <f>VLOOKUP(U870,R_DD!$B$6:$E$2112,3,0)</f>
        <v>#N/A</v>
      </c>
      <c r="W870" s="943" t="e">
        <f>VLOOKUP(U870,R_DD!$B$6:$E$2112,4,0)</f>
        <v>#N/A</v>
      </c>
      <c r="Z870" s="946" t="e">
        <f>VLOOKUP(X870,R_DD!$B$6:$E$2112,3,0)</f>
        <v>#N/A</v>
      </c>
      <c r="AA870" s="946" t="e">
        <f>VLOOKUP(Y870,R_DD!$A$1:$L$2131,4,0)</f>
        <v>#N/A</v>
      </c>
      <c r="AB870" s="947" t="e">
        <f>VLOOKUP(Y870,R_DD!$A$1:$L$2131,5,0)</f>
        <v>#N/A</v>
      </c>
      <c r="AC870" s="947" t="e">
        <f>VLOOKUP(X870,R_DD!$B$6:$E$2112,4,0)</f>
        <v>#N/A</v>
      </c>
    </row>
    <row r="871" spans="22:29" ht="20.100000000000001" customHeight="1">
      <c r="V871" s="944" t="e">
        <f>VLOOKUP(U871,R_DD!$B$6:$E$2112,3,0)</f>
        <v>#N/A</v>
      </c>
      <c r="W871" s="943" t="e">
        <f>VLOOKUP(U871,R_DD!$B$6:$E$2112,4,0)</f>
        <v>#N/A</v>
      </c>
      <c r="Z871" s="946" t="e">
        <f>VLOOKUP(X871,R_DD!$B$6:$E$2112,3,0)</f>
        <v>#N/A</v>
      </c>
      <c r="AA871" s="946" t="e">
        <f>VLOOKUP(Y871,R_DD!$A$1:$L$2131,4,0)</f>
        <v>#N/A</v>
      </c>
      <c r="AB871" s="947" t="e">
        <f>VLOOKUP(Y871,R_DD!$A$1:$L$2131,5,0)</f>
        <v>#N/A</v>
      </c>
      <c r="AC871" s="947" t="e">
        <f>VLOOKUP(X871,R_DD!$B$6:$E$2112,4,0)</f>
        <v>#N/A</v>
      </c>
    </row>
    <row r="872" spans="22:29" ht="20.100000000000001" customHeight="1">
      <c r="V872" s="944" t="e">
        <f>VLOOKUP(U872,R_DD!$B$6:$E$2112,3,0)</f>
        <v>#N/A</v>
      </c>
      <c r="W872" s="943" t="e">
        <f>VLOOKUP(U872,R_DD!$B$6:$E$2112,4,0)</f>
        <v>#N/A</v>
      </c>
      <c r="Z872" s="946" t="e">
        <f>VLOOKUP(X872,R_DD!$B$6:$E$2112,3,0)</f>
        <v>#N/A</v>
      </c>
      <c r="AA872" s="946" t="e">
        <f>VLOOKUP(Y872,R_DD!$A$1:$L$2131,4,0)</f>
        <v>#N/A</v>
      </c>
      <c r="AB872" s="947" t="e">
        <f>VLOOKUP(Y872,R_DD!$A$1:$L$2131,5,0)</f>
        <v>#N/A</v>
      </c>
      <c r="AC872" s="947" t="e">
        <f>VLOOKUP(X872,R_DD!$B$6:$E$2112,4,0)</f>
        <v>#N/A</v>
      </c>
    </row>
    <row r="873" spans="22:29" ht="20.100000000000001" customHeight="1">
      <c r="V873" s="944" t="e">
        <f>VLOOKUP(U873,R_DD!$B$6:$E$2112,3,0)</f>
        <v>#N/A</v>
      </c>
      <c r="W873" s="943" t="e">
        <f>VLOOKUP(U873,R_DD!$B$6:$E$2112,4,0)</f>
        <v>#N/A</v>
      </c>
      <c r="Z873" s="946" t="e">
        <f>VLOOKUP(X873,R_DD!$B$6:$E$2112,3,0)</f>
        <v>#N/A</v>
      </c>
      <c r="AA873" s="946" t="e">
        <f>VLOOKUP(Y873,R_DD!$A$1:$L$2131,4,0)</f>
        <v>#N/A</v>
      </c>
      <c r="AB873" s="947" t="e">
        <f>VLOOKUP(Y873,R_DD!$A$1:$L$2131,5,0)</f>
        <v>#N/A</v>
      </c>
      <c r="AC873" s="947" t="e">
        <f>VLOOKUP(X873,R_DD!$B$6:$E$2112,4,0)</f>
        <v>#N/A</v>
      </c>
    </row>
    <row r="874" spans="22:29" ht="20.100000000000001" customHeight="1">
      <c r="V874" s="944" t="e">
        <f>VLOOKUP(U874,R_DD!$B$6:$E$2112,3,0)</f>
        <v>#N/A</v>
      </c>
      <c r="W874" s="943" t="e">
        <f>VLOOKUP(U874,R_DD!$B$6:$E$2112,4,0)</f>
        <v>#N/A</v>
      </c>
      <c r="Z874" s="946" t="e">
        <f>VLOOKUP(X874,R_DD!$B$6:$E$2112,3,0)</f>
        <v>#N/A</v>
      </c>
      <c r="AA874" s="946" t="e">
        <f>VLOOKUP(Y874,R_DD!$A$1:$L$2131,4,0)</f>
        <v>#N/A</v>
      </c>
      <c r="AB874" s="947" t="e">
        <f>VLOOKUP(Y874,R_DD!$A$1:$L$2131,5,0)</f>
        <v>#N/A</v>
      </c>
      <c r="AC874" s="947" t="e">
        <f>VLOOKUP(X874,R_DD!$B$6:$E$2112,4,0)</f>
        <v>#N/A</v>
      </c>
    </row>
    <row r="875" spans="22:29" ht="20.100000000000001" customHeight="1">
      <c r="V875" s="944" t="e">
        <f>VLOOKUP(U875,R_DD!$B$6:$E$2112,3,0)</f>
        <v>#N/A</v>
      </c>
      <c r="W875" s="943" t="e">
        <f>VLOOKUP(U875,R_DD!$B$6:$E$2112,4,0)</f>
        <v>#N/A</v>
      </c>
      <c r="Z875" s="946" t="e">
        <f>VLOOKUP(X875,R_DD!$B$6:$E$2112,3,0)</f>
        <v>#N/A</v>
      </c>
      <c r="AA875" s="946" t="e">
        <f>VLOOKUP(Y875,R_DD!$A$1:$L$2131,4,0)</f>
        <v>#N/A</v>
      </c>
      <c r="AB875" s="947" t="e">
        <f>VLOOKUP(Y875,R_DD!$A$1:$L$2131,5,0)</f>
        <v>#N/A</v>
      </c>
      <c r="AC875" s="947" t="e">
        <f>VLOOKUP(X875,R_DD!$B$6:$E$2112,4,0)</f>
        <v>#N/A</v>
      </c>
    </row>
    <row r="876" spans="22:29" ht="20.100000000000001" customHeight="1">
      <c r="V876" s="944" t="e">
        <f>VLOOKUP(U876,R_DD!$B$6:$E$2112,3,0)</f>
        <v>#N/A</v>
      </c>
      <c r="W876" s="943" t="e">
        <f>VLOOKUP(U876,R_DD!$B$6:$E$2112,4,0)</f>
        <v>#N/A</v>
      </c>
      <c r="Z876" s="946" t="e">
        <f>VLOOKUP(X876,R_DD!$B$6:$E$2112,3,0)</f>
        <v>#N/A</v>
      </c>
      <c r="AA876" s="946" t="e">
        <f>VLOOKUP(Y876,R_DD!$A$1:$L$2131,4,0)</f>
        <v>#N/A</v>
      </c>
      <c r="AB876" s="947" t="e">
        <f>VLOOKUP(Y876,R_DD!$A$1:$L$2131,5,0)</f>
        <v>#N/A</v>
      </c>
      <c r="AC876" s="947" t="e">
        <f>VLOOKUP(X876,R_DD!$B$6:$E$2112,4,0)</f>
        <v>#N/A</v>
      </c>
    </row>
    <row r="877" spans="22:29" ht="20.100000000000001" customHeight="1">
      <c r="V877" s="944" t="e">
        <f>VLOOKUP(U877,R_DD!$B$6:$E$2112,3,0)</f>
        <v>#N/A</v>
      </c>
      <c r="W877" s="943" t="e">
        <f>VLOOKUP(U877,R_DD!$B$6:$E$2112,4,0)</f>
        <v>#N/A</v>
      </c>
      <c r="Z877" s="946" t="e">
        <f>VLOOKUP(X877,R_DD!$B$6:$E$2112,3,0)</f>
        <v>#N/A</v>
      </c>
      <c r="AA877" s="946" t="e">
        <f>VLOOKUP(Y877,R_DD!$A$1:$L$2131,4,0)</f>
        <v>#N/A</v>
      </c>
      <c r="AB877" s="947" t="e">
        <f>VLOOKUP(Y877,R_DD!$A$1:$L$2131,5,0)</f>
        <v>#N/A</v>
      </c>
      <c r="AC877" s="947" t="e">
        <f>VLOOKUP(X877,R_DD!$B$6:$E$2112,4,0)</f>
        <v>#N/A</v>
      </c>
    </row>
    <row r="878" spans="22:29" ht="20.100000000000001" customHeight="1">
      <c r="V878" s="944" t="e">
        <f>VLOOKUP(U878,R_DD!$B$6:$E$2112,3,0)</f>
        <v>#N/A</v>
      </c>
      <c r="W878" s="943" t="e">
        <f>VLOOKUP(U878,R_DD!$B$6:$E$2112,4,0)</f>
        <v>#N/A</v>
      </c>
      <c r="Z878" s="946" t="e">
        <f>VLOOKUP(X878,R_DD!$B$6:$E$2112,3,0)</f>
        <v>#N/A</v>
      </c>
      <c r="AA878" s="946" t="e">
        <f>VLOOKUP(Y878,R_DD!$A$1:$L$2131,4,0)</f>
        <v>#N/A</v>
      </c>
      <c r="AB878" s="947" t="e">
        <f>VLOOKUP(Y878,R_DD!$A$1:$L$2131,5,0)</f>
        <v>#N/A</v>
      </c>
      <c r="AC878" s="947" t="e">
        <f>VLOOKUP(X878,R_DD!$B$6:$E$2112,4,0)</f>
        <v>#N/A</v>
      </c>
    </row>
    <row r="879" spans="22:29" ht="20.100000000000001" customHeight="1">
      <c r="V879" s="944" t="e">
        <f>VLOOKUP(U879,R_DD!$B$6:$E$2112,3,0)</f>
        <v>#N/A</v>
      </c>
      <c r="W879" s="943" t="e">
        <f>VLOOKUP(U879,R_DD!$B$6:$E$2112,4,0)</f>
        <v>#N/A</v>
      </c>
      <c r="Z879" s="946" t="e">
        <f>VLOOKUP(X879,R_DD!$B$6:$E$2112,3,0)</f>
        <v>#N/A</v>
      </c>
      <c r="AA879" s="946" t="e">
        <f>VLOOKUP(Y879,R_DD!$A$1:$L$2131,4,0)</f>
        <v>#N/A</v>
      </c>
      <c r="AB879" s="947" t="e">
        <f>VLOOKUP(Y879,R_DD!$A$1:$L$2131,5,0)</f>
        <v>#N/A</v>
      </c>
      <c r="AC879" s="947" t="e">
        <f>VLOOKUP(X879,R_DD!$B$6:$E$2112,4,0)</f>
        <v>#N/A</v>
      </c>
    </row>
    <row r="880" spans="22:29" ht="20.100000000000001" customHeight="1">
      <c r="V880" s="944" t="e">
        <f>VLOOKUP(U880,R_DD!$B$6:$E$2112,3,0)</f>
        <v>#N/A</v>
      </c>
      <c r="W880" s="943" t="e">
        <f>VLOOKUP(U880,R_DD!$B$6:$E$2112,4,0)</f>
        <v>#N/A</v>
      </c>
      <c r="Z880" s="946" t="e">
        <f>VLOOKUP(X880,R_DD!$B$6:$E$2112,3,0)</f>
        <v>#N/A</v>
      </c>
      <c r="AA880" s="946" t="e">
        <f>VLOOKUP(Y880,R_DD!$A$1:$L$2131,4,0)</f>
        <v>#N/A</v>
      </c>
      <c r="AB880" s="947" t="e">
        <f>VLOOKUP(Y880,R_DD!$A$1:$L$2131,5,0)</f>
        <v>#N/A</v>
      </c>
      <c r="AC880" s="947" t="e">
        <f>VLOOKUP(X880,R_DD!$B$6:$E$2112,4,0)</f>
        <v>#N/A</v>
      </c>
    </row>
    <row r="881" spans="22:29" ht="20.100000000000001" customHeight="1">
      <c r="V881" s="944" t="e">
        <f>VLOOKUP(U881,R_DD!$B$6:$E$2112,3,0)</f>
        <v>#N/A</v>
      </c>
      <c r="W881" s="943" t="e">
        <f>VLOOKUP(U881,R_DD!$B$6:$E$2112,4,0)</f>
        <v>#N/A</v>
      </c>
      <c r="Z881" s="946" t="e">
        <f>VLOOKUP(X881,R_DD!$B$6:$E$2112,3,0)</f>
        <v>#N/A</v>
      </c>
      <c r="AA881" s="946" t="e">
        <f>VLOOKUP(Y881,R_DD!$A$1:$L$2131,4,0)</f>
        <v>#N/A</v>
      </c>
      <c r="AB881" s="947" t="e">
        <f>VLOOKUP(Y881,R_DD!$A$1:$L$2131,5,0)</f>
        <v>#N/A</v>
      </c>
      <c r="AC881" s="947" t="e">
        <f>VLOOKUP(X881,R_DD!$B$6:$E$2112,4,0)</f>
        <v>#N/A</v>
      </c>
    </row>
    <row r="882" spans="22:29" ht="20.100000000000001" customHeight="1">
      <c r="V882" s="944" t="e">
        <f>VLOOKUP(U882,R_DD!$B$6:$E$2112,3,0)</f>
        <v>#N/A</v>
      </c>
      <c r="W882" s="943" t="e">
        <f>VLOOKUP(U882,R_DD!$B$6:$E$2112,4,0)</f>
        <v>#N/A</v>
      </c>
      <c r="Z882" s="946" t="e">
        <f>VLOOKUP(X882,R_DD!$B$6:$E$2112,3,0)</f>
        <v>#N/A</v>
      </c>
      <c r="AA882" s="946" t="e">
        <f>VLOOKUP(Y882,R_DD!$A$1:$L$2131,4,0)</f>
        <v>#N/A</v>
      </c>
      <c r="AB882" s="947" t="e">
        <f>VLOOKUP(Y882,R_DD!$A$1:$L$2131,5,0)</f>
        <v>#N/A</v>
      </c>
      <c r="AC882" s="947" t="e">
        <f>VLOOKUP(X882,R_DD!$B$6:$E$2112,4,0)</f>
        <v>#N/A</v>
      </c>
    </row>
    <row r="883" spans="22:29" ht="20.100000000000001" customHeight="1">
      <c r="V883" s="944" t="e">
        <f>VLOOKUP(U883,R_DD!$B$6:$E$2112,3,0)</f>
        <v>#N/A</v>
      </c>
      <c r="W883" s="943" t="e">
        <f>VLOOKUP(U883,R_DD!$B$6:$E$2112,4,0)</f>
        <v>#N/A</v>
      </c>
      <c r="Z883" s="946" t="e">
        <f>VLOOKUP(X883,R_DD!$B$6:$E$2112,3,0)</f>
        <v>#N/A</v>
      </c>
      <c r="AA883" s="946" t="e">
        <f>VLOOKUP(Y883,R_DD!$A$1:$L$2131,4,0)</f>
        <v>#N/A</v>
      </c>
      <c r="AB883" s="947" t="e">
        <f>VLOOKUP(Y883,R_DD!$A$1:$L$2131,5,0)</f>
        <v>#N/A</v>
      </c>
      <c r="AC883" s="947" t="e">
        <f>VLOOKUP(X883,R_DD!$B$6:$E$2112,4,0)</f>
        <v>#N/A</v>
      </c>
    </row>
    <row r="884" spans="22:29" ht="20.100000000000001" customHeight="1">
      <c r="V884" s="944" t="e">
        <f>VLOOKUP(U884,R_DD!$B$6:$E$2112,3,0)</f>
        <v>#N/A</v>
      </c>
      <c r="W884" s="943" t="e">
        <f>VLOOKUP(U884,R_DD!$B$6:$E$2112,4,0)</f>
        <v>#N/A</v>
      </c>
      <c r="Z884" s="946" t="e">
        <f>VLOOKUP(X884,R_DD!$B$6:$E$2112,3,0)</f>
        <v>#N/A</v>
      </c>
      <c r="AA884" s="946" t="e">
        <f>VLOOKUP(Y884,R_DD!$A$1:$L$2131,4,0)</f>
        <v>#N/A</v>
      </c>
      <c r="AB884" s="947" t="e">
        <f>VLOOKUP(Y884,R_DD!$A$1:$L$2131,5,0)</f>
        <v>#N/A</v>
      </c>
      <c r="AC884" s="947" t="e">
        <f>VLOOKUP(X884,R_DD!$B$6:$E$2112,4,0)</f>
        <v>#N/A</v>
      </c>
    </row>
    <row r="885" spans="22:29" ht="20.100000000000001" customHeight="1">
      <c r="V885" s="944" t="e">
        <f>VLOOKUP(U885,R_DD!$B$6:$E$2112,3,0)</f>
        <v>#N/A</v>
      </c>
      <c r="W885" s="943" t="e">
        <f>VLOOKUP(U885,R_DD!$B$6:$E$2112,4,0)</f>
        <v>#N/A</v>
      </c>
      <c r="Z885" s="946" t="e">
        <f>VLOOKUP(X885,R_DD!$B$6:$E$2112,3,0)</f>
        <v>#N/A</v>
      </c>
      <c r="AA885" s="946" t="e">
        <f>VLOOKUP(Y885,R_DD!$A$1:$L$2131,4,0)</f>
        <v>#N/A</v>
      </c>
      <c r="AB885" s="947" t="e">
        <f>VLOOKUP(Y885,R_DD!$A$1:$L$2131,5,0)</f>
        <v>#N/A</v>
      </c>
      <c r="AC885" s="947" t="e">
        <f>VLOOKUP(X885,R_DD!$B$6:$E$2112,4,0)</f>
        <v>#N/A</v>
      </c>
    </row>
    <row r="886" spans="22:29" ht="20.100000000000001" customHeight="1">
      <c r="V886" s="944" t="e">
        <f>VLOOKUP(U886,R_DD!$B$6:$E$2112,3,0)</f>
        <v>#N/A</v>
      </c>
      <c r="W886" s="943" t="e">
        <f>VLOOKUP(U886,R_DD!$B$6:$E$2112,4,0)</f>
        <v>#N/A</v>
      </c>
      <c r="Z886" s="946" t="e">
        <f>VLOOKUP(X886,R_DD!$B$6:$E$2112,3,0)</f>
        <v>#N/A</v>
      </c>
      <c r="AA886" s="946" t="e">
        <f>VLOOKUP(Y886,R_DD!$A$1:$L$2131,4,0)</f>
        <v>#N/A</v>
      </c>
      <c r="AB886" s="947" t="e">
        <f>VLOOKUP(Y886,R_DD!$A$1:$L$2131,5,0)</f>
        <v>#N/A</v>
      </c>
      <c r="AC886" s="947" t="e">
        <f>VLOOKUP(X886,R_DD!$B$6:$E$2112,4,0)</f>
        <v>#N/A</v>
      </c>
    </row>
    <row r="887" spans="22:29" ht="20.100000000000001" customHeight="1">
      <c r="V887" s="944" t="e">
        <f>VLOOKUP(U887,R_DD!$B$6:$E$2112,3,0)</f>
        <v>#N/A</v>
      </c>
      <c r="W887" s="943" t="e">
        <f>VLOOKUP(U887,R_DD!$B$6:$E$2112,4,0)</f>
        <v>#N/A</v>
      </c>
      <c r="Z887" s="946" t="e">
        <f>VLOOKUP(X887,R_DD!$B$6:$E$2112,3,0)</f>
        <v>#N/A</v>
      </c>
      <c r="AA887" s="946" t="e">
        <f>VLOOKUP(Y887,R_DD!$A$1:$L$2131,4,0)</f>
        <v>#N/A</v>
      </c>
      <c r="AB887" s="947" t="e">
        <f>VLOOKUP(Y887,R_DD!$A$1:$L$2131,5,0)</f>
        <v>#N/A</v>
      </c>
      <c r="AC887" s="947" t="e">
        <f>VLOOKUP(X887,R_DD!$B$6:$E$2112,4,0)</f>
        <v>#N/A</v>
      </c>
    </row>
    <row r="888" spans="22:29" ht="20.100000000000001" customHeight="1">
      <c r="V888" s="944" t="e">
        <f>VLOOKUP(U888,R_DD!$B$6:$E$2112,3,0)</f>
        <v>#N/A</v>
      </c>
      <c r="W888" s="943" t="e">
        <f>VLOOKUP(U888,R_DD!$B$6:$E$2112,4,0)</f>
        <v>#N/A</v>
      </c>
      <c r="Z888" s="946" t="e">
        <f>VLOOKUP(X888,R_DD!$B$6:$E$2112,3,0)</f>
        <v>#N/A</v>
      </c>
      <c r="AA888" s="946" t="e">
        <f>VLOOKUP(Y888,R_DD!$A$1:$L$2131,4,0)</f>
        <v>#N/A</v>
      </c>
      <c r="AB888" s="947" t="e">
        <f>VLOOKUP(Y888,R_DD!$A$1:$L$2131,5,0)</f>
        <v>#N/A</v>
      </c>
      <c r="AC888" s="947" t="e">
        <f>VLOOKUP(X888,R_DD!$B$6:$E$2112,4,0)</f>
        <v>#N/A</v>
      </c>
    </row>
    <row r="889" spans="22:29" ht="20.100000000000001" customHeight="1">
      <c r="V889" s="944" t="e">
        <f>VLOOKUP(U889,R_DD!$B$6:$E$2112,3,0)</f>
        <v>#N/A</v>
      </c>
      <c r="W889" s="943" t="e">
        <f>VLOOKUP(U889,R_DD!$B$6:$E$2112,4,0)</f>
        <v>#N/A</v>
      </c>
      <c r="Z889" s="946" t="e">
        <f>VLOOKUP(X889,R_DD!$B$6:$E$2112,3,0)</f>
        <v>#N/A</v>
      </c>
      <c r="AA889" s="946" t="e">
        <f>VLOOKUP(Y889,R_DD!$A$1:$L$2131,4,0)</f>
        <v>#N/A</v>
      </c>
      <c r="AB889" s="947" t="e">
        <f>VLOOKUP(Y889,R_DD!$A$1:$L$2131,5,0)</f>
        <v>#N/A</v>
      </c>
      <c r="AC889" s="947" t="e">
        <f>VLOOKUP(X889,R_DD!$B$6:$E$2112,4,0)</f>
        <v>#N/A</v>
      </c>
    </row>
    <row r="890" spans="22:29" ht="20.100000000000001" customHeight="1">
      <c r="V890" s="944" t="e">
        <f>VLOOKUP(U890,R_DD!$B$6:$E$2112,3,0)</f>
        <v>#N/A</v>
      </c>
      <c r="W890" s="943" t="e">
        <f>VLOOKUP(U890,R_DD!$B$6:$E$2112,4,0)</f>
        <v>#N/A</v>
      </c>
      <c r="Z890" s="946" t="e">
        <f>VLOOKUP(X890,R_DD!$B$6:$E$2112,3,0)</f>
        <v>#N/A</v>
      </c>
      <c r="AA890" s="946" t="e">
        <f>VLOOKUP(Y890,R_DD!$A$1:$L$2131,4,0)</f>
        <v>#N/A</v>
      </c>
      <c r="AB890" s="947" t="e">
        <f>VLOOKUP(Y890,R_DD!$A$1:$L$2131,5,0)</f>
        <v>#N/A</v>
      </c>
      <c r="AC890" s="947" t="e">
        <f>VLOOKUP(X890,R_DD!$B$6:$E$2112,4,0)</f>
        <v>#N/A</v>
      </c>
    </row>
    <row r="891" spans="22:29" ht="20.100000000000001" customHeight="1">
      <c r="V891" s="944" t="e">
        <f>VLOOKUP(U891,R_DD!$B$6:$E$2112,3,0)</f>
        <v>#N/A</v>
      </c>
      <c r="W891" s="943" t="e">
        <f>VLOOKUP(U891,R_DD!$B$6:$E$2112,4,0)</f>
        <v>#N/A</v>
      </c>
      <c r="Z891" s="946" t="e">
        <f>VLOOKUP(X891,R_DD!$B$6:$E$2112,3,0)</f>
        <v>#N/A</v>
      </c>
      <c r="AA891" s="946" t="e">
        <f>VLOOKUP(Y891,R_DD!$A$1:$L$2131,4,0)</f>
        <v>#N/A</v>
      </c>
      <c r="AB891" s="947" t="e">
        <f>VLOOKUP(Y891,R_DD!$A$1:$L$2131,5,0)</f>
        <v>#N/A</v>
      </c>
      <c r="AC891" s="947" t="e">
        <f>VLOOKUP(X891,R_DD!$B$6:$E$2112,4,0)</f>
        <v>#N/A</v>
      </c>
    </row>
    <row r="892" spans="22:29" ht="20.100000000000001" customHeight="1">
      <c r="V892" s="944" t="e">
        <f>VLOOKUP(U892,R_DD!$B$6:$E$2112,3,0)</f>
        <v>#N/A</v>
      </c>
      <c r="W892" s="943" t="e">
        <f>VLOOKUP(U892,R_DD!$B$6:$E$2112,4,0)</f>
        <v>#N/A</v>
      </c>
      <c r="Z892" s="946" t="e">
        <f>VLOOKUP(X892,R_DD!$B$6:$E$2112,3,0)</f>
        <v>#N/A</v>
      </c>
      <c r="AA892" s="946" t="e">
        <f>VLOOKUP(Y892,R_DD!$A$1:$L$2131,4,0)</f>
        <v>#N/A</v>
      </c>
      <c r="AB892" s="947" t="e">
        <f>VLOOKUP(Y892,R_DD!$A$1:$L$2131,5,0)</f>
        <v>#N/A</v>
      </c>
      <c r="AC892" s="947" t="e">
        <f>VLOOKUP(X892,R_DD!$B$6:$E$2112,4,0)</f>
        <v>#N/A</v>
      </c>
    </row>
    <row r="893" spans="22:29" ht="20.100000000000001" customHeight="1">
      <c r="V893" s="944" t="e">
        <f>VLOOKUP(U893,R_DD!$B$6:$E$2112,3,0)</f>
        <v>#N/A</v>
      </c>
      <c r="W893" s="943" t="e">
        <f>VLOOKUP(U893,R_DD!$B$6:$E$2112,4,0)</f>
        <v>#N/A</v>
      </c>
      <c r="Z893" s="946" t="e">
        <f>VLOOKUP(X893,R_DD!$B$6:$E$2112,3,0)</f>
        <v>#N/A</v>
      </c>
      <c r="AA893" s="946" t="e">
        <f>VLOOKUP(Y893,R_DD!$A$1:$L$2131,4,0)</f>
        <v>#N/A</v>
      </c>
      <c r="AB893" s="947" t="e">
        <f>VLOOKUP(Y893,R_DD!$A$1:$L$2131,5,0)</f>
        <v>#N/A</v>
      </c>
      <c r="AC893" s="947" t="e">
        <f>VLOOKUP(X893,R_DD!$B$6:$E$2112,4,0)</f>
        <v>#N/A</v>
      </c>
    </row>
    <row r="894" spans="22:29" ht="20.100000000000001" customHeight="1">
      <c r="V894" s="944" t="e">
        <f>VLOOKUP(U894,R_DD!$B$6:$E$2112,3,0)</f>
        <v>#N/A</v>
      </c>
      <c r="W894" s="943" t="e">
        <f>VLOOKUP(U894,R_DD!$B$6:$E$2112,4,0)</f>
        <v>#N/A</v>
      </c>
      <c r="Z894" s="946" t="e">
        <f>VLOOKUP(X894,R_DD!$B$6:$E$2112,3,0)</f>
        <v>#N/A</v>
      </c>
      <c r="AA894" s="946" t="e">
        <f>VLOOKUP(Y894,R_DD!$A$1:$L$2131,4,0)</f>
        <v>#N/A</v>
      </c>
      <c r="AB894" s="947" t="e">
        <f>VLOOKUP(Y894,R_DD!$A$1:$L$2131,5,0)</f>
        <v>#N/A</v>
      </c>
      <c r="AC894" s="947" t="e">
        <f>VLOOKUP(X894,R_DD!$B$6:$E$2112,4,0)</f>
        <v>#N/A</v>
      </c>
    </row>
    <row r="895" spans="22:29" ht="20.100000000000001" customHeight="1">
      <c r="V895" s="944" t="e">
        <f>VLOOKUP(U895,R_DD!$B$6:$E$2112,3,0)</f>
        <v>#N/A</v>
      </c>
      <c r="W895" s="943" t="e">
        <f>VLOOKUP(U895,R_DD!$B$6:$E$2112,4,0)</f>
        <v>#N/A</v>
      </c>
      <c r="Z895" s="946" t="e">
        <f>VLOOKUP(X895,R_DD!$B$6:$E$2112,3,0)</f>
        <v>#N/A</v>
      </c>
      <c r="AA895" s="946" t="e">
        <f>VLOOKUP(Y895,R_DD!$A$1:$L$2131,4,0)</f>
        <v>#N/A</v>
      </c>
      <c r="AB895" s="947" t="e">
        <f>VLOOKUP(Y895,R_DD!$A$1:$L$2131,5,0)</f>
        <v>#N/A</v>
      </c>
      <c r="AC895" s="947" t="e">
        <f>VLOOKUP(X895,R_DD!$B$6:$E$2112,4,0)</f>
        <v>#N/A</v>
      </c>
    </row>
    <row r="896" spans="22:29" ht="20.100000000000001" customHeight="1">
      <c r="V896" s="944" t="e">
        <f>VLOOKUP(U896,R_DD!$B$6:$E$2112,3,0)</f>
        <v>#N/A</v>
      </c>
      <c r="W896" s="943" t="e">
        <f>VLOOKUP(U896,R_DD!$B$6:$E$2112,4,0)</f>
        <v>#N/A</v>
      </c>
      <c r="Z896" s="946" t="e">
        <f>VLOOKUP(X896,R_DD!$B$6:$E$2112,3,0)</f>
        <v>#N/A</v>
      </c>
      <c r="AA896" s="946" t="e">
        <f>VLOOKUP(Y896,R_DD!$A$1:$L$2131,4,0)</f>
        <v>#N/A</v>
      </c>
      <c r="AB896" s="947" t="e">
        <f>VLOOKUP(Y896,R_DD!$A$1:$L$2131,5,0)</f>
        <v>#N/A</v>
      </c>
      <c r="AC896" s="947" t="e">
        <f>VLOOKUP(X896,R_DD!$B$6:$E$2112,4,0)</f>
        <v>#N/A</v>
      </c>
    </row>
    <row r="897" spans="22:29" ht="20.100000000000001" customHeight="1">
      <c r="V897" s="944" t="e">
        <f>VLOOKUP(U897,R_DD!$B$6:$E$2112,3,0)</f>
        <v>#N/A</v>
      </c>
      <c r="W897" s="943" t="e">
        <f>VLOOKUP(U897,R_DD!$B$6:$E$2112,4,0)</f>
        <v>#N/A</v>
      </c>
      <c r="Z897" s="946" t="e">
        <f>VLOOKUP(X897,R_DD!$B$6:$E$2112,3,0)</f>
        <v>#N/A</v>
      </c>
      <c r="AA897" s="946" t="e">
        <f>VLOOKUP(Y897,R_DD!$A$1:$L$2131,4,0)</f>
        <v>#N/A</v>
      </c>
      <c r="AB897" s="947" t="e">
        <f>VLOOKUP(Y897,R_DD!$A$1:$L$2131,5,0)</f>
        <v>#N/A</v>
      </c>
      <c r="AC897" s="947" t="e">
        <f>VLOOKUP(X897,R_DD!$B$6:$E$2112,4,0)</f>
        <v>#N/A</v>
      </c>
    </row>
    <row r="898" spans="22:29" ht="20.100000000000001" customHeight="1">
      <c r="V898" s="944" t="e">
        <f>VLOOKUP(U898,R_DD!$B$6:$E$2112,3,0)</f>
        <v>#N/A</v>
      </c>
      <c r="W898" s="943" t="e">
        <f>VLOOKUP(U898,R_DD!$B$6:$E$2112,4,0)</f>
        <v>#N/A</v>
      </c>
      <c r="Z898" s="946" t="e">
        <f>VLOOKUP(X898,R_DD!$B$6:$E$2112,3,0)</f>
        <v>#N/A</v>
      </c>
      <c r="AA898" s="946" t="e">
        <f>VLOOKUP(Y898,R_DD!$A$1:$L$2131,4,0)</f>
        <v>#N/A</v>
      </c>
      <c r="AB898" s="947" t="e">
        <f>VLOOKUP(Y898,R_DD!$A$1:$L$2131,5,0)</f>
        <v>#N/A</v>
      </c>
      <c r="AC898" s="947" t="e">
        <f>VLOOKUP(X898,R_DD!$B$6:$E$2112,4,0)</f>
        <v>#N/A</v>
      </c>
    </row>
    <row r="899" spans="22:29" ht="20.100000000000001" customHeight="1">
      <c r="V899" s="944" t="e">
        <f>VLOOKUP(U899,R_DD!$B$6:$E$2112,3,0)</f>
        <v>#N/A</v>
      </c>
      <c r="W899" s="943" t="e">
        <f>VLOOKUP(U899,R_DD!$B$6:$E$2112,4,0)</f>
        <v>#N/A</v>
      </c>
      <c r="Z899" s="946" t="e">
        <f>VLOOKUP(X899,R_DD!$B$6:$E$2112,3,0)</f>
        <v>#N/A</v>
      </c>
      <c r="AA899" s="946" t="e">
        <f>VLOOKUP(Y899,R_DD!$A$1:$L$2131,4,0)</f>
        <v>#N/A</v>
      </c>
      <c r="AB899" s="947" t="e">
        <f>VLOOKUP(Y899,R_DD!$A$1:$L$2131,5,0)</f>
        <v>#N/A</v>
      </c>
      <c r="AC899" s="947" t="e">
        <f>VLOOKUP(X899,R_DD!$B$6:$E$2112,4,0)</f>
        <v>#N/A</v>
      </c>
    </row>
    <row r="900" spans="22:29" ht="20.100000000000001" customHeight="1">
      <c r="V900" s="944" t="e">
        <f>VLOOKUP(U900,R_DD!$B$6:$E$2112,3,0)</f>
        <v>#N/A</v>
      </c>
      <c r="W900" s="943" t="e">
        <f>VLOOKUP(U900,R_DD!$B$6:$E$2112,4,0)</f>
        <v>#N/A</v>
      </c>
      <c r="Z900" s="946" t="e">
        <f>VLOOKUP(X900,R_DD!$B$6:$E$2112,3,0)</f>
        <v>#N/A</v>
      </c>
      <c r="AA900" s="946" t="e">
        <f>VLOOKUP(Y900,R_DD!$A$1:$L$2131,4,0)</f>
        <v>#N/A</v>
      </c>
      <c r="AB900" s="947" t="e">
        <f>VLOOKUP(Y900,R_DD!$A$1:$L$2131,5,0)</f>
        <v>#N/A</v>
      </c>
      <c r="AC900" s="947" t="e">
        <f>VLOOKUP(X900,R_DD!$B$6:$E$2112,4,0)</f>
        <v>#N/A</v>
      </c>
    </row>
    <row r="901" spans="22:29" ht="20.100000000000001" customHeight="1">
      <c r="V901" s="944" t="e">
        <f>VLOOKUP(U901,R_DD!$B$6:$E$2112,3,0)</f>
        <v>#N/A</v>
      </c>
      <c r="W901" s="943" t="e">
        <f>VLOOKUP(U901,R_DD!$B$6:$E$2112,4,0)</f>
        <v>#N/A</v>
      </c>
      <c r="Z901" s="946" t="e">
        <f>VLOOKUP(X901,R_DD!$B$6:$E$2112,3,0)</f>
        <v>#N/A</v>
      </c>
      <c r="AA901" s="946" t="e">
        <f>VLOOKUP(Y901,R_DD!$A$1:$L$2131,4,0)</f>
        <v>#N/A</v>
      </c>
      <c r="AB901" s="947" t="e">
        <f>VLOOKUP(Y901,R_DD!$A$1:$L$2131,5,0)</f>
        <v>#N/A</v>
      </c>
      <c r="AC901" s="947" t="e">
        <f>VLOOKUP(X901,R_DD!$B$6:$E$2112,4,0)</f>
        <v>#N/A</v>
      </c>
    </row>
    <row r="902" spans="22:29" ht="20.100000000000001" customHeight="1">
      <c r="V902" s="944" t="e">
        <f>VLOOKUP(U902,R_DD!$B$6:$E$2112,3,0)</f>
        <v>#N/A</v>
      </c>
      <c r="W902" s="943" t="e">
        <f>VLOOKUP(U902,R_DD!$B$6:$E$2112,4,0)</f>
        <v>#N/A</v>
      </c>
      <c r="Z902" s="946" t="e">
        <f>VLOOKUP(X902,R_DD!$B$6:$E$2112,3,0)</f>
        <v>#N/A</v>
      </c>
      <c r="AA902" s="946" t="e">
        <f>VLOOKUP(Y902,R_DD!$A$1:$L$2131,4,0)</f>
        <v>#N/A</v>
      </c>
      <c r="AB902" s="947" t="e">
        <f>VLOOKUP(Y902,R_DD!$A$1:$L$2131,5,0)</f>
        <v>#N/A</v>
      </c>
      <c r="AC902" s="947" t="e">
        <f>VLOOKUP(X902,R_DD!$B$6:$E$2112,4,0)</f>
        <v>#N/A</v>
      </c>
    </row>
    <row r="903" spans="22:29" ht="20.100000000000001" customHeight="1">
      <c r="V903" s="944" t="e">
        <f>VLOOKUP(U903,R_DD!$B$6:$E$2112,3,0)</f>
        <v>#N/A</v>
      </c>
      <c r="W903" s="943" t="e">
        <f>VLOOKUP(U903,R_DD!$B$6:$E$2112,4,0)</f>
        <v>#N/A</v>
      </c>
      <c r="Z903" s="946" t="e">
        <f>VLOOKUP(X903,R_DD!$B$6:$E$2112,3,0)</f>
        <v>#N/A</v>
      </c>
      <c r="AA903" s="946" t="e">
        <f>VLOOKUP(Y903,R_DD!$A$1:$L$2131,4,0)</f>
        <v>#N/A</v>
      </c>
      <c r="AB903" s="947" t="e">
        <f>VLOOKUP(Y903,R_DD!$A$1:$L$2131,5,0)</f>
        <v>#N/A</v>
      </c>
      <c r="AC903" s="947" t="e">
        <f>VLOOKUP(X903,R_DD!$B$6:$E$2112,4,0)</f>
        <v>#N/A</v>
      </c>
    </row>
    <row r="904" spans="22:29" ht="20.100000000000001" customHeight="1">
      <c r="V904" s="944" t="e">
        <f>VLOOKUP(U904,R_DD!$B$6:$E$2112,3,0)</f>
        <v>#N/A</v>
      </c>
      <c r="W904" s="943" t="e">
        <f>VLOOKUP(U904,R_DD!$B$6:$E$2112,4,0)</f>
        <v>#N/A</v>
      </c>
      <c r="Z904" s="946" t="e">
        <f>VLOOKUP(X904,R_DD!$B$6:$E$2112,3,0)</f>
        <v>#N/A</v>
      </c>
      <c r="AA904" s="946" t="e">
        <f>VLOOKUP(Y904,R_DD!$A$1:$L$2131,4,0)</f>
        <v>#N/A</v>
      </c>
      <c r="AB904" s="947" t="e">
        <f>VLOOKUP(Y904,R_DD!$A$1:$L$2131,5,0)</f>
        <v>#N/A</v>
      </c>
      <c r="AC904" s="947" t="e">
        <f>VLOOKUP(X904,R_DD!$B$6:$E$2112,4,0)</f>
        <v>#N/A</v>
      </c>
    </row>
    <row r="905" spans="22:29" ht="20.100000000000001" customHeight="1">
      <c r="V905" s="944" t="e">
        <f>VLOOKUP(U905,R_DD!$B$6:$E$2112,3,0)</f>
        <v>#N/A</v>
      </c>
      <c r="W905" s="943" t="e">
        <f>VLOOKUP(U905,R_DD!$B$6:$E$2112,4,0)</f>
        <v>#N/A</v>
      </c>
      <c r="Z905" s="946" t="e">
        <f>VLOOKUP(X905,R_DD!$B$6:$E$2112,3,0)</f>
        <v>#N/A</v>
      </c>
      <c r="AA905" s="946" t="e">
        <f>VLOOKUP(Y905,R_DD!$A$1:$L$2131,4,0)</f>
        <v>#N/A</v>
      </c>
      <c r="AB905" s="947" t="e">
        <f>VLOOKUP(Y905,R_DD!$A$1:$L$2131,5,0)</f>
        <v>#N/A</v>
      </c>
      <c r="AC905" s="947" t="e">
        <f>VLOOKUP(X905,R_DD!$B$6:$E$2112,4,0)</f>
        <v>#N/A</v>
      </c>
    </row>
    <row r="906" spans="22:29" ht="20.100000000000001" customHeight="1">
      <c r="V906" s="944" t="e">
        <f>VLOOKUP(U906,R_DD!$B$6:$E$2112,3,0)</f>
        <v>#N/A</v>
      </c>
      <c r="W906" s="943" t="e">
        <f>VLOOKUP(U906,R_DD!$B$6:$E$2112,4,0)</f>
        <v>#N/A</v>
      </c>
      <c r="Z906" s="946" t="e">
        <f>VLOOKUP(X906,R_DD!$B$6:$E$2112,3,0)</f>
        <v>#N/A</v>
      </c>
      <c r="AA906" s="946" t="e">
        <f>VLOOKUP(Y906,R_DD!$A$1:$L$2131,4,0)</f>
        <v>#N/A</v>
      </c>
      <c r="AB906" s="947" t="e">
        <f>VLOOKUP(Y906,R_DD!$A$1:$L$2131,5,0)</f>
        <v>#N/A</v>
      </c>
      <c r="AC906" s="947" t="e">
        <f>VLOOKUP(X906,R_DD!$B$6:$E$2112,4,0)</f>
        <v>#N/A</v>
      </c>
    </row>
    <row r="907" spans="22:29" ht="20.100000000000001" customHeight="1">
      <c r="V907" s="944" t="e">
        <f>VLOOKUP(U907,R_DD!$B$6:$E$2112,3,0)</f>
        <v>#N/A</v>
      </c>
      <c r="W907" s="943" t="e">
        <f>VLOOKUP(U907,R_DD!$B$6:$E$2112,4,0)</f>
        <v>#N/A</v>
      </c>
      <c r="Z907" s="946" t="e">
        <f>VLOOKUP(X907,R_DD!$B$6:$E$2112,3,0)</f>
        <v>#N/A</v>
      </c>
      <c r="AA907" s="946" t="e">
        <f>VLOOKUP(Y907,R_DD!$A$1:$L$2131,4,0)</f>
        <v>#N/A</v>
      </c>
      <c r="AB907" s="947" t="e">
        <f>VLOOKUP(Y907,R_DD!$A$1:$L$2131,5,0)</f>
        <v>#N/A</v>
      </c>
      <c r="AC907" s="947" t="e">
        <f>VLOOKUP(X907,R_DD!$B$6:$E$2112,4,0)</f>
        <v>#N/A</v>
      </c>
    </row>
    <row r="908" spans="22:29" ht="20.100000000000001" customHeight="1">
      <c r="V908" s="944" t="e">
        <f>VLOOKUP(U908,R_DD!$B$6:$E$2112,3,0)</f>
        <v>#N/A</v>
      </c>
      <c r="W908" s="943" t="e">
        <f>VLOOKUP(U908,R_DD!$B$6:$E$2112,4,0)</f>
        <v>#N/A</v>
      </c>
      <c r="Z908" s="946" t="e">
        <f>VLOOKUP(X908,R_DD!$B$6:$E$2112,3,0)</f>
        <v>#N/A</v>
      </c>
      <c r="AA908" s="946" t="e">
        <f>VLOOKUP(Y908,R_DD!$A$1:$L$2131,4,0)</f>
        <v>#N/A</v>
      </c>
      <c r="AB908" s="947" t="e">
        <f>VLOOKUP(Y908,R_DD!$A$1:$L$2131,5,0)</f>
        <v>#N/A</v>
      </c>
      <c r="AC908" s="947" t="e">
        <f>VLOOKUP(X908,R_DD!$B$6:$E$2112,4,0)</f>
        <v>#N/A</v>
      </c>
    </row>
    <row r="909" spans="22:29" ht="20.100000000000001" customHeight="1">
      <c r="V909" s="944" t="e">
        <f>VLOOKUP(U909,R_DD!$B$6:$E$2112,3,0)</f>
        <v>#N/A</v>
      </c>
      <c r="W909" s="943" t="e">
        <f>VLOOKUP(U909,R_DD!$B$6:$E$2112,4,0)</f>
        <v>#N/A</v>
      </c>
      <c r="Z909" s="946" t="e">
        <f>VLOOKUP(X909,R_DD!$B$6:$E$2112,3,0)</f>
        <v>#N/A</v>
      </c>
      <c r="AA909" s="946" t="e">
        <f>VLOOKUP(Y909,R_DD!$A$1:$L$2131,4,0)</f>
        <v>#N/A</v>
      </c>
      <c r="AB909" s="947" t="e">
        <f>VLOOKUP(Y909,R_DD!$A$1:$L$2131,5,0)</f>
        <v>#N/A</v>
      </c>
      <c r="AC909" s="947" t="e">
        <f>VLOOKUP(X909,R_DD!$B$6:$E$2112,4,0)</f>
        <v>#N/A</v>
      </c>
    </row>
    <row r="910" spans="22:29" ht="20.100000000000001" customHeight="1">
      <c r="V910" s="944" t="e">
        <f>VLOOKUP(U910,R_DD!$B$6:$E$2112,3,0)</f>
        <v>#N/A</v>
      </c>
      <c r="W910" s="943" t="e">
        <f>VLOOKUP(U910,R_DD!$B$6:$E$2112,4,0)</f>
        <v>#N/A</v>
      </c>
      <c r="Z910" s="946" t="e">
        <f>VLOOKUP(X910,R_DD!$B$6:$E$2112,3,0)</f>
        <v>#N/A</v>
      </c>
      <c r="AA910" s="946" t="e">
        <f>VLOOKUP(Y910,R_DD!$A$1:$L$2131,4,0)</f>
        <v>#N/A</v>
      </c>
      <c r="AB910" s="947" t="e">
        <f>VLOOKUP(Y910,R_DD!$A$1:$L$2131,5,0)</f>
        <v>#N/A</v>
      </c>
      <c r="AC910" s="947" t="e">
        <f>VLOOKUP(X910,R_DD!$B$6:$E$2112,4,0)</f>
        <v>#N/A</v>
      </c>
    </row>
    <row r="911" spans="22:29" ht="20.100000000000001" customHeight="1">
      <c r="V911" s="944" t="e">
        <f>VLOOKUP(U911,R_DD!$B$6:$E$2112,3,0)</f>
        <v>#N/A</v>
      </c>
      <c r="W911" s="943" t="e">
        <f>VLOOKUP(U911,R_DD!$B$6:$E$2112,4,0)</f>
        <v>#N/A</v>
      </c>
      <c r="Z911" s="946" t="e">
        <f>VLOOKUP(X911,R_DD!$B$6:$E$2112,3,0)</f>
        <v>#N/A</v>
      </c>
      <c r="AA911" s="946" t="e">
        <f>VLOOKUP(Y911,R_DD!$A$1:$L$2131,4,0)</f>
        <v>#N/A</v>
      </c>
      <c r="AB911" s="947" t="e">
        <f>VLOOKUP(Y911,R_DD!$A$1:$L$2131,5,0)</f>
        <v>#N/A</v>
      </c>
      <c r="AC911" s="947" t="e">
        <f>VLOOKUP(X911,R_DD!$B$6:$E$2112,4,0)</f>
        <v>#N/A</v>
      </c>
    </row>
    <row r="912" spans="22:29" ht="20.100000000000001" customHeight="1">
      <c r="V912" s="944" t="e">
        <f>VLOOKUP(U912,R_DD!$B$6:$E$2112,3,0)</f>
        <v>#N/A</v>
      </c>
      <c r="W912" s="943" t="e">
        <f>VLOOKUP(U912,R_DD!$B$6:$E$2112,4,0)</f>
        <v>#N/A</v>
      </c>
      <c r="Z912" s="946" t="e">
        <f>VLOOKUP(X912,R_DD!$B$6:$E$2112,3,0)</f>
        <v>#N/A</v>
      </c>
      <c r="AA912" s="946" t="e">
        <f>VLOOKUP(Y912,R_DD!$A$1:$L$2131,4,0)</f>
        <v>#N/A</v>
      </c>
      <c r="AB912" s="947" t="e">
        <f>VLOOKUP(Y912,R_DD!$A$1:$L$2131,5,0)</f>
        <v>#N/A</v>
      </c>
      <c r="AC912" s="947" t="e">
        <f>VLOOKUP(X912,R_DD!$B$6:$E$2112,4,0)</f>
        <v>#N/A</v>
      </c>
    </row>
    <row r="913" spans="22:29" ht="20.100000000000001" customHeight="1">
      <c r="V913" s="944" t="e">
        <f>VLOOKUP(U913,R_DD!$B$6:$E$2112,3,0)</f>
        <v>#N/A</v>
      </c>
      <c r="W913" s="943" t="e">
        <f>VLOOKUP(U913,R_DD!$B$6:$E$2112,4,0)</f>
        <v>#N/A</v>
      </c>
      <c r="Z913" s="946" t="e">
        <f>VLOOKUP(X913,R_DD!$B$6:$E$2112,3,0)</f>
        <v>#N/A</v>
      </c>
      <c r="AA913" s="946" t="e">
        <f>VLOOKUP(Y913,R_DD!$A$1:$L$2131,4,0)</f>
        <v>#N/A</v>
      </c>
      <c r="AB913" s="947" t="e">
        <f>VLOOKUP(Y913,R_DD!$A$1:$L$2131,5,0)</f>
        <v>#N/A</v>
      </c>
      <c r="AC913" s="947" t="e">
        <f>VLOOKUP(X913,R_DD!$B$6:$E$2112,4,0)</f>
        <v>#N/A</v>
      </c>
    </row>
    <row r="914" spans="22:29" ht="20.100000000000001" customHeight="1">
      <c r="V914" s="944" t="e">
        <f>VLOOKUP(U914,R_DD!$B$6:$E$2112,3,0)</f>
        <v>#N/A</v>
      </c>
      <c r="W914" s="943" t="e">
        <f>VLOOKUP(U914,R_DD!$B$6:$E$2112,4,0)</f>
        <v>#N/A</v>
      </c>
      <c r="Z914" s="946" t="e">
        <f>VLOOKUP(X914,R_DD!$B$6:$E$2112,3,0)</f>
        <v>#N/A</v>
      </c>
      <c r="AA914" s="946" t="e">
        <f>VLOOKUP(Y914,R_DD!$A$1:$L$2131,4,0)</f>
        <v>#N/A</v>
      </c>
      <c r="AB914" s="947" t="e">
        <f>VLOOKUP(Y914,R_DD!$A$1:$L$2131,5,0)</f>
        <v>#N/A</v>
      </c>
      <c r="AC914" s="947" t="e">
        <f>VLOOKUP(X914,R_DD!$B$6:$E$2112,4,0)</f>
        <v>#N/A</v>
      </c>
    </row>
    <row r="915" spans="22:29" ht="20.100000000000001" customHeight="1">
      <c r="V915" s="944" t="e">
        <f>VLOOKUP(U915,R_DD!$B$6:$E$2112,3,0)</f>
        <v>#N/A</v>
      </c>
      <c r="W915" s="943" t="e">
        <f>VLOOKUP(U915,R_DD!$B$6:$E$2112,4,0)</f>
        <v>#N/A</v>
      </c>
      <c r="Z915" s="946" t="e">
        <f>VLOOKUP(X915,R_DD!$B$6:$E$2112,3,0)</f>
        <v>#N/A</v>
      </c>
      <c r="AA915" s="946" t="e">
        <f>VLOOKUP(Y915,R_DD!$A$1:$L$2131,4,0)</f>
        <v>#N/A</v>
      </c>
      <c r="AB915" s="947" t="e">
        <f>VLOOKUP(Y915,R_DD!$A$1:$L$2131,5,0)</f>
        <v>#N/A</v>
      </c>
      <c r="AC915" s="947" t="e">
        <f>VLOOKUP(X915,R_DD!$B$6:$E$2112,4,0)</f>
        <v>#N/A</v>
      </c>
    </row>
    <row r="916" spans="22:29" ht="20.100000000000001" customHeight="1">
      <c r="V916" s="944" t="e">
        <f>VLOOKUP(U916,R_DD!$B$6:$E$2112,3,0)</f>
        <v>#N/A</v>
      </c>
      <c r="W916" s="943" t="e">
        <f>VLOOKUP(U916,R_DD!$B$6:$E$2112,4,0)</f>
        <v>#N/A</v>
      </c>
      <c r="Z916" s="946" t="e">
        <f>VLOOKUP(X916,R_DD!$B$6:$E$2112,3,0)</f>
        <v>#N/A</v>
      </c>
      <c r="AA916" s="946" t="e">
        <f>VLOOKUP(Y916,R_DD!$A$1:$L$2131,4,0)</f>
        <v>#N/A</v>
      </c>
      <c r="AB916" s="947" t="e">
        <f>VLOOKUP(Y916,R_DD!$A$1:$L$2131,5,0)</f>
        <v>#N/A</v>
      </c>
      <c r="AC916" s="947" t="e">
        <f>VLOOKUP(X916,R_DD!$B$6:$E$2112,4,0)</f>
        <v>#N/A</v>
      </c>
    </row>
    <row r="917" spans="22:29" ht="20.100000000000001" customHeight="1">
      <c r="V917" s="944" t="e">
        <f>VLOOKUP(U917,R_DD!$B$6:$E$2112,3,0)</f>
        <v>#N/A</v>
      </c>
      <c r="W917" s="943" t="e">
        <f>VLOOKUP(U917,R_DD!$B$6:$E$2112,4,0)</f>
        <v>#N/A</v>
      </c>
      <c r="Z917" s="946" t="e">
        <f>VLOOKUP(X917,R_DD!$B$6:$E$2112,3,0)</f>
        <v>#N/A</v>
      </c>
      <c r="AA917" s="946" t="e">
        <f>VLOOKUP(Y917,R_DD!$A$1:$L$2131,4,0)</f>
        <v>#N/A</v>
      </c>
      <c r="AB917" s="947" t="e">
        <f>VLOOKUP(Y917,R_DD!$A$1:$L$2131,5,0)</f>
        <v>#N/A</v>
      </c>
      <c r="AC917" s="947" t="e">
        <f>VLOOKUP(X917,R_DD!$B$6:$E$2112,4,0)</f>
        <v>#N/A</v>
      </c>
    </row>
    <row r="918" spans="22:29" ht="20.100000000000001" customHeight="1">
      <c r="V918" s="944" t="e">
        <f>VLOOKUP(U918,R_DD!$B$6:$E$2112,3,0)</f>
        <v>#N/A</v>
      </c>
      <c r="W918" s="943" t="e">
        <f>VLOOKUP(U918,R_DD!$B$6:$E$2112,4,0)</f>
        <v>#N/A</v>
      </c>
      <c r="Z918" s="946" t="e">
        <f>VLOOKUP(X918,R_DD!$B$6:$E$2112,3,0)</f>
        <v>#N/A</v>
      </c>
      <c r="AA918" s="946" t="e">
        <f>VLOOKUP(Y918,R_DD!$A$1:$L$2131,4,0)</f>
        <v>#N/A</v>
      </c>
      <c r="AB918" s="947" t="e">
        <f>VLOOKUP(Y918,R_DD!$A$1:$L$2131,5,0)</f>
        <v>#N/A</v>
      </c>
      <c r="AC918" s="947" t="e">
        <f>VLOOKUP(X918,R_DD!$B$6:$E$2112,4,0)</f>
        <v>#N/A</v>
      </c>
    </row>
    <row r="919" spans="22:29" ht="20.100000000000001" customHeight="1">
      <c r="V919" s="944" t="e">
        <f>VLOOKUP(U919,R_DD!$B$6:$E$2112,3,0)</f>
        <v>#N/A</v>
      </c>
      <c r="W919" s="943" t="e">
        <f>VLOOKUP(U919,R_DD!$B$6:$E$2112,4,0)</f>
        <v>#N/A</v>
      </c>
      <c r="Z919" s="946" t="e">
        <f>VLOOKUP(X919,R_DD!$B$6:$E$2112,3,0)</f>
        <v>#N/A</v>
      </c>
      <c r="AA919" s="946" t="e">
        <f>VLOOKUP(Y919,R_DD!$A$1:$L$2131,4,0)</f>
        <v>#N/A</v>
      </c>
      <c r="AB919" s="947" t="e">
        <f>VLOOKUP(Y919,R_DD!$A$1:$L$2131,5,0)</f>
        <v>#N/A</v>
      </c>
      <c r="AC919" s="947" t="e">
        <f>VLOOKUP(X919,R_DD!$B$6:$E$2112,4,0)</f>
        <v>#N/A</v>
      </c>
    </row>
    <row r="920" spans="22:29" ht="20.100000000000001" customHeight="1">
      <c r="V920" s="944" t="e">
        <f>VLOOKUP(U920,R_DD!$B$6:$E$2112,3,0)</f>
        <v>#N/A</v>
      </c>
      <c r="W920" s="943" t="e">
        <f>VLOOKUP(U920,R_DD!$B$6:$E$2112,4,0)</f>
        <v>#N/A</v>
      </c>
      <c r="Z920" s="946" t="e">
        <f>VLOOKUP(X920,R_DD!$B$6:$E$2112,3,0)</f>
        <v>#N/A</v>
      </c>
      <c r="AA920" s="946" t="e">
        <f>VLOOKUP(Y920,R_DD!$A$1:$L$2131,4,0)</f>
        <v>#N/A</v>
      </c>
      <c r="AB920" s="947" t="e">
        <f>VLOOKUP(Y920,R_DD!$A$1:$L$2131,5,0)</f>
        <v>#N/A</v>
      </c>
      <c r="AC920" s="947" t="e">
        <f>VLOOKUP(X920,R_DD!$B$6:$E$2112,4,0)</f>
        <v>#N/A</v>
      </c>
    </row>
    <row r="921" spans="22:29" ht="20.100000000000001" customHeight="1">
      <c r="V921" s="944" t="e">
        <f>VLOOKUP(U921,R_DD!$B$6:$E$2112,3,0)</f>
        <v>#N/A</v>
      </c>
      <c r="W921" s="943" t="e">
        <f>VLOOKUP(U921,R_DD!$B$6:$E$2112,4,0)</f>
        <v>#N/A</v>
      </c>
      <c r="Z921" s="946" t="e">
        <f>VLOOKUP(X921,R_DD!$B$6:$E$2112,3,0)</f>
        <v>#N/A</v>
      </c>
      <c r="AA921" s="946" t="e">
        <f>VLOOKUP(Y921,R_DD!$A$1:$L$2131,4,0)</f>
        <v>#N/A</v>
      </c>
      <c r="AB921" s="947" t="e">
        <f>VLOOKUP(Y921,R_DD!$A$1:$L$2131,5,0)</f>
        <v>#N/A</v>
      </c>
      <c r="AC921" s="947" t="e">
        <f>VLOOKUP(X921,R_DD!$B$6:$E$2112,4,0)</f>
        <v>#N/A</v>
      </c>
    </row>
    <row r="922" spans="22:29" ht="20.100000000000001" customHeight="1">
      <c r="V922" s="944" t="e">
        <f>VLOOKUP(U922,R_DD!$B$6:$E$2112,3,0)</f>
        <v>#N/A</v>
      </c>
      <c r="W922" s="943" t="e">
        <f>VLOOKUP(U922,R_DD!$B$6:$E$2112,4,0)</f>
        <v>#N/A</v>
      </c>
      <c r="Z922" s="946" t="e">
        <f>VLOOKUP(X922,R_DD!$B$6:$E$2112,3,0)</f>
        <v>#N/A</v>
      </c>
      <c r="AA922" s="946" t="e">
        <f>VLOOKUP(Y922,R_DD!$A$1:$L$2131,4,0)</f>
        <v>#N/A</v>
      </c>
      <c r="AB922" s="947" t="e">
        <f>VLOOKUP(Y922,R_DD!$A$1:$L$2131,5,0)</f>
        <v>#N/A</v>
      </c>
      <c r="AC922" s="947" t="e">
        <f>VLOOKUP(X922,R_DD!$B$6:$E$2112,4,0)</f>
        <v>#N/A</v>
      </c>
    </row>
    <row r="923" spans="22:29" ht="20.100000000000001" customHeight="1">
      <c r="V923" s="944" t="e">
        <f>VLOOKUP(U923,R_DD!$B$6:$E$2112,3,0)</f>
        <v>#N/A</v>
      </c>
      <c r="W923" s="943" t="e">
        <f>VLOOKUP(U923,R_DD!$B$6:$E$2112,4,0)</f>
        <v>#N/A</v>
      </c>
      <c r="Z923" s="946" t="e">
        <f>VLOOKUP(X923,R_DD!$B$6:$E$2112,3,0)</f>
        <v>#N/A</v>
      </c>
      <c r="AA923" s="946" t="e">
        <f>VLOOKUP(Y923,R_DD!$A$1:$L$2131,4,0)</f>
        <v>#N/A</v>
      </c>
      <c r="AB923" s="947" t="e">
        <f>VLOOKUP(Y923,R_DD!$A$1:$L$2131,5,0)</f>
        <v>#N/A</v>
      </c>
      <c r="AC923" s="947" t="e">
        <f>VLOOKUP(X923,R_DD!$B$6:$E$2112,4,0)</f>
        <v>#N/A</v>
      </c>
    </row>
    <row r="924" spans="22:29" ht="20.100000000000001" customHeight="1">
      <c r="V924" s="944" t="e">
        <f>VLOOKUP(U924,R_DD!$B$6:$E$2112,3,0)</f>
        <v>#N/A</v>
      </c>
      <c r="W924" s="943" t="e">
        <f>VLOOKUP(U924,R_DD!$B$6:$E$2112,4,0)</f>
        <v>#N/A</v>
      </c>
      <c r="Z924" s="946" t="e">
        <f>VLOOKUP(X924,R_DD!$B$6:$E$2112,3,0)</f>
        <v>#N/A</v>
      </c>
      <c r="AA924" s="946" t="e">
        <f>VLOOKUP(Y924,R_DD!$A$1:$L$2131,4,0)</f>
        <v>#N/A</v>
      </c>
      <c r="AB924" s="947" t="e">
        <f>VLOOKUP(Y924,R_DD!$A$1:$L$2131,5,0)</f>
        <v>#N/A</v>
      </c>
      <c r="AC924" s="947" t="e">
        <f>VLOOKUP(X924,R_DD!$B$6:$E$2112,4,0)</f>
        <v>#N/A</v>
      </c>
    </row>
    <row r="925" spans="22:29" ht="20.100000000000001" customHeight="1">
      <c r="V925" s="944" t="e">
        <f>VLOOKUP(U925,R_DD!$B$6:$E$2112,3,0)</f>
        <v>#N/A</v>
      </c>
      <c r="W925" s="943" t="e">
        <f>VLOOKUP(U925,R_DD!$B$6:$E$2112,4,0)</f>
        <v>#N/A</v>
      </c>
      <c r="Z925" s="946" t="e">
        <f>VLOOKUP(X925,R_DD!$B$6:$E$2112,3,0)</f>
        <v>#N/A</v>
      </c>
      <c r="AA925" s="946" t="e">
        <f>VLOOKUP(Y925,R_DD!$A$1:$L$2131,4,0)</f>
        <v>#N/A</v>
      </c>
      <c r="AB925" s="947" t="e">
        <f>VLOOKUP(Y925,R_DD!$A$1:$L$2131,5,0)</f>
        <v>#N/A</v>
      </c>
      <c r="AC925" s="947" t="e">
        <f>VLOOKUP(X925,R_DD!$B$6:$E$2112,4,0)</f>
        <v>#N/A</v>
      </c>
    </row>
    <row r="926" spans="22:29" ht="20.100000000000001" customHeight="1">
      <c r="V926" s="944" t="e">
        <f>VLOOKUP(U926,R_DD!$B$6:$E$2112,3,0)</f>
        <v>#N/A</v>
      </c>
      <c r="W926" s="943" t="e">
        <f>VLOOKUP(U926,R_DD!$B$6:$E$2112,4,0)</f>
        <v>#N/A</v>
      </c>
      <c r="Z926" s="946" t="e">
        <f>VLOOKUP(X926,R_DD!$B$6:$E$2112,3,0)</f>
        <v>#N/A</v>
      </c>
      <c r="AA926" s="946" t="e">
        <f>VLOOKUP(Y926,R_DD!$A$1:$L$2131,4,0)</f>
        <v>#N/A</v>
      </c>
      <c r="AB926" s="947" t="e">
        <f>VLOOKUP(Y926,R_DD!$A$1:$L$2131,5,0)</f>
        <v>#N/A</v>
      </c>
      <c r="AC926" s="947" t="e">
        <f>VLOOKUP(X926,R_DD!$B$6:$E$2112,4,0)</f>
        <v>#N/A</v>
      </c>
    </row>
    <row r="927" spans="22:29" ht="20.100000000000001" customHeight="1">
      <c r="V927" s="944" t="e">
        <f>VLOOKUP(U927,R_DD!$B$6:$E$2112,3,0)</f>
        <v>#N/A</v>
      </c>
      <c r="W927" s="943" t="e">
        <f>VLOOKUP(U927,R_DD!$B$6:$E$2112,4,0)</f>
        <v>#N/A</v>
      </c>
      <c r="Z927" s="946" t="e">
        <f>VLOOKUP(X927,R_DD!$B$6:$E$2112,3,0)</f>
        <v>#N/A</v>
      </c>
      <c r="AA927" s="946" t="e">
        <f>VLOOKUP(Y927,R_DD!$A$1:$L$2131,4,0)</f>
        <v>#N/A</v>
      </c>
      <c r="AB927" s="947" t="e">
        <f>VLOOKUP(Y927,R_DD!$A$1:$L$2131,5,0)</f>
        <v>#N/A</v>
      </c>
      <c r="AC927" s="947" t="e">
        <f>VLOOKUP(X927,R_DD!$B$6:$E$2112,4,0)</f>
        <v>#N/A</v>
      </c>
    </row>
    <row r="928" spans="22:29" ht="20.100000000000001" customHeight="1">
      <c r="V928" s="944" t="e">
        <f>VLOOKUP(U928,R_DD!$B$6:$E$2112,3,0)</f>
        <v>#N/A</v>
      </c>
      <c r="W928" s="943" t="e">
        <f>VLOOKUP(U928,R_DD!$B$6:$E$2112,4,0)</f>
        <v>#N/A</v>
      </c>
      <c r="Z928" s="946" t="e">
        <f>VLOOKUP(X928,R_DD!$B$6:$E$2112,3,0)</f>
        <v>#N/A</v>
      </c>
      <c r="AA928" s="946" t="e">
        <f>VLOOKUP(Y928,R_DD!$A$1:$L$2131,4,0)</f>
        <v>#N/A</v>
      </c>
      <c r="AB928" s="947" t="e">
        <f>VLOOKUP(Y928,R_DD!$A$1:$L$2131,5,0)</f>
        <v>#N/A</v>
      </c>
      <c r="AC928" s="947" t="e">
        <f>VLOOKUP(X928,R_DD!$B$6:$E$2112,4,0)</f>
        <v>#N/A</v>
      </c>
    </row>
    <row r="929" spans="22:29" ht="20.100000000000001" customHeight="1">
      <c r="V929" s="944" t="e">
        <f>VLOOKUP(U929,R_DD!$B$6:$E$2112,3,0)</f>
        <v>#N/A</v>
      </c>
      <c r="W929" s="943" t="e">
        <f>VLOOKUP(U929,R_DD!$B$6:$E$2112,4,0)</f>
        <v>#N/A</v>
      </c>
      <c r="Z929" s="946" t="e">
        <f>VLOOKUP(X929,R_DD!$B$6:$E$2112,3,0)</f>
        <v>#N/A</v>
      </c>
      <c r="AA929" s="946" t="e">
        <f>VLOOKUP(Y929,R_DD!$A$1:$L$2131,4,0)</f>
        <v>#N/A</v>
      </c>
      <c r="AB929" s="947" t="e">
        <f>VLOOKUP(Y929,R_DD!$A$1:$L$2131,5,0)</f>
        <v>#N/A</v>
      </c>
      <c r="AC929" s="947" t="e">
        <f>VLOOKUP(X929,R_DD!$B$6:$E$2112,4,0)</f>
        <v>#N/A</v>
      </c>
    </row>
    <row r="930" spans="22:29" ht="20.100000000000001" customHeight="1">
      <c r="V930" s="944" t="e">
        <f>VLOOKUP(U930,R_DD!$B$6:$E$2112,3,0)</f>
        <v>#N/A</v>
      </c>
      <c r="W930" s="943" t="e">
        <f>VLOOKUP(U930,R_DD!$B$6:$E$2112,4,0)</f>
        <v>#N/A</v>
      </c>
      <c r="Z930" s="946" t="e">
        <f>VLOOKUP(X930,R_DD!$B$6:$E$2112,3,0)</f>
        <v>#N/A</v>
      </c>
      <c r="AA930" s="946" t="e">
        <f>VLOOKUP(Y930,R_DD!$A$1:$L$2131,4,0)</f>
        <v>#N/A</v>
      </c>
      <c r="AB930" s="947" t="e">
        <f>VLOOKUP(Y930,R_DD!$A$1:$L$2131,5,0)</f>
        <v>#N/A</v>
      </c>
      <c r="AC930" s="947" t="e">
        <f>VLOOKUP(X930,R_DD!$B$6:$E$2112,4,0)</f>
        <v>#N/A</v>
      </c>
    </row>
    <row r="931" spans="22:29" ht="20.100000000000001" customHeight="1">
      <c r="V931" s="944" t="e">
        <f>VLOOKUP(U931,R_DD!$B$6:$E$2112,3,0)</f>
        <v>#N/A</v>
      </c>
      <c r="W931" s="943" t="e">
        <f>VLOOKUP(U931,R_DD!$B$6:$E$2112,4,0)</f>
        <v>#N/A</v>
      </c>
      <c r="Z931" s="946" t="e">
        <f>VLOOKUP(X931,R_DD!$B$6:$E$2112,3,0)</f>
        <v>#N/A</v>
      </c>
      <c r="AA931" s="946" t="e">
        <f>VLOOKUP(Y931,R_DD!$A$1:$L$2131,4,0)</f>
        <v>#N/A</v>
      </c>
      <c r="AB931" s="947" t="e">
        <f>VLOOKUP(Y931,R_DD!$A$1:$L$2131,5,0)</f>
        <v>#N/A</v>
      </c>
      <c r="AC931" s="947" t="e">
        <f>VLOOKUP(X931,R_DD!$B$6:$E$2112,4,0)</f>
        <v>#N/A</v>
      </c>
    </row>
    <row r="932" spans="22:29" ht="20.100000000000001" customHeight="1">
      <c r="V932" s="944" t="e">
        <f>VLOOKUP(U932,R_DD!$B$6:$E$2112,3,0)</f>
        <v>#N/A</v>
      </c>
      <c r="W932" s="943" t="e">
        <f>VLOOKUP(U932,R_DD!$B$6:$E$2112,4,0)</f>
        <v>#N/A</v>
      </c>
      <c r="Z932" s="946" t="e">
        <f>VLOOKUP(X932,R_DD!$B$6:$E$2112,3,0)</f>
        <v>#N/A</v>
      </c>
      <c r="AA932" s="946" t="e">
        <f>VLOOKUP(Y932,R_DD!$A$1:$L$2131,4,0)</f>
        <v>#N/A</v>
      </c>
      <c r="AB932" s="947" t="e">
        <f>VLOOKUP(Y932,R_DD!$A$1:$L$2131,5,0)</f>
        <v>#N/A</v>
      </c>
      <c r="AC932" s="947" t="e">
        <f>VLOOKUP(X932,R_DD!$B$6:$E$2112,4,0)</f>
        <v>#N/A</v>
      </c>
    </row>
    <row r="933" spans="22:29" ht="20.100000000000001" customHeight="1">
      <c r="V933" s="944" t="e">
        <f>VLOOKUP(U933,R_DD!$B$6:$E$2112,3,0)</f>
        <v>#N/A</v>
      </c>
      <c r="W933" s="943" t="e">
        <f>VLOOKUP(U933,R_DD!$B$6:$E$2112,4,0)</f>
        <v>#N/A</v>
      </c>
      <c r="Z933" s="946" t="e">
        <f>VLOOKUP(X933,R_DD!$B$6:$E$2112,3,0)</f>
        <v>#N/A</v>
      </c>
      <c r="AA933" s="946" t="e">
        <f>VLOOKUP(Y933,R_DD!$A$1:$L$2131,4,0)</f>
        <v>#N/A</v>
      </c>
      <c r="AB933" s="947" t="e">
        <f>VLOOKUP(Y933,R_DD!$A$1:$L$2131,5,0)</f>
        <v>#N/A</v>
      </c>
      <c r="AC933" s="947" t="e">
        <f>VLOOKUP(X933,R_DD!$B$6:$E$2112,4,0)</f>
        <v>#N/A</v>
      </c>
    </row>
    <row r="934" spans="22:29" ht="20.100000000000001" customHeight="1">
      <c r="V934" s="944" t="e">
        <f>VLOOKUP(U934,R_DD!$B$6:$E$2112,3,0)</f>
        <v>#N/A</v>
      </c>
      <c r="W934" s="943" t="e">
        <f>VLOOKUP(U934,R_DD!$B$6:$E$2112,4,0)</f>
        <v>#N/A</v>
      </c>
      <c r="Z934" s="946" t="e">
        <f>VLOOKUP(X934,R_DD!$B$6:$E$2112,3,0)</f>
        <v>#N/A</v>
      </c>
      <c r="AA934" s="946" t="e">
        <f>VLOOKUP(Y934,R_DD!$A$1:$L$2131,4,0)</f>
        <v>#N/A</v>
      </c>
      <c r="AB934" s="947" t="e">
        <f>VLOOKUP(Y934,R_DD!$A$1:$L$2131,5,0)</f>
        <v>#N/A</v>
      </c>
      <c r="AC934" s="947" t="e">
        <f>VLOOKUP(X934,R_DD!$B$6:$E$2112,4,0)</f>
        <v>#N/A</v>
      </c>
    </row>
    <row r="935" spans="22:29" ht="20.100000000000001" customHeight="1">
      <c r="V935" s="944" t="e">
        <f>VLOOKUP(U935,R_DD!$B$6:$E$2112,3,0)</f>
        <v>#N/A</v>
      </c>
      <c r="W935" s="943" t="e">
        <f>VLOOKUP(U935,R_DD!$B$6:$E$2112,4,0)</f>
        <v>#N/A</v>
      </c>
      <c r="Z935" s="946" t="e">
        <f>VLOOKUP(X935,R_DD!$B$6:$E$2112,3,0)</f>
        <v>#N/A</v>
      </c>
      <c r="AA935" s="946" t="e">
        <f>VLOOKUP(Y935,R_DD!$A$1:$L$2131,4,0)</f>
        <v>#N/A</v>
      </c>
      <c r="AB935" s="947" t="e">
        <f>VLOOKUP(Y935,R_DD!$A$1:$L$2131,5,0)</f>
        <v>#N/A</v>
      </c>
      <c r="AC935" s="947" t="e">
        <f>VLOOKUP(X935,R_DD!$B$6:$E$2112,4,0)</f>
        <v>#N/A</v>
      </c>
    </row>
    <row r="936" spans="22:29" ht="20.100000000000001" customHeight="1">
      <c r="V936" s="944" t="e">
        <f>VLOOKUP(U936,R_DD!$B$6:$E$2112,3,0)</f>
        <v>#N/A</v>
      </c>
      <c r="W936" s="943" t="e">
        <f>VLOOKUP(U936,R_DD!$B$6:$E$2112,4,0)</f>
        <v>#N/A</v>
      </c>
      <c r="Z936" s="946" t="e">
        <f>VLOOKUP(X936,R_DD!$B$6:$E$2112,3,0)</f>
        <v>#N/A</v>
      </c>
      <c r="AA936" s="946" t="e">
        <f>VLOOKUP(Y936,R_DD!$A$1:$L$2131,4,0)</f>
        <v>#N/A</v>
      </c>
      <c r="AB936" s="947" t="e">
        <f>VLOOKUP(Y936,R_DD!$A$1:$L$2131,5,0)</f>
        <v>#N/A</v>
      </c>
      <c r="AC936" s="947" t="e">
        <f>VLOOKUP(X936,R_DD!$B$6:$E$2112,4,0)</f>
        <v>#N/A</v>
      </c>
    </row>
    <row r="937" spans="22:29" ht="20.100000000000001" customHeight="1">
      <c r="V937" s="944" t="e">
        <f>VLOOKUP(U937,R_DD!$B$6:$E$2112,3,0)</f>
        <v>#N/A</v>
      </c>
      <c r="W937" s="943" t="e">
        <f>VLOOKUP(U937,R_DD!$B$6:$E$2112,4,0)</f>
        <v>#N/A</v>
      </c>
      <c r="Z937" s="946" t="e">
        <f>VLOOKUP(X937,R_DD!$B$6:$E$2112,3,0)</f>
        <v>#N/A</v>
      </c>
      <c r="AA937" s="946" t="e">
        <f>VLOOKUP(Y937,R_DD!$A$1:$L$2131,4,0)</f>
        <v>#N/A</v>
      </c>
      <c r="AB937" s="947" t="e">
        <f>VLOOKUP(Y937,R_DD!$A$1:$L$2131,5,0)</f>
        <v>#N/A</v>
      </c>
      <c r="AC937" s="947" t="e">
        <f>VLOOKUP(X937,R_DD!$B$6:$E$2112,4,0)</f>
        <v>#N/A</v>
      </c>
    </row>
    <row r="938" spans="22:29" ht="20.100000000000001" customHeight="1">
      <c r="V938" s="944" t="e">
        <f>VLOOKUP(U938,R_DD!$B$6:$E$2112,3,0)</f>
        <v>#N/A</v>
      </c>
      <c r="W938" s="943" t="e">
        <f>VLOOKUP(U938,R_DD!$B$6:$E$2112,4,0)</f>
        <v>#N/A</v>
      </c>
      <c r="Z938" s="946" t="e">
        <f>VLOOKUP(X938,R_DD!$B$6:$E$2112,3,0)</f>
        <v>#N/A</v>
      </c>
      <c r="AA938" s="946" t="e">
        <f>VLOOKUP(Y938,R_DD!$A$1:$L$2131,4,0)</f>
        <v>#N/A</v>
      </c>
      <c r="AB938" s="947" t="e">
        <f>VLOOKUP(Y938,R_DD!$A$1:$L$2131,5,0)</f>
        <v>#N/A</v>
      </c>
      <c r="AC938" s="947" t="e">
        <f>VLOOKUP(X938,R_DD!$B$6:$E$2112,4,0)</f>
        <v>#N/A</v>
      </c>
    </row>
    <row r="939" spans="22:29" ht="20.100000000000001" customHeight="1">
      <c r="V939" s="944" t="e">
        <f>VLOOKUP(U939,R_DD!$B$6:$E$2112,3,0)</f>
        <v>#N/A</v>
      </c>
      <c r="W939" s="943" t="e">
        <f>VLOOKUP(U939,R_DD!$B$6:$E$2112,4,0)</f>
        <v>#N/A</v>
      </c>
      <c r="Z939" s="946" t="e">
        <f>VLOOKUP(X939,R_DD!$B$6:$E$2112,3,0)</f>
        <v>#N/A</v>
      </c>
      <c r="AA939" s="946" t="e">
        <f>VLOOKUP(Y939,R_DD!$A$1:$L$2131,4,0)</f>
        <v>#N/A</v>
      </c>
      <c r="AB939" s="947" t="e">
        <f>VLOOKUP(Y939,R_DD!$A$1:$L$2131,5,0)</f>
        <v>#N/A</v>
      </c>
      <c r="AC939" s="947" t="e">
        <f>VLOOKUP(X939,R_DD!$B$6:$E$2112,4,0)</f>
        <v>#N/A</v>
      </c>
    </row>
    <row r="940" spans="22:29" ht="20.100000000000001" customHeight="1">
      <c r="V940" s="944" t="e">
        <f>VLOOKUP(U940,R_DD!$B$6:$E$2112,3,0)</f>
        <v>#N/A</v>
      </c>
      <c r="W940" s="943" t="e">
        <f>VLOOKUP(U940,R_DD!$B$6:$E$2112,4,0)</f>
        <v>#N/A</v>
      </c>
      <c r="Z940" s="946" t="e">
        <f>VLOOKUP(X940,R_DD!$B$6:$E$2112,3,0)</f>
        <v>#N/A</v>
      </c>
      <c r="AA940" s="946" t="e">
        <f>VLOOKUP(Y940,R_DD!$A$1:$L$2131,4,0)</f>
        <v>#N/A</v>
      </c>
      <c r="AB940" s="947" t="e">
        <f>VLOOKUP(Y940,R_DD!$A$1:$L$2131,5,0)</f>
        <v>#N/A</v>
      </c>
      <c r="AC940" s="947" t="e">
        <f>VLOOKUP(X940,R_DD!$B$6:$E$2112,4,0)</f>
        <v>#N/A</v>
      </c>
    </row>
    <row r="941" spans="22:29" ht="20.100000000000001" customHeight="1">
      <c r="V941" s="944" t="e">
        <f>VLOOKUP(U941,R_DD!$B$6:$E$2112,3,0)</f>
        <v>#N/A</v>
      </c>
      <c r="W941" s="943" t="e">
        <f>VLOOKUP(U941,R_DD!$B$6:$E$2112,4,0)</f>
        <v>#N/A</v>
      </c>
      <c r="Z941" s="946" t="e">
        <f>VLOOKUP(X941,R_DD!$B$6:$E$2112,3,0)</f>
        <v>#N/A</v>
      </c>
      <c r="AA941" s="946" t="e">
        <f>VLOOKUP(Y941,R_DD!$A$1:$L$2131,4,0)</f>
        <v>#N/A</v>
      </c>
      <c r="AB941" s="947" t="e">
        <f>VLOOKUP(Y941,R_DD!$A$1:$L$2131,5,0)</f>
        <v>#N/A</v>
      </c>
      <c r="AC941" s="947" t="e">
        <f>VLOOKUP(X941,R_DD!$B$6:$E$2112,4,0)</f>
        <v>#N/A</v>
      </c>
    </row>
    <row r="942" spans="22:29" ht="20.100000000000001" customHeight="1">
      <c r="V942" s="944" t="e">
        <f>VLOOKUP(U942,R_DD!$B$6:$E$2112,3,0)</f>
        <v>#N/A</v>
      </c>
      <c r="W942" s="943" t="e">
        <f>VLOOKUP(U942,R_DD!$B$6:$E$2112,4,0)</f>
        <v>#N/A</v>
      </c>
      <c r="Z942" s="946" t="e">
        <f>VLOOKUP(X942,R_DD!$B$6:$E$2112,3,0)</f>
        <v>#N/A</v>
      </c>
      <c r="AA942" s="946" t="e">
        <f>VLOOKUP(Y942,R_DD!$A$1:$L$2131,4,0)</f>
        <v>#N/A</v>
      </c>
      <c r="AB942" s="947" t="e">
        <f>VLOOKUP(Y942,R_DD!$A$1:$L$2131,5,0)</f>
        <v>#N/A</v>
      </c>
      <c r="AC942" s="947" t="e">
        <f>VLOOKUP(X942,R_DD!$B$6:$E$2112,4,0)</f>
        <v>#N/A</v>
      </c>
    </row>
    <row r="943" spans="22:29" ht="20.100000000000001" customHeight="1">
      <c r="V943" s="944" t="e">
        <f>VLOOKUP(U943,R_DD!$B$6:$E$2112,3,0)</f>
        <v>#N/A</v>
      </c>
      <c r="W943" s="943" t="e">
        <f>VLOOKUP(U943,R_DD!$B$6:$E$2112,4,0)</f>
        <v>#N/A</v>
      </c>
      <c r="Z943" s="946" t="e">
        <f>VLOOKUP(X943,R_DD!$B$6:$E$2112,3,0)</f>
        <v>#N/A</v>
      </c>
      <c r="AA943" s="946" t="e">
        <f>VLOOKUP(Y943,R_DD!$A$1:$L$2131,4,0)</f>
        <v>#N/A</v>
      </c>
      <c r="AB943" s="947" t="e">
        <f>VLOOKUP(Y943,R_DD!$A$1:$L$2131,5,0)</f>
        <v>#N/A</v>
      </c>
      <c r="AC943" s="947" t="e">
        <f>VLOOKUP(X943,R_DD!$B$6:$E$2112,4,0)</f>
        <v>#N/A</v>
      </c>
    </row>
    <row r="944" spans="22:29" ht="20.100000000000001" customHeight="1">
      <c r="V944" s="944" t="e">
        <f>VLOOKUP(U944,R_DD!$B$6:$E$2112,3,0)</f>
        <v>#N/A</v>
      </c>
      <c r="W944" s="943" t="e">
        <f>VLOOKUP(U944,R_DD!$B$6:$E$2112,4,0)</f>
        <v>#N/A</v>
      </c>
      <c r="Z944" s="946" t="e">
        <f>VLOOKUP(X944,R_DD!$B$6:$E$2112,3,0)</f>
        <v>#N/A</v>
      </c>
      <c r="AA944" s="946" t="e">
        <f>VLOOKUP(Y944,R_DD!$A$1:$L$2131,4,0)</f>
        <v>#N/A</v>
      </c>
      <c r="AB944" s="947" t="e">
        <f>VLOOKUP(Y944,R_DD!$A$1:$L$2131,5,0)</f>
        <v>#N/A</v>
      </c>
      <c r="AC944" s="947" t="e">
        <f>VLOOKUP(X944,R_DD!$B$6:$E$2112,4,0)</f>
        <v>#N/A</v>
      </c>
    </row>
    <row r="945" spans="22:29" ht="20.100000000000001" customHeight="1">
      <c r="V945" s="944" t="e">
        <f>VLOOKUP(U945,R_DD!$B$6:$E$2112,3,0)</f>
        <v>#N/A</v>
      </c>
      <c r="W945" s="943" t="e">
        <f>VLOOKUP(U945,R_DD!$B$6:$E$2112,4,0)</f>
        <v>#N/A</v>
      </c>
      <c r="Z945" s="946" t="e">
        <f>VLOOKUP(X945,R_DD!$B$6:$E$2112,3,0)</f>
        <v>#N/A</v>
      </c>
      <c r="AA945" s="946" t="e">
        <f>VLOOKUP(Y945,R_DD!$A$1:$L$2131,4,0)</f>
        <v>#N/A</v>
      </c>
      <c r="AB945" s="947" t="e">
        <f>VLOOKUP(Y945,R_DD!$A$1:$L$2131,5,0)</f>
        <v>#N/A</v>
      </c>
      <c r="AC945" s="947" t="e">
        <f>VLOOKUP(X945,R_DD!$B$6:$E$2112,4,0)</f>
        <v>#N/A</v>
      </c>
    </row>
    <row r="946" spans="22:29" ht="20.100000000000001" customHeight="1">
      <c r="V946" s="944" t="e">
        <f>VLOOKUP(U946,R_DD!$B$6:$E$2112,3,0)</f>
        <v>#N/A</v>
      </c>
      <c r="W946" s="943" t="e">
        <f>VLOOKUP(U946,R_DD!$B$6:$E$2112,4,0)</f>
        <v>#N/A</v>
      </c>
      <c r="Z946" s="946" t="e">
        <f>VLOOKUP(X946,R_DD!$B$6:$E$2112,3,0)</f>
        <v>#N/A</v>
      </c>
      <c r="AA946" s="946" t="e">
        <f>VLOOKUP(Y946,R_DD!$A$1:$L$2131,4,0)</f>
        <v>#N/A</v>
      </c>
      <c r="AB946" s="947" t="e">
        <f>VLOOKUP(Y946,R_DD!$A$1:$L$2131,5,0)</f>
        <v>#N/A</v>
      </c>
      <c r="AC946" s="947" t="e">
        <f>VLOOKUP(X946,R_DD!$B$6:$E$2112,4,0)</f>
        <v>#N/A</v>
      </c>
    </row>
    <row r="947" spans="22:29" ht="20.100000000000001" customHeight="1">
      <c r="V947" s="944" t="e">
        <f>VLOOKUP(U947,R_DD!$B$6:$E$2112,3,0)</f>
        <v>#N/A</v>
      </c>
      <c r="W947" s="943" t="e">
        <f>VLOOKUP(U947,R_DD!$B$6:$E$2112,4,0)</f>
        <v>#N/A</v>
      </c>
      <c r="Z947" s="946" t="e">
        <f>VLOOKUP(X947,R_DD!$B$6:$E$2112,3,0)</f>
        <v>#N/A</v>
      </c>
      <c r="AA947" s="946" t="e">
        <f>VLOOKUP(Y947,R_DD!$A$1:$L$2131,4,0)</f>
        <v>#N/A</v>
      </c>
      <c r="AB947" s="947" t="e">
        <f>VLOOKUP(Y947,R_DD!$A$1:$L$2131,5,0)</f>
        <v>#N/A</v>
      </c>
      <c r="AC947" s="947" t="e">
        <f>VLOOKUP(X947,R_DD!$B$6:$E$2112,4,0)</f>
        <v>#N/A</v>
      </c>
    </row>
    <row r="948" spans="22:29" ht="20.100000000000001" customHeight="1">
      <c r="V948" s="944" t="e">
        <f>VLOOKUP(U948,R_DD!$B$6:$E$2112,3,0)</f>
        <v>#N/A</v>
      </c>
      <c r="W948" s="943" t="e">
        <f>VLOOKUP(U948,R_DD!$B$6:$E$2112,4,0)</f>
        <v>#N/A</v>
      </c>
      <c r="Z948" s="946" t="e">
        <f>VLOOKUP(X948,R_DD!$B$6:$E$2112,3,0)</f>
        <v>#N/A</v>
      </c>
      <c r="AA948" s="946" t="e">
        <f>VLOOKUP(Y948,R_DD!$A$1:$L$2131,4,0)</f>
        <v>#N/A</v>
      </c>
      <c r="AB948" s="947" t="e">
        <f>VLOOKUP(Y948,R_DD!$A$1:$L$2131,5,0)</f>
        <v>#N/A</v>
      </c>
      <c r="AC948" s="947" t="e">
        <f>VLOOKUP(X948,R_DD!$B$6:$E$2112,4,0)</f>
        <v>#N/A</v>
      </c>
    </row>
    <row r="949" spans="22:29" ht="20.100000000000001" customHeight="1">
      <c r="V949" s="944" t="e">
        <f>VLOOKUP(U949,R_DD!$B$6:$E$2112,3,0)</f>
        <v>#N/A</v>
      </c>
      <c r="W949" s="943" t="e">
        <f>VLOOKUP(U949,R_DD!$B$6:$E$2112,4,0)</f>
        <v>#N/A</v>
      </c>
      <c r="Z949" s="946" t="e">
        <f>VLOOKUP(X949,R_DD!$B$6:$E$2112,3,0)</f>
        <v>#N/A</v>
      </c>
      <c r="AA949" s="946" t="e">
        <f>VLOOKUP(Y949,R_DD!$A$1:$L$2131,4,0)</f>
        <v>#N/A</v>
      </c>
      <c r="AB949" s="947" t="e">
        <f>VLOOKUP(Y949,R_DD!$A$1:$L$2131,5,0)</f>
        <v>#N/A</v>
      </c>
      <c r="AC949" s="947" t="e">
        <f>VLOOKUP(X949,R_DD!$B$6:$E$2112,4,0)</f>
        <v>#N/A</v>
      </c>
    </row>
    <row r="950" spans="22:29" ht="20.100000000000001" customHeight="1">
      <c r="V950" s="944" t="e">
        <f>VLOOKUP(U950,R_DD!$B$6:$E$2112,3,0)</f>
        <v>#N/A</v>
      </c>
      <c r="W950" s="943" t="e">
        <f>VLOOKUP(U950,R_DD!$B$6:$E$2112,4,0)</f>
        <v>#N/A</v>
      </c>
      <c r="Z950" s="946" t="e">
        <f>VLOOKUP(X950,R_DD!$B$6:$E$2112,3,0)</f>
        <v>#N/A</v>
      </c>
      <c r="AA950" s="946" t="e">
        <f>VLOOKUP(Y950,R_DD!$A$1:$L$2131,4,0)</f>
        <v>#N/A</v>
      </c>
      <c r="AB950" s="947" t="e">
        <f>VLOOKUP(Y950,R_DD!$A$1:$L$2131,5,0)</f>
        <v>#N/A</v>
      </c>
      <c r="AC950" s="947" t="e">
        <f>VLOOKUP(X950,R_DD!$B$6:$E$2112,4,0)</f>
        <v>#N/A</v>
      </c>
    </row>
    <row r="951" spans="22:29" ht="20.100000000000001" customHeight="1">
      <c r="V951" s="944" t="e">
        <f>VLOOKUP(U951,R_DD!$B$6:$E$2112,3,0)</f>
        <v>#N/A</v>
      </c>
      <c r="W951" s="943" t="e">
        <f>VLOOKUP(U951,R_DD!$B$6:$E$2112,4,0)</f>
        <v>#N/A</v>
      </c>
      <c r="Z951" s="946" t="e">
        <f>VLOOKUP(X951,R_DD!$B$6:$E$2112,3,0)</f>
        <v>#N/A</v>
      </c>
      <c r="AA951" s="946" t="e">
        <f>VLOOKUP(Y951,R_DD!$A$1:$L$2131,4,0)</f>
        <v>#N/A</v>
      </c>
      <c r="AB951" s="947" t="e">
        <f>VLOOKUP(Y951,R_DD!$A$1:$L$2131,5,0)</f>
        <v>#N/A</v>
      </c>
      <c r="AC951" s="947" t="e">
        <f>VLOOKUP(X951,R_DD!$B$6:$E$2112,4,0)</f>
        <v>#N/A</v>
      </c>
    </row>
    <row r="952" spans="22:29" ht="20.100000000000001" customHeight="1">
      <c r="V952" s="944" t="e">
        <f>VLOOKUP(U952,R_DD!$B$6:$E$2112,3,0)</f>
        <v>#N/A</v>
      </c>
      <c r="W952" s="943" t="e">
        <f>VLOOKUP(U952,R_DD!$B$6:$E$2112,4,0)</f>
        <v>#N/A</v>
      </c>
      <c r="Z952" s="946" t="e">
        <f>VLOOKUP(X952,R_DD!$B$6:$E$2112,3,0)</f>
        <v>#N/A</v>
      </c>
      <c r="AA952" s="946" t="e">
        <f>VLOOKUP(Y952,R_DD!$A$1:$L$2131,4,0)</f>
        <v>#N/A</v>
      </c>
      <c r="AB952" s="947" t="e">
        <f>VLOOKUP(Y952,R_DD!$A$1:$L$2131,5,0)</f>
        <v>#N/A</v>
      </c>
      <c r="AC952" s="947" t="e">
        <f>VLOOKUP(X952,R_DD!$B$6:$E$2112,4,0)</f>
        <v>#N/A</v>
      </c>
    </row>
    <row r="953" spans="22:29" ht="20.100000000000001" customHeight="1">
      <c r="V953" s="944" t="e">
        <f>VLOOKUP(U953,R_DD!$B$6:$E$2112,3,0)</f>
        <v>#N/A</v>
      </c>
      <c r="W953" s="943" t="e">
        <f>VLOOKUP(U953,R_DD!$B$6:$E$2112,4,0)</f>
        <v>#N/A</v>
      </c>
      <c r="Z953" s="946" t="e">
        <f>VLOOKUP(X953,R_DD!$B$6:$E$2112,3,0)</f>
        <v>#N/A</v>
      </c>
      <c r="AA953" s="946" t="e">
        <f>VLOOKUP(Y953,R_DD!$A$1:$L$2131,4,0)</f>
        <v>#N/A</v>
      </c>
      <c r="AB953" s="947" t="e">
        <f>VLOOKUP(Y953,R_DD!$A$1:$L$2131,5,0)</f>
        <v>#N/A</v>
      </c>
      <c r="AC953" s="947" t="e">
        <f>VLOOKUP(X953,R_DD!$B$6:$E$2112,4,0)</f>
        <v>#N/A</v>
      </c>
    </row>
    <row r="954" spans="22:29" ht="20.100000000000001" customHeight="1">
      <c r="V954" s="944" t="e">
        <f>VLOOKUP(U954,R_DD!$B$6:$E$2112,3,0)</f>
        <v>#N/A</v>
      </c>
      <c r="W954" s="943" t="e">
        <f>VLOOKUP(U954,R_DD!$B$6:$E$2112,4,0)</f>
        <v>#N/A</v>
      </c>
      <c r="Z954" s="946" t="e">
        <f>VLOOKUP(X954,R_DD!$B$6:$E$2112,3,0)</f>
        <v>#N/A</v>
      </c>
      <c r="AA954" s="946" t="e">
        <f>VLOOKUP(Y954,R_DD!$A$1:$L$2131,4,0)</f>
        <v>#N/A</v>
      </c>
      <c r="AB954" s="947" t="e">
        <f>VLOOKUP(Y954,R_DD!$A$1:$L$2131,5,0)</f>
        <v>#N/A</v>
      </c>
      <c r="AC954" s="947" t="e">
        <f>VLOOKUP(X954,R_DD!$B$6:$E$2112,4,0)</f>
        <v>#N/A</v>
      </c>
    </row>
    <row r="955" spans="22:29" ht="20.100000000000001" customHeight="1">
      <c r="V955" s="944" t="e">
        <f>VLOOKUP(U955,R_DD!$B$6:$E$2112,3,0)</f>
        <v>#N/A</v>
      </c>
      <c r="W955" s="943" t="e">
        <f>VLOOKUP(U955,R_DD!$B$6:$E$2112,4,0)</f>
        <v>#N/A</v>
      </c>
      <c r="Z955" s="946" t="e">
        <f>VLOOKUP(X955,R_DD!$B$6:$E$2112,3,0)</f>
        <v>#N/A</v>
      </c>
      <c r="AA955" s="946" t="e">
        <f>VLOOKUP(Y955,R_DD!$A$1:$L$2131,4,0)</f>
        <v>#N/A</v>
      </c>
      <c r="AB955" s="947" t="e">
        <f>VLOOKUP(Y955,R_DD!$A$1:$L$2131,5,0)</f>
        <v>#N/A</v>
      </c>
      <c r="AC955" s="947" t="e">
        <f>VLOOKUP(X955,R_DD!$B$6:$E$2112,4,0)</f>
        <v>#N/A</v>
      </c>
    </row>
    <row r="956" spans="22:29" ht="20.100000000000001" customHeight="1">
      <c r="V956" s="944" t="e">
        <f>VLOOKUP(U956,R_DD!$B$6:$E$2112,3,0)</f>
        <v>#N/A</v>
      </c>
      <c r="W956" s="943" t="e">
        <f>VLOOKUP(U956,R_DD!$B$6:$E$2112,4,0)</f>
        <v>#N/A</v>
      </c>
      <c r="Z956" s="946" t="e">
        <f>VLOOKUP(X956,R_DD!$B$6:$E$2112,3,0)</f>
        <v>#N/A</v>
      </c>
      <c r="AA956" s="946" t="e">
        <f>VLOOKUP(Y956,R_DD!$A$1:$L$2131,4,0)</f>
        <v>#N/A</v>
      </c>
      <c r="AB956" s="947" t="e">
        <f>VLOOKUP(Y956,R_DD!$A$1:$L$2131,5,0)</f>
        <v>#N/A</v>
      </c>
      <c r="AC956" s="947" t="e">
        <f>VLOOKUP(X956,R_DD!$B$6:$E$2112,4,0)</f>
        <v>#N/A</v>
      </c>
    </row>
    <row r="957" spans="22:29" ht="20.100000000000001" customHeight="1">
      <c r="V957" s="944" t="e">
        <f>VLOOKUP(U957,R_DD!$B$6:$E$2112,3,0)</f>
        <v>#N/A</v>
      </c>
      <c r="W957" s="943" t="e">
        <f>VLOOKUP(U957,R_DD!$B$6:$E$2112,4,0)</f>
        <v>#N/A</v>
      </c>
      <c r="Z957" s="946" t="e">
        <f>VLOOKUP(X957,R_DD!$B$6:$E$2112,3,0)</f>
        <v>#N/A</v>
      </c>
      <c r="AA957" s="946" t="e">
        <f>VLOOKUP(Y957,R_DD!$A$1:$L$2131,4,0)</f>
        <v>#N/A</v>
      </c>
      <c r="AB957" s="947" t="e">
        <f>VLOOKUP(Y957,R_DD!$A$1:$L$2131,5,0)</f>
        <v>#N/A</v>
      </c>
      <c r="AC957" s="947" t="e">
        <f>VLOOKUP(X957,R_DD!$B$6:$E$2112,4,0)</f>
        <v>#N/A</v>
      </c>
    </row>
    <row r="958" spans="22:29" ht="20.100000000000001" customHeight="1">
      <c r="V958" s="944" t="e">
        <f>VLOOKUP(U958,R_DD!$B$6:$E$2112,3,0)</f>
        <v>#N/A</v>
      </c>
      <c r="W958" s="943" t="e">
        <f>VLOOKUP(U958,R_DD!$B$6:$E$2112,4,0)</f>
        <v>#N/A</v>
      </c>
      <c r="Z958" s="946" t="e">
        <f>VLOOKUP(X958,R_DD!$B$6:$E$2112,3,0)</f>
        <v>#N/A</v>
      </c>
      <c r="AA958" s="946" t="e">
        <f>VLOOKUP(Y958,R_DD!$A$1:$L$2131,4,0)</f>
        <v>#N/A</v>
      </c>
      <c r="AB958" s="947" t="e">
        <f>VLOOKUP(Y958,R_DD!$A$1:$L$2131,5,0)</f>
        <v>#N/A</v>
      </c>
      <c r="AC958" s="947" t="e">
        <f>VLOOKUP(X958,R_DD!$B$6:$E$2112,4,0)</f>
        <v>#N/A</v>
      </c>
    </row>
    <row r="959" spans="22:29" ht="20.100000000000001" customHeight="1">
      <c r="V959" s="944" t="e">
        <f>VLOOKUP(U959,R_DD!$B$6:$E$2112,3,0)</f>
        <v>#N/A</v>
      </c>
      <c r="W959" s="943" t="e">
        <f>VLOOKUP(U959,R_DD!$B$6:$E$2112,4,0)</f>
        <v>#N/A</v>
      </c>
      <c r="Z959" s="946" t="e">
        <f>VLOOKUP(X959,R_DD!$B$6:$E$2112,3,0)</f>
        <v>#N/A</v>
      </c>
      <c r="AA959" s="946" t="e">
        <f>VLOOKUP(Y959,R_DD!$A$1:$L$2131,4,0)</f>
        <v>#N/A</v>
      </c>
      <c r="AB959" s="947" t="e">
        <f>VLOOKUP(Y959,R_DD!$A$1:$L$2131,5,0)</f>
        <v>#N/A</v>
      </c>
      <c r="AC959" s="947" t="e">
        <f>VLOOKUP(X959,R_DD!$B$6:$E$2112,4,0)</f>
        <v>#N/A</v>
      </c>
    </row>
    <row r="960" spans="22:29" ht="20.100000000000001" customHeight="1">
      <c r="V960" s="944" t="e">
        <f>VLOOKUP(U960,R_DD!$B$6:$E$2112,3,0)</f>
        <v>#N/A</v>
      </c>
      <c r="W960" s="943" t="e">
        <f>VLOOKUP(U960,R_DD!$B$6:$E$2112,4,0)</f>
        <v>#N/A</v>
      </c>
      <c r="Z960" s="946" t="e">
        <f>VLOOKUP(X960,R_DD!$B$6:$E$2112,3,0)</f>
        <v>#N/A</v>
      </c>
      <c r="AA960" s="946" t="e">
        <f>VLOOKUP(Y960,R_DD!$A$1:$L$2131,4,0)</f>
        <v>#N/A</v>
      </c>
      <c r="AB960" s="947" t="e">
        <f>VLOOKUP(Y960,R_DD!$A$1:$L$2131,5,0)</f>
        <v>#N/A</v>
      </c>
      <c r="AC960" s="947" t="e">
        <f>VLOOKUP(X960,R_DD!$B$6:$E$2112,4,0)</f>
        <v>#N/A</v>
      </c>
    </row>
    <row r="961" spans="22:29" ht="20.100000000000001" customHeight="1">
      <c r="V961" s="944" t="e">
        <f>VLOOKUP(U961,R_DD!$B$6:$E$2112,3,0)</f>
        <v>#N/A</v>
      </c>
      <c r="W961" s="943" t="e">
        <f>VLOOKUP(U961,R_DD!$B$6:$E$2112,4,0)</f>
        <v>#N/A</v>
      </c>
      <c r="Z961" s="946" t="e">
        <f>VLOOKUP(X961,R_DD!$B$6:$E$2112,3,0)</f>
        <v>#N/A</v>
      </c>
      <c r="AA961" s="946" t="e">
        <f>VLOOKUP(Y961,R_DD!$A$1:$L$2131,4,0)</f>
        <v>#N/A</v>
      </c>
      <c r="AB961" s="947" t="e">
        <f>VLOOKUP(Y961,R_DD!$A$1:$L$2131,5,0)</f>
        <v>#N/A</v>
      </c>
      <c r="AC961" s="947" t="e">
        <f>VLOOKUP(X961,R_DD!$B$6:$E$2112,4,0)</f>
        <v>#N/A</v>
      </c>
    </row>
    <row r="962" spans="22:29" ht="20.100000000000001" customHeight="1">
      <c r="V962" s="944" t="e">
        <f>VLOOKUP(U962,R_DD!$B$6:$E$2112,3,0)</f>
        <v>#N/A</v>
      </c>
      <c r="W962" s="943" t="e">
        <f>VLOOKUP(U962,R_DD!$B$6:$E$2112,4,0)</f>
        <v>#N/A</v>
      </c>
      <c r="Z962" s="946" t="e">
        <f>VLOOKUP(X962,R_DD!$B$6:$E$2112,3,0)</f>
        <v>#N/A</v>
      </c>
      <c r="AA962" s="946" t="e">
        <f>VLOOKUP(Y962,R_DD!$A$1:$L$2131,4,0)</f>
        <v>#N/A</v>
      </c>
      <c r="AB962" s="947" t="e">
        <f>VLOOKUP(Y962,R_DD!$A$1:$L$2131,5,0)</f>
        <v>#N/A</v>
      </c>
      <c r="AC962" s="947" t="e">
        <f>VLOOKUP(X962,R_DD!$B$6:$E$2112,4,0)</f>
        <v>#N/A</v>
      </c>
    </row>
    <row r="963" spans="22:29" ht="20.100000000000001" customHeight="1">
      <c r="V963" s="944" t="e">
        <f>VLOOKUP(U963,R_DD!$B$6:$E$2112,3,0)</f>
        <v>#N/A</v>
      </c>
      <c r="W963" s="943" t="e">
        <f>VLOOKUP(U963,R_DD!$B$6:$E$2112,4,0)</f>
        <v>#N/A</v>
      </c>
      <c r="Z963" s="946" t="e">
        <f>VLOOKUP(X963,R_DD!$B$6:$E$2112,3,0)</f>
        <v>#N/A</v>
      </c>
      <c r="AA963" s="946" t="e">
        <f>VLOOKUP(Y963,R_DD!$A$1:$L$2131,4,0)</f>
        <v>#N/A</v>
      </c>
      <c r="AB963" s="947" t="e">
        <f>VLOOKUP(Y963,R_DD!$A$1:$L$2131,5,0)</f>
        <v>#N/A</v>
      </c>
      <c r="AC963" s="947" t="e">
        <f>VLOOKUP(X963,R_DD!$B$6:$E$2112,4,0)</f>
        <v>#N/A</v>
      </c>
    </row>
    <row r="964" spans="22:29" ht="20.100000000000001" customHeight="1">
      <c r="V964" s="944" t="e">
        <f>VLOOKUP(U964,R_DD!$B$6:$E$2112,3,0)</f>
        <v>#N/A</v>
      </c>
      <c r="W964" s="943" t="e">
        <f>VLOOKUP(U964,R_DD!$B$6:$E$2112,4,0)</f>
        <v>#N/A</v>
      </c>
      <c r="Z964" s="946" t="e">
        <f>VLOOKUP(X964,R_DD!$B$6:$E$2112,3,0)</f>
        <v>#N/A</v>
      </c>
      <c r="AA964" s="946" t="e">
        <f>VLOOKUP(Y964,R_DD!$A$1:$L$2131,4,0)</f>
        <v>#N/A</v>
      </c>
      <c r="AB964" s="947" t="e">
        <f>VLOOKUP(Y964,R_DD!$A$1:$L$2131,5,0)</f>
        <v>#N/A</v>
      </c>
      <c r="AC964" s="947" t="e">
        <f>VLOOKUP(X964,R_DD!$B$6:$E$2112,4,0)</f>
        <v>#N/A</v>
      </c>
    </row>
    <row r="965" spans="22:29" ht="20.100000000000001" customHeight="1">
      <c r="V965" s="944" t="e">
        <f>VLOOKUP(U965,R_DD!$B$6:$E$2112,3,0)</f>
        <v>#N/A</v>
      </c>
      <c r="W965" s="943" t="e">
        <f>VLOOKUP(U965,R_DD!$B$6:$E$2112,4,0)</f>
        <v>#N/A</v>
      </c>
      <c r="Z965" s="946" t="e">
        <f>VLOOKUP(X965,R_DD!$B$6:$E$2112,3,0)</f>
        <v>#N/A</v>
      </c>
      <c r="AA965" s="946" t="e">
        <f>VLOOKUP(Y965,R_DD!$A$1:$L$2131,4,0)</f>
        <v>#N/A</v>
      </c>
      <c r="AB965" s="947" t="e">
        <f>VLOOKUP(Y965,R_DD!$A$1:$L$2131,5,0)</f>
        <v>#N/A</v>
      </c>
      <c r="AC965" s="947" t="e">
        <f>VLOOKUP(X965,R_DD!$B$6:$E$2112,4,0)</f>
        <v>#N/A</v>
      </c>
    </row>
    <row r="966" spans="22:29" ht="20.100000000000001" customHeight="1">
      <c r="V966" s="944" t="e">
        <f>VLOOKUP(U966,R_DD!$B$6:$E$2112,3,0)</f>
        <v>#N/A</v>
      </c>
      <c r="W966" s="943" t="e">
        <f>VLOOKUP(U966,R_DD!$B$6:$E$2112,4,0)</f>
        <v>#N/A</v>
      </c>
      <c r="Z966" s="946" t="e">
        <f>VLOOKUP(X966,R_DD!$B$6:$E$2112,3,0)</f>
        <v>#N/A</v>
      </c>
      <c r="AA966" s="946" t="e">
        <f>VLOOKUP(Y966,R_DD!$A$1:$L$2131,4,0)</f>
        <v>#N/A</v>
      </c>
      <c r="AB966" s="947" t="e">
        <f>VLOOKUP(Y966,R_DD!$A$1:$L$2131,5,0)</f>
        <v>#N/A</v>
      </c>
      <c r="AC966" s="947" t="e">
        <f>VLOOKUP(X966,R_DD!$B$6:$E$2112,4,0)</f>
        <v>#N/A</v>
      </c>
    </row>
    <row r="967" spans="22:29" ht="20.100000000000001" customHeight="1">
      <c r="V967" s="944" t="e">
        <f>VLOOKUP(U967,R_DD!$B$6:$E$2112,3,0)</f>
        <v>#N/A</v>
      </c>
      <c r="W967" s="943" t="e">
        <f>VLOOKUP(U967,R_DD!$B$6:$E$2112,4,0)</f>
        <v>#N/A</v>
      </c>
      <c r="Z967" s="946" t="e">
        <f>VLOOKUP(X967,R_DD!$B$6:$E$2112,3,0)</f>
        <v>#N/A</v>
      </c>
      <c r="AA967" s="946" t="e">
        <f>VLOOKUP(Y967,R_DD!$A$1:$L$2131,4,0)</f>
        <v>#N/A</v>
      </c>
      <c r="AB967" s="947" t="e">
        <f>VLOOKUP(Y967,R_DD!$A$1:$L$2131,5,0)</f>
        <v>#N/A</v>
      </c>
      <c r="AC967" s="947" t="e">
        <f>VLOOKUP(X967,R_DD!$B$6:$E$2112,4,0)</f>
        <v>#N/A</v>
      </c>
    </row>
    <row r="968" spans="22:29" ht="20.100000000000001" customHeight="1">
      <c r="V968" s="944" t="e">
        <f>VLOOKUP(U968,R_DD!$B$6:$E$2112,3,0)</f>
        <v>#N/A</v>
      </c>
      <c r="W968" s="943" t="e">
        <f>VLOOKUP(U968,R_DD!$B$6:$E$2112,4,0)</f>
        <v>#N/A</v>
      </c>
      <c r="Z968" s="946" t="e">
        <f>VLOOKUP(X968,R_DD!$B$6:$E$2112,3,0)</f>
        <v>#N/A</v>
      </c>
      <c r="AA968" s="946" t="e">
        <f>VLOOKUP(Y968,R_DD!$A$1:$L$2131,4,0)</f>
        <v>#N/A</v>
      </c>
      <c r="AB968" s="947" t="e">
        <f>VLOOKUP(Y968,R_DD!$A$1:$L$2131,5,0)</f>
        <v>#N/A</v>
      </c>
      <c r="AC968" s="947" t="e">
        <f>VLOOKUP(X968,R_DD!$B$6:$E$2112,4,0)</f>
        <v>#N/A</v>
      </c>
    </row>
    <row r="969" spans="22:29" ht="20.100000000000001" customHeight="1">
      <c r="V969" s="944" t="e">
        <f>VLOOKUP(U969,R_DD!$B$6:$E$2112,3,0)</f>
        <v>#N/A</v>
      </c>
      <c r="W969" s="943" t="e">
        <f>VLOOKUP(U969,R_DD!$B$6:$E$2112,4,0)</f>
        <v>#N/A</v>
      </c>
      <c r="Z969" s="946" t="e">
        <f>VLOOKUP(X969,R_DD!$B$6:$E$2112,3,0)</f>
        <v>#N/A</v>
      </c>
      <c r="AA969" s="946" t="e">
        <f>VLOOKUP(Y969,R_DD!$A$1:$L$2131,4,0)</f>
        <v>#N/A</v>
      </c>
      <c r="AB969" s="947" t="e">
        <f>VLOOKUP(Y969,R_DD!$A$1:$L$2131,5,0)</f>
        <v>#N/A</v>
      </c>
      <c r="AC969" s="947" t="e">
        <f>VLOOKUP(X969,R_DD!$B$6:$E$2112,4,0)</f>
        <v>#N/A</v>
      </c>
    </row>
    <row r="970" spans="22:29" ht="20.100000000000001" customHeight="1">
      <c r="V970" s="944" t="e">
        <f>VLOOKUP(U970,R_DD!$B$6:$E$2112,3,0)</f>
        <v>#N/A</v>
      </c>
      <c r="W970" s="943" t="e">
        <f>VLOOKUP(U970,R_DD!$B$6:$E$2112,4,0)</f>
        <v>#N/A</v>
      </c>
      <c r="Z970" s="946" t="e">
        <f>VLOOKUP(X970,R_DD!$B$6:$E$2112,3,0)</f>
        <v>#N/A</v>
      </c>
      <c r="AA970" s="946" t="e">
        <f>VLOOKUP(Y970,R_DD!$A$1:$L$2131,4,0)</f>
        <v>#N/A</v>
      </c>
      <c r="AB970" s="947" t="e">
        <f>VLOOKUP(Y970,R_DD!$A$1:$L$2131,5,0)</f>
        <v>#N/A</v>
      </c>
      <c r="AC970" s="947" t="e">
        <f>VLOOKUP(X970,R_DD!$B$6:$E$2112,4,0)</f>
        <v>#N/A</v>
      </c>
    </row>
    <row r="971" spans="22:29" ht="20.100000000000001" customHeight="1">
      <c r="V971" s="944" t="e">
        <f>VLOOKUP(U971,R_DD!$B$6:$E$2112,3,0)</f>
        <v>#N/A</v>
      </c>
      <c r="W971" s="943" t="e">
        <f>VLOOKUP(U971,R_DD!$B$6:$E$2112,4,0)</f>
        <v>#N/A</v>
      </c>
      <c r="Z971" s="946" t="e">
        <f>VLOOKUP(X971,R_DD!$B$6:$E$2112,3,0)</f>
        <v>#N/A</v>
      </c>
      <c r="AA971" s="946" t="e">
        <f>VLOOKUP(Y971,R_DD!$A$1:$L$2131,4,0)</f>
        <v>#N/A</v>
      </c>
      <c r="AB971" s="947" t="e">
        <f>VLOOKUP(Y971,R_DD!$A$1:$L$2131,5,0)</f>
        <v>#N/A</v>
      </c>
      <c r="AC971" s="947" t="e">
        <f>VLOOKUP(X971,R_DD!$B$6:$E$2112,4,0)</f>
        <v>#N/A</v>
      </c>
    </row>
    <row r="972" spans="22:29" ht="20.100000000000001" customHeight="1">
      <c r="V972" s="944" t="e">
        <f>VLOOKUP(U972,R_DD!$B$6:$E$2112,3,0)</f>
        <v>#N/A</v>
      </c>
      <c r="W972" s="943" t="e">
        <f>VLOOKUP(U972,R_DD!$B$6:$E$2112,4,0)</f>
        <v>#N/A</v>
      </c>
      <c r="Z972" s="946" t="e">
        <f>VLOOKUP(X972,R_DD!$B$6:$E$2112,3,0)</f>
        <v>#N/A</v>
      </c>
      <c r="AA972" s="946" t="e">
        <f>VLOOKUP(Y972,R_DD!$A$1:$L$2131,4,0)</f>
        <v>#N/A</v>
      </c>
      <c r="AB972" s="947" t="e">
        <f>VLOOKUP(Y972,R_DD!$A$1:$L$2131,5,0)</f>
        <v>#N/A</v>
      </c>
      <c r="AC972" s="947" t="e">
        <f>VLOOKUP(X972,R_DD!$B$6:$E$2112,4,0)</f>
        <v>#N/A</v>
      </c>
    </row>
    <row r="973" spans="22:29" ht="20.100000000000001" customHeight="1">
      <c r="V973" s="944" t="e">
        <f>VLOOKUP(U973,R_DD!$B$6:$E$2112,3,0)</f>
        <v>#N/A</v>
      </c>
      <c r="W973" s="943" t="e">
        <f>VLOOKUP(U973,R_DD!$B$6:$E$2112,4,0)</f>
        <v>#N/A</v>
      </c>
      <c r="Z973" s="946" t="e">
        <f>VLOOKUP(X973,R_DD!$B$6:$E$2112,3,0)</f>
        <v>#N/A</v>
      </c>
      <c r="AA973" s="946" t="e">
        <f>VLOOKUP(Y973,R_DD!$A$1:$L$2131,4,0)</f>
        <v>#N/A</v>
      </c>
      <c r="AB973" s="947" t="e">
        <f>VLOOKUP(Y973,R_DD!$A$1:$L$2131,5,0)</f>
        <v>#N/A</v>
      </c>
      <c r="AC973" s="947" t="e">
        <f>VLOOKUP(X973,R_DD!$B$6:$E$2112,4,0)</f>
        <v>#N/A</v>
      </c>
    </row>
    <row r="974" spans="22:29" ht="20.100000000000001" customHeight="1">
      <c r="V974" s="944" t="e">
        <f>VLOOKUP(U974,R_DD!$B$6:$E$2112,3,0)</f>
        <v>#N/A</v>
      </c>
      <c r="W974" s="943" t="e">
        <f>VLOOKUP(U974,R_DD!$B$6:$E$2112,4,0)</f>
        <v>#N/A</v>
      </c>
      <c r="Z974" s="946" t="e">
        <f>VLOOKUP(X974,R_DD!$B$6:$E$2112,3,0)</f>
        <v>#N/A</v>
      </c>
      <c r="AA974" s="946" t="e">
        <f>VLOOKUP(Y974,R_DD!$A$1:$L$2131,4,0)</f>
        <v>#N/A</v>
      </c>
      <c r="AB974" s="947" t="e">
        <f>VLOOKUP(Y974,R_DD!$A$1:$L$2131,5,0)</f>
        <v>#N/A</v>
      </c>
      <c r="AC974" s="947" t="e">
        <f>VLOOKUP(X974,R_DD!$B$6:$E$2112,4,0)</f>
        <v>#N/A</v>
      </c>
    </row>
    <row r="975" spans="22:29" ht="20.100000000000001" customHeight="1">
      <c r="V975" s="944" t="e">
        <f>VLOOKUP(U975,R_DD!$B$6:$E$2112,3,0)</f>
        <v>#N/A</v>
      </c>
      <c r="W975" s="943" t="e">
        <f>VLOOKUP(U975,R_DD!$B$6:$E$2112,4,0)</f>
        <v>#N/A</v>
      </c>
      <c r="Z975" s="946" t="e">
        <f>VLOOKUP(X975,R_DD!$B$6:$E$2112,3,0)</f>
        <v>#N/A</v>
      </c>
      <c r="AA975" s="946" t="e">
        <f>VLOOKUP(Y975,R_DD!$A$1:$L$2131,4,0)</f>
        <v>#N/A</v>
      </c>
      <c r="AB975" s="947" t="e">
        <f>VLOOKUP(Y975,R_DD!$A$1:$L$2131,5,0)</f>
        <v>#N/A</v>
      </c>
      <c r="AC975" s="947" t="e">
        <f>VLOOKUP(X975,R_DD!$B$6:$E$2112,4,0)</f>
        <v>#N/A</v>
      </c>
    </row>
    <row r="976" spans="22:29" ht="20.100000000000001" customHeight="1">
      <c r="V976" s="944" t="e">
        <f>VLOOKUP(U976,R_DD!$B$6:$E$2112,3,0)</f>
        <v>#N/A</v>
      </c>
      <c r="W976" s="943" t="e">
        <f>VLOOKUP(U976,R_DD!$B$6:$E$2112,4,0)</f>
        <v>#N/A</v>
      </c>
      <c r="Z976" s="946" t="e">
        <f>VLOOKUP(X976,R_DD!$B$6:$E$2112,3,0)</f>
        <v>#N/A</v>
      </c>
      <c r="AA976" s="946" t="e">
        <f>VLOOKUP(Y976,R_DD!$A$1:$L$2131,4,0)</f>
        <v>#N/A</v>
      </c>
      <c r="AB976" s="947" t="e">
        <f>VLOOKUP(Y976,R_DD!$A$1:$L$2131,5,0)</f>
        <v>#N/A</v>
      </c>
      <c r="AC976" s="947" t="e">
        <f>VLOOKUP(X976,R_DD!$B$6:$E$2112,4,0)</f>
        <v>#N/A</v>
      </c>
    </row>
    <row r="977" spans="22:29" ht="20.100000000000001" customHeight="1">
      <c r="V977" s="944" t="e">
        <f>VLOOKUP(U977,R_DD!$B$6:$E$2112,3,0)</f>
        <v>#N/A</v>
      </c>
      <c r="W977" s="943" t="e">
        <f>VLOOKUP(U977,R_DD!$B$6:$E$2112,4,0)</f>
        <v>#N/A</v>
      </c>
      <c r="Z977" s="946" t="e">
        <f>VLOOKUP(X977,R_DD!$B$6:$E$2112,3,0)</f>
        <v>#N/A</v>
      </c>
      <c r="AA977" s="946" t="e">
        <f>VLOOKUP(Y977,R_DD!$A$1:$L$2131,4,0)</f>
        <v>#N/A</v>
      </c>
      <c r="AB977" s="947" t="e">
        <f>VLOOKUP(Y977,R_DD!$A$1:$L$2131,5,0)</f>
        <v>#N/A</v>
      </c>
      <c r="AC977" s="947" t="e">
        <f>VLOOKUP(X977,R_DD!$B$6:$E$2112,4,0)</f>
        <v>#N/A</v>
      </c>
    </row>
    <row r="978" spans="22:29" ht="20.100000000000001" customHeight="1">
      <c r="V978" s="944" t="e">
        <f>VLOOKUP(U978,R_DD!$B$6:$E$2112,3,0)</f>
        <v>#N/A</v>
      </c>
      <c r="W978" s="943" t="e">
        <f>VLOOKUP(U978,R_DD!$B$6:$E$2112,4,0)</f>
        <v>#N/A</v>
      </c>
      <c r="Z978" s="946" t="e">
        <f>VLOOKUP(X978,R_DD!$B$6:$E$2112,3,0)</f>
        <v>#N/A</v>
      </c>
      <c r="AA978" s="946" t="e">
        <f>VLOOKUP(Y978,R_DD!$A$1:$L$2131,4,0)</f>
        <v>#N/A</v>
      </c>
      <c r="AB978" s="947" t="e">
        <f>VLOOKUP(Y978,R_DD!$A$1:$L$2131,5,0)</f>
        <v>#N/A</v>
      </c>
      <c r="AC978" s="947" t="e">
        <f>VLOOKUP(X978,R_DD!$B$6:$E$2112,4,0)</f>
        <v>#N/A</v>
      </c>
    </row>
    <row r="979" spans="22:29" ht="20.100000000000001" customHeight="1">
      <c r="V979" s="944" t="e">
        <f>VLOOKUP(U979,R_DD!$B$6:$E$2112,3,0)</f>
        <v>#N/A</v>
      </c>
      <c r="W979" s="943" t="e">
        <f>VLOOKUP(U979,R_DD!$B$6:$E$2112,4,0)</f>
        <v>#N/A</v>
      </c>
      <c r="Z979" s="946" t="e">
        <f>VLOOKUP(X979,R_DD!$B$6:$E$2112,3,0)</f>
        <v>#N/A</v>
      </c>
      <c r="AA979" s="946" t="e">
        <f>VLOOKUP(Y979,R_DD!$A$1:$L$2131,4,0)</f>
        <v>#N/A</v>
      </c>
      <c r="AB979" s="947" t="e">
        <f>VLOOKUP(Y979,R_DD!$A$1:$L$2131,5,0)</f>
        <v>#N/A</v>
      </c>
      <c r="AC979" s="947" t="e">
        <f>VLOOKUP(X979,R_DD!$B$6:$E$2112,4,0)</f>
        <v>#N/A</v>
      </c>
    </row>
    <row r="980" spans="22:29" ht="20.100000000000001" customHeight="1">
      <c r="V980" s="944" t="e">
        <f>VLOOKUP(U980,R_DD!$B$6:$E$2112,3,0)</f>
        <v>#N/A</v>
      </c>
      <c r="W980" s="943" t="e">
        <f>VLOOKUP(U980,R_DD!$B$6:$E$2112,4,0)</f>
        <v>#N/A</v>
      </c>
      <c r="Z980" s="946" t="e">
        <f>VLOOKUP(X980,R_DD!$B$6:$E$2112,3,0)</f>
        <v>#N/A</v>
      </c>
      <c r="AA980" s="946" t="e">
        <f>VLOOKUP(Y980,R_DD!$A$1:$L$2131,4,0)</f>
        <v>#N/A</v>
      </c>
      <c r="AB980" s="947" t="e">
        <f>VLOOKUP(Y980,R_DD!$A$1:$L$2131,5,0)</f>
        <v>#N/A</v>
      </c>
      <c r="AC980" s="947" t="e">
        <f>VLOOKUP(X980,R_DD!$B$6:$E$2112,4,0)</f>
        <v>#N/A</v>
      </c>
    </row>
    <row r="981" spans="22:29" ht="20.100000000000001" customHeight="1">
      <c r="V981" s="944" t="e">
        <f>VLOOKUP(U981,R_DD!$B$6:$E$2112,3,0)</f>
        <v>#N/A</v>
      </c>
      <c r="W981" s="943" t="e">
        <f>VLOOKUP(U981,R_DD!$B$6:$E$2112,4,0)</f>
        <v>#N/A</v>
      </c>
      <c r="Z981" s="946" t="e">
        <f>VLOOKUP(X981,R_DD!$B$6:$E$2112,3,0)</f>
        <v>#N/A</v>
      </c>
      <c r="AA981" s="946" t="e">
        <f>VLOOKUP(Y981,R_DD!$A$1:$L$2131,4,0)</f>
        <v>#N/A</v>
      </c>
      <c r="AB981" s="947" t="e">
        <f>VLOOKUP(Y981,R_DD!$A$1:$L$2131,5,0)</f>
        <v>#N/A</v>
      </c>
      <c r="AC981" s="947" t="e">
        <f>VLOOKUP(X981,R_DD!$B$6:$E$2112,4,0)</f>
        <v>#N/A</v>
      </c>
    </row>
    <row r="982" spans="22:29" ht="20.100000000000001" customHeight="1">
      <c r="V982" s="944" t="e">
        <f>VLOOKUP(U982,R_DD!$B$6:$E$2112,3,0)</f>
        <v>#N/A</v>
      </c>
      <c r="W982" s="943" t="e">
        <f>VLOOKUP(U982,R_DD!$B$6:$E$2112,4,0)</f>
        <v>#N/A</v>
      </c>
      <c r="Z982" s="946" t="e">
        <f>VLOOKUP(X982,R_DD!$B$6:$E$2112,3,0)</f>
        <v>#N/A</v>
      </c>
      <c r="AA982" s="946" t="e">
        <f>VLOOKUP(Y982,R_DD!$A$1:$L$2131,4,0)</f>
        <v>#N/A</v>
      </c>
      <c r="AB982" s="947" t="e">
        <f>VLOOKUP(Y982,R_DD!$A$1:$L$2131,5,0)</f>
        <v>#N/A</v>
      </c>
      <c r="AC982" s="947" t="e">
        <f>VLOOKUP(X982,R_DD!$B$6:$E$2112,4,0)</f>
        <v>#N/A</v>
      </c>
    </row>
    <row r="983" spans="22:29" ht="20.100000000000001" customHeight="1">
      <c r="V983" s="944" t="e">
        <f>VLOOKUP(U983,R_DD!$B$6:$E$2112,3,0)</f>
        <v>#N/A</v>
      </c>
      <c r="W983" s="943" t="e">
        <f>VLOOKUP(U983,R_DD!$B$6:$E$2112,4,0)</f>
        <v>#N/A</v>
      </c>
      <c r="Z983" s="946" t="e">
        <f>VLOOKUP(X983,R_DD!$B$6:$E$2112,3,0)</f>
        <v>#N/A</v>
      </c>
      <c r="AA983" s="946" t="e">
        <f>VLOOKUP(Y983,R_DD!$A$1:$L$2131,4,0)</f>
        <v>#N/A</v>
      </c>
      <c r="AB983" s="947" t="e">
        <f>VLOOKUP(Y983,R_DD!$A$1:$L$2131,5,0)</f>
        <v>#N/A</v>
      </c>
      <c r="AC983" s="947" t="e">
        <f>VLOOKUP(X983,R_DD!$B$6:$E$2112,4,0)</f>
        <v>#N/A</v>
      </c>
    </row>
    <row r="984" spans="22:29" ht="20.100000000000001" customHeight="1">
      <c r="V984" s="944" t="e">
        <f>VLOOKUP(U984,R_DD!$B$6:$E$2112,3,0)</f>
        <v>#N/A</v>
      </c>
      <c r="W984" s="943" t="e">
        <f>VLOOKUP(U984,R_DD!$B$6:$E$2112,4,0)</f>
        <v>#N/A</v>
      </c>
      <c r="Z984" s="946" t="e">
        <f>VLOOKUP(X984,R_DD!$B$6:$E$2112,3,0)</f>
        <v>#N/A</v>
      </c>
      <c r="AA984" s="946" t="e">
        <f>VLOOKUP(Y984,R_DD!$A$1:$L$2131,4,0)</f>
        <v>#N/A</v>
      </c>
      <c r="AB984" s="947" t="e">
        <f>VLOOKUP(Y984,R_DD!$A$1:$L$2131,5,0)</f>
        <v>#N/A</v>
      </c>
      <c r="AC984" s="947" t="e">
        <f>VLOOKUP(X984,R_DD!$B$6:$E$2112,4,0)</f>
        <v>#N/A</v>
      </c>
    </row>
    <row r="985" spans="22:29" ht="20.100000000000001" customHeight="1">
      <c r="V985" s="944" t="e">
        <f>VLOOKUP(U985,R_DD!$B$6:$E$2112,3,0)</f>
        <v>#N/A</v>
      </c>
      <c r="W985" s="943" t="e">
        <f>VLOOKUP(U985,R_DD!$B$6:$E$2112,4,0)</f>
        <v>#N/A</v>
      </c>
      <c r="Z985" s="946" t="e">
        <f>VLOOKUP(X985,R_DD!$B$6:$E$2112,3,0)</f>
        <v>#N/A</v>
      </c>
      <c r="AA985" s="946" t="e">
        <f>VLOOKUP(Y985,R_DD!$A$1:$L$2131,4,0)</f>
        <v>#N/A</v>
      </c>
      <c r="AB985" s="947" t="e">
        <f>VLOOKUP(Y985,R_DD!$A$1:$L$2131,5,0)</f>
        <v>#N/A</v>
      </c>
      <c r="AC985" s="947" t="e">
        <f>VLOOKUP(X985,R_DD!$B$6:$E$2112,4,0)</f>
        <v>#N/A</v>
      </c>
    </row>
    <row r="986" spans="22:29" ht="20.100000000000001" customHeight="1">
      <c r="V986" s="944" t="e">
        <f>VLOOKUP(U986,R_DD!$B$6:$E$2112,3,0)</f>
        <v>#N/A</v>
      </c>
      <c r="W986" s="943" t="e">
        <f>VLOOKUP(U986,R_DD!$B$6:$E$2112,4,0)</f>
        <v>#N/A</v>
      </c>
      <c r="Z986" s="946" t="e">
        <f>VLOOKUP(X986,R_DD!$B$6:$E$2112,3,0)</f>
        <v>#N/A</v>
      </c>
      <c r="AA986" s="946" t="e">
        <f>VLOOKUP(Y986,R_DD!$A$1:$L$2131,4,0)</f>
        <v>#N/A</v>
      </c>
      <c r="AB986" s="947" t="e">
        <f>VLOOKUP(Y986,R_DD!$A$1:$L$2131,5,0)</f>
        <v>#N/A</v>
      </c>
      <c r="AC986" s="947" t="e">
        <f>VLOOKUP(X986,R_DD!$B$6:$E$2112,4,0)</f>
        <v>#N/A</v>
      </c>
    </row>
    <row r="987" spans="22:29" ht="20.100000000000001" customHeight="1">
      <c r="V987" s="944" t="e">
        <f>VLOOKUP(U987,R_DD!$B$6:$E$2112,3,0)</f>
        <v>#N/A</v>
      </c>
      <c r="W987" s="943" t="e">
        <f>VLOOKUP(U987,R_DD!$B$6:$E$2112,4,0)</f>
        <v>#N/A</v>
      </c>
      <c r="Z987" s="946" t="e">
        <f>VLOOKUP(X987,R_DD!$B$6:$E$2112,3,0)</f>
        <v>#N/A</v>
      </c>
      <c r="AA987" s="946" t="e">
        <f>VLOOKUP(Y987,R_DD!$A$1:$L$2131,4,0)</f>
        <v>#N/A</v>
      </c>
      <c r="AB987" s="947" t="e">
        <f>VLOOKUP(Y987,R_DD!$A$1:$L$2131,5,0)</f>
        <v>#N/A</v>
      </c>
      <c r="AC987" s="947" t="e">
        <f>VLOOKUP(X987,R_DD!$B$6:$E$2112,4,0)</f>
        <v>#N/A</v>
      </c>
    </row>
    <row r="988" spans="22:29" ht="20.100000000000001" customHeight="1">
      <c r="V988" s="944" t="e">
        <f>VLOOKUP(U988,R_DD!$B$6:$E$2112,3,0)</f>
        <v>#N/A</v>
      </c>
      <c r="W988" s="943" t="e">
        <f>VLOOKUP(U988,R_DD!$B$6:$E$2112,4,0)</f>
        <v>#N/A</v>
      </c>
      <c r="Z988" s="946" t="e">
        <f>VLOOKUP(X988,R_DD!$B$6:$E$2112,3,0)</f>
        <v>#N/A</v>
      </c>
      <c r="AA988" s="946" t="e">
        <f>VLOOKUP(Y988,R_DD!$A$1:$L$2131,4,0)</f>
        <v>#N/A</v>
      </c>
      <c r="AB988" s="947" t="e">
        <f>VLOOKUP(Y988,R_DD!$A$1:$L$2131,5,0)</f>
        <v>#N/A</v>
      </c>
      <c r="AC988" s="947" t="e">
        <f>VLOOKUP(X988,R_DD!$B$6:$E$2112,4,0)</f>
        <v>#N/A</v>
      </c>
    </row>
    <row r="989" spans="22:29" ht="20.100000000000001" customHeight="1">
      <c r="V989" s="944" t="e">
        <f>VLOOKUP(U989,R_DD!$B$6:$E$2112,3,0)</f>
        <v>#N/A</v>
      </c>
      <c r="W989" s="943" t="e">
        <f>VLOOKUP(U989,R_DD!$B$6:$E$2112,4,0)</f>
        <v>#N/A</v>
      </c>
      <c r="Z989" s="946" t="e">
        <f>VLOOKUP(X989,R_DD!$B$6:$E$2112,3,0)</f>
        <v>#N/A</v>
      </c>
      <c r="AA989" s="946" t="e">
        <f>VLOOKUP(Y989,R_DD!$A$1:$L$2131,4,0)</f>
        <v>#N/A</v>
      </c>
      <c r="AB989" s="947" t="e">
        <f>VLOOKUP(Y989,R_DD!$A$1:$L$2131,5,0)</f>
        <v>#N/A</v>
      </c>
      <c r="AC989" s="947" t="e">
        <f>VLOOKUP(X989,R_DD!$B$6:$E$2112,4,0)</f>
        <v>#N/A</v>
      </c>
    </row>
    <row r="990" spans="22:29" ht="20.100000000000001" customHeight="1">
      <c r="V990" s="944" t="e">
        <f>VLOOKUP(U990,R_DD!$B$6:$E$2112,3,0)</f>
        <v>#N/A</v>
      </c>
      <c r="W990" s="943" t="e">
        <f>VLOOKUP(U990,R_DD!$B$6:$E$2112,4,0)</f>
        <v>#N/A</v>
      </c>
      <c r="Z990" s="946" t="e">
        <f>VLOOKUP(X990,R_DD!$B$6:$E$2112,3,0)</f>
        <v>#N/A</v>
      </c>
      <c r="AA990" s="946" t="e">
        <f>VLOOKUP(Y990,R_DD!$A$1:$L$2131,4,0)</f>
        <v>#N/A</v>
      </c>
      <c r="AB990" s="947" t="e">
        <f>VLOOKUP(Y990,R_DD!$A$1:$L$2131,5,0)</f>
        <v>#N/A</v>
      </c>
      <c r="AC990" s="947" t="e">
        <f>VLOOKUP(X990,R_DD!$B$6:$E$2112,4,0)</f>
        <v>#N/A</v>
      </c>
    </row>
    <row r="991" spans="22:29" ht="20.100000000000001" customHeight="1">
      <c r="V991" s="944" t="e">
        <f>VLOOKUP(U991,R_DD!$B$6:$E$2112,3,0)</f>
        <v>#N/A</v>
      </c>
      <c r="W991" s="943" t="e">
        <f>VLOOKUP(U991,R_DD!$B$6:$E$2112,4,0)</f>
        <v>#N/A</v>
      </c>
      <c r="Z991" s="946" t="e">
        <f>VLOOKUP(X991,R_DD!$B$6:$E$2112,3,0)</f>
        <v>#N/A</v>
      </c>
      <c r="AA991" s="946" t="e">
        <f>VLOOKUP(Y991,R_DD!$A$1:$L$2131,4,0)</f>
        <v>#N/A</v>
      </c>
      <c r="AB991" s="947" t="e">
        <f>VLOOKUP(Y991,R_DD!$A$1:$L$2131,5,0)</f>
        <v>#N/A</v>
      </c>
      <c r="AC991" s="947" t="e">
        <f>VLOOKUP(X991,R_DD!$B$6:$E$2112,4,0)</f>
        <v>#N/A</v>
      </c>
    </row>
    <row r="992" spans="22:29" ht="20.100000000000001" customHeight="1">
      <c r="V992" s="944" t="e">
        <f>VLOOKUP(U992,R_DD!$B$6:$E$2112,3,0)</f>
        <v>#N/A</v>
      </c>
      <c r="W992" s="943" t="e">
        <f>VLOOKUP(U992,R_DD!$B$6:$E$2112,4,0)</f>
        <v>#N/A</v>
      </c>
      <c r="Z992" s="946" t="e">
        <f>VLOOKUP(X992,R_DD!$B$6:$E$2112,3,0)</f>
        <v>#N/A</v>
      </c>
      <c r="AA992" s="946" t="e">
        <f>VLOOKUP(Y992,R_DD!$A$1:$L$2131,4,0)</f>
        <v>#N/A</v>
      </c>
      <c r="AB992" s="947" t="e">
        <f>VLOOKUP(Y992,R_DD!$A$1:$L$2131,5,0)</f>
        <v>#N/A</v>
      </c>
      <c r="AC992" s="947" t="e">
        <f>VLOOKUP(X992,R_DD!$B$6:$E$2112,4,0)</f>
        <v>#N/A</v>
      </c>
    </row>
    <row r="993" spans="22:29" ht="20.100000000000001" customHeight="1">
      <c r="V993" s="944" t="e">
        <f>VLOOKUP(U993,R_DD!$B$6:$E$2112,3,0)</f>
        <v>#N/A</v>
      </c>
      <c r="W993" s="943" t="e">
        <f>VLOOKUP(U993,R_DD!$B$6:$E$2112,4,0)</f>
        <v>#N/A</v>
      </c>
      <c r="Z993" s="946" t="e">
        <f>VLOOKUP(X993,R_DD!$B$6:$E$2112,3,0)</f>
        <v>#N/A</v>
      </c>
      <c r="AA993" s="946" t="e">
        <f>VLOOKUP(Y993,R_DD!$A$1:$L$2131,4,0)</f>
        <v>#N/A</v>
      </c>
      <c r="AB993" s="947" t="e">
        <f>VLOOKUP(Y993,R_DD!$A$1:$L$2131,5,0)</f>
        <v>#N/A</v>
      </c>
      <c r="AC993" s="947" t="e">
        <f>VLOOKUP(X993,R_DD!$B$6:$E$2112,4,0)</f>
        <v>#N/A</v>
      </c>
    </row>
    <row r="994" spans="22:29" ht="20.100000000000001" customHeight="1">
      <c r="V994" s="944" t="e">
        <f>VLOOKUP(U994,R_DD!$B$6:$E$2112,3,0)</f>
        <v>#N/A</v>
      </c>
      <c r="W994" s="943" t="e">
        <f>VLOOKUP(U994,R_DD!$B$6:$E$2112,4,0)</f>
        <v>#N/A</v>
      </c>
      <c r="Z994" s="946" t="e">
        <f>VLOOKUP(X994,R_DD!$B$6:$E$2112,3,0)</f>
        <v>#N/A</v>
      </c>
      <c r="AA994" s="946" t="e">
        <f>VLOOKUP(Y994,R_DD!$A$1:$L$2131,4,0)</f>
        <v>#N/A</v>
      </c>
      <c r="AB994" s="947" t="e">
        <f>VLOOKUP(Y994,R_DD!$A$1:$L$2131,5,0)</f>
        <v>#N/A</v>
      </c>
      <c r="AC994" s="947" t="e">
        <f>VLOOKUP(X994,R_DD!$B$6:$E$2112,4,0)</f>
        <v>#N/A</v>
      </c>
    </row>
    <row r="995" spans="22:29" ht="20.100000000000001" customHeight="1">
      <c r="V995" s="944" t="e">
        <f>VLOOKUP(U995,R_DD!$B$6:$E$2112,3,0)</f>
        <v>#N/A</v>
      </c>
      <c r="W995" s="943" t="e">
        <f>VLOOKUP(U995,R_DD!$B$6:$E$2112,4,0)</f>
        <v>#N/A</v>
      </c>
      <c r="Z995" s="946" t="e">
        <f>VLOOKUP(X995,R_DD!$B$6:$E$2112,3,0)</f>
        <v>#N/A</v>
      </c>
      <c r="AA995" s="946" t="e">
        <f>VLOOKUP(Y995,R_DD!$A$1:$L$2131,4,0)</f>
        <v>#N/A</v>
      </c>
      <c r="AB995" s="947" t="e">
        <f>VLOOKUP(Y995,R_DD!$A$1:$L$2131,5,0)</f>
        <v>#N/A</v>
      </c>
      <c r="AC995" s="947" t="e">
        <f>VLOOKUP(X995,R_DD!$B$6:$E$2112,4,0)</f>
        <v>#N/A</v>
      </c>
    </row>
    <row r="996" spans="22:29" ht="20.100000000000001" customHeight="1">
      <c r="V996" s="944" t="e">
        <f>VLOOKUP(U996,R_DD!$B$6:$E$2112,3,0)</f>
        <v>#N/A</v>
      </c>
      <c r="W996" s="943" t="e">
        <f>VLOOKUP(U996,R_DD!$B$6:$E$2112,4,0)</f>
        <v>#N/A</v>
      </c>
      <c r="Z996" s="946" t="e">
        <f>VLOOKUP(X996,R_DD!$B$6:$E$2112,3,0)</f>
        <v>#N/A</v>
      </c>
      <c r="AA996" s="946" t="e">
        <f>VLOOKUP(Y996,R_DD!$A$1:$L$2131,4,0)</f>
        <v>#N/A</v>
      </c>
      <c r="AB996" s="947" t="e">
        <f>VLOOKUP(Y996,R_DD!$A$1:$L$2131,5,0)</f>
        <v>#N/A</v>
      </c>
      <c r="AC996" s="947" t="e">
        <f>VLOOKUP(X996,R_DD!$B$6:$E$2112,4,0)</f>
        <v>#N/A</v>
      </c>
    </row>
    <row r="997" spans="22:29" ht="20.100000000000001" customHeight="1">
      <c r="V997" s="944" t="e">
        <f>VLOOKUP(U997,R_DD!$B$6:$E$2112,3,0)</f>
        <v>#N/A</v>
      </c>
      <c r="W997" s="943" t="e">
        <f>VLOOKUP(U997,R_DD!$B$6:$E$2112,4,0)</f>
        <v>#N/A</v>
      </c>
      <c r="Z997" s="946" t="e">
        <f>VLOOKUP(X997,R_DD!$B$6:$E$2112,3,0)</f>
        <v>#N/A</v>
      </c>
      <c r="AA997" s="946" t="e">
        <f>VLOOKUP(Y997,R_DD!$A$1:$L$2131,4,0)</f>
        <v>#N/A</v>
      </c>
      <c r="AB997" s="947" t="e">
        <f>VLOOKUP(Y997,R_DD!$A$1:$L$2131,5,0)</f>
        <v>#N/A</v>
      </c>
      <c r="AC997" s="947" t="e">
        <f>VLOOKUP(X997,R_DD!$B$6:$E$2112,4,0)</f>
        <v>#N/A</v>
      </c>
    </row>
    <row r="998" spans="22:29" ht="20.100000000000001" customHeight="1">
      <c r="V998" s="944" t="e">
        <f>VLOOKUP(U998,R_DD!$B$6:$E$2112,3,0)</f>
        <v>#N/A</v>
      </c>
      <c r="W998" s="943" t="e">
        <f>VLOOKUP(U998,R_DD!$B$6:$E$2112,4,0)</f>
        <v>#N/A</v>
      </c>
      <c r="Z998" s="946" t="e">
        <f>VLOOKUP(X998,R_DD!$B$6:$E$2112,3,0)</f>
        <v>#N/A</v>
      </c>
      <c r="AA998" s="946" t="e">
        <f>VLOOKUP(Y998,R_DD!$A$1:$L$2131,4,0)</f>
        <v>#N/A</v>
      </c>
      <c r="AB998" s="947" t="e">
        <f>VLOOKUP(Y998,R_DD!$A$1:$L$2131,5,0)</f>
        <v>#N/A</v>
      </c>
      <c r="AC998" s="947" t="e">
        <f>VLOOKUP(X998,R_DD!$B$6:$E$2112,4,0)</f>
        <v>#N/A</v>
      </c>
    </row>
    <row r="999" spans="22:29" ht="20.100000000000001" customHeight="1">
      <c r="V999" s="944" t="e">
        <f>VLOOKUP(U999,R_DD!$B$6:$E$2112,3,0)</f>
        <v>#N/A</v>
      </c>
      <c r="W999" s="943" t="e">
        <f>VLOOKUP(U999,R_DD!$B$6:$E$2112,4,0)</f>
        <v>#N/A</v>
      </c>
      <c r="Z999" s="946" t="e">
        <f>VLOOKUP(X999,R_DD!$B$6:$E$2112,3,0)</f>
        <v>#N/A</v>
      </c>
      <c r="AA999" s="946" t="e">
        <f>VLOOKUP(Y999,R_DD!$A$1:$L$2131,4,0)</f>
        <v>#N/A</v>
      </c>
      <c r="AB999" s="947" t="e">
        <f>VLOOKUP(Y999,R_DD!$A$1:$L$2131,5,0)</f>
        <v>#N/A</v>
      </c>
      <c r="AC999" s="947" t="e">
        <f>VLOOKUP(X999,R_DD!$B$6:$E$2112,4,0)</f>
        <v>#N/A</v>
      </c>
    </row>
    <row r="1000" spans="22:29" ht="20.100000000000001" customHeight="1">
      <c r="V1000" s="944" t="e">
        <f>VLOOKUP(U1000,R_DD!$B$6:$E$2112,3,0)</f>
        <v>#N/A</v>
      </c>
      <c r="W1000" s="943" t="e">
        <f>VLOOKUP(U1000,R_DD!$B$6:$E$2112,4,0)</f>
        <v>#N/A</v>
      </c>
      <c r="Z1000" s="946" t="e">
        <f>VLOOKUP(X1000,R_DD!$B$6:$E$2112,3,0)</f>
        <v>#N/A</v>
      </c>
      <c r="AA1000" s="946" t="e">
        <f>VLOOKUP(Y1000,R_DD!$A$1:$L$2131,4,0)</f>
        <v>#N/A</v>
      </c>
      <c r="AB1000" s="947" t="e">
        <f>VLOOKUP(Y1000,R_DD!$A$1:$L$2131,5,0)</f>
        <v>#N/A</v>
      </c>
      <c r="AC1000" s="947" t="e">
        <f>VLOOKUP(X1000,R_DD!$B$6:$E$2112,4,0)</f>
        <v>#N/A</v>
      </c>
    </row>
    <row r="1001" spans="22:29" ht="20.100000000000001" customHeight="1">
      <c r="V1001" s="944" t="e">
        <f>VLOOKUP(U1001,R_DD!$B$6:$E$2112,3,0)</f>
        <v>#N/A</v>
      </c>
      <c r="W1001" s="943" t="e">
        <f>VLOOKUP(U1001,R_DD!$B$6:$E$2112,4,0)</f>
        <v>#N/A</v>
      </c>
      <c r="Z1001" s="946" t="e">
        <f>VLOOKUP(X1001,R_DD!$B$6:$E$2112,3,0)</f>
        <v>#N/A</v>
      </c>
      <c r="AA1001" s="946" t="e">
        <f>VLOOKUP(Y1001,R_DD!$A$1:$L$2131,4,0)</f>
        <v>#N/A</v>
      </c>
      <c r="AB1001" s="947" t="e">
        <f>VLOOKUP(Y1001,R_DD!$A$1:$L$2131,5,0)</f>
        <v>#N/A</v>
      </c>
      <c r="AC1001" s="947" t="e">
        <f>VLOOKUP(X1001,R_DD!$B$6:$E$2112,4,0)</f>
        <v>#N/A</v>
      </c>
    </row>
    <row r="1002" spans="22:29" ht="20.100000000000001" customHeight="1">
      <c r="V1002" s="944" t="e">
        <f>VLOOKUP(U1002,R_DD!$B$6:$E$2112,3,0)</f>
        <v>#N/A</v>
      </c>
      <c r="W1002" s="943" t="e">
        <f>VLOOKUP(U1002,R_DD!$B$6:$E$2112,4,0)</f>
        <v>#N/A</v>
      </c>
      <c r="Z1002" s="946" t="e">
        <f>VLOOKUP(X1002,R_DD!$B$6:$E$2112,3,0)</f>
        <v>#N/A</v>
      </c>
      <c r="AA1002" s="946" t="e">
        <f>VLOOKUP(Y1002,R_DD!$A$1:$L$2131,4,0)</f>
        <v>#N/A</v>
      </c>
      <c r="AB1002" s="947" t="e">
        <f>VLOOKUP(Y1002,R_DD!$A$1:$L$2131,5,0)</f>
        <v>#N/A</v>
      </c>
      <c r="AC1002" s="947" t="e">
        <f>VLOOKUP(X1002,R_DD!$B$6:$E$2112,4,0)</f>
        <v>#N/A</v>
      </c>
    </row>
    <row r="1003" spans="22:29" ht="20.100000000000001" customHeight="1">
      <c r="V1003" s="944" t="e">
        <f>VLOOKUP(U1003,R_DD!$B$6:$E$2112,3,0)</f>
        <v>#N/A</v>
      </c>
      <c r="W1003" s="943" t="e">
        <f>VLOOKUP(U1003,R_DD!$B$6:$E$2112,4,0)</f>
        <v>#N/A</v>
      </c>
      <c r="Z1003" s="946" t="e">
        <f>VLOOKUP(X1003,R_DD!$B$6:$E$2112,3,0)</f>
        <v>#N/A</v>
      </c>
      <c r="AA1003" s="946" t="e">
        <f>VLOOKUP(Y1003,R_DD!$A$1:$L$2131,4,0)</f>
        <v>#N/A</v>
      </c>
      <c r="AB1003" s="947" t="e">
        <f>VLOOKUP(Y1003,R_DD!$A$1:$L$2131,5,0)</f>
        <v>#N/A</v>
      </c>
      <c r="AC1003" s="947" t="e">
        <f>VLOOKUP(X1003,R_DD!$B$6:$E$2112,4,0)</f>
        <v>#N/A</v>
      </c>
    </row>
    <row r="1004" spans="22:29" ht="20.100000000000001" customHeight="1">
      <c r="V1004" s="944" t="e">
        <f>VLOOKUP(U1004,R_DD!$B$6:$E$2112,3,0)</f>
        <v>#N/A</v>
      </c>
      <c r="W1004" s="943" t="e">
        <f>VLOOKUP(U1004,R_DD!$B$6:$E$2112,4,0)</f>
        <v>#N/A</v>
      </c>
      <c r="Z1004" s="946" t="e">
        <f>VLOOKUP(X1004,R_DD!$B$6:$E$2112,3,0)</f>
        <v>#N/A</v>
      </c>
      <c r="AA1004" s="946" t="e">
        <f>VLOOKUP(Y1004,R_DD!$A$1:$L$2131,4,0)</f>
        <v>#N/A</v>
      </c>
      <c r="AB1004" s="947" t="e">
        <f>VLOOKUP(Y1004,R_DD!$A$1:$L$2131,5,0)</f>
        <v>#N/A</v>
      </c>
      <c r="AC1004" s="947" t="e">
        <f>VLOOKUP(X1004,R_DD!$B$6:$E$2112,4,0)</f>
        <v>#N/A</v>
      </c>
    </row>
    <row r="1005" spans="22:29" ht="20.100000000000001" customHeight="1">
      <c r="V1005" s="944" t="e">
        <f>VLOOKUP(U1005,R_DD!$B$6:$E$2112,3,0)</f>
        <v>#N/A</v>
      </c>
      <c r="W1005" s="943" t="e">
        <f>VLOOKUP(U1005,R_DD!$B$6:$E$2112,4,0)</f>
        <v>#N/A</v>
      </c>
      <c r="Z1005" s="946" t="e">
        <f>VLOOKUP(X1005,R_DD!$B$6:$E$2112,3,0)</f>
        <v>#N/A</v>
      </c>
      <c r="AA1005" s="946" t="e">
        <f>VLOOKUP(Y1005,R_DD!$A$1:$L$2131,4,0)</f>
        <v>#N/A</v>
      </c>
      <c r="AB1005" s="947" t="e">
        <f>VLOOKUP(Y1005,R_DD!$A$1:$L$2131,5,0)</f>
        <v>#N/A</v>
      </c>
      <c r="AC1005" s="947" t="e">
        <f>VLOOKUP(X1005,R_DD!$B$6:$E$2112,4,0)</f>
        <v>#N/A</v>
      </c>
    </row>
    <row r="1006" spans="22:29" ht="20.100000000000001" customHeight="1">
      <c r="V1006" s="944" t="e">
        <f>VLOOKUP(U1006,R_DD!$B$6:$E$2112,3,0)</f>
        <v>#N/A</v>
      </c>
      <c r="W1006" s="943" t="e">
        <f>VLOOKUP(U1006,R_DD!$B$6:$E$2112,4,0)</f>
        <v>#N/A</v>
      </c>
      <c r="Z1006" s="946" t="e">
        <f>VLOOKUP(X1006,R_DD!$B$6:$E$2112,3,0)</f>
        <v>#N/A</v>
      </c>
      <c r="AA1006" s="946" t="e">
        <f>VLOOKUP(Y1006,R_DD!$A$1:$L$2131,4,0)</f>
        <v>#N/A</v>
      </c>
      <c r="AB1006" s="947" t="e">
        <f>VLOOKUP(Y1006,R_DD!$A$1:$L$2131,5,0)</f>
        <v>#N/A</v>
      </c>
      <c r="AC1006" s="947" t="e">
        <f>VLOOKUP(X1006,R_DD!$B$6:$E$2112,4,0)</f>
        <v>#N/A</v>
      </c>
    </row>
    <row r="1007" spans="22:29" ht="20.100000000000001" customHeight="1">
      <c r="V1007" s="944" t="e">
        <f>VLOOKUP(U1007,R_DD!$B$6:$E$2112,3,0)</f>
        <v>#N/A</v>
      </c>
      <c r="W1007" s="943" t="e">
        <f>VLOOKUP(U1007,R_DD!$B$6:$E$2112,4,0)</f>
        <v>#N/A</v>
      </c>
      <c r="Z1007" s="946" t="e">
        <f>VLOOKUP(X1007,R_DD!$B$6:$E$2112,3,0)</f>
        <v>#N/A</v>
      </c>
      <c r="AA1007" s="946" t="e">
        <f>VLOOKUP(Y1007,R_DD!$A$1:$L$2131,4,0)</f>
        <v>#N/A</v>
      </c>
      <c r="AB1007" s="947" t="e">
        <f>VLOOKUP(Y1007,R_DD!$A$1:$L$2131,5,0)</f>
        <v>#N/A</v>
      </c>
      <c r="AC1007" s="947" t="e">
        <f>VLOOKUP(X1007,R_DD!$B$6:$E$2112,4,0)</f>
        <v>#N/A</v>
      </c>
    </row>
    <row r="1008" spans="22:29" ht="20.100000000000001" customHeight="1">
      <c r="V1008" s="944" t="e">
        <f>VLOOKUP(U1008,R_DD!$B$6:$E$2112,3,0)</f>
        <v>#N/A</v>
      </c>
      <c r="W1008" s="943" t="e">
        <f>VLOOKUP(U1008,R_DD!$B$6:$E$2112,4,0)</f>
        <v>#N/A</v>
      </c>
      <c r="Z1008" s="946" t="e">
        <f>VLOOKUP(X1008,R_DD!$B$6:$E$2112,3,0)</f>
        <v>#N/A</v>
      </c>
      <c r="AA1008" s="946" t="e">
        <f>VLOOKUP(Y1008,R_DD!$A$1:$L$2131,4,0)</f>
        <v>#N/A</v>
      </c>
      <c r="AB1008" s="947" t="e">
        <f>VLOOKUP(Y1008,R_DD!$A$1:$L$2131,5,0)</f>
        <v>#N/A</v>
      </c>
      <c r="AC1008" s="947" t="e">
        <f>VLOOKUP(X1008,R_DD!$B$6:$E$2112,4,0)</f>
        <v>#N/A</v>
      </c>
    </row>
    <row r="1009" spans="22:29" ht="20.100000000000001" customHeight="1">
      <c r="V1009" s="944" t="e">
        <f>VLOOKUP(U1009,R_DD!$B$6:$E$2112,3,0)</f>
        <v>#N/A</v>
      </c>
      <c r="W1009" s="943" t="e">
        <f>VLOOKUP(U1009,R_DD!$B$6:$E$2112,4,0)</f>
        <v>#N/A</v>
      </c>
      <c r="Z1009" s="946" t="e">
        <f>VLOOKUP(X1009,R_DD!$B$6:$E$2112,3,0)</f>
        <v>#N/A</v>
      </c>
      <c r="AA1009" s="946" t="e">
        <f>VLOOKUP(Y1009,R_DD!$A$1:$L$2131,4,0)</f>
        <v>#N/A</v>
      </c>
      <c r="AB1009" s="947" t="e">
        <f>VLOOKUP(Y1009,R_DD!$A$1:$L$2131,5,0)</f>
        <v>#N/A</v>
      </c>
      <c r="AC1009" s="947" t="e">
        <f>VLOOKUP(X1009,R_DD!$B$6:$E$2112,4,0)</f>
        <v>#N/A</v>
      </c>
    </row>
    <row r="1010" spans="22:29" ht="20.100000000000001" customHeight="1">
      <c r="V1010" s="944" t="e">
        <f>VLOOKUP(U1010,R_DD!$B$6:$E$2112,3,0)</f>
        <v>#N/A</v>
      </c>
      <c r="W1010" s="943" t="e">
        <f>VLOOKUP(U1010,R_DD!$B$6:$E$2112,4,0)</f>
        <v>#N/A</v>
      </c>
      <c r="Z1010" s="946" t="e">
        <f>VLOOKUP(X1010,R_DD!$B$6:$E$2112,3,0)</f>
        <v>#N/A</v>
      </c>
      <c r="AA1010" s="946" t="e">
        <f>VLOOKUP(Y1010,R_DD!$A$1:$L$2131,4,0)</f>
        <v>#N/A</v>
      </c>
      <c r="AB1010" s="947" t="e">
        <f>VLOOKUP(Y1010,R_DD!$A$1:$L$2131,5,0)</f>
        <v>#N/A</v>
      </c>
      <c r="AC1010" s="947" t="e">
        <f>VLOOKUP(X1010,R_DD!$B$6:$E$2112,4,0)</f>
        <v>#N/A</v>
      </c>
    </row>
    <row r="1011" spans="22:29" ht="20.100000000000001" customHeight="1">
      <c r="V1011" s="944" t="e">
        <f>VLOOKUP(U1011,R_DD!$B$6:$E$2112,3,0)</f>
        <v>#N/A</v>
      </c>
      <c r="W1011" s="943" t="e">
        <f>VLOOKUP(U1011,R_DD!$B$6:$E$2112,4,0)</f>
        <v>#N/A</v>
      </c>
      <c r="Z1011" s="946" t="e">
        <f>VLOOKUP(X1011,R_DD!$B$6:$E$2112,3,0)</f>
        <v>#N/A</v>
      </c>
      <c r="AA1011" s="946" t="e">
        <f>VLOOKUP(Y1011,R_DD!$A$1:$L$2131,4,0)</f>
        <v>#N/A</v>
      </c>
      <c r="AB1011" s="947" t="e">
        <f>VLOOKUP(Y1011,R_DD!$A$1:$L$2131,5,0)</f>
        <v>#N/A</v>
      </c>
      <c r="AC1011" s="947" t="e">
        <f>VLOOKUP(X1011,R_DD!$B$6:$E$2112,4,0)</f>
        <v>#N/A</v>
      </c>
    </row>
    <row r="1012" spans="22:29" ht="20.100000000000001" customHeight="1">
      <c r="V1012" s="944" t="e">
        <f>VLOOKUP(U1012,R_DD!$B$6:$E$2112,3,0)</f>
        <v>#N/A</v>
      </c>
      <c r="W1012" s="943" t="e">
        <f>VLOOKUP(U1012,R_DD!$B$6:$E$2112,4,0)</f>
        <v>#N/A</v>
      </c>
      <c r="Z1012" s="946" t="e">
        <f>VLOOKUP(X1012,R_DD!$B$6:$E$2112,3,0)</f>
        <v>#N/A</v>
      </c>
      <c r="AA1012" s="946" t="e">
        <f>VLOOKUP(Y1012,R_DD!$A$1:$L$2131,4,0)</f>
        <v>#N/A</v>
      </c>
      <c r="AB1012" s="947" t="e">
        <f>VLOOKUP(Y1012,R_DD!$A$1:$L$2131,5,0)</f>
        <v>#N/A</v>
      </c>
      <c r="AC1012" s="947" t="e">
        <f>VLOOKUP(X1012,R_DD!$B$6:$E$2112,4,0)</f>
        <v>#N/A</v>
      </c>
    </row>
    <row r="1013" spans="22:29" ht="20.100000000000001" customHeight="1">
      <c r="V1013" s="944" t="e">
        <f>VLOOKUP(U1013,R_DD!$B$6:$E$2112,3,0)</f>
        <v>#N/A</v>
      </c>
      <c r="W1013" s="943" t="e">
        <f>VLOOKUP(U1013,R_DD!$B$6:$E$2112,4,0)</f>
        <v>#N/A</v>
      </c>
      <c r="Z1013" s="946" t="e">
        <f>VLOOKUP(X1013,R_DD!$B$6:$E$2112,3,0)</f>
        <v>#N/A</v>
      </c>
      <c r="AA1013" s="946" t="e">
        <f>VLOOKUP(Y1013,R_DD!$A$1:$L$2131,4,0)</f>
        <v>#N/A</v>
      </c>
      <c r="AB1013" s="947" t="e">
        <f>VLOOKUP(Y1013,R_DD!$A$1:$L$2131,5,0)</f>
        <v>#N/A</v>
      </c>
      <c r="AC1013" s="947" t="e">
        <f>VLOOKUP(X1013,R_DD!$B$6:$E$2112,4,0)</f>
        <v>#N/A</v>
      </c>
    </row>
    <row r="1014" spans="22:29" ht="20.100000000000001" customHeight="1">
      <c r="V1014" s="944" t="e">
        <f>VLOOKUP(U1014,R_DD!$B$6:$E$2112,3,0)</f>
        <v>#N/A</v>
      </c>
      <c r="W1014" s="943" t="e">
        <f>VLOOKUP(U1014,R_DD!$B$6:$E$2112,4,0)</f>
        <v>#N/A</v>
      </c>
      <c r="Z1014" s="946" t="e">
        <f>VLOOKUP(X1014,R_DD!$B$6:$E$2112,3,0)</f>
        <v>#N/A</v>
      </c>
      <c r="AA1014" s="946" t="e">
        <f>VLOOKUP(Y1014,R_DD!$A$1:$L$2131,4,0)</f>
        <v>#N/A</v>
      </c>
      <c r="AB1014" s="947" t="e">
        <f>VLOOKUP(Y1014,R_DD!$A$1:$L$2131,5,0)</f>
        <v>#N/A</v>
      </c>
      <c r="AC1014" s="947" t="e">
        <f>VLOOKUP(X1014,R_DD!$B$6:$E$2112,4,0)</f>
        <v>#N/A</v>
      </c>
    </row>
    <row r="1015" spans="22:29" ht="20.100000000000001" customHeight="1">
      <c r="V1015" s="944" t="e">
        <f>VLOOKUP(U1015,R_DD!$B$6:$E$2112,3,0)</f>
        <v>#N/A</v>
      </c>
      <c r="W1015" s="943" t="e">
        <f>VLOOKUP(U1015,R_DD!$B$6:$E$2112,4,0)</f>
        <v>#N/A</v>
      </c>
      <c r="Z1015" s="946" t="e">
        <f>VLOOKUP(X1015,R_DD!$B$6:$E$2112,3,0)</f>
        <v>#N/A</v>
      </c>
      <c r="AA1015" s="946" t="e">
        <f>VLOOKUP(Y1015,R_DD!$A$1:$L$2131,4,0)</f>
        <v>#N/A</v>
      </c>
      <c r="AB1015" s="947" t="e">
        <f>VLOOKUP(Y1015,R_DD!$A$1:$L$2131,5,0)</f>
        <v>#N/A</v>
      </c>
      <c r="AC1015" s="947" t="e">
        <f>VLOOKUP(X1015,R_DD!$B$6:$E$2112,4,0)</f>
        <v>#N/A</v>
      </c>
    </row>
    <row r="1016" spans="22:29" ht="20.100000000000001" customHeight="1">
      <c r="V1016" s="944" t="e">
        <f>VLOOKUP(U1016,R_DD!$B$6:$E$2112,3,0)</f>
        <v>#N/A</v>
      </c>
      <c r="W1016" s="943" t="e">
        <f>VLOOKUP(U1016,R_DD!$B$6:$E$2112,4,0)</f>
        <v>#N/A</v>
      </c>
      <c r="Z1016" s="946" t="e">
        <f>VLOOKUP(X1016,R_DD!$B$6:$E$2112,3,0)</f>
        <v>#N/A</v>
      </c>
      <c r="AA1016" s="946" t="e">
        <f>VLOOKUP(Y1016,R_DD!$A$1:$L$2131,4,0)</f>
        <v>#N/A</v>
      </c>
      <c r="AB1016" s="947" t="e">
        <f>VLOOKUP(Y1016,R_DD!$A$1:$L$2131,5,0)</f>
        <v>#N/A</v>
      </c>
      <c r="AC1016" s="947" t="e">
        <f>VLOOKUP(X1016,R_DD!$B$6:$E$2112,4,0)</f>
        <v>#N/A</v>
      </c>
    </row>
    <row r="1017" spans="22:29" ht="20.100000000000001" customHeight="1">
      <c r="V1017" s="944" t="e">
        <f>VLOOKUP(U1017,R_DD!$B$6:$E$2112,3,0)</f>
        <v>#N/A</v>
      </c>
      <c r="W1017" s="943" t="e">
        <f>VLOOKUP(U1017,R_DD!$B$6:$E$2112,4,0)</f>
        <v>#N/A</v>
      </c>
      <c r="Z1017" s="946" t="e">
        <f>VLOOKUP(X1017,R_DD!$B$6:$E$2112,3,0)</f>
        <v>#N/A</v>
      </c>
      <c r="AA1017" s="946" t="e">
        <f>VLOOKUP(Y1017,R_DD!$A$1:$L$2131,4,0)</f>
        <v>#N/A</v>
      </c>
      <c r="AB1017" s="947" t="e">
        <f>VLOOKUP(Y1017,R_DD!$A$1:$L$2131,5,0)</f>
        <v>#N/A</v>
      </c>
      <c r="AC1017" s="947" t="e">
        <f>VLOOKUP(X1017,R_DD!$B$6:$E$2112,4,0)</f>
        <v>#N/A</v>
      </c>
    </row>
    <row r="1018" spans="22:29" ht="20.100000000000001" customHeight="1">
      <c r="V1018" s="944" t="e">
        <f>VLOOKUP(U1018,R_DD!$B$6:$E$2112,3,0)</f>
        <v>#N/A</v>
      </c>
      <c r="W1018" s="943" t="e">
        <f>VLOOKUP(U1018,R_DD!$B$6:$E$2112,4,0)</f>
        <v>#N/A</v>
      </c>
      <c r="Z1018" s="946" t="e">
        <f>VLOOKUP(X1018,R_DD!$B$6:$E$2112,3,0)</f>
        <v>#N/A</v>
      </c>
      <c r="AA1018" s="946" t="e">
        <f>VLOOKUP(Y1018,R_DD!$A$1:$L$2131,4,0)</f>
        <v>#N/A</v>
      </c>
      <c r="AB1018" s="947" t="e">
        <f>VLOOKUP(Y1018,R_DD!$A$1:$L$2131,5,0)</f>
        <v>#N/A</v>
      </c>
      <c r="AC1018" s="947" t="e">
        <f>VLOOKUP(X1018,R_DD!$B$6:$E$2112,4,0)</f>
        <v>#N/A</v>
      </c>
    </row>
    <row r="1019" spans="22:29" ht="20.100000000000001" customHeight="1">
      <c r="V1019" s="944" t="e">
        <f>VLOOKUP(U1019,R_DD!$B$6:$E$2112,3,0)</f>
        <v>#N/A</v>
      </c>
      <c r="W1019" s="943" t="e">
        <f>VLOOKUP(U1019,R_DD!$B$6:$E$2112,4,0)</f>
        <v>#N/A</v>
      </c>
      <c r="Z1019" s="946" t="e">
        <f>VLOOKUP(X1019,R_DD!$B$6:$E$2112,3,0)</f>
        <v>#N/A</v>
      </c>
      <c r="AA1019" s="946" t="e">
        <f>VLOOKUP(Y1019,R_DD!$A$1:$L$2131,4,0)</f>
        <v>#N/A</v>
      </c>
      <c r="AB1019" s="947" t="e">
        <f>VLOOKUP(Y1019,R_DD!$A$1:$L$2131,5,0)</f>
        <v>#N/A</v>
      </c>
      <c r="AC1019" s="947" t="e">
        <f>VLOOKUP(X1019,R_DD!$B$6:$E$2112,4,0)</f>
        <v>#N/A</v>
      </c>
    </row>
    <row r="1020" spans="22:29" ht="20.100000000000001" customHeight="1">
      <c r="V1020" s="944" t="e">
        <f>VLOOKUP(U1020,R_DD!$B$6:$E$2112,3,0)</f>
        <v>#N/A</v>
      </c>
      <c r="W1020" s="943" t="e">
        <f>VLOOKUP(U1020,R_DD!$B$6:$E$2112,4,0)</f>
        <v>#N/A</v>
      </c>
      <c r="Z1020" s="946" t="e">
        <f>VLOOKUP(X1020,R_DD!$B$6:$E$2112,3,0)</f>
        <v>#N/A</v>
      </c>
      <c r="AA1020" s="946" t="e">
        <f>VLOOKUP(Y1020,R_DD!$A$1:$L$2131,4,0)</f>
        <v>#N/A</v>
      </c>
      <c r="AB1020" s="947" t="e">
        <f>VLOOKUP(Y1020,R_DD!$A$1:$L$2131,5,0)</f>
        <v>#N/A</v>
      </c>
      <c r="AC1020" s="947" t="e">
        <f>VLOOKUP(X1020,R_DD!$B$6:$E$2112,4,0)</f>
        <v>#N/A</v>
      </c>
    </row>
    <row r="1021" spans="22:29" ht="20.100000000000001" customHeight="1">
      <c r="V1021" s="944" t="e">
        <f>VLOOKUP(U1021,R_DD!$B$6:$E$2112,3,0)</f>
        <v>#N/A</v>
      </c>
      <c r="W1021" s="943" t="e">
        <f>VLOOKUP(U1021,R_DD!$B$6:$E$2112,4,0)</f>
        <v>#N/A</v>
      </c>
      <c r="Z1021" s="946" t="e">
        <f>VLOOKUP(X1021,R_DD!$B$6:$E$2112,3,0)</f>
        <v>#N/A</v>
      </c>
      <c r="AA1021" s="946" t="e">
        <f>VLOOKUP(Y1021,R_DD!$A$1:$L$2131,4,0)</f>
        <v>#N/A</v>
      </c>
      <c r="AB1021" s="947" t="e">
        <f>VLOOKUP(Y1021,R_DD!$A$1:$L$2131,5,0)</f>
        <v>#N/A</v>
      </c>
      <c r="AC1021" s="947" t="e">
        <f>VLOOKUP(X1021,R_DD!$B$6:$E$2112,4,0)</f>
        <v>#N/A</v>
      </c>
    </row>
    <row r="1022" spans="22:29" ht="20.100000000000001" customHeight="1">
      <c r="V1022" s="944" t="e">
        <f>VLOOKUP(U1022,R_DD!$B$6:$E$2112,3,0)</f>
        <v>#N/A</v>
      </c>
      <c r="W1022" s="943" t="e">
        <f>VLOOKUP(U1022,R_DD!$B$6:$E$2112,4,0)</f>
        <v>#N/A</v>
      </c>
      <c r="Z1022" s="946" t="e">
        <f>VLOOKUP(X1022,R_DD!$B$6:$E$2112,3,0)</f>
        <v>#N/A</v>
      </c>
      <c r="AA1022" s="946" t="e">
        <f>VLOOKUP(Y1022,R_DD!$A$1:$L$2131,4,0)</f>
        <v>#N/A</v>
      </c>
      <c r="AB1022" s="947" t="e">
        <f>VLOOKUP(Y1022,R_DD!$A$1:$L$2131,5,0)</f>
        <v>#N/A</v>
      </c>
      <c r="AC1022" s="947" t="e">
        <f>VLOOKUP(X1022,R_DD!$B$6:$E$2112,4,0)</f>
        <v>#N/A</v>
      </c>
    </row>
    <row r="1023" spans="22:29" ht="20.100000000000001" customHeight="1">
      <c r="V1023" s="944" t="e">
        <f>VLOOKUP(U1023,R_DD!$B$6:$E$2112,3,0)</f>
        <v>#N/A</v>
      </c>
      <c r="W1023" s="943" t="e">
        <f>VLOOKUP(U1023,R_DD!$B$6:$E$2112,4,0)</f>
        <v>#N/A</v>
      </c>
      <c r="Z1023" s="946" t="e">
        <f>VLOOKUP(X1023,R_DD!$B$6:$E$2112,3,0)</f>
        <v>#N/A</v>
      </c>
      <c r="AA1023" s="946" t="e">
        <f>VLOOKUP(Y1023,R_DD!$A$1:$L$2131,4,0)</f>
        <v>#N/A</v>
      </c>
      <c r="AB1023" s="947" t="e">
        <f>VLOOKUP(Y1023,R_DD!$A$1:$L$2131,5,0)</f>
        <v>#N/A</v>
      </c>
      <c r="AC1023" s="947" t="e">
        <f>VLOOKUP(X1023,R_DD!$B$6:$E$2112,4,0)</f>
        <v>#N/A</v>
      </c>
    </row>
    <row r="1024" spans="22:29" ht="20.100000000000001" customHeight="1">
      <c r="V1024" s="944" t="e">
        <f>VLOOKUP(U1024,R_DD!$B$6:$E$2112,3,0)</f>
        <v>#N/A</v>
      </c>
      <c r="W1024" s="943" t="e">
        <f>VLOOKUP(U1024,R_DD!$B$6:$E$2112,4,0)</f>
        <v>#N/A</v>
      </c>
      <c r="Z1024" s="946" t="e">
        <f>VLOOKUP(X1024,R_DD!$B$6:$E$2112,3,0)</f>
        <v>#N/A</v>
      </c>
      <c r="AA1024" s="946" t="e">
        <f>VLOOKUP(Y1024,R_DD!$A$1:$L$2131,4,0)</f>
        <v>#N/A</v>
      </c>
      <c r="AB1024" s="947" t="e">
        <f>VLOOKUP(Y1024,R_DD!$A$1:$L$2131,5,0)</f>
        <v>#N/A</v>
      </c>
      <c r="AC1024" s="947" t="e">
        <f>VLOOKUP(X1024,R_DD!$B$6:$E$2112,4,0)</f>
        <v>#N/A</v>
      </c>
    </row>
    <row r="1025" spans="22:29" ht="20.100000000000001" customHeight="1">
      <c r="V1025" s="944" t="e">
        <f>VLOOKUP(U1025,R_DD!$B$6:$E$2112,3,0)</f>
        <v>#N/A</v>
      </c>
      <c r="W1025" s="943" t="e">
        <f>VLOOKUP(U1025,R_DD!$B$6:$E$2112,4,0)</f>
        <v>#N/A</v>
      </c>
      <c r="Z1025" s="946" t="e">
        <f>VLOOKUP(X1025,R_DD!$B$6:$E$2112,3,0)</f>
        <v>#N/A</v>
      </c>
      <c r="AA1025" s="946" t="e">
        <f>VLOOKUP(Y1025,R_DD!$A$1:$L$2131,4,0)</f>
        <v>#N/A</v>
      </c>
      <c r="AB1025" s="947" t="e">
        <f>VLOOKUP(Y1025,R_DD!$A$1:$L$2131,5,0)</f>
        <v>#N/A</v>
      </c>
      <c r="AC1025" s="947" t="e">
        <f>VLOOKUP(X1025,R_DD!$B$6:$E$2112,4,0)</f>
        <v>#N/A</v>
      </c>
    </row>
    <row r="1026" spans="22:29" ht="20.100000000000001" customHeight="1">
      <c r="V1026" s="944" t="e">
        <f>VLOOKUP(U1026,R_DD!$B$6:$E$2112,3,0)</f>
        <v>#N/A</v>
      </c>
      <c r="W1026" s="943" t="e">
        <f>VLOOKUP(U1026,R_DD!$B$6:$E$2112,4,0)</f>
        <v>#N/A</v>
      </c>
      <c r="Z1026" s="946" t="e">
        <f>VLOOKUP(X1026,R_DD!$B$6:$E$2112,3,0)</f>
        <v>#N/A</v>
      </c>
      <c r="AA1026" s="946" t="e">
        <f>VLOOKUP(Y1026,R_DD!$A$1:$L$2131,4,0)</f>
        <v>#N/A</v>
      </c>
      <c r="AB1026" s="947" t="e">
        <f>VLOOKUP(Y1026,R_DD!$A$1:$L$2131,5,0)</f>
        <v>#N/A</v>
      </c>
      <c r="AC1026" s="947" t="e">
        <f>VLOOKUP(X1026,R_DD!$B$6:$E$2112,4,0)</f>
        <v>#N/A</v>
      </c>
    </row>
    <row r="1027" spans="22:29" ht="20.100000000000001" customHeight="1">
      <c r="V1027" s="944" t="e">
        <f>VLOOKUP(U1027,R_DD!$B$6:$E$2112,3,0)</f>
        <v>#N/A</v>
      </c>
      <c r="W1027" s="943" t="e">
        <f>VLOOKUP(U1027,R_DD!$B$6:$E$2112,4,0)</f>
        <v>#N/A</v>
      </c>
      <c r="Z1027" s="946" t="e">
        <f>VLOOKUP(X1027,R_DD!$B$6:$E$2112,3,0)</f>
        <v>#N/A</v>
      </c>
      <c r="AA1027" s="946" t="e">
        <f>VLOOKUP(Y1027,R_DD!$A$1:$L$2131,4,0)</f>
        <v>#N/A</v>
      </c>
      <c r="AB1027" s="947" t="e">
        <f>VLOOKUP(Y1027,R_DD!$A$1:$L$2131,5,0)</f>
        <v>#N/A</v>
      </c>
      <c r="AC1027" s="947" t="e">
        <f>VLOOKUP(X1027,R_DD!$B$6:$E$2112,4,0)</f>
        <v>#N/A</v>
      </c>
    </row>
    <row r="1028" spans="22:29" ht="20.100000000000001" customHeight="1">
      <c r="V1028" s="944" t="e">
        <f>VLOOKUP(U1028,R_DD!$B$6:$E$2112,3,0)</f>
        <v>#N/A</v>
      </c>
      <c r="W1028" s="943" t="e">
        <f>VLOOKUP(U1028,R_DD!$B$6:$E$2112,4,0)</f>
        <v>#N/A</v>
      </c>
      <c r="Z1028" s="946" t="e">
        <f>VLOOKUP(X1028,R_DD!$B$6:$E$2112,3,0)</f>
        <v>#N/A</v>
      </c>
      <c r="AA1028" s="946" t="e">
        <f>VLOOKUP(Y1028,R_DD!$A$1:$L$2131,4,0)</f>
        <v>#N/A</v>
      </c>
      <c r="AB1028" s="947" t="e">
        <f>VLOOKUP(Y1028,R_DD!$A$1:$L$2131,5,0)</f>
        <v>#N/A</v>
      </c>
      <c r="AC1028" s="947" t="e">
        <f>VLOOKUP(X1028,R_DD!$B$6:$E$2112,4,0)</f>
        <v>#N/A</v>
      </c>
    </row>
    <row r="1029" spans="22:29" ht="20.100000000000001" customHeight="1">
      <c r="V1029" s="944" t="e">
        <f>VLOOKUP(U1029,R_DD!$B$6:$E$2112,3,0)</f>
        <v>#N/A</v>
      </c>
      <c r="W1029" s="943" t="e">
        <f>VLOOKUP(U1029,R_DD!$B$6:$E$2112,4,0)</f>
        <v>#N/A</v>
      </c>
      <c r="Z1029" s="946" t="e">
        <f>VLOOKUP(X1029,R_DD!$B$6:$E$2112,3,0)</f>
        <v>#N/A</v>
      </c>
      <c r="AA1029" s="946" t="e">
        <f>VLOOKUP(Y1029,R_DD!$A$1:$L$2131,4,0)</f>
        <v>#N/A</v>
      </c>
      <c r="AB1029" s="947" t="e">
        <f>VLOOKUP(Y1029,R_DD!$A$1:$L$2131,5,0)</f>
        <v>#N/A</v>
      </c>
      <c r="AC1029" s="947" t="e">
        <f>VLOOKUP(X1029,R_DD!$B$6:$E$2112,4,0)</f>
        <v>#N/A</v>
      </c>
    </row>
    <row r="1030" spans="22:29" ht="20.100000000000001" customHeight="1">
      <c r="V1030" s="944" t="e">
        <f>VLOOKUP(U1030,R_DD!$B$6:$E$2112,3,0)</f>
        <v>#N/A</v>
      </c>
      <c r="W1030" s="943" t="e">
        <f>VLOOKUP(U1030,R_DD!$B$6:$E$2112,4,0)</f>
        <v>#N/A</v>
      </c>
      <c r="Z1030" s="946" t="e">
        <f>VLOOKUP(X1030,R_DD!$B$6:$E$2112,3,0)</f>
        <v>#N/A</v>
      </c>
      <c r="AA1030" s="946" t="e">
        <f>VLOOKUP(Y1030,R_DD!$A$1:$L$2131,4,0)</f>
        <v>#N/A</v>
      </c>
      <c r="AB1030" s="947" t="e">
        <f>VLOOKUP(Y1030,R_DD!$A$1:$L$2131,5,0)</f>
        <v>#N/A</v>
      </c>
      <c r="AC1030" s="947" t="e">
        <f>VLOOKUP(X1030,R_DD!$B$6:$E$2112,4,0)</f>
        <v>#N/A</v>
      </c>
    </row>
    <row r="1031" spans="22:29" ht="20.100000000000001" customHeight="1">
      <c r="V1031" s="944" t="e">
        <f>VLOOKUP(U1031,R_DD!$B$6:$E$2112,3,0)</f>
        <v>#N/A</v>
      </c>
      <c r="W1031" s="943" t="e">
        <f>VLOOKUP(U1031,R_DD!$B$6:$E$2112,4,0)</f>
        <v>#N/A</v>
      </c>
      <c r="Z1031" s="946" t="e">
        <f>VLOOKUP(X1031,R_DD!$B$6:$E$2112,3,0)</f>
        <v>#N/A</v>
      </c>
      <c r="AA1031" s="946" t="e">
        <f>VLOOKUP(Y1031,R_DD!$A$1:$L$2131,4,0)</f>
        <v>#N/A</v>
      </c>
      <c r="AB1031" s="947" t="e">
        <f>VLOOKUP(Y1031,R_DD!$A$1:$L$2131,5,0)</f>
        <v>#N/A</v>
      </c>
      <c r="AC1031" s="947" t="e">
        <f>VLOOKUP(X1031,R_DD!$B$6:$E$2112,4,0)</f>
        <v>#N/A</v>
      </c>
    </row>
    <row r="1032" spans="22:29" ht="20.100000000000001" customHeight="1">
      <c r="V1032" s="944" t="e">
        <f>VLOOKUP(U1032,R_DD!$B$6:$E$2112,3,0)</f>
        <v>#N/A</v>
      </c>
      <c r="W1032" s="943" t="e">
        <f>VLOOKUP(U1032,R_DD!$B$6:$E$2112,4,0)</f>
        <v>#N/A</v>
      </c>
      <c r="Z1032" s="946" t="e">
        <f>VLOOKUP(X1032,R_DD!$B$6:$E$2112,3,0)</f>
        <v>#N/A</v>
      </c>
      <c r="AA1032" s="946" t="e">
        <f>VLOOKUP(Y1032,R_DD!$A$1:$L$2131,4,0)</f>
        <v>#N/A</v>
      </c>
      <c r="AB1032" s="947" t="e">
        <f>VLOOKUP(Y1032,R_DD!$A$1:$L$2131,5,0)</f>
        <v>#N/A</v>
      </c>
      <c r="AC1032" s="947" t="e">
        <f>VLOOKUP(X1032,R_DD!$B$6:$E$2112,4,0)</f>
        <v>#N/A</v>
      </c>
    </row>
    <row r="1033" spans="22:29" ht="20.100000000000001" customHeight="1">
      <c r="V1033" s="944" t="e">
        <f>VLOOKUP(U1033,R_DD!$B$6:$E$2112,3,0)</f>
        <v>#N/A</v>
      </c>
      <c r="W1033" s="943" t="e">
        <f>VLOOKUP(U1033,R_DD!$B$6:$E$2112,4,0)</f>
        <v>#N/A</v>
      </c>
      <c r="Z1033" s="946" t="e">
        <f>VLOOKUP(X1033,R_DD!$B$6:$E$2112,3,0)</f>
        <v>#N/A</v>
      </c>
      <c r="AA1033" s="946" t="e">
        <f>VLOOKUP(Y1033,R_DD!$A$1:$L$2131,4,0)</f>
        <v>#N/A</v>
      </c>
      <c r="AB1033" s="947" t="e">
        <f>VLOOKUP(Y1033,R_DD!$A$1:$L$2131,5,0)</f>
        <v>#N/A</v>
      </c>
      <c r="AC1033" s="947" t="e">
        <f>VLOOKUP(X1033,R_DD!$B$6:$E$2112,4,0)</f>
        <v>#N/A</v>
      </c>
    </row>
    <row r="1034" spans="22:29" ht="20.100000000000001" customHeight="1">
      <c r="V1034" s="944" t="e">
        <f>VLOOKUP(U1034,R_DD!$B$6:$E$2112,3,0)</f>
        <v>#N/A</v>
      </c>
      <c r="W1034" s="943" t="e">
        <f>VLOOKUP(U1034,R_DD!$B$6:$E$2112,4,0)</f>
        <v>#N/A</v>
      </c>
      <c r="Z1034" s="946" t="e">
        <f>VLOOKUP(X1034,R_DD!$B$6:$E$2112,3,0)</f>
        <v>#N/A</v>
      </c>
      <c r="AA1034" s="946" t="e">
        <f>VLOOKUP(Y1034,R_DD!$A$1:$L$2131,4,0)</f>
        <v>#N/A</v>
      </c>
      <c r="AB1034" s="947" t="e">
        <f>VLOOKUP(Y1034,R_DD!$A$1:$L$2131,5,0)</f>
        <v>#N/A</v>
      </c>
      <c r="AC1034" s="947" t="e">
        <f>VLOOKUP(X1034,R_DD!$B$6:$E$2112,4,0)</f>
        <v>#N/A</v>
      </c>
    </row>
    <row r="1035" spans="22:29" ht="20.100000000000001" customHeight="1">
      <c r="V1035" s="944" t="e">
        <f>VLOOKUP(U1035,R_DD!$B$6:$E$2112,3,0)</f>
        <v>#N/A</v>
      </c>
      <c r="W1035" s="943" t="e">
        <f>VLOOKUP(U1035,R_DD!$B$6:$E$2112,4,0)</f>
        <v>#N/A</v>
      </c>
      <c r="Z1035" s="946" t="e">
        <f>VLOOKUP(X1035,R_DD!$B$6:$E$2112,3,0)</f>
        <v>#N/A</v>
      </c>
      <c r="AA1035" s="946" t="e">
        <f>VLOOKUP(Y1035,R_DD!$A$1:$L$2131,4,0)</f>
        <v>#N/A</v>
      </c>
      <c r="AB1035" s="947" t="e">
        <f>VLOOKUP(Y1035,R_DD!$A$1:$L$2131,5,0)</f>
        <v>#N/A</v>
      </c>
      <c r="AC1035" s="947" t="e">
        <f>VLOOKUP(X1035,R_DD!$B$6:$E$2112,4,0)</f>
        <v>#N/A</v>
      </c>
    </row>
    <row r="1036" spans="22:29" ht="20.100000000000001" customHeight="1">
      <c r="V1036" s="944" t="e">
        <f>VLOOKUP(U1036,R_DD!$B$6:$E$2112,3,0)</f>
        <v>#N/A</v>
      </c>
      <c r="W1036" s="943" t="e">
        <f>VLOOKUP(U1036,R_DD!$B$6:$E$2112,4,0)</f>
        <v>#N/A</v>
      </c>
      <c r="Z1036" s="946" t="e">
        <f>VLOOKUP(X1036,R_DD!$B$6:$E$2112,3,0)</f>
        <v>#N/A</v>
      </c>
      <c r="AA1036" s="946" t="e">
        <f>VLOOKUP(Y1036,R_DD!$A$1:$L$2131,4,0)</f>
        <v>#N/A</v>
      </c>
      <c r="AB1036" s="947" t="e">
        <f>VLOOKUP(Y1036,R_DD!$A$1:$L$2131,5,0)</f>
        <v>#N/A</v>
      </c>
      <c r="AC1036" s="947" t="e">
        <f>VLOOKUP(X1036,R_DD!$B$6:$E$2112,4,0)</f>
        <v>#N/A</v>
      </c>
    </row>
    <row r="1037" spans="22:29" ht="20.100000000000001" customHeight="1">
      <c r="V1037" s="944" t="e">
        <f>VLOOKUP(U1037,R_DD!$B$6:$E$2112,3,0)</f>
        <v>#N/A</v>
      </c>
      <c r="W1037" s="943" t="e">
        <f>VLOOKUP(U1037,R_DD!$B$6:$E$2112,4,0)</f>
        <v>#N/A</v>
      </c>
      <c r="Z1037" s="946" t="e">
        <f>VLOOKUP(X1037,R_DD!$B$6:$E$2112,3,0)</f>
        <v>#N/A</v>
      </c>
      <c r="AA1037" s="946" t="e">
        <f>VLOOKUP(Y1037,R_DD!$A$1:$L$2131,4,0)</f>
        <v>#N/A</v>
      </c>
      <c r="AB1037" s="947" t="e">
        <f>VLOOKUP(Y1037,R_DD!$A$1:$L$2131,5,0)</f>
        <v>#N/A</v>
      </c>
      <c r="AC1037" s="947" t="e">
        <f>VLOOKUP(X1037,R_DD!$B$6:$E$2112,4,0)</f>
        <v>#N/A</v>
      </c>
    </row>
    <row r="1038" spans="22:29" ht="20.100000000000001" customHeight="1">
      <c r="V1038" s="944" t="e">
        <f>VLOOKUP(U1038,R_DD!$B$6:$E$2112,3,0)</f>
        <v>#N/A</v>
      </c>
      <c r="W1038" s="943" t="e">
        <f>VLOOKUP(U1038,R_DD!$B$6:$E$2112,4,0)</f>
        <v>#N/A</v>
      </c>
      <c r="Z1038" s="946" t="e">
        <f>VLOOKUP(X1038,R_DD!$B$6:$E$2112,3,0)</f>
        <v>#N/A</v>
      </c>
      <c r="AA1038" s="946" t="e">
        <f>VLOOKUP(Y1038,R_DD!$A$1:$L$2131,4,0)</f>
        <v>#N/A</v>
      </c>
      <c r="AB1038" s="947" t="e">
        <f>VLOOKUP(Y1038,R_DD!$A$1:$L$2131,5,0)</f>
        <v>#N/A</v>
      </c>
      <c r="AC1038" s="947" t="e">
        <f>VLOOKUP(X1038,R_DD!$B$6:$E$2112,4,0)</f>
        <v>#N/A</v>
      </c>
    </row>
    <row r="1039" spans="22:29" ht="20.100000000000001" customHeight="1">
      <c r="V1039" s="944" t="e">
        <f>VLOOKUP(U1039,R_DD!$B$6:$E$2112,3,0)</f>
        <v>#N/A</v>
      </c>
      <c r="W1039" s="943" t="e">
        <f>VLOOKUP(U1039,R_DD!$B$6:$E$2112,4,0)</f>
        <v>#N/A</v>
      </c>
      <c r="Z1039" s="946" t="e">
        <f>VLOOKUP(X1039,R_DD!$B$6:$E$2112,3,0)</f>
        <v>#N/A</v>
      </c>
      <c r="AA1039" s="946" t="e">
        <f>VLOOKUP(Y1039,R_DD!$A$1:$L$2131,4,0)</f>
        <v>#N/A</v>
      </c>
      <c r="AB1039" s="947" t="e">
        <f>VLOOKUP(Y1039,R_DD!$A$1:$L$2131,5,0)</f>
        <v>#N/A</v>
      </c>
      <c r="AC1039" s="947" t="e">
        <f>VLOOKUP(X1039,R_DD!$B$6:$E$2112,4,0)</f>
        <v>#N/A</v>
      </c>
    </row>
    <row r="1040" spans="22:29" ht="20.100000000000001" customHeight="1">
      <c r="V1040" s="944" t="e">
        <f>VLOOKUP(U1040,R_DD!$B$6:$E$2112,3,0)</f>
        <v>#N/A</v>
      </c>
      <c r="W1040" s="943" t="e">
        <f>VLOOKUP(U1040,R_DD!$B$6:$E$2112,4,0)</f>
        <v>#N/A</v>
      </c>
      <c r="Z1040" s="946" t="e">
        <f>VLOOKUP(X1040,R_DD!$B$6:$E$2112,3,0)</f>
        <v>#N/A</v>
      </c>
      <c r="AA1040" s="946" t="e">
        <f>VLOOKUP(Y1040,R_DD!$A$1:$L$2131,4,0)</f>
        <v>#N/A</v>
      </c>
      <c r="AB1040" s="947" t="e">
        <f>VLOOKUP(Y1040,R_DD!$A$1:$L$2131,5,0)</f>
        <v>#N/A</v>
      </c>
      <c r="AC1040" s="947" t="e">
        <f>VLOOKUP(X1040,R_DD!$B$6:$E$2112,4,0)</f>
        <v>#N/A</v>
      </c>
    </row>
    <row r="1041" spans="22:29" ht="20.100000000000001" customHeight="1">
      <c r="V1041" s="944" t="e">
        <f>VLOOKUP(U1041,R_DD!$B$6:$E$2112,3,0)</f>
        <v>#N/A</v>
      </c>
      <c r="W1041" s="943" t="e">
        <f>VLOOKUP(U1041,R_DD!$B$6:$E$2112,4,0)</f>
        <v>#N/A</v>
      </c>
      <c r="Z1041" s="946" t="e">
        <f>VLOOKUP(X1041,R_DD!$B$6:$E$2112,3,0)</f>
        <v>#N/A</v>
      </c>
      <c r="AA1041" s="946" t="e">
        <f>VLOOKUP(Y1041,R_DD!$A$1:$L$2131,4,0)</f>
        <v>#N/A</v>
      </c>
      <c r="AB1041" s="947" t="e">
        <f>VLOOKUP(Y1041,R_DD!$A$1:$L$2131,5,0)</f>
        <v>#N/A</v>
      </c>
      <c r="AC1041" s="947" t="e">
        <f>VLOOKUP(X1041,R_DD!$B$6:$E$2112,4,0)</f>
        <v>#N/A</v>
      </c>
    </row>
    <row r="1042" spans="22:29" ht="20.100000000000001" customHeight="1">
      <c r="V1042" s="944" t="e">
        <f>VLOOKUP(U1042,R_DD!$B$6:$E$2112,3,0)</f>
        <v>#N/A</v>
      </c>
      <c r="W1042" s="943" t="e">
        <f>VLOOKUP(U1042,R_DD!$B$6:$E$2112,4,0)</f>
        <v>#N/A</v>
      </c>
      <c r="Z1042" s="946" t="e">
        <f>VLOOKUP(X1042,R_DD!$B$6:$E$2112,3,0)</f>
        <v>#N/A</v>
      </c>
      <c r="AA1042" s="946" t="e">
        <f>VLOOKUP(Y1042,R_DD!$A$1:$L$2131,4,0)</f>
        <v>#N/A</v>
      </c>
      <c r="AB1042" s="947" t="e">
        <f>VLOOKUP(Y1042,R_DD!$A$1:$L$2131,5,0)</f>
        <v>#N/A</v>
      </c>
      <c r="AC1042" s="947" t="e">
        <f>VLOOKUP(X1042,R_DD!$B$6:$E$2112,4,0)</f>
        <v>#N/A</v>
      </c>
    </row>
    <row r="1043" spans="22:29" ht="20.100000000000001" customHeight="1">
      <c r="V1043" s="944" t="e">
        <f>VLOOKUP(U1043,R_DD!$B$6:$E$2112,3,0)</f>
        <v>#N/A</v>
      </c>
      <c r="W1043" s="943" t="e">
        <f>VLOOKUP(U1043,R_DD!$B$6:$E$2112,4,0)</f>
        <v>#N/A</v>
      </c>
      <c r="Z1043" s="946" t="e">
        <f>VLOOKUP(X1043,R_DD!$B$6:$E$2112,3,0)</f>
        <v>#N/A</v>
      </c>
      <c r="AA1043" s="946" t="e">
        <f>VLOOKUP(Y1043,R_DD!$A$1:$L$2131,4,0)</f>
        <v>#N/A</v>
      </c>
      <c r="AB1043" s="947" t="e">
        <f>VLOOKUP(Y1043,R_DD!$A$1:$L$2131,5,0)</f>
        <v>#N/A</v>
      </c>
      <c r="AC1043" s="947" t="e">
        <f>VLOOKUP(X1043,R_DD!$B$6:$E$2112,4,0)</f>
        <v>#N/A</v>
      </c>
    </row>
    <row r="1044" spans="22:29" ht="20.100000000000001" customHeight="1">
      <c r="V1044" s="944" t="e">
        <f>VLOOKUP(U1044,R_DD!$B$6:$E$2112,3,0)</f>
        <v>#N/A</v>
      </c>
      <c r="W1044" s="943" t="e">
        <f>VLOOKUP(U1044,R_DD!$B$6:$E$2112,4,0)</f>
        <v>#N/A</v>
      </c>
      <c r="Z1044" s="946" t="e">
        <f>VLOOKUP(X1044,R_DD!$B$6:$E$2112,3,0)</f>
        <v>#N/A</v>
      </c>
      <c r="AA1044" s="946" t="e">
        <f>VLOOKUP(Y1044,R_DD!$A$1:$L$2131,4,0)</f>
        <v>#N/A</v>
      </c>
      <c r="AB1044" s="947" t="e">
        <f>VLOOKUP(Y1044,R_DD!$A$1:$L$2131,5,0)</f>
        <v>#N/A</v>
      </c>
      <c r="AC1044" s="947" t="e">
        <f>VLOOKUP(X1044,R_DD!$B$6:$E$2112,4,0)</f>
        <v>#N/A</v>
      </c>
    </row>
    <row r="1045" spans="22:29" ht="20.100000000000001" customHeight="1">
      <c r="V1045" s="944" t="e">
        <f>VLOOKUP(U1045,R_DD!$B$6:$E$2112,3,0)</f>
        <v>#N/A</v>
      </c>
      <c r="W1045" s="943" t="e">
        <f>VLOOKUP(U1045,R_DD!$B$6:$E$2112,4,0)</f>
        <v>#N/A</v>
      </c>
      <c r="Z1045" s="946" t="e">
        <f>VLOOKUP(X1045,R_DD!$B$6:$E$2112,3,0)</f>
        <v>#N/A</v>
      </c>
      <c r="AA1045" s="946" t="e">
        <f>VLOOKUP(Y1045,R_DD!$A$1:$L$2131,4,0)</f>
        <v>#N/A</v>
      </c>
      <c r="AB1045" s="947" t="e">
        <f>VLOOKUP(Y1045,R_DD!$A$1:$L$2131,5,0)</f>
        <v>#N/A</v>
      </c>
      <c r="AC1045" s="947" t="e">
        <f>VLOOKUP(X1045,R_DD!$B$6:$E$2112,4,0)</f>
        <v>#N/A</v>
      </c>
    </row>
    <row r="1046" spans="22:29" ht="20.100000000000001" customHeight="1">
      <c r="V1046" s="944" t="e">
        <f>VLOOKUP(U1046,R_DD!$B$6:$E$2112,3,0)</f>
        <v>#N/A</v>
      </c>
      <c r="W1046" s="943" t="e">
        <f>VLOOKUP(U1046,R_DD!$B$6:$E$2112,4,0)</f>
        <v>#N/A</v>
      </c>
      <c r="Z1046" s="946" t="e">
        <f>VLOOKUP(X1046,R_DD!$B$6:$E$2112,3,0)</f>
        <v>#N/A</v>
      </c>
      <c r="AA1046" s="946" t="e">
        <f>VLOOKUP(Y1046,R_DD!$A$1:$L$2131,4,0)</f>
        <v>#N/A</v>
      </c>
      <c r="AB1046" s="947" t="e">
        <f>VLOOKUP(Y1046,R_DD!$A$1:$L$2131,5,0)</f>
        <v>#N/A</v>
      </c>
      <c r="AC1046" s="947" t="e">
        <f>VLOOKUP(X1046,R_DD!$B$6:$E$2112,4,0)</f>
        <v>#N/A</v>
      </c>
    </row>
    <row r="1047" spans="22:29" ht="20.100000000000001" customHeight="1">
      <c r="V1047" s="944" t="e">
        <f>VLOOKUP(U1047,R_DD!$B$6:$E$2112,3,0)</f>
        <v>#N/A</v>
      </c>
      <c r="W1047" s="943" t="e">
        <f>VLOOKUP(U1047,R_DD!$B$6:$E$2112,4,0)</f>
        <v>#N/A</v>
      </c>
      <c r="Z1047" s="946" t="e">
        <f>VLOOKUP(X1047,R_DD!$B$6:$E$2112,3,0)</f>
        <v>#N/A</v>
      </c>
      <c r="AA1047" s="946" t="e">
        <f>VLOOKUP(Y1047,R_DD!$A$1:$L$2131,4,0)</f>
        <v>#N/A</v>
      </c>
      <c r="AB1047" s="947" t="e">
        <f>VLOOKUP(Y1047,R_DD!$A$1:$L$2131,5,0)</f>
        <v>#N/A</v>
      </c>
      <c r="AC1047" s="947" t="e">
        <f>VLOOKUP(X1047,R_DD!$B$6:$E$2112,4,0)</f>
        <v>#N/A</v>
      </c>
    </row>
    <row r="1048" spans="22:29" ht="20.100000000000001" customHeight="1">
      <c r="V1048" s="944" t="e">
        <f>VLOOKUP(U1048,R_DD!$B$6:$E$2112,3,0)</f>
        <v>#N/A</v>
      </c>
      <c r="W1048" s="943" t="e">
        <f>VLOOKUP(U1048,R_DD!$B$6:$E$2112,4,0)</f>
        <v>#N/A</v>
      </c>
      <c r="Z1048" s="946" t="e">
        <f>VLOOKUP(X1048,R_DD!$B$6:$E$2112,3,0)</f>
        <v>#N/A</v>
      </c>
      <c r="AA1048" s="946" t="e">
        <f>VLOOKUP(Y1048,R_DD!$A$1:$L$2131,4,0)</f>
        <v>#N/A</v>
      </c>
      <c r="AB1048" s="947" t="e">
        <f>VLOOKUP(Y1048,R_DD!$A$1:$L$2131,5,0)</f>
        <v>#N/A</v>
      </c>
      <c r="AC1048" s="947" t="e">
        <f>VLOOKUP(X1048,R_DD!$B$6:$E$2112,4,0)</f>
        <v>#N/A</v>
      </c>
    </row>
    <row r="1049" spans="22:29" ht="20.100000000000001" customHeight="1">
      <c r="V1049" s="944" t="e">
        <f>VLOOKUP(U1049,R_DD!$B$6:$E$2112,3,0)</f>
        <v>#N/A</v>
      </c>
      <c r="W1049" s="943" t="e">
        <f>VLOOKUP(U1049,R_DD!$B$6:$E$2112,4,0)</f>
        <v>#N/A</v>
      </c>
      <c r="Z1049" s="946" t="e">
        <f>VLOOKUP(X1049,R_DD!$B$6:$E$2112,3,0)</f>
        <v>#N/A</v>
      </c>
      <c r="AA1049" s="946" t="e">
        <f>VLOOKUP(Y1049,R_DD!$A$1:$L$2131,4,0)</f>
        <v>#N/A</v>
      </c>
      <c r="AB1049" s="947" t="e">
        <f>VLOOKUP(Y1049,R_DD!$A$1:$L$2131,5,0)</f>
        <v>#N/A</v>
      </c>
      <c r="AC1049" s="947" t="e">
        <f>VLOOKUP(X1049,R_DD!$B$6:$E$2112,4,0)</f>
        <v>#N/A</v>
      </c>
    </row>
    <row r="1050" spans="22:29" ht="20.100000000000001" customHeight="1">
      <c r="V1050" s="944" t="e">
        <f>VLOOKUP(U1050,R_DD!$B$6:$E$2112,3,0)</f>
        <v>#N/A</v>
      </c>
      <c r="W1050" s="943" t="e">
        <f>VLOOKUP(U1050,R_DD!$B$6:$E$2112,4,0)</f>
        <v>#N/A</v>
      </c>
      <c r="Z1050" s="946" t="e">
        <f>VLOOKUP(X1050,R_DD!$B$6:$E$2112,3,0)</f>
        <v>#N/A</v>
      </c>
      <c r="AA1050" s="946" t="e">
        <f>VLOOKUP(Y1050,R_DD!$A$1:$L$2131,4,0)</f>
        <v>#N/A</v>
      </c>
      <c r="AB1050" s="947" t="e">
        <f>VLOOKUP(Y1050,R_DD!$A$1:$L$2131,5,0)</f>
        <v>#N/A</v>
      </c>
      <c r="AC1050" s="947" t="e">
        <f>VLOOKUP(X1050,R_DD!$B$6:$E$2112,4,0)</f>
        <v>#N/A</v>
      </c>
    </row>
    <row r="1051" spans="22:29" ht="20.100000000000001" customHeight="1">
      <c r="V1051" s="944" t="e">
        <f>VLOOKUP(U1051,R_DD!$B$6:$E$2112,3,0)</f>
        <v>#N/A</v>
      </c>
      <c r="W1051" s="943" t="e">
        <f>VLOOKUP(U1051,R_DD!$B$6:$E$2112,4,0)</f>
        <v>#N/A</v>
      </c>
      <c r="Z1051" s="946" t="e">
        <f>VLOOKUP(X1051,R_DD!$B$6:$E$2112,3,0)</f>
        <v>#N/A</v>
      </c>
      <c r="AA1051" s="946" t="e">
        <f>VLOOKUP(Y1051,R_DD!$A$1:$L$2131,4,0)</f>
        <v>#N/A</v>
      </c>
      <c r="AB1051" s="947" t="e">
        <f>VLOOKUP(Y1051,R_DD!$A$1:$L$2131,5,0)</f>
        <v>#N/A</v>
      </c>
      <c r="AC1051" s="947" t="e">
        <f>VLOOKUP(X1051,R_DD!$B$6:$E$2112,4,0)</f>
        <v>#N/A</v>
      </c>
    </row>
    <row r="1052" spans="22:29" ht="20.100000000000001" customHeight="1">
      <c r="V1052" s="944" t="e">
        <f>VLOOKUP(U1052,R_DD!$B$6:$E$2112,3,0)</f>
        <v>#N/A</v>
      </c>
      <c r="W1052" s="943" t="e">
        <f>VLOOKUP(U1052,R_DD!$B$6:$E$2112,4,0)</f>
        <v>#N/A</v>
      </c>
      <c r="Z1052" s="946" t="e">
        <f>VLOOKUP(X1052,R_DD!$B$6:$E$2112,3,0)</f>
        <v>#N/A</v>
      </c>
      <c r="AA1052" s="946" t="e">
        <f>VLOOKUP(Y1052,R_DD!$A$1:$L$2131,4,0)</f>
        <v>#N/A</v>
      </c>
      <c r="AB1052" s="947" t="e">
        <f>VLOOKUP(Y1052,R_DD!$A$1:$L$2131,5,0)</f>
        <v>#N/A</v>
      </c>
      <c r="AC1052" s="947" t="e">
        <f>VLOOKUP(X1052,R_DD!$B$6:$E$2112,4,0)</f>
        <v>#N/A</v>
      </c>
    </row>
    <row r="1053" spans="22:29" ht="20.100000000000001" customHeight="1">
      <c r="V1053" s="944" t="e">
        <f>VLOOKUP(U1053,R_DD!$B$6:$E$2112,3,0)</f>
        <v>#N/A</v>
      </c>
      <c r="W1053" s="943" t="e">
        <f>VLOOKUP(U1053,R_DD!$B$6:$E$2112,4,0)</f>
        <v>#N/A</v>
      </c>
      <c r="Z1053" s="946" t="e">
        <f>VLOOKUP(X1053,R_DD!$B$6:$E$2112,3,0)</f>
        <v>#N/A</v>
      </c>
      <c r="AA1053" s="946" t="e">
        <f>VLOOKUP(Y1053,R_DD!$A$1:$L$2131,4,0)</f>
        <v>#N/A</v>
      </c>
      <c r="AB1053" s="947" t="e">
        <f>VLOOKUP(Y1053,R_DD!$A$1:$L$2131,5,0)</f>
        <v>#N/A</v>
      </c>
      <c r="AC1053" s="947" t="e">
        <f>VLOOKUP(X1053,R_DD!$B$6:$E$2112,4,0)</f>
        <v>#N/A</v>
      </c>
    </row>
    <row r="1054" spans="22:29" ht="20.100000000000001" customHeight="1">
      <c r="V1054" s="944" t="e">
        <f>VLOOKUP(U1054,R_DD!$B$6:$E$2112,3,0)</f>
        <v>#N/A</v>
      </c>
      <c r="W1054" s="943" t="e">
        <f>VLOOKUP(U1054,R_DD!$B$6:$E$2112,4,0)</f>
        <v>#N/A</v>
      </c>
      <c r="Z1054" s="946" t="e">
        <f>VLOOKUP(X1054,R_DD!$B$6:$E$2112,3,0)</f>
        <v>#N/A</v>
      </c>
      <c r="AA1054" s="946" t="e">
        <f>VLOOKUP(Y1054,R_DD!$A$1:$L$2131,4,0)</f>
        <v>#N/A</v>
      </c>
      <c r="AB1054" s="947" t="e">
        <f>VLOOKUP(Y1054,R_DD!$A$1:$L$2131,5,0)</f>
        <v>#N/A</v>
      </c>
      <c r="AC1054" s="947" t="e">
        <f>VLOOKUP(X1054,R_DD!$B$6:$E$2112,4,0)</f>
        <v>#N/A</v>
      </c>
    </row>
    <row r="1055" spans="22:29" ht="20.100000000000001" customHeight="1">
      <c r="V1055" s="944" t="e">
        <f>VLOOKUP(U1055,R_DD!$B$6:$E$2112,3,0)</f>
        <v>#N/A</v>
      </c>
      <c r="W1055" s="943" t="e">
        <f>VLOOKUP(U1055,R_DD!$B$6:$E$2112,4,0)</f>
        <v>#N/A</v>
      </c>
      <c r="Z1055" s="946" t="e">
        <f>VLOOKUP(X1055,R_DD!$B$6:$E$2112,3,0)</f>
        <v>#N/A</v>
      </c>
      <c r="AA1055" s="946" t="e">
        <f>VLOOKUP(Y1055,R_DD!$A$1:$L$2131,4,0)</f>
        <v>#N/A</v>
      </c>
      <c r="AB1055" s="947" t="e">
        <f>VLOOKUP(Y1055,R_DD!$A$1:$L$2131,5,0)</f>
        <v>#N/A</v>
      </c>
      <c r="AC1055" s="947" t="e">
        <f>VLOOKUP(X1055,R_DD!$B$6:$E$2112,4,0)</f>
        <v>#N/A</v>
      </c>
    </row>
    <row r="1056" spans="22:29" ht="20.100000000000001" customHeight="1">
      <c r="V1056" s="944" t="e">
        <f>VLOOKUP(U1056,R_DD!$B$6:$E$2112,3,0)</f>
        <v>#N/A</v>
      </c>
      <c r="W1056" s="943" t="e">
        <f>VLOOKUP(U1056,R_DD!$B$6:$E$2112,4,0)</f>
        <v>#N/A</v>
      </c>
      <c r="Z1056" s="946" t="e">
        <f>VLOOKUP(X1056,R_DD!$B$6:$E$2112,3,0)</f>
        <v>#N/A</v>
      </c>
      <c r="AA1056" s="946" t="e">
        <f>VLOOKUP(Y1056,R_DD!$A$1:$L$2131,4,0)</f>
        <v>#N/A</v>
      </c>
      <c r="AB1056" s="947" t="e">
        <f>VLOOKUP(Y1056,R_DD!$A$1:$L$2131,5,0)</f>
        <v>#N/A</v>
      </c>
      <c r="AC1056" s="947" t="e">
        <f>VLOOKUP(X1056,R_DD!$B$6:$E$2112,4,0)</f>
        <v>#N/A</v>
      </c>
    </row>
    <row r="1057" spans="22:29" ht="20.100000000000001" customHeight="1">
      <c r="V1057" s="944" t="e">
        <f>VLOOKUP(U1057,R_DD!$B$6:$E$2112,3,0)</f>
        <v>#N/A</v>
      </c>
      <c r="W1057" s="943" t="e">
        <f>VLOOKUP(U1057,R_DD!$B$6:$E$2112,4,0)</f>
        <v>#N/A</v>
      </c>
      <c r="Z1057" s="946" t="e">
        <f>VLOOKUP(X1057,R_DD!$B$6:$E$2112,3,0)</f>
        <v>#N/A</v>
      </c>
      <c r="AA1057" s="946" t="e">
        <f>VLOOKUP(Y1057,R_DD!$A$1:$L$2131,4,0)</f>
        <v>#N/A</v>
      </c>
      <c r="AB1057" s="947" t="e">
        <f>VLOOKUP(Y1057,R_DD!$A$1:$L$2131,5,0)</f>
        <v>#N/A</v>
      </c>
      <c r="AC1057" s="947" t="e">
        <f>VLOOKUP(X1057,R_DD!$B$6:$E$2112,4,0)</f>
        <v>#N/A</v>
      </c>
    </row>
    <row r="1058" spans="22:29" ht="20.100000000000001" customHeight="1">
      <c r="V1058" s="944" t="e">
        <f>VLOOKUP(U1058,R_DD!$B$6:$E$2112,3,0)</f>
        <v>#N/A</v>
      </c>
      <c r="W1058" s="943" t="e">
        <f>VLOOKUP(U1058,R_DD!$B$6:$E$2112,4,0)</f>
        <v>#N/A</v>
      </c>
      <c r="Z1058" s="946" t="e">
        <f>VLOOKUP(X1058,R_DD!$B$6:$E$2112,3,0)</f>
        <v>#N/A</v>
      </c>
      <c r="AA1058" s="946" t="e">
        <f>VLOOKUP(Y1058,R_DD!$A$1:$L$2131,4,0)</f>
        <v>#N/A</v>
      </c>
      <c r="AB1058" s="947" t="e">
        <f>VLOOKUP(Y1058,R_DD!$A$1:$L$2131,5,0)</f>
        <v>#N/A</v>
      </c>
      <c r="AC1058" s="947" t="e">
        <f>VLOOKUP(X1058,R_DD!$B$6:$E$2112,4,0)</f>
        <v>#N/A</v>
      </c>
    </row>
    <row r="1059" spans="22:29" ht="20.100000000000001" customHeight="1">
      <c r="V1059" s="944" t="e">
        <f>VLOOKUP(U1059,R_DD!$B$6:$E$2112,3,0)</f>
        <v>#N/A</v>
      </c>
      <c r="W1059" s="943" t="e">
        <f>VLOOKUP(U1059,R_DD!$B$6:$E$2112,4,0)</f>
        <v>#N/A</v>
      </c>
      <c r="Z1059" s="946" t="e">
        <f>VLOOKUP(X1059,R_DD!$B$6:$E$2112,3,0)</f>
        <v>#N/A</v>
      </c>
      <c r="AA1059" s="946" t="e">
        <f>VLOOKUP(Y1059,R_DD!$A$1:$L$2131,4,0)</f>
        <v>#N/A</v>
      </c>
      <c r="AB1059" s="947" t="e">
        <f>VLOOKUP(Y1059,R_DD!$A$1:$L$2131,5,0)</f>
        <v>#N/A</v>
      </c>
      <c r="AC1059" s="947" t="e">
        <f>VLOOKUP(X1059,R_DD!$B$6:$E$2112,4,0)</f>
        <v>#N/A</v>
      </c>
    </row>
    <row r="1060" spans="22:29" ht="20.100000000000001" customHeight="1">
      <c r="V1060" s="944" t="e">
        <f>VLOOKUP(U1060,R_DD!$B$6:$E$2112,3,0)</f>
        <v>#N/A</v>
      </c>
      <c r="W1060" s="943" t="e">
        <f>VLOOKUP(U1060,R_DD!$B$6:$E$2112,4,0)</f>
        <v>#N/A</v>
      </c>
      <c r="Z1060" s="946" t="e">
        <f>VLOOKUP(X1060,R_DD!$B$6:$E$2112,3,0)</f>
        <v>#N/A</v>
      </c>
      <c r="AA1060" s="946" t="e">
        <f>VLOOKUP(Y1060,R_DD!$A$1:$L$2131,4,0)</f>
        <v>#N/A</v>
      </c>
      <c r="AB1060" s="947" t="e">
        <f>VLOOKUP(Y1060,R_DD!$A$1:$L$2131,5,0)</f>
        <v>#N/A</v>
      </c>
      <c r="AC1060" s="947" t="e">
        <f>VLOOKUP(X1060,R_DD!$B$6:$E$2112,4,0)</f>
        <v>#N/A</v>
      </c>
    </row>
    <row r="1061" spans="22:29" ht="20.100000000000001" customHeight="1">
      <c r="V1061" s="944" t="e">
        <f>VLOOKUP(U1061,R_DD!$B$6:$E$2112,3,0)</f>
        <v>#N/A</v>
      </c>
      <c r="W1061" s="943" t="e">
        <f>VLOOKUP(U1061,R_DD!$B$6:$E$2112,4,0)</f>
        <v>#N/A</v>
      </c>
      <c r="Z1061" s="946" t="e">
        <f>VLOOKUP(X1061,R_DD!$B$6:$E$2112,3,0)</f>
        <v>#N/A</v>
      </c>
      <c r="AA1061" s="946" t="e">
        <f>VLOOKUP(Y1061,R_DD!$A$1:$L$2131,4,0)</f>
        <v>#N/A</v>
      </c>
      <c r="AB1061" s="947" t="e">
        <f>VLOOKUP(Y1061,R_DD!$A$1:$L$2131,5,0)</f>
        <v>#N/A</v>
      </c>
      <c r="AC1061" s="947" t="e">
        <f>VLOOKUP(X1061,R_DD!$B$6:$E$2112,4,0)</f>
        <v>#N/A</v>
      </c>
    </row>
    <row r="1062" spans="22:29" ht="20.100000000000001" customHeight="1">
      <c r="V1062" s="944" t="e">
        <f>VLOOKUP(U1062,R_DD!$B$6:$E$2112,3,0)</f>
        <v>#N/A</v>
      </c>
      <c r="W1062" s="943" t="e">
        <f>VLOOKUP(U1062,R_DD!$B$6:$E$2112,4,0)</f>
        <v>#N/A</v>
      </c>
      <c r="Z1062" s="946" t="e">
        <f>VLOOKUP(X1062,R_DD!$B$6:$E$2112,3,0)</f>
        <v>#N/A</v>
      </c>
      <c r="AA1062" s="946" t="e">
        <f>VLOOKUP(Y1062,R_DD!$A$1:$L$2131,4,0)</f>
        <v>#N/A</v>
      </c>
      <c r="AB1062" s="947" t="e">
        <f>VLOOKUP(Y1062,R_DD!$A$1:$L$2131,5,0)</f>
        <v>#N/A</v>
      </c>
      <c r="AC1062" s="947" t="e">
        <f>VLOOKUP(X1062,R_DD!$B$6:$E$2112,4,0)</f>
        <v>#N/A</v>
      </c>
    </row>
    <row r="1063" spans="22:29" ht="20.100000000000001" customHeight="1">
      <c r="V1063" s="944" t="e">
        <f>VLOOKUP(U1063,R_DD!$B$6:$E$2112,3,0)</f>
        <v>#N/A</v>
      </c>
      <c r="W1063" s="943" t="e">
        <f>VLOOKUP(U1063,R_DD!$B$6:$E$2112,4,0)</f>
        <v>#N/A</v>
      </c>
      <c r="Z1063" s="946" t="e">
        <f>VLOOKUP(X1063,R_DD!$B$6:$E$2112,3,0)</f>
        <v>#N/A</v>
      </c>
      <c r="AA1063" s="946" t="e">
        <f>VLOOKUP(Y1063,R_DD!$A$1:$L$2131,4,0)</f>
        <v>#N/A</v>
      </c>
      <c r="AB1063" s="947" t="e">
        <f>VLOOKUP(Y1063,R_DD!$A$1:$L$2131,5,0)</f>
        <v>#N/A</v>
      </c>
      <c r="AC1063" s="947" t="e">
        <f>VLOOKUP(X1063,R_DD!$B$6:$E$2112,4,0)</f>
        <v>#N/A</v>
      </c>
    </row>
    <row r="1064" spans="22:29" ht="20.100000000000001" customHeight="1">
      <c r="V1064" s="944" t="e">
        <f>VLOOKUP(U1064,R_DD!$B$6:$E$2112,3,0)</f>
        <v>#N/A</v>
      </c>
      <c r="W1064" s="943" t="e">
        <f>VLOOKUP(U1064,R_DD!$B$6:$E$2112,4,0)</f>
        <v>#N/A</v>
      </c>
      <c r="Z1064" s="946" t="e">
        <f>VLOOKUP(X1064,R_DD!$B$6:$E$2112,3,0)</f>
        <v>#N/A</v>
      </c>
      <c r="AA1064" s="946" t="e">
        <f>VLOOKUP(Y1064,R_DD!$A$1:$L$2131,4,0)</f>
        <v>#N/A</v>
      </c>
      <c r="AB1064" s="947" t="e">
        <f>VLOOKUP(Y1064,R_DD!$A$1:$L$2131,5,0)</f>
        <v>#N/A</v>
      </c>
      <c r="AC1064" s="947" t="e">
        <f>VLOOKUP(X1064,R_DD!$B$6:$E$2112,4,0)</f>
        <v>#N/A</v>
      </c>
    </row>
    <row r="1065" spans="22:29" ht="20.100000000000001" customHeight="1">
      <c r="V1065" s="944" t="e">
        <f>VLOOKUP(U1065,R_DD!$B$6:$E$2112,3,0)</f>
        <v>#N/A</v>
      </c>
      <c r="W1065" s="943" t="e">
        <f>VLOOKUP(U1065,R_DD!$B$6:$E$2112,4,0)</f>
        <v>#N/A</v>
      </c>
      <c r="Z1065" s="946" t="e">
        <f>VLOOKUP(X1065,R_DD!$B$6:$E$2112,3,0)</f>
        <v>#N/A</v>
      </c>
      <c r="AA1065" s="946" t="e">
        <f>VLOOKUP(Y1065,R_DD!$A$1:$L$2131,4,0)</f>
        <v>#N/A</v>
      </c>
      <c r="AB1065" s="947" t="e">
        <f>VLOOKUP(Y1065,R_DD!$A$1:$L$2131,5,0)</f>
        <v>#N/A</v>
      </c>
      <c r="AC1065" s="947" t="e">
        <f>VLOOKUP(X1065,R_DD!$B$6:$E$2112,4,0)</f>
        <v>#N/A</v>
      </c>
    </row>
    <row r="1066" spans="22:29" ht="20.100000000000001" customHeight="1">
      <c r="V1066" s="944" t="e">
        <f>VLOOKUP(U1066,R_DD!$B$6:$E$2112,3,0)</f>
        <v>#N/A</v>
      </c>
      <c r="W1066" s="943" t="e">
        <f>VLOOKUP(U1066,R_DD!$B$6:$E$2112,4,0)</f>
        <v>#N/A</v>
      </c>
      <c r="Z1066" s="946" t="e">
        <f>VLOOKUP(X1066,R_DD!$B$6:$E$2112,3,0)</f>
        <v>#N/A</v>
      </c>
      <c r="AA1066" s="946" t="e">
        <f>VLOOKUP(Y1066,R_DD!$A$1:$L$2131,4,0)</f>
        <v>#N/A</v>
      </c>
      <c r="AB1066" s="947" t="e">
        <f>VLOOKUP(Y1066,R_DD!$A$1:$L$2131,5,0)</f>
        <v>#N/A</v>
      </c>
      <c r="AC1066" s="947" t="e">
        <f>VLOOKUP(X1066,R_DD!$B$6:$E$2112,4,0)</f>
        <v>#N/A</v>
      </c>
    </row>
    <row r="1067" spans="22:29" ht="20.100000000000001" customHeight="1">
      <c r="V1067" s="944" t="e">
        <f>VLOOKUP(U1067,R_DD!$B$6:$E$2112,3,0)</f>
        <v>#N/A</v>
      </c>
      <c r="W1067" s="943" t="e">
        <f>VLOOKUP(U1067,R_DD!$B$6:$E$2112,4,0)</f>
        <v>#N/A</v>
      </c>
      <c r="Z1067" s="946" t="e">
        <f>VLOOKUP(X1067,R_DD!$B$6:$E$2112,3,0)</f>
        <v>#N/A</v>
      </c>
      <c r="AA1067" s="946" t="e">
        <f>VLOOKUP(Y1067,R_DD!$A$1:$L$2131,4,0)</f>
        <v>#N/A</v>
      </c>
      <c r="AB1067" s="947" t="e">
        <f>VLOOKUP(Y1067,R_DD!$A$1:$L$2131,5,0)</f>
        <v>#N/A</v>
      </c>
      <c r="AC1067" s="947" t="e">
        <f>VLOOKUP(X1067,R_DD!$B$6:$E$2112,4,0)</f>
        <v>#N/A</v>
      </c>
    </row>
    <row r="1068" spans="22:29" ht="20.100000000000001" customHeight="1">
      <c r="V1068" s="944" t="e">
        <f>VLOOKUP(U1068,R_DD!$B$6:$E$2112,3,0)</f>
        <v>#N/A</v>
      </c>
      <c r="W1068" s="943" t="e">
        <f>VLOOKUP(U1068,R_DD!$B$6:$E$2112,4,0)</f>
        <v>#N/A</v>
      </c>
      <c r="Z1068" s="946" t="e">
        <f>VLOOKUP(X1068,R_DD!$B$6:$E$2112,3,0)</f>
        <v>#N/A</v>
      </c>
      <c r="AA1068" s="946" t="e">
        <f>VLOOKUP(Y1068,R_DD!$A$1:$L$2131,4,0)</f>
        <v>#N/A</v>
      </c>
      <c r="AB1068" s="947" t="e">
        <f>VLOOKUP(Y1068,R_DD!$A$1:$L$2131,5,0)</f>
        <v>#N/A</v>
      </c>
      <c r="AC1068" s="947" t="e">
        <f>VLOOKUP(X1068,R_DD!$B$6:$E$2112,4,0)</f>
        <v>#N/A</v>
      </c>
    </row>
    <row r="1069" spans="22:29" ht="20.100000000000001" customHeight="1">
      <c r="V1069" s="944" t="e">
        <f>VLOOKUP(U1069,R_DD!$B$6:$E$2112,3,0)</f>
        <v>#N/A</v>
      </c>
      <c r="W1069" s="943" t="e">
        <f>VLOOKUP(U1069,R_DD!$B$6:$E$2112,4,0)</f>
        <v>#N/A</v>
      </c>
      <c r="Z1069" s="946" t="e">
        <f>VLOOKUP(X1069,R_DD!$B$6:$E$2112,3,0)</f>
        <v>#N/A</v>
      </c>
      <c r="AA1069" s="946" t="e">
        <f>VLOOKUP(Y1069,R_DD!$A$1:$L$2131,4,0)</f>
        <v>#N/A</v>
      </c>
      <c r="AB1069" s="947" t="e">
        <f>VLOOKUP(Y1069,R_DD!$A$1:$L$2131,5,0)</f>
        <v>#N/A</v>
      </c>
      <c r="AC1069" s="947" t="e">
        <f>VLOOKUP(X1069,R_DD!$B$6:$E$2112,4,0)</f>
        <v>#N/A</v>
      </c>
    </row>
    <row r="1070" spans="22:29" ht="20.100000000000001" customHeight="1">
      <c r="V1070" s="944" t="e">
        <f>VLOOKUP(U1070,R_DD!$B$6:$E$2112,3,0)</f>
        <v>#N/A</v>
      </c>
      <c r="W1070" s="943" t="e">
        <f>VLOOKUP(U1070,R_DD!$B$6:$E$2112,4,0)</f>
        <v>#N/A</v>
      </c>
      <c r="Z1070" s="946" t="e">
        <f>VLOOKUP(X1070,R_DD!$B$6:$E$2112,3,0)</f>
        <v>#N/A</v>
      </c>
      <c r="AA1070" s="946" t="e">
        <f>VLOOKUP(Y1070,R_DD!$A$1:$L$2131,4,0)</f>
        <v>#N/A</v>
      </c>
      <c r="AB1070" s="947" t="e">
        <f>VLOOKUP(Y1070,R_DD!$A$1:$L$2131,5,0)</f>
        <v>#N/A</v>
      </c>
      <c r="AC1070" s="947" t="e">
        <f>VLOOKUP(X1070,R_DD!$B$6:$E$2112,4,0)</f>
        <v>#N/A</v>
      </c>
    </row>
    <row r="1071" spans="22:29" ht="20.100000000000001" customHeight="1">
      <c r="V1071" s="944" t="e">
        <f>VLOOKUP(U1071,R_DD!$B$6:$E$2112,3,0)</f>
        <v>#N/A</v>
      </c>
      <c r="W1071" s="943" t="e">
        <f>VLOOKUP(U1071,R_DD!$B$6:$E$2112,4,0)</f>
        <v>#N/A</v>
      </c>
      <c r="Z1071" s="946" t="e">
        <f>VLOOKUP(X1071,R_DD!$B$6:$E$2112,3,0)</f>
        <v>#N/A</v>
      </c>
      <c r="AA1071" s="946" t="e">
        <f>VLOOKUP(Y1071,R_DD!$A$1:$L$2131,4,0)</f>
        <v>#N/A</v>
      </c>
      <c r="AB1071" s="947" t="e">
        <f>VLOOKUP(Y1071,R_DD!$A$1:$L$2131,5,0)</f>
        <v>#N/A</v>
      </c>
      <c r="AC1071" s="947" t="e">
        <f>VLOOKUP(X1071,R_DD!$B$6:$E$2112,4,0)</f>
        <v>#N/A</v>
      </c>
    </row>
    <row r="1072" spans="22:29" ht="20.100000000000001" customHeight="1">
      <c r="V1072" s="944" t="e">
        <f>VLOOKUP(U1072,R_DD!$B$6:$E$2112,3,0)</f>
        <v>#N/A</v>
      </c>
      <c r="W1072" s="943" t="e">
        <f>VLOOKUP(U1072,R_DD!$B$6:$E$2112,4,0)</f>
        <v>#N/A</v>
      </c>
      <c r="Z1072" s="946" t="e">
        <f>VLOOKUP(X1072,R_DD!$B$6:$E$2112,3,0)</f>
        <v>#N/A</v>
      </c>
      <c r="AA1072" s="946" t="e">
        <f>VLOOKUP(Y1072,R_DD!$A$1:$L$2131,4,0)</f>
        <v>#N/A</v>
      </c>
      <c r="AB1072" s="947" t="e">
        <f>VLOOKUP(Y1072,R_DD!$A$1:$L$2131,5,0)</f>
        <v>#N/A</v>
      </c>
      <c r="AC1072" s="947" t="e">
        <f>VLOOKUP(X1072,R_DD!$B$6:$E$2112,4,0)</f>
        <v>#N/A</v>
      </c>
    </row>
    <row r="1073" spans="22:29" ht="20.100000000000001" customHeight="1">
      <c r="V1073" s="944" t="e">
        <f>VLOOKUP(U1073,R_DD!$B$6:$E$2112,3,0)</f>
        <v>#N/A</v>
      </c>
      <c r="W1073" s="943" t="e">
        <f>VLOOKUP(U1073,R_DD!$B$6:$E$2112,4,0)</f>
        <v>#N/A</v>
      </c>
      <c r="Z1073" s="946" t="e">
        <f>VLOOKUP(X1073,R_DD!$B$6:$E$2112,3,0)</f>
        <v>#N/A</v>
      </c>
      <c r="AA1073" s="946" t="e">
        <f>VLOOKUP(Y1073,R_DD!$A$1:$L$2131,4,0)</f>
        <v>#N/A</v>
      </c>
      <c r="AB1073" s="947" t="e">
        <f>VLOOKUP(Y1073,R_DD!$A$1:$L$2131,5,0)</f>
        <v>#N/A</v>
      </c>
      <c r="AC1073" s="947" t="e">
        <f>VLOOKUP(X1073,R_DD!$B$6:$E$2112,4,0)</f>
        <v>#N/A</v>
      </c>
    </row>
    <row r="1074" spans="22:29" ht="20.100000000000001" customHeight="1">
      <c r="V1074" s="944" t="e">
        <f>VLOOKUP(U1074,R_DD!$B$6:$E$2112,3,0)</f>
        <v>#N/A</v>
      </c>
      <c r="W1074" s="943" t="e">
        <f>VLOOKUP(U1074,R_DD!$B$6:$E$2112,4,0)</f>
        <v>#N/A</v>
      </c>
      <c r="Z1074" s="946" t="e">
        <f>VLOOKUP(X1074,R_DD!$B$6:$E$2112,3,0)</f>
        <v>#N/A</v>
      </c>
      <c r="AA1074" s="946" t="e">
        <f>VLOOKUP(Y1074,R_DD!$A$1:$L$2131,4,0)</f>
        <v>#N/A</v>
      </c>
      <c r="AB1074" s="947" t="e">
        <f>VLOOKUP(Y1074,R_DD!$A$1:$L$2131,5,0)</f>
        <v>#N/A</v>
      </c>
      <c r="AC1074" s="947" t="e">
        <f>VLOOKUP(X1074,R_DD!$B$6:$E$2112,4,0)</f>
        <v>#N/A</v>
      </c>
    </row>
    <row r="1075" spans="22:29" ht="20.100000000000001" customHeight="1">
      <c r="V1075" s="944" t="e">
        <f>VLOOKUP(U1075,R_DD!$B$6:$E$2112,3,0)</f>
        <v>#N/A</v>
      </c>
      <c r="W1075" s="943" t="e">
        <f>VLOOKUP(U1075,R_DD!$B$6:$E$2112,4,0)</f>
        <v>#N/A</v>
      </c>
      <c r="Z1075" s="946" t="e">
        <f>VLOOKUP(X1075,R_DD!$B$6:$E$2112,3,0)</f>
        <v>#N/A</v>
      </c>
      <c r="AA1075" s="946" t="e">
        <f>VLOOKUP(Y1075,R_DD!$A$1:$L$2131,4,0)</f>
        <v>#N/A</v>
      </c>
      <c r="AB1075" s="947" t="e">
        <f>VLOOKUP(Y1075,R_DD!$A$1:$L$2131,5,0)</f>
        <v>#N/A</v>
      </c>
      <c r="AC1075" s="947" t="e">
        <f>VLOOKUP(X1075,R_DD!$B$6:$E$2112,4,0)</f>
        <v>#N/A</v>
      </c>
    </row>
    <row r="1076" spans="22:29" ht="20.100000000000001" customHeight="1">
      <c r="V1076" s="944" t="e">
        <f>VLOOKUP(U1076,R_DD!$B$6:$E$2112,3,0)</f>
        <v>#N/A</v>
      </c>
      <c r="W1076" s="943" t="e">
        <f>VLOOKUP(U1076,R_DD!$B$6:$E$2112,4,0)</f>
        <v>#N/A</v>
      </c>
      <c r="Z1076" s="946" t="e">
        <f>VLOOKUP(X1076,R_DD!$B$6:$E$2112,3,0)</f>
        <v>#N/A</v>
      </c>
      <c r="AA1076" s="946" t="e">
        <f>VLOOKUP(Y1076,R_DD!$A$1:$L$2131,4,0)</f>
        <v>#N/A</v>
      </c>
      <c r="AB1076" s="947" t="e">
        <f>VLOOKUP(Y1076,R_DD!$A$1:$L$2131,5,0)</f>
        <v>#N/A</v>
      </c>
      <c r="AC1076" s="947" t="e">
        <f>VLOOKUP(X1076,R_DD!$B$6:$E$2112,4,0)</f>
        <v>#N/A</v>
      </c>
    </row>
    <row r="1077" spans="22:29" ht="20.100000000000001" customHeight="1">
      <c r="V1077" s="944" t="e">
        <f>VLOOKUP(U1077,R_DD!$B$6:$E$2112,3,0)</f>
        <v>#N/A</v>
      </c>
      <c r="W1077" s="943" t="e">
        <f>VLOOKUP(U1077,R_DD!$B$6:$E$2112,4,0)</f>
        <v>#N/A</v>
      </c>
      <c r="Z1077" s="946" t="e">
        <f>VLOOKUP(X1077,R_DD!$B$6:$E$2112,3,0)</f>
        <v>#N/A</v>
      </c>
      <c r="AA1077" s="946" t="e">
        <f>VLOOKUP(Y1077,R_DD!$A$1:$L$2131,4,0)</f>
        <v>#N/A</v>
      </c>
      <c r="AB1077" s="947" t="e">
        <f>VLOOKUP(Y1077,R_DD!$A$1:$L$2131,5,0)</f>
        <v>#N/A</v>
      </c>
      <c r="AC1077" s="947" t="e">
        <f>VLOOKUP(X1077,R_DD!$B$6:$E$2112,4,0)</f>
        <v>#N/A</v>
      </c>
    </row>
    <row r="1078" spans="22:29" ht="20.100000000000001" customHeight="1">
      <c r="V1078" s="944" t="e">
        <f>VLOOKUP(U1078,R_DD!$B$6:$E$2112,3,0)</f>
        <v>#N/A</v>
      </c>
      <c r="W1078" s="943" t="e">
        <f>VLOOKUP(U1078,R_DD!$B$6:$E$2112,4,0)</f>
        <v>#N/A</v>
      </c>
      <c r="Z1078" s="946" t="e">
        <f>VLOOKUP(X1078,R_DD!$B$6:$E$2112,3,0)</f>
        <v>#N/A</v>
      </c>
      <c r="AA1078" s="946" t="e">
        <f>VLOOKUP(Y1078,R_DD!$A$1:$L$2131,4,0)</f>
        <v>#N/A</v>
      </c>
      <c r="AB1078" s="947" t="e">
        <f>VLOOKUP(Y1078,R_DD!$A$1:$L$2131,5,0)</f>
        <v>#N/A</v>
      </c>
      <c r="AC1078" s="947" t="e">
        <f>VLOOKUP(X1078,R_DD!$B$6:$E$2112,4,0)</f>
        <v>#N/A</v>
      </c>
    </row>
    <row r="1079" spans="22:29" ht="20.100000000000001" customHeight="1">
      <c r="V1079" s="944" t="e">
        <f>VLOOKUP(U1079,R_DD!$B$6:$E$2112,3,0)</f>
        <v>#N/A</v>
      </c>
      <c r="W1079" s="943" t="e">
        <f>VLOOKUP(U1079,R_DD!$B$6:$E$2112,4,0)</f>
        <v>#N/A</v>
      </c>
      <c r="Z1079" s="946" t="e">
        <f>VLOOKUP(X1079,R_DD!$B$6:$E$2112,3,0)</f>
        <v>#N/A</v>
      </c>
      <c r="AA1079" s="946" t="e">
        <f>VLOOKUP(Y1079,R_DD!$A$1:$L$2131,4,0)</f>
        <v>#N/A</v>
      </c>
      <c r="AB1079" s="947" t="e">
        <f>VLOOKUP(Y1079,R_DD!$A$1:$L$2131,5,0)</f>
        <v>#N/A</v>
      </c>
      <c r="AC1079" s="947" t="e">
        <f>VLOOKUP(X1079,R_DD!$B$6:$E$2112,4,0)</f>
        <v>#N/A</v>
      </c>
    </row>
    <row r="1080" spans="22:29" ht="20.100000000000001" customHeight="1">
      <c r="V1080" s="944" t="e">
        <f>VLOOKUP(U1080,R_DD!$B$6:$E$2112,3,0)</f>
        <v>#N/A</v>
      </c>
      <c r="W1080" s="943" t="e">
        <f>VLOOKUP(U1080,R_DD!$B$6:$E$2112,4,0)</f>
        <v>#N/A</v>
      </c>
      <c r="Z1080" s="946" t="e">
        <f>VLOOKUP(X1080,R_DD!$B$6:$E$2112,3,0)</f>
        <v>#N/A</v>
      </c>
      <c r="AA1080" s="946" t="e">
        <f>VLOOKUP(Y1080,R_DD!$A$1:$L$2131,4,0)</f>
        <v>#N/A</v>
      </c>
      <c r="AB1080" s="947" t="e">
        <f>VLOOKUP(Y1080,R_DD!$A$1:$L$2131,5,0)</f>
        <v>#N/A</v>
      </c>
      <c r="AC1080" s="947" t="e">
        <f>VLOOKUP(X1080,R_DD!$B$6:$E$2112,4,0)</f>
        <v>#N/A</v>
      </c>
    </row>
    <row r="1081" spans="22:29" ht="20.100000000000001" customHeight="1">
      <c r="V1081" s="944" t="e">
        <f>VLOOKUP(U1081,R_DD!$B$6:$E$2112,3,0)</f>
        <v>#N/A</v>
      </c>
      <c r="W1081" s="943" t="e">
        <f>VLOOKUP(U1081,R_DD!$B$6:$E$2112,4,0)</f>
        <v>#N/A</v>
      </c>
      <c r="Z1081" s="946" t="e">
        <f>VLOOKUP(X1081,R_DD!$B$6:$E$2112,3,0)</f>
        <v>#N/A</v>
      </c>
      <c r="AA1081" s="946" t="e">
        <f>VLOOKUP(Y1081,R_DD!$A$1:$L$2131,4,0)</f>
        <v>#N/A</v>
      </c>
      <c r="AB1081" s="947" t="e">
        <f>VLOOKUP(Y1081,R_DD!$A$1:$L$2131,5,0)</f>
        <v>#N/A</v>
      </c>
      <c r="AC1081" s="947" t="e">
        <f>VLOOKUP(X1081,R_DD!$B$6:$E$2112,4,0)</f>
        <v>#N/A</v>
      </c>
    </row>
    <row r="1082" spans="22:29" ht="20.100000000000001" customHeight="1">
      <c r="V1082" s="944" t="e">
        <f>VLOOKUP(U1082,R_DD!$B$6:$E$2112,3,0)</f>
        <v>#N/A</v>
      </c>
      <c r="W1082" s="943" t="e">
        <f>VLOOKUP(U1082,R_DD!$B$6:$E$2112,4,0)</f>
        <v>#N/A</v>
      </c>
      <c r="Z1082" s="946" t="e">
        <f>VLOOKUP(X1082,R_DD!$B$6:$E$2112,3,0)</f>
        <v>#N/A</v>
      </c>
      <c r="AA1082" s="946" t="e">
        <f>VLOOKUP(Y1082,R_DD!$A$1:$L$2131,4,0)</f>
        <v>#N/A</v>
      </c>
      <c r="AB1082" s="947" t="e">
        <f>VLOOKUP(Y1082,R_DD!$A$1:$L$2131,5,0)</f>
        <v>#N/A</v>
      </c>
      <c r="AC1082" s="947" t="e">
        <f>VLOOKUP(X1082,R_DD!$B$6:$E$2112,4,0)</f>
        <v>#N/A</v>
      </c>
    </row>
    <row r="1083" spans="22:29" ht="20.100000000000001" customHeight="1">
      <c r="V1083" s="944" t="e">
        <f>VLOOKUP(U1083,R_DD!$B$6:$E$2112,3,0)</f>
        <v>#N/A</v>
      </c>
      <c r="W1083" s="943" t="e">
        <f>VLOOKUP(U1083,R_DD!$B$6:$E$2112,4,0)</f>
        <v>#N/A</v>
      </c>
      <c r="Z1083" s="946" t="e">
        <f>VLOOKUP(X1083,R_DD!$B$6:$E$2112,3,0)</f>
        <v>#N/A</v>
      </c>
      <c r="AA1083" s="946" t="e">
        <f>VLOOKUP(Y1083,R_DD!$A$1:$L$2131,4,0)</f>
        <v>#N/A</v>
      </c>
      <c r="AB1083" s="947" t="e">
        <f>VLOOKUP(Y1083,R_DD!$A$1:$L$2131,5,0)</f>
        <v>#N/A</v>
      </c>
      <c r="AC1083" s="947" t="e">
        <f>VLOOKUP(X1083,R_DD!$B$6:$E$2112,4,0)</f>
        <v>#N/A</v>
      </c>
    </row>
    <row r="1084" spans="22:29" ht="20.100000000000001" customHeight="1">
      <c r="V1084" s="944" t="e">
        <f>VLOOKUP(U1084,R_DD!$B$6:$E$2112,3,0)</f>
        <v>#N/A</v>
      </c>
      <c r="W1084" s="943" t="e">
        <f>VLOOKUP(U1084,R_DD!$B$6:$E$2112,4,0)</f>
        <v>#N/A</v>
      </c>
      <c r="Z1084" s="946" t="e">
        <f>VLOOKUP(X1084,R_DD!$B$6:$E$2112,3,0)</f>
        <v>#N/A</v>
      </c>
      <c r="AA1084" s="946" t="e">
        <f>VLOOKUP(Y1084,R_DD!$A$1:$L$2131,4,0)</f>
        <v>#N/A</v>
      </c>
      <c r="AB1084" s="947" t="e">
        <f>VLOOKUP(Y1084,R_DD!$A$1:$L$2131,5,0)</f>
        <v>#N/A</v>
      </c>
      <c r="AC1084" s="947" t="e">
        <f>VLOOKUP(X1084,R_DD!$B$6:$E$2112,4,0)</f>
        <v>#N/A</v>
      </c>
    </row>
    <row r="1085" spans="22:29" ht="20.100000000000001" customHeight="1">
      <c r="V1085" s="944" t="e">
        <f>VLOOKUP(U1085,R_DD!$B$6:$E$2112,3,0)</f>
        <v>#N/A</v>
      </c>
      <c r="W1085" s="943" t="e">
        <f>VLOOKUP(U1085,R_DD!$B$6:$E$2112,4,0)</f>
        <v>#N/A</v>
      </c>
      <c r="Z1085" s="946" t="e">
        <f>VLOOKUP(X1085,R_DD!$B$6:$E$2112,3,0)</f>
        <v>#N/A</v>
      </c>
      <c r="AA1085" s="946" t="e">
        <f>VLOOKUP(Y1085,R_DD!$A$1:$L$2131,4,0)</f>
        <v>#N/A</v>
      </c>
      <c r="AB1085" s="947" t="e">
        <f>VLOOKUP(Y1085,R_DD!$A$1:$L$2131,5,0)</f>
        <v>#N/A</v>
      </c>
      <c r="AC1085" s="947" t="e">
        <f>VLOOKUP(X1085,R_DD!$B$6:$E$2112,4,0)</f>
        <v>#N/A</v>
      </c>
    </row>
    <row r="1086" spans="22:29" ht="20.100000000000001" customHeight="1">
      <c r="V1086" s="944" t="e">
        <f>VLOOKUP(U1086,R_DD!$B$6:$E$2112,3,0)</f>
        <v>#N/A</v>
      </c>
      <c r="W1086" s="943" t="e">
        <f>VLOOKUP(U1086,R_DD!$B$6:$E$2112,4,0)</f>
        <v>#N/A</v>
      </c>
      <c r="Z1086" s="946" t="e">
        <f>VLOOKUP(X1086,R_DD!$B$6:$E$2112,3,0)</f>
        <v>#N/A</v>
      </c>
      <c r="AA1086" s="946" t="e">
        <f>VLOOKUP(Y1086,R_DD!$A$1:$L$2131,4,0)</f>
        <v>#N/A</v>
      </c>
      <c r="AB1086" s="947" t="e">
        <f>VLOOKUP(Y1086,R_DD!$A$1:$L$2131,5,0)</f>
        <v>#N/A</v>
      </c>
      <c r="AC1086" s="947" t="e">
        <f>VLOOKUP(X1086,R_DD!$B$6:$E$2112,4,0)</f>
        <v>#N/A</v>
      </c>
    </row>
    <row r="1087" spans="22:29" ht="20.100000000000001" customHeight="1">
      <c r="V1087" s="944" t="e">
        <f>VLOOKUP(U1087,R_DD!$B$6:$E$2112,3,0)</f>
        <v>#N/A</v>
      </c>
      <c r="W1087" s="943" t="e">
        <f>VLOOKUP(U1087,R_DD!$B$6:$E$2112,4,0)</f>
        <v>#N/A</v>
      </c>
      <c r="Z1087" s="946" t="e">
        <f>VLOOKUP(X1087,R_DD!$B$6:$E$2112,3,0)</f>
        <v>#N/A</v>
      </c>
      <c r="AA1087" s="946" t="e">
        <f>VLOOKUP(Y1087,R_DD!$A$1:$L$2131,4,0)</f>
        <v>#N/A</v>
      </c>
      <c r="AB1087" s="947" t="e">
        <f>VLOOKUP(Y1087,R_DD!$A$1:$L$2131,5,0)</f>
        <v>#N/A</v>
      </c>
      <c r="AC1087" s="947" t="e">
        <f>VLOOKUP(X1087,R_DD!$B$6:$E$2112,4,0)</f>
        <v>#N/A</v>
      </c>
    </row>
    <row r="1088" spans="22:29" ht="20.100000000000001" customHeight="1">
      <c r="V1088" s="944" t="e">
        <f>VLOOKUP(U1088,R_DD!$B$6:$E$2112,3,0)</f>
        <v>#N/A</v>
      </c>
      <c r="W1088" s="943" t="e">
        <f>VLOOKUP(U1088,R_DD!$B$6:$E$2112,4,0)</f>
        <v>#N/A</v>
      </c>
      <c r="Z1088" s="946" t="e">
        <f>VLOOKUP(X1088,R_DD!$B$6:$E$2112,3,0)</f>
        <v>#N/A</v>
      </c>
      <c r="AA1088" s="946" t="e">
        <f>VLOOKUP(Y1088,R_DD!$A$1:$L$2131,4,0)</f>
        <v>#N/A</v>
      </c>
      <c r="AB1088" s="947" t="e">
        <f>VLOOKUP(Y1088,R_DD!$A$1:$L$2131,5,0)</f>
        <v>#N/A</v>
      </c>
      <c r="AC1088" s="947" t="e">
        <f>VLOOKUP(X1088,R_DD!$B$6:$E$2112,4,0)</f>
        <v>#N/A</v>
      </c>
    </row>
    <row r="1089" spans="22:29" ht="20.100000000000001" customHeight="1">
      <c r="V1089" s="944" t="e">
        <f>VLOOKUP(U1089,R_DD!$B$6:$E$2112,3,0)</f>
        <v>#N/A</v>
      </c>
      <c r="W1089" s="943" t="e">
        <f>VLOOKUP(U1089,R_DD!$B$6:$E$2112,4,0)</f>
        <v>#N/A</v>
      </c>
      <c r="Z1089" s="946" t="e">
        <f>VLOOKUP(X1089,R_DD!$B$6:$E$2112,3,0)</f>
        <v>#N/A</v>
      </c>
      <c r="AA1089" s="946" t="e">
        <f>VLOOKUP(Y1089,R_DD!$A$1:$L$2131,4,0)</f>
        <v>#N/A</v>
      </c>
      <c r="AB1089" s="947" t="e">
        <f>VLOOKUP(Y1089,R_DD!$A$1:$L$2131,5,0)</f>
        <v>#N/A</v>
      </c>
      <c r="AC1089" s="947" t="e">
        <f>VLOOKUP(X1089,R_DD!$B$6:$E$2112,4,0)</f>
        <v>#N/A</v>
      </c>
    </row>
    <row r="1090" spans="22:29" ht="20.100000000000001" customHeight="1">
      <c r="V1090" s="944" t="e">
        <f>VLOOKUP(U1090,R_DD!$B$6:$E$2112,3,0)</f>
        <v>#N/A</v>
      </c>
      <c r="W1090" s="943" t="e">
        <f>VLOOKUP(U1090,R_DD!$B$6:$E$2112,4,0)</f>
        <v>#N/A</v>
      </c>
      <c r="Z1090" s="946" t="e">
        <f>VLOOKUP(X1090,R_DD!$B$6:$E$2112,3,0)</f>
        <v>#N/A</v>
      </c>
      <c r="AA1090" s="946" t="e">
        <f>VLOOKUP(Y1090,R_DD!$A$1:$L$2131,4,0)</f>
        <v>#N/A</v>
      </c>
      <c r="AB1090" s="947" t="e">
        <f>VLOOKUP(Y1090,R_DD!$A$1:$L$2131,5,0)</f>
        <v>#N/A</v>
      </c>
      <c r="AC1090" s="947" t="e">
        <f>VLOOKUP(X1090,R_DD!$B$6:$E$2112,4,0)</f>
        <v>#N/A</v>
      </c>
    </row>
    <row r="1091" spans="22:29" ht="20.100000000000001" customHeight="1">
      <c r="V1091" s="944" t="e">
        <f>VLOOKUP(U1091,R_DD!$B$6:$E$2112,3,0)</f>
        <v>#N/A</v>
      </c>
      <c r="W1091" s="943" t="e">
        <f>VLOOKUP(U1091,R_DD!$B$6:$E$2112,4,0)</f>
        <v>#N/A</v>
      </c>
      <c r="Z1091" s="946" t="e">
        <f>VLOOKUP(X1091,R_DD!$B$6:$E$2112,3,0)</f>
        <v>#N/A</v>
      </c>
      <c r="AA1091" s="946" t="e">
        <f>VLOOKUP(Y1091,R_DD!$A$1:$L$2131,4,0)</f>
        <v>#N/A</v>
      </c>
      <c r="AB1091" s="947" t="e">
        <f>VLOOKUP(Y1091,R_DD!$A$1:$L$2131,5,0)</f>
        <v>#N/A</v>
      </c>
      <c r="AC1091" s="947" t="e">
        <f>VLOOKUP(X1091,R_DD!$B$6:$E$2112,4,0)</f>
        <v>#N/A</v>
      </c>
    </row>
    <row r="1092" spans="22:29" ht="20.100000000000001" customHeight="1">
      <c r="V1092" s="944" t="e">
        <f>VLOOKUP(U1092,R_DD!$B$6:$E$2112,3,0)</f>
        <v>#N/A</v>
      </c>
      <c r="W1092" s="943" t="e">
        <f>VLOOKUP(U1092,R_DD!$B$6:$E$2112,4,0)</f>
        <v>#N/A</v>
      </c>
      <c r="Z1092" s="946" t="e">
        <f>VLOOKUP(X1092,R_DD!$B$6:$E$2112,3,0)</f>
        <v>#N/A</v>
      </c>
      <c r="AA1092" s="946" t="e">
        <f>VLOOKUP(Y1092,R_DD!$A$1:$L$2131,4,0)</f>
        <v>#N/A</v>
      </c>
      <c r="AB1092" s="947" t="e">
        <f>VLOOKUP(Y1092,R_DD!$A$1:$L$2131,5,0)</f>
        <v>#N/A</v>
      </c>
      <c r="AC1092" s="947" t="e">
        <f>VLOOKUP(X1092,R_DD!$B$6:$E$2112,4,0)</f>
        <v>#N/A</v>
      </c>
    </row>
    <row r="1093" spans="22:29" ht="20.100000000000001" customHeight="1">
      <c r="V1093" s="944" t="e">
        <f>VLOOKUP(U1093,R_DD!$B$6:$E$2112,3,0)</f>
        <v>#N/A</v>
      </c>
      <c r="W1093" s="943" t="e">
        <f>VLOOKUP(U1093,R_DD!$B$6:$E$2112,4,0)</f>
        <v>#N/A</v>
      </c>
      <c r="Z1093" s="946" t="e">
        <f>VLOOKUP(X1093,R_DD!$B$6:$E$2112,3,0)</f>
        <v>#N/A</v>
      </c>
      <c r="AA1093" s="946" t="e">
        <f>VLOOKUP(Y1093,R_DD!$A$1:$L$2131,4,0)</f>
        <v>#N/A</v>
      </c>
      <c r="AB1093" s="947" t="e">
        <f>VLOOKUP(Y1093,R_DD!$A$1:$L$2131,5,0)</f>
        <v>#N/A</v>
      </c>
      <c r="AC1093" s="947" t="e">
        <f>VLOOKUP(X1093,R_DD!$B$6:$E$2112,4,0)</f>
        <v>#N/A</v>
      </c>
    </row>
    <row r="1094" spans="22:29" ht="20.100000000000001" customHeight="1">
      <c r="V1094" s="944" t="e">
        <f>VLOOKUP(U1094,R_DD!$B$6:$E$2112,3,0)</f>
        <v>#N/A</v>
      </c>
      <c r="W1094" s="943" t="e">
        <f>VLOOKUP(U1094,R_DD!$B$6:$E$2112,4,0)</f>
        <v>#N/A</v>
      </c>
      <c r="Z1094" s="946" t="e">
        <f>VLOOKUP(X1094,R_DD!$B$6:$E$2112,3,0)</f>
        <v>#N/A</v>
      </c>
      <c r="AA1094" s="946" t="e">
        <f>VLOOKUP(Y1094,R_DD!$A$1:$L$2131,4,0)</f>
        <v>#N/A</v>
      </c>
      <c r="AB1094" s="947" t="e">
        <f>VLOOKUP(Y1094,R_DD!$A$1:$L$2131,5,0)</f>
        <v>#N/A</v>
      </c>
      <c r="AC1094" s="947" t="e">
        <f>VLOOKUP(X1094,R_DD!$B$6:$E$2112,4,0)</f>
        <v>#N/A</v>
      </c>
    </row>
    <row r="1095" spans="22:29" ht="20.100000000000001" customHeight="1">
      <c r="V1095" s="944" t="e">
        <f>VLOOKUP(U1095,R_DD!$B$6:$E$2112,3,0)</f>
        <v>#N/A</v>
      </c>
      <c r="W1095" s="943" t="e">
        <f>VLOOKUP(U1095,R_DD!$B$6:$E$2112,4,0)</f>
        <v>#N/A</v>
      </c>
      <c r="Z1095" s="946" t="e">
        <f>VLOOKUP(X1095,R_DD!$B$6:$E$2112,3,0)</f>
        <v>#N/A</v>
      </c>
      <c r="AA1095" s="946" t="e">
        <f>VLOOKUP(Y1095,R_DD!$A$1:$L$2131,4,0)</f>
        <v>#N/A</v>
      </c>
      <c r="AB1095" s="947" t="e">
        <f>VLOOKUP(Y1095,R_DD!$A$1:$L$2131,5,0)</f>
        <v>#N/A</v>
      </c>
      <c r="AC1095" s="947" t="e">
        <f>VLOOKUP(X1095,R_DD!$B$6:$E$2112,4,0)</f>
        <v>#N/A</v>
      </c>
    </row>
    <row r="1096" spans="22:29" ht="20.100000000000001" customHeight="1">
      <c r="V1096" s="944" t="e">
        <f>VLOOKUP(U1096,R_DD!$B$6:$E$2112,3,0)</f>
        <v>#N/A</v>
      </c>
      <c r="W1096" s="943" t="e">
        <f>VLOOKUP(U1096,R_DD!$B$6:$E$2112,4,0)</f>
        <v>#N/A</v>
      </c>
      <c r="Z1096" s="946" t="e">
        <f>VLOOKUP(X1096,R_DD!$B$6:$E$2112,3,0)</f>
        <v>#N/A</v>
      </c>
      <c r="AA1096" s="946" t="e">
        <f>VLOOKUP(Y1096,R_DD!$A$1:$L$2131,4,0)</f>
        <v>#N/A</v>
      </c>
      <c r="AB1096" s="947" t="e">
        <f>VLOOKUP(Y1096,R_DD!$A$1:$L$2131,5,0)</f>
        <v>#N/A</v>
      </c>
      <c r="AC1096" s="947" t="e">
        <f>VLOOKUP(X1096,R_DD!$B$6:$E$2112,4,0)</f>
        <v>#N/A</v>
      </c>
    </row>
    <row r="1097" spans="22:29" ht="20.100000000000001" customHeight="1">
      <c r="V1097" s="944" t="e">
        <f>VLOOKUP(U1097,R_DD!$B$6:$E$2112,3,0)</f>
        <v>#N/A</v>
      </c>
      <c r="W1097" s="943" t="e">
        <f>VLOOKUP(U1097,R_DD!$B$6:$E$2112,4,0)</f>
        <v>#N/A</v>
      </c>
      <c r="Z1097" s="946" t="e">
        <f>VLOOKUP(X1097,R_DD!$B$6:$E$2112,3,0)</f>
        <v>#N/A</v>
      </c>
      <c r="AA1097" s="946" t="e">
        <f>VLOOKUP(Y1097,R_DD!$A$1:$L$2131,4,0)</f>
        <v>#N/A</v>
      </c>
      <c r="AB1097" s="947" t="e">
        <f>VLOOKUP(Y1097,R_DD!$A$1:$L$2131,5,0)</f>
        <v>#N/A</v>
      </c>
      <c r="AC1097" s="947" t="e">
        <f>VLOOKUP(X1097,R_DD!$B$6:$E$2112,4,0)</f>
        <v>#N/A</v>
      </c>
    </row>
    <row r="1098" spans="22:29" ht="20.100000000000001" customHeight="1">
      <c r="V1098" s="944" t="e">
        <f>VLOOKUP(U1098,R_DD!$B$6:$E$2112,3,0)</f>
        <v>#N/A</v>
      </c>
      <c r="W1098" s="943" t="e">
        <f>VLOOKUP(U1098,R_DD!$B$6:$E$2112,4,0)</f>
        <v>#N/A</v>
      </c>
      <c r="Z1098" s="946" t="e">
        <f>VLOOKUP(X1098,R_DD!$B$6:$E$2112,3,0)</f>
        <v>#N/A</v>
      </c>
      <c r="AA1098" s="946" t="e">
        <f>VLOOKUP(Y1098,R_DD!$A$1:$L$2131,4,0)</f>
        <v>#N/A</v>
      </c>
      <c r="AB1098" s="947" t="e">
        <f>VLOOKUP(Y1098,R_DD!$A$1:$L$2131,5,0)</f>
        <v>#N/A</v>
      </c>
      <c r="AC1098" s="947" t="e">
        <f>VLOOKUP(X1098,R_DD!$B$6:$E$2112,4,0)</f>
        <v>#N/A</v>
      </c>
    </row>
    <row r="1099" spans="22:29" ht="20.100000000000001" customHeight="1">
      <c r="V1099" s="944" t="e">
        <f>VLOOKUP(U1099,R_DD!$B$6:$E$2112,3,0)</f>
        <v>#N/A</v>
      </c>
      <c r="W1099" s="943" t="e">
        <f>VLOOKUP(U1099,R_DD!$B$6:$E$2112,4,0)</f>
        <v>#N/A</v>
      </c>
      <c r="Z1099" s="946" t="e">
        <f>VLOOKUP(X1099,R_DD!$B$6:$E$2112,3,0)</f>
        <v>#N/A</v>
      </c>
      <c r="AA1099" s="946" t="e">
        <f>VLOOKUP(Y1099,R_DD!$A$1:$L$2131,4,0)</f>
        <v>#N/A</v>
      </c>
      <c r="AB1099" s="947" t="e">
        <f>VLOOKUP(Y1099,R_DD!$A$1:$L$2131,5,0)</f>
        <v>#N/A</v>
      </c>
      <c r="AC1099" s="947" t="e">
        <f>VLOOKUP(X1099,R_DD!$B$6:$E$2112,4,0)</f>
        <v>#N/A</v>
      </c>
    </row>
    <row r="1100" spans="22:29" ht="20.100000000000001" customHeight="1">
      <c r="V1100" s="944" t="e">
        <f>VLOOKUP(U1100,R_DD!$B$6:$E$2112,3,0)</f>
        <v>#N/A</v>
      </c>
      <c r="W1100" s="943" t="e">
        <f>VLOOKUP(U1100,R_DD!$B$6:$E$2112,4,0)</f>
        <v>#N/A</v>
      </c>
      <c r="Z1100" s="946" t="e">
        <f>VLOOKUP(X1100,R_DD!$B$6:$E$2112,3,0)</f>
        <v>#N/A</v>
      </c>
      <c r="AA1100" s="946" t="e">
        <f>VLOOKUP(Y1100,R_DD!$A$1:$L$2131,4,0)</f>
        <v>#N/A</v>
      </c>
      <c r="AB1100" s="947" t="e">
        <f>VLOOKUP(Y1100,R_DD!$A$1:$L$2131,5,0)</f>
        <v>#N/A</v>
      </c>
      <c r="AC1100" s="947" t="e">
        <f>VLOOKUP(X1100,R_DD!$B$6:$E$2112,4,0)</f>
        <v>#N/A</v>
      </c>
    </row>
    <row r="1101" spans="22:29" ht="20.100000000000001" customHeight="1">
      <c r="V1101" s="944" t="e">
        <f>VLOOKUP(U1101,R_DD!$B$6:$E$2112,3,0)</f>
        <v>#N/A</v>
      </c>
      <c r="W1101" s="943" t="e">
        <f>VLOOKUP(U1101,R_DD!$B$6:$E$2112,4,0)</f>
        <v>#N/A</v>
      </c>
      <c r="Z1101" s="946" t="e">
        <f>VLOOKUP(X1101,R_DD!$B$6:$E$2112,3,0)</f>
        <v>#N/A</v>
      </c>
      <c r="AA1101" s="946" t="e">
        <f>VLOOKUP(Y1101,R_DD!$A$1:$L$2131,4,0)</f>
        <v>#N/A</v>
      </c>
      <c r="AB1101" s="947" t="e">
        <f>VLOOKUP(Y1101,R_DD!$A$1:$L$2131,5,0)</f>
        <v>#N/A</v>
      </c>
      <c r="AC1101" s="947" t="e">
        <f>VLOOKUP(X1101,R_DD!$B$6:$E$2112,4,0)</f>
        <v>#N/A</v>
      </c>
    </row>
    <row r="1102" spans="22:29" ht="20.100000000000001" customHeight="1">
      <c r="V1102" s="944" t="e">
        <f>VLOOKUP(U1102,R_DD!$B$6:$E$2112,3,0)</f>
        <v>#N/A</v>
      </c>
      <c r="W1102" s="943" t="e">
        <f>VLOOKUP(U1102,R_DD!$B$6:$E$2112,4,0)</f>
        <v>#N/A</v>
      </c>
      <c r="Z1102" s="946" t="e">
        <f>VLOOKUP(X1102,R_DD!$B$6:$E$2112,3,0)</f>
        <v>#N/A</v>
      </c>
      <c r="AA1102" s="946" t="e">
        <f>VLOOKUP(Y1102,R_DD!$A$1:$L$2131,4,0)</f>
        <v>#N/A</v>
      </c>
      <c r="AB1102" s="947" t="e">
        <f>VLOOKUP(Y1102,R_DD!$A$1:$L$2131,5,0)</f>
        <v>#N/A</v>
      </c>
      <c r="AC1102" s="947" t="e">
        <f>VLOOKUP(X1102,R_DD!$B$6:$E$2112,4,0)</f>
        <v>#N/A</v>
      </c>
    </row>
    <row r="1103" spans="22:29" ht="20.100000000000001" customHeight="1">
      <c r="V1103" s="944" t="e">
        <f>VLOOKUP(U1103,R_DD!$B$6:$E$2112,3,0)</f>
        <v>#N/A</v>
      </c>
      <c r="W1103" s="943" t="e">
        <f>VLOOKUP(U1103,R_DD!$B$6:$E$2112,4,0)</f>
        <v>#N/A</v>
      </c>
      <c r="Z1103" s="946" t="e">
        <f>VLOOKUP(X1103,R_DD!$B$6:$E$2112,3,0)</f>
        <v>#N/A</v>
      </c>
      <c r="AA1103" s="946" t="e">
        <f>VLOOKUP(Y1103,R_DD!$A$1:$L$2131,4,0)</f>
        <v>#N/A</v>
      </c>
      <c r="AB1103" s="947" t="e">
        <f>VLOOKUP(Y1103,R_DD!$A$1:$L$2131,5,0)</f>
        <v>#N/A</v>
      </c>
      <c r="AC1103" s="947" t="e">
        <f>VLOOKUP(X1103,R_DD!$B$6:$E$2112,4,0)</f>
        <v>#N/A</v>
      </c>
    </row>
    <row r="1104" spans="22:29" ht="20.100000000000001" customHeight="1">
      <c r="V1104" s="944" t="e">
        <f>VLOOKUP(U1104,R_DD!$B$6:$E$2112,3,0)</f>
        <v>#N/A</v>
      </c>
      <c r="W1104" s="943" t="e">
        <f>VLOOKUP(U1104,R_DD!$B$6:$E$2112,4,0)</f>
        <v>#N/A</v>
      </c>
      <c r="Z1104" s="946" t="e">
        <f>VLOOKUP(X1104,R_DD!$B$6:$E$2112,3,0)</f>
        <v>#N/A</v>
      </c>
      <c r="AA1104" s="946" t="e">
        <f>VLOOKUP(Y1104,R_DD!$A$1:$L$2131,4,0)</f>
        <v>#N/A</v>
      </c>
      <c r="AB1104" s="947" t="e">
        <f>VLOOKUP(Y1104,R_DD!$A$1:$L$2131,5,0)</f>
        <v>#N/A</v>
      </c>
      <c r="AC1104" s="947" t="e">
        <f>VLOOKUP(X1104,R_DD!$B$6:$E$2112,4,0)</f>
        <v>#N/A</v>
      </c>
    </row>
    <row r="1105" spans="22:29" ht="20.100000000000001" customHeight="1">
      <c r="V1105" s="944" t="e">
        <f>VLOOKUP(U1105,R_DD!$B$6:$E$2112,3,0)</f>
        <v>#N/A</v>
      </c>
      <c r="W1105" s="943" t="e">
        <f>VLOOKUP(U1105,R_DD!$B$6:$E$2112,4,0)</f>
        <v>#N/A</v>
      </c>
      <c r="Z1105" s="946" t="e">
        <f>VLOOKUP(X1105,R_DD!$B$6:$E$2112,3,0)</f>
        <v>#N/A</v>
      </c>
      <c r="AA1105" s="946" t="e">
        <f>VLOOKUP(Y1105,R_DD!$A$1:$L$2131,4,0)</f>
        <v>#N/A</v>
      </c>
      <c r="AB1105" s="947" t="e">
        <f>VLOOKUP(Y1105,R_DD!$A$1:$L$2131,5,0)</f>
        <v>#N/A</v>
      </c>
      <c r="AC1105" s="947" t="e">
        <f>VLOOKUP(X1105,R_DD!$B$6:$E$2112,4,0)</f>
        <v>#N/A</v>
      </c>
    </row>
    <row r="1106" spans="22:29" ht="20.100000000000001" customHeight="1">
      <c r="V1106" s="944" t="e">
        <f>VLOOKUP(U1106,R_DD!$B$6:$E$2112,3,0)</f>
        <v>#N/A</v>
      </c>
      <c r="W1106" s="943" t="e">
        <f>VLOOKUP(U1106,R_DD!$B$6:$E$2112,4,0)</f>
        <v>#N/A</v>
      </c>
      <c r="Z1106" s="946" t="e">
        <f>VLOOKUP(X1106,R_DD!$B$6:$E$2112,3,0)</f>
        <v>#N/A</v>
      </c>
      <c r="AA1106" s="946" t="e">
        <f>VLOOKUP(Y1106,R_DD!$A$1:$L$2131,4,0)</f>
        <v>#N/A</v>
      </c>
      <c r="AB1106" s="947" t="e">
        <f>VLOOKUP(Y1106,R_DD!$A$1:$L$2131,5,0)</f>
        <v>#N/A</v>
      </c>
      <c r="AC1106" s="947" t="e">
        <f>VLOOKUP(X1106,R_DD!$B$6:$E$2112,4,0)</f>
        <v>#N/A</v>
      </c>
    </row>
    <row r="1107" spans="22:29" ht="20.100000000000001" customHeight="1">
      <c r="V1107" s="944" t="e">
        <f>VLOOKUP(U1107,R_DD!$B$6:$E$2112,3,0)</f>
        <v>#N/A</v>
      </c>
      <c r="W1107" s="943" t="e">
        <f>VLOOKUP(U1107,R_DD!$B$6:$E$2112,4,0)</f>
        <v>#N/A</v>
      </c>
      <c r="Z1107" s="946" t="e">
        <f>VLOOKUP(X1107,R_DD!$B$6:$E$2112,3,0)</f>
        <v>#N/A</v>
      </c>
      <c r="AA1107" s="946" t="e">
        <f>VLOOKUP(Y1107,R_DD!$A$1:$L$2131,4,0)</f>
        <v>#N/A</v>
      </c>
      <c r="AB1107" s="947" t="e">
        <f>VLOOKUP(Y1107,R_DD!$A$1:$L$2131,5,0)</f>
        <v>#N/A</v>
      </c>
      <c r="AC1107" s="947" t="e">
        <f>VLOOKUP(X1107,R_DD!$B$6:$E$2112,4,0)</f>
        <v>#N/A</v>
      </c>
    </row>
    <row r="1108" spans="22:29" ht="20.100000000000001" customHeight="1">
      <c r="V1108" s="944" t="e">
        <f>VLOOKUP(U1108,R_DD!$B$6:$E$2112,3,0)</f>
        <v>#N/A</v>
      </c>
      <c r="W1108" s="943" t="e">
        <f>VLOOKUP(U1108,R_DD!$B$6:$E$2112,4,0)</f>
        <v>#N/A</v>
      </c>
      <c r="Z1108" s="946" t="e">
        <f>VLOOKUP(X1108,R_DD!$B$6:$E$2112,3,0)</f>
        <v>#N/A</v>
      </c>
      <c r="AA1108" s="946" t="e">
        <f>VLOOKUP(Y1108,R_DD!$A$1:$L$2131,4,0)</f>
        <v>#N/A</v>
      </c>
      <c r="AB1108" s="947" t="e">
        <f>VLOOKUP(Y1108,R_DD!$A$1:$L$2131,5,0)</f>
        <v>#N/A</v>
      </c>
      <c r="AC1108" s="947" t="e">
        <f>VLOOKUP(X1108,R_DD!$B$6:$E$2112,4,0)</f>
        <v>#N/A</v>
      </c>
    </row>
    <row r="1109" spans="22:29" ht="20.100000000000001" customHeight="1">
      <c r="V1109" s="944" t="e">
        <f>VLOOKUP(U1109,R_DD!$B$6:$E$2112,3,0)</f>
        <v>#N/A</v>
      </c>
      <c r="W1109" s="943" t="e">
        <f>VLOOKUP(U1109,R_DD!$B$6:$E$2112,4,0)</f>
        <v>#N/A</v>
      </c>
      <c r="Z1109" s="946" t="e">
        <f>VLOOKUP(X1109,R_DD!$B$6:$E$2112,3,0)</f>
        <v>#N/A</v>
      </c>
      <c r="AA1109" s="946" t="e">
        <f>VLOOKUP(Y1109,R_DD!$A$1:$L$2131,4,0)</f>
        <v>#N/A</v>
      </c>
      <c r="AB1109" s="947" t="e">
        <f>VLOOKUP(Y1109,R_DD!$A$1:$L$2131,5,0)</f>
        <v>#N/A</v>
      </c>
      <c r="AC1109" s="947" t="e">
        <f>VLOOKUP(X1109,R_DD!$B$6:$E$2112,4,0)</f>
        <v>#N/A</v>
      </c>
    </row>
    <row r="1110" spans="22:29" ht="20.100000000000001" customHeight="1">
      <c r="V1110" s="944" t="e">
        <f>VLOOKUP(U1110,R_DD!$B$6:$E$2112,3,0)</f>
        <v>#N/A</v>
      </c>
      <c r="W1110" s="943" t="e">
        <f>VLOOKUP(U1110,R_DD!$B$6:$E$2112,4,0)</f>
        <v>#N/A</v>
      </c>
      <c r="Z1110" s="946" t="e">
        <f>VLOOKUP(X1110,R_DD!$B$6:$E$2112,3,0)</f>
        <v>#N/A</v>
      </c>
      <c r="AA1110" s="946" t="e">
        <f>VLOOKUP(Y1110,R_DD!$A$1:$L$2131,4,0)</f>
        <v>#N/A</v>
      </c>
      <c r="AB1110" s="947" t="e">
        <f>VLOOKUP(Y1110,R_DD!$A$1:$L$2131,5,0)</f>
        <v>#N/A</v>
      </c>
      <c r="AC1110" s="947" t="e">
        <f>VLOOKUP(X1110,R_DD!$B$6:$E$2112,4,0)</f>
        <v>#N/A</v>
      </c>
    </row>
    <row r="1111" spans="22:29" ht="20.100000000000001" customHeight="1">
      <c r="V1111" s="944" t="e">
        <f>VLOOKUP(U1111,R_DD!$B$6:$E$2112,3,0)</f>
        <v>#N/A</v>
      </c>
      <c r="W1111" s="943" t="e">
        <f>VLOOKUP(U1111,R_DD!$B$6:$E$2112,4,0)</f>
        <v>#N/A</v>
      </c>
      <c r="Z1111" s="946" t="e">
        <f>VLOOKUP(X1111,R_DD!$B$6:$E$2112,3,0)</f>
        <v>#N/A</v>
      </c>
      <c r="AA1111" s="946" t="e">
        <f>VLOOKUP(Y1111,R_DD!$A$1:$L$2131,4,0)</f>
        <v>#N/A</v>
      </c>
      <c r="AB1111" s="947" t="e">
        <f>VLOOKUP(Y1111,R_DD!$A$1:$L$2131,5,0)</f>
        <v>#N/A</v>
      </c>
      <c r="AC1111" s="947" t="e">
        <f>VLOOKUP(X1111,R_DD!$B$6:$E$2112,4,0)</f>
        <v>#N/A</v>
      </c>
    </row>
    <row r="1112" spans="22:29" ht="20.100000000000001" customHeight="1">
      <c r="V1112" s="944" t="e">
        <f>VLOOKUP(U1112,R_DD!$B$6:$E$2112,3,0)</f>
        <v>#N/A</v>
      </c>
      <c r="W1112" s="943" t="e">
        <f>VLOOKUP(U1112,R_DD!$B$6:$E$2112,4,0)</f>
        <v>#N/A</v>
      </c>
      <c r="Z1112" s="946" t="e">
        <f>VLOOKUP(X1112,R_DD!$B$6:$E$2112,3,0)</f>
        <v>#N/A</v>
      </c>
      <c r="AA1112" s="946" t="e">
        <f>VLOOKUP(Y1112,R_DD!$A$1:$L$2131,4,0)</f>
        <v>#N/A</v>
      </c>
      <c r="AB1112" s="947" t="e">
        <f>VLOOKUP(Y1112,R_DD!$A$1:$L$2131,5,0)</f>
        <v>#N/A</v>
      </c>
      <c r="AC1112" s="947" t="e">
        <f>VLOOKUP(X1112,R_DD!$B$6:$E$2112,4,0)</f>
        <v>#N/A</v>
      </c>
    </row>
    <row r="1113" spans="22:29" ht="20.100000000000001" customHeight="1">
      <c r="V1113" s="944" t="e">
        <f>VLOOKUP(U1113,R_DD!$B$6:$E$2112,3,0)</f>
        <v>#N/A</v>
      </c>
      <c r="W1113" s="943" t="e">
        <f>VLOOKUP(U1113,R_DD!$B$6:$E$2112,4,0)</f>
        <v>#N/A</v>
      </c>
      <c r="Z1113" s="946" t="e">
        <f>VLOOKUP(X1113,R_DD!$B$6:$E$2112,3,0)</f>
        <v>#N/A</v>
      </c>
      <c r="AA1113" s="946" t="e">
        <f>VLOOKUP(Y1113,R_DD!$A$1:$L$2131,4,0)</f>
        <v>#N/A</v>
      </c>
      <c r="AB1113" s="947" t="e">
        <f>VLOOKUP(Y1113,R_DD!$A$1:$L$2131,5,0)</f>
        <v>#N/A</v>
      </c>
      <c r="AC1113" s="947" t="e">
        <f>VLOOKUP(X1113,R_DD!$B$6:$E$2112,4,0)</f>
        <v>#N/A</v>
      </c>
    </row>
    <row r="1114" spans="22:29" ht="20.100000000000001" customHeight="1">
      <c r="V1114" s="944" t="e">
        <f>VLOOKUP(U1114,R_DD!$B$6:$E$2112,3,0)</f>
        <v>#N/A</v>
      </c>
      <c r="W1114" s="943" t="e">
        <f>VLOOKUP(U1114,R_DD!$B$6:$E$2112,4,0)</f>
        <v>#N/A</v>
      </c>
      <c r="Z1114" s="946" t="e">
        <f>VLOOKUP(X1114,R_DD!$B$6:$E$2112,3,0)</f>
        <v>#N/A</v>
      </c>
      <c r="AA1114" s="946" t="e">
        <f>VLOOKUP(Y1114,R_DD!$A$1:$L$2131,4,0)</f>
        <v>#N/A</v>
      </c>
      <c r="AB1114" s="947" t="e">
        <f>VLOOKUP(Y1114,R_DD!$A$1:$L$2131,5,0)</f>
        <v>#N/A</v>
      </c>
      <c r="AC1114" s="947" t="e">
        <f>VLOOKUP(X1114,R_DD!$B$6:$E$2112,4,0)</f>
        <v>#N/A</v>
      </c>
    </row>
    <row r="1115" spans="22:29" ht="20.100000000000001" customHeight="1">
      <c r="V1115" s="944" t="e">
        <f>VLOOKUP(U1115,R_DD!$B$6:$E$2112,3,0)</f>
        <v>#N/A</v>
      </c>
      <c r="W1115" s="943" t="e">
        <f>VLOOKUP(U1115,R_DD!$B$6:$E$2112,4,0)</f>
        <v>#N/A</v>
      </c>
      <c r="Z1115" s="946" t="e">
        <f>VLOOKUP(X1115,R_DD!$B$6:$E$2112,3,0)</f>
        <v>#N/A</v>
      </c>
      <c r="AA1115" s="946" t="e">
        <f>VLOOKUP(Y1115,R_DD!$A$1:$L$2131,4,0)</f>
        <v>#N/A</v>
      </c>
      <c r="AB1115" s="947" t="e">
        <f>VLOOKUP(Y1115,R_DD!$A$1:$L$2131,5,0)</f>
        <v>#N/A</v>
      </c>
      <c r="AC1115" s="947" t="e">
        <f>VLOOKUP(X1115,R_DD!$B$6:$E$2112,4,0)</f>
        <v>#N/A</v>
      </c>
    </row>
    <row r="1116" spans="22:29" ht="20.100000000000001" customHeight="1">
      <c r="V1116" s="944" t="e">
        <f>VLOOKUP(U1116,R_DD!$B$6:$E$2112,3,0)</f>
        <v>#N/A</v>
      </c>
      <c r="W1116" s="943" t="e">
        <f>VLOOKUP(U1116,R_DD!$B$6:$E$2112,4,0)</f>
        <v>#N/A</v>
      </c>
      <c r="Z1116" s="946" t="e">
        <f>VLOOKUP(X1116,R_DD!$B$6:$E$2112,3,0)</f>
        <v>#N/A</v>
      </c>
      <c r="AA1116" s="946" t="e">
        <f>VLOOKUP(Y1116,R_DD!$A$1:$L$2131,4,0)</f>
        <v>#N/A</v>
      </c>
      <c r="AB1116" s="947" t="e">
        <f>VLOOKUP(Y1116,R_DD!$A$1:$L$2131,5,0)</f>
        <v>#N/A</v>
      </c>
      <c r="AC1116" s="947" t="e">
        <f>VLOOKUP(X1116,R_DD!$B$6:$E$2112,4,0)</f>
        <v>#N/A</v>
      </c>
    </row>
    <row r="1117" spans="22:29" ht="20.100000000000001" customHeight="1">
      <c r="V1117" s="944" t="e">
        <f>VLOOKUP(U1117,R_DD!$B$6:$E$2112,3,0)</f>
        <v>#N/A</v>
      </c>
      <c r="W1117" s="943" t="e">
        <f>VLOOKUP(U1117,R_DD!$B$6:$E$2112,4,0)</f>
        <v>#N/A</v>
      </c>
      <c r="Z1117" s="946" t="e">
        <f>VLOOKUP(X1117,R_DD!$B$6:$E$2112,3,0)</f>
        <v>#N/A</v>
      </c>
      <c r="AA1117" s="946" t="e">
        <f>VLOOKUP(Y1117,R_DD!$A$1:$L$2131,4,0)</f>
        <v>#N/A</v>
      </c>
      <c r="AB1117" s="947" t="e">
        <f>VLOOKUP(Y1117,R_DD!$A$1:$L$2131,5,0)</f>
        <v>#N/A</v>
      </c>
      <c r="AC1117" s="947" t="e">
        <f>VLOOKUP(X1117,R_DD!$B$6:$E$2112,4,0)</f>
        <v>#N/A</v>
      </c>
    </row>
    <row r="1118" spans="22:29" ht="20.100000000000001" customHeight="1">
      <c r="V1118" s="944" t="e">
        <f>VLOOKUP(U1118,R_DD!$B$6:$E$2112,3,0)</f>
        <v>#N/A</v>
      </c>
      <c r="W1118" s="943" t="e">
        <f>VLOOKUP(U1118,R_DD!$B$6:$E$2112,4,0)</f>
        <v>#N/A</v>
      </c>
      <c r="Z1118" s="946" t="e">
        <f>VLOOKUP(X1118,R_DD!$B$6:$E$2112,3,0)</f>
        <v>#N/A</v>
      </c>
      <c r="AA1118" s="946" t="e">
        <f>VLOOKUP(Y1118,R_DD!$A$1:$L$2131,4,0)</f>
        <v>#N/A</v>
      </c>
      <c r="AB1118" s="947" t="e">
        <f>VLOOKUP(Y1118,R_DD!$A$1:$L$2131,5,0)</f>
        <v>#N/A</v>
      </c>
      <c r="AC1118" s="947" t="e">
        <f>VLOOKUP(X1118,R_DD!$B$6:$E$2112,4,0)</f>
        <v>#N/A</v>
      </c>
    </row>
    <row r="1119" spans="22:29" ht="20.100000000000001" customHeight="1">
      <c r="V1119" s="944" t="e">
        <f>VLOOKUP(U1119,R_DD!$B$6:$E$2112,3,0)</f>
        <v>#N/A</v>
      </c>
      <c r="W1119" s="943" t="e">
        <f>VLOOKUP(U1119,R_DD!$B$6:$E$2112,4,0)</f>
        <v>#N/A</v>
      </c>
      <c r="Z1119" s="946" t="e">
        <f>VLOOKUP(X1119,R_DD!$B$6:$E$2112,3,0)</f>
        <v>#N/A</v>
      </c>
      <c r="AA1119" s="946" t="e">
        <f>VLOOKUP(Y1119,R_DD!$A$1:$L$2131,4,0)</f>
        <v>#N/A</v>
      </c>
      <c r="AB1119" s="947" t="e">
        <f>VLOOKUP(Y1119,R_DD!$A$1:$L$2131,5,0)</f>
        <v>#N/A</v>
      </c>
      <c r="AC1119" s="947" t="e">
        <f>VLOOKUP(X1119,R_DD!$B$6:$E$2112,4,0)</f>
        <v>#N/A</v>
      </c>
    </row>
    <row r="1120" spans="22:29" ht="20.100000000000001" customHeight="1">
      <c r="V1120" s="944" t="e">
        <f>VLOOKUP(U1120,R_DD!$B$6:$E$2112,3,0)</f>
        <v>#N/A</v>
      </c>
      <c r="W1120" s="943" t="e">
        <f>VLOOKUP(U1120,R_DD!$B$6:$E$2112,4,0)</f>
        <v>#N/A</v>
      </c>
      <c r="Z1120" s="946" t="e">
        <f>VLOOKUP(X1120,R_DD!$B$6:$E$2112,3,0)</f>
        <v>#N/A</v>
      </c>
      <c r="AA1120" s="946" t="e">
        <f>VLOOKUP(Y1120,R_DD!$A$1:$L$2131,4,0)</f>
        <v>#N/A</v>
      </c>
      <c r="AB1120" s="947" t="e">
        <f>VLOOKUP(Y1120,R_DD!$A$1:$L$2131,5,0)</f>
        <v>#N/A</v>
      </c>
      <c r="AC1120" s="947" t="e">
        <f>VLOOKUP(X1120,R_DD!$B$6:$E$2112,4,0)</f>
        <v>#N/A</v>
      </c>
    </row>
    <row r="1121" spans="22:29" ht="20.100000000000001" customHeight="1">
      <c r="V1121" s="944" t="e">
        <f>VLOOKUP(U1121,R_DD!$B$6:$E$2112,3,0)</f>
        <v>#N/A</v>
      </c>
      <c r="W1121" s="943" t="e">
        <f>VLOOKUP(U1121,R_DD!$B$6:$E$2112,4,0)</f>
        <v>#N/A</v>
      </c>
      <c r="Z1121" s="946" t="e">
        <f>VLOOKUP(X1121,R_DD!$B$6:$E$2112,3,0)</f>
        <v>#N/A</v>
      </c>
      <c r="AA1121" s="946" t="e">
        <f>VLOOKUP(Y1121,R_DD!$A$1:$L$2131,4,0)</f>
        <v>#N/A</v>
      </c>
      <c r="AB1121" s="947" t="e">
        <f>VLOOKUP(Y1121,R_DD!$A$1:$L$2131,5,0)</f>
        <v>#N/A</v>
      </c>
      <c r="AC1121" s="947" t="e">
        <f>VLOOKUP(X1121,R_DD!$B$6:$E$2112,4,0)</f>
        <v>#N/A</v>
      </c>
    </row>
    <row r="1122" spans="22:29" ht="20.100000000000001" customHeight="1">
      <c r="V1122" s="944" t="e">
        <f>VLOOKUP(U1122,R_DD!$B$6:$E$2112,3,0)</f>
        <v>#N/A</v>
      </c>
      <c r="W1122" s="943" t="e">
        <f>VLOOKUP(U1122,R_DD!$B$6:$E$2112,4,0)</f>
        <v>#N/A</v>
      </c>
      <c r="Z1122" s="946" t="e">
        <f>VLOOKUP(X1122,R_DD!$B$6:$E$2112,3,0)</f>
        <v>#N/A</v>
      </c>
      <c r="AA1122" s="946" t="e">
        <f>VLOOKUP(Y1122,R_DD!$A$1:$L$2131,4,0)</f>
        <v>#N/A</v>
      </c>
      <c r="AB1122" s="947" t="e">
        <f>VLOOKUP(Y1122,R_DD!$A$1:$L$2131,5,0)</f>
        <v>#N/A</v>
      </c>
      <c r="AC1122" s="947" t="e">
        <f>VLOOKUP(X1122,R_DD!$B$6:$E$2112,4,0)</f>
        <v>#N/A</v>
      </c>
    </row>
    <row r="1123" spans="22:29" ht="20.100000000000001" customHeight="1">
      <c r="V1123" s="944" t="e">
        <f>VLOOKUP(U1123,R_DD!$B$6:$E$2112,3,0)</f>
        <v>#N/A</v>
      </c>
      <c r="W1123" s="943" t="e">
        <f>VLOOKUP(U1123,R_DD!$B$6:$E$2112,4,0)</f>
        <v>#N/A</v>
      </c>
      <c r="Z1123" s="946" t="e">
        <f>VLOOKUP(X1123,R_DD!$B$6:$E$2112,3,0)</f>
        <v>#N/A</v>
      </c>
      <c r="AA1123" s="946" t="e">
        <f>VLOOKUP(Y1123,R_DD!$A$1:$L$2131,4,0)</f>
        <v>#N/A</v>
      </c>
      <c r="AB1123" s="947" t="e">
        <f>VLOOKUP(Y1123,R_DD!$A$1:$L$2131,5,0)</f>
        <v>#N/A</v>
      </c>
      <c r="AC1123" s="947" t="e">
        <f>VLOOKUP(X1123,R_DD!$B$6:$E$2112,4,0)</f>
        <v>#N/A</v>
      </c>
    </row>
    <row r="1124" spans="22:29" ht="20.100000000000001" customHeight="1">
      <c r="V1124" s="944" t="e">
        <f>VLOOKUP(U1124,R_DD!$B$6:$E$2112,3,0)</f>
        <v>#N/A</v>
      </c>
      <c r="W1124" s="943" t="e">
        <f>VLOOKUP(U1124,R_DD!$B$6:$E$2112,4,0)</f>
        <v>#N/A</v>
      </c>
      <c r="Z1124" s="946" t="e">
        <f>VLOOKUP(X1124,R_DD!$B$6:$E$2112,3,0)</f>
        <v>#N/A</v>
      </c>
      <c r="AA1124" s="946" t="e">
        <f>VLOOKUP(Y1124,R_DD!$A$1:$L$2131,4,0)</f>
        <v>#N/A</v>
      </c>
      <c r="AB1124" s="947" t="e">
        <f>VLOOKUP(Y1124,R_DD!$A$1:$L$2131,5,0)</f>
        <v>#N/A</v>
      </c>
      <c r="AC1124" s="947" t="e">
        <f>VLOOKUP(X1124,R_DD!$B$6:$E$2112,4,0)</f>
        <v>#N/A</v>
      </c>
    </row>
    <row r="1125" spans="22:29" ht="20.100000000000001" customHeight="1">
      <c r="V1125" s="944" t="e">
        <f>VLOOKUP(U1125,R_DD!$B$6:$E$2112,3,0)</f>
        <v>#N/A</v>
      </c>
      <c r="W1125" s="943" t="e">
        <f>VLOOKUP(U1125,R_DD!$B$6:$E$2112,4,0)</f>
        <v>#N/A</v>
      </c>
      <c r="Z1125" s="946" t="e">
        <f>VLOOKUP(X1125,R_DD!$B$6:$E$2112,3,0)</f>
        <v>#N/A</v>
      </c>
      <c r="AA1125" s="946" t="e">
        <f>VLOOKUP(Y1125,R_DD!$A$1:$L$2131,4,0)</f>
        <v>#N/A</v>
      </c>
      <c r="AB1125" s="947" t="e">
        <f>VLOOKUP(Y1125,R_DD!$A$1:$L$2131,5,0)</f>
        <v>#N/A</v>
      </c>
      <c r="AC1125" s="947" t="e">
        <f>VLOOKUP(X1125,R_DD!$B$6:$E$2112,4,0)</f>
        <v>#N/A</v>
      </c>
    </row>
    <row r="1126" spans="22:29" ht="20.100000000000001" customHeight="1">
      <c r="V1126" s="944" t="e">
        <f>VLOOKUP(U1126,R_DD!$B$6:$E$2112,3,0)</f>
        <v>#N/A</v>
      </c>
      <c r="W1126" s="943" t="e">
        <f>VLOOKUP(U1126,R_DD!$B$6:$E$2112,4,0)</f>
        <v>#N/A</v>
      </c>
      <c r="Z1126" s="946" t="e">
        <f>VLOOKUP(X1126,R_DD!$B$6:$E$2112,3,0)</f>
        <v>#N/A</v>
      </c>
      <c r="AA1126" s="946" t="e">
        <f>VLOOKUP(Y1126,R_DD!$A$1:$L$2131,4,0)</f>
        <v>#N/A</v>
      </c>
      <c r="AB1126" s="947" t="e">
        <f>VLOOKUP(Y1126,R_DD!$A$1:$L$2131,5,0)</f>
        <v>#N/A</v>
      </c>
      <c r="AC1126" s="947" t="e">
        <f>VLOOKUP(X1126,R_DD!$B$6:$E$2112,4,0)</f>
        <v>#N/A</v>
      </c>
    </row>
    <row r="1127" spans="22:29" ht="20.100000000000001" customHeight="1">
      <c r="V1127" s="944" t="e">
        <f>VLOOKUP(U1127,R_DD!$B$6:$E$2112,3,0)</f>
        <v>#N/A</v>
      </c>
      <c r="W1127" s="943" t="e">
        <f>VLOOKUP(U1127,R_DD!$B$6:$E$2112,4,0)</f>
        <v>#N/A</v>
      </c>
      <c r="Z1127" s="946" t="e">
        <f>VLOOKUP(X1127,R_DD!$B$6:$E$2112,3,0)</f>
        <v>#N/A</v>
      </c>
      <c r="AA1127" s="946" t="e">
        <f>VLOOKUP(Y1127,R_DD!$A$1:$L$2131,4,0)</f>
        <v>#N/A</v>
      </c>
      <c r="AB1127" s="947" t="e">
        <f>VLOOKUP(Y1127,R_DD!$A$1:$L$2131,5,0)</f>
        <v>#N/A</v>
      </c>
      <c r="AC1127" s="947" t="e">
        <f>VLOOKUP(X1127,R_DD!$B$6:$E$2112,4,0)</f>
        <v>#N/A</v>
      </c>
    </row>
    <row r="1128" spans="22:29" ht="20.100000000000001" customHeight="1">
      <c r="V1128" s="944" t="e">
        <f>VLOOKUP(U1128,R_DD!$B$6:$E$2112,3,0)</f>
        <v>#N/A</v>
      </c>
      <c r="W1128" s="943" t="e">
        <f>VLOOKUP(U1128,R_DD!$B$6:$E$2112,4,0)</f>
        <v>#N/A</v>
      </c>
      <c r="Z1128" s="946" t="e">
        <f>VLOOKUP(X1128,R_DD!$B$6:$E$2112,3,0)</f>
        <v>#N/A</v>
      </c>
      <c r="AA1128" s="946" t="e">
        <f>VLOOKUP(Y1128,R_DD!$A$1:$L$2131,4,0)</f>
        <v>#N/A</v>
      </c>
      <c r="AB1128" s="947" t="e">
        <f>VLOOKUP(Y1128,R_DD!$A$1:$L$2131,5,0)</f>
        <v>#N/A</v>
      </c>
      <c r="AC1128" s="947" t="e">
        <f>VLOOKUP(X1128,R_DD!$B$6:$E$2112,4,0)</f>
        <v>#N/A</v>
      </c>
    </row>
    <row r="1129" spans="22:29" ht="20.100000000000001" customHeight="1">
      <c r="V1129" s="944" t="e">
        <f>VLOOKUP(U1129,R_DD!$B$6:$E$2112,3,0)</f>
        <v>#N/A</v>
      </c>
      <c r="W1129" s="943" t="e">
        <f>VLOOKUP(U1129,R_DD!$B$6:$E$2112,4,0)</f>
        <v>#N/A</v>
      </c>
      <c r="Z1129" s="946" t="e">
        <f>VLOOKUP(X1129,R_DD!$B$6:$E$2112,3,0)</f>
        <v>#N/A</v>
      </c>
      <c r="AA1129" s="946" t="e">
        <f>VLOOKUP(Y1129,R_DD!$A$1:$L$2131,4,0)</f>
        <v>#N/A</v>
      </c>
      <c r="AB1129" s="947" t="e">
        <f>VLOOKUP(Y1129,R_DD!$A$1:$L$2131,5,0)</f>
        <v>#N/A</v>
      </c>
      <c r="AC1129" s="947" t="e">
        <f>VLOOKUP(X1129,R_DD!$B$6:$E$2112,4,0)</f>
        <v>#N/A</v>
      </c>
    </row>
    <row r="1130" spans="22:29" ht="20.100000000000001" customHeight="1">
      <c r="V1130" s="944" t="e">
        <f>VLOOKUP(U1130,R_DD!$B$6:$E$2112,3,0)</f>
        <v>#N/A</v>
      </c>
      <c r="W1130" s="943" t="e">
        <f>VLOOKUP(U1130,R_DD!$B$6:$E$2112,4,0)</f>
        <v>#N/A</v>
      </c>
      <c r="Z1130" s="946" t="e">
        <f>VLOOKUP(X1130,R_DD!$B$6:$E$2112,3,0)</f>
        <v>#N/A</v>
      </c>
      <c r="AA1130" s="946" t="e">
        <f>VLOOKUP(Y1130,R_DD!$A$1:$L$2131,4,0)</f>
        <v>#N/A</v>
      </c>
      <c r="AB1130" s="947" t="e">
        <f>VLOOKUP(Y1130,R_DD!$A$1:$L$2131,5,0)</f>
        <v>#N/A</v>
      </c>
      <c r="AC1130" s="947" t="e">
        <f>VLOOKUP(X1130,R_DD!$B$6:$E$2112,4,0)</f>
        <v>#N/A</v>
      </c>
    </row>
    <row r="1131" spans="22:29" ht="20.100000000000001" customHeight="1">
      <c r="V1131" s="944" t="e">
        <f>VLOOKUP(U1131,R_DD!$B$6:$E$2112,3,0)</f>
        <v>#N/A</v>
      </c>
      <c r="W1131" s="943" t="e">
        <f>VLOOKUP(U1131,R_DD!$B$6:$E$2112,4,0)</f>
        <v>#N/A</v>
      </c>
      <c r="Z1131" s="946" t="e">
        <f>VLOOKUP(X1131,R_DD!$B$6:$E$2112,3,0)</f>
        <v>#N/A</v>
      </c>
      <c r="AA1131" s="946" t="e">
        <f>VLOOKUP(Y1131,R_DD!$A$1:$L$2131,4,0)</f>
        <v>#N/A</v>
      </c>
      <c r="AB1131" s="947" t="e">
        <f>VLOOKUP(Y1131,R_DD!$A$1:$L$2131,5,0)</f>
        <v>#N/A</v>
      </c>
      <c r="AC1131" s="947" t="e">
        <f>VLOOKUP(X1131,R_DD!$B$6:$E$2112,4,0)</f>
        <v>#N/A</v>
      </c>
    </row>
    <row r="1132" spans="22:29" ht="20.100000000000001" customHeight="1">
      <c r="V1132" s="944" t="e">
        <f>VLOOKUP(U1132,R_DD!$B$6:$E$2112,3,0)</f>
        <v>#N/A</v>
      </c>
      <c r="W1132" s="943" t="e">
        <f>VLOOKUP(U1132,R_DD!$B$6:$E$2112,4,0)</f>
        <v>#N/A</v>
      </c>
      <c r="Z1132" s="946" t="e">
        <f>VLOOKUP(X1132,R_DD!$B$6:$E$2112,3,0)</f>
        <v>#N/A</v>
      </c>
      <c r="AA1132" s="946" t="e">
        <f>VLOOKUP(Y1132,R_DD!$A$1:$L$2131,4,0)</f>
        <v>#N/A</v>
      </c>
      <c r="AB1132" s="947" t="e">
        <f>VLOOKUP(Y1132,R_DD!$A$1:$L$2131,5,0)</f>
        <v>#N/A</v>
      </c>
      <c r="AC1132" s="947" t="e">
        <f>VLOOKUP(X1132,R_DD!$B$6:$E$2112,4,0)</f>
        <v>#N/A</v>
      </c>
    </row>
    <row r="1133" spans="22:29" ht="20.100000000000001" customHeight="1">
      <c r="V1133" s="944" t="e">
        <f>VLOOKUP(U1133,R_DD!$B$6:$E$2112,3,0)</f>
        <v>#N/A</v>
      </c>
      <c r="W1133" s="943" t="e">
        <f>VLOOKUP(U1133,R_DD!$B$6:$E$2112,4,0)</f>
        <v>#N/A</v>
      </c>
      <c r="Z1133" s="946" t="e">
        <f>VLOOKUP(X1133,R_DD!$B$6:$E$2112,3,0)</f>
        <v>#N/A</v>
      </c>
      <c r="AA1133" s="946" t="e">
        <f>VLOOKUP(Y1133,R_DD!$A$1:$L$2131,4,0)</f>
        <v>#N/A</v>
      </c>
      <c r="AB1133" s="947" t="e">
        <f>VLOOKUP(Y1133,R_DD!$A$1:$L$2131,5,0)</f>
        <v>#N/A</v>
      </c>
      <c r="AC1133" s="947" t="e">
        <f>VLOOKUP(X1133,R_DD!$B$6:$E$2112,4,0)</f>
        <v>#N/A</v>
      </c>
    </row>
    <row r="1134" spans="22:29" ht="20.100000000000001" customHeight="1">
      <c r="V1134" s="944" t="e">
        <f>VLOOKUP(U1134,R_DD!$B$6:$E$2112,3,0)</f>
        <v>#N/A</v>
      </c>
      <c r="W1134" s="943" t="e">
        <f>VLOOKUP(U1134,R_DD!$B$6:$E$2112,4,0)</f>
        <v>#N/A</v>
      </c>
      <c r="Z1134" s="946" t="e">
        <f>VLOOKUP(X1134,R_DD!$B$6:$E$2112,3,0)</f>
        <v>#N/A</v>
      </c>
      <c r="AA1134" s="946" t="e">
        <f>VLOOKUP(Y1134,R_DD!$A$1:$L$2131,4,0)</f>
        <v>#N/A</v>
      </c>
      <c r="AB1134" s="947" t="e">
        <f>VLOOKUP(Y1134,R_DD!$A$1:$L$2131,5,0)</f>
        <v>#N/A</v>
      </c>
      <c r="AC1134" s="947" t="e">
        <f>VLOOKUP(X1134,R_DD!$B$6:$E$2112,4,0)</f>
        <v>#N/A</v>
      </c>
    </row>
    <row r="1135" spans="22:29" ht="20.100000000000001" customHeight="1">
      <c r="V1135" s="944" t="e">
        <f>VLOOKUP(U1135,R_DD!$B$6:$E$2112,3,0)</f>
        <v>#N/A</v>
      </c>
      <c r="W1135" s="943" t="e">
        <f>VLOOKUP(U1135,R_DD!$B$6:$E$2112,4,0)</f>
        <v>#N/A</v>
      </c>
      <c r="Z1135" s="946" t="e">
        <f>VLOOKUP(X1135,R_DD!$B$6:$E$2112,3,0)</f>
        <v>#N/A</v>
      </c>
      <c r="AA1135" s="946" t="e">
        <f>VLOOKUP(Y1135,R_DD!$A$1:$L$2131,4,0)</f>
        <v>#N/A</v>
      </c>
      <c r="AB1135" s="947" t="e">
        <f>VLOOKUP(Y1135,R_DD!$A$1:$L$2131,5,0)</f>
        <v>#N/A</v>
      </c>
      <c r="AC1135" s="947" t="e">
        <f>VLOOKUP(X1135,R_DD!$B$6:$E$2112,4,0)</f>
        <v>#N/A</v>
      </c>
    </row>
    <row r="1136" spans="22:29" ht="20.100000000000001" customHeight="1">
      <c r="V1136" s="944" t="e">
        <f>VLOOKUP(U1136,R_DD!$B$6:$E$2112,3,0)</f>
        <v>#N/A</v>
      </c>
      <c r="W1136" s="943" t="e">
        <f>VLOOKUP(U1136,R_DD!$B$6:$E$2112,4,0)</f>
        <v>#N/A</v>
      </c>
      <c r="Z1136" s="946" t="e">
        <f>VLOOKUP(X1136,R_DD!$B$6:$E$2112,3,0)</f>
        <v>#N/A</v>
      </c>
      <c r="AA1136" s="946" t="e">
        <f>VLOOKUP(Y1136,R_DD!$A$1:$L$2131,4,0)</f>
        <v>#N/A</v>
      </c>
      <c r="AB1136" s="947" t="e">
        <f>VLOOKUP(Y1136,R_DD!$A$1:$L$2131,5,0)</f>
        <v>#N/A</v>
      </c>
      <c r="AC1136" s="947" t="e">
        <f>VLOOKUP(X1136,R_DD!$B$6:$E$2112,4,0)</f>
        <v>#N/A</v>
      </c>
    </row>
    <row r="1137" spans="22:29" ht="20.100000000000001" customHeight="1">
      <c r="V1137" s="944" t="e">
        <f>VLOOKUP(U1137,R_DD!$B$6:$E$2112,3,0)</f>
        <v>#N/A</v>
      </c>
      <c r="W1137" s="943" t="e">
        <f>VLOOKUP(U1137,R_DD!$B$6:$E$2112,4,0)</f>
        <v>#N/A</v>
      </c>
      <c r="Z1137" s="946" t="e">
        <f>VLOOKUP(X1137,R_DD!$B$6:$E$2112,3,0)</f>
        <v>#N/A</v>
      </c>
      <c r="AA1137" s="946" t="e">
        <f>VLOOKUP(Y1137,R_DD!$A$1:$L$2131,4,0)</f>
        <v>#N/A</v>
      </c>
      <c r="AB1137" s="947" t="e">
        <f>VLOOKUP(Y1137,R_DD!$A$1:$L$2131,5,0)</f>
        <v>#N/A</v>
      </c>
      <c r="AC1137" s="947" t="e">
        <f>VLOOKUP(X1137,R_DD!$B$6:$E$2112,4,0)</f>
        <v>#N/A</v>
      </c>
    </row>
    <row r="1138" spans="22:29" ht="20.100000000000001" customHeight="1">
      <c r="V1138" s="944" t="e">
        <f>VLOOKUP(U1138,R_DD!$B$6:$E$2112,3,0)</f>
        <v>#N/A</v>
      </c>
      <c r="W1138" s="943" t="e">
        <f>VLOOKUP(U1138,R_DD!$B$6:$E$2112,4,0)</f>
        <v>#N/A</v>
      </c>
      <c r="Z1138" s="946" t="e">
        <f>VLOOKUP(X1138,R_DD!$B$6:$E$2112,3,0)</f>
        <v>#N/A</v>
      </c>
      <c r="AA1138" s="946" t="e">
        <f>VLOOKUP(Y1138,R_DD!$A$1:$L$2131,4,0)</f>
        <v>#N/A</v>
      </c>
      <c r="AB1138" s="947" t="e">
        <f>VLOOKUP(Y1138,R_DD!$A$1:$L$2131,5,0)</f>
        <v>#N/A</v>
      </c>
      <c r="AC1138" s="947" t="e">
        <f>VLOOKUP(X1138,R_DD!$B$6:$E$2112,4,0)</f>
        <v>#N/A</v>
      </c>
    </row>
    <row r="1139" spans="22:29" ht="20.100000000000001" customHeight="1">
      <c r="V1139" s="944" t="e">
        <f>VLOOKUP(U1139,R_DD!$B$6:$E$2112,3,0)</f>
        <v>#N/A</v>
      </c>
      <c r="W1139" s="943" t="e">
        <f>VLOOKUP(U1139,R_DD!$B$6:$E$2112,4,0)</f>
        <v>#N/A</v>
      </c>
      <c r="Z1139" s="946" t="e">
        <f>VLOOKUP(X1139,R_DD!$B$6:$E$2112,3,0)</f>
        <v>#N/A</v>
      </c>
      <c r="AA1139" s="946" t="e">
        <f>VLOOKUP(Y1139,R_DD!$A$1:$L$2131,4,0)</f>
        <v>#N/A</v>
      </c>
      <c r="AB1139" s="947" t="e">
        <f>VLOOKUP(Y1139,R_DD!$A$1:$L$2131,5,0)</f>
        <v>#N/A</v>
      </c>
      <c r="AC1139" s="947" t="e">
        <f>VLOOKUP(X1139,R_DD!$B$6:$E$2112,4,0)</f>
        <v>#N/A</v>
      </c>
    </row>
    <row r="1140" spans="22:29" ht="20.100000000000001" customHeight="1">
      <c r="V1140" s="944" t="e">
        <f>VLOOKUP(U1140,R_DD!$B$6:$E$2112,3,0)</f>
        <v>#N/A</v>
      </c>
      <c r="W1140" s="943" t="e">
        <f>VLOOKUP(U1140,R_DD!$B$6:$E$2112,4,0)</f>
        <v>#N/A</v>
      </c>
      <c r="Z1140" s="946" t="e">
        <f>VLOOKUP(X1140,R_DD!$B$6:$E$2112,3,0)</f>
        <v>#N/A</v>
      </c>
      <c r="AA1140" s="946" t="e">
        <f>VLOOKUP(Y1140,R_DD!$A$1:$L$2131,4,0)</f>
        <v>#N/A</v>
      </c>
      <c r="AB1140" s="947" t="e">
        <f>VLOOKUP(Y1140,R_DD!$A$1:$L$2131,5,0)</f>
        <v>#N/A</v>
      </c>
      <c r="AC1140" s="947" t="e">
        <f>VLOOKUP(X1140,R_DD!$B$6:$E$2112,4,0)</f>
        <v>#N/A</v>
      </c>
    </row>
    <row r="1141" spans="22:29" ht="20.100000000000001" customHeight="1">
      <c r="V1141" s="944" t="e">
        <f>VLOOKUP(U1141,R_DD!$B$6:$E$2112,3,0)</f>
        <v>#N/A</v>
      </c>
      <c r="W1141" s="943" t="e">
        <f>VLOOKUP(U1141,R_DD!$B$6:$E$2112,4,0)</f>
        <v>#N/A</v>
      </c>
      <c r="Z1141" s="946" t="e">
        <f>VLOOKUP(X1141,R_DD!$B$6:$E$2112,3,0)</f>
        <v>#N/A</v>
      </c>
      <c r="AA1141" s="946" t="e">
        <f>VLOOKUP(Y1141,R_DD!$A$1:$L$2131,4,0)</f>
        <v>#N/A</v>
      </c>
      <c r="AB1141" s="947" t="e">
        <f>VLOOKUP(Y1141,R_DD!$A$1:$L$2131,5,0)</f>
        <v>#N/A</v>
      </c>
      <c r="AC1141" s="947" t="e">
        <f>VLOOKUP(X1141,R_DD!$B$6:$E$2112,4,0)</f>
        <v>#N/A</v>
      </c>
    </row>
    <row r="1142" spans="22:29" ht="20.100000000000001" customHeight="1">
      <c r="V1142" s="944" t="e">
        <f>VLOOKUP(U1142,R_DD!$B$6:$E$2112,3,0)</f>
        <v>#N/A</v>
      </c>
      <c r="W1142" s="943" t="e">
        <f>VLOOKUP(U1142,R_DD!$B$6:$E$2112,4,0)</f>
        <v>#N/A</v>
      </c>
      <c r="Z1142" s="946" t="e">
        <f>VLOOKUP(X1142,R_DD!$B$6:$E$2112,3,0)</f>
        <v>#N/A</v>
      </c>
      <c r="AA1142" s="946" t="e">
        <f>VLOOKUP(Y1142,R_DD!$A$1:$L$2131,4,0)</f>
        <v>#N/A</v>
      </c>
      <c r="AB1142" s="947" t="e">
        <f>VLOOKUP(Y1142,R_DD!$A$1:$L$2131,5,0)</f>
        <v>#N/A</v>
      </c>
      <c r="AC1142" s="947" t="e">
        <f>VLOOKUP(X1142,R_DD!$B$6:$E$2112,4,0)</f>
        <v>#N/A</v>
      </c>
    </row>
    <row r="1143" spans="22:29" ht="20.100000000000001" customHeight="1">
      <c r="V1143" s="944" t="e">
        <f>VLOOKUP(U1143,R_DD!$B$6:$E$2112,3,0)</f>
        <v>#N/A</v>
      </c>
      <c r="W1143" s="943" t="e">
        <f>VLOOKUP(U1143,R_DD!$B$6:$E$2112,4,0)</f>
        <v>#N/A</v>
      </c>
      <c r="Z1143" s="946" t="e">
        <f>VLOOKUP(X1143,R_DD!$B$6:$E$2112,3,0)</f>
        <v>#N/A</v>
      </c>
      <c r="AA1143" s="946" t="e">
        <f>VLOOKUP(Y1143,R_DD!$A$1:$L$2131,4,0)</f>
        <v>#N/A</v>
      </c>
      <c r="AB1143" s="947" t="e">
        <f>VLOOKUP(Y1143,R_DD!$A$1:$L$2131,5,0)</f>
        <v>#N/A</v>
      </c>
      <c r="AC1143" s="947" t="e">
        <f>VLOOKUP(X1143,R_DD!$B$6:$E$2112,4,0)</f>
        <v>#N/A</v>
      </c>
    </row>
    <row r="1144" spans="22:29" ht="20.100000000000001" customHeight="1">
      <c r="V1144" s="944" t="e">
        <f>VLOOKUP(U1144,R_DD!$B$6:$E$2112,3,0)</f>
        <v>#N/A</v>
      </c>
      <c r="W1144" s="943" t="e">
        <f>VLOOKUP(U1144,R_DD!$B$6:$E$2112,4,0)</f>
        <v>#N/A</v>
      </c>
      <c r="Z1144" s="946" t="e">
        <f>VLOOKUP(X1144,R_DD!$B$6:$E$2112,3,0)</f>
        <v>#N/A</v>
      </c>
      <c r="AA1144" s="946" t="e">
        <f>VLOOKUP(Y1144,R_DD!$A$1:$L$2131,4,0)</f>
        <v>#N/A</v>
      </c>
      <c r="AB1144" s="947" t="e">
        <f>VLOOKUP(Y1144,R_DD!$A$1:$L$2131,5,0)</f>
        <v>#N/A</v>
      </c>
      <c r="AC1144" s="947" t="e">
        <f>VLOOKUP(X1144,R_DD!$B$6:$E$2112,4,0)</f>
        <v>#N/A</v>
      </c>
    </row>
    <row r="1145" spans="22:29" ht="20.100000000000001" customHeight="1">
      <c r="V1145" s="944" t="e">
        <f>VLOOKUP(U1145,R_DD!$B$6:$E$2112,3,0)</f>
        <v>#N/A</v>
      </c>
      <c r="W1145" s="943" t="e">
        <f>VLOOKUP(U1145,R_DD!$B$6:$E$2112,4,0)</f>
        <v>#N/A</v>
      </c>
      <c r="Z1145" s="946" t="e">
        <f>VLOOKUP(X1145,R_DD!$B$6:$E$2112,3,0)</f>
        <v>#N/A</v>
      </c>
      <c r="AA1145" s="946" t="e">
        <f>VLOOKUP(Y1145,R_DD!$A$1:$L$2131,4,0)</f>
        <v>#N/A</v>
      </c>
      <c r="AB1145" s="947" t="e">
        <f>VLOOKUP(Y1145,R_DD!$A$1:$L$2131,5,0)</f>
        <v>#N/A</v>
      </c>
      <c r="AC1145" s="947" t="e">
        <f>VLOOKUP(X1145,R_DD!$B$6:$E$2112,4,0)</f>
        <v>#N/A</v>
      </c>
    </row>
    <row r="1146" spans="22:29" ht="20.100000000000001" customHeight="1">
      <c r="V1146" s="944" t="e">
        <f>VLOOKUP(U1146,R_DD!$B$6:$E$2112,3,0)</f>
        <v>#N/A</v>
      </c>
      <c r="W1146" s="943" t="e">
        <f>VLOOKUP(U1146,R_DD!$B$6:$E$2112,4,0)</f>
        <v>#N/A</v>
      </c>
      <c r="Z1146" s="946" t="e">
        <f>VLOOKUP(X1146,R_DD!$B$6:$E$2112,3,0)</f>
        <v>#N/A</v>
      </c>
      <c r="AA1146" s="946" t="e">
        <f>VLOOKUP(Y1146,R_DD!$A$1:$L$2131,4,0)</f>
        <v>#N/A</v>
      </c>
      <c r="AB1146" s="947" t="e">
        <f>VLOOKUP(Y1146,R_DD!$A$1:$L$2131,5,0)</f>
        <v>#N/A</v>
      </c>
      <c r="AC1146" s="947" t="e">
        <f>VLOOKUP(X1146,R_DD!$B$6:$E$2112,4,0)</f>
        <v>#N/A</v>
      </c>
    </row>
    <row r="1147" spans="22:29" ht="20.100000000000001" customHeight="1">
      <c r="V1147" s="944" t="e">
        <f>VLOOKUP(U1147,R_DD!$B$6:$E$2112,3,0)</f>
        <v>#N/A</v>
      </c>
      <c r="W1147" s="943" t="e">
        <f>VLOOKUP(U1147,R_DD!$B$6:$E$2112,4,0)</f>
        <v>#N/A</v>
      </c>
      <c r="Z1147" s="946" t="e">
        <f>VLOOKUP(X1147,R_DD!$B$6:$E$2112,3,0)</f>
        <v>#N/A</v>
      </c>
      <c r="AA1147" s="946" t="e">
        <f>VLOOKUP(Y1147,R_DD!$A$1:$L$2131,4,0)</f>
        <v>#N/A</v>
      </c>
      <c r="AB1147" s="947" t="e">
        <f>VLOOKUP(Y1147,R_DD!$A$1:$L$2131,5,0)</f>
        <v>#N/A</v>
      </c>
      <c r="AC1147" s="947" t="e">
        <f>VLOOKUP(X1147,R_DD!$B$6:$E$2112,4,0)</f>
        <v>#N/A</v>
      </c>
    </row>
    <row r="1148" spans="22:29" ht="20.100000000000001" customHeight="1">
      <c r="V1148" s="944" t="e">
        <f>VLOOKUP(U1148,R_DD!$B$6:$E$2112,3,0)</f>
        <v>#N/A</v>
      </c>
      <c r="W1148" s="943" t="e">
        <f>VLOOKUP(U1148,R_DD!$B$6:$E$2112,4,0)</f>
        <v>#N/A</v>
      </c>
      <c r="Z1148" s="946" t="e">
        <f>VLOOKUP(X1148,R_DD!$B$6:$E$2112,3,0)</f>
        <v>#N/A</v>
      </c>
      <c r="AA1148" s="946" t="e">
        <f>VLOOKUP(Y1148,R_DD!$A$1:$L$2131,4,0)</f>
        <v>#N/A</v>
      </c>
      <c r="AB1148" s="947" t="e">
        <f>VLOOKUP(Y1148,R_DD!$A$1:$L$2131,5,0)</f>
        <v>#N/A</v>
      </c>
      <c r="AC1148" s="947" t="e">
        <f>VLOOKUP(X1148,R_DD!$B$6:$E$2112,4,0)</f>
        <v>#N/A</v>
      </c>
    </row>
    <row r="1149" spans="22:29" ht="20.100000000000001" customHeight="1">
      <c r="V1149" s="944" t="e">
        <f>VLOOKUP(U1149,R_DD!$B$6:$E$2112,3,0)</f>
        <v>#N/A</v>
      </c>
      <c r="W1149" s="943" t="e">
        <f>VLOOKUP(U1149,R_DD!$B$6:$E$2112,4,0)</f>
        <v>#N/A</v>
      </c>
      <c r="Z1149" s="946" t="e">
        <f>VLOOKUP(X1149,R_DD!$B$6:$E$2112,3,0)</f>
        <v>#N/A</v>
      </c>
      <c r="AA1149" s="946" t="e">
        <f>VLOOKUP(Y1149,R_DD!$A$1:$L$2131,4,0)</f>
        <v>#N/A</v>
      </c>
      <c r="AB1149" s="947" t="e">
        <f>VLOOKUP(Y1149,R_DD!$A$1:$L$2131,5,0)</f>
        <v>#N/A</v>
      </c>
      <c r="AC1149" s="947" t="e">
        <f>VLOOKUP(X1149,R_DD!$B$6:$E$2112,4,0)</f>
        <v>#N/A</v>
      </c>
    </row>
    <row r="1150" spans="22:29" ht="20.100000000000001" customHeight="1">
      <c r="V1150" s="944" t="e">
        <f>VLOOKUP(U1150,R_DD!$B$6:$E$2112,3,0)</f>
        <v>#N/A</v>
      </c>
      <c r="W1150" s="943" t="e">
        <f>VLOOKUP(U1150,R_DD!$B$6:$E$2112,4,0)</f>
        <v>#N/A</v>
      </c>
      <c r="Z1150" s="946" t="e">
        <f>VLOOKUP(X1150,R_DD!$B$6:$E$2112,3,0)</f>
        <v>#N/A</v>
      </c>
      <c r="AA1150" s="946" t="e">
        <f>VLOOKUP(Y1150,R_DD!$A$1:$L$2131,4,0)</f>
        <v>#N/A</v>
      </c>
      <c r="AB1150" s="947" t="e">
        <f>VLOOKUP(Y1150,R_DD!$A$1:$L$2131,5,0)</f>
        <v>#N/A</v>
      </c>
      <c r="AC1150" s="947" t="e">
        <f>VLOOKUP(X1150,R_DD!$B$6:$E$2112,4,0)</f>
        <v>#N/A</v>
      </c>
    </row>
    <row r="1151" spans="22:29" ht="20.100000000000001" customHeight="1">
      <c r="V1151" s="944" t="e">
        <f>VLOOKUP(U1151,R_DD!$B$6:$E$2112,3,0)</f>
        <v>#N/A</v>
      </c>
      <c r="W1151" s="943" t="e">
        <f>VLOOKUP(U1151,R_DD!$B$6:$E$2112,4,0)</f>
        <v>#N/A</v>
      </c>
      <c r="Z1151" s="946" t="e">
        <f>VLOOKUP(X1151,R_DD!$B$6:$E$2112,3,0)</f>
        <v>#N/A</v>
      </c>
      <c r="AA1151" s="946" t="e">
        <f>VLOOKUP(Y1151,R_DD!$A$1:$L$2131,4,0)</f>
        <v>#N/A</v>
      </c>
      <c r="AB1151" s="947" t="e">
        <f>VLOOKUP(Y1151,R_DD!$A$1:$L$2131,5,0)</f>
        <v>#N/A</v>
      </c>
      <c r="AC1151" s="947" t="e">
        <f>VLOOKUP(X1151,R_DD!$B$6:$E$2112,4,0)</f>
        <v>#N/A</v>
      </c>
    </row>
    <row r="1152" spans="22:29" ht="20.100000000000001" customHeight="1">
      <c r="V1152" s="944" t="e">
        <f>VLOOKUP(U1152,R_DD!$B$6:$E$2112,3,0)</f>
        <v>#N/A</v>
      </c>
      <c r="W1152" s="943" t="e">
        <f>VLOOKUP(U1152,R_DD!$B$6:$E$2112,4,0)</f>
        <v>#N/A</v>
      </c>
      <c r="Z1152" s="946" t="e">
        <f>VLOOKUP(X1152,R_DD!$B$6:$E$2112,3,0)</f>
        <v>#N/A</v>
      </c>
      <c r="AA1152" s="946" t="e">
        <f>VLOOKUP(Y1152,R_DD!$A$1:$L$2131,4,0)</f>
        <v>#N/A</v>
      </c>
      <c r="AB1152" s="947" t="e">
        <f>VLOOKUP(Y1152,R_DD!$A$1:$L$2131,5,0)</f>
        <v>#N/A</v>
      </c>
      <c r="AC1152" s="947" t="e">
        <f>VLOOKUP(X1152,R_DD!$B$6:$E$2112,4,0)</f>
        <v>#N/A</v>
      </c>
    </row>
    <row r="1153" spans="22:29" ht="20.100000000000001" customHeight="1">
      <c r="V1153" s="944" t="e">
        <f>VLOOKUP(U1153,R_DD!$B$6:$E$2112,3,0)</f>
        <v>#N/A</v>
      </c>
      <c r="W1153" s="943" t="e">
        <f>VLOOKUP(U1153,R_DD!$B$6:$E$2112,4,0)</f>
        <v>#N/A</v>
      </c>
      <c r="Z1153" s="946" t="e">
        <f>VLOOKUP(X1153,R_DD!$B$6:$E$2112,3,0)</f>
        <v>#N/A</v>
      </c>
      <c r="AA1153" s="946" t="e">
        <f>VLOOKUP(Y1153,R_DD!$A$1:$L$2131,4,0)</f>
        <v>#N/A</v>
      </c>
      <c r="AB1153" s="947" t="e">
        <f>VLOOKUP(Y1153,R_DD!$A$1:$L$2131,5,0)</f>
        <v>#N/A</v>
      </c>
      <c r="AC1153" s="947" t="e">
        <f>VLOOKUP(X1153,R_DD!$B$6:$E$2112,4,0)</f>
        <v>#N/A</v>
      </c>
    </row>
    <row r="1154" spans="22:29" ht="20.100000000000001" customHeight="1">
      <c r="V1154" s="944" t="e">
        <f>VLOOKUP(U1154,R_DD!$B$6:$E$2112,3,0)</f>
        <v>#N/A</v>
      </c>
      <c r="W1154" s="943" t="e">
        <f>VLOOKUP(U1154,R_DD!$B$6:$E$2112,4,0)</f>
        <v>#N/A</v>
      </c>
      <c r="Z1154" s="946" t="e">
        <f>VLOOKUP(X1154,R_DD!$B$6:$E$2112,3,0)</f>
        <v>#N/A</v>
      </c>
      <c r="AA1154" s="946" t="e">
        <f>VLOOKUP(Y1154,R_DD!$A$1:$L$2131,4,0)</f>
        <v>#N/A</v>
      </c>
      <c r="AB1154" s="947" t="e">
        <f>VLOOKUP(Y1154,R_DD!$A$1:$L$2131,5,0)</f>
        <v>#N/A</v>
      </c>
      <c r="AC1154" s="947" t="e">
        <f>VLOOKUP(X1154,R_DD!$B$6:$E$2112,4,0)</f>
        <v>#N/A</v>
      </c>
    </row>
    <row r="1155" spans="22:29" ht="20.100000000000001" customHeight="1">
      <c r="V1155" s="944" t="e">
        <f>VLOOKUP(U1155,R_DD!$B$6:$E$2112,3,0)</f>
        <v>#N/A</v>
      </c>
      <c r="W1155" s="943" t="e">
        <f>VLOOKUP(U1155,R_DD!$B$6:$E$2112,4,0)</f>
        <v>#N/A</v>
      </c>
      <c r="Z1155" s="946" t="e">
        <f>VLOOKUP(X1155,R_DD!$B$6:$E$2112,3,0)</f>
        <v>#N/A</v>
      </c>
      <c r="AA1155" s="946" t="e">
        <f>VLOOKUP(Y1155,R_DD!$A$1:$L$2131,4,0)</f>
        <v>#N/A</v>
      </c>
      <c r="AB1155" s="947" t="e">
        <f>VLOOKUP(Y1155,R_DD!$A$1:$L$2131,5,0)</f>
        <v>#N/A</v>
      </c>
      <c r="AC1155" s="947" t="e">
        <f>VLOOKUP(X1155,R_DD!$B$6:$E$2112,4,0)</f>
        <v>#N/A</v>
      </c>
    </row>
    <row r="1156" spans="22:29" ht="20.100000000000001" customHeight="1">
      <c r="V1156" s="944" t="e">
        <f>VLOOKUP(U1156,R_DD!$B$6:$E$2112,3,0)</f>
        <v>#N/A</v>
      </c>
      <c r="W1156" s="943" t="e">
        <f>VLOOKUP(U1156,R_DD!$B$6:$E$2112,4,0)</f>
        <v>#N/A</v>
      </c>
      <c r="Z1156" s="946" t="e">
        <f>VLOOKUP(X1156,R_DD!$B$6:$E$2112,3,0)</f>
        <v>#N/A</v>
      </c>
      <c r="AA1156" s="946" t="e">
        <f>VLOOKUP(Y1156,R_DD!$A$1:$L$2131,4,0)</f>
        <v>#N/A</v>
      </c>
      <c r="AB1156" s="947" t="e">
        <f>VLOOKUP(Y1156,R_DD!$A$1:$L$2131,5,0)</f>
        <v>#N/A</v>
      </c>
      <c r="AC1156" s="947" t="e">
        <f>VLOOKUP(X1156,R_DD!$B$6:$E$2112,4,0)</f>
        <v>#N/A</v>
      </c>
    </row>
    <row r="1157" spans="22:29" ht="20.100000000000001" customHeight="1">
      <c r="V1157" s="944" t="e">
        <f>VLOOKUP(U1157,R_DD!$B$6:$E$2112,3,0)</f>
        <v>#N/A</v>
      </c>
      <c r="W1157" s="943" t="e">
        <f>VLOOKUP(U1157,R_DD!$B$6:$E$2112,4,0)</f>
        <v>#N/A</v>
      </c>
      <c r="Z1157" s="946" t="e">
        <f>VLOOKUP(X1157,R_DD!$B$6:$E$2112,3,0)</f>
        <v>#N/A</v>
      </c>
      <c r="AA1157" s="946" t="e">
        <f>VLOOKUP(Y1157,R_DD!$A$1:$L$2131,4,0)</f>
        <v>#N/A</v>
      </c>
      <c r="AB1157" s="947" t="e">
        <f>VLOOKUP(Y1157,R_DD!$A$1:$L$2131,5,0)</f>
        <v>#N/A</v>
      </c>
      <c r="AC1157" s="947" t="e">
        <f>VLOOKUP(X1157,R_DD!$B$6:$E$2112,4,0)</f>
        <v>#N/A</v>
      </c>
    </row>
    <row r="1158" spans="22:29" ht="20.100000000000001" customHeight="1">
      <c r="V1158" s="944" t="e">
        <f>VLOOKUP(U1158,R_DD!$B$6:$E$2112,3,0)</f>
        <v>#N/A</v>
      </c>
      <c r="W1158" s="943" t="e">
        <f>VLOOKUP(U1158,R_DD!$B$6:$E$2112,4,0)</f>
        <v>#N/A</v>
      </c>
      <c r="Z1158" s="946" t="e">
        <f>VLOOKUP(X1158,R_DD!$B$6:$E$2112,3,0)</f>
        <v>#N/A</v>
      </c>
      <c r="AA1158" s="946" t="e">
        <f>VLOOKUP(Y1158,R_DD!$A$1:$L$2131,4,0)</f>
        <v>#N/A</v>
      </c>
      <c r="AB1158" s="947" t="e">
        <f>VLOOKUP(Y1158,R_DD!$A$1:$L$2131,5,0)</f>
        <v>#N/A</v>
      </c>
      <c r="AC1158" s="947" t="e">
        <f>VLOOKUP(X1158,R_DD!$B$6:$E$2112,4,0)</f>
        <v>#N/A</v>
      </c>
    </row>
    <row r="1159" spans="22:29" ht="20.100000000000001" customHeight="1">
      <c r="V1159" s="944" t="e">
        <f>VLOOKUP(U1159,R_DD!$B$6:$E$2112,3,0)</f>
        <v>#N/A</v>
      </c>
      <c r="W1159" s="943" t="e">
        <f>VLOOKUP(U1159,R_DD!$B$6:$E$2112,4,0)</f>
        <v>#N/A</v>
      </c>
      <c r="Z1159" s="946" t="e">
        <f>VLOOKUP(X1159,R_DD!$B$6:$E$2112,3,0)</f>
        <v>#N/A</v>
      </c>
      <c r="AA1159" s="946" t="e">
        <f>VLOOKUP(Y1159,R_DD!$A$1:$L$2131,4,0)</f>
        <v>#N/A</v>
      </c>
      <c r="AB1159" s="947" t="e">
        <f>VLOOKUP(Y1159,R_DD!$A$1:$L$2131,5,0)</f>
        <v>#N/A</v>
      </c>
      <c r="AC1159" s="947" t="e">
        <f>VLOOKUP(X1159,R_DD!$B$6:$E$2112,4,0)</f>
        <v>#N/A</v>
      </c>
    </row>
    <row r="1160" spans="22:29" ht="20.100000000000001" customHeight="1">
      <c r="V1160" s="944" t="e">
        <f>VLOOKUP(U1160,R_DD!$B$6:$E$2112,3,0)</f>
        <v>#N/A</v>
      </c>
      <c r="W1160" s="943" t="e">
        <f>VLOOKUP(U1160,R_DD!$B$6:$E$2112,4,0)</f>
        <v>#N/A</v>
      </c>
      <c r="Z1160" s="946" t="e">
        <f>VLOOKUP(X1160,R_DD!$B$6:$E$2112,3,0)</f>
        <v>#N/A</v>
      </c>
      <c r="AA1160" s="946" t="e">
        <f>VLOOKUP(Y1160,R_DD!$A$1:$L$2131,4,0)</f>
        <v>#N/A</v>
      </c>
      <c r="AB1160" s="947" t="e">
        <f>VLOOKUP(Y1160,R_DD!$A$1:$L$2131,5,0)</f>
        <v>#N/A</v>
      </c>
      <c r="AC1160" s="947" t="e">
        <f>VLOOKUP(X1160,R_DD!$B$6:$E$2112,4,0)</f>
        <v>#N/A</v>
      </c>
    </row>
    <row r="1161" spans="22:29" ht="20.100000000000001" customHeight="1">
      <c r="V1161" s="944" t="e">
        <f>VLOOKUP(U1161,R_DD!$B$6:$E$2112,3,0)</f>
        <v>#N/A</v>
      </c>
      <c r="W1161" s="943" t="e">
        <f>VLOOKUP(U1161,R_DD!$B$6:$E$2112,4,0)</f>
        <v>#N/A</v>
      </c>
      <c r="Z1161" s="946" t="e">
        <f>VLOOKUP(X1161,R_DD!$B$6:$E$2112,3,0)</f>
        <v>#N/A</v>
      </c>
      <c r="AA1161" s="946" t="e">
        <f>VLOOKUP(Y1161,R_DD!$A$1:$L$2131,4,0)</f>
        <v>#N/A</v>
      </c>
      <c r="AB1161" s="947" t="e">
        <f>VLOOKUP(Y1161,R_DD!$A$1:$L$2131,5,0)</f>
        <v>#N/A</v>
      </c>
      <c r="AC1161" s="947" t="e">
        <f>VLOOKUP(X1161,R_DD!$B$6:$E$2112,4,0)</f>
        <v>#N/A</v>
      </c>
    </row>
    <row r="1162" spans="22:29" ht="20.100000000000001" customHeight="1">
      <c r="V1162" s="944" t="e">
        <f>VLOOKUP(U1162,R_DD!$B$6:$E$2112,3,0)</f>
        <v>#N/A</v>
      </c>
      <c r="W1162" s="943" t="e">
        <f>VLOOKUP(U1162,R_DD!$B$6:$E$2112,4,0)</f>
        <v>#N/A</v>
      </c>
      <c r="Z1162" s="946" t="e">
        <f>VLOOKUP(X1162,R_DD!$B$6:$E$2112,3,0)</f>
        <v>#N/A</v>
      </c>
      <c r="AA1162" s="946" t="e">
        <f>VLOOKUP(Y1162,R_DD!$A$1:$L$2131,4,0)</f>
        <v>#N/A</v>
      </c>
      <c r="AB1162" s="947" t="e">
        <f>VLOOKUP(Y1162,R_DD!$A$1:$L$2131,5,0)</f>
        <v>#N/A</v>
      </c>
      <c r="AC1162" s="947" t="e">
        <f>VLOOKUP(X1162,R_DD!$B$6:$E$2112,4,0)</f>
        <v>#N/A</v>
      </c>
    </row>
    <row r="1163" spans="22:29" ht="20.100000000000001" customHeight="1">
      <c r="V1163" s="944" t="e">
        <f>VLOOKUP(U1163,R_DD!$B$6:$E$2112,3,0)</f>
        <v>#N/A</v>
      </c>
      <c r="W1163" s="943" t="e">
        <f>VLOOKUP(U1163,R_DD!$B$6:$E$2112,4,0)</f>
        <v>#N/A</v>
      </c>
      <c r="Z1163" s="946" t="e">
        <f>VLOOKUP(X1163,R_DD!$B$6:$E$2112,3,0)</f>
        <v>#N/A</v>
      </c>
      <c r="AA1163" s="946" t="e">
        <f>VLOOKUP(Y1163,R_DD!$A$1:$L$2131,4,0)</f>
        <v>#N/A</v>
      </c>
      <c r="AB1163" s="947" t="e">
        <f>VLOOKUP(Y1163,R_DD!$A$1:$L$2131,5,0)</f>
        <v>#N/A</v>
      </c>
      <c r="AC1163" s="947" t="e">
        <f>VLOOKUP(X1163,R_DD!$B$6:$E$2112,4,0)</f>
        <v>#N/A</v>
      </c>
    </row>
    <row r="1164" spans="22:29" ht="20.100000000000001" customHeight="1">
      <c r="V1164" s="944" t="e">
        <f>VLOOKUP(U1164,R_DD!$B$6:$E$2112,3,0)</f>
        <v>#N/A</v>
      </c>
      <c r="W1164" s="943" t="e">
        <f>VLOOKUP(U1164,R_DD!$B$6:$E$2112,4,0)</f>
        <v>#N/A</v>
      </c>
      <c r="Z1164" s="946" t="e">
        <f>VLOOKUP(X1164,R_DD!$B$6:$E$2112,3,0)</f>
        <v>#N/A</v>
      </c>
      <c r="AA1164" s="946" t="e">
        <f>VLOOKUP(Y1164,R_DD!$A$1:$L$2131,4,0)</f>
        <v>#N/A</v>
      </c>
      <c r="AB1164" s="947" t="e">
        <f>VLOOKUP(Y1164,R_DD!$A$1:$L$2131,5,0)</f>
        <v>#N/A</v>
      </c>
      <c r="AC1164" s="947" t="e">
        <f>VLOOKUP(X1164,R_DD!$B$6:$E$2112,4,0)</f>
        <v>#N/A</v>
      </c>
    </row>
    <row r="1165" spans="22:29" ht="20.100000000000001" customHeight="1">
      <c r="V1165" s="944" t="e">
        <f>VLOOKUP(U1165,R_DD!$B$6:$E$2112,3,0)</f>
        <v>#N/A</v>
      </c>
      <c r="W1165" s="943" t="e">
        <f>VLOOKUP(U1165,R_DD!$B$6:$E$2112,4,0)</f>
        <v>#N/A</v>
      </c>
      <c r="Z1165" s="946" t="e">
        <f>VLOOKUP(X1165,R_DD!$B$6:$E$2112,3,0)</f>
        <v>#N/A</v>
      </c>
      <c r="AA1165" s="946" t="e">
        <f>VLOOKUP(Y1165,R_DD!$A$1:$L$2131,4,0)</f>
        <v>#N/A</v>
      </c>
      <c r="AB1165" s="947" t="e">
        <f>VLOOKUP(Y1165,R_DD!$A$1:$L$2131,5,0)</f>
        <v>#N/A</v>
      </c>
      <c r="AC1165" s="947" t="e">
        <f>VLOOKUP(X1165,R_DD!$B$6:$E$2112,4,0)</f>
        <v>#N/A</v>
      </c>
    </row>
    <row r="1166" spans="22:29" ht="20.100000000000001" customHeight="1">
      <c r="V1166" s="944" t="e">
        <f>VLOOKUP(U1166,R_DD!$B$6:$E$2112,3,0)</f>
        <v>#N/A</v>
      </c>
      <c r="W1166" s="943" t="e">
        <f>VLOOKUP(U1166,R_DD!$B$6:$E$2112,4,0)</f>
        <v>#N/A</v>
      </c>
      <c r="Z1166" s="946" t="e">
        <f>VLOOKUP(X1166,R_DD!$B$6:$E$2112,3,0)</f>
        <v>#N/A</v>
      </c>
      <c r="AA1166" s="946" t="e">
        <f>VLOOKUP(Y1166,R_DD!$A$1:$L$2131,4,0)</f>
        <v>#N/A</v>
      </c>
      <c r="AB1166" s="947" t="e">
        <f>VLOOKUP(Y1166,R_DD!$A$1:$L$2131,5,0)</f>
        <v>#N/A</v>
      </c>
      <c r="AC1166" s="947" t="e">
        <f>VLOOKUP(X1166,R_DD!$B$6:$E$2112,4,0)</f>
        <v>#N/A</v>
      </c>
    </row>
    <row r="1167" spans="22:29" ht="20.100000000000001" customHeight="1">
      <c r="V1167" s="944" t="e">
        <f>VLOOKUP(U1167,R_DD!$B$6:$E$2112,3,0)</f>
        <v>#N/A</v>
      </c>
      <c r="W1167" s="943" t="e">
        <f>VLOOKUP(U1167,R_DD!$B$6:$E$2112,4,0)</f>
        <v>#N/A</v>
      </c>
      <c r="Z1167" s="946" t="e">
        <f>VLOOKUP(X1167,R_DD!$B$6:$E$2112,3,0)</f>
        <v>#N/A</v>
      </c>
      <c r="AA1167" s="946" t="e">
        <f>VLOOKUP(Y1167,R_DD!$A$1:$L$2131,4,0)</f>
        <v>#N/A</v>
      </c>
      <c r="AB1167" s="947" t="e">
        <f>VLOOKUP(Y1167,R_DD!$A$1:$L$2131,5,0)</f>
        <v>#N/A</v>
      </c>
      <c r="AC1167" s="947" t="e">
        <f>VLOOKUP(X1167,R_DD!$B$6:$E$2112,4,0)</f>
        <v>#N/A</v>
      </c>
    </row>
    <row r="1168" spans="22:29" ht="20.100000000000001" customHeight="1">
      <c r="V1168" s="944" t="e">
        <f>VLOOKUP(U1168,R_DD!$B$6:$E$2112,3,0)</f>
        <v>#N/A</v>
      </c>
      <c r="W1168" s="943" t="e">
        <f>VLOOKUP(U1168,R_DD!$B$6:$E$2112,4,0)</f>
        <v>#N/A</v>
      </c>
      <c r="Z1168" s="946" t="e">
        <f>VLOOKUP(X1168,R_DD!$B$6:$E$2112,3,0)</f>
        <v>#N/A</v>
      </c>
      <c r="AA1168" s="946" t="e">
        <f>VLOOKUP(Y1168,R_DD!$A$1:$L$2131,4,0)</f>
        <v>#N/A</v>
      </c>
      <c r="AB1168" s="947" t="e">
        <f>VLOOKUP(Y1168,R_DD!$A$1:$L$2131,5,0)</f>
        <v>#N/A</v>
      </c>
      <c r="AC1168" s="947" t="e">
        <f>VLOOKUP(X1168,R_DD!$B$6:$E$2112,4,0)</f>
        <v>#N/A</v>
      </c>
    </row>
    <row r="1169" spans="22:29" ht="20.100000000000001" customHeight="1">
      <c r="V1169" s="944" t="e">
        <f>VLOOKUP(U1169,R_DD!$B$6:$E$2112,3,0)</f>
        <v>#N/A</v>
      </c>
      <c r="W1169" s="943" t="e">
        <f>VLOOKUP(U1169,R_DD!$B$6:$E$2112,4,0)</f>
        <v>#N/A</v>
      </c>
      <c r="Z1169" s="946" t="e">
        <f>VLOOKUP(X1169,R_DD!$B$6:$E$2112,3,0)</f>
        <v>#N/A</v>
      </c>
      <c r="AA1169" s="946" t="e">
        <f>VLOOKUP(Y1169,R_DD!$A$1:$L$2131,4,0)</f>
        <v>#N/A</v>
      </c>
      <c r="AB1169" s="947" t="e">
        <f>VLOOKUP(Y1169,R_DD!$A$1:$L$2131,5,0)</f>
        <v>#N/A</v>
      </c>
      <c r="AC1169" s="947" t="e">
        <f>VLOOKUP(X1169,R_DD!$B$6:$E$2112,4,0)</f>
        <v>#N/A</v>
      </c>
    </row>
    <row r="1170" spans="22:29" ht="20.100000000000001" customHeight="1">
      <c r="V1170" s="944" t="e">
        <f>VLOOKUP(U1170,R_DD!$B$6:$E$2112,3,0)</f>
        <v>#N/A</v>
      </c>
      <c r="W1170" s="943" t="e">
        <f>VLOOKUP(U1170,R_DD!$B$6:$E$2112,4,0)</f>
        <v>#N/A</v>
      </c>
      <c r="Z1170" s="946" t="e">
        <f>VLOOKUP(X1170,R_DD!$B$6:$E$2112,3,0)</f>
        <v>#N/A</v>
      </c>
      <c r="AA1170" s="946" t="e">
        <f>VLOOKUP(Y1170,R_DD!$A$1:$L$2131,4,0)</f>
        <v>#N/A</v>
      </c>
      <c r="AB1170" s="947" t="e">
        <f>VLOOKUP(Y1170,R_DD!$A$1:$L$2131,5,0)</f>
        <v>#N/A</v>
      </c>
      <c r="AC1170" s="947" t="e">
        <f>VLOOKUP(X1170,R_DD!$B$6:$E$2112,4,0)</f>
        <v>#N/A</v>
      </c>
    </row>
    <row r="1171" spans="22:29" ht="20.100000000000001" customHeight="1">
      <c r="V1171" s="944" t="e">
        <f>VLOOKUP(U1171,R_DD!$B$6:$E$2112,3,0)</f>
        <v>#N/A</v>
      </c>
      <c r="W1171" s="943" t="e">
        <f>VLOOKUP(U1171,R_DD!$B$6:$E$2112,4,0)</f>
        <v>#N/A</v>
      </c>
      <c r="Z1171" s="946" t="e">
        <f>VLOOKUP(X1171,R_DD!$B$6:$E$2112,3,0)</f>
        <v>#N/A</v>
      </c>
      <c r="AA1171" s="946" t="e">
        <f>VLOOKUP(Y1171,R_DD!$A$1:$L$2131,4,0)</f>
        <v>#N/A</v>
      </c>
      <c r="AB1171" s="947" t="e">
        <f>VLOOKUP(Y1171,R_DD!$A$1:$L$2131,5,0)</f>
        <v>#N/A</v>
      </c>
      <c r="AC1171" s="947" t="e">
        <f>VLOOKUP(X1171,R_DD!$B$6:$E$2112,4,0)</f>
        <v>#N/A</v>
      </c>
    </row>
    <row r="1172" spans="22:29" ht="20.100000000000001" customHeight="1">
      <c r="V1172" s="944" t="e">
        <f>VLOOKUP(U1172,R_DD!$B$6:$E$2112,3,0)</f>
        <v>#N/A</v>
      </c>
      <c r="W1172" s="943" t="e">
        <f>VLOOKUP(U1172,R_DD!$B$6:$E$2112,4,0)</f>
        <v>#N/A</v>
      </c>
      <c r="Z1172" s="946" t="e">
        <f>VLOOKUP(X1172,R_DD!$B$6:$E$2112,3,0)</f>
        <v>#N/A</v>
      </c>
      <c r="AA1172" s="946" t="e">
        <f>VLOOKUP(Y1172,R_DD!$A$1:$L$2131,4,0)</f>
        <v>#N/A</v>
      </c>
      <c r="AB1172" s="947" t="e">
        <f>VLOOKUP(Y1172,R_DD!$A$1:$L$2131,5,0)</f>
        <v>#N/A</v>
      </c>
      <c r="AC1172" s="947" t="e">
        <f>VLOOKUP(X1172,R_DD!$B$6:$E$2112,4,0)</f>
        <v>#N/A</v>
      </c>
    </row>
    <row r="1173" spans="22:29" ht="20.100000000000001" customHeight="1">
      <c r="V1173" s="944" t="e">
        <f>VLOOKUP(U1173,R_DD!$B$6:$E$2112,3,0)</f>
        <v>#N/A</v>
      </c>
      <c r="W1173" s="943" t="e">
        <f>VLOOKUP(U1173,R_DD!$B$6:$E$2112,4,0)</f>
        <v>#N/A</v>
      </c>
      <c r="Z1173" s="946" t="e">
        <f>VLOOKUP(X1173,R_DD!$B$6:$E$2112,3,0)</f>
        <v>#N/A</v>
      </c>
      <c r="AA1173" s="946" t="e">
        <f>VLOOKUP(Y1173,R_DD!$A$1:$L$2131,4,0)</f>
        <v>#N/A</v>
      </c>
      <c r="AB1173" s="947" t="e">
        <f>VLOOKUP(Y1173,R_DD!$A$1:$L$2131,5,0)</f>
        <v>#N/A</v>
      </c>
      <c r="AC1173" s="947" t="e">
        <f>VLOOKUP(X1173,R_DD!$B$6:$E$2112,4,0)</f>
        <v>#N/A</v>
      </c>
    </row>
    <row r="1174" spans="22:29" ht="20.100000000000001" customHeight="1">
      <c r="V1174" s="944" t="e">
        <f>VLOOKUP(U1174,R_DD!$B$6:$E$2112,3,0)</f>
        <v>#N/A</v>
      </c>
      <c r="W1174" s="943" t="e">
        <f>VLOOKUP(U1174,R_DD!$B$6:$E$2112,4,0)</f>
        <v>#N/A</v>
      </c>
      <c r="Z1174" s="946" t="e">
        <f>VLOOKUP(X1174,R_DD!$B$6:$E$2112,3,0)</f>
        <v>#N/A</v>
      </c>
      <c r="AA1174" s="946" t="e">
        <f>VLOOKUP(Y1174,R_DD!$A$1:$L$2131,4,0)</f>
        <v>#N/A</v>
      </c>
      <c r="AB1174" s="947" t="e">
        <f>VLOOKUP(Y1174,R_DD!$A$1:$L$2131,5,0)</f>
        <v>#N/A</v>
      </c>
      <c r="AC1174" s="947" t="e">
        <f>VLOOKUP(X1174,R_DD!$B$6:$E$2112,4,0)</f>
        <v>#N/A</v>
      </c>
    </row>
    <row r="1175" spans="22:29" ht="20.100000000000001" customHeight="1">
      <c r="V1175" s="944" t="e">
        <f>VLOOKUP(U1175,R_DD!$B$6:$E$2112,3,0)</f>
        <v>#N/A</v>
      </c>
      <c r="W1175" s="943" t="e">
        <f>VLOOKUP(U1175,R_DD!$B$6:$E$2112,4,0)</f>
        <v>#N/A</v>
      </c>
      <c r="Z1175" s="946" t="e">
        <f>VLOOKUP(X1175,R_DD!$B$6:$E$2112,3,0)</f>
        <v>#N/A</v>
      </c>
      <c r="AA1175" s="946" t="e">
        <f>VLOOKUP(Y1175,R_DD!$A$1:$L$2131,4,0)</f>
        <v>#N/A</v>
      </c>
      <c r="AB1175" s="947" t="e">
        <f>VLOOKUP(Y1175,R_DD!$A$1:$L$2131,5,0)</f>
        <v>#N/A</v>
      </c>
      <c r="AC1175" s="947" t="e">
        <f>VLOOKUP(X1175,R_DD!$B$6:$E$2112,4,0)</f>
        <v>#N/A</v>
      </c>
    </row>
    <row r="1176" spans="22:29" ht="20.100000000000001" customHeight="1">
      <c r="V1176" s="944" t="e">
        <f>VLOOKUP(U1176,R_DD!$B$6:$E$2112,3,0)</f>
        <v>#N/A</v>
      </c>
      <c r="W1176" s="943" t="e">
        <f>VLOOKUP(U1176,R_DD!$B$6:$E$2112,4,0)</f>
        <v>#N/A</v>
      </c>
      <c r="Z1176" s="946" t="e">
        <f>VLOOKUP(X1176,R_DD!$B$6:$E$2112,3,0)</f>
        <v>#N/A</v>
      </c>
      <c r="AA1176" s="946" t="e">
        <f>VLOOKUP(Y1176,R_DD!$A$1:$L$2131,4,0)</f>
        <v>#N/A</v>
      </c>
      <c r="AB1176" s="947" t="e">
        <f>VLOOKUP(Y1176,R_DD!$A$1:$L$2131,5,0)</f>
        <v>#N/A</v>
      </c>
      <c r="AC1176" s="947" t="e">
        <f>VLOOKUP(X1176,R_DD!$B$6:$E$2112,4,0)</f>
        <v>#N/A</v>
      </c>
    </row>
    <row r="1177" spans="22:29" ht="20.100000000000001" customHeight="1">
      <c r="V1177" s="944" t="e">
        <f>VLOOKUP(U1177,R_DD!$B$6:$E$2112,3,0)</f>
        <v>#N/A</v>
      </c>
      <c r="W1177" s="943" t="e">
        <f>VLOOKUP(U1177,R_DD!$B$6:$E$2112,4,0)</f>
        <v>#N/A</v>
      </c>
      <c r="Z1177" s="946" t="e">
        <f>VLOOKUP(X1177,R_DD!$B$6:$E$2112,3,0)</f>
        <v>#N/A</v>
      </c>
      <c r="AA1177" s="946" t="e">
        <f>VLOOKUP(Y1177,R_DD!$A$1:$L$2131,4,0)</f>
        <v>#N/A</v>
      </c>
      <c r="AB1177" s="947" t="e">
        <f>VLOOKUP(Y1177,R_DD!$A$1:$L$2131,5,0)</f>
        <v>#N/A</v>
      </c>
      <c r="AC1177" s="947" t="e">
        <f>VLOOKUP(X1177,R_DD!$B$6:$E$2112,4,0)</f>
        <v>#N/A</v>
      </c>
    </row>
    <row r="1178" spans="22:29" ht="20.100000000000001" customHeight="1">
      <c r="V1178" s="944" t="e">
        <f>VLOOKUP(U1178,R_DD!$B$6:$E$2112,3,0)</f>
        <v>#N/A</v>
      </c>
      <c r="W1178" s="943" t="e">
        <f>VLOOKUP(U1178,R_DD!$B$6:$E$2112,4,0)</f>
        <v>#N/A</v>
      </c>
      <c r="Z1178" s="946" t="e">
        <f>VLOOKUP(X1178,R_DD!$B$6:$E$2112,3,0)</f>
        <v>#N/A</v>
      </c>
      <c r="AA1178" s="946" t="e">
        <f>VLOOKUP(Y1178,R_DD!$A$1:$L$2131,4,0)</f>
        <v>#N/A</v>
      </c>
      <c r="AB1178" s="947" t="e">
        <f>VLOOKUP(Y1178,R_DD!$A$1:$L$2131,5,0)</f>
        <v>#N/A</v>
      </c>
      <c r="AC1178" s="947" t="e">
        <f>VLOOKUP(X1178,R_DD!$B$6:$E$2112,4,0)</f>
        <v>#N/A</v>
      </c>
    </row>
    <row r="1179" spans="22:29" ht="20.100000000000001" customHeight="1">
      <c r="V1179" s="944" t="e">
        <f>VLOOKUP(U1179,R_DD!$B$6:$E$2112,3,0)</f>
        <v>#N/A</v>
      </c>
      <c r="W1179" s="943" t="e">
        <f>VLOOKUP(U1179,R_DD!$B$6:$E$2112,4,0)</f>
        <v>#N/A</v>
      </c>
      <c r="Z1179" s="946" t="e">
        <f>VLOOKUP(X1179,R_DD!$B$6:$E$2112,3,0)</f>
        <v>#N/A</v>
      </c>
      <c r="AA1179" s="946" t="e">
        <f>VLOOKUP(Y1179,R_DD!$A$1:$L$2131,4,0)</f>
        <v>#N/A</v>
      </c>
      <c r="AB1179" s="947" t="e">
        <f>VLOOKUP(Y1179,R_DD!$A$1:$L$2131,5,0)</f>
        <v>#N/A</v>
      </c>
      <c r="AC1179" s="947" t="e">
        <f>VLOOKUP(X1179,R_DD!$B$6:$E$2112,4,0)</f>
        <v>#N/A</v>
      </c>
    </row>
    <row r="1180" spans="22:29" ht="20.100000000000001" customHeight="1">
      <c r="V1180" s="944" t="e">
        <f>VLOOKUP(U1180,R_DD!$B$6:$E$2112,3,0)</f>
        <v>#N/A</v>
      </c>
      <c r="W1180" s="943" t="e">
        <f>VLOOKUP(U1180,R_DD!$B$6:$E$2112,4,0)</f>
        <v>#N/A</v>
      </c>
      <c r="Z1180" s="946" t="e">
        <f>VLOOKUP(X1180,R_DD!$B$6:$E$2112,3,0)</f>
        <v>#N/A</v>
      </c>
      <c r="AA1180" s="946" t="e">
        <f>VLOOKUP(Y1180,R_DD!$A$1:$L$2131,4,0)</f>
        <v>#N/A</v>
      </c>
      <c r="AB1180" s="947" t="e">
        <f>VLOOKUP(Y1180,R_DD!$A$1:$L$2131,5,0)</f>
        <v>#N/A</v>
      </c>
      <c r="AC1180" s="947" t="e">
        <f>VLOOKUP(X1180,R_DD!$B$6:$E$2112,4,0)</f>
        <v>#N/A</v>
      </c>
    </row>
    <row r="1181" spans="22:29" ht="20.100000000000001" customHeight="1">
      <c r="V1181" s="944" t="e">
        <f>VLOOKUP(U1181,R_DD!$B$6:$E$2112,3,0)</f>
        <v>#N/A</v>
      </c>
      <c r="W1181" s="943" t="e">
        <f>VLOOKUP(U1181,R_DD!$B$6:$E$2112,4,0)</f>
        <v>#N/A</v>
      </c>
      <c r="Z1181" s="946" t="e">
        <f>VLOOKUP(X1181,R_DD!$B$6:$E$2112,3,0)</f>
        <v>#N/A</v>
      </c>
      <c r="AA1181" s="946" t="e">
        <f>VLOOKUP(Y1181,R_DD!$A$1:$L$2131,4,0)</f>
        <v>#N/A</v>
      </c>
      <c r="AB1181" s="947" t="e">
        <f>VLOOKUP(Y1181,R_DD!$A$1:$L$2131,5,0)</f>
        <v>#N/A</v>
      </c>
      <c r="AC1181" s="947" t="e">
        <f>VLOOKUP(X1181,R_DD!$B$6:$E$2112,4,0)</f>
        <v>#N/A</v>
      </c>
    </row>
    <row r="1182" spans="22:29" ht="20.100000000000001" customHeight="1">
      <c r="V1182" s="944" t="e">
        <f>VLOOKUP(U1182,R_DD!$B$6:$E$2112,3,0)</f>
        <v>#N/A</v>
      </c>
      <c r="W1182" s="943" t="e">
        <f>VLOOKUP(U1182,R_DD!$B$6:$E$2112,4,0)</f>
        <v>#N/A</v>
      </c>
      <c r="Z1182" s="946" t="e">
        <f>VLOOKUP(X1182,R_DD!$B$6:$E$2112,3,0)</f>
        <v>#N/A</v>
      </c>
      <c r="AA1182" s="946" t="e">
        <f>VLOOKUP(Y1182,R_DD!$A$1:$L$2131,4,0)</f>
        <v>#N/A</v>
      </c>
      <c r="AB1182" s="947" t="e">
        <f>VLOOKUP(Y1182,R_DD!$A$1:$L$2131,5,0)</f>
        <v>#N/A</v>
      </c>
      <c r="AC1182" s="947" t="e">
        <f>VLOOKUP(X1182,R_DD!$B$6:$E$2112,4,0)</f>
        <v>#N/A</v>
      </c>
    </row>
    <row r="1183" spans="22:29" ht="20.100000000000001" customHeight="1">
      <c r="V1183" s="944" t="e">
        <f>VLOOKUP(U1183,R_DD!$B$6:$E$2112,3,0)</f>
        <v>#N/A</v>
      </c>
      <c r="W1183" s="943" t="e">
        <f>VLOOKUP(U1183,R_DD!$B$6:$E$2112,4,0)</f>
        <v>#N/A</v>
      </c>
      <c r="Z1183" s="946" t="e">
        <f>VLOOKUP(X1183,R_DD!$B$6:$E$2112,3,0)</f>
        <v>#N/A</v>
      </c>
      <c r="AA1183" s="946" t="e">
        <f>VLOOKUP(Y1183,R_DD!$A$1:$L$2131,4,0)</f>
        <v>#N/A</v>
      </c>
      <c r="AB1183" s="947" t="e">
        <f>VLOOKUP(Y1183,R_DD!$A$1:$L$2131,5,0)</f>
        <v>#N/A</v>
      </c>
      <c r="AC1183" s="947" t="e">
        <f>VLOOKUP(X1183,R_DD!$B$6:$E$2112,4,0)</f>
        <v>#N/A</v>
      </c>
    </row>
    <row r="1184" spans="22:29" ht="20.100000000000001" customHeight="1">
      <c r="V1184" s="944" t="e">
        <f>VLOOKUP(U1184,R_DD!$B$6:$E$2112,3,0)</f>
        <v>#N/A</v>
      </c>
      <c r="W1184" s="943" t="e">
        <f>VLOOKUP(U1184,R_DD!$B$6:$E$2112,4,0)</f>
        <v>#N/A</v>
      </c>
      <c r="Z1184" s="946" t="e">
        <f>VLOOKUP(X1184,R_DD!$B$6:$E$2112,3,0)</f>
        <v>#N/A</v>
      </c>
      <c r="AA1184" s="946" t="e">
        <f>VLOOKUP(Y1184,R_DD!$A$1:$L$2131,4,0)</f>
        <v>#N/A</v>
      </c>
      <c r="AB1184" s="947" t="e">
        <f>VLOOKUP(Y1184,R_DD!$A$1:$L$2131,5,0)</f>
        <v>#N/A</v>
      </c>
      <c r="AC1184" s="947" t="e">
        <f>VLOOKUP(X1184,R_DD!$B$6:$E$2112,4,0)</f>
        <v>#N/A</v>
      </c>
    </row>
    <row r="1185" spans="22:29" ht="20.100000000000001" customHeight="1">
      <c r="V1185" s="944" t="e">
        <f>VLOOKUP(U1185,R_DD!$B$6:$E$2112,3,0)</f>
        <v>#N/A</v>
      </c>
      <c r="W1185" s="943" t="e">
        <f>VLOOKUP(U1185,R_DD!$B$6:$E$2112,4,0)</f>
        <v>#N/A</v>
      </c>
      <c r="Z1185" s="946" t="e">
        <f>VLOOKUP(X1185,R_DD!$B$6:$E$2112,3,0)</f>
        <v>#N/A</v>
      </c>
      <c r="AA1185" s="946" t="e">
        <f>VLOOKUP(Y1185,R_DD!$A$1:$L$2131,4,0)</f>
        <v>#N/A</v>
      </c>
      <c r="AB1185" s="947" t="e">
        <f>VLOOKUP(Y1185,R_DD!$A$1:$L$2131,5,0)</f>
        <v>#N/A</v>
      </c>
      <c r="AC1185" s="947" t="e">
        <f>VLOOKUP(X1185,R_DD!$B$6:$E$2112,4,0)</f>
        <v>#N/A</v>
      </c>
    </row>
    <row r="1186" spans="22:29" ht="20.100000000000001" customHeight="1">
      <c r="V1186" s="944" t="e">
        <f>VLOOKUP(U1186,R_DD!$B$6:$E$2112,3,0)</f>
        <v>#N/A</v>
      </c>
      <c r="W1186" s="943" t="e">
        <f>VLOOKUP(U1186,R_DD!$B$6:$E$2112,4,0)</f>
        <v>#N/A</v>
      </c>
      <c r="Z1186" s="946" t="e">
        <f>VLOOKUP(X1186,R_DD!$B$6:$E$2112,3,0)</f>
        <v>#N/A</v>
      </c>
      <c r="AA1186" s="946" t="e">
        <f>VLOOKUP(Y1186,R_DD!$A$1:$L$2131,4,0)</f>
        <v>#N/A</v>
      </c>
      <c r="AB1186" s="947" t="e">
        <f>VLOOKUP(Y1186,R_DD!$A$1:$L$2131,5,0)</f>
        <v>#N/A</v>
      </c>
      <c r="AC1186" s="947" t="e">
        <f>VLOOKUP(X1186,R_DD!$B$6:$E$2112,4,0)</f>
        <v>#N/A</v>
      </c>
    </row>
    <row r="1187" spans="22:29" ht="20.100000000000001" customHeight="1">
      <c r="V1187" s="944" t="e">
        <f>VLOOKUP(U1187,R_DD!$B$6:$E$2112,3,0)</f>
        <v>#N/A</v>
      </c>
      <c r="W1187" s="943" t="e">
        <f>VLOOKUP(U1187,R_DD!$B$6:$E$2112,4,0)</f>
        <v>#N/A</v>
      </c>
      <c r="Z1187" s="946" t="e">
        <f>VLOOKUP(X1187,R_DD!$B$6:$E$2112,3,0)</f>
        <v>#N/A</v>
      </c>
      <c r="AA1187" s="946" t="e">
        <f>VLOOKUP(Y1187,R_DD!$A$1:$L$2131,4,0)</f>
        <v>#N/A</v>
      </c>
      <c r="AB1187" s="947" t="e">
        <f>VLOOKUP(Y1187,R_DD!$A$1:$L$2131,5,0)</f>
        <v>#N/A</v>
      </c>
      <c r="AC1187" s="947" t="e">
        <f>VLOOKUP(X1187,R_DD!$B$6:$E$2112,4,0)</f>
        <v>#N/A</v>
      </c>
    </row>
    <row r="1188" spans="22:29" ht="20.100000000000001" customHeight="1">
      <c r="V1188" s="944" t="e">
        <f>VLOOKUP(U1188,R_DD!$B$6:$E$2112,3,0)</f>
        <v>#N/A</v>
      </c>
      <c r="W1188" s="943" t="e">
        <f>VLOOKUP(U1188,R_DD!$B$6:$E$2112,4,0)</f>
        <v>#N/A</v>
      </c>
      <c r="Z1188" s="946" t="e">
        <f>VLOOKUP(X1188,R_DD!$B$6:$E$2112,3,0)</f>
        <v>#N/A</v>
      </c>
      <c r="AA1188" s="946" t="e">
        <f>VLOOKUP(Y1188,R_DD!$A$1:$L$2131,4,0)</f>
        <v>#N/A</v>
      </c>
      <c r="AB1188" s="947" t="e">
        <f>VLOOKUP(Y1188,R_DD!$A$1:$L$2131,5,0)</f>
        <v>#N/A</v>
      </c>
      <c r="AC1188" s="947" t="e">
        <f>VLOOKUP(X1188,R_DD!$B$6:$E$2112,4,0)</f>
        <v>#N/A</v>
      </c>
    </row>
    <row r="1189" spans="22:29" ht="20.100000000000001" customHeight="1">
      <c r="V1189" s="944" t="e">
        <f>VLOOKUP(U1189,R_DD!$B$6:$E$2112,3,0)</f>
        <v>#N/A</v>
      </c>
      <c r="W1189" s="943" t="e">
        <f>VLOOKUP(U1189,R_DD!$B$6:$E$2112,4,0)</f>
        <v>#N/A</v>
      </c>
      <c r="Z1189" s="946" t="e">
        <f>VLOOKUP(X1189,R_DD!$B$6:$E$2112,3,0)</f>
        <v>#N/A</v>
      </c>
      <c r="AA1189" s="946" t="e">
        <f>VLOOKUP(Y1189,R_DD!$A$1:$L$2131,4,0)</f>
        <v>#N/A</v>
      </c>
      <c r="AB1189" s="947" t="e">
        <f>VLOOKUP(Y1189,R_DD!$A$1:$L$2131,5,0)</f>
        <v>#N/A</v>
      </c>
      <c r="AC1189" s="947" t="e">
        <f>VLOOKUP(X1189,R_DD!$B$6:$E$2112,4,0)</f>
        <v>#N/A</v>
      </c>
    </row>
    <row r="1190" spans="22:29" ht="20.100000000000001" customHeight="1">
      <c r="V1190" s="944" t="e">
        <f>VLOOKUP(U1190,R_DD!$B$6:$E$2112,3,0)</f>
        <v>#N/A</v>
      </c>
      <c r="W1190" s="943" t="e">
        <f>VLOOKUP(U1190,R_DD!$B$6:$E$2112,4,0)</f>
        <v>#N/A</v>
      </c>
      <c r="Z1190" s="946" t="e">
        <f>VLOOKUP(X1190,R_DD!$B$6:$E$2112,3,0)</f>
        <v>#N/A</v>
      </c>
      <c r="AA1190" s="946" t="e">
        <f>VLOOKUP(Y1190,R_DD!$A$1:$L$2131,4,0)</f>
        <v>#N/A</v>
      </c>
      <c r="AB1190" s="947" t="e">
        <f>VLOOKUP(Y1190,R_DD!$A$1:$L$2131,5,0)</f>
        <v>#N/A</v>
      </c>
      <c r="AC1190" s="947" t="e">
        <f>VLOOKUP(X1190,R_DD!$B$6:$E$2112,4,0)</f>
        <v>#N/A</v>
      </c>
    </row>
    <row r="1191" spans="22:29" ht="20.100000000000001" customHeight="1">
      <c r="V1191" s="944" t="e">
        <f>VLOOKUP(U1191,R_DD!$B$6:$E$2112,3,0)</f>
        <v>#N/A</v>
      </c>
      <c r="W1191" s="943" t="e">
        <f>VLOOKUP(U1191,R_DD!$B$6:$E$2112,4,0)</f>
        <v>#N/A</v>
      </c>
      <c r="Z1191" s="946" t="e">
        <f>VLOOKUP(X1191,R_DD!$B$6:$E$2112,3,0)</f>
        <v>#N/A</v>
      </c>
      <c r="AA1191" s="946" t="e">
        <f>VLOOKUP(Y1191,R_DD!$A$1:$L$2131,4,0)</f>
        <v>#N/A</v>
      </c>
      <c r="AB1191" s="947" t="e">
        <f>VLOOKUP(Y1191,R_DD!$A$1:$L$2131,5,0)</f>
        <v>#N/A</v>
      </c>
      <c r="AC1191" s="947" t="e">
        <f>VLOOKUP(X1191,R_DD!$B$6:$E$2112,4,0)</f>
        <v>#N/A</v>
      </c>
    </row>
    <row r="1192" spans="22:29" ht="20.100000000000001" customHeight="1">
      <c r="V1192" s="944" t="e">
        <f>VLOOKUP(U1192,R_DD!$B$6:$E$2112,3,0)</f>
        <v>#N/A</v>
      </c>
      <c r="W1192" s="943" t="e">
        <f>VLOOKUP(U1192,R_DD!$B$6:$E$2112,4,0)</f>
        <v>#N/A</v>
      </c>
      <c r="Z1192" s="946" t="e">
        <f>VLOOKUP(X1192,R_DD!$B$6:$E$2112,3,0)</f>
        <v>#N/A</v>
      </c>
      <c r="AA1192" s="946" t="e">
        <f>VLOOKUP(Y1192,R_DD!$A$1:$L$2131,4,0)</f>
        <v>#N/A</v>
      </c>
      <c r="AB1192" s="947" t="e">
        <f>VLOOKUP(Y1192,R_DD!$A$1:$L$2131,5,0)</f>
        <v>#N/A</v>
      </c>
      <c r="AC1192" s="947" t="e">
        <f>VLOOKUP(X1192,R_DD!$B$6:$E$2112,4,0)</f>
        <v>#N/A</v>
      </c>
    </row>
    <row r="1193" spans="22:29" ht="20.100000000000001" customHeight="1">
      <c r="V1193" s="944" t="e">
        <f>VLOOKUP(U1193,R_DD!$B$6:$E$2112,3,0)</f>
        <v>#N/A</v>
      </c>
      <c r="W1193" s="943" t="e">
        <f>VLOOKUP(U1193,R_DD!$B$6:$E$2112,4,0)</f>
        <v>#N/A</v>
      </c>
      <c r="Z1193" s="946" t="e">
        <f>VLOOKUP(X1193,R_DD!$B$6:$E$2112,3,0)</f>
        <v>#N/A</v>
      </c>
      <c r="AA1193" s="946" t="e">
        <f>VLOOKUP(Y1193,R_DD!$A$1:$L$2131,4,0)</f>
        <v>#N/A</v>
      </c>
      <c r="AB1193" s="947" t="e">
        <f>VLOOKUP(Y1193,R_DD!$A$1:$L$2131,5,0)</f>
        <v>#N/A</v>
      </c>
      <c r="AC1193" s="947" t="e">
        <f>VLOOKUP(X1193,R_DD!$B$6:$E$2112,4,0)</f>
        <v>#N/A</v>
      </c>
    </row>
    <row r="1194" spans="22:29" ht="20.100000000000001" customHeight="1">
      <c r="V1194" s="944" t="e">
        <f>VLOOKUP(U1194,R_DD!$B$6:$E$2112,3,0)</f>
        <v>#N/A</v>
      </c>
      <c r="W1194" s="943" t="e">
        <f>VLOOKUP(U1194,R_DD!$B$6:$E$2112,4,0)</f>
        <v>#N/A</v>
      </c>
      <c r="Z1194" s="946" t="e">
        <f>VLOOKUP(X1194,R_DD!$B$6:$E$2112,3,0)</f>
        <v>#N/A</v>
      </c>
      <c r="AA1194" s="946" t="e">
        <f>VLOOKUP(Y1194,R_DD!$A$1:$L$2131,4,0)</f>
        <v>#N/A</v>
      </c>
      <c r="AB1194" s="947" t="e">
        <f>VLOOKUP(Y1194,R_DD!$A$1:$L$2131,5,0)</f>
        <v>#N/A</v>
      </c>
      <c r="AC1194" s="947" t="e">
        <f>VLOOKUP(X1194,R_DD!$B$6:$E$2112,4,0)</f>
        <v>#N/A</v>
      </c>
    </row>
    <row r="1195" spans="22:29" ht="20.100000000000001" customHeight="1">
      <c r="V1195" s="944" t="e">
        <f>VLOOKUP(U1195,R_DD!$B$6:$E$2112,3,0)</f>
        <v>#N/A</v>
      </c>
      <c r="W1195" s="943" t="e">
        <f>VLOOKUP(U1195,R_DD!$B$6:$E$2112,4,0)</f>
        <v>#N/A</v>
      </c>
      <c r="Z1195" s="946" t="e">
        <f>VLOOKUP(X1195,R_DD!$B$6:$E$2112,3,0)</f>
        <v>#N/A</v>
      </c>
      <c r="AA1195" s="946" t="e">
        <f>VLOOKUP(Y1195,R_DD!$A$1:$L$2131,4,0)</f>
        <v>#N/A</v>
      </c>
      <c r="AB1195" s="947" t="e">
        <f>VLOOKUP(Y1195,R_DD!$A$1:$L$2131,5,0)</f>
        <v>#N/A</v>
      </c>
      <c r="AC1195" s="947" t="e">
        <f>VLOOKUP(X1195,R_DD!$B$6:$E$2112,4,0)</f>
        <v>#N/A</v>
      </c>
    </row>
    <row r="1196" spans="22:29" ht="20.100000000000001" customHeight="1">
      <c r="V1196" s="944" t="e">
        <f>VLOOKUP(U1196,R_DD!$B$6:$E$2112,3,0)</f>
        <v>#N/A</v>
      </c>
      <c r="W1196" s="943" t="e">
        <f>VLOOKUP(U1196,R_DD!$B$6:$E$2112,4,0)</f>
        <v>#N/A</v>
      </c>
      <c r="Z1196" s="946" t="e">
        <f>VLOOKUP(X1196,R_DD!$B$6:$E$2112,3,0)</f>
        <v>#N/A</v>
      </c>
      <c r="AA1196" s="946" t="e">
        <f>VLOOKUP(Y1196,R_DD!$A$1:$L$2131,4,0)</f>
        <v>#N/A</v>
      </c>
      <c r="AB1196" s="947" t="e">
        <f>VLOOKUP(Y1196,R_DD!$A$1:$L$2131,5,0)</f>
        <v>#N/A</v>
      </c>
      <c r="AC1196" s="947" t="e">
        <f>VLOOKUP(X1196,R_DD!$B$6:$E$2112,4,0)</f>
        <v>#N/A</v>
      </c>
    </row>
    <row r="1197" spans="22:29" ht="20.100000000000001" customHeight="1">
      <c r="V1197" s="944" t="e">
        <f>VLOOKUP(U1197,R_DD!$B$6:$E$2112,3,0)</f>
        <v>#N/A</v>
      </c>
      <c r="W1197" s="943" t="e">
        <f>VLOOKUP(U1197,R_DD!$B$6:$E$2112,4,0)</f>
        <v>#N/A</v>
      </c>
      <c r="Z1197" s="946" t="e">
        <f>VLOOKUP(X1197,R_DD!$B$6:$E$2112,3,0)</f>
        <v>#N/A</v>
      </c>
      <c r="AA1197" s="946" t="e">
        <f>VLOOKUP(Y1197,R_DD!$A$1:$L$2131,4,0)</f>
        <v>#N/A</v>
      </c>
      <c r="AB1197" s="947" t="e">
        <f>VLOOKUP(Y1197,R_DD!$A$1:$L$2131,5,0)</f>
        <v>#N/A</v>
      </c>
      <c r="AC1197" s="947" t="e">
        <f>VLOOKUP(X1197,R_DD!$B$6:$E$2112,4,0)</f>
        <v>#N/A</v>
      </c>
    </row>
    <row r="1198" spans="22:29" ht="20.100000000000001" customHeight="1">
      <c r="V1198" s="944" t="e">
        <f>VLOOKUP(U1198,R_DD!$B$6:$E$2112,3,0)</f>
        <v>#N/A</v>
      </c>
      <c r="W1198" s="943" t="e">
        <f>VLOOKUP(U1198,R_DD!$B$6:$E$2112,4,0)</f>
        <v>#N/A</v>
      </c>
      <c r="Z1198" s="946" t="e">
        <f>VLOOKUP(X1198,R_DD!$B$6:$E$2112,3,0)</f>
        <v>#N/A</v>
      </c>
      <c r="AA1198" s="946" t="e">
        <f>VLOOKUP(Y1198,R_DD!$A$1:$L$2131,4,0)</f>
        <v>#N/A</v>
      </c>
      <c r="AB1198" s="947" t="e">
        <f>VLOOKUP(Y1198,R_DD!$A$1:$L$2131,5,0)</f>
        <v>#N/A</v>
      </c>
      <c r="AC1198" s="947" t="e">
        <f>VLOOKUP(X1198,R_DD!$B$6:$E$2112,4,0)</f>
        <v>#N/A</v>
      </c>
    </row>
    <row r="1199" spans="22:29" ht="20.100000000000001" customHeight="1">
      <c r="V1199" s="944" t="e">
        <f>VLOOKUP(U1199,R_DD!$B$6:$E$2112,3,0)</f>
        <v>#N/A</v>
      </c>
      <c r="W1199" s="943" t="e">
        <f>VLOOKUP(U1199,R_DD!$B$6:$E$2112,4,0)</f>
        <v>#N/A</v>
      </c>
      <c r="Z1199" s="946" t="e">
        <f>VLOOKUP(X1199,R_DD!$B$6:$E$2112,3,0)</f>
        <v>#N/A</v>
      </c>
      <c r="AA1199" s="946" t="e">
        <f>VLOOKUP(Y1199,R_DD!$A$1:$L$2131,4,0)</f>
        <v>#N/A</v>
      </c>
      <c r="AB1199" s="947" t="e">
        <f>VLOOKUP(Y1199,R_DD!$A$1:$L$2131,5,0)</f>
        <v>#N/A</v>
      </c>
      <c r="AC1199" s="947" t="e">
        <f>VLOOKUP(X1199,R_DD!$B$6:$E$2112,4,0)</f>
        <v>#N/A</v>
      </c>
    </row>
    <row r="1200" spans="22:29" ht="20.100000000000001" customHeight="1">
      <c r="V1200" s="944" t="e">
        <f>VLOOKUP(U1200,R_DD!$B$6:$E$2112,3,0)</f>
        <v>#N/A</v>
      </c>
      <c r="W1200" s="943" t="e">
        <f>VLOOKUP(U1200,R_DD!$B$6:$E$2112,4,0)</f>
        <v>#N/A</v>
      </c>
      <c r="Z1200" s="946" t="e">
        <f>VLOOKUP(X1200,R_DD!$B$6:$E$2112,3,0)</f>
        <v>#N/A</v>
      </c>
      <c r="AA1200" s="946" t="e">
        <f>VLOOKUP(Y1200,R_DD!$A$1:$L$2131,4,0)</f>
        <v>#N/A</v>
      </c>
      <c r="AB1200" s="947" t="e">
        <f>VLOOKUP(Y1200,R_DD!$A$1:$L$2131,5,0)</f>
        <v>#N/A</v>
      </c>
      <c r="AC1200" s="947" t="e">
        <f>VLOOKUP(X1200,R_DD!$B$6:$E$2112,4,0)</f>
        <v>#N/A</v>
      </c>
    </row>
    <row r="1201" spans="22:29" ht="20.100000000000001" customHeight="1">
      <c r="V1201" s="944" t="e">
        <f>VLOOKUP(U1201,R_DD!$B$6:$E$2112,3,0)</f>
        <v>#N/A</v>
      </c>
      <c r="W1201" s="943" t="e">
        <f>VLOOKUP(U1201,R_DD!$B$6:$E$2112,4,0)</f>
        <v>#N/A</v>
      </c>
      <c r="Z1201" s="946" t="e">
        <f>VLOOKUP(X1201,R_DD!$B$6:$E$2112,3,0)</f>
        <v>#N/A</v>
      </c>
      <c r="AA1201" s="946" t="e">
        <f>VLOOKUP(Y1201,R_DD!$A$1:$L$2131,4,0)</f>
        <v>#N/A</v>
      </c>
      <c r="AB1201" s="947" t="e">
        <f>VLOOKUP(Y1201,R_DD!$A$1:$L$2131,5,0)</f>
        <v>#N/A</v>
      </c>
      <c r="AC1201" s="947" t="e">
        <f>VLOOKUP(X1201,R_DD!$B$6:$E$2112,4,0)</f>
        <v>#N/A</v>
      </c>
    </row>
    <row r="1202" spans="22:29" ht="20.100000000000001" customHeight="1">
      <c r="V1202" s="944" t="e">
        <f>VLOOKUP(U1202,R_DD!$B$6:$E$2112,3,0)</f>
        <v>#N/A</v>
      </c>
      <c r="W1202" s="943" t="e">
        <f>VLOOKUP(U1202,R_DD!$B$6:$E$2112,4,0)</f>
        <v>#N/A</v>
      </c>
      <c r="Z1202" s="946" t="e">
        <f>VLOOKUP(X1202,R_DD!$B$6:$E$2112,3,0)</f>
        <v>#N/A</v>
      </c>
      <c r="AA1202" s="946" t="e">
        <f>VLOOKUP(Y1202,R_DD!$A$1:$L$2131,4,0)</f>
        <v>#N/A</v>
      </c>
      <c r="AB1202" s="947" t="e">
        <f>VLOOKUP(Y1202,R_DD!$A$1:$L$2131,5,0)</f>
        <v>#N/A</v>
      </c>
      <c r="AC1202" s="947" t="e">
        <f>VLOOKUP(X1202,R_DD!$B$6:$E$2112,4,0)</f>
        <v>#N/A</v>
      </c>
    </row>
    <row r="1203" spans="22:29" ht="20.100000000000001" customHeight="1">
      <c r="V1203" s="944" t="e">
        <f>VLOOKUP(U1203,R_DD!$B$6:$E$2112,3,0)</f>
        <v>#N/A</v>
      </c>
      <c r="W1203" s="943" t="e">
        <f>VLOOKUP(U1203,R_DD!$B$6:$E$2112,4,0)</f>
        <v>#N/A</v>
      </c>
      <c r="Z1203" s="946" t="e">
        <f>VLOOKUP(X1203,R_DD!$B$6:$E$2112,3,0)</f>
        <v>#N/A</v>
      </c>
      <c r="AA1203" s="946" t="e">
        <f>VLOOKUP(Y1203,R_DD!$A$1:$L$2131,4,0)</f>
        <v>#N/A</v>
      </c>
      <c r="AB1203" s="947" t="e">
        <f>VLOOKUP(Y1203,R_DD!$A$1:$L$2131,5,0)</f>
        <v>#N/A</v>
      </c>
      <c r="AC1203" s="947" t="e">
        <f>VLOOKUP(X1203,R_DD!$B$6:$E$2112,4,0)</f>
        <v>#N/A</v>
      </c>
    </row>
    <row r="1204" spans="22:29" ht="20.100000000000001" customHeight="1">
      <c r="V1204" s="944" t="e">
        <f>VLOOKUP(U1204,R_DD!$B$6:$E$2112,3,0)</f>
        <v>#N/A</v>
      </c>
      <c r="W1204" s="943" t="e">
        <f>VLOOKUP(U1204,R_DD!$B$6:$E$2112,4,0)</f>
        <v>#N/A</v>
      </c>
      <c r="Z1204" s="946" t="e">
        <f>VLOOKUP(X1204,R_DD!$B$6:$E$2112,3,0)</f>
        <v>#N/A</v>
      </c>
      <c r="AA1204" s="946" t="e">
        <f>VLOOKUP(Y1204,R_DD!$A$1:$L$2131,4,0)</f>
        <v>#N/A</v>
      </c>
      <c r="AB1204" s="947" t="e">
        <f>VLOOKUP(Y1204,R_DD!$A$1:$L$2131,5,0)</f>
        <v>#N/A</v>
      </c>
      <c r="AC1204" s="947" t="e">
        <f>VLOOKUP(X1204,R_DD!$B$6:$E$2112,4,0)</f>
        <v>#N/A</v>
      </c>
    </row>
    <row r="1205" spans="22:29" ht="20.100000000000001" customHeight="1">
      <c r="V1205" s="944" t="e">
        <f>VLOOKUP(U1205,R_DD!$B$6:$E$2112,3,0)</f>
        <v>#N/A</v>
      </c>
      <c r="W1205" s="943" t="e">
        <f>VLOOKUP(U1205,R_DD!$B$6:$E$2112,4,0)</f>
        <v>#N/A</v>
      </c>
      <c r="Z1205" s="946" t="e">
        <f>VLOOKUP(X1205,R_DD!$B$6:$E$2112,3,0)</f>
        <v>#N/A</v>
      </c>
      <c r="AA1205" s="946" t="e">
        <f>VLOOKUP(Y1205,R_DD!$A$1:$L$2131,4,0)</f>
        <v>#N/A</v>
      </c>
      <c r="AB1205" s="947" t="e">
        <f>VLOOKUP(Y1205,R_DD!$A$1:$L$2131,5,0)</f>
        <v>#N/A</v>
      </c>
      <c r="AC1205" s="947" t="e">
        <f>VLOOKUP(X1205,R_DD!$B$6:$E$2112,4,0)</f>
        <v>#N/A</v>
      </c>
    </row>
    <row r="1206" spans="22:29" ht="20.100000000000001" customHeight="1">
      <c r="V1206" s="944" t="e">
        <f>VLOOKUP(U1206,R_DD!$B$6:$E$2112,3,0)</f>
        <v>#N/A</v>
      </c>
      <c r="W1206" s="943" t="e">
        <f>VLOOKUP(U1206,R_DD!$B$6:$E$2112,4,0)</f>
        <v>#N/A</v>
      </c>
      <c r="Z1206" s="946" t="e">
        <f>VLOOKUP(X1206,R_DD!$B$6:$E$2112,3,0)</f>
        <v>#N/A</v>
      </c>
      <c r="AA1206" s="946" t="e">
        <f>VLOOKUP(Y1206,R_DD!$A$1:$L$2131,4,0)</f>
        <v>#N/A</v>
      </c>
      <c r="AB1206" s="947" t="e">
        <f>VLOOKUP(Y1206,R_DD!$A$1:$L$2131,5,0)</f>
        <v>#N/A</v>
      </c>
      <c r="AC1206" s="947" t="e">
        <f>VLOOKUP(X1206,R_DD!$B$6:$E$2112,4,0)</f>
        <v>#N/A</v>
      </c>
    </row>
    <row r="1207" spans="22:29" ht="20.100000000000001" customHeight="1">
      <c r="V1207" s="944" t="e">
        <f>VLOOKUP(U1207,R_DD!$B$6:$E$2112,3,0)</f>
        <v>#N/A</v>
      </c>
      <c r="W1207" s="943" t="e">
        <f>VLOOKUP(U1207,R_DD!$B$6:$E$2112,4,0)</f>
        <v>#N/A</v>
      </c>
      <c r="Z1207" s="946" t="e">
        <f>VLOOKUP(X1207,R_DD!$B$6:$E$2112,3,0)</f>
        <v>#N/A</v>
      </c>
      <c r="AA1207" s="946" t="e">
        <f>VLOOKUP(Y1207,R_DD!$A$1:$L$2131,4,0)</f>
        <v>#N/A</v>
      </c>
      <c r="AB1207" s="947" t="e">
        <f>VLOOKUP(Y1207,R_DD!$A$1:$L$2131,5,0)</f>
        <v>#N/A</v>
      </c>
      <c r="AC1207" s="947" t="e">
        <f>VLOOKUP(X1207,R_DD!$B$6:$E$2112,4,0)</f>
        <v>#N/A</v>
      </c>
    </row>
    <row r="1208" spans="22:29" ht="20.100000000000001" customHeight="1">
      <c r="V1208" s="944" t="e">
        <f>VLOOKUP(U1208,R_DD!$B$6:$E$2112,3,0)</f>
        <v>#N/A</v>
      </c>
      <c r="W1208" s="943" t="e">
        <f>VLOOKUP(U1208,R_DD!$B$6:$E$2112,4,0)</f>
        <v>#N/A</v>
      </c>
      <c r="Z1208" s="946" t="e">
        <f>VLOOKUP(X1208,R_DD!$B$6:$E$2112,3,0)</f>
        <v>#N/A</v>
      </c>
      <c r="AA1208" s="946" t="e">
        <f>VLOOKUP(Y1208,R_DD!$A$1:$L$2131,4,0)</f>
        <v>#N/A</v>
      </c>
      <c r="AB1208" s="947" t="e">
        <f>VLOOKUP(Y1208,R_DD!$A$1:$L$2131,5,0)</f>
        <v>#N/A</v>
      </c>
      <c r="AC1208" s="947" t="e">
        <f>VLOOKUP(X1208,R_DD!$B$6:$E$2112,4,0)</f>
        <v>#N/A</v>
      </c>
    </row>
    <row r="1209" spans="22:29" ht="20.100000000000001" customHeight="1">
      <c r="V1209" s="944" t="e">
        <f>VLOOKUP(U1209,R_DD!$B$6:$E$2112,3,0)</f>
        <v>#N/A</v>
      </c>
      <c r="W1209" s="943" t="e">
        <f>VLOOKUP(U1209,R_DD!$B$6:$E$2112,4,0)</f>
        <v>#N/A</v>
      </c>
      <c r="Z1209" s="946" t="e">
        <f>VLOOKUP(X1209,R_DD!$B$6:$E$2112,3,0)</f>
        <v>#N/A</v>
      </c>
      <c r="AA1209" s="946" t="e">
        <f>VLOOKUP(Y1209,R_DD!$A$1:$L$2131,4,0)</f>
        <v>#N/A</v>
      </c>
      <c r="AB1209" s="947" t="e">
        <f>VLOOKUP(Y1209,R_DD!$A$1:$L$2131,5,0)</f>
        <v>#N/A</v>
      </c>
      <c r="AC1209" s="947" t="e">
        <f>VLOOKUP(X1209,R_DD!$B$6:$E$2112,4,0)</f>
        <v>#N/A</v>
      </c>
    </row>
    <row r="1210" spans="22:29" ht="20.100000000000001" customHeight="1">
      <c r="V1210" s="944" t="e">
        <f>VLOOKUP(U1210,R_DD!$B$6:$E$2112,3,0)</f>
        <v>#N/A</v>
      </c>
      <c r="W1210" s="943" t="e">
        <f>VLOOKUP(U1210,R_DD!$B$6:$E$2112,4,0)</f>
        <v>#N/A</v>
      </c>
      <c r="Z1210" s="946" t="e">
        <f>VLOOKUP(X1210,R_DD!$B$6:$E$2112,3,0)</f>
        <v>#N/A</v>
      </c>
      <c r="AA1210" s="946" t="e">
        <f>VLOOKUP(Y1210,R_DD!$A$1:$L$2131,4,0)</f>
        <v>#N/A</v>
      </c>
      <c r="AB1210" s="947" t="e">
        <f>VLOOKUP(Y1210,R_DD!$A$1:$L$2131,5,0)</f>
        <v>#N/A</v>
      </c>
      <c r="AC1210" s="947" t="e">
        <f>VLOOKUP(X1210,R_DD!$B$6:$E$2112,4,0)</f>
        <v>#N/A</v>
      </c>
    </row>
    <row r="1211" spans="22:29" ht="20.100000000000001" customHeight="1">
      <c r="V1211" s="944" t="e">
        <f>VLOOKUP(U1211,R_DD!$B$6:$E$2112,3,0)</f>
        <v>#N/A</v>
      </c>
      <c r="W1211" s="943" t="e">
        <f>VLOOKUP(U1211,R_DD!$B$6:$E$2112,4,0)</f>
        <v>#N/A</v>
      </c>
      <c r="Z1211" s="946" t="e">
        <f>VLOOKUP(X1211,R_DD!$B$6:$E$2112,3,0)</f>
        <v>#N/A</v>
      </c>
      <c r="AA1211" s="946" t="e">
        <f>VLOOKUP(Y1211,R_DD!$A$1:$L$2131,4,0)</f>
        <v>#N/A</v>
      </c>
      <c r="AB1211" s="947" t="e">
        <f>VLOOKUP(Y1211,R_DD!$A$1:$L$2131,5,0)</f>
        <v>#N/A</v>
      </c>
      <c r="AC1211" s="947" t="e">
        <f>VLOOKUP(X1211,R_DD!$B$6:$E$2112,4,0)</f>
        <v>#N/A</v>
      </c>
    </row>
    <row r="1212" spans="22:29" ht="20.100000000000001" customHeight="1">
      <c r="V1212" s="944" t="e">
        <f>VLOOKUP(U1212,R_DD!$B$6:$E$2112,3,0)</f>
        <v>#N/A</v>
      </c>
      <c r="W1212" s="943" t="e">
        <f>VLOOKUP(U1212,R_DD!$B$6:$E$2112,4,0)</f>
        <v>#N/A</v>
      </c>
      <c r="Z1212" s="946" t="e">
        <f>VLOOKUP(X1212,R_DD!$B$6:$E$2112,3,0)</f>
        <v>#N/A</v>
      </c>
      <c r="AA1212" s="946" t="e">
        <f>VLOOKUP(Y1212,R_DD!$A$1:$L$2131,4,0)</f>
        <v>#N/A</v>
      </c>
      <c r="AB1212" s="947" t="e">
        <f>VLOOKUP(Y1212,R_DD!$A$1:$L$2131,5,0)</f>
        <v>#N/A</v>
      </c>
      <c r="AC1212" s="947" t="e">
        <f>VLOOKUP(X1212,R_DD!$B$6:$E$2112,4,0)</f>
        <v>#N/A</v>
      </c>
    </row>
    <row r="1213" spans="22:29" ht="20.100000000000001" customHeight="1">
      <c r="V1213" s="944" t="e">
        <f>VLOOKUP(U1213,R_DD!$B$6:$E$2112,3,0)</f>
        <v>#N/A</v>
      </c>
      <c r="W1213" s="943" t="e">
        <f>VLOOKUP(U1213,R_DD!$B$6:$E$2112,4,0)</f>
        <v>#N/A</v>
      </c>
      <c r="Z1213" s="946" t="e">
        <f>VLOOKUP(X1213,R_DD!$B$6:$E$2112,3,0)</f>
        <v>#N/A</v>
      </c>
      <c r="AA1213" s="946" t="e">
        <f>VLOOKUP(Y1213,R_DD!$A$1:$L$2131,4,0)</f>
        <v>#N/A</v>
      </c>
      <c r="AB1213" s="947" t="e">
        <f>VLOOKUP(Y1213,R_DD!$A$1:$L$2131,5,0)</f>
        <v>#N/A</v>
      </c>
      <c r="AC1213" s="947" t="e">
        <f>VLOOKUP(X1213,R_DD!$B$6:$E$2112,4,0)</f>
        <v>#N/A</v>
      </c>
    </row>
    <row r="1214" spans="22:29" ht="20.100000000000001" customHeight="1">
      <c r="V1214" s="944" t="e">
        <f>VLOOKUP(U1214,R_DD!$B$6:$E$2112,3,0)</f>
        <v>#N/A</v>
      </c>
      <c r="W1214" s="943" t="e">
        <f>VLOOKUP(U1214,R_DD!$B$6:$E$2112,4,0)</f>
        <v>#N/A</v>
      </c>
      <c r="Z1214" s="946" t="e">
        <f>VLOOKUP(X1214,R_DD!$B$6:$E$2112,3,0)</f>
        <v>#N/A</v>
      </c>
      <c r="AA1214" s="946" t="e">
        <f>VLOOKUP(Y1214,R_DD!$A$1:$L$2131,4,0)</f>
        <v>#N/A</v>
      </c>
      <c r="AB1214" s="947" t="e">
        <f>VLOOKUP(Y1214,R_DD!$A$1:$L$2131,5,0)</f>
        <v>#N/A</v>
      </c>
      <c r="AC1214" s="947" t="e">
        <f>VLOOKUP(X1214,R_DD!$B$6:$E$2112,4,0)</f>
        <v>#N/A</v>
      </c>
    </row>
    <row r="1215" spans="22:29" ht="20.100000000000001" customHeight="1">
      <c r="V1215" s="944" t="e">
        <f>VLOOKUP(U1215,R_DD!$B$6:$E$2112,3,0)</f>
        <v>#N/A</v>
      </c>
      <c r="W1215" s="943" t="e">
        <f>VLOOKUP(U1215,R_DD!$B$6:$E$2112,4,0)</f>
        <v>#N/A</v>
      </c>
      <c r="Z1215" s="946" t="e">
        <f>VLOOKUP(X1215,R_DD!$B$6:$E$2112,3,0)</f>
        <v>#N/A</v>
      </c>
      <c r="AA1215" s="946" t="e">
        <f>VLOOKUP(Y1215,R_DD!$A$1:$L$2131,4,0)</f>
        <v>#N/A</v>
      </c>
      <c r="AB1215" s="947" t="e">
        <f>VLOOKUP(Y1215,R_DD!$A$1:$L$2131,5,0)</f>
        <v>#N/A</v>
      </c>
      <c r="AC1215" s="947" t="e">
        <f>VLOOKUP(X1215,R_DD!$B$6:$E$2112,4,0)</f>
        <v>#N/A</v>
      </c>
    </row>
    <row r="1216" spans="22:29" ht="20.100000000000001" customHeight="1">
      <c r="V1216" s="944" t="e">
        <f>VLOOKUP(U1216,R_DD!$B$6:$E$2112,3,0)</f>
        <v>#N/A</v>
      </c>
      <c r="W1216" s="943" t="e">
        <f>VLOOKUP(U1216,R_DD!$B$6:$E$2112,4,0)</f>
        <v>#N/A</v>
      </c>
      <c r="Z1216" s="946" t="e">
        <f>VLOOKUP(X1216,R_DD!$B$6:$E$2112,3,0)</f>
        <v>#N/A</v>
      </c>
      <c r="AA1216" s="946" t="e">
        <f>VLOOKUP(Y1216,R_DD!$A$1:$L$2131,4,0)</f>
        <v>#N/A</v>
      </c>
      <c r="AB1216" s="947" t="e">
        <f>VLOOKUP(Y1216,R_DD!$A$1:$L$2131,5,0)</f>
        <v>#N/A</v>
      </c>
      <c r="AC1216" s="947" t="e">
        <f>VLOOKUP(X1216,R_DD!$B$6:$E$2112,4,0)</f>
        <v>#N/A</v>
      </c>
    </row>
    <row r="1217" spans="22:29" ht="20.100000000000001" customHeight="1">
      <c r="V1217" s="944" t="e">
        <f>VLOOKUP(U1217,R_DD!$B$6:$E$2112,3,0)</f>
        <v>#N/A</v>
      </c>
      <c r="W1217" s="943" t="e">
        <f>VLOOKUP(U1217,R_DD!$B$6:$E$2112,4,0)</f>
        <v>#N/A</v>
      </c>
      <c r="Z1217" s="946" t="e">
        <f>VLOOKUP(X1217,R_DD!$B$6:$E$2112,3,0)</f>
        <v>#N/A</v>
      </c>
      <c r="AA1217" s="946" t="e">
        <f>VLOOKUP(Y1217,R_DD!$A$1:$L$2131,4,0)</f>
        <v>#N/A</v>
      </c>
      <c r="AB1217" s="947" t="e">
        <f>VLOOKUP(Y1217,R_DD!$A$1:$L$2131,5,0)</f>
        <v>#N/A</v>
      </c>
      <c r="AC1217" s="947" t="e">
        <f>VLOOKUP(X1217,R_DD!$B$6:$E$2112,4,0)</f>
        <v>#N/A</v>
      </c>
    </row>
    <row r="1218" spans="22:29" ht="20.100000000000001" customHeight="1">
      <c r="V1218" s="944" t="e">
        <f>VLOOKUP(U1218,R_DD!$B$6:$E$2112,3,0)</f>
        <v>#N/A</v>
      </c>
      <c r="W1218" s="943" t="e">
        <f>VLOOKUP(U1218,R_DD!$B$6:$E$2112,4,0)</f>
        <v>#N/A</v>
      </c>
      <c r="Z1218" s="946" t="e">
        <f>VLOOKUP(X1218,R_DD!$B$6:$E$2112,3,0)</f>
        <v>#N/A</v>
      </c>
      <c r="AA1218" s="946" t="e">
        <f>VLOOKUP(Y1218,R_DD!$A$1:$L$2131,4,0)</f>
        <v>#N/A</v>
      </c>
      <c r="AB1218" s="947" t="e">
        <f>VLOOKUP(Y1218,R_DD!$A$1:$L$2131,5,0)</f>
        <v>#N/A</v>
      </c>
      <c r="AC1218" s="947" t="e">
        <f>VLOOKUP(X1218,R_DD!$B$6:$E$2112,4,0)</f>
        <v>#N/A</v>
      </c>
    </row>
    <row r="1219" spans="22:29" ht="20.100000000000001" customHeight="1">
      <c r="V1219" s="944" t="e">
        <f>VLOOKUP(U1219,R_DD!$B$6:$E$2112,3,0)</f>
        <v>#N/A</v>
      </c>
      <c r="W1219" s="943" t="e">
        <f>VLOOKUP(U1219,R_DD!$B$6:$E$2112,4,0)</f>
        <v>#N/A</v>
      </c>
      <c r="Z1219" s="946" t="e">
        <f>VLOOKUP(X1219,R_DD!$B$6:$E$2112,3,0)</f>
        <v>#N/A</v>
      </c>
      <c r="AA1219" s="946" t="e">
        <f>VLOOKUP(Y1219,R_DD!$A$1:$L$2131,4,0)</f>
        <v>#N/A</v>
      </c>
      <c r="AB1219" s="947" t="e">
        <f>VLOOKUP(Y1219,R_DD!$A$1:$L$2131,5,0)</f>
        <v>#N/A</v>
      </c>
      <c r="AC1219" s="947" t="e">
        <f>VLOOKUP(X1219,R_DD!$B$6:$E$2112,4,0)</f>
        <v>#N/A</v>
      </c>
    </row>
    <row r="1220" spans="22:29" ht="20.100000000000001" customHeight="1">
      <c r="V1220" s="944" t="e">
        <f>VLOOKUP(U1220,R_DD!$B$6:$E$2112,3,0)</f>
        <v>#N/A</v>
      </c>
      <c r="W1220" s="943" t="e">
        <f>VLOOKUP(U1220,R_DD!$B$6:$E$2112,4,0)</f>
        <v>#N/A</v>
      </c>
      <c r="Z1220" s="946" t="e">
        <f>VLOOKUP(X1220,R_DD!$B$6:$E$2112,3,0)</f>
        <v>#N/A</v>
      </c>
      <c r="AA1220" s="946" t="e">
        <f>VLOOKUP(Y1220,R_DD!$A$1:$L$2131,4,0)</f>
        <v>#N/A</v>
      </c>
      <c r="AB1220" s="947" t="e">
        <f>VLOOKUP(Y1220,R_DD!$A$1:$L$2131,5,0)</f>
        <v>#N/A</v>
      </c>
      <c r="AC1220" s="947" t="e">
        <f>VLOOKUP(X1220,R_DD!$B$6:$E$2112,4,0)</f>
        <v>#N/A</v>
      </c>
    </row>
    <row r="1221" spans="22:29" ht="20.100000000000001" customHeight="1">
      <c r="V1221" s="944" t="e">
        <f>VLOOKUP(U1221,R_DD!$B$6:$E$2112,3,0)</f>
        <v>#N/A</v>
      </c>
      <c r="W1221" s="943" t="e">
        <f>VLOOKUP(U1221,R_DD!$B$6:$E$2112,4,0)</f>
        <v>#N/A</v>
      </c>
      <c r="Z1221" s="946" t="e">
        <f>VLOOKUP(X1221,R_DD!$B$6:$E$2112,3,0)</f>
        <v>#N/A</v>
      </c>
      <c r="AA1221" s="946" t="e">
        <f>VLOOKUP(Y1221,R_DD!$A$1:$L$2131,4,0)</f>
        <v>#N/A</v>
      </c>
      <c r="AB1221" s="947" t="e">
        <f>VLOOKUP(Y1221,R_DD!$A$1:$L$2131,5,0)</f>
        <v>#N/A</v>
      </c>
      <c r="AC1221" s="947" t="e">
        <f>VLOOKUP(X1221,R_DD!$B$6:$E$2112,4,0)</f>
        <v>#N/A</v>
      </c>
    </row>
    <row r="1222" spans="22:29" ht="20.100000000000001" customHeight="1">
      <c r="V1222" s="944" t="e">
        <f>VLOOKUP(U1222,R_DD!$B$6:$E$2112,3,0)</f>
        <v>#N/A</v>
      </c>
      <c r="W1222" s="943" t="e">
        <f>VLOOKUP(U1222,R_DD!$B$6:$E$2112,4,0)</f>
        <v>#N/A</v>
      </c>
      <c r="Z1222" s="946" t="e">
        <f>VLOOKUP(X1222,R_DD!$B$6:$E$2112,3,0)</f>
        <v>#N/A</v>
      </c>
      <c r="AA1222" s="946" t="e">
        <f>VLOOKUP(Y1222,R_DD!$A$1:$L$2131,4,0)</f>
        <v>#N/A</v>
      </c>
      <c r="AB1222" s="947" t="e">
        <f>VLOOKUP(Y1222,R_DD!$A$1:$L$2131,5,0)</f>
        <v>#N/A</v>
      </c>
      <c r="AC1222" s="947" t="e">
        <f>VLOOKUP(X1222,R_DD!$B$6:$E$2112,4,0)</f>
        <v>#N/A</v>
      </c>
    </row>
    <row r="1223" spans="22:29" ht="20.100000000000001" customHeight="1">
      <c r="V1223" s="944" t="e">
        <f>VLOOKUP(U1223,R_DD!$B$6:$E$2112,3,0)</f>
        <v>#N/A</v>
      </c>
      <c r="W1223" s="943" t="e">
        <f>VLOOKUP(U1223,R_DD!$B$6:$E$2112,4,0)</f>
        <v>#N/A</v>
      </c>
      <c r="Z1223" s="946" t="e">
        <f>VLOOKUP(X1223,R_DD!$B$6:$E$2112,3,0)</f>
        <v>#N/A</v>
      </c>
      <c r="AA1223" s="946" t="e">
        <f>VLOOKUP(Y1223,R_DD!$A$1:$L$2131,4,0)</f>
        <v>#N/A</v>
      </c>
      <c r="AB1223" s="947" t="e">
        <f>VLOOKUP(Y1223,R_DD!$A$1:$L$2131,5,0)</f>
        <v>#N/A</v>
      </c>
      <c r="AC1223" s="947" t="e">
        <f>VLOOKUP(X1223,R_DD!$B$6:$E$2112,4,0)</f>
        <v>#N/A</v>
      </c>
    </row>
    <row r="1224" spans="22:29" ht="20.100000000000001" customHeight="1">
      <c r="V1224" s="944" t="e">
        <f>VLOOKUP(U1224,R_DD!$B$6:$E$2112,3,0)</f>
        <v>#N/A</v>
      </c>
      <c r="W1224" s="943" t="e">
        <f>VLOOKUP(U1224,R_DD!$B$6:$E$2112,4,0)</f>
        <v>#N/A</v>
      </c>
      <c r="Z1224" s="946" t="e">
        <f>VLOOKUP(X1224,R_DD!$B$6:$E$2112,3,0)</f>
        <v>#N/A</v>
      </c>
      <c r="AA1224" s="946" t="e">
        <f>VLOOKUP(Y1224,R_DD!$A$1:$L$2131,4,0)</f>
        <v>#N/A</v>
      </c>
      <c r="AB1224" s="947" t="e">
        <f>VLOOKUP(Y1224,R_DD!$A$1:$L$2131,5,0)</f>
        <v>#N/A</v>
      </c>
      <c r="AC1224" s="947" t="e">
        <f>VLOOKUP(X1224,R_DD!$B$6:$E$2112,4,0)</f>
        <v>#N/A</v>
      </c>
    </row>
    <row r="1225" spans="22:29" ht="20.100000000000001" customHeight="1">
      <c r="V1225" s="944" t="e">
        <f>VLOOKUP(U1225,R_DD!$B$6:$E$2112,3,0)</f>
        <v>#N/A</v>
      </c>
      <c r="W1225" s="943" t="e">
        <f>VLOOKUP(U1225,R_DD!$B$6:$E$2112,4,0)</f>
        <v>#N/A</v>
      </c>
      <c r="Z1225" s="946" t="e">
        <f>VLOOKUP(X1225,R_DD!$B$6:$E$2112,3,0)</f>
        <v>#N/A</v>
      </c>
      <c r="AA1225" s="946" t="e">
        <f>VLOOKUP(Y1225,R_DD!$A$1:$L$2131,4,0)</f>
        <v>#N/A</v>
      </c>
      <c r="AB1225" s="947" t="e">
        <f>VLOOKUP(Y1225,R_DD!$A$1:$L$2131,5,0)</f>
        <v>#N/A</v>
      </c>
      <c r="AC1225" s="947" t="e">
        <f>VLOOKUP(X1225,R_DD!$B$6:$E$2112,4,0)</f>
        <v>#N/A</v>
      </c>
    </row>
    <row r="1226" spans="22:29" ht="20.100000000000001" customHeight="1">
      <c r="V1226" s="944" t="e">
        <f>VLOOKUP(U1226,R_DD!$B$6:$E$2112,3,0)</f>
        <v>#N/A</v>
      </c>
      <c r="W1226" s="943" t="e">
        <f>VLOOKUP(U1226,R_DD!$B$6:$E$2112,4,0)</f>
        <v>#N/A</v>
      </c>
      <c r="Z1226" s="946" t="e">
        <f>VLOOKUP(X1226,R_DD!$B$6:$E$2112,3,0)</f>
        <v>#N/A</v>
      </c>
      <c r="AA1226" s="946" t="e">
        <f>VLOOKUP(Y1226,R_DD!$A$1:$L$2131,4,0)</f>
        <v>#N/A</v>
      </c>
      <c r="AB1226" s="947" t="e">
        <f>VLOOKUP(Y1226,R_DD!$A$1:$L$2131,5,0)</f>
        <v>#N/A</v>
      </c>
      <c r="AC1226" s="947" t="e">
        <f>VLOOKUP(X1226,R_DD!$B$6:$E$2112,4,0)</f>
        <v>#N/A</v>
      </c>
    </row>
    <row r="1227" spans="22:29" ht="20.100000000000001" customHeight="1">
      <c r="V1227" s="944" t="e">
        <f>VLOOKUP(U1227,R_DD!$B$6:$E$2112,3,0)</f>
        <v>#N/A</v>
      </c>
      <c r="W1227" s="943" t="e">
        <f>VLOOKUP(U1227,R_DD!$B$6:$E$2112,4,0)</f>
        <v>#N/A</v>
      </c>
      <c r="Z1227" s="946" t="e">
        <f>VLOOKUP(X1227,R_DD!$B$6:$E$2112,3,0)</f>
        <v>#N/A</v>
      </c>
      <c r="AA1227" s="946" t="e">
        <f>VLOOKUP(Y1227,R_DD!$A$1:$L$2131,4,0)</f>
        <v>#N/A</v>
      </c>
      <c r="AB1227" s="947" t="e">
        <f>VLOOKUP(Y1227,R_DD!$A$1:$L$2131,5,0)</f>
        <v>#N/A</v>
      </c>
      <c r="AC1227" s="947" t="e">
        <f>VLOOKUP(X1227,R_DD!$B$6:$E$2112,4,0)</f>
        <v>#N/A</v>
      </c>
    </row>
    <row r="1228" spans="22:29" ht="20.100000000000001" customHeight="1">
      <c r="V1228" s="944" t="e">
        <f>VLOOKUP(U1228,R_DD!$B$6:$E$2112,3,0)</f>
        <v>#N/A</v>
      </c>
      <c r="W1228" s="943" t="e">
        <f>VLOOKUP(U1228,R_DD!$B$6:$E$2112,4,0)</f>
        <v>#N/A</v>
      </c>
      <c r="Z1228" s="946" t="e">
        <f>VLOOKUP(X1228,R_DD!$B$6:$E$2112,3,0)</f>
        <v>#N/A</v>
      </c>
      <c r="AA1228" s="946" t="e">
        <f>VLOOKUP(Y1228,R_DD!$A$1:$L$2131,4,0)</f>
        <v>#N/A</v>
      </c>
      <c r="AB1228" s="947" t="e">
        <f>VLOOKUP(Y1228,R_DD!$A$1:$L$2131,5,0)</f>
        <v>#N/A</v>
      </c>
      <c r="AC1228" s="947" t="e">
        <f>VLOOKUP(X1228,R_DD!$B$6:$E$2112,4,0)</f>
        <v>#N/A</v>
      </c>
    </row>
    <row r="1229" spans="22:29" ht="20.100000000000001" customHeight="1">
      <c r="V1229" s="944" t="e">
        <f>VLOOKUP(U1229,R_DD!$B$6:$E$2112,3,0)</f>
        <v>#N/A</v>
      </c>
      <c r="W1229" s="943" t="e">
        <f>VLOOKUP(U1229,R_DD!$B$6:$E$2112,4,0)</f>
        <v>#N/A</v>
      </c>
      <c r="Z1229" s="946" t="e">
        <f>VLOOKUP(X1229,R_DD!$B$6:$E$2112,3,0)</f>
        <v>#N/A</v>
      </c>
      <c r="AA1229" s="946" t="e">
        <f>VLOOKUP(Y1229,R_DD!$A$1:$L$2131,4,0)</f>
        <v>#N/A</v>
      </c>
      <c r="AB1229" s="947" t="e">
        <f>VLOOKUP(Y1229,R_DD!$A$1:$L$2131,5,0)</f>
        <v>#N/A</v>
      </c>
      <c r="AC1229" s="947" t="e">
        <f>VLOOKUP(X1229,R_DD!$B$6:$E$2112,4,0)</f>
        <v>#N/A</v>
      </c>
    </row>
    <row r="1230" spans="22:29" ht="20.100000000000001" customHeight="1">
      <c r="V1230" s="944" t="e">
        <f>VLOOKUP(U1230,R_DD!$B$6:$E$2112,3,0)</f>
        <v>#N/A</v>
      </c>
      <c r="W1230" s="943" t="e">
        <f>VLOOKUP(U1230,R_DD!$B$6:$E$2112,4,0)</f>
        <v>#N/A</v>
      </c>
      <c r="Z1230" s="946" t="e">
        <f>VLOOKUP(X1230,R_DD!$B$6:$E$2112,3,0)</f>
        <v>#N/A</v>
      </c>
      <c r="AA1230" s="946" t="e">
        <f>VLOOKUP(Y1230,R_DD!$A$1:$L$2131,4,0)</f>
        <v>#N/A</v>
      </c>
      <c r="AB1230" s="947" t="e">
        <f>VLOOKUP(Y1230,R_DD!$A$1:$L$2131,5,0)</f>
        <v>#N/A</v>
      </c>
      <c r="AC1230" s="947" t="e">
        <f>VLOOKUP(X1230,R_DD!$B$6:$E$2112,4,0)</f>
        <v>#N/A</v>
      </c>
    </row>
    <row r="1231" spans="22:29" ht="20.100000000000001" customHeight="1">
      <c r="V1231" s="944" t="e">
        <f>VLOOKUP(U1231,R_DD!$B$6:$E$2112,3,0)</f>
        <v>#N/A</v>
      </c>
      <c r="W1231" s="943" t="e">
        <f>VLOOKUP(U1231,R_DD!$B$6:$E$2112,4,0)</f>
        <v>#N/A</v>
      </c>
      <c r="Z1231" s="946" t="e">
        <f>VLOOKUP(X1231,R_DD!$B$6:$E$2112,3,0)</f>
        <v>#N/A</v>
      </c>
      <c r="AA1231" s="946" t="e">
        <f>VLOOKUP(Y1231,R_DD!$A$1:$L$2131,4,0)</f>
        <v>#N/A</v>
      </c>
      <c r="AB1231" s="947" t="e">
        <f>VLOOKUP(Y1231,R_DD!$A$1:$L$2131,5,0)</f>
        <v>#N/A</v>
      </c>
      <c r="AC1231" s="947" t="e">
        <f>VLOOKUP(X1231,R_DD!$B$6:$E$2112,4,0)</f>
        <v>#N/A</v>
      </c>
    </row>
    <row r="1232" spans="22:29" ht="20.100000000000001" customHeight="1">
      <c r="V1232" s="944" t="e">
        <f>VLOOKUP(U1232,R_DD!$B$6:$E$2112,3,0)</f>
        <v>#N/A</v>
      </c>
      <c r="W1232" s="943" t="e">
        <f>VLOOKUP(U1232,R_DD!$B$6:$E$2112,4,0)</f>
        <v>#N/A</v>
      </c>
      <c r="Z1232" s="946" t="e">
        <f>VLOOKUP(X1232,R_DD!$B$6:$E$2112,3,0)</f>
        <v>#N/A</v>
      </c>
      <c r="AA1232" s="946" t="e">
        <f>VLOOKUP(Y1232,R_DD!$A$1:$L$2131,4,0)</f>
        <v>#N/A</v>
      </c>
      <c r="AB1232" s="947" t="e">
        <f>VLOOKUP(Y1232,R_DD!$A$1:$L$2131,5,0)</f>
        <v>#N/A</v>
      </c>
      <c r="AC1232" s="947" t="e">
        <f>VLOOKUP(X1232,R_DD!$B$6:$E$2112,4,0)</f>
        <v>#N/A</v>
      </c>
    </row>
    <row r="1233" spans="22:29" ht="20.100000000000001" customHeight="1">
      <c r="V1233" s="944" t="e">
        <f>VLOOKUP(U1233,R_DD!$B$6:$E$2112,3,0)</f>
        <v>#N/A</v>
      </c>
      <c r="W1233" s="943" t="e">
        <f>VLOOKUP(U1233,R_DD!$B$6:$E$2112,4,0)</f>
        <v>#N/A</v>
      </c>
      <c r="Z1233" s="946" t="e">
        <f>VLOOKUP(X1233,R_DD!$B$6:$E$2112,3,0)</f>
        <v>#N/A</v>
      </c>
      <c r="AA1233" s="946" t="e">
        <f>VLOOKUP(Y1233,R_DD!$A$1:$L$2131,4,0)</f>
        <v>#N/A</v>
      </c>
      <c r="AB1233" s="947" t="e">
        <f>VLOOKUP(Y1233,R_DD!$A$1:$L$2131,5,0)</f>
        <v>#N/A</v>
      </c>
      <c r="AC1233" s="947" t="e">
        <f>VLOOKUP(X1233,R_DD!$B$6:$E$2112,4,0)</f>
        <v>#N/A</v>
      </c>
    </row>
    <row r="1234" spans="22:29" ht="20.100000000000001" customHeight="1">
      <c r="V1234" s="944" t="e">
        <f>VLOOKUP(U1234,R_DD!$B$6:$E$2112,3,0)</f>
        <v>#N/A</v>
      </c>
      <c r="W1234" s="943" t="e">
        <f>VLOOKUP(U1234,R_DD!$B$6:$E$2112,4,0)</f>
        <v>#N/A</v>
      </c>
      <c r="Z1234" s="946" t="e">
        <f>VLOOKUP(X1234,R_DD!$B$6:$E$2112,3,0)</f>
        <v>#N/A</v>
      </c>
      <c r="AA1234" s="946" t="e">
        <f>VLOOKUP(Y1234,R_DD!$A$1:$L$2131,4,0)</f>
        <v>#N/A</v>
      </c>
      <c r="AB1234" s="947" t="e">
        <f>VLOOKUP(Y1234,R_DD!$A$1:$L$2131,5,0)</f>
        <v>#N/A</v>
      </c>
      <c r="AC1234" s="947" t="e">
        <f>VLOOKUP(X1234,R_DD!$B$6:$E$2112,4,0)</f>
        <v>#N/A</v>
      </c>
    </row>
    <row r="1235" spans="22:29" ht="20.100000000000001" customHeight="1">
      <c r="V1235" s="944" t="e">
        <f>VLOOKUP(U1235,R_DD!$B$6:$E$2112,3,0)</f>
        <v>#N/A</v>
      </c>
      <c r="W1235" s="943" t="e">
        <f>VLOOKUP(U1235,R_DD!$B$6:$E$2112,4,0)</f>
        <v>#N/A</v>
      </c>
      <c r="Z1235" s="946" t="e">
        <f>VLOOKUP(X1235,R_DD!$B$6:$E$2112,3,0)</f>
        <v>#N/A</v>
      </c>
      <c r="AA1235" s="946" t="e">
        <f>VLOOKUP(Y1235,R_DD!$A$1:$L$2131,4,0)</f>
        <v>#N/A</v>
      </c>
      <c r="AB1235" s="947" t="e">
        <f>VLOOKUP(Y1235,R_DD!$A$1:$L$2131,5,0)</f>
        <v>#N/A</v>
      </c>
      <c r="AC1235" s="947" t="e">
        <f>VLOOKUP(X1235,R_DD!$B$6:$E$2112,4,0)</f>
        <v>#N/A</v>
      </c>
    </row>
    <row r="1236" spans="22:29" ht="20.100000000000001" customHeight="1">
      <c r="V1236" s="944" t="e">
        <f>VLOOKUP(U1236,R_DD!$B$6:$E$2112,3,0)</f>
        <v>#N/A</v>
      </c>
      <c r="W1236" s="943" t="e">
        <f>VLOOKUP(U1236,R_DD!$B$6:$E$2112,4,0)</f>
        <v>#N/A</v>
      </c>
      <c r="Z1236" s="946" t="e">
        <f>VLOOKUP(X1236,R_DD!$B$6:$E$2112,3,0)</f>
        <v>#N/A</v>
      </c>
      <c r="AA1236" s="946" t="e">
        <f>VLOOKUP(Y1236,R_DD!$A$1:$L$2131,4,0)</f>
        <v>#N/A</v>
      </c>
      <c r="AB1236" s="947" t="e">
        <f>VLOOKUP(Y1236,R_DD!$A$1:$L$2131,5,0)</f>
        <v>#N/A</v>
      </c>
      <c r="AC1236" s="947" t="e">
        <f>VLOOKUP(X1236,R_DD!$B$6:$E$2112,4,0)</f>
        <v>#N/A</v>
      </c>
    </row>
    <row r="1237" spans="22:29" ht="20.100000000000001" customHeight="1">
      <c r="V1237" s="944" t="e">
        <f>VLOOKUP(U1237,R_DD!$B$6:$E$2112,3,0)</f>
        <v>#N/A</v>
      </c>
      <c r="W1237" s="943" t="e">
        <f>VLOOKUP(U1237,R_DD!$B$6:$E$2112,4,0)</f>
        <v>#N/A</v>
      </c>
      <c r="Z1237" s="946" t="e">
        <f>VLOOKUP(X1237,R_DD!$B$6:$E$2112,3,0)</f>
        <v>#N/A</v>
      </c>
      <c r="AA1237" s="946" t="e">
        <f>VLOOKUP(Y1237,R_DD!$A$1:$L$2131,4,0)</f>
        <v>#N/A</v>
      </c>
      <c r="AB1237" s="947" t="e">
        <f>VLOOKUP(Y1237,R_DD!$A$1:$L$2131,5,0)</f>
        <v>#N/A</v>
      </c>
      <c r="AC1237" s="947" t="e">
        <f>VLOOKUP(X1237,R_DD!$B$6:$E$2112,4,0)</f>
        <v>#N/A</v>
      </c>
    </row>
    <row r="1238" spans="22:29" ht="20.100000000000001" customHeight="1">
      <c r="V1238" s="944" t="e">
        <f>VLOOKUP(U1238,R_DD!$B$6:$E$2112,3,0)</f>
        <v>#N/A</v>
      </c>
      <c r="W1238" s="943" t="e">
        <f>VLOOKUP(U1238,R_DD!$B$6:$E$2112,4,0)</f>
        <v>#N/A</v>
      </c>
      <c r="Z1238" s="946" t="e">
        <f>VLOOKUP(X1238,R_DD!$B$6:$E$2112,3,0)</f>
        <v>#N/A</v>
      </c>
      <c r="AA1238" s="946" t="e">
        <f>VLOOKUP(Y1238,R_DD!$A$1:$L$2131,4,0)</f>
        <v>#N/A</v>
      </c>
      <c r="AB1238" s="947" t="e">
        <f>VLOOKUP(Y1238,R_DD!$A$1:$L$2131,5,0)</f>
        <v>#N/A</v>
      </c>
      <c r="AC1238" s="947" t="e">
        <f>VLOOKUP(X1238,R_DD!$B$6:$E$2112,4,0)</f>
        <v>#N/A</v>
      </c>
    </row>
    <row r="1239" spans="22:29" ht="20.100000000000001" customHeight="1">
      <c r="V1239" s="944" t="e">
        <f>VLOOKUP(U1239,R_DD!$B$6:$E$2112,3,0)</f>
        <v>#N/A</v>
      </c>
      <c r="W1239" s="943" t="e">
        <f>VLOOKUP(U1239,R_DD!$B$6:$E$2112,4,0)</f>
        <v>#N/A</v>
      </c>
      <c r="Z1239" s="946" t="e">
        <f>VLOOKUP(X1239,R_DD!$B$6:$E$2112,3,0)</f>
        <v>#N/A</v>
      </c>
      <c r="AA1239" s="946" t="e">
        <f>VLOOKUP(Y1239,R_DD!$A$1:$L$2131,4,0)</f>
        <v>#N/A</v>
      </c>
      <c r="AB1239" s="947" t="e">
        <f>VLOOKUP(Y1239,R_DD!$A$1:$L$2131,5,0)</f>
        <v>#N/A</v>
      </c>
      <c r="AC1239" s="947" t="e">
        <f>VLOOKUP(X1239,R_DD!$B$6:$E$2112,4,0)</f>
        <v>#N/A</v>
      </c>
    </row>
    <row r="1240" spans="22:29" ht="20.100000000000001" customHeight="1">
      <c r="V1240" s="944" t="e">
        <f>VLOOKUP(U1240,R_DD!$B$6:$E$2112,3,0)</f>
        <v>#N/A</v>
      </c>
      <c r="W1240" s="943" t="e">
        <f>VLOOKUP(U1240,R_DD!$B$6:$E$2112,4,0)</f>
        <v>#N/A</v>
      </c>
      <c r="Z1240" s="946" t="e">
        <f>VLOOKUP(X1240,R_DD!$B$6:$E$2112,3,0)</f>
        <v>#N/A</v>
      </c>
      <c r="AA1240" s="946" t="e">
        <f>VLOOKUP(Y1240,R_DD!$A$1:$L$2131,4,0)</f>
        <v>#N/A</v>
      </c>
      <c r="AB1240" s="947" t="e">
        <f>VLOOKUP(Y1240,R_DD!$A$1:$L$2131,5,0)</f>
        <v>#N/A</v>
      </c>
      <c r="AC1240" s="947" t="e">
        <f>VLOOKUP(X1240,R_DD!$B$6:$E$2112,4,0)</f>
        <v>#N/A</v>
      </c>
    </row>
    <row r="1241" spans="22:29" ht="20.100000000000001" customHeight="1">
      <c r="V1241" s="944" t="e">
        <f>VLOOKUP(U1241,R_DD!$B$6:$E$2112,3,0)</f>
        <v>#N/A</v>
      </c>
      <c r="W1241" s="943" t="e">
        <f>VLOOKUP(U1241,R_DD!$B$6:$E$2112,4,0)</f>
        <v>#N/A</v>
      </c>
      <c r="Z1241" s="946" t="e">
        <f>VLOOKUP(X1241,R_DD!$B$6:$E$2112,3,0)</f>
        <v>#N/A</v>
      </c>
      <c r="AA1241" s="946" t="e">
        <f>VLOOKUP(Y1241,R_DD!$A$1:$L$2131,4,0)</f>
        <v>#N/A</v>
      </c>
      <c r="AB1241" s="947" t="e">
        <f>VLOOKUP(Y1241,R_DD!$A$1:$L$2131,5,0)</f>
        <v>#N/A</v>
      </c>
      <c r="AC1241" s="947" t="e">
        <f>VLOOKUP(X1241,R_DD!$B$6:$E$2112,4,0)</f>
        <v>#N/A</v>
      </c>
    </row>
    <row r="1242" spans="22:29" ht="20.100000000000001" customHeight="1">
      <c r="V1242" s="944" t="e">
        <f>VLOOKUP(U1242,R_DD!$B$6:$E$2112,3,0)</f>
        <v>#N/A</v>
      </c>
      <c r="W1242" s="943" t="e">
        <f>VLOOKUP(U1242,R_DD!$B$6:$E$2112,4,0)</f>
        <v>#N/A</v>
      </c>
      <c r="Z1242" s="946" t="e">
        <f>VLOOKUP(X1242,R_DD!$B$6:$E$2112,3,0)</f>
        <v>#N/A</v>
      </c>
      <c r="AA1242" s="946" t="e">
        <f>VLOOKUP(Y1242,R_DD!$A$1:$L$2131,4,0)</f>
        <v>#N/A</v>
      </c>
      <c r="AB1242" s="947" t="e">
        <f>VLOOKUP(Y1242,R_DD!$A$1:$L$2131,5,0)</f>
        <v>#N/A</v>
      </c>
      <c r="AC1242" s="947" t="e">
        <f>VLOOKUP(X1242,R_DD!$B$6:$E$2112,4,0)</f>
        <v>#N/A</v>
      </c>
    </row>
    <row r="1243" spans="22:29" ht="20.100000000000001" customHeight="1">
      <c r="V1243" s="944" t="e">
        <f>VLOOKUP(U1243,R_DD!$B$6:$E$2112,3,0)</f>
        <v>#N/A</v>
      </c>
      <c r="W1243" s="943" t="e">
        <f>VLOOKUP(U1243,R_DD!$B$6:$E$2112,4,0)</f>
        <v>#N/A</v>
      </c>
      <c r="Z1243" s="946" t="e">
        <f>VLOOKUP(X1243,R_DD!$B$6:$E$2112,3,0)</f>
        <v>#N/A</v>
      </c>
      <c r="AA1243" s="946" t="e">
        <f>VLOOKUP(Y1243,R_DD!$A$1:$L$2131,4,0)</f>
        <v>#N/A</v>
      </c>
      <c r="AB1243" s="947" t="e">
        <f>VLOOKUP(Y1243,R_DD!$A$1:$L$2131,5,0)</f>
        <v>#N/A</v>
      </c>
      <c r="AC1243" s="947" t="e">
        <f>VLOOKUP(X1243,R_DD!$B$6:$E$2112,4,0)</f>
        <v>#N/A</v>
      </c>
    </row>
    <row r="1244" spans="22:29" ht="20.100000000000001" customHeight="1">
      <c r="V1244" s="944" t="e">
        <f>VLOOKUP(U1244,R_DD!$B$6:$E$2112,3,0)</f>
        <v>#N/A</v>
      </c>
      <c r="W1244" s="943" t="e">
        <f>VLOOKUP(U1244,R_DD!$B$6:$E$2112,4,0)</f>
        <v>#N/A</v>
      </c>
      <c r="Z1244" s="946" t="e">
        <f>VLOOKUP(X1244,R_DD!$B$6:$E$2112,3,0)</f>
        <v>#N/A</v>
      </c>
      <c r="AA1244" s="946" t="e">
        <f>VLOOKUP(Y1244,R_DD!$A$1:$L$2131,4,0)</f>
        <v>#N/A</v>
      </c>
      <c r="AB1244" s="947" t="e">
        <f>VLOOKUP(Y1244,R_DD!$A$1:$L$2131,5,0)</f>
        <v>#N/A</v>
      </c>
      <c r="AC1244" s="947" t="e">
        <f>VLOOKUP(X1244,R_DD!$B$6:$E$2112,4,0)</f>
        <v>#N/A</v>
      </c>
    </row>
    <row r="1245" spans="22:29" ht="20.100000000000001" customHeight="1">
      <c r="V1245" s="944" t="e">
        <f>VLOOKUP(U1245,R_DD!$B$6:$E$2112,3,0)</f>
        <v>#N/A</v>
      </c>
      <c r="W1245" s="943" t="e">
        <f>VLOOKUP(U1245,R_DD!$B$6:$E$2112,4,0)</f>
        <v>#N/A</v>
      </c>
      <c r="Z1245" s="946" t="e">
        <f>VLOOKUP(X1245,R_DD!$B$6:$E$2112,3,0)</f>
        <v>#N/A</v>
      </c>
      <c r="AA1245" s="946" t="e">
        <f>VLOOKUP(Y1245,R_DD!$A$1:$L$2131,4,0)</f>
        <v>#N/A</v>
      </c>
      <c r="AB1245" s="947" t="e">
        <f>VLOOKUP(Y1245,R_DD!$A$1:$L$2131,5,0)</f>
        <v>#N/A</v>
      </c>
      <c r="AC1245" s="947" t="e">
        <f>VLOOKUP(X1245,R_DD!$B$6:$E$2112,4,0)</f>
        <v>#N/A</v>
      </c>
    </row>
    <row r="1246" spans="22:29" ht="20.100000000000001" customHeight="1">
      <c r="V1246" s="944" t="e">
        <f>VLOOKUP(U1246,R_DD!$B$6:$E$2112,3,0)</f>
        <v>#N/A</v>
      </c>
      <c r="W1246" s="943" t="e">
        <f>VLOOKUP(U1246,R_DD!$B$6:$E$2112,4,0)</f>
        <v>#N/A</v>
      </c>
      <c r="Z1246" s="946" t="e">
        <f>VLOOKUP(X1246,R_DD!$B$6:$E$2112,3,0)</f>
        <v>#N/A</v>
      </c>
      <c r="AA1246" s="946" t="e">
        <f>VLOOKUP(Y1246,R_DD!$A$1:$L$2131,4,0)</f>
        <v>#N/A</v>
      </c>
      <c r="AB1246" s="947" t="e">
        <f>VLOOKUP(Y1246,R_DD!$A$1:$L$2131,5,0)</f>
        <v>#N/A</v>
      </c>
      <c r="AC1246" s="947" t="e">
        <f>VLOOKUP(X1246,R_DD!$B$6:$E$2112,4,0)</f>
        <v>#N/A</v>
      </c>
    </row>
    <row r="1247" spans="22:29" ht="20.100000000000001" customHeight="1">
      <c r="V1247" s="944" t="e">
        <f>VLOOKUP(U1247,R_DD!$B$6:$E$2112,3,0)</f>
        <v>#N/A</v>
      </c>
      <c r="W1247" s="943" t="e">
        <f>VLOOKUP(U1247,R_DD!$B$6:$E$2112,4,0)</f>
        <v>#N/A</v>
      </c>
      <c r="Z1247" s="946" t="e">
        <f>VLOOKUP(X1247,R_DD!$B$6:$E$2112,3,0)</f>
        <v>#N/A</v>
      </c>
      <c r="AA1247" s="946" t="e">
        <f>VLOOKUP(Y1247,R_DD!$A$1:$L$2131,4,0)</f>
        <v>#N/A</v>
      </c>
      <c r="AB1247" s="947" t="e">
        <f>VLOOKUP(Y1247,R_DD!$A$1:$L$2131,5,0)</f>
        <v>#N/A</v>
      </c>
      <c r="AC1247" s="947" t="e">
        <f>VLOOKUP(X1247,R_DD!$B$6:$E$2112,4,0)</f>
        <v>#N/A</v>
      </c>
    </row>
    <row r="1248" spans="22:29" ht="20.100000000000001" customHeight="1">
      <c r="V1248" s="944" t="e">
        <f>VLOOKUP(U1248,R_DD!$B$6:$E$2112,3,0)</f>
        <v>#N/A</v>
      </c>
      <c r="W1248" s="943" t="e">
        <f>VLOOKUP(U1248,R_DD!$B$6:$E$2112,4,0)</f>
        <v>#N/A</v>
      </c>
      <c r="Z1248" s="946" t="e">
        <f>VLOOKUP(X1248,R_DD!$B$6:$E$2112,3,0)</f>
        <v>#N/A</v>
      </c>
      <c r="AA1248" s="946" t="e">
        <f>VLOOKUP(Y1248,R_DD!$A$1:$L$2131,4,0)</f>
        <v>#N/A</v>
      </c>
      <c r="AB1248" s="947" t="e">
        <f>VLOOKUP(Y1248,R_DD!$A$1:$L$2131,5,0)</f>
        <v>#N/A</v>
      </c>
      <c r="AC1248" s="947" t="e">
        <f>VLOOKUP(X1248,R_DD!$B$6:$E$2112,4,0)</f>
        <v>#N/A</v>
      </c>
    </row>
    <row r="1249" spans="22:29" ht="20.100000000000001" customHeight="1">
      <c r="V1249" s="944" t="e">
        <f>VLOOKUP(U1249,R_DD!$B$6:$E$2112,3,0)</f>
        <v>#N/A</v>
      </c>
      <c r="W1249" s="943" t="e">
        <f>VLOOKUP(U1249,R_DD!$B$6:$E$2112,4,0)</f>
        <v>#N/A</v>
      </c>
      <c r="Z1249" s="946" t="e">
        <f>VLOOKUP(X1249,R_DD!$B$6:$E$2112,3,0)</f>
        <v>#N/A</v>
      </c>
      <c r="AA1249" s="946" t="e">
        <f>VLOOKUP(Y1249,R_DD!$A$1:$L$2131,4,0)</f>
        <v>#N/A</v>
      </c>
      <c r="AB1249" s="947" t="e">
        <f>VLOOKUP(Y1249,R_DD!$A$1:$L$2131,5,0)</f>
        <v>#N/A</v>
      </c>
      <c r="AC1249" s="947" t="e">
        <f>VLOOKUP(X1249,R_DD!$B$6:$E$2112,4,0)</f>
        <v>#N/A</v>
      </c>
    </row>
    <row r="1250" spans="22:29" ht="20.100000000000001" customHeight="1">
      <c r="V1250" s="944" t="e">
        <f>VLOOKUP(U1250,R_DD!$B$6:$E$2112,3,0)</f>
        <v>#N/A</v>
      </c>
      <c r="W1250" s="943" t="e">
        <f>VLOOKUP(U1250,R_DD!$B$6:$E$2112,4,0)</f>
        <v>#N/A</v>
      </c>
      <c r="Z1250" s="946" t="e">
        <f>VLOOKUP(X1250,R_DD!$B$6:$E$2112,3,0)</f>
        <v>#N/A</v>
      </c>
      <c r="AA1250" s="946" t="e">
        <f>VLOOKUP(Y1250,R_DD!$A$1:$L$2131,4,0)</f>
        <v>#N/A</v>
      </c>
      <c r="AB1250" s="947" t="e">
        <f>VLOOKUP(Y1250,R_DD!$A$1:$L$2131,5,0)</f>
        <v>#N/A</v>
      </c>
      <c r="AC1250" s="947" t="e">
        <f>VLOOKUP(X1250,R_DD!$B$6:$E$2112,4,0)</f>
        <v>#N/A</v>
      </c>
    </row>
    <row r="1251" spans="22:29" ht="20.100000000000001" customHeight="1">
      <c r="V1251" s="944" t="e">
        <f>VLOOKUP(U1251,R_DD!$B$6:$E$2112,3,0)</f>
        <v>#N/A</v>
      </c>
      <c r="W1251" s="943" t="e">
        <f>VLOOKUP(U1251,R_DD!$B$6:$E$2112,4,0)</f>
        <v>#N/A</v>
      </c>
      <c r="Z1251" s="946" t="e">
        <f>VLOOKUP(X1251,R_DD!$B$6:$E$2112,3,0)</f>
        <v>#N/A</v>
      </c>
      <c r="AA1251" s="946" t="e">
        <f>VLOOKUP(Y1251,R_DD!$A$1:$L$2131,4,0)</f>
        <v>#N/A</v>
      </c>
      <c r="AB1251" s="947" t="e">
        <f>VLOOKUP(Y1251,R_DD!$A$1:$L$2131,5,0)</f>
        <v>#N/A</v>
      </c>
      <c r="AC1251" s="947" t="e">
        <f>VLOOKUP(X1251,R_DD!$B$6:$E$2112,4,0)</f>
        <v>#N/A</v>
      </c>
    </row>
    <row r="1252" spans="22:29" ht="20.100000000000001" customHeight="1">
      <c r="V1252" s="944" t="e">
        <f>VLOOKUP(U1252,R_DD!$B$6:$E$2112,3,0)</f>
        <v>#N/A</v>
      </c>
      <c r="W1252" s="943" t="e">
        <f>VLOOKUP(U1252,R_DD!$B$6:$E$2112,4,0)</f>
        <v>#N/A</v>
      </c>
      <c r="Z1252" s="946" t="e">
        <f>VLOOKUP(X1252,R_DD!$B$6:$E$2112,3,0)</f>
        <v>#N/A</v>
      </c>
      <c r="AA1252" s="946" t="e">
        <f>VLOOKUP(Y1252,R_DD!$A$1:$L$2131,4,0)</f>
        <v>#N/A</v>
      </c>
      <c r="AB1252" s="947" t="e">
        <f>VLOOKUP(Y1252,R_DD!$A$1:$L$2131,5,0)</f>
        <v>#N/A</v>
      </c>
      <c r="AC1252" s="947" t="e">
        <f>VLOOKUP(X1252,R_DD!$B$6:$E$2112,4,0)</f>
        <v>#N/A</v>
      </c>
    </row>
    <row r="1253" spans="22:29" ht="20.100000000000001" customHeight="1">
      <c r="V1253" s="944" t="e">
        <f>VLOOKUP(U1253,R_DD!$B$6:$E$2112,3,0)</f>
        <v>#N/A</v>
      </c>
      <c r="W1253" s="943" t="e">
        <f>VLOOKUP(U1253,R_DD!$B$6:$E$2112,4,0)</f>
        <v>#N/A</v>
      </c>
      <c r="Z1253" s="946" t="e">
        <f>VLOOKUP(X1253,R_DD!$B$6:$E$2112,3,0)</f>
        <v>#N/A</v>
      </c>
      <c r="AA1253" s="946" t="e">
        <f>VLOOKUP(Y1253,R_DD!$A$1:$L$2131,4,0)</f>
        <v>#N/A</v>
      </c>
      <c r="AB1253" s="947" t="e">
        <f>VLOOKUP(Y1253,R_DD!$A$1:$L$2131,5,0)</f>
        <v>#N/A</v>
      </c>
      <c r="AC1253" s="947" t="e">
        <f>VLOOKUP(X1253,R_DD!$B$6:$E$2112,4,0)</f>
        <v>#N/A</v>
      </c>
    </row>
    <row r="1254" spans="22:29" ht="20.100000000000001" customHeight="1">
      <c r="V1254" s="944" t="e">
        <f>VLOOKUP(U1254,R_DD!$B$6:$E$2112,3,0)</f>
        <v>#N/A</v>
      </c>
      <c r="W1254" s="943" t="e">
        <f>VLOOKUP(U1254,R_DD!$B$6:$E$2112,4,0)</f>
        <v>#N/A</v>
      </c>
      <c r="Z1254" s="946" t="e">
        <f>VLOOKUP(X1254,R_DD!$B$6:$E$2112,3,0)</f>
        <v>#N/A</v>
      </c>
      <c r="AA1254" s="946" t="e">
        <f>VLOOKUP(Y1254,R_DD!$A$1:$L$2131,4,0)</f>
        <v>#N/A</v>
      </c>
      <c r="AB1254" s="947" t="e">
        <f>VLOOKUP(Y1254,R_DD!$A$1:$L$2131,5,0)</f>
        <v>#N/A</v>
      </c>
      <c r="AC1254" s="947" t="e">
        <f>VLOOKUP(X1254,R_DD!$B$6:$E$2112,4,0)</f>
        <v>#N/A</v>
      </c>
    </row>
    <row r="1255" spans="22:29" ht="20.100000000000001" customHeight="1">
      <c r="V1255" s="944" t="e">
        <f>VLOOKUP(U1255,R_DD!$B$6:$E$2112,3,0)</f>
        <v>#N/A</v>
      </c>
      <c r="W1255" s="943" t="e">
        <f>VLOOKUP(U1255,R_DD!$B$6:$E$2112,4,0)</f>
        <v>#N/A</v>
      </c>
      <c r="Z1255" s="946" t="e">
        <f>VLOOKUP(X1255,R_DD!$B$6:$E$2112,3,0)</f>
        <v>#N/A</v>
      </c>
      <c r="AA1255" s="946" t="e">
        <f>VLOOKUP(Y1255,R_DD!$A$1:$L$2131,4,0)</f>
        <v>#N/A</v>
      </c>
      <c r="AB1255" s="947" t="e">
        <f>VLOOKUP(Y1255,R_DD!$A$1:$L$2131,5,0)</f>
        <v>#N/A</v>
      </c>
      <c r="AC1255" s="947" t="e">
        <f>VLOOKUP(X1255,R_DD!$B$6:$E$2112,4,0)</f>
        <v>#N/A</v>
      </c>
    </row>
    <row r="1256" spans="22:29" ht="20.100000000000001" customHeight="1">
      <c r="V1256" s="944" t="e">
        <f>VLOOKUP(U1256,R_DD!$B$6:$E$2112,3,0)</f>
        <v>#N/A</v>
      </c>
      <c r="W1256" s="943" t="e">
        <f>VLOOKUP(U1256,R_DD!$B$6:$E$2112,4,0)</f>
        <v>#N/A</v>
      </c>
      <c r="Z1256" s="946" t="e">
        <f>VLOOKUP(X1256,R_DD!$B$6:$E$2112,3,0)</f>
        <v>#N/A</v>
      </c>
      <c r="AA1256" s="946" t="e">
        <f>VLOOKUP(Y1256,R_DD!$A$1:$L$2131,4,0)</f>
        <v>#N/A</v>
      </c>
      <c r="AB1256" s="947" t="e">
        <f>VLOOKUP(Y1256,R_DD!$A$1:$L$2131,5,0)</f>
        <v>#N/A</v>
      </c>
      <c r="AC1256" s="947" t="e">
        <f>VLOOKUP(X1256,R_DD!$B$6:$E$2112,4,0)</f>
        <v>#N/A</v>
      </c>
    </row>
    <row r="1257" spans="22:29" ht="20.100000000000001" customHeight="1">
      <c r="V1257" s="944" t="e">
        <f>VLOOKUP(U1257,R_DD!$B$6:$E$2112,3,0)</f>
        <v>#N/A</v>
      </c>
      <c r="W1257" s="943" t="e">
        <f>VLOOKUP(U1257,R_DD!$B$6:$E$2112,4,0)</f>
        <v>#N/A</v>
      </c>
      <c r="Z1257" s="946" t="e">
        <f>VLOOKUP(X1257,R_DD!$B$6:$E$2112,3,0)</f>
        <v>#N/A</v>
      </c>
      <c r="AA1257" s="946" t="e">
        <f>VLOOKUP(Y1257,R_DD!$A$1:$L$2131,4,0)</f>
        <v>#N/A</v>
      </c>
      <c r="AB1257" s="947" t="e">
        <f>VLOOKUP(Y1257,R_DD!$A$1:$L$2131,5,0)</f>
        <v>#N/A</v>
      </c>
      <c r="AC1257" s="947" t="e">
        <f>VLOOKUP(X1257,R_DD!$B$6:$E$2112,4,0)</f>
        <v>#N/A</v>
      </c>
    </row>
    <row r="1258" spans="22:29" ht="20.100000000000001" customHeight="1">
      <c r="V1258" s="944" t="e">
        <f>VLOOKUP(U1258,R_DD!$B$6:$E$2112,3,0)</f>
        <v>#N/A</v>
      </c>
      <c r="W1258" s="943" t="e">
        <f>VLOOKUP(U1258,R_DD!$B$6:$E$2112,4,0)</f>
        <v>#N/A</v>
      </c>
      <c r="Z1258" s="946" t="e">
        <f>VLOOKUP(X1258,R_DD!$B$6:$E$2112,3,0)</f>
        <v>#N/A</v>
      </c>
      <c r="AA1258" s="946" t="e">
        <f>VLOOKUP(Y1258,R_DD!$A$1:$L$2131,4,0)</f>
        <v>#N/A</v>
      </c>
      <c r="AB1258" s="947" t="e">
        <f>VLOOKUP(Y1258,R_DD!$A$1:$L$2131,5,0)</f>
        <v>#N/A</v>
      </c>
      <c r="AC1258" s="947" t="e">
        <f>VLOOKUP(X1258,R_DD!$B$6:$E$2112,4,0)</f>
        <v>#N/A</v>
      </c>
    </row>
    <row r="1259" spans="22:29" ht="20.100000000000001" customHeight="1">
      <c r="V1259" s="944" t="e">
        <f>VLOOKUP(U1259,R_DD!$B$6:$E$2112,3,0)</f>
        <v>#N/A</v>
      </c>
      <c r="W1259" s="943" t="e">
        <f>VLOOKUP(U1259,R_DD!$B$6:$E$2112,4,0)</f>
        <v>#N/A</v>
      </c>
      <c r="Z1259" s="946" t="e">
        <f>VLOOKUP(X1259,R_DD!$B$6:$E$2112,3,0)</f>
        <v>#N/A</v>
      </c>
      <c r="AA1259" s="946" t="e">
        <f>VLOOKUP(Y1259,R_DD!$A$1:$L$2131,4,0)</f>
        <v>#N/A</v>
      </c>
      <c r="AB1259" s="947" t="e">
        <f>VLOOKUP(Y1259,R_DD!$A$1:$L$2131,5,0)</f>
        <v>#N/A</v>
      </c>
      <c r="AC1259" s="947" t="e">
        <f>VLOOKUP(X1259,R_DD!$B$6:$E$2112,4,0)</f>
        <v>#N/A</v>
      </c>
    </row>
    <row r="1260" spans="22:29" ht="20.100000000000001" customHeight="1">
      <c r="V1260" s="944" t="e">
        <f>VLOOKUP(U1260,R_DD!$B$6:$E$2112,3,0)</f>
        <v>#N/A</v>
      </c>
      <c r="W1260" s="943" t="e">
        <f>VLOOKUP(U1260,R_DD!$B$6:$E$2112,4,0)</f>
        <v>#N/A</v>
      </c>
      <c r="Z1260" s="946" t="e">
        <f>VLOOKUP(X1260,R_DD!$B$6:$E$2112,3,0)</f>
        <v>#N/A</v>
      </c>
      <c r="AA1260" s="946" t="e">
        <f>VLOOKUP(Y1260,R_DD!$A$1:$L$2131,4,0)</f>
        <v>#N/A</v>
      </c>
      <c r="AB1260" s="947" t="e">
        <f>VLOOKUP(Y1260,R_DD!$A$1:$L$2131,5,0)</f>
        <v>#N/A</v>
      </c>
      <c r="AC1260" s="947" t="e">
        <f>VLOOKUP(X1260,R_DD!$B$6:$E$2112,4,0)</f>
        <v>#N/A</v>
      </c>
    </row>
    <row r="1261" spans="22:29" ht="20.100000000000001" customHeight="1">
      <c r="V1261" s="944" t="e">
        <f>VLOOKUP(U1261,R_DD!$B$6:$E$2112,3,0)</f>
        <v>#N/A</v>
      </c>
      <c r="W1261" s="943" t="e">
        <f>VLOOKUP(U1261,R_DD!$B$6:$E$2112,4,0)</f>
        <v>#N/A</v>
      </c>
      <c r="Z1261" s="946" t="e">
        <f>VLOOKUP(X1261,R_DD!$B$6:$E$2112,3,0)</f>
        <v>#N/A</v>
      </c>
      <c r="AA1261" s="946" t="e">
        <f>VLOOKUP(Y1261,R_DD!$A$1:$L$2131,4,0)</f>
        <v>#N/A</v>
      </c>
      <c r="AB1261" s="947" t="e">
        <f>VLOOKUP(Y1261,R_DD!$A$1:$L$2131,5,0)</f>
        <v>#N/A</v>
      </c>
      <c r="AC1261" s="947" t="e">
        <f>VLOOKUP(X1261,R_DD!$B$6:$E$2112,4,0)</f>
        <v>#N/A</v>
      </c>
    </row>
    <row r="1262" spans="22:29" ht="20.100000000000001" customHeight="1">
      <c r="V1262" s="944" t="e">
        <f>VLOOKUP(U1262,R_DD!$B$6:$E$2112,3,0)</f>
        <v>#N/A</v>
      </c>
      <c r="W1262" s="943" t="e">
        <f>VLOOKUP(U1262,R_DD!$B$6:$E$2112,4,0)</f>
        <v>#N/A</v>
      </c>
      <c r="Z1262" s="946" t="e">
        <f>VLOOKUP(X1262,R_DD!$B$6:$E$2112,3,0)</f>
        <v>#N/A</v>
      </c>
      <c r="AA1262" s="946" t="e">
        <f>VLOOKUP(Y1262,R_DD!$A$1:$L$2131,4,0)</f>
        <v>#N/A</v>
      </c>
      <c r="AB1262" s="947" t="e">
        <f>VLOOKUP(Y1262,R_DD!$A$1:$L$2131,5,0)</f>
        <v>#N/A</v>
      </c>
      <c r="AC1262" s="947" t="e">
        <f>VLOOKUP(X1262,R_DD!$B$6:$E$2112,4,0)</f>
        <v>#N/A</v>
      </c>
    </row>
    <row r="1263" spans="22:29" ht="20.100000000000001" customHeight="1">
      <c r="V1263" s="944" t="e">
        <f>VLOOKUP(U1263,R_DD!$B$6:$E$2112,3,0)</f>
        <v>#N/A</v>
      </c>
      <c r="W1263" s="943" t="e">
        <f>VLOOKUP(U1263,R_DD!$B$6:$E$2112,4,0)</f>
        <v>#N/A</v>
      </c>
      <c r="Z1263" s="946" t="e">
        <f>VLOOKUP(X1263,R_DD!$B$6:$E$2112,3,0)</f>
        <v>#N/A</v>
      </c>
      <c r="AA1263" s="946" t="e">
        <f>VLOOKUP(Y1263,R_DD!$A$1:$L$2131,4,0)</f>
        <v>#N/A</v>
      </c>
      <c r="AB1263" s="947" t="e">
        <f>VLOOKUP(Y1263,R_DD!$A$1:$L$2131,5,0)</f>
        <v>#N/A</v>
      </c>
      <c r="AC1263" s="947" t="e">
        <f>VLOOKUP(X1263,R_DD!$B$6:$E$2112,4,0)</f>
        <v>#N/A</v>
      </c>
    </row>
    <row r="1264" spans="22:29" ht="20.100000000000001" customHeight="1">
      <c r="V1264" s="944" t="e">
        <f>VLOOKUP(U1264,R_DD!$B$6:$E$2112,3,0)</f>
        <v>#N/A</v>
      </c>
      <c r="W1264" s="943" t="e">
        <f>VLOOKUP(U1264,R_DD!$B$6:$E$2112,4,0)</f>
        <v>#N/A</v>
      </c>
      <c r="Z1264" s="946" t="e">
        <f>VLOOKUP(X1264,R_DD!$B$6:$E$2112,3,0)</f>
        <v>#N/A</v>
      </c>
      <c r="AA1264" s="946" t="e">
        <f>VLOOKUP(Y1264,R_DD!$A$1:$L$2131,4,0)</f>
        <v>#N/A</v>
      </c>
      <c r="AB1264" s="947" t="e">
        <f>VLOOKUP(Y1264,R_DD!$A$1:$L$2131,5,0)</f>
        <v>#N/A</v>
      </c>
      <c r="AC1264" s="947" t="e">
        <f>VLOOKUP(X1264,R_DD!$B$6:$E$2112,4,0)</f>
        <v>#N/A</v>
      </c>
    </row>
    <row r="1265" spans="22:29" ht="20.100000000000001" customHeight="1">
      <c r="V1265" s="944" t="e">
        <f>VLOOKUP(U1265,R_DD!$B$6:$E$2112,3,0)</f>
        <v>#N/A</v>
      </c>
      <c r="W1265" s="943" t="e">
        <f>VLOOKUP(U1265,R_DD!$B$6:$E$2112,4,0)</f>
        <v>#N/A</v>
      </c>
      <c r="Z1265" s="946" t="e">
        <f>VLOOKUP(X1265,R_DD!$B$6:$E$2112,3,0)</f>
        <v>#N/A</v>
      </c>
      <c r="AA1265" s="946" t="e">
        <f>VLOOKUP(Y1265,R_DD!$A$1:$L$2131,4,0)</f>
        <v>#N/A</v>
      </c>
      <c r="AB1265" s="947" t="e">
        <f>VLOOKUP(Y1265,R_DD!$A$1:$L$2131,5,0)</f>
        <v>#N/A</v>
      </c>
      <c r="AC1265" s="947" t="e">
        <f>VLOOKUP(X1265,R_DD!$B$6:$E$2112,4,0)</f>
        <v>#N/A</v>
      </c>
    </row>
    <row r="1266" spans="22:29" ht="20.100000000000001" customHeight="1">
      <c r="V1266" s="944" t="e">
        <f>VLOOKUP(U1266,R_DD!$B$6:$E$2112,3,0)</f>
        <v>#N/A</v>
      </c>
      <c r="W1266" s="943" t="e">
        <f>VLOOKUP(U1266,R_DD!$B$6:$E$2112,4,0)</f>
        <v>#N/A</v>
      </c>
      <c r="Z1266" s="946" t="e">
        <f>VLOOKUP(X1266,R_DD!$B$6:$E$2112,3,0)</f>
        <v>#N/A</v>
      </c>
      <c r="AA1266" s="946" t="e">
        <f>VLOOKUP(Y1266,R_DD!$A$1:$L$2131,4,0)</f>
        <v>#N/A</v>
      </c>
      <c r="AB1266" s="947" t="e">
        <f>VLOOKUP(Y1266,R_DD!$A$1:$L$2131,5,0)</f>
        <v>#N/A</v>
      </c>
      <c r="AC1266" s="947" t="e">
        <f>VLOOKUP(X1266,R_DD!$B$6:$E$2112,4,0)</f>
        <v>#N/A</v>
      </c>
    </row>
    <row r="1267" spans="22:29" ht="20.100000000000001" customHeight="1">
      <c r="V1267" s="944" t="e">
        <f>VLOOKUP(U1267,R_DD!$B$6:$E$2112,3,0)</f>
        <v>#N/A</v>
      </c>
      <c r="W1267" s="943" t="e">
        <f>VLOOKUP(U1267,R_DD!$B$6:$E$2112,4,0)</f>
        <v>#N/A</v>
      </c>
      <c r="Z1267" s="946" t="e">
        <f>VLOOKUP(X1267,R_DD!$B$6:$E$2112,3,0)</f>
        <v>#N/A</v>
      </c>
      <c r="AA1267" s="946" t="e">
        <f>VLOOKUP(Y1267,R_DD!$A$1:$L$2131,4,0)</f>
        <v>#N/A</v>
      </c>
      <c r="AB1267" s="947" t="e">
        <f>VLOOKUP(Y1267,R_DD!$A$1:$L$2131,5,0)</f>
        <v>#N/A</v>
      </c>
      <c r="AC1267" s="947" t="e">
        <f>VLOOKUP(X1267,R_DD!$B$6:$E$2112,4,0)</f>
        <v>#N/A</v>
      </c>
    </row>
    <row r="1268" spans="22:29" ht="20.100000000000001" customHeight="1">
      <c r="V1268" s="944" t="e">
        <f>VLOOKUP(U1268,R_DD!$B$6:$E$2112,3,0)</f>
        <v>#N/A</v>
      </c>
      <c r="W1268" s="943" t="e">
        <f>VLOOKUP(U1268,R_DD!$B$6:$E$2112,4,0)</f>
        <v>#N/A</v>
      </c>
      <c r="Z1268" s="946" t="e">
        <f>VLOOKUP(X1268,R_DD!$B$6:$E$2112,3,0)</f>
        <v>#N/A</v>
      </c>
      <c r="AA1268" s="946" t="e">
        <f>VLOOKUP(Y1268,R_DD!$A$1:$L$2131,4,0)</f>
        <v>#N/A</v>
      </c>
      <c r="AB1268" s="947" t="e">
        <f>VLOOKUP(Y1268,R_DD!$A$1:$L$2131,5,0)</f>
        <v>#N/A</v>
      </c>
      <c r="AC1268" s="947" t="e">
        <f>VLOOKUP(X1268,R_DD!$B$6:$E$2112,4,0)</f>
        <v>#N/A</v>
      </c>
    </row>
    <row r="1269" spans="22:29" ht="20.100000000000001" customHeight="1">
      <c r="V1269" s="944" t="e">
        <f>VLOOKUP(U1269,R_DD!$B$6:$E$2112,3,0)</f>
        <v>#N/A</v>
      </c>
      <c r="W1269" s="943" t="e">
        <f>VLOOKUP(U1269,R_DD!$B$6:$E$2112,4,0)</f>
        <v>#N/A</v>
      </c>
      <c r="Z1269" s="946" t="e">
        <f>VLOOKUP(X1269,R_DD!$B$6:$E$2112,3,0)</f>
        <v>#N/A</v>
      </c>
      <c r="AA1269" s="946" t="e">
        <f>VLOOKUP(Y1269,R_DD!$A$1:$L$2131,4,0)</f>
        <v>#N/A</v>
      </c>
      <c r="AB1269" s="947" t="e">
        <f>VLOOKUP(Y1269,R_DD!$A$1:$L$2131,5,0)</f>
        <v>#N/A</v>
      </c>
      <c r="AC1269" s="947" t="e">
        <f>VLOOKUP(X1269,R_DD!$B$6:$E$2112,4,0)</f>
        <v>#N/A</v>
      </c>
    </row>
    <row r="1270" spans="22:29" ht="20.100000000000001" customHeight="1">
      <c r="V1270" s="944" t="e">
        <f>VLOOKUP(U1270,R_DD!$B$6:$E$2112,3,0)</f>
        <v>#N/A</v>
      </c>
      <c r="W1270" s="943" t="e">
        <f>VLOOKUP(U1270,R_DD!$B$6:$E$2112,4,0)</f>
        <v>#N/A</v>
      </c>
      <c r="Z1270" s="946" t="e">
        <f>VLOOKUP(X1270,R_DD!$B$6:$E$2112,3,0)</f>
        <v>#N/A</v>
      </c>
      <c r="AA1270" s="946" t="e">
        <f>VLOOKUP(Y1270,R_DD!$A$1:$L$2131,4,0)</f>
        <v>#N/A</v>
      </c>
      <c r="AB1270" s="947" t="e">
        <f>VLOOKUP(Y1270,R_DD!$A$1:$L$2131,5,0)</f>
        <v>#N/A</v>
      </c>
      <c r="AC1270" s="947" t="e">
        <f>VLOOKUP(X1270,R_DD!$B$6:$E$2112,4,0)</f>
        <v>#N/A</v>
      </c>
    </row>
    <row r="1271" spans="22:29" ht="20.100000000000001" customHeight="1">
      <c r="V1271" s="944" t="e">
        <f>VLOOKUP(U1271,R_DD!$B$6:$E$2112,3,0)</f>
        <v>#N/A</v>
      </c>
      <c r="W1271" s="943" t="e">
        <f>VLOOKUP(U1271,R_DD!$B$6:$E$2112,4,0)</f>
        <v>#N/A</v>
      </c>
      <c r="Z1271" s="946" t="e">
        <f>VLOOKUP(X1271,R_DD!$B$6:$E$2112,3,0)</f>
        <v>#N/A</v>
      </c>
      <c r="AA1271" s="946" t="e">
        <f>VLOOKUP(Y1271,R_DD!$A$1:$L$2131,4,0)</f>
        <v>#N/A</v>
      </c>
      <c r="AB1271" s="947" t="e">
        <f>VLOOKUP(Y1271,R_DD!$A$1:$L$2131,5,0)</f>
        <v>#N/A</v>
      </c>
      <c r="AC1271" s="947" t="e">
        <f>VLOOKUP(X1271,R_DD!$B$6:$E$2112,4,0)</f>
        <v>#N/A</v>
      </c>
    </row>
    <row r="1272" spans="22:29" ht="20.100000000000001" customHeight="1">
      <c r="V1272" s="944" t="e">
        <f>VLOOKUP(U1272,R_DD!$B$6:$E$2112,3,0)</f>
        <v>#N/A</v>
      </c>
      <c r="W1272" s="943" t="e">
        <f>VLOOKUP(U1272,R_DD!$B$6:$E$2112,4,0)</f>
        <v>#N/A</v>
      </c>
      <c r="Z1272" s="946" t="e">
        <f>VLOOKUP(X1272,R_DD!$B$6:$E$2112,3,0)</f>
        <v>#N/A</v>
      </c>
      <c r="AA1272" s="946" t="e">
        <f>VLOOKUP(Y1272,R_DD!$A$1:$L$2131,4,0)</f>
        <v>#N/A</v>
      </c>
      <c r="AB1272" s="947" t="e">
        <f>VLOOKUP(Y1272,R_DD!$A$1:$L$2131,5,0)</f>
        <v>#N/A</v>
      </c>
      <c r="AC1272" s="947" t="e">
        <f>VLOOKUP(X1272,R_DD!$B$6:$E$2112,4,0)</f>
        <v>#N/A</v>
      </c>
    </row>
    <row r="1273" spans="22:29" ht="20.100000000000001" customHeight="1">
      <c r="V1273" s="944" t="e">
        <f>VLOOKUP(U1273,R_DD!$B$6:$E$2112,3,0)</f>
        <v>#N/A</v>
      </c>
      <c r="W1273" s="943" t="e">
        <f>VLOOKUP(U1273,R_DD!$B$6:$E$2112,4,0)</f>
        <v>#N/A</v>
      </c>
      <c r="Z1273" s="946" t="e">
        <f>VLOOKUP(X1273,R_DD!$B$6:$E$2112,3,0)</f>
        <v>#N/A</v>
      </c>
      <c r="AA1273" s="946" t="e">
        <f>VLOOKUP(Y1273,R_DD!$A$1:$L$2131,4,0)</f>
        <v>#N/A</v>
      </c>
      <c r="AB1273" s="947" t="e">
        <f>VLOOKUP(Y1273,R_DD!$A$1:$L$2131,5,0)</f>
        <v>#N/A</v>
      </c>
      <c r="AC1273" s="947" t="e">
        <f>VLOOKUP(X1273,R_DD!$B$6:$E$2112,4,0)</f>
        <v>#N/A</v>
      </c>
    </row>
    <row r="1274" spans="22:29" ht="20.100000000000001" customHeight="1">
      <c r="V1274" s="944" t="e">
        <f>VLOOKUP(U1274,R_DD!$B$6:$E$2112,3,0)</f>
        <v>#N/A</v>
      </c>
      <c r="W1274" s="943" t="e">
        <f>VLOOKUP(U1274,R_DD!$B$6:$E$2112,4,0)</f>
        <v>#N/A</v>
      </c>
      <c r="Z1274" s="946" t="e">
        <f>VLOOKUP(X1274,R_DD!$B$6:$E$2112,3,0)</f>
        <v>#N/A</v>
      </c>
      <c r="AA1274" s="946" t="e">
        <f>VLOOKUP(Y1274,R_DD!$A$1:$L$2131,4,0)</f>
        <v>#N/A</v>
      </c>
      <c r="AB1274" s="947" t="e">
        <f>VLOOKUP(Y1274,R_DD!$A$1:$L$2131,5,0)</f>
        <v>#N/A</v>
      </c>
      <c r="AC1274" s="947" t="e">
        <f>VLOOKUP(X1274,R_DD!$B$6:$E$2112,4,0)</f>
        <v>#N/A</v>
      </c>
    </row>
    <row r="1275" spans="22:29" ht="20.100000000000001" customHeight="1">
      <c r="V1275" s="944" t="e">
        <f>VLOOKUP(U1275,R_DD!$B$6:$E$2112,3,0)</f>
        <v>#N/A</v>
      </c>
      <c r="W1275" s="943" t="e">
        <f>VLOOKUP(U1275,R_DD!$B$6:$E$2112,4,0)</f>
        <v>#N/A</v>
      </c>
      <c r="Z1275" s="946" t="e">
        <f>VLOOKUP(X1275,R_DD!$B$6:$E$2112,3,0)</f>
        <v>#N/A</v>
      </c>
      <c r="AA1275" s="946" t="e">
        <f>VLOOKUP(Y1275,R_DD!$A$1:$L$2131,4,0)</f>
        <v>#N/A</v>
      </c>
      <c r="AB1275" s="947" t="e">
        <f>VLOOKUP(Y1275,R_DD!$A$1:$L$2131,5,0)</f>
        <v>#N/A</v>
      </c>
      <c r="AC1275" s="947" t="e">
        <f>VLOOKUP(X1275,R_DD!$B$6:$E$2112,4,0)</f>
        <v>#N/A</v>
      </c>
    </row>
    <row r="1276" spans="22:29" ht="20.100000000000001" customHeight="1">
      <c r="V1276" s="944" t="e">
        <f>VLOOKUP(U1276,R_DD!$B$6:$E$2112,3,0)</f>
        <v>#N/A</v>
      </c>
      <c r="W1276" s="943" t="e">
        <f>VLOOKUP(U1276,R_DD!$B$6:$E$2112,4,0)</f>
        <v>#N/A</v>
      </c>
      <c r="Z1276" s="946" t="e">
        <f>VLOOKUP(X1276,R_DD!$B$6:$E$2112,3,0)</f>
        <v>#N/A</v>
      </c>
      <c r="AA1276" s="946" t="e">
        <f>VLOOKUP(Y1276,R_DD!$A$1:$L$2131,4,0)</f>
        <v>#N/A</v>
      </c>
      <c r="AB1276" s="947" t="e">
        <f>VLOOKUP(Y1276,R_DD!$A$1:$L$2131,5,0)</f>
        <v>#N/A</v>
      </c>
      <c r="AC1276" s="947" t="e">
        <f>VLOOKUP(X1276,R_DD!$B$6:$E$2112,4,0)</f>
        <v>#N/A</v>
      </c>
    </row>
    <row r="1277" spans="22:29" ht="20.100000000000001" customHeight="1">
      <c r="V1277" s="944" t="e">
        <f>VLOOKUP(U1277,R_DD!$B$6:$E$2112,3,0)</f>
        <v>#N/A</v>
      </c>
      <c r="W1277" s="943" t="e">
        <f>VLOOKUP(U1277,R_DD!$B$6:$E$2112,4,0)</f>
        <v>#N/A</v>
      </c>
      <c r="Z1277" s="946" t="e">
        <f>VLOOKUP(X1277,R_DD!$B$6:$E$2112,3,0)</f>
        <v>#N/A</v>
      </c>
      <c r="AA1277" s="946" t="e">
        <f>VLOOKUP(Y1277,R_DD!$A$1:$L$2131,4,0)</f>
        <v>#N/A</v>
      </c>
      <c r="AB1277" s="947" t="e">
        <f>VLOOKUP(Y1277,R_DD!$A$1:$L$2131,5,0)</f>
        <v>#N/A</v>
      </c>
      <c r="AC1277" s="947" t="e">
        <f>VLOOKUP(X1277,R_DD!$B$6:$E$2112,4,0)</f>
        <v>#N/A</v>
      </c>
    </row>
    <row r="1278" spans="22:29" ht="20.100000000000001" customHeight="1">
      <c r="V1278" s="944" t="e">
        <f>VLOOKUP(U1278,R_DD!$B$6:$E$2112,3,0)</f>
        <v>#N/A</v>
      </c>
      <c r="W1278" s="943" t="e">
        <f>VLOOKUP(U1278,R_DD!$B$6:$E$2112,4,0)</f>
        <v>#N/A</v>
      </c>
      <c r="Z1278" s="946" t="e">
        <f>VLOOKUP(X1278,R_DD!$B$6:$E$2112,3,0)</f>
        <v>#N/A</v>
      </c>
      <c r="AA1278" s="946" t="e">
        <f>VLOOKUP(Y1278,R_DD!$A$1:$L$2131,4,0)</f>
        <v>#N/A</v>
      </c>
      <c r="AB1278" s="947" t="e">
        <f>VLOOKUP(Y1278,R_DD!$A$1:$L$2131,5,0)</f>
        <v>#N/A</v>
      </c>
      <c r="AC1278" s="947" t="e">
        <f>VLOOKUP(X1278,R_DD!$B$6:$E$2112,4,0)</f>
        <v>#N/A</v>
      </c>
    </row>
    <row r="1279" spans="22:29" ht="20.100000000000001" customHeight="1">
      <c r="V1279" s="944" t="e">
        <f>VLOOKUP(U1279,R_DD!$B$6:$E$2112,3,0)</f>
        <v>#N/A</v>
      </c>
      <c r="W1279" s="943" t="e">
        <f>VLOOKUP(U1279,R_DD!$B$6:$E$2112,4,0)</f>
        <v>#N/A</v>
      </c>
      <c r="Z1279" s="946" t="e">
        <f>VLOOKUP(X1279,R_DD!$B$6:$E$2112,3,0)</f>
        <v>#N/A</v>
      </c>
      <c r="AA1279" s="946" t="e">
        <f>VLOOKUP(Y1279,R_DD!$A$1:$L$2131,4,0)</f>
        <v>#N/A</v>
      </c>
      <c r="AB1279" s="947" t="e">
        <f>VLOOKUP(Y1279,R_DD!$A$1:$L$2131,5,0)</f>
        <v>#N/A</v>
      </c>
      <c r="AC1279" s="947" t="e">
        <f>VLOOKUP(X1279,R_DD!$B$6:$E$2112,4,0)</f>
        <v>#N/A</v>
      </c>
    </row>
    <row r="1280" spans="22:29" ht="20.100000000000001" customHeight="1">
      <c r="V1280" s="944" t="e">
        <f>VLOOKUP(U1280,R_DD!$B$6:$E$2112,3,0)</f>
        <v>#N/A</v>
      </c>
      <c r="W1280" s="943" t="e">
        <f>VLOOKUP(U1280,R_DD!$B$6:$E$2112,4,0)</f>
        <v>#N/A</v>
      </c>
      <c r="Z1280" s="946" t="e">
        <f>VLOOKUP(X1280,R_DD!$B$6:$E$2112,3,0)</f>
        <v>#N/A</v>
      </c>
      <c r="AA1280" s="946" t="e">
        <f>VLOOKUP(Y1280,R_DD!$A$1:$L$2131,4,0)</f>
        <v>#N/A</v>
      </c>
      <c r="AB1280" s="947" t="e">
        <f>VLOOKUP(Y1280,R_DD!$A$1:$L$2131,5,0)</f>
        <v>#N/A</v>
      </c>
      <c r="AC1280" s="947" t="e">
        <f>VLOOKUP(X1280,R_DD!$B$6:$E$2112,4,0)</f>
        <v>#N/A</v>
      </c>
    </row>
    <row r="1281" spans="22:29" ht="20.100000000000001" customHeight="1">
      <c r="V1281" s="944" t="e">
        <f>VLOOKUP(U1281,R_DD!$B$6:$E$2112,3,0)</f>
        <v>#N/A</v>
      </c>
      <c r="W1281" s="943" t="e">
        <f>VLOOKUP(U1281,R_DD!$B$6:$E$2112,4,0)</f>
        <v>#N/A</v>
      </c>
      <c r="Z1281" s="946" t="e">
        <f>VLOOKUP(X1281,R_DD!$B$6:$E$2112,3,0)</f>
        <v>#N/A</v>
      </c>
      <c r="AA1281" s="946" t="e">
        <f>VLOOKUP(Y1281,R_DD!$A$1:$L$2131,4,0)</f>
        <v>#N/A</v>
      </c>
      <c r="AB1281" s="947" t="e">
        <f>VLOOKUP(Y1281,R_DD!$A$1:$L$2131,5,0)</f>
        <v>#N/A</v>
      </c>
      <c r="AC1281" s="947" t="e">
        <f>VLOOKUP(X1281,R_DD!$B$6:$E$2112,4,0)</f>
        <v>#N/A</v>
      </c>
    </row>
    <row r="1282" spans="22:29" ht="20.100000000000001" customHeight="1">
      <c r="V1282" s="944" t="e">
        <f>VLOOKUP(U1282,R_DD!$B$6:$E$2112,3,0)</f>
        <v>#N/A</v>
      </c>
      <c r="W1282" s="943" t="e">
        <f>VLOOKUP(U1282,R_DD!$B$6:$E$2112,4,0)</f>
        <v>#N/A</v>
      </c>
      <c r="Z1282" s="946" t="e">
        <f>VLOOKUP(X1282,R_DD!$B$6:$E$2112,3,0)</f>
        <v>#N/A</v>
      </c>
      <c r="AA1282" s="946" t="e">
        <f>VLOOKUP(Y1282,R_DD!$A$1:$L$2131,4,0)</f>
        <v>#N/A</v>
      </c>
      <c r="AB1282" s="947" t="e">
        <f>VLOOKUP(Y1282,R_DD!$A$1:$L$2131,5,0)</f>
        <v>#N/A</v>
      </c>
      <c r="AC1282" s="947" t="e">
        <f>VLOOKUP(X1282,R_DD!$B$6:$E$2112,4,0)</f>
        <v>#N/A</v>
      </c>
    </row>
    <row r="1283" spans="22:29" ht="20.100000000000001" customHeight="1">
      <c r="V1283" s="944" t="e">
        <f>VLOOKUP(U1283,R_DD!$B$6:$E$2112,3,0)</f>
        <v>#N/A</v>
      </c>
      <c r="W1283" s="943" t="e">
        <f>VLOOKUP(U1283,R_DD!$B$6:$E$2112,4,0)</f>
        <v>#N/A</v>
      </c>
      <c r="Z1283" s="946" t="e">
        <f>VLOOKUP(X1283,R_DD!$B$6:$E$2112,3,0)</f>
        <v>#N/A</v>
      </c>
      <c r="AA1283" s="946" t="e">
        <f>VLOOKUP(Y1283,R_DD!$A$1:$L$2131,4,0)</f>
        <v>#N/A</v>
      </c>
      <c r="AB1283" s="947" t="e">
        <f>VLOOKUP(Y1283,R_DD!$A$1:$L$2131,5,0)</f>
        <v>#N/A</v>
      </c>
      <c r="AC1283" s="947" t="e">
        <f>VLOOKUP(X1283,R_DD!$B$6:$E$2112,4,0)</f>
        <v>#N/A</v>
      </c>
    </row>
    <row r="1284" spans="22:29" ht="20.100000000000001" customHeight="1">
      <c r="V1284" s="944" t="e">
        <f>VLOOKUP(U1284,R_DD!$B$6:$E$2112,3,0)</f>
        <v>#N/A</v>
      </c>
      <c r="W1284" s="943" t="e">
        <f>VLOOKUP(U1284,R_DD!$B$6:$E$2112,4,0)</f>
        <v>#N/A</v>
      </c>
      <c r="Z1284" s="946" t="e">
        <f>VLOOKUP(X1284,R_DD!$B$6:$E$2112,3,0)</f>
        <v>#N/A</v>
      </c>
      <c r="AA1284" s="946" t="e">
        <f>VLOOKUP(Y1284,R_DD!$A$1:$L$2131,4,0)</f>
        <v>#N/A</v>
      </c>
      <c r="AB1284" s="947" t="e">
        <f>VLOOKUP(Y1284,R_DD!$A$1:$L$2131,5,0)</f>
        <v>#N/A</v>
      </c>
      <c r="AC1284" s="947" t="e">
        <f>VLOOKUP(X1284,R_DD!$B$6:$E$2112,4,0)</f>
        <v>#N/A</v>
      </c>
    </row>
    <row r="1285" spans="22:29" ht="20.100000000000001" customHeight="1">
      <c r="V1285" s="944" t="e">
        <f>VLOOKUP(U1285,R_DD!$B$6:$E$2112,3,0)</f>
        <v>#N/A</v>
      </c>
      <c r="W1285" s="943" t="e">
        <f>VLOOKUP(U1285,R_DD!$B$6:$E$2112,4,0)</f>
        <v>#N/A</v>
      </c>
      <c r="Z1285" s="946" t="e">
        <f>VLOOKUP(X1285,R_DD!$B$6:$E$2112,3,0)</f>
        <v>#N/A</v>
      </c>
      <c r="AA1285" s="946" t="e">
        <f>VLOOKUP(Y1285,R_DD!$A$1:$L$2131,4,0)</f>
        <v>#N/A</v>
      </c>
      <c r="AB1285" s="947" t="e">
        <f>VLOOKUP(Y1285,R_DD!$A$1:$L$2131,5,0)</f>
        <v>#N/A</v>
      </c>
      <c r="AC1285" s="947" t="e">
        <f>VLOOKUP(X1285,R_DD!$B$6:$E$2112,4,0)</f>
        <v>#N/A</v>
      </c>
    </row>
    <row r="1286" spans="22:29" ht="20.100000000000001" customHeight="1">
      <c r="V1286" s="944" t="e">
        <f>VLOOKUP(U1286,R_DD!$B$6:$E$2112,3,0)</f>
        <v>#N/A</v>
      </c>
      <c r="W1286" s="943" t="e">
        <f>VLOOKUP(U1286,R_DD!$B$6:$E$2112,4,0)</f>
        <v>#N/A</v>
      </c>
      <c r="Z1286" s="946" t="e">
        <f>VLOOKUP(X1286,R_DD!$B$6:$E$2112,3,0)</f>
        <v>#N/A</v>
      </c>
      <c r="AA1286" s="946" t="e">
        <f>VLOOKUP(Y1286,R_DD!$A$1:$L$2131,4,0)</f>
        <v>#N/A</v>
      </c>
      <c r="AB1286" s="947" t="e">
        <f>VLOOKUP(Y1286,R_DD!$A$1:$L$2131,5,0)</f>
        <v>#N/A</v>
      </c>
      <c r="AC1286" s="947" t="e">
        <f>VLOOKUP(X1286,R_DD!$B$6:$E$2112,4,0)</f>
        <v>#N/A</v>
      </c>
    </row>
    <row r="1287" spans="22:29" ht="20.100000000000001" customHeight="1">
      <c r="V1287" s="944" t="e">
        <f>VLOOKUP(U1287,R_DD!$B$6:$E$2112,3,0)</f>
        <v>#N/A</v>
      </c>
      <c r="W1287" s="943" t="e">
        <f>VLOOKUP(U1287,R_DD!$B$6:$E$2112,4,0)</f>
        <v>#N/A</v>
      </c>
      <c r="Z1287" s="946" t="e">
        <f>VLOOKUP(X1287,R_DD!$B$6:$E$2112,3,0)</f>
        <v>#N/A</v>
      </c>
      <c r="AA1287" s="946" t="e">
        <f>VLOOKUP(Y1287,R_DD!$A$1:$L$2131,4,0)</f>
        <v>#N/A</v>
      </c>
      <c r="AB1287" s="947" t="e">
        <f>VLOOKUP(Y1287,R_DD!$A$1:$L$2131,5,0)</f>
        <v>#N/A</v>
      </c>
      <c r="AC1287" s="947" t="e">
        <f>VLOOKUP(X1287,R_DD!$B$6:$E$2112,4,0)</f>
        <v>#N/A</v>
      </c>
    </row>
    <row r="1288" spans="22:29" ht="20.100000000000001" customHeight="1">
      <c r="V1288" s="944" t="e">
        <f>VLOOKUP(U1288,R_DD!$B$6:$E$2112,3,0)</f>
        <v>#N/A</v>
      </c>
      <c r="W1288" s="943" t="e">
        <f>VLOOKUP(U1288,R_DD!$B$6:$E$2112,4,0)</f>
        <v>#N/A</v>
      </c>
      <c r="Z1288" s="946" t="e">
        <f>VLOOKUP(X1288,R_DD!$B$6:$E$2112,3,0)</f>
        <v>#N/A</v>
      </c>
      <c r="AA1288" s="946" t="e">
        <f>VLOOKUP(Y1288,R_DD!$A$1:$L$2131,4,0)</f>
        <v>#N/A</v>
      </c>
      <c r="AB1288" s="947" t="e">
        <f>VLOOKUP(Y1288,R_DD!$A$1:$L$2131,5,0)</f>
        <v>#N/A</v>
      </c>
      <c r="AC1288" s="947" t="e">
        <f>VLOOKUP(X1288,R_DD!$B$6:$E$2112,4,0)</f>
        <v>#N/A</v>
      </c>
    </row>
    <row r="1289" spans="22:29" ht="20.100000000000001" customHeight="1">
      <c r="V1289" s="944" t="e">
        <f>VLOOKUP(U1289,R_DD!$B$6:$E$2112,3,0)</f>
        <v>#N/A</v>
      </c>
      <c r="W1289" s="943" t="e">
        <f>VLOOKUP(U1289,R_DD!$B$6:$E$2112,4,0)</f>
        <v>#N/A</v>
      </c>
      <c r="Z1289" s="946" t="e">
        <f>VLOOKUP(X1289,R_DD!$B$6:$E$2112,3,0)</f>
        <v>#N/A</v>
      </c>
      <c r="AA1289" s="946" t="e">
        <f>VLOOKUP(Y1289,R_DD!$A$1:$L$2131,4,0)</f>
        <v>#N/A</v>
      </c>
      <c r="AB1289" s="947" t="e">
        <f>VLOOKUP(Y1289,R_DD!$A$1:$L$2131,5,0)</f>
        <v>#N/A</v>
      </c>
      <c r="AC1289" s="947" t="e">
        <f>VLOOKUP(X1289,R_DD!$B$6:$E$2112,4,0)</f>
        <v>#N/A</v>
      </c>
    </row>
    <row r="1290" spans="22:29" ht="20.100000000000001" customHeight="1">
      <c r="V1290" s="944" t="e">
        <f>VLOOKUP(U1290,R_DD!$B$6:$E$2112,3,0)</f>
        <v>#N/A</v>
      </c>
      <c r="W1290" s="943" t="e">
        <f>VLOOKUP(U1290,R_DD!$B$6:$E$2112,4,0)</f>
        <v>#N/A</v>
      </c>
      <c r="Z1290" s="946" t="e">
        <f>VLOOKUP(X1290,R_DD!$B$6:$E$2112,3,0)</f>
        <v>#N/A</v>
      </c>
      <c r="AA1290" s="946" t="e">
        <f>VLOOKUP(Y1290,R_DD!$A$1:$L$2131,4,0)</f>
        <v>#N/A</v>
      </c>
      <c r="AB1290" s="947" t="e">
        <f>VLOOKUP(Y1290,R_DD!$A$1:$L$2131,5,0)</f>
        <v>#N/A</v>
      </c>
      <c r="AC1290" s="947" t="e">
        <f>VLOOKUP(X1290,R_DD!$B$6:$E$2112,4,0)</f>
        <v>#N/A</v>
      </c>
    </row>
    <row r="1291" spans="22:29" ht="20.100000000000001" customHeight="1">
      <c r="V1291" s="944" t="e">
        <f>VLOOKUP(U1291,R_DD!$B$6:$E$2112,3,0)</f>
        <v>#N/A</v>
      </c>
      <c r="W1291" s="943" t="e">
        <f>VLOOKUP(U1291,R_DD!$B$6:$E$2112,4,0)</f>
        <v>#N/A</v>
      </c>
      <c r="Z1291" s="946" t="e">
        <f>VLOOKUP(X1291,R_DD!$B$6:$E$2112,3,0)</f>
        <v>#N/A</v>
      </c>
      <c r="AA1291" s="946" t="e">
        <f>VLOOKUP(Y1291,R_DD!$A$1:$L$2131,4,0)</f>
        <v>#N/A</v>
      </c>
      <c r="AB1291" s="947" t="e">
        <f>VLOOKUP(Y1291,R_DD!$A$1:$L$2131,5,0)</f>
        <v>#N/A</v>
      </c>
      <c r="AC1291" s="947" t="e">
        <f>VLOOKUP(X1291,R_DD!$B$6:$E$2112,4,0)</f>
        <v>#N/A</v>
      </c>
    </row>
    <row r="1292" spans="22:29" ht="20.100000000000001" customHeight="1">
      <c r="V1292" s="944" t="e">
        <f>VLOOKUP(U1292,R_DD!$B$6:$E$2112,3,0)</f>
        <v>#N/A</v>
      </c>
      <c r="W1292" s="943" t="e">
        <f>VLOOKUP(U1292,R_DD!$B$6:$E$2112,4,0)</f>
        <v>#N/A</v>
      </c>
      <c r="Z1292" s="946" t="e">
        <f>VLOOKUP(X1292,R_DD!$B$6:$E$2112,3,0)</f>
        <v>#N/A</v>
      </c>
      <c r="AA1292" s="946" t="e">
        <f>VLOOKUP(Y1292,R_DD!$A$1:$L$2131,4,0)</f>
        <v>#N/A</v>
      </c>
      <c r="AB1292" s="947" t="e">
        <f>VLOOKUP(Y1292,R_DD!$A$1:$L$2131,5,0)</f>
        <v>#N/A</v>
      </c>
      <c r="AC1292" s="947" t="e">
        <f>VLOOKUP(X1292,R_DD!$B$6:$E$2112,4,0)</f>
        <v>#N/A</v>
      </c>
    </row>
    <row r="1293" spans="22:29" ht="20.100000000000001" customHeight="1">
      <c r="V1293" s="944" t="e">
        <f>VLOOKUP(U1293,R_DD!$B$6:$E$2112,3,0)</f>
        <v>#N/A</v>
      </c>
      <c r="W1293" s="943" t="e">
        <f>VLOOKUP(U1293,R_DD!$B$6:$E$2112,4,0)</f>
        <v>#N/A</v>
      </c>
      <c r="Z1293" s="946" t="e">
        <f>VLOOKUP(X1293,R_DD!$B$6:$E$2112,3,0)</f>
        <v>#N/A</v>
      </c>
      <c r="AA1293" s="946" t="e">
        <f>VLOOKUP(Y1293,R_DD!$A$1:$L$2131,4,0)</f>
        <v>#N/A</v>
      </c>
      <c r="AB1293" s="947" t="e">
        <f>VLOOKUP(Y1293,R_DD!$A$1:$L$2131,5,0)</f>
        <v>#N/A</v>
      </c>
      <c r="AC1293" s="947" t="e">
        <f>VLOOKUP(X1293,R_DD!$B$6:$E$2112,4,0)</f>
        <v>#N/A</v>
      </c>
    </row>
    <row r="1294" spans="22:29" ht="20.100000000000001" customHeight="1">
      <c r="V1294" s="944" t="e">
        <f>VLOOKUP(U1294,R_DD!$B$6:$E$2112,3,0)</f>
        <v>#N/A</v>
      </c>
      <c r="W1294" s="943" t="e">
        <f>VLOOKUP(U1294,R_DD!$B$6:$E$2112,4,0)</f>
        <v>#N/A</v>
      </c>
      <c r="Z1294" s="946" t="e">
        <f>VLOOKUP(X1294,R_DD!$B$6:$E$2112,3,0)</f>
        <v>#N/A</v>
      </c>
      <c r="AA1294" s="946" t="e">
        <f>VLOOKUP(Y1294,R_DD!$A$1:$L$2131,4,0)</f>
        <v>#N/A</v>
      </c>
      <c r="AB1294" s="947" t="e">
        <f>VLOOKUP(Y1294,R_DD!$A$1:$L$2131,5,0)</f>
        <v>#N/A</v>
      </c>
      <c r="AC1294" s="947" t="e">
        <f>VLOOKUP(X1294,R_DD!$B$6:$E$2112,4,0)</f>
        <v>#N/A</v>
      </c>
    </row>
    <row r="1295" spans="22:29" ht="20.100000000000001" customHeight="1">
      <c r="V1295" s="944" t="e">
        <f>VLOOKUP(U1295,R_DD!$B$6:$E$2112,3,0)</f>
        <v>#N/A</v>
      </c>
      <c r="W1295" s="943" t="e">
        <f>VLOOKUP(U1295,R_DD!$B$6:$E$2112,4,0)</f>
        <v>#N/A</v>
      </c>
      <c r="Z1295" s="946" t="e">
        <f>VLOOKUP(X1295,R_DD!$B$6:$E$2112,3,0)</f>
        <v>#N/A</v>
      </c>
      <c r="AA1295" s="946" t="e">
        <f>VLOOKUP(Y1295,R_DD!$A$1:$L$2131,4,0)</f>
        <v>#N/A</v>
      </c>
      <c r="AB1295" s="947" t="e">
        <f>VLOOKUP(Y1295,R_DD!$A$1:$L$2131,5,0)</f>
        <v>#N/A</v>
      </c>
      <c r="AC1295" s="947" t="e">
        <f>VLOOKUP(X1295,R_DD!$B$6:$E$2112,4,0)</f>
        <v>#N/A</v>
      </c>
    </row>
    <row r="1296" spans="22:29" ht="20.100000000000001" customHeight="1">
      <c r="V1296" s="944" t="e">
        <f>VLOOKUP(U1296,R_DD!$B$6:$E$2112,3,0)</f>
        <v>#N/A</v>
      </c>
      <c r="W1296" s="943" t="e">
        <f>VLOOKUP(U1296,R_DD!$B$6:$E$2112,4,0)</f>
        <v>#N/A</v>
      </c>
      <c r="Z1296" s="946" t="e">
        <f>VLOOKUP(X1296,R_DD!$B$6:$E$2112,3,0)</f>
        <v>#N/A</v>
      </c>
      <c r="AA1296" s="946" t="e">
        <f>VLOOKUP(Y1296,R_DD!$A$1:$L$2131,4,0)</f>
        <v>#N/A</v>
      </c>
      <c r="AB1296" s="947" t="e">
        <f>VLOOKUP(Y1296,R_DD!$A$1:$L$2131,5,0)</f>
        <v>#N/A</v>
      </c>
      <c r="AC1296" s="947" t="e">
        <f>VLOOKUP(X1296,R_DD!$B$6:$E$2112,4,0)</f>
        <v>#N/A</v>
      </c>
    </row>
    <row r="1297" spans="22:29" ht="20.100000000000001" customHeight="1">
      <c r="V1297" s="944" t="e">
        <f>VLOOKUP(U1297,R_DD!$B$6:$E$2112,3,0)</f>
        <v>#N/A</v>
      </c>
      <c r="W1297" s="943" t="e">
        <f>VLOOKUP(U1297,R_DD!$B$6:$E$2112,4,0)</f>
        <v>#N/A</v>
      </c>
      <c r="Z1297" s="946" t="e">
        <f>VLOOKUP(X1297,R_DD!$B$6:$E$2112,3,0)</f>
        <v>#N/A</v>
      </c>
      <c r="AA1297" s="946" t="e">
        <f>VLOOKUP(Y1297,R_DD!$A$1:$L$2131,4,0)</f>
        <v>#N/A</v>
      </c>
      <c r="AB1297" s="947" t="e">
        <f>VLOOKUP(Y1297,R_DD!$A$1:$L$2131,5,0)</f>
        <v>#N/A</v>
      </c>
      <c r="AC1297" s="947" t="e">
        <f>VLOOKUP(X1297,R_DD!$B$6:$E$2112,4,0)</f>
        <v>#N/A</v>
      </c>
    </row>
    <row r="1298" spans="22:29" ht="20.100000000000001" customHeight="1">
      <c r="V1298" s="944" t="e">
        <f>VLOOKUP(U1298,R_DD!$B$6:$E$2112,3,0)</f>
        <v>#N/A</v>
      </c>
      <c r="W1298" s="943" t="e">
        <f>VLOOKUP(U1298,R_DD!$B$6:$E$2112,4,0)</f>
        <v>#N/A</v>
      </c>
      <c r="Z1298" s="946" t="e">
        <f>VLOOKUP(X1298,R_DD!$B$6:$E$2112,3,0)</f>
        <v>#N/A</v>
      </c>
      <c r="AA1298" s="946" t="e">
        <f>VLOOKUP(Y1298,R_DD!$A$1:$L$2131,4,0)</f>
        <v>#N/A</v>
      </c>
      <c r="AB1298" s="947" t="e">
        <f>VLOOKUP(Y1298,R_DD!$A$1:$L$2131,5,0)</f>
        <v>#N/A</v>
      </c>
      <c r="AC1298" s="947" t="e">
        <f>VLOOKUP(X1298,R_DD!$B$6:$E$2112,4,0)</f>
        <v>#N/A</v>
      </c>
    </row>
    <row r="1299" spans="22:29" ht="20.100000000000001" customHeight="1">
      <c r="V1299" s="944" t="e">
        <f>VLOOKUP(U1299,R_DD!$B$6:$E$2112,3,0)</f>
        <v>#N/A</v>
      </c>
      <c r="W1299" s="943" t="e">
        <f>VLOOKUP(U1299,R_DD!$B$6:$E$2112,4,0)</f>
        <v>#N/A</v>
      </c>
      <c r="Z1299" s="946" t="e">
        <f>VLOOKUP(X1299,R_DD!$B$6:$E$2112,3,0)</f>
        <v>#N/A</v>
      </c>
      <c r="AA1299" s="946" t="e">
        <f>VLOOKUP(Y1299,R_DD!$A$1:$L$2131,4,0)</f>
        <v>#N/A</v>
      </c>
      <c r="AB1299" s="947" t="e">
        <f>VLOOKUP(Y1299,R_DD!$A$1:$L$2131,5,0)</f>
        <v>#N/A</v>
      </c>
      <c r="AC1299" s="947" t="e">
        <f>VLOOKUP(X1299,R_DD!$B$6:$E$2112,4,0)</f>
        <v>#N/A</v>
      </c>
    </row>
    <row r="1300" spans="22:29" ht="20.100000000000001" customHeight="1">
      <c r="V1300" s="944" t="e">
        <f>VLOOKUP(U1300,R_DD!$B$6:$E$2112,3,0)</f>
        <v>#N/A</v>
      </c>
      <c r="W1300" s="943" t="e">
        <f>VLOOKUP(U1300,R_DD!$B$6:$E$2112,4,0)</f>
        <v>#N/A</v>
      </c>
      <c r="Z1300" s="946" t="e">
        <f>VLOOKUP(X1300,R_DD!$B$6:$E$2112,3,0)</f>
        <v>#N/A</v>
      </c>
      <c r="AA1300" s="946" t="e">
        <f>VLOOKUP(Y1300,R_DD!$A$1:$L$2131,4,0)</f>
        <v>#N/A</v>
      </c>
      <c r="AB1300" s="947" t="e">
        <f>VLOOKUP(Y1300,R_DD!$A$1:$L$2131,5,0)</f>
        <v>#N/A</v>
      </c>
      <c r="AC1300" s="947" t="e">
        <f>VLOOKUP(X1300,R_DD!$B$6:$E$2112,4,0)</f>
        <v>#N/A</v>
      </c>
    </row>
    <row r="1301" spans="22:29" ht="20.100000000000001" customHeight="1">
      <c r="V1301" s="944" t="e">
        <f>VLOOKUP(U1301,R_DD!$B$6:$E$2112,3,0)</f>
        <v>#N/A</v>
      </c>
      <c r="W1301" s="943" t="e">
        <f>VLOOKUP(U1301,R_DD!$B$6:$E$2112,4,0)</f>
        <v>#N/A</v>
      </c>
      <c r="Z1301" s="946" t="e">
        <f>VLOOKUP(X1301,R_DD!$B$6:$E$2112,3,0)</f>
        <v>#N/A</v>
      </c>
      <c r="AA1301" s="946" t="e">
        <f>VLOOKUP(Y1301,R_DD!$A$1:$L$2131,4,0)</f>
        <v>#N/A</v>
      </c>
      <c r="AB1301" s="947" t="e">
        <f>VLOOKUP(Y1301,R_DD!$A$1:$L$2131,5,0)</f>
        <v>#N/A</v>
      </c>
      <c r="AC1301" s="947" t="e">
        <f>VLOOKUP(X1301,R_DD!$B$6:$E$2112,4,0)</f>
        <v>#N/A</v>
      </c>
    </row>
    <row r="1302" spans="22:29" ht="20.100000000000001" customHeight="1">
      <c r="V1302" s="944" t="e">
        <f>VLOOKUP(U1302,R_DD!$B$6:$E$2112,3,0)</f>
        <v>#N/A</v>
      </c>
      <c r="W1302" s="943" t="e">
        <f>VLOOKUP(U1302,R_DD!$B$6:$E$2112,4,0)</f>
        <v>#N/A</v>
      </c>
      <c r="Z1302" s="946" t="e">
        <f>VLOOKUP(X1302,R_DD!$B$6:$E$2112,3,0)</f>
        <v>#N/A</v>
      </c>
      <c r="AA1302" s="946" t="e">
        <f>VLOOKUP(Y1302,R_DD!$A$1:$L$2131,4,0)</f>
        <v>#N/A</v>
      </c>
      <c r="AB1302" s="947" t="e">
        <f>VLOOKUP(Y1302,R_DD!$A$1:$L$2131,5,0)</f>
        <v>#N/A</v>
      </c>
      <c r="AC1302" s="947" t="e">
        <f>VLOOKUP(X1302,R_DD!$B$6:$E$2112,4,0)</f>
        <v>#N/A</v>
      </c>
    </row>
    <row r="1303" spans="22:29" ht="20.100000000000001" customHeight="1">
      <c r="V1303" s="944" t="e">
        <f>VLOOKUP(U1303,R_DD!$B$6:$E$2112,3,0)</f>
        <v>#N/A</v>
      </c>
      <c r="W1303" s="943" t="e">
        <f>VLOOKUP(U1303,R_DD!$B$6:$E$2112,4,0)</f>
        <v>#N/A</v>
      </c>
      <c r="Z1303" s="946" t="e">
        <f>VLOOKUP(X1303,R_DD!$B$6:$E$2112,3,0)</f>
        <v>#N/A</v>
      </c>
      <c r="AA1303" s="946" t="e">
        <f>VLOOKUP(Y1303,R_DD!$A$1:$L$2131,4,0)</f>
        <v>#N/A</v>
      </c>
      <c r="AB1303" s="947" t="e">
        <f>VLOOKUP(Y1303,R_DD!$A$1:$L$2131,5,0)</f>
        <v>#N/A</v>
      </c>
      <c r="AC1303" s="947" t="e">
        <f>VLOOKUP(X1303,R_DD!$B$6:$E$2112,4,0)</f>
        <v>#N/A</v>
      </c>
    </row>
    <row r="1304" spans="22:29" ht="20.100000000000001" customHeight="1">
      <c r="V1304" s="944" t="e">
        <f>VLOOKUP(U1304,R_DD!$B$6:$E$2112,3,0)</f>
        <v>#N/A</v>
      </c>
      <c r="W1304" s="943" t="e">
        <f>VLOOKUP(U1304,R_DD!$B$6:$E$2112,4,0)</f>
        <v>#N/A</v>
      </c>
      <c r="Z1304" s="946" t="e">
        <f>VLOOKUP(X1304,R_DD!$B$6:$E$2112,3,0)</f>
        <v>#N/A</v>
      </c>
      <c r="AA1304" s="946" t="e">
        <f>VLOOKUP(Y1304,R_DD!$A$1:$L$2131,4,0)</f>
        <v>#N/A</v>
      </c>
      <c r="AB1304" s="947" t="e">
        <f>VLOOKUP(Y1304,R_DD!$A$1:$L$2131,5,0)</f>
        <v>#N/A</v>
      </c>
      <c r="AC1304" s="947" t="e">
        <f>VLOOKUP(X1304,R_DD!$B$6:$E$2112,4,0)</f>
        <v>#N/A</v>
      </c>
    </row>
    <row r="1305" spans="22:29" ht="20.100000000000001" customHeight="1">
      <c r="V1305" s="944" t="e">
        <f>VLOOKUP(U1305,R_DD!$B$6:$E$2112,3,0)</f>
        <v>#N/A</v>
      </c>
      <c r="W1305" s="943" t="e">
        <f>VLOOKUP(U1305,R_DD!$B$6:$E$2112,4,0)</f>
        <v>#N/A</v>
      </c>
      <c r="Z1305" s="946" t="e">
        <f>VLOOKUP(X1305,R_DD!$B$6:$E$2112,3,0)</f>
        <v>#N/A</v>
      </c>
      <c r="AA1305" s="946" t="e">
        <f>VLOOKUP(Y1305,R_DD!$A$1:$L$2131,4,0)</f>
        <v>#N/A</v>
      </c>
      <c r="AB1305" s="947" t="e">
        <f>VLOOKUP(Y1305,R_DD!$A$1:$L$2131,5,0)</f>
        <v>#N/A</v>
      </c>
      <c r="AC1305" s="947" t="e">
        <f>VLOOKUP(X1305,R_DD!$B$6:$E$2112,4,0)</f>
        <v>#N/A</v>
      </c>
    </row>
    <row r="1306" spans="22:29" ht="20.100000000000001" customHeight="1">
      <c r="V1306" s="944" t="e">
        <f>VLOOKUP(U1306,R_DD!$B$6:$E$2112,3,0)</f>
        <v>#N/A</v>
      </c>
      <c r="W1306" s="943" t="e">
        <f>VLOOKUP(U1306,R_DD!$B$6:$E$2112,4,0)</f>
        <v>#N/A</v>
      </c>
      <c r="Z1306" s="946" t="e">
        <f>VLOOKUP(X1306,R_DD!$B$6:$E$2112,3,0)</f>
        <v>#N/A</v>
      </c>
      <c r="AA1306" s="946" t="e">
        <f>VLOOKUP(Y1306,R_DD!$A$1:$L$2131,4,0)</f>
        <v>#N/A</v>
      </c>
      <c r="AB1306" s="947" t="e">
        <f>VLOOKUP(Y1306,R_DD!$A$1:$L$2131,5,0)</f>
        <v>#N/A</v>
      </c>
      <c r="AC1306" s="947" t="e">
        <f>VLOOKUP(X1306,R_DD!$B$6:$E$2112,4,0)</f>
        <v>#N/A</v>
      </c>
    </row>
    <row r="1307" spans="22:29" ht="20.100000000000001" customHeight="1">
      <c r="V1307" s="944" t="e">
        <f>VLOOKUP(U1307,R_DD!$B$6:$E$2112,3,0)</f>
        <v>#N/A</v>
      </c>
      <c r="W1307" s="943" t="e">
        <f>VLOOKUP(U1307,R_DD!$B$6:$E$2112,4,0)</f>
        <v>#N/A</v>
      </c>
      <c r="Z1307" s="946" t="e">
        <f>VLOOKUP(X1307,R_DD!$B$6:$E$2112,3,0)</f>
        <v>#N/A</v>
      </c>
      <c r="AA1307" s="946" t="e">
        <f>VLOOKUP(Y1307,R_DD!$A$1:$L$2131,4,0)</f>
        <v>#N/A</v>
      </c>
      <c r="AB1307" s="947" t="e">
        <f>VLOOKUP(Y1307,R_DD!$A$1:$L$2131,5,0)</f>
        <v>#N/A</v>
      </c>
      <c r="AC1307" s="947" t="e">
        <f>VLOOKUP(X1307,R_DD!$B$6:$E$2112,4,0)</f>
        <v>#N/A</v>
      </c>
    </row>
    <row r="1308" spans="22:29" ht="20.100000000000001" customHeight="1">
      <c r="V1308" s="944" t="e">
        <f>VLOOKUP(U1308,R_DD!$B$6:$E$2112,3,0)</f>
        <v>#N/A</v>
      </c>
      <c r="W1308" s="943" t="e">
        <f>VLOOKUP(U1308,R_DD!$B$6:$E$2112,4,0)</f>
        <v>#N/A</v>
      </c>
      <c r="Z1308" s="946" t="e">
        <f>VLOOKUP(X1308,R_DD!$B$6:$E$2112,3,0)</f>
        <v>#N/A</v>
      </c>
      <c r="AA1308" s="946" t="e">
        <f>VLOOKUP(Y1308,R_DD!$A$1:$L$2131,4,0)</f>
        <v>#N/A</v>
      </c>
      <c r="AB1308" s="947" t="e">
        <f>VLOOKUP(Y1308,R_DD!$A$1:$L$2131,5,0)</f>
        <v>#N/A</v>
      </c>
      <c r="AC1308" s="947" t="e">
        <f>VLOOKUP(X1308,R_DD!$B$6:$E$2112,4,0)</f>
        <v>#N/A</v>
      </c>
    </row>
    <row r="1309" spans="22:29" ht="20.100000000000001" customHeight="1">
      <c r="V1309" s="944" t="e">
        <f>VLOOKUP(U1309,R_DD!$B$6:$E$2112,3,0)</f>
        <v>#N/A</v>
      </c>
      <c r="W1309" s="943" t="e">
        <f>VLOOKUP(U1309,R_DD!$B$6:$E$2112,4,0)</f>
        <v>#N/A</v>
      </c>
      <c r="Z1309" s="946" t="e">
        <f>VLOOKUP(X1309,R_DD!$B$6:$E$2112,3,0)</f>
        <v>#N/A</v>
      </c>
      <c r="AA1309" s="946" t="e">
        <f>VLOOKUP(Y1309,R_DD!$A$1:$L$2131,4,0)</f>
        <v>#N/A</v>
      </c>
      <c r="AB1309" s="947" t="e">
        <f>VLOOKUP(Y1309,R_DD!$A$1:$L$2131,5,0)</f>
        <v>#N/A</v>
      </c>
      <c r="AC1309" s="947" t="e">
        <f>VLOOKUP(X1309,R_DD!$B$6:$E$2112,4,0)</f>
        <v>#N/A</v>
      </c>
    </row>
    <row r="1310" spans="22:29" ht="20.100000000000001" customHeight="1">
      <c r="V1310" s="944" t="e">
        <f>VLOOKUP(U1310,R_DD!$B$6:$E$2112,3,0)</f>
        <v>#N/A</v>
      </c>
      <c r="W1310" s="943" t="e">
        <f>VLOOKUP(U1310,R_DD!$B$6:$E$2112,4,0)</f>
        <v>#N/A</v>
      </c>
      <c r="Z1310" s="946" t="e">
        <f>VLOOKUP(X1310,R_DD!$B$6:$E$2112,3,0)</f>
        <v>#N/A</v>
      </c>
      <c r="AA1310" s="946" t="e">
        <f>VLOOKUP(Y1310,R_DD!$A$1:$L$2131,4,0)</f>
        <v>#N/A</v>
      </c>
      <c r="AB1310" s="947" t="e">
        <f>VLOOKUP(Y1310,R_DD!$A$1:$L$2131,5,0)</f>
        <v>#N/A</v>
      </c>
      <c r="AC1310" s="947" t="e">
        <f>VLOOKUP(X1310,R_DD!$B$6:$E$2112,4,0)</f>
        <v>#N/A</v>
      </c>
    </row>
    <row r="1311" spans="22:29" ht="20.100000000000001" customHeight="1">
      <c r="V1311" s="944" t="e">
        <f>VLOOKUP(U1311,R_DD!$B$6:$E$2112,3,0)</f>
        <v>#N/A</v>
      </c>
      <c r="W1311" s="943" t="e">
        <f>VLOOKUP(U1311,R_DD!$B$6:$E$2112,4,0)</f>
        <v>#N/A</v>
      </c>
      <c r="Z1311" s="946" t="e">
        <f>VLOOKUP(X1311,R_DD!$B$6:$E$2112,3,0)</f>
        <v>#N/A</v>
      </c>
      <c r="AA1311" s="946" t="e">
        <f>VLOOKUP(Y1311,R_DD!$A$1:$L$2131,4,0)</f>
        <v>#N/A</v>
      </c>
      <c r="AB1311" s="947" t="e">
        <f>VLOOKUP(Y1311,R_DD!$A$1:$L$2131,5,0)</f>
        <v>#N/A</v>
      </c>
      <c r="AC1311" s="947" t="e">
        <f>VLOOKUP(X1311,R_DD!$B$6:$E$2112,4,0)</f>
        <v>#N/A</v>
      </c>
    </row>
    <row r="1312" spans="22:29" ht="20.100000000000001" customHeight="1">
      <c r="V1312" s="944" t="e">
        <f>VLOOKUP(U1312,R_DD!$B$6:$E$2112,3,0)</f>
        <v>#N/A</v>
      </c>
      <c r="W1312" s="943" t="e">
        <f>VLOOKUP(U1312,R_DD!$B$6:$E$2112,4,0)</f>
        <v>#N/A</v>
      </c>
      <c r="Z1312" s="946" t="e">
        <f>VLOOKUP(X1312,R_DD!$B$6:$E$2112,3,0)</f>
        <v>#N/A</v>
      </c>
      <c r="AA1312" s="946" t="e">
        <f>VLOOKUP(Y1312,R_DD!$A$1:$L$2131,4,0)</f>
        <v>#N/A</v>
      </c>
      <c r="AB1312" s="947" t="e">
        <f>VLOOKUP(Y1312,R_DD!$A$1:$L$2131,5,0)</f>
        <v>#N/A</v>
      </c>
      <c r="AC1312" s="947" t="e">
        <f>VLOOKUP(X1312,R_DD!$B$6:$E$2112,4,0)</f>
        <v>#N/A</v>
      </c>
    </row>
    <row r="1313" spans="22:29" ht="20.100000000000001" customHeight="1">
      <c r="V1313" s="944" t="e">
        <f>VLOOKUP(U1313,R_DD!$B$6:$E$2112,3,0)</f>
        <v>#N/A</v>
      </c>
      <c r="W1313" s="943" t="e">
        <f>VLOOKUP(U1313,R_DD!$B$6:$E$2112,4,0)</f>
        <v>#N/A</v>
      </c>
      <c r="Z1313" s="946" t="e">
        <f>VLOOKUP(X1313,R_DD!$B$6:$E$2112,3,0)</f>
        <v>#N/A</v>
      </c>
      <c r="AA1313" s="946" t="e">
        <f>VLOOKUP(Y1313,R_DD!$A$1:$L$2131,4,0)</f>
        <v>#N/A</v>
      </c>
      <c r="AB1313" s="947" t="e">
        <f>VLOOKUP(Y1313,R_DD!$A$1:$L$2131,5,0)</f>
        <v>#N/A</v>
      </c>
      <c r="AC1313" s="947" t="e">
        <f>VLOOKUP(X1313,R_DD!$B$6:$E$2112,4,0)</f>
        <v>#N/A</v>
      </c>
    </row>
    <row r="1314" spans="22:29" ht="20.100000000000001" customHeight="1">
      <c r="V1314" s="944" t="e">
        <f>VLOOKUP(U1314,R_DD!$B$6:$E$2112,3,0)</f>
        <v>#N/A</v>
      </c>
      <c r="W1314" s="943" t="e">
        <f>VLOOKUP(U1314,R_DD!$B$6:$E$2112,4,0)</f>
        <v>#N/A</v>
      </c>
      <c r="Z1314" s="946" t="e">
        <f>VLOOKUP(X1314,R_DD!$B$6:$E$2112,3,0)</f>
        <v>#N/A</v>
      </c>
      <c r="AA1314" s="946" t="e">
        <f>VLOOKUP(Y1314,R_DD!$A$1:$L$2131,4,0)</f>
        <v>#N/A</v>
      </c>
      <c r="AB1314" s="947" t="e">
        <f>VLOOKUP(Y1314,R_DD!$A$1:$L$2131,5,0)</f>
        <v>#N/A</v>
      </c>
      <c r="AC1314" s="947" t="e">
        <f>VLOOKUP(X1314,R_DD!$B$6:$E$2112,4,0)</f>
        <v>#N/A</v>
      </c>
    </row>
    <row r="1315" spans="22:29" ht="20.100000000000001" customHeight="1">
      <c r="V1315" s="944" t="e">
        <f>VLOOKUP(U1315,R_DD!$B$6:$E$2112,3,0)</f>
        <v>#N/A</v>
      </c>
      <c r="W1315" s="943" t="e">
        <f>VLOOKUP(U1315,R_DD!$B$6:$E$2112,4,0)</f>
        <v>#N/A</v>
      </c>
      <c r="Z1315" s="946" t="e">
        <f>VLOOKUP(X1315,R_DD!$B$6:$E$2112,3,0)</f>
        <v>#N/A</v>
      </c>
      <c r="AA1315" s="946" t="e">
        <f>VLOOKUP(Y1315,R_DD!$A$1:$L$2131,4,0)</f>
        <v>#N/A</v>
      </c>
      <c r="AB1315" s="947" t="e">
        <f>VLOOKUP(Y1315,R_DD!$A$1:$L$2131,5,0)</f>
        <v>#N/A</v>
      </c>
      <c r="AC1315" s="947" t="e">
        <f>VLOOKUP(X1315,R_DD!$B$6:$E$2112,4,0)</f>
        <v>#N/A</v>
      </c>
    </row>
    <row r="1316" spans="22:29" ht="20.100000000000001" customHeight="1">
      <c r="V1316" s="944" t="e">
        <f>VLOOKUP(U1316,R_DD!$B$6:$E$2112,3,0)</f>
        <v>#N/A</v>
      </c>
      <c r="W1316" s="943" t="e">
        <f>VLOOKUP(U1316,R_DD!$B$6:$E$2112,4,0)</f>
        <v>#N/A</v>
      </c>
      <c r="Z1316" s="946" t="e">
        <f>VLOOKUP(X1316,R_DD!$B$6:$E$2112,3,0)</f>
        <v>#N/A</v>
      </c>
      <c r="AA1316" s="946" t="e">
        <f>VLOOKUP(Y1316,R_DD!$A$1:$L$2131,4,0)</f>
        <v>#N/A</v>
      </c>
      <c r="AB1316" s="947" t="e">
        <f>VLOOKUP(Y1316,R_DD!$A$1:$L$2131,5,0)</f>
        <v>#N/A</v>
      </c>
      <c r="AC1316" s="947" t="e">
        <f>VLOOKUP(X1316,R_DD!$B$6:$E$2112,4,0)</f>
        <v>#N/A</v>
      </c>
    </row>
    <row r="1317" spans="22:29" ht="20.100000000000001" customHeight="1">
      <c r="V1317" s="944" t="e">
        <f>VLOOKUP(U1317,R_DD!$B$6:$E$2112,3,0)</f>
        <v>#N/A</v>
      </c>
      <c r="W1317" s="943" t="e">
        <f>VLOOKUP(U1317,R_DD!$B$6:$E$2112,4,0)</f>
        <v>#N/A</v>
      </c>
      <c r="Z1317" s="946" t="e">
        <f>VLOOKUP(X1317,R_DD!$B$6:$E$2112,3,0)</f>
        <v>#N/A</v>
      </c>
      <c r="AA1317" s="946" t="e">
        <f>VLOOKUP(Y1317,R_DD!$A$1:$L$2131,4,0)</f>
        <v>#N/A</v>
      </c>
      <c r="AB1317" s="947" t="e">
        <f>VLOOKUP(Y1317,R_DD!$A$1:$L$2131,5,0)</f>
        <v>#N/A</v>
      </c>
      <c r="AC1317" s="947" t="e">
        <f>VLOOKUP(X1317,R_DD!$B$6:$E$2112,4,0)</f>
        <v>#N/A</v>
      </c>
    </row>
    <row r="1318" spans="22:29" ht="20.100000000000001" customHeight="1">
      <c r="V1318" s="944" t="e">
        <f>VLOOKUP(U1318,R_DD!$B$6:$E$2112,3,0)</f>
        <v>#N/A</v>
      </c>
      <c r="W1318" s="943" t="e">
        <f>VLOOKUP(U1318,R_DD!$B$6:$E$2112,4,0)</f>
        <v>#N/A</v>
      </c>
      <c r="Z1318" s="946" t="e">
        <f>VLOOKUP(X1318,R_DD!$B$6:$E$2112,3,0)</f>
        <v>#N/A</v>
      </c>
      <c r="AA1318" s="946" t="e">
        <f>VLOOKUP(Y1318,R_DD!$A$1:$L$2131,4,0)</f>
        <v>#N/A</v>
      </c>
      <c r="AB1318" s="947" t="e">
        <f>VLOOKUP(Y1318,R_DD!$A$1:$L$2131,5,0)</f>
        <v>#N/A</v>
      </c>
      <c r="AC1318" s="947" t="e">
        <f>VLOOKUP(X1318,R_DD!$B$6:$E$2112,4,0)</f>
        <v>#N/A</v>
      </c>
    </row>
    <row r="1319" spans="22:29" ht="20.100000000000001" customHeight="1">
      <c r="V1319" s="944" t="e">
        <f>VLOOKUP(U1319,R_DD!$B$6:$E$2112,3,0)</f>
        <v>#N/A</v>
      </c>
      <c r="W1319" s="943" t="e">
        <f>VLOOKUP(U1319,R_DD!$B$6:$E$2112,4,0)</f>
        <v>#N/A</v>
      </c>
      <c r="Z1319" s="946" t="e">
        <f>VLOOKUP(X1319,R_DD!$B$6:$E$2112,3,0)</f>
        <v>#N/A</v>
      </c>
      <c r="AA1319" s="946" t="e">
        <f>VLOOKUP(Y1319,R_DD!$A$1:$L$2131,4,0)</f>
        <v>#N/A</v>
      </c>
      <c r="AB1319" s="947" t="e">
        <f>VLOOKUP(Y1319,R_DD!$A$1:$L$2131,5,0)</f>
        <v>#N/A</v>
      </c>
      <c r="AC1319" s="947" t="e">
        <f>VLOOKUP(X1319,R_DD!$B$6:$E$2112,4,0)</f>
        <v>#N/A</v>
      </c>
    </row>
    <row r="1320" spans="22:29" ht="20.100000000000001" customHeight="1">
      <c r="V1320" s="944" t="e">
        <f>VLOOKUP(U1320,R_DD!$B$6:$E$2112,3,0)</f>
        <v>#N/A</v>
      </c>
      <c r="W1320" s="943" t="e">
        <f>VLOOKUP(U1320,R_DD!$B$6:$E$2112,4,0)</f>
        <v>#N/A</v>
      </c>
      <c r="Z1320" s="946" t="e">
        <f>VLOOKUP(X1320,R_DD!$B$6:$E$2112,3,0)</f>
        <v>#N/A</v>
      </c>
      <c r="AA1320" s="946" t="e">
        <f>VLOOKUP(Y1320,R_DD!$A$1:$L$2131,4,0)</f>
        <v>#N/A</v>
      </c>
      <c r="AB1320" s="947" t="e">
        <f>VLOOKUP(Y1320,R_DD!$A$1:$L$2131,5,0)</f>
        <v>#N/A</v>
      </c>
      <c r="AC1320" s="947" t="e">
        <f>VLOOKUP(X1320,R_DD!$B$6:$E$2112,4,0)</f>
        <v>#N/A</v>
      </c>
    </row>
    <row r="1321" spans="22:29" ht="20.100000000000001" customHeight="1">
      <c r="V1321" s="944" t="e">
        <f>VLOOKUP(U1321,R_DD!$B$6:$E$2112,3,0)</f>
        <v>#N/A</v>
      </c>
      <c r="W1321" s="943" t="e">
        <f>VLOOKUP(U1321,R_DD!$B$6:$E$2112,4,0)</f>
        <v>#N/A</v>
      </c>
      <c r="Z1321" s="946" t="e">
        <f>VLOOKUP(X1321,R_DD!$B$6:$E$2112,3,0)</f>
        <v>#N/A</v>
      </c>
      <c r="AA1321" s="946" t="e">
        <f>VLOOKUP(Y1321,R_DD!$A$1:$L$2131,4,0)</f>
        <v>#N/A</v>
      </c>
      <c r="AB1321" s="947" t="e">
        <f>VLOOKUP(Y1321,R_DD!$A$1:$L$2131,5,0)</f>
        <v>#N/A</v>
      </c>
      <c r="AC1321" s="947" t="e">
        <f>VLOOKUP(X1321,R_DD!$B$6:$E$2112,4,0)</f>
        <v>#N/A</v>
      </c>
    </row>
    <row r="1322" spans="22:29" ht="20.100000000000001" customHeight="1">
      <c r="V1322" s="944" t="e">
        <f>VLOOKUP(U1322,R_DD!$B$6:$E$2112,3,0)</f>
        <v>#N/A</v>
      </c>
      <c r="W1322" s="943" t="e">
        <f>VLOOKUP(U1322,R_DD!$B$6:$E$2112,4,0)</f>
        <v>#N/A</v>
      </c>
      <c r="Z1322" s="946" t="e">
        <f>VLOOKUP(X1322,R_DD!$B$6:$E$2112,3,0)</f>
        <v>#N/A</v>
      </c>
      <c r="AA1322" s="946" t="e">
        <f>VLOOKUP(Y1322,R_DD!$A$1:$L$2131,4,0)</f>
        <v>#N/A</v>
      </c>
      <c r="AB1322" s="947" t="e">
        <f>VLOOKUP(Y1322,R_DD!$A$1:$L$2131,5,0)</f>
        <v>#N/A</v>
      </c>
      <c r="AC1322" s="947" t="e">
        <f>VLOOKUP(X1322,R_DD!$B$6:$E$2112,4,0)</f>
        <v>#N/A</v>
      </c>
    </row>
    <row r="1323" spans="22:29" ht="20.100000000000001" customHeight="1">
      <c r="V1323" s="944" t="e">
        <f>VLOOKUP(U1323,R_DD!$B$6:$E$2112,3,0)</f>
        <v>#N/A</v>
      </c>
      <c r="W1323" s="943" t="e">
        <f>VLOOKUP(U1323,R_DD!$B$6:$E$2112,4,0)</f>
        <v>#N/A</v>
      </c>
      <c r="Z1323" s="946" t="e">
        <f>VLOOKUP(X1323,R_DD!$B$6:$E$2112,3,0)</f>
        <v>#N/A</v>
      </c>
      <c r="AA1323" s="946" t="e">
        <f>VLOOKUP(Y1323,R_DD!$A$1:$L$2131,4,0)</f>
        <v>#N/A</v>
      </c>
      <c r="AB1323" s="947" t="e">
        <f>VLOOKUP(Y1323,R_DD!$A$1:$L$2131,5,0)</f>
        <v>#N/A</v>
      </c>
      <c r="AC1323" s="947" t="e">
        <f>VLOOKUP(X1323,R_DD!$B$6:$E$2112,4,0)</f>
        <v>#N/A</v>
      </c>
    </row>
    <row r="1324" spans="22:29" ht="20.100000000000001" customHeight="1">
      <c r="V1324" s="944" t="e">
        <f>VLOOKUP(U1324,R_DD!$B$6:$E$2112,3,0)</f>
        <v>#N/A</v>
      </c>
      <c r="W1324" s="943" t="e">
        <f>VLOOKUP(U1324,R_DD!$B$6:$E$2112,4,0)</f>
        <v>#N/A</v>
      </c>
      <c r="Z1324" s="946" t="e">
        <f>VLOOKUP(X1324,R_DD!$B$6:$E$2112,3,0)</f>
        <v>#N/A</v>
      </c>
      <c r="AA1324" s="946" t="e">
        <f>VLOOKUP(Y1324,R_DD!$A$1:$L$2131,4,0)</f>
        <v>#N/A</v>
      </c>
      <c r="AB1324" s="947" t="e">
        <f>VLOOKUP(Y1324,R_DD!$A$1:$L$2131,5,0)</f>
        <v>#N/A</v>
      </c>
      <c r="AC1324" s="947" t="e">
        <f>VLOOKUP(X1324,R_DD!$B$6:$E$2112,4,0)</f>
        <v>#N/A</v>
      </c>
    </row>
    <row r="1325" spans="22:29" ht="20.100000000000001" customHeight="1">
      <c r="V1325" s="944" t="e">
        <f>VLOOKUP(U1325,R_DD!$B$6:$E$2112,3,0)</f>
        <v>#N/A</v>
      </c>
      <c r="W1325" s="943" t="e">
        <f>VLOOKUP(U1325,R_DD!$B$6:$E$2112,4,0)</f>
        <v>#N/A</v>
      </c>
      <c r="Z1325" s="946" t="e">
        <f>VLOOKUP(X1325,R_DD!$B$6:$E$2112,3,0)</f>
        <v>#N/A</v>
      </c>
      <c r="AA1325" s="946" t="e">
        <f>VLOOKUP(Y1325,R_DD!$A$1:$L$2131,4,0)</f>
        <v>#N/A</v>
      </c>
      <c r="AB1325" s="947" t="e">
        <f>VLOOKUP(Y1325,R_DD!$A$1:$L$2131,5,0)</f>
        <v>#N/A</v>
      </c>
      <c r="AC1325" s="947" t="e">
        <f>VLOOKUP(X1325,R_DD!$B$6:$E$2112,4,0)</f>
        <v>#N/A</v>
      </c>
    </row>
    <row r="1326" spans="22:29" ht="20.100000000000001" customHeight="1">
      <c r="V1326" s="944" t="e">
        <f>VLOOKUP(U1326,R_DD!$B$6:$E$2112,3,0)</f>
        <v>#N/A</v>
      </c>
      <c r="W1326" s="943" t="e">
        <f>VLOOKUP(U1326,R_DD!$B$6:$E$2112,4,0)</f>
        <v>#N/A</v>
      </c>
      <c r="Z1326" s="946" t="e">
        <f>VLOOKUP(X1326,R_DD!$B$6:$E$2112,3,0)</f>
        <v>#N/A</v>
      </c>
      <c r="AA1326" s="946" t="e">
        <f>VLOOKUP(Y1326,R_DD!$A$1:$L$2131,4,0)</f>
        <v>#N/A</v>
      </c>
      <c r="AB1326" s="947" t="e">
        <f>VLOOKUP(Y1326,R_DD!$A$1:$L$2131,5,0)</f>
        <v>#N/A</v>
      </c>
      <c r="AC1326" s="947" t="e">
        <f>VLOOKUP(X1326,R_DD!$B$6:$E$2112,4,0)</f>
        <v>#N/A</v>
      </c>
    </row>
    <row r="1327" spans="22:29" ht="20.100000000000001" customHeight="1">
      <c r="V1327" s="944" t="e">
        <f>VLOOKUP(U1327,R_DD!$B$6:$E$2112,3,0)</f>
        <v>#N/A</v>
      </c>
      <c r="W1327" s="943" t="e">
        <f>VLOOKUP(U1327,R_DD!$B$6:$E$2112,4,0)</f>
        <v>#N/A</v>
      </c>
      <c r="Z1327" s="946" t="e">
        <f>VLOOKUP(X1327,R_DD!$B$6:$E$2112,3,0)</f>
        <v>#N/A</v>
      </c>
      <c r="AA1327" s="946" t="e">
        <f>VLOOKUP(Y1327,R_DD!$A$1:$L$2131,4,0)</f>
        <v>#N/A</v>
      </c>
      <c r="AB1327" s="947" t="e">
        <f>VLOOKUP(Y1327,R_DD!$A$1:$L$2131,5,0)</f>
        <v>#N/A</v>
      </c>
      <c r="AC1327" s="947" t="e">
        <f>VLOOKUP(X1327,R_DD!$B$6:$E$2112,4,0)</f>
        <v>#N/A</v>
      </c>
    </row>
    <row r="1328" spans="22:29" ht="20.100000000000001" customHeight="1">
      <c r="V1328" s="944" t="e">
        <f>VLOOKUP(U1328,R_DD!$B$6:$E$2112,3,0)</f>
        <v>#N/A</v>
      </c>
      <c r="W1328" s="943" t="e">
        <f>VLOOKUP(U1328,R_DD!$B$6:$E$2112,4,0)</f>
        <v>#N/A</v>
      </c>
      <c r="Z1328" s="946" t="e">
        <f>VLOOKUP(X1328,R_DD!$B$6:$E$2112,3,0)</f>
        <v>#N/A</v>
      </c>
      <c r="AA1328" s="946" t="e">
        <f>VLOOKUP(Y1328,R_DD!$A$1:$L$2131,4,0)</f>
        <v>#N/A</v>
      </c>
      <c r="AB1328" s="947" t="e">
        <f>VLOOKUP(Y1328,R_DD!$A$1:$L$2131,5,0)</f>
        <v>#N/A</v>
      </c>
      <c r="AC1328" s="947" t="e">
        <f>VLOOKUP(X1328,R_DD!$B$6:$E$2112,4,0)</f>
        <v>#N/A</v>
      </c>
    </row>
    <row r="1329" spans="22:29" ht="20.100000000000001" customHeight="1">
      <c r="V1329" s="944" t="e">
        <f>VLOOKUP(U1329,R_DD!$B$6:$E$2112,3,0)</f>
        <v>#N/A</v>
      </c>
      <c r="W1329" s="943" t="e">
        <f>VLOOKUP(U1329,R_DD!$B$6:$E$2112,4,0)</f>
        <v>#N/A</v>
      </c>
      <c r="Z1329" s="946" t="e">
        <f>VLOOKUP(X1329,R_DD!$B$6:$E$2112,3,0)</f>
        <v>#N/A</v>
      </c>
      <c r="AA1329" s="946" t="e">
        <f>VLOOKUP(Y1329,R_DD!$A$1:$L$2131,4,0)</f>
        <v>#N/A</v>
      </c>
      <c r="AB1329" s="947" t="e">
        <f>VLOOKUP(Y1329,R_DD!$A$1:$L$2131,5,0)</f>
        <v>#N/A</v>
      </c>
      <c r="AC1329" s="947" t="e">
        <f>VLOOKUP(X1329,R_DD!$B$6:$E$2112,4,0)</f>
        <v>#N/A</v>
      </c>
    </row>
    <row r="1330" spans="22:29" ht="20.100000000000001" customHeight="1">
      <c r="V1330" s="944" t="e">
        <f>VLOOKUP(U1330,R_DD!$B$6:$E$2112,3,0)</f>
        <v>#N/A</v>
      </c>
      <c r="W1330" s="943" t="e">
        <f>VLOOKUP(U1330,R_DD!$B$6:$E$2112,4,0)</f>
        <v>#N/A</v>
      </c>
      <c r="Z1330" s="946" t="e">
        <f>VLOOKUP(X1330,R_DD!$B$6:$E$2112,3,0)</f>
        <v>#N/A</v>
      </c>
      <c r="AA1330" s="946" t="e">
        <f>VLOOKUP(Y1330,R_DD!$A$1:$L$2131,4,0)</f>
        <v>#N/A</v>
      </c>
      <c r="AB1330" s="947" t="e">
        <f>VLOOKUP(Y1330,R_DD!$A$1:$L$2131,5,0)</f>
        <v>#N/A</v>
      </c>
      <c r="AC1330" s="947" t="e">
        <f>VLOOKUP(X1330,R_DD!$B$6:$E$2112,4,0)</f>
        <v>#N/A</v>
      </c>
    </row>
    <row r="1331" spans="22:29" ht="20.100000000000001" customHeight="1">
      <c r="V1331" s="944" t="e">
        <f>VLOOKUP(U1331,R_DD!$B$6:$E$2112,3,0)</f>
        <v>#N/A</v>
      </c>
      <c r="W1331" s="943" t="e">
        <f>VLOOKUP(U1331,R_DD!$B$6:$E$2112,4,0)</f>
        <v>#N/A</v>
      </c>
      <c r="Z1331" s="946" t="e">
        <f>VLOOKUP(X1331,R_DD!$B$6:$E$2112,3,0)</f>
        <v>#N/A</v>
      </c>
      <c r="AA1331" s="946" t="e">
        <f>VLOOKUP(Y1331,R_DD!$A$1:$L$2131,4,0)</f>
        <v>#N/A</v>
      </c>
      <c r="AB1331" s="947" t="e">
        <f>VLOOKUP(Y1331,R_DD!$A$1:$L$2131,5,0)</f>
        <v>#N/A</v>
      </c>
      <c r="AC1331" s="947" t="e">
        <f>VLOOKUP(X1331,R_DD!$B$6:$E$2112,4,0)</f>
        <v>#N/A</v>
      </c>
    </row>
    <row r="1332" spans="22:29" ht="20.100000000000001" customHeight="1">
      <c r="V1332" s="944" t="e">
        <f>VLOOKUP(U1332,R_DD!$B$6:$E$2112,3,0)</f>
        <v>#N/A</v>
      </c>
      <c r="W1332" s="943" t="e">
        <f>VLOOKUP(U1332,R_DD!$B$6:$E$2112,4,0)</f>
        <v>#N/A</v>
      </c>
      <c r="Z1332" s="946" t="e">
        <f>VLOOKUP(X1332,R_DD!$B$6:$E$2112,3,0)</f>
        <v>#N/A</v>
      </c>
      <c r="AA1332" s="946" t="e">
        <f>VLOOKUP(Y1332,R_DD!$A$1:$L$2131,4,0)</f>
        <v>#N/A</v>
      </c>
      <c r="AB1332" s="947" t="e">
        <f>VLOOKUP(Y1332,R_DD!$A$1:$L$2131,5,0)</f>
        <v>#N/A</v>
      </c>
      <c r="AC1332" s="947" t="e">
        <f>VLOOKUP(X1332,R_DD!$B$6:$E$2112,4,0)</f>
        <v>#N/A</v>
      </c>
    </row>
    <row r="1333" spans="22:29" ht="20.100000000000001" customHeight="1">
      <c r="V1333" s="944" t="e">
        <f>VLOOKUP(U1333,R_DD!$B$6:$E$2112,3,0)</f>
        <v>#N/A</v>
      </c>
      <c r="W1333" s="943" t="e">
        <f>VLOOKUP(U1333,R_DD!$B$6:$E$2112,4,0)</f>
        <v>#N/A</v>
      </c>
      <c r="Z1333" s="946" t="e">
        <f>VLOOKUP(X1333,R_DD!$B$6:$E$2112,3,0)</f>
        <v>#N/A</v>
      </c>
      <c r="AA1333" s="946" t="e">
        <f>VLOOKUP(Y1333,R_DD!$A$1:$L$2131,4,0)</f>
        <v>#N/A</v>
      </c>
      <c r="AB1333" s="947" t="e">
        <f>VLOOKUP(Y1333,R_DD!$A$1:$L$2131,5,0)</f>
        <v>#N/A</v>
      </c>
      <c r="AC1333" s="947" t="e">
        <f>VLOOKUP(X1333,R_DD!$B$6:$E$2112,4,0)</f>
        <v>#N/A</v>
      </c>
    </row>
    <row r="1334" spans="22:29" ht="20.100000000000001" customHeight="1">
      <c r="V1334" s="944" t="e">
        <f>VLOOKUP(U1334,R_DD!$B$6:$E$2112,3,0)</f>
        <v>#N/A</v>
      </c>
      <c r="W1334" s="943" t="e">
        <f>VLOOKUP(U1334,R_DD!$B$6:$E$2112,4,0)</f>
        <v>#N/A</v>
      </c>
      <c r="Z1334" s="946" t="e">
        <f>VLOOKUP(X1334,R_DD!$B$6:$E$2112,3,0)</f>
        <v>#N/A</v>
      </c>
      <c r="AA1334" s="946" t="e">
        <f>VLOOKUP(Y1334,R_DD!$A$1:$L$2131,4,0)</f>
        <v>#N/A</v>
      </c>
      <c r="AB1334" s="947" t="e">
        <f>VLOOKUP(Y1334,R_DD!$A$1:$L$2131,5,0)</f>
        <v>#N/A</v>
      </c>
      <c r="AC1334" s="947" t="e">
        <f>VLOOKUP(X1334,R_DD!$B$6:$E$2112,4,0)</f>
        <v>#N/A</v>
      </c>
    </row>
    <row r="1335" spans="22:29" ht="20.100000000000001" customHeight="1">
      <c r="V1335" s="944" t="e">
        <f>VLOOKUP(U1335,R_DD!$B$6:$E$2112,3,0)</f>
        <v>#N/A</v>
      </c>
      <c r="W1335" s="943" t="e">
        <f>VLOOKUP(U1335,R_DD!$B$6:$E$2112,4,0)</f>
        <v>#N/A</v>
      </c>
      <c r="Z1335" s="946" t="e">
        <f>VLOOKUP(X1335,R_DD!$B$6:$E$2112,3,0)</f>
        <v>#N/A</v>
      </c>
      <c r="AA1335" s="946" t="e">
        <f>VLOOKUP(Y1335,R_DD!$A$1:$L$2131,4,0)</f>
        <v>#N/A</v>
      </c>
      <c r="AB1335" s="947" t="e">
        <f>VLOOKUP(Y1335,R_DD!$A$1:$L$2131,5,0)</f>
        <v>#N/A</v>
      </c>
      <c r="AC1335" s="947" t="e">
        <f>VLOOKUP(X1335,R_DD!$B$6:$E$2112,4,0)</f>
        <v>#N/A</v>
      </c>
    </row>
    <row r="1336" spans="22:29" ht="20.100000000000001" customHeight="1">
      <c r="V1336" s="944" t="e">
        <f>VLOOKUP(U1336,R_DD!$B$6:$E$2112,3,0)</f>
        <v>#N/A</v>
      </c>
      <c r="W1336" s="943" t="e">
        <f>VLOOKUP(U1336,R_DD!$B$6:$E$2112,4,0)</f>
        <v>#N/A</v>
      </c>
      <c r="Z1336" s="946" t="e">
        <f>VLOOKUP(X1336,R_DD!$B$6:$E$2112,3,0)</f>
        <v>#N/A</v>
      </c>
      <c r="AA1336" s="946" t="e">
        <f>VLOOKUP(Y1336,R_DD!$A$1:$L$2131,4,0)</f>
        <v>#N/A</v>
      </c>
      <c r="AB1336" s="947" t="e">
        <f>VLOOKUP(Y1336,R_DD!$A$1:$L$2131,5,0)</f>
        <v>#N/A</v>
      </c>
      <c r="AC1336" s="947" t="e">
        <f>VLOOKUP(X1336,R_DD!$B$6:$E$2112,4,0)</f>
        <v>#N/A</v>
      </c>
    </row>
    <row r="1337" spans="22:29" ht="20.100000000000001" customHeight="1">
      <c r="V1337" s="944" t="e">
        <f>VLOOKUP(U1337,R_DD!$B$6:$E$2112,3,0)</f>
        <v>#N/A</v>
      </c>
      <c r="W1337" s="943" t="e">
        <f>VLOOKUP(U1337,R_DD!$B$6:$E$2112,4,0)</f>
        <v>#N/A</v>
      </c>
      <c r="Z1337" s="946" t="e">
        <f>VLOOKUP(X1337,R_DD!$B$6:$E$2112,3,0)</f>
        <v>#N/A</v>
      </c>
      <c r="AA1337" s="946" t="e">
        <f>VLOOKUP(Y1337,R_DD!$A$1:$L$2131,4,0)</f>
        <v>#N/A</v>
      </c>
      <c r="AB1337" s="947" t="e">
        <f>VLOOKUP(Y1337,R_DD!$A$1:$L$2131,5,0)</f>
        <v>#N/A</v>
      </c>
      <c r="AC1337" s="947" t="e">
        <f>VLOOKUP(X1337,R_DD!$B$6:$E$2112,4,0)</f>
        <v>#N/A</v>
      </c>
    </row>
    <row r="1338" spans="22:29" ht="20.100000000000001" customHeight="1">
      <c r="V1338" s="944" t="e">
        <f>VLOOKUP(U1338,R_DD!$B$6:$E$2112,3,0)</f>
        <v>#N/A</v>
      </c>
      <c r="W1338" s="943" t="e">
        <f>VLOOKUP(U1338,R_DD!$B$6:$E$2112,4,0)</f>
        <v>#N/A</v>
      </c>
      <c r="Z1338" s="946" t="e">
        <f>VLOOKUP(X1338,R_DD!$B$6:$E$2112,3,0)</f>
        <v>#N/A</v>
      </c>
      <c r="AA1338" s="946" t="e">
        <f>VLOOKUP(Y1338,R_DD!$A$1:$L$2131,4,0)</f>
        <v>#N/A</v>
      </c>
      <c r="AB1338" s="947" t="e">
        <f>VLOOKUP(Y1338,R_DD!$A$1:$L$2131,5,0)</f>
        <v>#N/A</v>
      </c>
      <c r="AC1338" s="947" t="e">
        <f>VLOOKUP(X1338,R_DD!$B$6:$E$2112,4,0)</f>
        <v>#N/A</v>
      </c>
    </row>
    <row r="1339" spans="22:29" ht="20.100000000000001" customHeight="1">
      <c r="V1339" s="944" t="e">
        <f>VLOOKUP(U1339,R_DD!$B$6:$E$2112,3,0)</f>
        <v>#N/A</v>
      </c>
      <c r="W1339" s="943" t="e">
        <f>VLOOKUP(U1339,R_DD!$B$6:$E$2112,4,0)</f>
        <v>#N/A</v>
      </c>
      <c r="Z1339" s="946" t="e">
        <f>VLOOKUP(X1339,R_DD!$B$6:$E$2112,3,0)</f>
        <v>#N/A</v>
      </c>
      <c r="AA1339" s="946" t="e">
        <f>VLOOKUP(Y1339,R_DD!$A$1:$L$2131,4,0)</f>
        <v>#N/A</v>
      </c>
      <c r="AB1339" s="947" t="e">
        <f>VLOOKUP(Y1339,R_DD!$A$1:$L$2131,5,0)</f>
        <v>#N/A</v>
      </c>
      <c r="AC1339" s="947" t="e">
        <f>VLOOKUP(X1339,R_DD!$B$6:$E$2112,4,0)</f>
        <v>#N/A</v>
      </c>
    </row>
    <row r="1340" spans="22:29" ht="20.100000000000001" customHeight="1">
      <c r="V1340" s="944" t="e">
        <f>VLOOKUP(U1340,R_DD!$B$6:$E$2112,3,0)</f>
        <v>#N/A</v>
      </c>
      <c r="W1340" s="943" t="e">
        <f>VLOOKUP(U1340,R_DD!$B$6:$E$2112,4,0)</f>
        <v>#N/A</v>
      </c>
      <c r="Z1340" s="946" t="e">
        <f>VLOOKUP(X1340,R_DD!$B$6:$E$2112,3,0)</f>
        <v>#N/A</v>
      </c>
      <c r="AA1340" s="946" t="e">
        <f>VLOOKUP(Y1340,R_DD!$A$1:$L$2131,4,0)</f>
        <v>#N/A</v>
      </c>
      <c r="AB1340" s="947" t="e">
        <f>VLOOKUP(Y1340,R_DD!$A$1:$L$2131,5,0)</f>
        <v>#N/A</v>
      </c>
      <c r="AC1340" s="947" t="e">
        <f>VLOOKUP(X1340,R_DD!$B$6:$E$2112,4,0)</f>
        <v>#N/A</v>
      </c>
    </row>
    <row r="1341" spans="22:29" ht="20.100000000000001" customHeight="1">
      <c r="V1341" s="944" t="e">
        <f>VLOOKUP(U1341,R_DD!$B$6:$E$2112,3,0)</f>
        <v>#N/A</v>
      </c>
      <c r="W1341" s="943" t="e">
        <f>VLOOKUP(U1341,R_DD!$B$6:$E$2112,4,0)</f>
        <v>#N/A</v>
      </c>
      <c r="Z1341" s="946" t="e">
        <f>VLOOKUP(X1341,R_DD!$B$6:$E$2112,3,0)</f>
        <v>#N/A</v>
      </c>
      <c r="AA1341" s="946" t="e">
        <f>VLOOKUP(Y1341,R_DD!$A$1:$L$2131,4,0)</f>
        <v>#N/A</v>
      </c>
      <c r="AB1341" s="947" t="e">
        <f>VLOOKUP(Y1341,R_DD!$A$1:$L$2131,5,0)</f>
        <v>#N/A</v>
      </c>
      <c r="AC1341" s="947" t="e">
        <f>VLOOKUP(X1341,R_DD!$B$6:$E$2112,4,0)</f>
        <v>#N/A</v>
      </c>
    </row>
    <row r="1342" spans="22:29" ht="20.100000000000001" customHeight="1">
      <c r="V1342" s="944" t="e">
        <f>VLOOKUP(U1342,R_DD!$B$6:$E$2112,3,0)</f>
        <v>#N/A</v>
      </c>
      <c r="W1342" s="943" t="e">
        <f>VLOOKUP(U1342,R_DD!$B$6:$E$2112,4,0)</f>
        <v>#N/A</v>
      </c>
      <c r="Z1342" s="946" t="e">
        <f>VLOOKUP(X1342,R_DD!$B$6:$E$2112,3,0)</f>
        <v>#N/A</v>
      </c>
      <c r="AA1342" s="946" t="e">
        <f>VLOOKUP(Y1342,R_DD!$A$1:$L$2131,4,0)</f>
        <v>#N/A</v>
      </c>
      <c r="AB1342" s="947" t="e">
        <f>VLOOKUP(Y1342,R_DD!$A$1:$L$2131,5,0)</f>
        <v>#N/A</v>
      </c>
      <c r="AC1342" s="947" t="e">
        <f>VLOOKUP(X1342,R_DD!$B$6:$E$2112,4,0)</f>
        <v>#N/A</v>
      </c>
    </row>
    <row r="1343" spans="22:29" ht="20.100000000000001" customHeight="1">
      <c r="V1343" s="944" t="e">
        <f>VLOOKUP(U1343,R_DD!$B$6:$E$2112,3,0)</f>
        <v>#N/A</v>
      </c>
      <c r="W1343" s="943" t="e">
        <f>VLOOKUP(U1343,R_DD!$B$6:$E$2112,4,0)</f>
        <v>#N/A</v>
      </c>
      <c r="Z1343" s="946" t="e">
        <f>VLOOKUP(X1343,R_DD!$B$6:$E$2112,3,0)</f>
        <v>#N/A</v>
      </c>
      <c r="AA1343" s="946" t="e">
        <f>VLOOKUP(Y1343,R_DD!$A$1:$L$2131,4,0)</f>
        <v>#N/A</v>
      </c>
      <c r="AB1343" s="947" t="e">
        <f>VLOOKUP(Y1343,R_DD!$A$1:$L$2131,5,0)</f>
        <v>#N/A</v>
      </c>
      <c r="AC1343" s="947" t="e">
        <f>VLOOKUP(X1343,R_DD!$B$6:$E$2112,4,0)</f>
        <v>#N/A</v>
      </c>
    </row>
    <row r="1344" spans="22:29" ht="20.100000000000001" customHeight="1">
      <c r="V1344" s="944" t="e">
        <f>VLOOKUP(U1344,R_DD!$B$6:$E$2112,3,0)</f>
        <v>#N/A</v>
      </c>
      <c r="W1344" s="943" t="e">
        <f>VLOOKUP(U1344,R_DD!$B$6:$E$2112,4,0)</f>
        <v>#N/A</v>
      </c>
      <c r="Z1344" s="946" t="e">
        <f>VLOOKUP(X1344,R_DD!$B$6:$E$2112,3,0)</f>
        <v>#N/A</v>
      </c>
      <c r="AA1344" s="946" t="e">
        <f>VLOOKUP(Y1344,R_DD!$A$1:$L$2131,4,0)</f>
        <v>#N/A</v>
      </c>
      <c r="AB1344" s="947" t="e">
        <f>VLOOKUP(Y1344,R_DD!$A$1:$L$2131,5,0)</f>
        <v>#N/A</v>
      </c>
      <c r="AC1344" s="947" t="e">
        <f>VLOOKUP(X1344,R_DD!$B$6:$E$2112,4,0)</f>
        <v>#N/A</v>
      </c>
    </row>
    <row r="1345" spans="22:29" ht="20.100000000000001" customHeight="1">
      <c r="V1345" s="944" t="e">
        <f>VLOOKUP(U1345,R_DD!$B$6:$E$2112,3,0)</f>
        <v>#N/A</v>
      </c>
      <c r="W1345" s="943" t="e">
        <f>VLOOKUP(U1345,R_DD!$B$6:$E$2112,4,0)</f>
        <v>#N/A</v>
      </c>
      <c r="Z1345" s="946" t="e">
        <f>VLOOKUP(X1345,R_DD!$B$6:$E$2112,3,0)</f>
        <v>#N/A</v>
      </c>
      <c r="AA1345" s="946" t="e">
        <f>VLOOKUP(Y1345,R_DD!$A$1:$L$2131,4,0)</f>
        <v>#N/A</v>
      </c>
      <c r="AB1345" s="947" t="e">
        <f>VLOOKUP(Y1345,R_DD!$A$1:$L$2131,5,0)</f>
        <v>#N/A</v>
      </c>
      <c r="AC1345" s="947" t="e">
        <f>VLOOKUP(X1345,R_DD!$B$6:$E$2112,4,0)</f>
        <v>#N/A</v>
      </c>
    </row>
    <row r="1346" spans="22:29" ht="20.100000000000001" customHeight="1">
      <c r="V1346" s="944" t="e">
        <f>VLOOKUP(U1346,R_DD!$B$6:$E$2112,3,0)</f>
        <v>#N/A</v>
      </c>
      <c r="W1346" s="943" t="e">
        <f>VLOOKUP(U1346,R_DD!$B$6:$E$2112,4,0)</f>
        <v>#N/A</v>
      </c>
      <c r="Z1346" s="946" t="e">
        <f>VLOOKUP(X1346,R_DD!$B$6:$E$2112,3,0)</f>
        <v>#N/A</v>
      </c>
      <c r="AA1346" s="946" t="e">
        <f>VLOOKUP(Y1346,R_DD!$A$1:$L$2131,4,0)</f>
        <v>#N/A</v>
      </c>
      <c r="AB1346" s="947" t="e">
        <f>VLOOKUP(Y1346,R_DD!$A$1:$L$2131,5,0)</f>
        <v>#N/A</v>
      </c>
      <c r="AC1346" s="947" t="e">
        <f>VLOOKUP(X1346,R_DD!$B$6:$E$2112,4,0)</f>
        <v>#N/A</v>
      </c>
    </row>
    <row r="1347" spans="22:29" ht="20.100000000000001" customHeight="1">
      <c r="V1347" s="944" t="e">
        <f>VLOOKUP(U1347,R_DD!$B$6:$E$2112,3,0)</f>
        <v>#N/A</v>
      </c>
      <c r="W1347" s="943" t="e">
        <f>VLOOKUP(U1347,R_DD!$B$6:$E$2112,4,0)</f>
        <v>#N/A</v>
      </c>
      <c r="Z1347" s="946" t="e">
        <f>VLOOKUP(X1347,R_DD!$B$6:$E$2112,3,0)</f>
        <v>#N/A</v>
      </c>
      <c r="AA1347" s="946" t="e">
        <f>VLOOKUP(Y1347,R_DD!$A$1:$L$2131,4,0)</f>
        <v>#N/A</v>
      </c>
      <c r="AB1347" s="947" t="e">
        <f>VLOOKUP(Y1347,R_DD!$A$1:$L$2131,5,0)</f>
        <v>#N/A</v>
      </c>
      <c r="AC1347" s="947" t="e">
        <f>VLOOKUP(X1347,R_DD!$B$6:$E$2112,4,0)</f>
        <v>#N/A</v>
      </c>
    </row>
    <row r="1348" spans="22:29" ht="20.100000000000001" customHeight="1">
      <c r="V1348" s="944" t="e">
        <f>VLOOKUP(U1348,R_DD!$B$6:$E$2112,3,0)</f>
        <v>#N/A</v>
      </c>
      <c r="W1348" s="943" t="e">
        <f>VLOOKUP(U1348,R_DD!$B$6:$E$2112,4,0)</f>
        <v>#N/A</v>
      </c>
      <c r="Z1348" s="946" t="e">
        <f>VLOOKUP(X1348,R_DD!$B$6:$E$2112,3,0)</f>
        <v>#N/A</v>
      </c>
      <c r="AA1348" s="946" t="e">
        <f>VLOOKUP(Y1348,R_DD!$A$1:$L$2131,4,0)</f>
        <v>#N/A</v>
      </c>
      <c r="AB1348" s="947" t="e">
        <f>VLOOKUP(Y1348,R_DD!$A$1:$L$2131,5,0)</f>
        <v>#N/A</v>
      </c>
      <c r="AC1348" s="947" t="e">
        <f>VLOOKUP(X1348,R_DD!$B$6:$E$2112,4,0)</f>
        <v>#N/A</v>
      </c>
    </row>
    <row r="1349" spans="22:29" ht="20.100000000000001" customHeight="1">
      <c r="V1349" s="944" t="e">
        <f>VLOOKUP(U1349,R_DD!$B$6:$E$2112,3,0)</f>
        <v>#N/A</v>
      </c>
      <c r="W1349" s="943" t="e">
        <f>VLOOKUP(U1349,R_DD!$B$6:$E$2112,4,0)</f>
        <v>#N/A</v>
      </c>
      <c r="Z1349" s="946" t="e">
        <f>VLOOKUP(X1349,R_DD!$B$6:$E$2112,3,0)</f>
        <v>#N/A</v>
      </c>
      <c r="AA1349" s="946" t="e">
        <f>VLOOKUP(Y1349,R_DD!$A$1:$L$2131,4,0)</f>
        <v>#N/A</v>
      </c>
      <c r="AB1349" s="947" t="e">
        <f>VLOOKUP(Y1349,R_DD!$A$1:$L$2131,5,0)</f>
        <v>#N/A</v>
      </c>
      <c r="AC1349" s="947" t="e">
        <f>VLOOKUP(X1349,R_DD!$B$6:$E$2112,4,0)</f>
        <v>#N/A</v>
      </c>
    </row>
    <row r="1350" spans="22:29" ht="20.100000000000001" customHeight="1">
      <c r="V1350" s="944" t="e">
        <f>VLOOKUP(U1350,R_DD!$B$6:$E$2112,3,0)</f>
        <v>#N/A</v>
      </c>
      <c r="W1350" s="943" t="e">
        <f>VLOOKUP(U1350,R_DD!$B$6:$E$2112,4,0)</f>
        <v>#N/A</v>
      </c>
      <c r="Z1350" s="946" t="e">
        <f>VLOOKUP(X1350,R_DD!$B$6:$E$2112,3,0)</f>
        <v>#N/A</v>
      </c>
      <c r="AA1350" s="946" t="e">
        <f>VLOOKUP(Y1350,R_DD!$A$1:$L$2131,4,0)</f>
        <v>#N/A</v>
      </c>
      <c r="AB1350" s="947" t="e">
        <f>VLOOKUP(Y1350,R_DD!$A$1:$L$2131,5,0)</f>
        <v>#N/A</v>
      </c>
      <c r="AC1350" s="947" t="e">
        <f>VLOOKUP(X1350,R_DD!$B$6:$E$2112,4,0)</f>
        <v>#N/A</v>
      </c>
    </row>
    <row r="1351" spans="22:29" ht="20.100000000000001" customHeight="1">
      <c r="V1351" s="944" t="e">
        <f>VLOOKUP(U1351,R_DD!$B$6:$E$2112,3,0)</f>
        <v>#N/A</v>
      </c>
      <c r="W1351" s="943" t="e">
        <f>VLOOKUP(U1351,R_DD!$B$6:$E$2112,4,0)</f>
        <v>#N/A</v>
      </c>
      <c r="Z1351" s="946" t="e">
        <f>VLOOKUP(X1351,R_DD!$B$6:$E$2112,3,0)</f>
        <v>#N/A</v>
      </c>
      <c r="AA1351" s="946" t="e">
        <f>VLOOKUP(Y1351,R_DD!$A$1:$L$2131,4,0)</f>
        <v>#N/A</v>
      </c>
      <c r="AB1351" s="947" t="e">
        <f>VLOOKUP(Y1351,R_DD!$A$1:$L$2131,5,0)</f>
        <v>#N/A</v>
      </c>
      <c r="AC1351" s="947" t="e">
        <f>VLOOKUP(X1351,R_DD!$B$6:$E$2112,4,0)</f>
        <v>#N/A</v>
      </c>
    </row>
    <row r="1352" spans="22:29" ht="20.100000000000001" customHeight="1">
      <c r="V1352" s="944" t="e">
        <f>VLOOKUP(U1352,R_DD!$B$6:$E$2112,3,0)</f>
        <v>#N/A</v>
      </c>
      <c r="W1352" s="943" t="e">
        <f>VLOOKUP(U1352,R_DD!$B$6:$E$2112,4,0)</f>
        <v>#N/A</v>
      </c>
      <c r="Z1352" s="946" t="e">
        <f>VLOOKUP(X1352,R_DD!$B$6:$E$2112,3,0)</f>
        <v>#N/A</v>
      </c>
      <c r="AA1352" s="946" t="e">
        <f>VLOOKUP(Y1352,R_DD!$A$1:$L$2131,4,0)</f>
        <v>#N/A</v>
      </c>
      <c r="AB1352" s="947" t="e">
        <f>VLOOKUP(Y1352,R_DD!$A$1:$L$2131,5,0)</f>
        <v>#N/A</v>
      </c>
      <c r="AC1352" s="947" t="e">
        <f>VLOOKUP(X1352,R_DD!$B$6:$E$2112,4,0)</f>
        <v>#N/A</v>
      </c>
    </row>
    <row r="1353" spans="22:29" ht="20.100000000000001" customHeight="1">
      <c r="V1353" s="944" t="e">
        <f>VLOOKUP(U1353,R_DD!$B$6:$E$2112,3,0)</f>
        <v>#N/A</v>
      </c>
      <c r="W1353" s="943" t="e">
        <f>VLOOKUP(U1353,R_DD!$B$6:$E$2112,4,0)</f>
        <v>#N/A</v>
      </c>
      <c r="Z1353" s="946" t="e">
        <f>VLOOKUP(X1353,R_DD!$B$6:$E$2112,3,0)</f>
        <v>#N/A</v>
      </c>
      <c r="AA1353" s="946" t="e">
        <f>VLOOKUP(Y1353,R_DD!$A$1:$L$2131,4,0)</f>
        <v>#N/A</v>
      </c>
      <c r="AB1353" s="947" t="e">
        <f>VLOOKUP(Y1353,R_DD!$A$1:$L$2131,5,0)</f>
        <v>#N/A</v>
      </c>
      <c r="AC1353" s="947" t="e">
        <f>VLOOKUP(X1353,R_DD!$B$6:$E$2112,4,0)</f>
        <v>#N/A</v>
      </c>
    </row>
    <row r="1354" spans="22:29" ht="20.100000000000001" customHeight="1">
      <c r="V1354" s="944" t="e">
        <f>VLOOKUP(U1354,R_DD!$B$6:$E$2112,3,0)</f>
        <v>#N/A</v>
      </c>
      <c r="W1354" s="943" t="e">
        <f>VLOOKUP(U1354,R_DD!$B$6:$E$2112,4,0)</f>
        <v>#N/A</v>
      </c>
      <c r="Z1354" s="946" t="e">
        <f>VLOOKUP(X1354,R_DD!$B$6:$E$2112,3,0)</f>
        <v>#N/A</v>
      </c>
      <c r="AA1354" s="946" t="e">
        <f>VLOOKUP(Y1354,R_DD!$A$1:$L$2131,4,0)</f>
        <v>#N/A</v>
      </c>
      <c r="AB1354" s="947" t="e">
        <f>VLOOKUP(Y1354,R_DD!$A$1:$L$2131,5,0)</f>
        <v>#N/A</v>
      </c>
      <c r="AC1354" s="947" t="e">
        <f>VLOOKUP(X1354,R_DD!$B$6:$E$2112,4,0)</f>
        <v>#N/A</v>
      </c>
    </row>
    <row r="1355" spans="22:29" ht="20.100000000000001" customHeight="1">
      <c r="V1355" s="944" t="e">
        <f>VLOOKUP(U1355,R_DD!$B$6:$E$2112,3,0)</f>
        <v>#N/A</v>
      </c>
      <c r="W1355" s="943" t="e">
        <f>VLOOKUP(U1355,R_DD!$B$6:$E$2112,4,0)</f>
        <v>#N/A</v>
      </c>
      <c r="Z1355" s="946" t="e">
        <f>VLOOKUP(X1355,R_DD!$B$6:$E$2112,3,0)</f>
        <v>#N/A</v>
      </c>
      <c r="AA1355" s="946" t="e">
        <f>VLOOKUP(Y1355,R_DD!$A$1:$L$2131,4,0)</f>
        <v>#N/A</v>
      </c>
      <c r="AB1355" s="947" t="e">
        <f>VLOOKUP(Y1355,R_DD!$A$1:$L$2131,5,0)</f>
        <v>#N/A</v>
      </c>
      <c r="AC1355" s="947" t="e">
        <f>VLOOKUP(X1355,R_DD!$B$6:$E$2112,4,0)</f>
        <v>#N/A</v>
      </c>
    </row>
    <row r="1356" spans="22:29" ht="20.100000000000001" customHeight="1">
      <c r="V1356" s="944" t="e">
        <f>VLOOKUP(U1356,R_DD!$B$6:$E$2112,3,0)</f>
        <v>#N/A</v>
      </c>
      <c r="W1356" s="943" t="e">
        <f>VLOOKUP(U1356,R_DD!$B$6:$E$2112,4,0)</f>
        <v>#N/A</v>
      </c>
      <c r="Z1356" s="946" t="e">
        <f>VLOOKUP(X1356,R_DD!$B$6:$E$2112,3,0)</f>
        <v>#N/A</v>
      </c>
      <c r="AA1356" s="946" t="e">
        <f>VLOOKUP(Y1356,R_DD!$A$1:$L$2131,4,0)</f>
        <v>#N/A</v>
      </c>
      <c r="AB1356" s="947" t="e">
        <f>VLOOKUP(Y1356,R_DD!$A$1:$L$2131,5,0)</f>
        <v>#N/A</v>
      </c>
      <c r="AC1356" s="947" t="e">
        <f>VLOOKUP(X1356,R_DD!$B$6:$E$2112,4,0)</f>
        <v>#N/A</v>
      </c>
    </row>
    <row r="1357" spans="22:29" ht="20.100000000000001" customHeight="1">
      <c r="V1357" s="944" t="e">
        <f>VLOOKUP(U1357,R_DD!$B$6:$E$2112,3,0)</f>
        <v>#N/A</v>
      </c>
      <c r="W1357" s="943" t="e">
        <f>VLOOKUP(U1357,R_DD!$B$6:$E$2112,4,0)</f>
        <v>#N/A</v>
      </c>
      <c r="Z1357" s="946" t="e">
        <f>VLOOKUP(X1357,R_DD!$B$6:$E$2112,3,0)</f>
        <v>#N/A</v>
      </c>
      <c r="AA1357" s="946" t="e">
        <f>VLOOKUP(Y1357,R_DD!$A$1:$L$2131,4,0)</f>
        <v>#N/A</v>
      </c>
      <c r="AB1357" s="947" t="e">
        <f>VLOOKUP(Y1357,R_DD!$A$1:$L$2131,5,0)</f>
        <v>#N/A</v>
      </c>
      <c r="AC1357" s="947" t="e">
        <f>VLOOKUP(X1357,R_DD!$B$6:$E$2112,4,0)</f>
        <v>#N/A</v>
      </c>
    </row>
    <row r="1358" spans="22:29" ht="20.100000000000001" customHeight="1">
      <c r="V1358" s="944" t="e">
        <f>VLOOKUP(U1358,R_DD!$B$6:$E$2112,3,0)</f>
        <v>#N/A</v>
      </c>
      <c r="W1358" s="943" t="e">
        <f>VLOOKUP(U1358,R_DD!$B$6:$E$2112,4,0)</f>
        <v>#N/A</v>
      </c>
      <c r="Z1358" s="946" t="e">
        <f>VLOOKUP(X1358,R_DD!$B$6:$E$2112,3,0)</f>
        <v>#N/A</v>
      </c>
      <c r="AA1358" s="946" t="e">
        <f>VLOOKUP(Y1358,R_DD!$A$1:$L$2131,4,0)</f>
        <v>#N/A</v>
      </c>
      <c r="AB1358" s="947" t="e">
        <f>VLOOKUP(Y1358,R_DD!$A$1:$L$2131,5,0)</f>
        <v>#N/A</v>
      </c>
      <c r="AC1358" s="947" t="e">
        <f>VLOOKUP(X1358,R_DD!$B$6:$E$2112,4,0)</f>
        <v>#N/A</v>
      </c>
    </row>
    <row r="1359" spans="22:29" ht="20.100000000000001" customHeight="1">
      <c r="V1359" s="944" t="e">
        <f>VLOOKUP(U1359,R_DD!$B$6:$E$2112,3,0)</f>
        <v>#N/A</v>
      </c>
      <c r="W1359" s="943" t="e">
        <f>VLOOKUP(U1359,R_DD!$B$6:$E$2112,4,0)</f>
        <v>#N/A</v>
      </c>
      <c r="Z1359" s="946" t="e">
        <f>VLOOKUP(X1359,R_DD!$B$6:$E$2112,3,0)</f>
        <v>#N/A</v>
      </c>
      <c r="AA1359" s="946" t="e">
        <f>VLOOKUP(Y1359,R_DD!$A$1:$L$2131,4,0)</f>
        <v>#N/A</v>
      </c>
      <c r="AB1359" s="947" t="e">
        <f>VLOOKUP(Y1359,R_DD!$A$1:$L$2131,5,0)</f>
        <v>#N/A</v>
      </c>
      <c r="AC1359" s="947" t="e">
        <f>VLOOKUP(X1359,R_DD!$B$6:$E$2112,4,0)</f>
        <v>#N/A</v>
      </c>
    </row>
    <row r="1360" spans="22:29" ht="20.100000000000001" customHeight="1">
      <c r="V1360" s="944" t="e">
        <f>VLOOKUP(U1360,R_DD!$B$6:$E$2112,3,0)</f>
        <v>#N/A</v>
      </c>
      <c r="W1360" s="943" t="e">
        <f>VLOOKUP(U1360,R_DD!$B$6:$E$2112,4,0)</f>
        <v>#N/A</v>
      </c>
      <c r="Z1360" s="946" t="e">
        <f>VLOOKUP(X1360,R_DD!$B$6:$E$2112,3,0)</f>
        <v>#N/A</v>
      </c>
      <c r="AA1360" s="946" t="e">
        <f>VLOOKUP(Y1360,R_DD!$A$1:$L$2131,4,0)</f>
        <v>#N/A</v>
      </c>
      <c r="AB1360" s="947" t="e">
        <f>VLOOKUP(Y1360,R_DD!$A$1:$L$2131,5,0)</f>
        <v>#N/A</v>
      </c>
      <c r="AC1360" s="947" t="e">
        <f>VLOOKUP(X1360,R_DD!$B$6:$E$2112,4,0)</f>
        <v>#N/A</v>
      </c>
    </row>
    <row r="1361" spans="22:29" ht="20.100000000000001" customHeight="1">
      <c r="V1361" s="944" t="e">
        <f>VLOOKUP(U1361,R_DD!$B$6:$E$2112,3,0)</f>
        <v>#N/A</v>
      </c>
      <c r="W1361" s="943" t="e">
        <f>VLOOKUP(U1361,R_DD!$B$6:$E$2112,4,0)</f>
        <v>#N/A</v>
      </c>
      <c r="Z1361" s="946" t="e">
        <f>VLOOKUP(X1361,R_DD!$B$6:$E$2112,3,0)</f>
        <v>#N/A</v>
      </c>
      <c r="AA1361" s="946" t="e">
        <f>VLOOKUP(Y1361,R_DD!$A$1:$L$2131,4,0)</f>
        <v>#N/A</v>
      </c>
      <c r="AB1361" s="947" t="e">
        <f>VLOOKUP(Y1361,R_DD!$A$1:$L$2131,5,0)</f>
        <v>#N/A</v>
      </c>
      <c r="AC1361" s="947" t="e">
        <f>VLOOKUP(X1361,R_DD!$B$6:$E$2112,4,0)</f>
        <v>#N/A</v>
      </c>
    </row>
    <row r="1362" spans="22:29" ht="20.100000000000001" customHeight="1">
      <c r="V1362" s="944" t="e">
        <f>VLOOKUP(U1362,R_DD!$B$6:$E$2112,3,0)</f>
        <v>#N/A</v>
      </c>
      <c r="W1362" s="943" t="e">
        <f>VLOOKUP(U1362,R_DD!$B$6:$E$2112,4,0)</f>
        <v>#N/A</v>
      </c>
      <c r="Z1362" s="946" t="e">
        <f>VLOOKUP(X1362,R_DD!$B$6:$E$2112,3,0)</f>
        <v>#N/A</v>
      </c>
      <c r="AA1362" s="946" t="e">
        <f>VLOOKUP(Y1362,R_DD!$A$1:$L$2131,4,0)</f>
        <v>#N/A</v>
      </c>
      <c r="AB1362" s="947" t="e">
        <f>VLOOKUP(Y1362,R_DD!$A$1:$L$2131,5,0)</f>
        <v>#N/A</v>
      </c>
      <c r="AC1362" s="947" t="e">
        <f>VLOOKUP(X1362,R_DD!$B$6:$E$2112,4,0)</f>
        <v>#N/A</v>
      </c>
    </row>
    <row r="1363" spans="22:29" ht="20.100000000000001" customHeight="1">
      <c r="V1363" s="944" t="e">
        <f>VLOOKUP(U1363,R_DD!$B$6:$E$2112,3,0)</f>
        <v>#N/A</v>
      </c>
      <c r="W1363" s="943" t="e">
        <f>VLOOKUP(U1363,R_DD!$B$6:$E$2112,4,0)</f>
        <v>#N/A</v>
      </c>
      <c r="Z1363" s="946" t="e">
        <f>VLOOKUP(X1363,R_DD!$B$6:$E$2112,3,0)</f>
        <v>#N/A</v>
      </c>
      <c r="AA1363" s="946" t="e">
        <f>VLOOKUP(Y1363,R_DD!$A$1:$L$2131,4,0)</f>
        <v>#N/A</v>
      </c>
      <c r="AB1363" s="947" t="e">
        <f>VLOOKUP(Y1363,R_DD!$A$1:$L$2131,5,0)</f>
        <v>#N/A</v>
      </c>
      <c r="AC1363" s="947" t="e">
        <f>VLOOKUP(X1363,R_DD!$B$6:$E$2112,4,0)</f>
        <v>#N/A</v>
      </c>
    </row>
    <row r="1364" spans="22:29" ht="20.100000000000001" customHeight="1">
      <c r="V1364" s="944" t="e">
        <f>VLOOKUP(U1364,R_DD!$B$6:$E$2112,3,0)</f>
        <v>#N/A</v>
      </c>
      <c r="W1364" s="943" t="e">
        <f>VLOOKUP(U1364,R_DD!$B$6:$E$2112,4,0)</f>
        <v>#N/A</v>
      </c>
      <c r="Z1364" s="946" t="e">
        <f>VLOOKUP(X1364,R_DD!$B$6:$E$2112,3,0)</f>
        <v>#N/A</v>
      </c>
      <c r="AA1364" s="946" t="e">
        <f>VLOOKUP(Y1364,R_DD!$A$1:$L$2131,4,0)</f>
        <v>#N/A</v>
      </c>
      <c r="AB1364" s="947" t="e">
        <f>VLOOKUP(Y1364,R_DD!$A$1:$L$2131,5,0)</f>
        <v>#N/A</v>
      </c>
      <c r="AC1364" s="947" t="e">
        <f>VLOOKUP(X1364,R_DD!$B$6:$E$2112,4,0)</f>
        <v>#N/A</v>
      </c>
    </row>
    <row r="1365" spans="22:29" ht="20.100000000000001" customHeight="1">
      <c r="V1365" s="944" t="e">
        <f>VLOOKUP(U1365,R_DD!$B$6:$E$2112,3,0)</f>
        <v>#N/A</v>
      </c>
      <c r="W1365" s="943" t="e">
        <f>VLOOKUP(U1365,R_DD!$B$6:$E$2112,4,0)</f>
        <v>#N/A</v>
      </c>
      <c r="Z1365" s="946" t="e">
        <f>VLOOKUP(X1365,R_DD!$B$6:$E$2112,3,0)</f>
        <v>#N/A</v>
      </c>
      <c r="AA1365" s="946" t="e">
        <f>VLOOKUP(Y1365,R_DD!$A$1:$L$2131,4,0)</f>
        <v>#N/A</v>
      </c>
      <c r="AB1365" s="947" t="e">
        <f>VLOOKUP(Y1365,R_DD!$A$1:$L$2131,5,0)</f>
        <v>#N/A</v>
      </c>
      <c r="AC1365" s="947" t="e">
        <f>VLOOKUP(X1365,R_DD!$B$6:$E$2112,4,0)</f>
        <v>#N/A</v>
      </c>
    </row>
    <row r="1366" spans="22:29" ht="20.100000000000001" customHeight="1">
      <c r="V1366" s="944" t="e">
        <f>VLOOKUP(U1366,R_DD!$B$6:$E$2112,3,0)</f>
        <v>#N/A</v>
      </c>
      <c r="W1366" s="943" t="e">
        <f>VLOOKUP(U1366,R_DD!$B$6:$E$2112,4,0)</f>
        <v>#N/A</v>
      </c>
      <c r="Z1366" s="946" t="e">
        <f>VLOOKUP(X1366,R_DD!$B$6:$E$2112,3,0)</f>
        <v>#N/A</v>
      </c>
      <c r="AA1366" s="946" t="e">
        <f>VLOOKUP(Y1366,R_DD!$A$1:$L$2131,4,0)</f>
        <v>#N/A</v>
      </c>
      <c r="AB1366" s="947" t="e">
        <f>VLOOKUP(Y1366,R_DD!$A$1:$L$2131,5,0)</f>
        <v>#N/A</v>
      </c>
      <c r="AC1366" s="947" t="e">
        <f>VLOOKUP(X1366,R_DD!$B$6:$E$2112,4,0)</f>
        <v>#N/A</v>
      </c>
    </row>
    <row r="1367" spans="22:29" ht="20.100000000000001" customHeight="1">
      <c r="V1367" s="944" t="e">
        <f>VLOOKUP(U1367,R_DD!$B$6:$E$2112,3,0)</f>
        <v>#N/A</v>
      </c>
      <c r="W1367" s="943" t="e">
        <f>VLOOKUP(U1367,R_DD!$B$6:$E$2112,4,0)</f>
        <v>#N/A</v>
      </c>
      <c r="Z1367" s="946" t="e">
        <f>VLOOKUP(X1367,R_DD!$B$6:$E$2112,3,0)</f>
        <v>#N/A</v>
      </c>
      <c r="AA1367" s="946" t="e">
        <f>VLOOKUP(Y1367,R_DD!$A$1:$L$2131,4,0)</f>
        <v>#N/A</v>
      </c>
      <c r="AB1367" s="947" t="e">
        <f>VLOOKUP(Y1367,R_DD!$A$1:$L$2131,5,0)</f>
        <v>#N/A</v>
      </c>
      <c r="AC1367" s="947" t="e">
        <f>VLOOKUP(X1367,R_DD!$B$6:$E$2112,4,0)</f>
        <v>#N/A</v>
      </c>
    </row>
    <row r="1368" spans="22:29" ht="20.100000000000001" customHeight="1">
      <c r="V1368" s="944" t="e">
        <f>VLOOKUP(U1368,R_DD!$B$6:$E$2112,3,0)</f>
        <v>#N/A</v>
      </c>
      <c r="W1368" s="943" t="e">
        <f>VLOOKUP(U1368,R_DD!$B$6:$E$2112,4,0)</f>
        <v>#N/A</v>
      </c>
      <c r="Z1368" s="946" t="e">
        <f>VLOOKUP(X1368,R_DD!$B$6:$E$2112,3,0)</f>
        <v>#N/A</v>
      </c>
      <c r="AA1368" s="946" t="e">
        <f>VLOOKUP(Y1368,R_DD!$A$1:$L$2131,4,0)</f>
        <v>#N/A</v>
      </c>
      <c r="AB1368" s="947" t="e">
        <f>VLOOKUP(Y1368,R_DD!$A$1:$L$2131,5,0)</f>
        <v>#N/A</v>
      </c>
      <c r="AC1368" s="947" t="e">
        <f>VLOOKUP(X1368,R_DD!$B$6:$E$2112,4,0)</f>
        <v>#N/A</v>
      </c>
    </row>
    <row r="1369" spans="22:29" ht="20.100000000000001" customHeight="1">
      <c r="V1369" s="944" t="e">
        <f>VLOOKUP(U1369,R_DD!$B$6:$E$2112,3,0)</f>
        <v>#N/A</v>
      </c>
      <c r="W1369" s="943" t="e">
        <f>VLOOKUP(U1369,R_DD!$B$6:$E$2112,4,0)</f>
        <v>#N/A</v>
      </c>
      <c r="Z1369" s="946" t="e">
        <f>VLOOKUP(X1369,R_DD!$B$6:$E$2112,3,0)</f>
        <v>#N/A</v>
      </c>
      <c r="AA1369" s="946" t="e">
        <f>VLOOKUP(Y1369,R_DD!$A$1:$L$2131,4,0)</f>
        <v>#N/A</v>
      </c>
      <c r="AB1369" s="947" t="e">
        <f>VLOOKUP(Y1369,R_DD!$A$1:$L$2131,5,0)</f>
        <v>#N/A</v>
      </c>
      <c r="AC1369" s="947" t="e">
        <f>VLOOKUP(X1369,R_DD!$B$6:$E$2112,4,0)</f>
        <v>#N/A</v>
      </c>
    </row>
    <row r="1370" spans="22:29" ht="20.100000000000001" customHeight="1">
      <c r="V1370" s="944" t="e">
        <f>VLOOKUP(U1370,R_DD!$B$6:$E$2112,3,0)</f>
        <v>#N/A</v>
      </c>
      <c r="W1370" s="943" t="e">
        <f>VLOOKUP(U1370,R_DD!$B$6:$E$2112,4,0)</f>
        <v>#N/A</v>
      </c>
      <c r="Z1370" s="946" t="e">
        <f>VLOOKUP(X1370,R_DD!$B$6:$E$2112,3,0)</f>
        <v>#N/A</v>
      </c>
      <c r="AA1370" s="946" t="e">
        <f>VLOOKUP(Y1370,R_DD!$A$1:$L$2131,4,0)</f>
        <v>#N/A</v>
      </c>
      <c r="AB1370" s="947" t="e">
        <f>VLOOKUP(Y1370,R_DD!$A$1:$L$2131,5,0)</f>
        <v>#N/A</v>
      </c>
      <c r="AC1370" s="947" t="e">
        <f>VLOOKUP(X1370,R_DD!$B$6:$E$2112,4,0)</f>
        <v>#N/A</v>
      </c>
    </row>
    <row r="1371" spans="22:29" ht="20.100000000000001" customHeight="1">
      <c r="V1371" s="944" t="e">
        <f>VLOOKUP(U1371,R_DD!$B$6:$E$2112,3,0)</f>
        <v>#N/A</v>
      </c>
      <c r="W1371" s="943" t="e">
        <f>VLOOKUP(U1371,R_DD!$B$6:$E$2112,4,0)</f>
        <v>#N/A</v>
      </c>
      <c r="Z1371" s="946" t="e">
        <f>VLOOKUP(X1371,R_DD!$B$6:$E$2112,3,0)</f>
        <v>#N/A</v>
      </c>
      <c r="AA1371" s="946" t="e">
        <f>VLOOKUP(Y1371,R_DD!$A$1:$L$2131,4,0)</f>
        <v>#N/A</v>
      </c>
      <c r="AB1371" s="947" t="e">
        <f>VLOOKUP(Y1371,R_DD!$A$1:$L$2131,5,0)</f>
        <v>#N/A</v>
      </c>
      <c r="AC1371" s="947" t="e">
        <f>VLOOKUP(X1371,R_DD!$B$6:$E$2112,4,0)</f>
        <v>#N/A</v>
      </c>
    </row>
    <row r="1372" spans="22:29" ht="20.100000000000001" customHeight="1">
      <c r="V1372" s="944" t="e">
        <f>VLOOKUP(U1372,R_DD!$B$6:$E$2112,3,0)</f>
        <v>#N/A</v>
      </c>
      <c r="W1372" s="943" t="e">
        <f>VLOOKUP(U1372,R_DD!$B$6:$E$2112,4,0)</f>
        <v>#N/A</v>
      </c>
      <c r="Z1372" s="946" t="e">
        <f>VLOOKUP(X1372,R_DD!$B$6:$E$2112,3,0)</f>
        <v>#N/A</v>
      </c>
      <c r="AA1372" s="946" t="e">
        <f>VLOOKUP(Y1372,R_DD!$A$1:$L$2131,4,0)</f>
        <v>#N/A</v>
      </c>
      <c r="AB1372" s="947" t="e">
        <f>VLOOKUP(Y1372,R_DD!$A$1:$L$2131,5,0)</f>
        <v>#N/A</v>
      </c>
      <c r="AC1372" s="947" t="e">
        <f>VLOOKUP(X1372,R_DD!$B$6:$E$2112,4,0)</f>
        <v>#N/A</v>
      </c>
    </row>
    <row r="1373" spans="22:29" ht="20.100000000000001" customHeight="1">
      <c r="V1373" s="944" t="e">
        <f>VLOOKUP(U1373,R_DD!$B$6:$E$2112,3,0)</f>
        <v>#N/A</v>
      </c>
      <c r="W1373" s="943" t="e">
        <f>VLOOKUP(U1373,R_DD!$B$6:$E$2112,4,0)</f>
        <v>#N/A</v>
      </c>
      <c r="Z1373" s="946" t="e">
        <f>VLOOKUP(X1373,R_DD!$B$6:$E$2112,3,0)</f>
        <v>#N/A</v>
      </c>
      <c r="AA1373" s="946" t="e">
        <f>VLOOKUP(Y1373,R_DD!$A$1:$L$2131,4,0)</f>
        <v>#N/A</v>
      </c>
      <c r="AB1373" s="947" t="e">
        <f>VLOOKUP(Y1373,R_DD!$A$1:$L$2131,5,0)</f>
        <v>#N/A</v>
      </c>
      <c r="AC1373" s="947" t="e">
        <f>VLOOKUP(X1373,R_DD!$B$6:$E$2112,4,0)</f>
        <v>#N/A</v>
      </c>
    </row>
    <row r="1374" spans="22:29" ht="20.100000000000001" customHeight="1">
      <c r="V1374" s="944" t="e">
        <f>VLOOKUP(U1374,R_DD!$B$6:$E$2112,3,0)</f>
        <v>#N/A</v>
      </c>
      <c r="W1374" s="943" t="e">
        <f>VLOOKUP(U1374,R_DD!$B$6:$E$2112,4,0)</f>
        <v>#N/A</v>
      </c>
      <c r="Z1374" s="946" t="e">
        <f>VLOOKUP(X1374,R_DD!$B$6:$E$2112,3,0)</f>
        <v>#N/A</v>
      </c>
      <c r="AA1374" s="946" t="e">
        <f>VLOOKUP(Y1374,R_DD!$A$1:$L$2131,4,0)</f>
        <v>#N/A</v>
      </c>
      <c r="AB1374" s="947" t="e">
        <f>VLOOKUP(Y1374,R_DD!$A$1:$L$2131,5,0)</f>
        <v>#N/A</v>
      </c>
      <c r="AC1374" s="947" t="e">
        <f>VLOOKUP(X1374,R_DD!$B$6:$E$2112,4,0)</f>
        <v>#N/A</v>
      </c>
    </row>
    <row r="1375" spans="22:29" ht="20.100000000000001" customHeight="1">
      <c r="V1375" s="944" t="e">
        <f>VLOOKUP(U1375,R_DD!$B$6:$E$2112,3,0)</f>
        <v>#N/A</v>
      </c>
      <c r="W1375" s="943" t="e">
        <f>VLOOKUP(U1375,R_DD!$B$6:$E$2112,4,0)</f>
        <v>#N/A</v>
      </c>
      <c r="Z1375" s="946" t="e">
        <f>VLOOKUP(X1375,R_DD!$B$6:$E$2112,3,0)</f>
        <v>#N/A</v>
      </c>
      <c r="AA1375" s="946" t="e">
        <f>VLOOKUP(Y1375,R_DD!$A$1:$L$2131,4,0)</f>
        <v>#N/A</v>
      </c>
      <c r="AB1375" s="947" t="e">
        <f>VLOOKUP(Y1375,R_DD!$A$1:$L$2131,5,0)</f>
        <v>#N/A</v>
      </c>
      <c r="AC1375" s="947" t="e">
        <f>VLOOKUP(X1375,R_DD!$B$6:$E$2112,4,0)</f>
        <v>#N/A</v>
      </c>
    </row>
    <row r="1376" spans="22:29" ht="20.100000000000001" customHeight="1">
      <c r="V1376" s="944" t="e">
        <f>VLOOKUP(U1376,R_DD!$B$6:$E$2112,3,0)</f>
        <v>#N/A</v>
      </c>
      <c r="W1376" s="943" t="e">
        <f>VLOOKUP(U1376,R_DD!$B$6:$E$2112,4,0)</f>
        <v>#N/A</v>
      </c>
      <c r="Z1376" s="946" t="e">
        <f>VLOOKUP(X1376,R_DD!$B$6:$E$2112,3,0)</f>
        <v>#N/A</v>
      </c>
      <c r="AA1376" s="946" t="e">
        <f>VLOOKUP(Y1376,R_DD!$A$1:$L$2131,4,0)</f>
        <v>#N/A</v>
      </c>
      <c r="AB1376" s="947" t="e">
        <f>VLOOKUP(Y1376,R_DD!$A$1:$L$2131,5,0)</f>
        <v>#N/A</v>
      </c>
      <c r="AC1376" s="947" t="e">
        <f>VLOOKUP(X1376,R_DD!$B$6:$E$2112,4,0)</f>
        <v>#N/A</v>
      </c>
    </row>
    <row r="1377" spans="22:29" ht="20.100000000000001" customHeight="1">
      <c r="V1377" s="944" t="e">
        <f>VLOOKUP(U1377,R_DD!$B$6:$E$2112,3,0)</f>
        <v>#N/A</v>
      </c>
      <c r="W1377" s="943" t="e">
        <f>VLOOKUP(U1377,R_DD!$B$6:$E$2112,4,0)</f>
        <v>#N/A</v>
      </c>
      <c r="Z1377" s="946" t="e">
        <f>VLOOKUP(X1377,R_DD!$B$6:$E$2112,3,0)</f>
        <v>#N/A</v>
      </c>
      <c r="AA1377" s="946" t="e">
        <f>VLOOKUP(Y1377,R_DD!$A$1:$L$2131,4,0)</f>
        <v>#N/A</v>
      </c>
      <c r="AB1377" s="947" t="e">
        <f>VLOOKUP(Y1377,R_DD!$A$1:$L$2131,5,0)</f>
        <v>#N/A</v>
      </c>
      <c r="AC1377" s="947" t="e">
        <f>VLOOKUP(X1377,R_DD!$B$6:$E$2112,4,0)</f>
        <v>#N/A</v>
      </c>
    </row>
    <row r="1378" spans="22:29" ht="20.100000000000001" customHeight="1">
      <c r="V1378" s="944" t="e">
        <f>VLOOKUP(U1378,R_DD!$B$6:$E$2112,3,0)</f>
        <v>#N/A</v>
      </c>
      <c r="W1378" s="943" t="e">
        <f>VLOOKUP(U1378,R_DD!$B$6:$E$2112,4,0)</f>
        <v>#N/A</v>
      </c>
      <c r="Z1378" s="946" t="e">
        <f>VLOOKUP(X1378,R_DD!$B$6:$E$2112,3,0)</f>
        <v>#N/A</v>
      </c>
      <c r="AA1378" s="946" t="e">
        <f>VLOOKUP(Y1378,R_DD!$A$1:$L$2131,4,0)</f>
        <v>#N/A</v>
      </c>
      <c r="AB1378" s="947" t="e">
        <f>VLOOKUP(Y1378,R_DD!$A$1:$L$2131,5,0)</f>
        <v>#N/A</v>
      </c>
      <c r="AC1378" s="947" t="e">
        <f>VLOOKUP(X1378,R_DD!$B$6:$E$2112,4,0)</f>
        <v>#N/A</v>
      </c>
    </row>
    <row r="1379" spans="22:29" ht="20.100000000000001" customHeight="1">
      <c r="V1379" s="944" t="e">
        <f>VLOOKUP(U1379,R_DD!$B$6:$E$2112,3,0)</f>
        <v>#N/A</v>
      </c>
      <c r="W1379" s="943" t="e">
        <f>VLOOKUP(U1379,R_DD!$B$6:$E$2112,4,0)</f>
        <v>#N/A</v>
      </c>
      <c r="Z1379" s="946" t="e">
        <f>VLOOKUP(X1379,R_DD!$B$6:$E$2112,3,0)</f>
        <v>#N/A</v>
      </c>
      <c r="AA1379" s="946" t="e">
        <f>VLOOKUP(Y1379,R_DD!$A$1:$L$2131,4,0)</f>
        <v>#N/A</v>
      </c>
      <c r="AB1379" s="947" t="e">
        <f>VLOOKUP(Y1379,R_DD!$A$1:$L$2131,5,0)</f>
        <v>#N/A</v>
      </c>
      <c r="AC1379" s="947" t="e">
        <f>VLOOKUP(X1379,R_DD!$B$6:$E$2112,4,0)</f>
        <v>#N/A</v>
      </c>
    </row>
    <row r="1380" spans="22:29" ht="20.100000000000001" customHeight="1">
      <c r="V1380" s="944" t="e">
        <f>VLOOKUP(U1380,R_DD!$B$6:$E$2112,3,0)</f>
        <v>#N/A</v>
      </c>
      <c r="W1380" s="943" t="e">
        <f>VLOOKUP(U1380,R_DD!$B$6:$E$2112,4,0)</f>
        <v>#N/A</v>
      </c>
      <c r="Z1380" s="946" t="e">
        <f>VLOOKUP(X1380,R_DD!$B$6:$E$2112,3,0)</f>
        <v>#N/A</v>
      </c>
      <c r="AA1380" s="946" t="e">
        <f>VLOOKUP(Y1380,R_DD!$A$1:$L$2131,4,0)</f>
        <v>#N/A</v>
      </c>
      <c r="AB1380" s="947" t="e">
        <f>VLOOKUP(Y1380,R_DD!$A$1:$L$2131,5,0)</f>
        <v>#N/A</v>
      </c>
      <c r="AC1380" s="947" t="e">
        <f>VLOOKUP(X1380,R_DD!$B$6:$E$2112,4,0)</f>
        <v>#N/A</v>
      </c>
    </row>
    <row r="1381" spans="22:29" ht="20.100000000000001" customHeight="1">
      <c r="V1381" s="944" t="e">
        <f>VLOOKUP(U1381,R_DD!$B$6:$E$2112,3,0)</f>
        <v>#N/A</v>
      </c>
      <c r="W1381" s="943" t="e">
        <f>VLOOKUP(U1381,R_DD!$B$6:$E$2112,4,0)</f>
        <v>#N/A</v>
      </c>
      <c r="Z1381" s="946" t="e">
        <f>VLOOKUP(X1381,R_DD!$B$6:$E$2112,3,0)</f>
        <v>#N/A</v>
      </c>
      <c r="AA1381" s="946" t="e">
        <f>VLOOKUP(Y1381,R_DD!$A$1:$L$2131,4,0)</f>
        <v>#N/A</v>
      </c>
      <c r="AB1381" s="947" t="e">
        <f>VLOOKUP(Y1381,R_DD!$A$1:$L$2131,5,0)</f>
        <v>#N/A</v>
      </c>
      <c r="AC1381" s="947" t="e">
        <f>VLOOKUP(X1381,R_DD!$B$6:$E$2112,4,0)</f>
        <v>#N/A</v>
      </c>
    </row>
    <row r="1382" spans="22:29" ht="20.100000000000001" customHeight="1">
      <c r="V1382" s="944" t="e">
        <f>VLOOKUP(U1382,R_DD!$B$6:$E$2112,3,0)</f>
        <v>#N/A</v>
      </c>
      <c r="W1382" s="943" t="e">
        <f>VLOOKUP(U1382,R_DD!$B$6:$E$2112,4,0)</f>
        <v>#N/A</v>
      </c>
      <c r="Z1382" s="946" t="e">
        <f>VLOOKUP(X1382,R_DD!$B$6:$E$2112,3,0)</f>
        <v>#N/A</v>
      </c>
      <c r="AA1382" s="946" t="e">
        <f>VLOOKUP(Y1382,R_DD!$A$1:$L$2131,4,0)</f>
        <v>#N/A</v>
      </c>
      <c r="AB1382" s="947" t="e">
        <f>VLOOKUP(Y1382,R_DD!$A$1:$L$2131,5,0)</f>
        <v>#N/A</v>
      </c>
      <c r="AC1382" s="947" t="e">
        <f>VLOOKUP(X1382,R_DD!$B$6:$E$2112,4,0)</f>
        <v>#N/A</v>
      </c>
    </row>
    <row r="1383" spans="22:29" ht="20.100000000000001" customHeight="1">
      <c r="V1383" s="944" t="e">
        <f>VLOOKUP(U1383,R_DD!$B$6:$E$2112,3,0)</f>
        <v>#N/A</v>
      </c>
      <c r="W1383" s="943" t="e">
        <f>VLOOKUP(U1383,R_DD!$B$6:$E$2112,4,0)</f>
        <v>#N/A</v>
      </c>
      <c r="Z1383" s="946" t="e">
        <f>VLOOKUP(X1383,R_DD!$B$6:$E$2112,3,0)</f>
        <v>#N/A</v>
      </c>
      <c r="AA1383" s="946" t="e">
        <f>VLOOKUP(Y1383,R_DD!$A$1:$L$2131,4,0)</f>
        <v>#N/A</v>
      </c>
      <c r="AB1383" s="947" t="e">
        <f>VLOOKUP(Y1383,R_DD!$A$1:$L$2131,5,0)</f>
        <v>#N/A</v>
      </c>
      <c r="AC1383" s="947" t="e">
        <f>VLOOKUP(X1383,R_DD!$B$6:$E$2112,4,0)</f>
        <v>#N/A</v>
      </c>
    </row>
    <row r="1384" spans="22:29" ht="20.100000000000001" customHeight="1">
      <c r="V1384" s="944" t="e">
        <f>VLOOKUP(U1384,R_DD!$B$6:$E$2112,3,0)</f>
        <v>#N/A</v>
      </c>
      <c r="W1384" s="943" t="e">
        <f>VLOOKUP(U1384,R_DD!$B$6:$E$2112,4,0)</f>
        <v>#N/A</v>
      </c>
      <c r="Z1384" s="946" t="e">
        <f>VLOOKUP(X1384,R_DD!$B$6:$E$2112,3,0)</f>
        <v>#N/A</v>
      </c>
      <c r="AA1384" s="946" t="e">
        <f>VLOOKUP(Y1384,R_DD!$A$1:$L$2131,4,0)</f>
        <v>#N/A</v>
      </c>
      <c r="AB1384" s="947" t="e">
        <f>VLOOKUP(Y1384,R_DD!$A$1:$L$2131,5,0)</f>
        <v>#N/A</v>
      </c>
      <c r="AC1384" s="947" t="e">
        <f>VLOOKUP(X1384,R_DD!$B$6:$E$2112,4,0)</f>
        <v>#N/A</v>
      </c>
    </row>
    <row r="1385" spans="22:29" ht="20.100000000000001" customHeight="1">
      <c r="V1385" s="944" t="e">
        <f>VLOOKUP(U1385,R_DD!$B$6:$E$2112,3,0)</f>
        <v>#N/A</v>
      </c>
      <c r="W1385" s="943" t="e">
        <f>VLOOKUP(U1385,R_DD!$B$6:$E$2112,4,0)</f>
        <v>#N/A</v>
      </c>
      <c r="Z1385" s="946" t="e">
        <f>VLOOKUP(X1385,R_DD!$B$6:$E$2112,3,0)</f>
        <v>#N/A</v>
      </c>
      <c r="AA1385" s="946" t="e">
        <f>VLOOKUP(Y1385,R_DD!$A$1:$L$2131,4,0)</f>
        <v>#N/A</v>
      </c>
      <c r="AB1385" s="947" t="e">
        <f>VLOOKUP(Y1385,R_DD!$A$1:$L$2131,5,0)</f>
        <v>#N/A</v>
      </c>
      <c r="AC1385" s="947" t="e">
        <f>VLOOKUP(X1385,R_DD!$B$6:$E$2112,4,0)</f>
        <v>#N/A</v>
      </c>
    </row>
    <row r="1386" spans="22:29" ht="20.100000000000001" customHeight="1">
      <c r="V1386" s="944" t="e">
        <f>VLOOKUP(U1386,R_DD!$B$6:$E$2112,3,0)</f>
        <v>#N/A</v>
      </c>
      <c r="W1386" s="943" t="e">
        <f>VLOOKUP(U1386,R_DD!$B$6:$E$2112,4,0)</f>
        <v>#N/A</v>
      </c>
      <c r="Z1386" s="946" t="e">
        <f>VLOOKUP(X1386,R_DD!$B$6:$E$2112,3,0)</f>
        <v>#N/A</v>
      </c>
      <c r="AA1386" s="946" t="e">
        <f>VLOOKUP(Y1386,R_DD!$A$1:$L$2131,4,0)</f>
        <v>#N/A</v>
      </c>
      <c r="AB1386" s="947" t="e">
        <f>VLOOKUP(Y1386,R_DD!$A$1:$L$2131,5,0)</f>
        <v>#N/A</v>
      </c>
      <c r="AC1386" s="947" t="e">
        <f>VLOOKUP(X1386,R_DD!$B$6:$E$2112,4,0)</f>
        <v>#N/A</v>
      </c>
    </row>
  </sheetData>
  <hyperlinks>
    <hyperlink ref="A6" location="R_SETTING!A6" display="THU HYPERLIN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pageSetUpPr fitToPage="1"/>
  </sheetPr>
  <dimension ref="A1:N1131"/>
  <sheetViews>
    <sheetView showGridLines="0" showZeros="0" view="pageBreakPreview" topLeftCell="A724" zoomScaleNormal="85" zoomScaleSheetLayoutView="100" workbookViewId="0">
      <selection activeCell="C1079" sqref="C1079"/>
    </sheetView>
  </sheetViews>
  <sheetFormatPr defaultColWidth="9.140625" defaultRowHeight="20.100000000000001" customHeight="1"/>
  <cols>
    <col min="1" max="1" width="17.42578125" style="215" customWidth="1"/>
    <col min="2" max="2" width="17.42578125" style="198" customWidth="1"/>
    <col min="3" max="3" width="10.5703125" style="198" bestFit="1" customWidth="1"/>
    <col min="4" max="4" width="60.140625" style="198" customWidth="1"/>
    <col min="5" max="5" width="7.42578125" style="198" bestFit="1" customWidth="1"/>
    <col min="6" max="6" width="10.42578125" style="198" bestFit="1" customWidth="1"/>
    <col min="7" max="7" width="14" style="198" bestFit="1" customWidth="1"/>
    <col min="8" max="8" width="12.5703125" style="198" bestFit="1" customWidth="1"/>
    <col min="9" max="9" width="10.42578125" style="198" customWidth="1"/>
    <col min="10" max="10" width="14" style="198" bestFit="1" customWidth="1"/>
    <col min="11" max="11" width="12.5703125" style="198" bestFit="1" customWidth="1"/>
    <col min="12" max="12" width="12.42578125" style="198" bestFit="1" customWidth="1"/>
    <col min="13" max="13" width="6.85546875" style="92" customWidth="1"/>
    <col min="14" max="14" width="13.42578125" style="324" customWidth="1"/>
    <col min="15" max="16384" width="9.140625" style="198"/>
  </cols>
  <sheetData>
    <row r="1" spans="1:14" ht="20.100000000000001" customHeight="1">
      <c r="C1" s="177" t="e">
        <f ca="1">R_SETTING!E18</f>
        <v>#REF!</v>
      </c>
      <c r="D1" s="178"/>
      <c r="E1" s="178"/>
      <c r="F1" s="178"/>
      <c r="G1" s="178"/>
      <c r="H1" s="178"/>
      <c r="I1" s="178"/>
      <c r="J1" s="178"/>
      <c r="K1" s="178"/>
      <c r="L1" s="178"/>
    </row>
    <row r="2" spans="1:14" ht="20.100000000000001" customHeight="1" thickBot="1">
      <c r="B2" s="216">
        <v>3</v>
      </c>
    </row>
    <row r="3" spans="1:14" ht="20.100000000000001" customHeight="1" thickTop="1">
      <c r="A3" s="87"/>
      <c r="B3" s="98" t="s">
        <v>2137</v>
      </c>
      <c r="C3" s="99" t="s">
        <v>2138</v>
      </c>
      <c r="D3" s="100" t="s">
        <v>2356</v>
      </c>
      <c r="E3" s="101" t="s">
        <v>2139</v>
      </c>
      <c r="F3" s="101" t="s">
        <v>2140</v>
      </c>
      <c r="G3" s="1447" t="s">
        <v>2355</v>
      </c>
      <c r="H3" s="1447"/>
      <c r="I3" s="1447"/>
      <c r="J3" s="1447" t="s">
        <v>2141</v>
      </c>
      <c r="K3" s="1447"/>
      <c r="L3" s="1448"/>
      <c r="N3" s="325" t="s">
        <v>2358</v>
      </c>
    </row>
    <row r="4" spans="1:14" ht="20.100000000000001" customHeight="1">
      <c r="A4" s="87"/>
      <c r="B4" s="6"/>
      <c r="C4" s="102" t="s">
        <v>2141</v>
      </c>
      <c r="D4" s="103" t="s">
        <v>2528</v>
      </c>
      <c r="E4" s="104" t="s">
        <v>2142</v>
      </c>
      <c r="F4" s="104" t="s">
        <v>2143</v>
      </c>
      <c r="G4" s="105" t="s">
        <v>3</v>
      </c>
      <c r="H4" s="105" t="s">
        <v>4</v>
      </c>
      <c r="I4" s="105" t="s">
        <v>5</v>
      </c>
      <c r="J4" s="105" t="s">
        <v>3</v>
      </c>
      <c r="K4" s="105" t="s">
        <v>4</v>
      </c>
      <c r="L4" s="106" t="s">
        <v>5</v>
      </c>
      <c r="M4" s="92" t="s">
        <v>3273</v>
      </c>
      <c r="N4" s="326" t="s">
        <v>3274</v>
      </c>
    </row>
    <row r="5" spans="1:14" ht="20.100000000000001" customHeight="1">
      <c r="A5" s="87"/>
      <c r="B5" s="6"/>
      <c r="C5" s="107">
        <v>1</v>
      </c>
      <c r="D5" s="108">
        <v>2</v>
      </c>
      <c r="E5" s="108">
        <v>3</v>
      </c>
      <c r="F5" s="109">
        <v>4</v>
      </c>
      <c r="G5" s="211">
        <v>5</v>
      </c>
      <c r="H5" s="211">
        <v>6</v>
      </c>
      <c r="I5" s="211">
        <v>7</v>
      </c>
      <c r="J5" s="211" t="s">
        <v>2569</v>
      </c>
      <c r="K5" s="211" t="s">
        <v>2570</v>
      </c>
      <c r="L5" s="217" t="s">
        <v>2571</v>
      </c>
      <c r="N5" s="327"/>
    </row>
    <row r="6" spans="1:14" ht="20.100000000000001" customHeight="1">
      <c r="A6" s="87"/>
      <c r="B6" s="6"/>
      <c r="C6" s="32"/>
      <c r="D6" s="9"/>
      <c r="E6" s="9"/>
      <c r="F6" s="33"/>
      <c r="G6" s="212"/>
      <c r="H6" s="212"/>
      <c r="I6" s="212"/>
      <c r="J6" s="212"/>
      <c r="K6" s="212"/>
      <c r="L6" s="218"/>
      <c r="N6" s="327"/>
    </row>
    <row r="7" spans="1:14" ht="20.100000000000001" customHeight="1">
      <c r="A7" s="87"/>
      <c r="B7" s="6"/>
      <c r="C7" s="32"/>
      <c r="D7" s="9"/>
      <c r="E7" s="9"/>
      <c r="F7" s="33"/>
      <c r="G7" s="212"/>
      <c r="H7" s="212"/>
      <c r="I7" s="212"/>
      <c r="J7" s="212"/>
      <c r="K7" s="212"/>
      <c r="L7" s="218"/>
      <c r="N7" s="327"/>
    </row>
    <row r="8" spans="1:14" ht="20.100000000000001" customHeight="1">
      <c r="A8" s="27" t="s">
        <v>2213</v>
      </c>
      <c r="B8" s="27"/>
      <c r="C8" s="34"/>
      <c r="D8" s="25" t="s">
        <v>2214</v>
      </c>
      <c r="E8" s="25" t="s">
        <v>2215</v>
      </c>
      <c r="F8" s="26"/>
      <c r="G8" s="213"/>
      <c r="H8" s="213"/>
      <c r="I8" s="213"/>
      <c r="J8" s="213">
        <f>SUM(J9:J12)</f>
        <v>1709000</v>
      </c>
      <c r="K8" s="213">
        <f>SUM(K9:K12)</f>
        <v>0</v>
      </c>
      <c r="L8" s="219">
        <f>SUM(L9:L12)</f>
        <v>0</v>
      </c>
      <c r="M8" s="92">
        <f>IF(ERROR.TYPE(IF(HLOOKUP(A8,maBK,1,0)&lt;&gt;"",#NULL!,"ABC"))&lt;&gt;7,1,0)</f>
        <v>0</v>
      </c>
      <c r="N8" s="327">
        <f ca="1">SUMIF(maBK,$A8,tongBK1)</f>
        <v>0</v>
      </c>
    </row>
    <row r="9" spans="1:14" ht="20.100000000000001" customHeight="1">
      <c r="A9" s="88"/>
      <c r="B9" s="7" t="s">
        <v>2094</v>
      </c>
      <c r="C9" s="32">
        <f>VLOOKUP($B9,R_DG!$A$7:$G$1305,2,0)</f>
        <v>0</v>
      </c>
      <c r="D9" s="8" t="str">
        <f>VLOOKUP($B9,R_DG!$A$7:$G$1305,3,0)</f>
        <v>Trụ đèn chiếu sáng côn tròn STK cao 6m, dày 3mm, D60/150mm. Đế 375x375x10mm</v>
      </c>
      <c r="E9" s="9" t="str">
        <f>VLOOKUP($B9,R_DG!$A$7:$G$1305,4,0)</f>
        <v>trụ</v>
      </c>
      <c r="F9" s="11">
        <v>1</v>
      </c>
      <c r="G9" s="214">
        <f>VLOOKUP($B9,R_DG!$A$7:$G$1305,5,0)</f>
        <v>1709000</v>
      </c>
      <c r="H9" s="214">
        <f>VLOOKUP($B9,R_DG!$A$7:$G$1305,6,0)</f>
        <v>0</v>
      </c>
      <c r="I9" s="214">
        <f>VLOOKUP($B9,R_DG!$A$7:$G$1305,7,0)</f>
        <v>0</v>
      </c>
      <c r="J9" s="214">
        <f t="shared" ref="J9:L12" si="0">G9*$F9</f>
        <v>1709000</v>
      </c>
      <c r="K9" s="214">
        <f t="shared" si="0"/>
        <v>0</v>
      </c>
      <c r="L9" s="220">
        <f t="shared" si="0"/>
        <v>0</v>
      </c>
      <c r="M9" s="93">
        <f>IF(F9&gt;0,M$8,0)</f>
        <v>0</v>
      </c>
      <c r="N9" s="328">
        <f ca="1">$F9*N$8</f>
        <v>0</v>
      </c>
    </row>
    <row r="10" spans="1:14" ht="20.100000000000001" customHeight="1">
      <c r="A10" s="88"/>
      <c r="B10" s="7" t="s">
        <v>398</v>
      </c>
      <c r="C10" s="32">
        <f>VLOOKUP($B10,R_DG!$A$7:$G$1305,2,0)</f>
        <v>0</v>
      </c>
      <c r="D10" s="8" t="str">
        <f>VLOOKUP($B10,R_DG!$A$7:$G$1305,3,0)</f>
        <v>Vật liệu dựng trụ</v>
      </c>
      <c r="E10" s="9" t="str">
        <f>VLOOKUP($B10,R_DG!$A$7:$G$1305,4,0)</f>
        <v>trụ</v>
      </c>
      <c r="F10" s="11">
        <v>1</v>
      </c>
      <c r="G10" s="214">
        <f>VLOOKUP($B10,R_DG!$A$7:$G$1305,5,0)</f>
        <v>0</v>
      </c>
      <c r="H10" s="214">
        <f>VLOOKUP($B10,R_DG!$A$7:$G$1305,6,0)</f>
        <v>0</v>
      </c>
      <c r="I10" s="214">
        <f>VLOOKUP($B10,R_DG!$A$7:$G$1305,7,0)</f>
        <v>0</v>
      </c>
      <c r="J10" s="214">
        <f t="shared" si="0"/>
        <v>0</v>
      </c>
      <c r="K10" s="214">
        <f t="shared" si="0"/>
        <v>0</v>
      </c>
      <c r="L10" s="220">
        <f t="shared" si="0"/>
        <v>0</v>
      </c>
      <c r="M10" s="93">
        <f>IF(F10&gt;0,M$8,0)</f>
        <v>0</v>
      </c>
      <c r="N10" s="328">
        <f ca="1">$F10*N$8</f>
        <v>0</v>
      </c>
    </row>
    <row r="11" spans="1:14" ht="20.100000000000001" customHeight="1">
      <c r="A11" s="88"/>
      <c r="B11" s="7" t="s">
        <v>2793</v>
      </c>
      <c r="C11" s="32">
        <f>VLOOKUP($B11,R_DG!$A$7:$G$1305,2,0)</f>
        <v>0</v>
      </c>
      <c r="D11" s="8">
        <f>VLOOKUP($B11,R_DG!$A$7:$G$1305,3,0)</f>
        <v>0</v>
      </c>
      <c r="E11" s="9">
        <f>VLOOKUP($B11,R_DG!$A$7:$G$1305,4,0)</f>
        <v>0</v>
      </c>
      <c r="F11" s="11">
        <v>1</v>
      </c>
      <c r="G11" s="214">
        <f>VLOOKUP($B11,R_DG!$A$7:$G$1305,5,0)</f>
        <v>0</v>
      </c>
      <c r="H11" s="214">
        <f>VLOOKUP($B11,R_DG!$A$7:$G$1305,6,0)</f>
        <v>0</v>
      </c>
      <c r="I11" s="214">
        <f>VLOOKUP($B11,R_DG!$A$7:$G$1305,7,0)</f>
        <v>0</v>
      </c>
      <c r="J11" s="214">
        <f t="shared" si="0"/>
        <v>0</v>
      </c>
      <c r="K11" s="214">
        <f t="shared" si="0"/>
        <v>0</v>
      </c>
      <c r="L11" s="220">
        <f t="shared" si="0"/>
        <v>0</v>
      </c>
      <c r="M11" s="93">
        <f>IF(F11&gt;0,M$8,0)</f>
        <v>0</v>
      </c>
      <c r="N11" s="328">
        <f ca="1">$F11*N$8</f>
        <v>0</v>
      </c>
    </row>
    <row r="12" spans="1:14" ht="20.100000000000001" customHeight="1">
      <c r="A12" s="88"/>
      <c r="B12" s="7" t="s">
        <v>2216</v>
      </c>
      <c r="C12" s="32" t="str">
        <f>VLOOKUP($B12,R_DG!$A$7:$G$1305,2,0)</f>
        <v>02.1124</v>
      </c>
      <c r="D12" s="8" t="str">
        <f>VLOOKUP($B12,R_DG!$A$7:$G$1305,3,0)</f>
        <v xml:space="preserve">Bốc dỡ trụ </v>
      </c>
      <c r="E12" s="9" t="str">
        <f>VLOOKUP($B12,R_DG!$A$7:$G$1305,4,0)</f>
        <v>tấn</v>
      </c>
      <c r="F12" s="11">
        <v>0.2</v>
      </c>
      <c r="G12" s="214">
        <f>VLOOKUP($B12,R_DG!$A$7:$G$1305,5,0)</f>
        <v>0</v>
      </c>
      <c r="H12" s="214">
        <f>VLOOKUP($B12,R_DG!$A$7:$G$1305,6,0)</f>
        <v>0</v>
      </c>
      <c r="I12" s="214">
        <f>VLOOKUP($B12,R_DG!$A$7:$G$1305,7,0)</f>
        <v>0</v>
      </c>
      <c r="J12" s="214">
        <f t="shared" si="0"/>
        <v>0</v>
      </c>
      <c r="K12" s="214">
        <f t="shared" si="0"/>
        <v>0</v>
      </c>
      <c r="L12" s="220">
        <f t="shared" si="0"/>
        <v>0</v>
      </c>
      <c r="M12" s="93">
        <f>IF(F12&gt;0,M$8,0)</f>
        <v>0</v>
      </c>
      <c r="N12" s="328">
        <f ca="1">$F12*N$8</f>
        <v>0</v>
      </c>
    </row>
    <row r="13" spans="1:14" ht="20.100000000000001" customHeight="1">
      <c r="A13" s="27" t="s">
        <v>2477</v>
      </c>
      <c r="B13" s="27"/>
      <c r="C13" s="34"/>
      <c r="D13" s="25" t="s">
        <v>2217</v>
      </c>
      <c r="E13" s="25" t="s">
        <v>2215</v>
      </c>
      <c r="F13" s="26"/>
      <c r="G13" s="213"/>
      <c r="H13" s="213"/>
      <c r="I13" s="213"/>
      <c r="J13" s="213">
        <f>SUM(J14:J17)</f>
        <v>936364</v>
      </c>
      <c r="K13" s="213">
        <f>SUM(K14:K17)</f>
        <v>438339</v>
      </c>
      <c r="L13" s="219">
        <f>SUM(L14:L17)</f>
        <v>145706.46089510492</v>
      </c>
      <c r="M13" s="92">
        <f>IF(ERROR.TYPE(IF(HLOOKUP(A13,maBK,1,0)&lt;&gt;"",#NULL!,"ABC"))&lt;&gt;7,1,0)</f>
        <v>0</v>
      </c>
      <c r="N13" s="327">
        <f ca="1">SUMIF(maBK,$A13,tongBK1)</f>
        <v>0</v>
      </c>
    </row>
    <row r="14" spans="1:14" ht="20.100000000000001" customHeight="1">
      <c r="A14" s="87"/>
      <c r="B14" s="7" t="s">
        <v>730</v>
      </c>
      <c r="C14" s="32">
        <f>VLOOKUP($B14,R_DG!$A$7:$G$1305,2,0)</f>
        <v>0</v>
      </c>
      <c r="D14" s="8" t="str">
        <f>VLOOKUP($B14,R_DG!$A$7:$G$1305,3,0)</f>
        <v>Trụ BTLT 7,5m F200 dự ứng lực</v>
      </c>
      <c r="E14" s="9" t="str">
        <f>VLOOKUP($B14,R_DG!$A$7:$G$1305,4,0)</f>
        <v>trụ</v>
      </c>
      <c r="F14" s="11">
        <v>1</v>
      </c>
      <c r="G14" s="214">
        <f>VLOOKUP($B14,R_DG!$A$7:$G$1305,5,0)</f>
        <v>936364</v>
      </c>
      <c r="H14" s="214">
        <f>VLOOKUP($B14,R_DG!$A$7:$G$1305,6,0)</f>
        <v>0</v>
      </c>
      <c r="I14" s="214">
        <f>VLOOKUP($B14,R_DG!$A$7:$G$1305,7,0)</f>
        <v>0</v>
      </c>
      <c r="J14" s="214">
        <f t="shared" ref="J14:L17" si="1">G14*$F14</f>
        <v>936364</v>
      </c>
      <c r="K14" s="214">
        <f t="shared" si="1"/>
        <v>0</v>
      </c>
      <c r="L14" s="220">
        <f t="shared" si="1"/>
        <v>0</v>
      </c>
      <c r="M14" s="93">
        <f>IF(F14&gt;0,M$13,0)</f>
        <v>0</v>
      </c>
      <c r="N14" s="328">
        <f ca="1">$F14*N$13</f>
        <v>0</v>
      </c>
    </row>
    <row r="15" spans="1:14" ht="20.100000000000001" customHeight="1">
      <c r="A15" s="87"/>
      <c r="B15" s="7" t="s">
        <v>398</v>
      </c>
      <c r="C15" s="32">
        <f>VLOOKUP($B15,R_DG!$A$7:$G$1305,2,0)</f>
        <v>0</v>
      </c>
      <c r="D15" s="8" t="str">
        <f>VLOOKUP($B15,R_DG!$A$7:$G$1305,3,0)</f>
        <v>Vật liệu dựng trụ</v>
      </c>
      <c r="E15" s="9" t="str">
        <f>VLOOKUP($B15,R_DG!$A$7:$G$1305,4,0)</f>
        <v>trụ</v>
      </c>
      <c r="F15" s="11">
        <v>1</v>
      </c>
      <c r="G15" s="214">
        <f>VLOOKUP($B15,R_DG!$A$7:$G$1305,5,0)</f>
        <v>0</v>
      </c>
      <c r="H15" s="214">
        <f>VLOOKUP($B15,R_DG!$A$7:$G$1305,6,0)</f>
        <v>0</v>
      </c>
      <c r="I15" s="214">
        <f>VLOOKUP($B15,R_DG!$A$7:$G$1305,7,0)</f>
        <v>0</v>
      </c>
      <c r="J15" s="214">
        <f t="shared" si="1"/>
        <v>0</v>
      </c>
      <c r="K15" s="214">
        <f t="shared" si="1"/>
        <v>0</v>
      </c>
      <c r="L15" s="220">
        <f t="shared" si="1"/>
        <v>0</v>
      </c>
      <c r="M15" s="93">
        <f>IF(F15&gt;0,M$13,0)</f>
        <v>0</v>
      </c>
      <c r="N15" s="328">
        <f ca="1">$F15*N$13</f>
        <v>0</v>
      </c>
    </row>
    <row r="16" spans="1:14" ht="20.100000000000001" customHeight="1">
      <c r="A16" s="87"/>
      <c r="B16" s="7" t="s">
        <v>2706</v>
      </c>
      <c r="C16" s="32" t="str">
        <f>VLOOKUP($B16,R_DG!$A$7:$G$1305,2,0)</f>
        <v>D2.521</v>
      </c>
      <c r="D16" s="8" t="str">
        <f>VLOOKUP($B16,R_DG!$A$7:$G$1305,3,0)</f>
        <v>Dựng trụ BTLT &lt;10m thủ công +cơ giới</v>
      </c>
      <c r="E16" s="9" t="str">
        <f>VLOOKUP($B16,R_DG!$A$7:$G$1305,4,0)</f>
        <v>trụ</v>
      </c>
      <c r="F16" s="11">
        <v>1</v>
      </c>
      <c r="G16" s="214">
        <f>VLOOKUP($B16,R_DG!$A$7:$G$1305,5,0)</f>
        <v>0</v>
      </c>
      <c r="H16" s="214">
        <f>VLOOKUP($B16,R_DG!$A$7:$G$1305,6,0)</f>
        <v>438339</v>
      </c>
      <c r="I16" s="214">
        <f>VLOOKUP($B16,R_DG!$A$7:$G$1305,7,0)</f>
        <v>145706.46089510492</v>
      </c>
      <c r="J16" s="214">
        <f t="shared" si="1"/>
        <v>0</v>
      </c>
      <c r="K16" s="214">
        <f t="shared" si="1"/>
        <v>438339</v>
      </c>
      <c r="L16" s="220">
        <f t="shared" si="1"/>
        <v>145706.46089510492</v>
      </c>
      <c r="M16" s="93">
        <f>IF(F16&gt;0,M$13,0)</f>
        <v>0</v>
      </c>
      <c r="N16" s="328">
        <f ca="1">$F16*N$13</f>
        <v>0</v>
      </c>
    </row>
    <row r="17" spans="1:14" ht="20.100000000000001" customHeight="1">
      <c r="A17" s="87"/>
      <c r="B17" s="7" t="s">
        <v>2216</v>
      </c>
      <c r="C17" s="32" t="str">
        <f>VLOOKUP($B17,R_DG!$A$7:$G$1305,2,0)</f>
        <v>02.1124</v>
      </c>
      <c r="D17" s="8" t="str">
        <f>VLOOKUP($B17,R_DG!$A$7:$G$1305,3,0)</f>
        <v xml:space="preserve">Bốc dỡ trụ </v>
      </c>
      <c r="E17" s="9" t="str">
        <f>VLOOKUP($B17,R_DG!$A$7:$G$1305,4,0)</f>
        <v>tấn</v>
      </c>
      <c r="F17" s="11">
        <v>0.5</v>
      </c>
      <c r="G17" s="214">
        <f>VLOOKUP($B17,R_DG!$A$7:$G$1305,5,0)</f>
        <v>0</v>
      </c>
      <c r="H17" s="214">
        <f>VLOOKUP($B17,R_DG!$A$7:$G$1305,6,0)</f>
        <v>0</v>
      </c>
      <c r="I17" s="214">
        <f>VLOOKUP($B17,R_DG!$A$7:$G$1305,7,0)</f>
        <v>0</v>
      </c>
      <c r="J17" s="214">
        <f t="shared" si="1"/>
        <v>0</v>
      </c>
      <c r="K17" s="214">
        <f t="shared" si="1"/>
        <v>0</v>
      </c>
      <c r="L17" s="220">
        <f t="shared" si="1"/>
        <v>0</v>
      </c>
      <c r="M17" s="93">
        <f>IF(F17&gt;0,M$13,0)</f>
        <v>0</v>
      </c>
      <c r="N17" s="328">
        <f ca="1">$F17*N$13</f>
        <v>0</v>
      </c>
    </row>
    <row r="18" spans="1:14" ht="20.100000000000001" customHeight="1">
      <c r="A18" s="27" t="s">
        <v>2476</v>
      </c>
      <c r="B18" s="27"/>
      <c r="C18" s="34"/>
      <c r="D18" s="25" t="s">
        <v>2218</v>
      </c>
      <c r="E18" s="25" t="s">
        <v>2215</v>
      </c>
      <c r="F18" s="26"/>
      <c r="G18" s="213"/>
      <c r="H18" s="213"/>
      <c r="I18" s="213"/>
      <c r="J18" s="213">
        <f>SUM(J19:J22)</f>
        <v>2450000</v>
      </c>
      <c r="K18" s="213">
        <f>SUM(K19:K22)</f>
        <v>438339</v>
      </c>
      <c r="L18" s="219">
        <f>SUM(L19:L22)</f>
        <v>145706.46089510492</v>
      </c>
      <c r="M18" s="92">
        <f>IF(ERROR.TYPE(IF(HLOOKUP(A18,maBK,1,0)&lt;&gt;"",#NULL!,"ABC"))&lt;&gt;7,1,0)</f>
        <v>0</v>
      </c>
      <c r="N18" s="327">
        <f ca="1">SUMIF(maBK,$A18,tongBK1)</f>
        <v>0</v>
      </c>
    </row>
    <row r="19" spans="1:14" ht="20.100000000000001" customHeight="1">
      <c r="A19" s="87"/>
      <c r="B19" s="7" t="s">
        <v>732</v>
      </c>
      <c r="C19" s="32">
        <f>VLOOKUP($B19,R_DG!$A$7:$G$1305,2,0)</f>
        <v>0</v>
      </c>
      <c r="D19" s="8" t="str">
        <f>VLOOKUP($B19,R_DG!$A$7:$G$1305,3,0)</f>
        <v>Trụ BTLT 8,4m F200 dự ứng lực</v>
      </c>
      <c r="E19" s="9" t="str">
        <f>VLOOKUP($B19,R_DG!$A$7:$G$1305,4,0)</f>
        <v>trụ</v>
      </c>
      <c r="F19" s="11">
        <v>1</v>
      </c>
      <c r="G19" s="214">
        <f>VLOOKUP($B19,R_DG!$A$7:$G$1305,5,0)</f>
        <v>2450000</v>
      </c>
      <c r="H19" s="214">
        <f>VLOOKUP($B19,R_DG!$A$7:$G$1305,6,0)</f>
        <v>0</v>
      </c>
      <c r="I19" s="214">
        <f>VLOOKUP($B19,R_DG!$A$7:$G$1305,7,0)</f>
        <v>0</v>
      </c>
      <c r="J19" s="214">
        <f t="shared" ref="J19:L22" si="2">G19*$F19</f>
        <v>2450000</v>
      </c>
      <c r="K19" s="214">
        <f t="shared" si="2"/>
        <v>0</v>
      </c>
      <c r="L19" s="220">
        <f t="shared" si="2"/>
        <v>0</v>
      </c>
      <c r="M19" s="93">
        <f>IF(F19&gt;0,M$18,0)</f>
        <v>0</v>
      </c>
      <c r="N19" s="328">
        <f ca="1">$F19*N$18</f>
        <v>0</v>
      </c>
    </row>
    <row r="20" spans="1:14" ht="20.100000000000001" customHeight="1">
      <c r="A20" s="87"/>
      <c r="B20" s="7" t="s">
        <v>398</v>
      </c>
      <c r="C20" s="32">
        <f>VLOOKUP($B20,R_DG!$A$7:$G$1305,2,0)</f>
        <v>0</v>
      </c>
      <c r="D20" s="8" t="str">
        <f>VLOOKUP($B20,R_DG!$A$7:$G$1305,3,0)</f>
        <v>Vật liệu dựng trụ</v>
      </c>
      <c r="E20" s="9" t="str">
        <f>VLOOKUP($B20,R_DG!$A$7:$G$1305,4,0)</f>
        <v>trụ</v>
      </c>
      <c r="F20" s="11"/>
      <c r="G20" s="214">
        <f>VLOOKUP($B20,R_DG!$A$7:$G$1305,5,0)</f>
        <v>0</v>
      </c>
      <c r="H20" s="214">
        <f>VLOOKUP($B20,R_DG!$A$7:$G$1305,6,0)</f>
        <v>0</v>
      </c>
      <c r="I20" s="214">
        <f>VLOOKUP($B20,R_DG!$A$7:$G$1305,7,0)</f>
        <v>0</v>
      </c>
      <c r="J20" s="214">
        <f t="shared" si="2"/>
        <v>0</v>
      </c>
      <c r="K20" s="214">
        <f t="shared" si="2"/>
        <v>0</v>
      </c>
      <c r="L20" s="220">
        <f t="shared" si="2"/>
        <v>0</v>
      </c>
      <c r="M20" s="93">
        <f>IF(F20&gt;0,M$18,0)</f>
        <v>0</v>
      </c>
      <c r="N20" s="328">
        <f ca="1">$F20*N$18</f>
        <v>0</v>
      </c>
    </row>
    <row r="21" spans="1:14" ht="20.100000000000001" customHeight="1">
      <c r="A21" s="87"/>
      <c r="B21" s="7" t="s">
        <v>1162</v>
      </c>
      <c r="C21" s="32" t="str">
        <f>VLOOKUP($B21,R_DG!$A$7:$G$1305,2,0)</f>
        <v>D2.521</v>
      </c>
      <c r="D21" s="8" t="str">
        <f>VLOOKUP($B21,R_DG!$A$7:$G$1305,3,0)</f>
        <v>Dựng trụ BTLT &lt;10m thủ công +cơ giới</v>
      </c>
      <c r="E21" s="9" t="str">
        <f>VLOOKUP($B21,R_DG!$A$7:$G$1305,4,0)</f>
        <v>trụ</v>
      </c>
      <c r="F21" s="11">
        <v>1</v>
      </c>
      <c r="G21" s="214">
        <f>VLOOKUP($B21,R_DG!$A$7:$G$1305,5,0)</f>
        <v>0</v>
      </c>
      <c r="H21" s="214">
        <f>VLOOKUP($B21,R_DG!$A$7:$G$1305,6,0)</f>
        <v>438339</v>
      </c>
      <c r="I21" s="214">
        <f>VLOOKUP($B21,R_DG!$A$7:$G$1305,7,0)</f>
        <v>145706.46089510492</v>
      </c>
      <c r="J21" s="214">
        <f t="shared" si="2"/>
        <v>0</v>
      </c>
      <c r="K21" s="214">
        <f t="shared" si="2"/>
        <v>438339</v>
      </c>
      <c r="L21" s="220">
        <f t="shared" si="2"/>
        <v>145706.46089510492</v>
      </c>
      <c r="M21" s="93">
        <f>IF(F21&gt;0,M$18,0)</f>
        <v>0</v>
      </c>
      <c r="N21" s="328">
        <f ca="1">$F21*N$18</f>
        <v>0</v>
      </c>
    </row>
    <row r="22" spans="1:14" ht="20.100000000000001" customHeight="1">
      <c r="A22" s="87"/>
      <c r="B22" s="7" t="s">
        <v>2216</v>
      </c>
      <c r="C22" s="32" t="str">
        <f>VLOOKUP($B22,R_DG!$A$7:$G$1305,2,0)</f>
        <v>02.1124</v>
      </c>
      <c r="D22" s="8" t="str">
        <f>VLOOKUP($B22,R_DG!$A$7:$G$1305,3,0)</f>
        <v xml:space="preserve">Bốc dỡ trụ </v>
      </c>
      <c r="E22" s="9" t="str">
        <f>VLOOKUP($B22,R_DG!$A$7:$G$1305,4,0)</f>
        <v>tấn</v>
      </c>
      <c r="F22" s="11"/>
      <c r="G22" s="214">
        <f>VLOOKUP($B22,R_DG!$A$7:$G$1305,5,0)</f>
        <v>0</v>
      </c>
      <c r="H22" s="214">
        <f>VLOOKUP($B22,R_DG!$A$7:$G$1305,6,0)</f>
        <v>0</v>
      </c>
      <c r="I22" s="214">
        <f>VLOOKUP($B22,R_DG!$A$7:$G$1305,7,0)</f>
        <v>0</v>
      </c>
      <c r="J22" s="214">
        <f t="shared" si="2"/>
        <v>0</v>
      </c>
      <c r="K22" s="214">
        <f t="shared" si="2"/>
        <v>0</v>
      </c>
      <c r="L22" s="220">
        <f t="shared" si="2"/>
        <v>0</v>
      </c>
      <c r="M22" s="93">
        <f>IF(F22&gt;0,M$18,0)</f>
        <v>0</v>
      </c>
      <c r="N22" s="328">
        <f ca="1">$F22*N$18</f>
        <v>0</v>
      </c>
    </row>
    <row r="23" spans="1:14" ht="20.100000000000001" customHeight="1">
      <c r="A23" s="27" t="s">
        <v>2478</v>
      </c>
      <c r="B23" s="27"/>
      <c r="C23" s="34"/>
      <c r="D23" s="25" t="s">
        <v>2219</v>
      </c>
      <c r="E23" s="25" t="s">
        <v>2215</v>
      </c>
      <c r="F23" s="26"/>
      <c r="G23" s="213"/>
      <c r="H23" s="213"/>
      <c r="I23" s="213"/>
      <c r="J23" s="213">
        <f>SUM(J24:J27)</f>
        <v>1727832</v>
      </c>
      <c r="K23" s="213">
        <f>SUM(K24:K27)</f>
        <v>0</v>
      </c>
      <c r="L23" s="219">
        <f>SUM(L24:L27)</f>
        <v>0</v>
      </c>
      <c r="M23" s="92">
        <f>IF(ERROR.TYPE(IF(HLOOKUP(A23,maBK,1,0)&lt;&gt;"",#NULL!,"ABC"))&lt;&gt;7,1,0)</f>
        <v>0</v>
      </c>
      <c r="N23" s="327">
        <f ca="1">SUMIF(maBK,$A23,tongBK1)</f>
        <v>0</v>
      </c>
    </row>
    <row r="24" spans="1:14" ht="20.100000000000001" customHeight="1">
      <c r="A24" s="87"/>
      <c r="B24" s="7" t="s">
        <v>740</v>
      </c>
      <c r="C24" s="32">
        <f>VLOOKUP($B24,R_DG!$A$7:$G$1305,2,0)</f>
        <v>0</v>
      </c>
      <c r="D24" s="8" t="str">
        <f>VLOOKUP($B24,R_DG!$A$7:$G$1305,3,0)</f>
        <v>Trụ BTLT 10,5m F350 dự ứng lực</v>
      </c>
      <c r="E24" s="9" t="str">
        <f>VLOOKUP($B24,R_DG!$A$7:$G$1305,4,0)</f>
        <v>trụ</v>
      </c>
      <c r="F24" s="11">
        <v>1</v>
      </c>
      <c r="G24" s="214">
        <f>VLOOKUP($B24,R_DG!$A$7:$G$1305,5,0)</f>
        <v>1727832</v>
      </c>
      <c r="H24" s="214">
        <f>VLOOKUP($B24,R_DG!$A$7:$G$1305,6,0)</f>
        <v>0</v>
      </c>
      <c r="I24" s="214">
        <f>VLOOKUP($B24,R_DG!$A$7:$G$1305,7,0)</f>
        <v>0</v>
      </c>
      <c r="J24" s="214">
        <f t="shared" ref="J24:L27" si="3">G24*$F24</f>
        <v>1727832</v>
      </c>
      <c r="K24" s="214">
        <f t="shared" si="3"/>
        <v>0</v>
      </c>
      <c r="L24" s="220">
        <f t="shared" si="3"/>
        <v>0</v>
      </c>
      <c r="M24" s="93">
        <f>IF(F24&gt;0,M$23,0)</f>
        <v>0</v>
      </c>
      <c r="N24" s="328">
        <f ca="1">$F24*N$23</f>
        <v>0</v>
      </c>
    </row>
    <row r="25" spans="1:14" ht="20.100000000000001" customHeight="1">
      <c r="A25" s="87"/>
      <c r="B25" s="7" t="s">
        <v>398</v>
      </c>
      <c r="C25" s="32">
        <f>VLOOKUP($B25,R_DG!$A$7:$G$1305,2,0)</f>
        <v>0</v>
      </c>
      <c r="D25" s="8" t="str">
        <f>VLOOKUP($B25,R_DG!$A$7:$G$1305,3,0)</f>
        <v>Vật liệu dựng trụ</v>
      </c>
      <c r="E25" s="9" t="str">
        <f>VLOOKUP($B25,R_DG!$A$7:$G$1305,4,0)</f>
        <v>trụ</v>
      </c>
      <c r="F25" s="11">
        <v>1</v>
      </c>
      <c r="G25" s="214">
        <f>VLOOKUP($B25,R_DG!$A$7:$G$1305,5,0)</f>
        <v>0</v>
      </c>
      <c r="H25" s="214">
        <f>VLOOKUP($B25,R_DG!$A$7:$G$1305,6,0)</f>
        <v>0</v>
      </c>
      <c r="I25" s="214">
        <f>VLOOKUP($B25,R_DG!$A$7:$G$1305,7,0)</f>
        <v>0</v>
      </c>
      <c r="J25" s="214">
        <f t="shared" si="3"/>
        <v>0</v>
      </c>
      <c r="K25" s="214">
        <f t="shared" si="3"/>
        <v>0</v>
      </c>
      <c r="L25" s="220">
        <f t="shared" si="3"/>
        <v>0</v>
      </c>
      <c r="M25" s="93">
        <f>IF(F25&gt;0,M$23,0)</f>
        <v>0</v>
      </c>
      <c r="N25" s="328">
        <f ca="1">$F25*N$23</f>
        <v>0</v>
      </c>
    </row>
    <row r="26" spans="1:14" ht="15">
      <c r="A26" s="87"/>
      <c r="B26" s="7" t="s">
        <v>1164</v>
      </c>
      <c r="C26" s="32" t="str">
        <f>VLOOKUP($B26,R_DG!$A$7:$G$1305,2,0)</f>
        <v>05.5223</v>
      </c>
      <c r="D26" s="8" t="str">
        <f>VLOOKUP($B26,R_DG!$A$7:$G$1305,3,0)</f>
        <v>Dựng trụ BTLT 10,5m thủ công + cơ giới</v>
      </c>
      <c r="E26" s="9" t="str">
        <f>VLOOKUP($B26,R_DG!$A$7:$G$1305,4,0)</f>
        <v>trụ</v>
      </c>
      <c r="F26" s="11">
        <v>1</v>
      </c>
      <c r="G26" s="214">
        <f>VLOOKUP($B26,R_DG!$A$7:$G$1305,5,0)</f>
        <v>0</v>
      </c>
      <c r="H26" s="214">
        <f>VLOOKUP($B26,R_DG!$A$7:$G$1305,6,0)</f>
        <v>0</v>
      </c>
      <c r="I26" s="214">
        <f>VLOOKUP($B26,R_DG!$A$7:$G$1305,7,0)</f>
        <v>0</v>
      </c>
      <c r="J26" s="214">
        <f t="shared" si="3"/>
        <v>0</v>
      </c>
      <c r="K26" s="214">
        <f t="shared" si="3"/>
        <v>0</v>
      </c>
      <c r="L26" s="220">
        <f t="shared" si="3"/>
        <v>0</v>
      </c>
      <c r="M26" s="93">
        <f>IF(F26&gt;0,M$23,0)</f>
        <v>0</v>
      </c>
      <c r="N26" s="328">
        <f ca="1">$F26*N$23</f>
        <v>0</v>
      </c>
    </row>
    <row r="27" spans="1:14" ht="15">
      <c r="A27" s="87"/>
      <c r="B27" s="7" t="s">
        <v>2216</v>
      </c>
      <c r="C27" s="32" t="str">
        <f>VLOOKUP($B27,R_DG!$A$7:$G$1305,2,0)</f>
        <v>02.1124</v>
      </c>
      <c r="D27" s="8" t="str">
        <f>VLOOKUP($B27,R_DG!$A$7:$G$1305,3,0)</f>
        <v xml:space="preserve">Bốc dỡ trụ </v>
      </c>
      <c r="E27" s="9" t="str">
        <f>VLOOKUP($B27,R_DG!$A$7:$G$1305,4,0)</f>
        <v>tấn</v>
      </c>
      <c r="F27" s="11"/>
      <c r="G27" s="214">
        <f>VLOOKUP($B27,R_DG!$A$7:$G$1305,5,0)</f>
        <v>0</v>
      </c>
      <c r="H27" s="214">
        <f>VLOOKUP($B27,R_DG!$A$7:$G$1305,6,0)</f>
        <v>0</v>
      </c>
      <c r="I27" s="214">
        <f>VLOOKUP($B27,R_DG!$A$7:$G$1305,7,0)</f>
        <v>0</v>
      </c>
      <c r="J27" s="214">
        <f t="shared" si="3"/>
        <v>0</v>
      </c>
      <c r="K27" s="214">
        <f t="shared" si="3"/>
        <v>0</v>
      </c>
      <c r="L27" s="220">
        <f t="shared" si="3"/>
        <v>0</v>
      </c>
      <c r="M27" s="93">
        <f>IF(F27&gt;0,M$23,0)</f>
        <v>0</v>
      </c>
      <c r="N27" s="328">
        <f ca="1">$F27*N$23</f>
        <v>0</v>
      </c>
    </row>
    <row r="28" spans="1:14" ht="15">
      <c r="A28" s="27" t="s">
        <v>2220</v>
      </c>
      <c r="B28" s="27"/>
      <c r="C28" s="34"/>
      <c r="D28" s="25" t="s">
        <v>2889</v>
      </c>
      <c r="E28" s="25" t="s">
        <v>2215</v>
      </c>
      <c r="F28" s="26"/>
      <c r="G28" s="213"/>
      <c r="H28" s="213"/>
      <c r="I28" s="213"/>
      <c r="J28" s="213">
        <f>SUM(J29:J32)</f>
        <v>4550000</v>
      </c>
      <c r="K28" s="213">
        <f>SUM(K29:K32)</f>
        <v>1258151.3999999999</v>
      </c>
      <c r="L28" s="219">
        <f>SUM(L29:L32)</f>
        <v>1457064.6089510489</v>
      </c>
      <c r="M28" s="92">
        <f>IF(ERROR.TYPE(IF(HLOOKUP(A28,maBK,1,0)&lt;&gt;"",#NULL!,"ABC"))&lt;&gt;7,1,0)</f>
        <v>0</v>
      </c>
      <c r="N28" s="327">
        <f ca="1">SUMIF(maBK,$A28,tongBK1)</f>
        <v>0</v>
      </c>
    </row>
    <row r="29" spans="1:14" ht="15">
      <c r="A29" s="87"/>
      <c r="B29" s="7" t="s">
        <v>742</v>
      </c>
      <c r="C29" s="32">
        <f>VLOOKUP($B29,R_DG!$A$7:$G$1305,2,0)</f>
        <v>0</v>
      </c>
      <c r="D29" s="8" t="str">
        <f>VLOOKUP($B29,R_DG!$A$7:$G$1305,3,0)</f>
        <v>Trụ BTLT 12m F540 dự ứng lực</v>
      </c>
      <c r="E29" s="9" t="str">
        <f>VLOOKUP($B29,R_DG!$A$7:$G$1305,4,0)</f>
        <v>trụ</v>
      </c>
      <c r="F29" s="11">
        <v>1</v>
      </c>
      <c r="G29" s="214">
        <f>VLOOKUP($B29,R_DG!$A$7:$G$1305,5,0)</f>
        <v>4550000</v>
      </c>
      <c r="H29" s="214">
        <f>VLOOKUP($B29,R_DG!$A$7:$G$1305,6,0)</f>
        <v>0</v>
      </c>
      <c r="I29" s="214">
        <f>VLOOKUP($B29,R_DG!$A$7:$G$1305,7,0)</f>
        <v>0</v>
      </c>
      <c r="J29" s="214">
        <f t="shared" ref="J29:L32" si="4">G29*$F29</f>
        <v>4550000</v>
      </c>
      <c r="K29" s="214">
        <f t="shared" si="4"/>
        <v>0</v>
      </c>
      <c r="L29" s="220">
        <f t="shared" si="4"/>
        <v>0</v>
      </c>
      <c r="M29" s="93">
        <f>IF(F29&gt;0,M$28,0)</f>
        <v>0</v>
      </c>
      <c r="N29" s="328">
        <f ca="1">$F29*N$28</f>
        <v>0</v>
      </c>
    </row>
    <row r="30" spans="1:14" ht="15">
      <c r="A30" s="87"/>
      <c r="B30" s="7" t="s">
        <v>398</v>
      </c>
      <c r="C30" s="32">
        <f>VLOOKUP($B30,R_DG!$A$7:$G$1305,2,0)</f>
        <v>0</v>
      </c>
      <c r="D30" s="8" t="str">
        <f>VLOOKUP($B30,R_DG!$A$7:$G$1305,3,0)</f>
        <v>Vật liệu dựng trụ</v>
      </c>
      <c r="E30" s="9" t="str">
        <f>VLOOKUP($B30,R_DG!$A$7:$G$1305,4,0)</f>
        <v>trụ</v>
      </c>
      <c r="F30" s="11">
        <v>1</v>
      </c>
      <c r="G30" s="214">
        <f>VLOOKUP($B30,R_DG!$A$7:$G$1305,5,0)</f>
        <v>0</v>
      </c>
      <c r="H30" s="214">
        <f>VLOOKUP($B30,R_DG!$A$7:$G$1305,6,0)</f>
        <v>0</v>
      </c>
      <c r="I30" s="214">
        <f>VLOOKUP($B30,R_DG!$A$7:$G$1305,7,0)</f>
        <v>0</v>
      </c>
      <c r="J30" s="214">
        <f t="shared" si="4"/>
        <v>0</v>
      </c>
      <c r="K30" s="214">
        <f t="shared" si="4"/>
        <v>0</v>
      </c>
      <c r="L30" s="220">
        <f t="shared" si="4"/>
        <v>0</v>
      </c>
      <c r="M30" s="93">
        <f>IF(F30&gt;0,M$28,0)</f>
        <v>0</v>
      </c>
      <c r="N30" s="328">
        <f ca="1">$F30*N$28</f>
        <v>0</v>
      </c>
    </row>
    <row r="31" spans="1:14" ht="15">
      <c r="A31" s="87"/>
      <c r="B31" s="7" t="s">
        <v>1152</v>
      </c>
      <c r="C31" s="32" t="str">
        <f>VLOOKUP($B31,R_DG!$A$7:$G$1305,2,0)</f>
        <v>05.5213</v>
      </c>
      <c r="D31" s="8" t="str">
        <f>VLOOKUP($B31,R_DG!$A$7:$G$1305,3,0)</f>
        <v>Dựng trụ BTLT 12m bằng thủ công</v>
      </c>
      <c r="E31" s="9" t="str">
        <f>VLOOKUP($B31,R_DG!$A$7:$G$1305,4,0)</f>
        <v>trụ</v>
      </c>
      <c r="F31" s="11">
        <v>1</v>
      </c>
      <c r="G31" s="214">
        <f>VLOOKUP($B31,R_DG!$A$7:$G$1305,5,0)</f>
        <v>0</v>
      </c>
      <c r="H31" s="214">
        <f>VLOOKUP($B31,R_DG!$A$7:$G$1305,6,0)</f>
        <v>1258151.3999999999</v>
      </c>
      <c r="I31" s="214">
        <f>VLOOKUP($B31,R_DG!$A$7:$G$1305,7,0)</f>
        <v>1457064.6089510489</v>
      </c>
      <c r="J31" s="214">
        <f t="shared" si="4"/>
        <v>0</v>
      </c>
      <c r="K31" s="214">
        <f t="shared" si="4"/>
        <v>1258151.3999999999</v>
      </c>
      <c r="L31" s="220">
        <f t="shared" si="4"/>
        <v>1457064.6089510489</v>
      </c>
      <c r="M31" s="93">
        <f>IF(F31&gt;0,M$28,0)</f>
        <v>0</v>
      </c>
      <c r="N31" s="328">
        <f ca="1">$F31*N$28</f>
        <v>0</v>
      </c>
    </row>
    <row r="32" spans="1:14" ht="15">
      <c r="A32" s="87"/>
      <c r="B32" s="7" t="s">
        <v>2216</v>
      </c>
      <c r="C32" s="32" t="str">
        <f>VLOOKUP($B32,R_DG!$A$7:$G$1305,2,0)</f>
        <v>02.1124</v>
      </c>
      <c r="D32" s="8" t="str">
        <f>VLOOKUP($B32,R_DG!$A$7:$G$1305,3,0)</f>
        <v xml:space="preserve">Bốc dỡ trụ </v>
      </c>
      <c r="E32" s="9" t="str">
        <f>VLOOKUP($B32,R_DG!$A$7:$G$1305,4,0)</f>
        <v>tấn</v>
      </c>
      <c r="F32" s="11">
        <f>1.2*0</f>
        <v>0</v>
      </c>
      <c r="G32" s="214">
        <f>VLOOKUP($B32,R_DG!$A$7:$G$1305,5,0)</f>
        <v>0</v>
      </c>
      <c r="H32" s="214">
        <f>VLOOKUP($B32,R_DG!$A$7:$G$1305,6,0)</f>
        <v>0</v>
      </c>
      <c r="I32" s="214">
        <f>VLOOKUP($B32,R_DG!$A$7:$G$1305,7,0)</f>
        <v>0</v>
      </c>
      <c r="J32" s="214">
        <f t="shared" si="4"/>
        <v>0</v>
      </c>
      <c r="K32" s="214">
        <f t="shared" si="4"/>
        <v>0</v>
      </c>
      <c r="L32" s="220">
        <f t="shared" si="4"/>
        <v>0</v>
      </c>
      <c r="M32" s="93">
        <f>IF(F32&gt;0,M$28,0)</f>
        <v>0</v>
      </c>
      <c r="N32" s="328">
        <f ca="1">$F32*N$28</f>
        <v>0</v>
      </c>
    </row>
    <row r="33" spans="1:14" ht="15">
      <c r="A33" s="27" t="s">
        <v>2221</v>
      </c>
      <c r="B33" s="27"/>
      <c r="C33" s="34"/>
      <c r="D33" s="25" t="s">
        <v>2890</v>
      </c>
      <c r="E33" s="25" t="s">
        <v>2215</v>
      </c>
      <c r="F33" s="26"/>
      <c r="G33" s="213"/>
      <c r="H33" s="213"/>
      <c r="I33" s="213"/>
      <c r="J33" s="213">
        <f>SUM(J34:J37)</f>
        <v>4550000</v>
      </c>
      <c r="K33" s="213">
        <f>SUM(K34:K37)</f>
        <v>502312.80000000005</v>
      </c>
      <c r="L33" s="219">
        <f>SUM(L34:L37)</f>
        <v>208152.08699300699</v>
      </c>
      <c r="M33" s="92">
        <f>IF(ERROR.TYPE(IF(HLOOKUP(A33,maBK,1,0)&lt;&gt;"",#NULL!,"ABC"))&lt;&gt;7,1,0)</f>
        <v>0</v>
      </c>
      <c r="N33" s="327">
        <f ca="1">SUMIF(maBK,$A33,tongBK1)</f>
        <v>0</v>
      </c>
    </row>
    <row r="34" spans="1:14" ht="15">
      <c r="A34" s="87"/>
      <c r="B34" s="7" t="s">
        <v>742</v>
      </c>
      <c r="C34" s="32">
        <f>VLOOKUP($B34,R_DG!$A$7:$G$1305,2,0)</f>
        <v>0</v>
      </c>
      <c r="D34" s="8" t="str">
        <f>VLOOKUP($B34,R_DG!$A$7:$G$1305,3,0)</f>
        <v>Trụ BTLT 12m F540 dự ứng lực</v>
      </c>
      <c r="E34" s="9" t="str">
        <f>VLOOKUP($B34,R_DG!$A$7:$G$1305,4,0)</f>
        <v>trụ</v>
      </c>
      <c r="F34" s="11">
        <v>1</v>
      </c>
      <c r="G34" s="214">
        <f>VLOOKUP($B34,R_DG!$A$7:$G$1305,5,0)</f>
        <v>4550000</v>
      </c>
      <c r="H34" s="214">
        <f>VLOOKUP($B34,R_DG!$A$7:$G$1305,6,0)</f>
        <v>0</v>
      </c>
      <c r="I34" s="214">
        <f>VLOOKUP($B34,R_DG!$A$7:$G$1305,7,0)</f>
        <v>0</v>
      </c>
      <c r="J34" s="214">
        <f t="shared" ref="J34:L37" si="5">G34*$F34</f>
        <v>4550000</v>
      </c>
      <c r="K34" s="214">
        <f t="shared" si="5"/>
        <v>0</v>
      </c>
      <c r="L34" s="220">
        <f t="shared" si="5"/>
        <v>0</v>
      </c>
      <c r="M34" s="93">
        <f>IF(F34&gt;0,M$33,0)</f>
        <v>0</v>
      </c>
      <c r="N34" s="328">
        <f ca="1">$F34*N$33</f>
        <v>0</v>
      </c>
    </row>
    <row r="35" spans="1:14" ht="15">
      <c r="A35" s="87"/>
      <c r="B35" s="7" t="s">
        <v>398</v>
      </c>
      <c r="C35" s="32">
        <f>VLOOKUP($B35,R_DG!$A$7:$G$1305,2,0)</f>
        <v>0</v>
      </c>
      <c r="D35" s="8" t="str">
        <f>VLOOKUP($B35,R_DG!$A$7:$G$1305,3,0)</f>
        <v>Vật liệu dựng trụ</v>
      </c>
      <c r="E35" s="9" t="str">
        <f>VLOOKUP($B35,R_DG!$A$7:$G$1305,4,0)</f>
        <v>trụ</v>
      </c>
      <c r="F35" s="11">
        <v>1</v>
      </c>
      <c r="G35" s="214">
        <f>VLOOKUP($B35,R_DG!$A$7:$G$1305,5,0)</f>
        <v>0</v>
      </c>
      <c r="H35" s="214">
        <f>VLOOKUP($B35,R_DG!$A$7:$G$1305,6,0)</f>
        <v>0</v>
      </c>
      <c r="I35" s="214">
        <f>VLOOKUP($B35,R_DG!$A$7:$G$1305,7,0)</f>
        <v>0</v>
      </c>
      <c r="J35" s="214">
        <f t="shared" si="5"/>
        <v>0</v>
      </c>
      <c r="K35" s="214">
        <f t="shared" si="5"/>
        <v>0</v>
      </c>
      <c r="L35" s="220">
        <f t="shared" si="5"/>
        <v>0</v>
      </c>
      <c r="M35" s="93">
        <f>IF(F35&gt;0,M$33,0)</f>
        <v>0</v>
      </c>
      <c r="N35" s="328">
        <f ca="1">$F35*N$33</f>
        <v>0</v>
      </c>
    </row>
    <row r="36" spans="1:14" ht="15">
      <c r="A36" s="87"/>
      <c r="B36" s="7" t="s">
        <v>1167</v>
      </c>
      <c r="C36" s="32" t="str">
        <f>VLOOKUP($B36,R_DG!$A$7:$G$1305,2,0)</f>
        <v>D2.523</v>
      </c>
      <c r="D36" s="8" t="str">
        <f>VLOOKUP($B36,R_DG!$A$7:$G$1305,3,0)</f>
        <v>Dựng trụ BTLT 12m thủ công + cơ giới</v>
      </c>
      <c r="E36" s="9" t="str">
        <f>VLOOKUP($B36,R_DG!$A$7:$G$1305,4,0)</f>
        <v>trụ</v>
      </c>
      <c r="F36" s="11">
        <v>1</v>
      </c>
      <c r="G36" s="214">
        <f>VLOOKUP($B36,R_DG!$A$7:$G$1305,5,0)</f>
        <v>0</v>
      </c>
      <c r="H36" s="214">
        <f>VLOOKUP($B36,R_DG!$A$7:$G$1305,6,0)</f>
        <v>502312.80000000005</v>
      </c>
      <c r="I36" s="214">
        <f>VLOOKUP($B36,R_DG!$A$7:$G$1305,7,0)</f>
        <v>208152.08699300699</v>
      </c>
      <c r="J36" s="214">
        <f t="shared" si="5"/>
        <v>0</v>
      </c>
      <c r="K36" s="214">
        <f t="shared" si="5"/>
        <v>502312.80000000005</v>
      </c>
      <c r="L36" s="220">
        <f t="shared" si="5"/>
        <v>208152.08699300699</v>
      </c>
      <c r="M36" s="93">
        <f>IF(F36&gt;0,M$33,0)</f>
        <v>0</v>
      </c>
      <c r="N36" s="328">
        <f ca="1">$F36*N$33</f>
        <v>0</v>
      </c>
    </row>
    <row r="37" spans="1:14" ht="15">
      <c r="A37" s="87"/>
      <c r="B37" s="7" t="s">
        <v>2216</v>
      </c>
      <c r="C37" s="32" t="str">
        <f>VLOOKUP($B37,R_DG!$A$7:$G$1305,2,0)</f>
        <v>02.1124</v>
      </c>
      <c r="D37" s="8" t="str">
        <f>VLOOKUP($B37,R_DG!$A$7:$G$1305,3,0)</f>
        <v xml:space="preserve">Bốc dỡ trụ </v>
      </c>
      <c r="E37" s="9" t="str">
        <f>VLOOKUP($B37,R_DG!$A$7:$G$1305,4,0)</f>
        <v>tấn</v>
      </c>
      <c r="F37" s="11">
        <f>1.2*0</f>
        <v>0</v>
      </c>
      <c r="G37" s="214">
        <f>VLOOKUP($B37,R_DG!$A$7:$G$1305,5,0)</f>
        <v>0</v>
      </c>
      <c r="H37" s="214">
        <f>VLOOKUP($B37,R_DG!$A$7:$G$1305,6,0)</f>
        <v>0</v>
      </c>
      <c r="I37" s="214">
        <f>VLOOKUP($B37,R_DG!$A$7:$G$1305,7,0)</f>
        <v>0</v>
      </c>
      <c r="J37" s="214">
        <f t="shared" si="5"/>
        <v>0</v>
      </c>
      <c r="K37" s="214">
        <f t="shared" si="5"/>
        <v>0</v>
      </c>
      <c r="L37" s="220">
        <f t="shared" si="5"/>
        <v>0</v>
      </c>
      <c r="M37" s="93">
        <f>IF(F37&gt;0,M$33,0)</f>
        <v>0</v>
      </c>
      <c r="N37" s="328">
        <f ca="1">$F37*N$33</f>
        <v>0</v>
      </c>
    </row>
    <row r="38" spans="1:14" ht="15">
      <c r="A38" s="27" t="s">
        <v>2222</v>
      </c>
      <c r="B38" s="27"/>
      <c r="C38" s="34"/>
      <c r="D38" s="25" t="s">
        <v>2223</v>
      </c>
      <c r="E38" s="25" t="s">
        <v>2215</v>
      </c>
      <c r="F38" s="26"/>
      <c r="G38" s="213"/>
      <c r="H38" s="213"/>
      <c r="I38" s="213"/>
      <c r="J38" s="213">
        <f>SUM(J39:J42)</f>
        <v>8181818</v>
      </c>
      <c r="K38" s="213">
        <f>SUM(K39:K42)</f>
        <v>0</v>
      </c>
      <c r="L38" s="219">
        <f>SUM(L39:L42)</f>
        <v>0</v>
      </c>
      <c r="M38" s="92">
        <f>IF(ERROR.TYPE(IF(HLOOKUP(A38,maBK,1,0)&lt;&gt;"",#NULL!,"ABC"))&lt;&gt;7,1,0)</f>
        <v>0</v>
      </c>
      <c r="N38" s="327">
        <f ca="1">SUMIF(maBK,$A38,tongBK1)</f>
        <v>0</v>
      </c>
    </row>
    <row r="39" spans="1:14" ht="15">
      <c r="A39" s="87"/>
      <c r="B39" s="7" t="s">
        <v>743</v>
      </c>
      <c r="C39" s="32">
        <f>VLOOKUP($B39,R_DG!$A$7:$G$1305,2,0)</f>
        <v>0</v>
      </c>
      <c r="D39" s="8" t="str">
        <f>VLOOKUP($B39,R_DG!$A$7:$G$1305,3,0)</f>
        <v>Trụ BTLT 14m F650 dự ứng lực</v>
      </c>
      <c r="E39" s="9" t="str">
        <f>VLOOKUP($B39,R_DG!$A$7:$G$1305,4,0)</f>
        <v>trụ</v>
      </c>
      <c r="F39" s="11">
        <v>1</v>
      </c>
      <c r="G39" s="214">
        <f>VLOOKUP($B39,R_DG!$A$7:$G$1305,5,0)</f>
        <v>8181818</v>
      </c>
      <c r="H39" s="214">
        <f>VLOOKUP($B39,R_DG!$A$7:$G$1305,6,0)</f>
        <v>0</v>
      </c>
      <c r="I39" s="214">
        <f>VLOOKUP($B39,R_DG!$A$7:$G$1305,7,0)</f>
        <v>0</v>
      </c>
      <c r="J39" s="214">
        <f t="shared" ref="J39:L42" si="6">G39*$F39</f>
        <v>8181818</v>
      </c>
      <c r="K39" s="214">
        <f t="shared" si="6"/>
        <v>0</v>
      </c>
      <c r="L39" s="220">
        <f t="shared" si="6"/>
        <v>0</v>
      </c>
      <c r="M39" s="93">
        <f>IF(F39&gt;0,M$38,0)</f>
        <v>0</v>
      </c>
      <c r="N39" s="328">
        <f ca="1">$F39*N$38</f>
        <v>0</v>
      </c>
    </row>
    <row r="40" spans="1:14" ht="15">
      <c r="A40" s="87"/>
      <c r="B40" s="7" t="s">
        <v>398</v>
      </c>
      <c r="C40" s="32">
        <f>VLOOKUP($B40,R_DG!$A$7:$G$1305,2,0)</f>
        <v>0</v>
      </c>
      <c r="D40" s="8" t="str">
        <f>VLOOKUP($B40,R_DG!$A$7:$G$1305,3,0)</f>
        <v>Vật liệu dựng trụ</v>
      </c>
      <c r="E40" s="9" t="str">
        <f>VLOOKUP($B40,R_DG!$A$7:$G$1305,4,0)</f>
        <v>trụ</v>
      </c>
      <c r="F40" s="11">
        <v>1</v>
      </c>
      <c r="G40" s="214">
        <f>VLOOKUP($B40,R_DG!$A$7:$G$1305,5,0)</f>
        <v>0</v>
      </c>
      <c r="H40" s="214">
        <f>VLOOKUP($B40,R_DG!$A$7:$G$1305,6,0)</f>
        <v>0</v>
      </c>
      <c r="I40" s="214">
        <f>VLOOKUP($B40,R_DG!$A$7:$G$1305,7,0)</f>
        <v>0</v>
      </c>
      <c r="J40" s="214">
        <f t="shared" si="6"/>
        <v>0</v>
      </c>
      <c r="K40" s="214">
        <f t="shared" si="6"/>
        <v>0</v>
      </c>
      <c r="L40" s="220">
        <f t="shared" si="6"/>
        <v>0</v>
      </c>
      <c r="M40" s="93">
        <f>IF(F40&gt;0,M$38,0)</f>
        <v>0</v>
      </c>
      <c r="N40" s="328">
        <f ca="1">$F40*N$38</f>
        <v>0</v>
      </c>
    </row>
    <row r="41" spans="1:14" ht="15">
      <c r="A41" s="87"/>
      <c r="B41" s="7" t="s">
        <v>1169</v>
      </c>
      <c r="C41" s="32" t="str">
        <f>VLOOKUP($B41,R_DG!$A$7:$G$1305,2,0)</f>
        <v>05.5224</v>
      </c>
      <c r="D41" s="8" t="str">
        <f>VLOOKUP($B41,R_DG!$A$7:$G$1305,3,0)</f>
        <v>Dựng trụ BTLT 14m thủ công + cơ giới</v>
      </c>
      <c r="E41" s="9" t="str">
        <f>VLOOKUP($B41,R_DG!$A$7:$G$1305,4,0)</f>
        <v>trụ</v>
      </c>
      <c r="F41" s="11">
        <v>1</v>
      </c>
      <c r="G41" s="214">
        <f>VLOOKUP($B41,R_DG!$A$7:$G$1305,5,0)</f>
        <v>0</v>
      </c>
      <c r="H41" s="214">
        <f>VLOOKUP($B41,R_DG!$A$7:$G$1305,6,0)</f>
        <v>0</v>
      </c>
      <c r="I41" s="214">
        <f>VLOOKUP($B41,R_DG!$A$7:$G$1305,7,0)</f>
        <v>0</v>
      </c>
      <c r="J41" s="214">
        <f t="shared" si="6"/>
        <v>0</v>
      </c>
      <c r="K41" s="214">
        <f t="shared" si="6"/>
        <v>0</v>
      </c>
      <c r="L41" s="220">
        <f t="shared" si="6"/>
        <v>0</v>
      </c>
      <c r="M41" s="93">
        <f>IF(F41&gt;0,M$38,0)</f>
        <v>0</v>
      </c>
      <c r="N41" s="328">
        <f ca="1">$F41*N$38</f>
        <v>0</v>
      </c>
    </row>
    <row r="42" spans="1:14" ht="15">
      <c r="A42" s="87"/>
      <c r="B42" s="7" t="s">
        <v>2216</v>
      </c>
      <c r="C42" s="32" t="str">
        <f>VLOOKUP($B42,R_DG!$A$7:$G$1305,2,0)</f>
        <v>02.1124</v>
      </c>
      <c r="D42" s="8" t="str">
        <f>VLOOKUP($B42,R_DG!$A$7:$G$1305,3,0)</f>
        <v xml:space="preserve">Bốc dỡ trụ </v>
      </c>
      <c r="E42" s="9" t="str">
        <f>VLOOKUP($B42,R_DG!$A$7:$G$1305,4,0)</f>
        <v>tấn</v>
      </c>
      <c r="F42" s="11"/>
      <c r="G42" s="214">
        <f>VLOOKUP($B42,R_DG!$A$7:$G$1305,5,0)</f>
        <v>0</v>
      </c>
      <c r="H42" s="214">
        <f>VLOOKUP($B42,R_DG!$A$7:$G$1305,6,0)</f>
        <v>0</v>
      </c>
      <c r="I42" s="214">
        <f>VLOOKUP($B42,R_DG!$A$7:$G$1305,7,0)</f>
        <v>0</v>
      </c>
      <c r="J42" s="214">
        <f t="shared" si="6"/>
        <v>0</v>
      </c>
      <c r="K42" s="214">
        <f t="shared" si="6"/>
        <v>0</v>
      </c>
      <c r="L42" s="220">
        <f t="shared" si="6"/>
        <v>0</v>
      </c>
      <c r="M42" s="93">
        <f>IF(F42&gt;0,M$38,0)</f>
        <v>0</v>
      </c>
      <c r="N42" s="328">
        <f ca="1">$F42*N$38</f>
        <v>0</v>
      </c>
    </row>
    <row r="43" spans="1:14" ht="15">
      <c r="A43" s="27" t="s">
        <v>2554</v>
      </c>
      <c r="B43" s="27"/>
      <c r="C43" s="34"/>
      <c r="D43" s="25" t="s">
        <v>2556</v>
      </c>
      <c r="E43" s="25" t="s">
        <v>2215</v>
      </c>
      <c r="F43" s="26"/>
      <c r="G43" s="213"/>
      <c r="H43" s="213"/>
      <c r="I43" s="213"/>
      <c r="J43" s="213">
        <f>SUM(J44:J47)</f>
        <v>8181818</v>
      </c>
      <c r="K43" s="213">
        <f>SUM(K44:K47)</f>
        <v>0</v>
      </c>
      <c r="L43" s="219">
        <f>SUM(L44:L47)</f>
        <v>0</v>
      </c>
      <c r="M43" s="92">
        <f>IF(ERROR.TYPE(IF(HLOOKUP(A43,maBK,1,0)&lt;&gt;"",#NULL!,"ABC"))&lt;&gt;7,1,0)</f>
        <v>0</v>
      </c>
      <c r="N43" s="327">
        <f ca="1">SUMIF(maBK,$A43,tongBK1)</f>
        <v>0</v>
      </c>
    </row>
    <row r="44" spans="1:14" ht="15">
      <c r="A44" s="87"/>
      <c r="B44" s="7" t="s">
        <v>743</v>
      </c>
      <c r="C44" s="32">
        <f>VLOOKUP($B44,R_DG!$A$7:$G$1305,2,0)</f>
        <v>0</v>
      </c>
      <c r="D44" s="8" t="str">
        <f>VLOOKUP($B44,R_DG!$A$7:$G$1305,3,0)</f>
        <v>Trụ BTLT 14m F650 dự ứng lực</v>
      </c>
      <c r="E44" s="9" t="str">
        <f>VLOOKUP($B44,R_DG!$A$7:$G$1305,4,0)</f>
        <v>trụ</v>
      </c>
      <c r="F44" s="11">
        <v>1</v>
      </c>
      <c r="G44" s="214">
        <f>VLOOKUP($B44,R_DG!$A$7:$G$1305,5,0)</f>
        <v>8181818</v>
      </c>
      <c r="H44" s="214">
        <f>VLOOKUP($B44,R_DG!$A$7:$G$1305,6,0)</f>
        <v>0</v>
      </c>
      <c r="I44" s="214">
        <f>VLOOKUP($B44,R_DG!$A$7:$G$1305,7,0)</f>
        <v>0</v>
      </c>
      <c r="J44" s="214">
        <f t="shared" ref="J44:L47" si="7">G44*$F44</f>
        <v>8181818</v>
      </c>
      <c r="K44" s="214">
        <f t="shared" si="7"/>
        <v>0</v>
      </c>
      <c r="L44" s="220">
        <f t="shared" si="7"/>
        <v>0</v>
      </c>
      <c r="M44" s="93">
        <f>IF(F44&gt;0,M$43,0)</f>
        <v>0</v>
      </c>
      <c r="N44" s="328">
        <f ca="1">$F44*N$43</f>
        <v>0</v>
      </c>
    </row>
    <row r="45" spans="1:14" ht="15">
      <c r="A45" s="87"/>
      <c r="B45" s="7" t="s">
        <v>398</v>
      </c>
      <c r="C45" s="32">
        <f>VLOOKUP($B45,R_DG!$A$7:$G$1305,2,0)</f>
        <v>0</v>
      </c>
      <c r="D45" s="8" t="str">
        <f>VLOOKUP($B45,R_DG!$A$7:$G$1305,3,0)</f>
        <v>Vật liệu dựng trụ</v>
      </c>
      <c r="E45" s="9" t="str">
        <f>VLOOKUP($B45,R_DG!$A$7:$G$1305,4,0)</f>
        <v>trụ</v>
      </c>
      <c r="F45" s="11">
        <v>1</v>
      </c>
      <c r="G45" s="214">
        <f>VLOOKUP($B45,R_DG!$A$7:$G$1305,5,0)</f>
        <v>0</v>
      </c>
      <c r="H45" s="214">
        <f>VLOOKUP($B45,R_DG!$A$7:$G$1305,6,0)</f>
        <v>0</v>
      </c>
      <c r="I45" s="214">
        <f>VLOOKUP($B45,R_DG!$A$7:$G$1305,7,0)</f>
        <v>0</v>
      </c>
      <c r="J45" s="214">
        <f t="shared" si="7"/>
        <v>0</v>
      </c>
      <c r="K45" s="214">
        <f t="shared" si="7"/>
        <v>0</v>
      </c>
      <c r="L45" s="220">
        <f t="shared" si="7"/>
        <v>0</v>
      </c>
      <c r="M45" s="93">
        <f>IF(F45&gt;0,M$43,0)</f>
        <v>0</v>
      </c>
      <c r="N45" s="328">
        <f ca="1">$F45*N$43</f>
        <v>0</v>
      </c>
    </row>
    <row r="46" spans="1:14" ht="15">
      <c r="A46" s="87"/>
      <c r="B46" s="7" t="s">
        <v>1169</v>
      </c>
      <c r="C46" s="32" t="str">
        <f>VLOOKUP($B46,R_DG!$A$7:$G$1305,2,0)</f>
        <v>05.5224</v>
      </c>
      <c r="D46" s="8" t="str">
        <f>VLOOKUP($B46,R_DG!$A$7:$G$1305,3,0)</f>
        <v>Dựng trụ BTLT 14m thủ công + cơ giới</v>
      </c>
      <c r="E46" s="9" t="str">
        <f>VLOOKUP($B46,R_DG!$A$7:$G$1305,4,0)</f>
        <v>trụ</v>
      </c>
      <c r="F46" s="11">
        <v>1</v>
      </c>
      <c r="G46" s="214">
        <f>VLOOKUP($B46,R_DG!$A$7:$G$1305,5,0)</f>
        <v>0</v>
      </c>
      <c r="H46" s="214">
        <f>VLOOKUP($B46,R_DG!$A$7:$G$1305,6,0)</f>
        <v>0</v>
      </c>
      <c r="I46" s="214">
        <f>VLOOKUP($B46,R_DG!$A$7:$G$1305,7,0)</f>
        <v>0</v>
      </c>
      <c r="J46" s="214">
        <f t="shared" si="7"/>
        <v>0</v>
      </c>
      <c r="K46" s="214">
        <f t="shared" si="7"/>
        <v>0</v>
      </c>
      <c r="L46" s="220">
        <f t="shared" si="7"/>
        <v>0</v>
      </c>
      <c r="M46" s="93">
        <f>IF(F46&gt;0,M$43,0)</f>
        <v>0</v>
      </c>
      <c r="N46" s="328">
        <f ca="1">$F46*N$43</f>
        <v>0</v>
      </c>
    </row>
    <row r="47" spans="1:14" ht="15">
      <c r="A47" s="87"/>
      <c r="B47" s="7" t="s">
        <v>2216</v>
      </c>
      <c r="C47" s="32" t="str">
        <f>VLOOKUP($B47,R_DG!$A$7:$G$1305,2,0)</f>
        <v>02.1124</v>
      </c>
      <c r="D47" s="8" t="str">
        <f>VLOOKUP($B47,R_DG!$A$7:$G$1305,3,0)</f>
        <v xml:space="preserve">Bốc dỡ trụ </v>
      </c>
      <c r="E47" s="9" t="str">
        <f>VLOOKUP($B47,R_DG!$A$7:$G$1305,4,0)</f>
        <v>tấn</v>
      </c>
      <c r="F47" s="11"/>
      <c r="G47" s="214">
        <f>VLOOKUP($B47,R_DG!$A$7:$G$1305,5,0)</f>
        <v>0</v>
      </c>
      <c r="H47" s="214">
        <f>VLOOKUP($B47,R_DG!$A$7:$G$1305,6,0)</f>
        <v>0</v>
      </c>
      <c r="I47" s="214">
        <f>VLOOKUP($B47,R_DG!$A$7:$G$1305,7,0)</f>
        <v>0</v>
      </c>
      <c r="J47" s="214">
        <f t="shared" si="7"/>
        <v>0</v>
      </c>
      <c r="K47" s="214">
        <f t="shared" si="7"/>
        <v>0</v>
      </c>
      <c r="L47" s="220">
        <f t="shared" si="7"/>
        <v>0</v>
      </c>
      <c r="M47" s="93">
        <f>IF(F47&gt;0,M$43,0)</f>
        <v>0</v>
      </c>
      <c r="N47" s="328">
        <f ca="1">$F47*N$43</f>
        <v>0</v>
      </c>
    </row>
    <row r="48" spans="1:14" ht="15">
      <c r="A48" s="27" t="s">
        <v>2555</v>
      </c>
      <c r="B48" s="27"/>
      <c r="C48" s="34"/>
      <c r="D48" s="25" t="s">
        <v>2557</v>
      </c>
      <c r="E48" s="25" t="s">
        <v>2215</v>
      </c>
      <c r="F48" s="26"/>
      <c r="G48" s="213"/>
      <c r="H48" s="213"/>
      <c r="I48" s="213"/>
      <c r="J48" s="213">
        <f>SUM(J49:J52)</f>
        <v>8181818</v>
      </c>
      <c r="K48" s="213">
        <f>SUM(K49:K52)</f>
        <v>0</v>
      </c>
      <c r="L48" s="219">
        <f>SUM(L49:L52)</f>
        <v>0</v>
      </c>
      <c r="M48" s="92">
        <f>IF(ERROR.TYPE(IF(HLOOKUP(A48,maBK,1,0)&lt;&gt;"",#NULL!,"ABC"))&lt;&gt;7,1,0)</f>
        <v>0</v>
      </c>
      <c r="N48" s="327">
        <f ca="1">SUMIF(maBK,$A48,tongBK1)</f>
        <v>0</v>
      </c>
    </row>
    <row r="49" spans="1:14" ht="15">
      <c r="A49" s="87"/>
      <c r="B49" s="7" t="s">
        <v>743</v>
      </c>
      <c r="C49" s="32">
        <f>VLOOKUP($B49,R_DG!$A$7:$G$1305,2,0)</f>
        <v>0</v>
      </c>
      <c r="D49" s="8" t="str">
        <f>VLOOKUP($B49,R_DG!$A$7:$G$1305,3,0)</f>
        <v>Trụ BTLT 14m F650 dự ứng lực</v>
      </c>
      <c r="E49" s="9" t="str">
        <f>VLOOKUP($B49,R_DG!$A$7:$G$1305,4,0)</f>
        <v>trụ</v>
      </c>
      <c r="F49" s="11">
        <v>1</v>
      </c>
      <c r="G49" s="214">
        <f>VLOOKUP($B49,R_DG!$A$7:$G$1305,5,0)</f>
        <v>8181818</v>
      </c>
      <c r="H49" s="214">
        <f>VLOOKUP($B49,R_DG!$A$7:$G$1305,6,0)</f>
        <v>0</v>
      </c>
      <c r="I49" s="214">
        <f>VLOOKUP($B49,R_DG!$A$7:$G$1305,7,0)</f>
        <v>0</v>
      </c>
      <c r="J49" s="214">
        <f t="shared" ref="J49:L52" si="8">G49*$F49</f>
        <v>8181818</v>
      </c>
      <c r="K49" s="214">
        <f t="shared" si="8"/>
        <v>0</v>
      </c>
      <c r="L49" s="220">
        <f t="shared" si="8"/>
        <v>0</v>
      </c>
      <c r="M49" s="93">
        <f>IF(F49&gt;0,M$48,0)</f>
        <v>0</v>
      </c>
      <c r="N49" s="328">
        <f ca="1">$F49*N$48</f>
        <v>0</v>
      </c>
    </row>
    <row r="50" spans="1:14" ht="15">
      <c r="A50" s="87"/>
      <c r="B50" s="7" t="s">
        <v>398</v>
      </c>
      <c r="C50" s="32">
        <f>VLOOKUP($B50,R_DG!$A$7:$G$1305,2,0)</f>
        <v>0</v>
      </c>
      <c r="D50" s="8" t="str">
        <f>VLOOKUP($B50,R_DG!$A$7:$G$1305,3,0)</f>
        <v>Vật liệu dựng trụ</v>
      </c>
      <c r="E50" s="9" t="str">
        <f>VLOOKUP($B50,R_DG!$A$7:$G$1305,4,0)</f>
        <v>trụ</v>
      </c>
      <c r="F50" s="11">
        <v>1</v>
      </c>
      <c r="G50" s="214">
        <f>VLOOKUP($B50,R_DG!$A$7:$G$1305,5,0)</f>
        <v>0</v>
      </c>
      <c r="H50" s="214">
        <f>VLOOKUP($B50,R_DG!$A$7:$G$1305,6,0)</f>
        <v>0</v>
      </c>
      <c r="I50" s="214">
        <f>VLOOKUP($B50,R_DG!$A$7:$G$1305,7,0)</f>
        <v>0</v>
      </c>
      <c r="J50" s="214">
        <f t="shared" si="8"/>
        <v>0</v>
      </c>
      <c r="K50" s="214">
        <f t="shared" si="8"/>
        <v>0</v>
      </c>
      <c r="L50" s="220">
        <f t="shared" si="8"/>
        <v>0</v>
      </c>
      <c r="M50" s="93">
        <f>IF(F50&gt;0,M$48,0)</f>
        <v>0</v>
      </c>
      <c r="N50" s="328">
        <f ca="1">$F50*N$48</f>
        <v>0</v>
      </c>
    </row>
    <row r="51" spans="1:14" ht="15">
      <c r="A51" s="87"/>
      <c r="B51" s="7" t="s">
        <v>1169</v>
      </c>
      <c r="C51" s="32" t="str">
        <f>VLOOKUP($B51,R_DG!$A$7:$G$1305,2,0)</f>
        <v>05.5224</v>
      </c>
      <c r="D51" s="8" t="str">
        <f>VLOOKUP($B51,R_DG!$A$7:$G$1305,3,0)</f>
        <v>Dựng trụ BTLT 14m thủ công + cơ giới</v>
      </c>
      <c r="E51" s="9" t="str">
        <f>VLOOKUP($B51,R_DG!$A$7:$G$1305,4,0)</f>
        <v>trụ</v>
      </c>
      <c r="F51" s="11">
        <v>1</v>
      </c>
      <c r="G51" s="214">
        <f>VLOOKUP($B51,R_DG!$A$7:$G$1305,5,0)</f>
        <v>0</v>
      </c>
      <c r="H51" s="214">
        <f>VLOOKUP($B51,R_DG!$A$7:$G$1305,6,0)</f>
        <v>0</v>
      </c>
      <c r="I51" s="214">
        <f>VLOOKUP($B51,R_DG!$A$7:$G$1305,7,0)</f>
        <v>0</v>
      </c>
      <c r="J51" s="214">
        <f t="shared" si="8"/>
        <v>0</v>
      </c>
      <c r="K51" s="214">
        <f t="shared" si="8"/>
        <v>0</v>
      </c>
      <c r="L51" s="220">
        <f t="shared" si="8"/>
        <v>0</v>
      </c>
      <c r="M51" s="93">
        <f>IF(F51&gt;0,M$48,0)</f>
        <v>0</v>
      </c>
      <c r="N51" s="328">
        <f ca="1">$F51*N$48</f>
        <v>0</v>
      </c>
    </row>
    <row r="52" spans="1:14" ht="15">
      <c r="A52" s="87"/>
      <c r="B52" s="7" t="s">
        <v>2216</v>
      </c>
      <c r="C52" s="32" t="str">
        <f>VLOOKUP($B52,R_DG!$A$7:$G$1305,2,0)</f>
        <v>02.1124</v>
      </c>
      <c r="D52" s="8" t="str">
        <f>VLOOKUP($B52,R_DG!$A$7:$G$1305,3,0)</f>
        <v xml:space="preserve">Bốc dỡ trụ </v>
      </c>
      <c r="E52" s="9" t="str">
        <f>VLOOKUP($B52,R_DG!$A$7:$G$1305,4,0)</f>
        <v>tấn</v>
      </c>
      <c r="F52" s="11"/>
      <c r="G52" s="214">
        <f>VLOOKUP($B52,R_DG!$A$7:$G$1305,5,0)</f>
        <v>0</v>
      </c>
      <c r="H52" s="214">
        <f>VLOOKUP($B52,R_DG!$A$7:$G$1305,6,0)</f>
        <v>0</v>
      </c>
      <c r="I52" s="214">
        <f>VLOOKUP($B52,R_DG!$A$7:$G$1305,7,0)</f>
        <v>0</v>
      </c>
      <c r="J52" s="214">
        <f t="shared" si="8"/>
        <v>0</v>
      </c>
      <c r="K52" s="214">
        <f t="shared" si="8"/>
        <v>0</v>
      </c>
      <c r="L52" s="220">
        <f t="shared" si="8"/>
        <v>0</v>
      </c>
      <c r="M52" s="93">
        <f>IF(F52&gt;0,M$48,0)</f>
        <v>0</v>
      </c>
      <c r="N52" s="328">
        <f ca="1">$F52*N$48</f>
        <v>0</v>
      </c>
    </row>
    <row r="53" spans="1:14" ht="15">
      <c r="A53" s="27" t="s">
        <v>2224</v>
      </c>
      <c r="B53" s="27"/>
      <c r="C53" s="34"/>
      <c r="D53" s="25" t="s">
        <v>2225</v>
      </c>
      <c r="E53" s="25" t="s">
        <v>2215</v>
      </c>
      <c r="F53" s="26"/>
      <c r="G53" s="213"/>
      <c r="H53" s="213"/>
      <c r="I53" s="213"/>
      <c r="J53" s="213">
        <f>SUM(J54:J57)</f>
        <v>8720000</v>
      </c>
      <c r="K53" s="213">
        <f>SUM(K54:K57)</f>
        <v>0</v>
      </c>
      <c r="L53" s="219">
        <f>SUM(L54:L57)</f>
        <v>0</v>
      </c>
      <c r="M53" s="92">
        <f>IF(ERROR.TYPE(IF(HLOOKUP(A53,maBK,1,0)&lt;&gt;"",#NULL!,"ABC"))&lt;&gt;7,1,0)</f>
        <v>0</v>
      </c>
      <c r="N53" s="327">
        <f ca="1">SUMIF(maBK,$A53,tongBK1)</f>
        <v>0</v>
      </c>
    </row>
    <row r="54" spans="1:14" ht="15">
      <c r="A54" s="87"/>
      <c r="B54" s="7" t="s">
        <v>745</v>
      </c>
      <c r="C54" s="32">
        <f>VLOOKUP($B54,R_DG!$A$7:$G$1305,2,0)</f>
        <v>0</v>
      </c>
      <c r="D54" s="8" t="str">
        <f>VLOOKUP($B54,R_DG!$A$7:$G$1305,3,0)</f>
        <v>Trụ BTLT 20m F1000 dự ứng lực</v>
      </c>
      <c r="E54" s="9" t="str">
        <f>VLOOKUP($B54,R_DG!$A$7:$G$1305,4,0)</f>
        <v>trụ</v>
      </c>
      <c r="F54" s="11">
        <v>1</v>
      </c>
      <c r="G54" s="214">
        <f>VLOOKUP($B54,R_DG!$A$7:$G$1305,5,0)</f>
        <v>8720000</v>
      </c>
      <c r="H54" s="214">
        <f>VLOOKUP($B54,R_DG!$A$7:$G$1305,6,0)</f>
        <v>0</v>
      </c>
      <c r="I54" s="214">
        <f>VLOOKUP($B54,R_DG!$A$7:$G$1305,7,0)</f>
        <v>0</v>
      </c>
      <c r="J54" s="214">
        <f t="shared" ref="J54:L57" si="9">G54*$F54</f>
        <v>8720000</v>
      </c>
      <c r="K54" s="214">
        <f t="shared" si="9"/>
        <v>0</v>
      </c>
      <c r="L54" s="220">
        <f t="shared" si="9"/>
        <v>0</v>
      </c>
      <c r="M54" s="93">
        <f>IF(F54&gt;0,M$53,0)</f>
        <v>0</v>
      </c>
      <c r="N54" s="328">
        <f ca="1">$F54*N$53</f>
        <v>0</v>
      </c>
    </row>
    <row r="55" spans="1:14" ht="15">
      <c r="A55" s="87"/>
      <c r="B55" s="7" t="s">
        <v>398</v>
      </c>
      <c r="C55" s="32">
        <f>VLOOKUP($B55,R_DG!$A$7:$G$1305,2,0)</f>
        <v>0</v>
      </c>
      <c r="D55" s="8" t="str">
        <f>VLOOKUP($B55,R_DG!$A$7:$G$1305,3,0)</f>
        <v>Vật liệu dựng trụ</v>
      </c>
      <c r="E55" s="9" t="str">
        <f>VLOOKUP($B55,R_DG!$A$7:$G$1305,4,0)</f>
        <v>trụ</v>
      </c>
      <c r="F55" s="11">
        <v>1</v>
      </c>
      <c r="G55" s="214">
        <f>VLOOKUP($B55,R_DG!$A$7:$G$1305,5,0)</f>
        <v>0</v>
      </c>
      <c r="H55" s="214">
        <f>VLOOKUP($B55,R_DG!$A$7:$G$1305,6,0)</f>
        <v>0</v>
      </c>
      <c r="I55" s="214">
        <f>VLOOKUP($B55,R_DG!$A$7:$G$1305,7,0)</f>
        <v>0</v>
      </c>
      <c r="J55" s="214">
        <f t="shared" si="9"/>
        <v>0</v>
      </c>
      <c r="K55" s="214">
        <f t="shared" si="9"/>
        <v>0</v>
      </c>
      <c r="L55" s="220">
        <f t="shared" si="9"/>
        <v>0</v>
      </c>
      <c r="M55" s="93">
        <f>IF(F55&gt;0,M$53,0)</f>
        <v>0</v>
      </c>
      <c r="N55" s="328">
        <f ca="1">$F55*N$53</f>
        <v>0</v>
      </c>
    </row>
    <row r="56" spans="1:14" ht="15">
      <c r="A56" s="87"/>
      <c r="B56" s="7" t="s">
        <v>1172</v>
      </c>
      <c r="C56" s="32" t="str">
        <f>VLOOKUP($B56,R_DG!$A$7:$G$1305,2,0)</f>
        <v>05.5227</v>
      </c>
      <c r="D56" s="8" t="str">
        <f>VLOOKUP($B56,R_DG!$A$7:$G$1305,3,0)</f>
        <v>Dựng trụ BTLT 20m thủ công + cơ giới</v>
      </c>
      <c r="E56" s="9" t="str">
        <f>VLOOKUP($B56,R_DG!$A$7:$G$1305,4,0)</f>
        <v>trụ</v>
      </c>
      <c r="F56" s="11">
        <v>1</v>
      </c>
      <c r="G56" s="214">
        <f>VLOOKUP($B56,R_DG!$A$7:$G$1305,5,0)</f>
        <v>0</v>
      </c>
      <c r="H56" s="214">
        <f>VLOOKUP($B56,R_DG!$A$7:$G$1305,6,0)</f>
        <v>0</v>
      </c>
      <c r="I56" s="214">
        <f>VLOOKUP($B56,R_DG!$A$7:$G$1305,7,0)</f>
        <v>0</v>
      </c>
      <c r="J56" s="214">
        <f t="shared" si="9"/>
        <v>0</v>
      </c>
      <c r="K56" s="214">
        <f t="shared" si="9"/>
        <v>0</v>
      </c>
      <c r="L56" s="220">
        <f t="shared" si="9"/>
        <v>0</v>
      </c>
      <c r="M56" s="93">
        <f>IF(F56&gt;0,M$53,0)</f>
        <v>0</v>
      </c>
      <c r="N56" s="328">
        <f ca="1">$F56*N$53</f>
        <v>0</v>
      </c>
    </row>
    <row r="57" spans="1:14" ht="15">
      <c r="A57" s="87"/>
      <c r="B57" s="7" t="s">
        <v>2216</v>
      </c>
      <c r="C57" s="32" t="str">
        <f>VLOOKUP($B57,R_DG!$A$7:$G$1305,2,0)</f>
        <v>02.1124</v>
      </c>
      <c r="D57" s="8" t="str">
        <f>VLOOKUP($B57,R_DG!$A$7:$G$1305,3,0)</f>
        <v xml:space="preserve">Bốc dỡ trụ </v>
      </c>
      <c r="E57" s="9" t="str">
        <f>VLOOKUP($B57,R_DG!$A$7:$G$1305,4,0)</f>
        <v>tấn</v>
      </c>
      <c r="F57" s="11">
        <v>2.72</v>
      </c>
      <c r="G57" s="214">
        <f>VLOOKUP($B57,R_DG!$A$7:$G$1305,5,0)</f>
        <v>0</v>
      </c>
      <c r="H57" s="214">
        <f>VLOOKUP($B57,R_DG!$A$7:$G$1305,6,0)</f>
        <v>0</v>
      </c>
      <c r="I57" s="214">
        <f>VLOOKUP($B57,R_DG!$A$7:$G$1305,7,0)</f>
        <v>0</v>
      </c>
      <c r="J57" s="214">
        <f t="shared" si="9"/>
        <v>0</v>
      </c>
      <c r="K57" s="214">
        <f t="shared" si="9"/>
        <v>0</v>
      </c>
      <c r="L57" s="220">
        <f t="shared" si="9"/>
        <v>0</v>
      </c>
      <c r="M57" s="93">
        <f>IF(F57&gt;0,M$53,0)</f>
        <v>0</v>
      </c>
      <c r="N57" s="328">
        <f ca="1">$F57*N$53</f>
        <v>0</v>
      </c>
    </row>
    <row r="58" spans="1:14" ht="15">
      <c r="A58" s="89" t="s">
        <v>2144</v>
      </c>
      <c r="B58" s="24"/>
      <c r="C58" s="34"/>
      <c r="D58" s="25" t="s">
        <v>2145</v>
      </c>
      <c r="E58" s="25" t="s">
        <v>2146</v>
      </c>
      <c r="F58" s="26"/>
      <c r="G58" s="213"/>
      <c r="H58" s="213"/>
      <c r="I58" s="213"/>
      <c r="J58" s="213">
        <f>SUM(J59:J60)</f>
        <v>0</v>
      </c>
      <c r="K58" s="213">
        <f>SUM(K59:K60)</f>
        <v>66461.287199999992</v>
      </c>
      <c r="L58" s="219">
        <f>SUM(L59:L60)</f>
        <v>0</v>
      </c>
      <c r="M58" s="92">
        <f>IF(ERROR.TYPE(IF(HLOOKUP(A58,maBK,1,0)&lt;&gt;"",#NULL!,"ABC"))&lt;&gt;7,1,0)</f>
        <v>0</v>
      </c>
      <c r="N58" s="327">
        <f ca="1">SUMIF(maBK,$A58,tongBK1)</f>
        <v>0</v>
      </c>
    </row>
    <row r="59" spans="1:14" ht="15">
      <c r="A59" s="87"/>
      <c r="B59" s="7" t="str">
        <f>IF(CAPDAT=1,"MDD1",IF(CAPDAT=2,"MDD2",IF(CAPDAT=3,"MDD3",IF(CAPDAT=4,"MDD4"))))</f>
        <v>MDD3</v>
      </c>
      <c r="C59" s="32" t="str">
        <f>VLOOKUP($B59,R_DG!$A$7:$G$1305,2,0)</f>
        <v>AB.11400</v>
      </c>
      <c r="D59" s="8" t="str">
        <f>VLOOKUP($B59,R_DG!$A$7:$G$1305,3,0)</f>
        <v>Đào hố móng đất cấp 3 sâu &gt;1m, rộng &lt;1m</v>
      </c>
      <c r="E59" s="9" t="str">
        <f>VLOOKUP($B59,R_DG!$A$7:$G$1305,4,0)</f>
        <v>m3</v>
      </c>
      <c r="F59" s="10">
        <v>0.13</v>
      </c>
      <c r="G59" s="214">
        <f>VLOOKUP($B59,R_DG!$A$7:$G$1305,5,0)</f>
        <v>0</v>
      </c>
      <c r="H59" s="214">
        <f>VLOOKUP($B59,R_DG!$A$7:$G$1305,6,0)</f>
        <v>418738.31999999995</v>
      </c>
      <c r="I59" s="214">
        <f>VLOOKUP($B59,R_DG!$A$7:$G$1305,7,0)</f>
        <v>0</v>
      </c>
      <c r="J59" s="214">
        <f>G59*$F59</f>
        <v>0</v>
      </c>
      <c r="K59" s="214">
        <f>H59*$F59</f>
        <v>54435.981599999992</v>
      </c>
      <c r="L59" s="220">
        <f>I59*$F59</f>
        <v>0</v>
      </c>
      <c r="M59" s="93">
        <f>IF(F59&gt;0,M$58,0)</f>
        <v>0</v>
      </c>
      <c r="N59" s="328">
        <f ca="1">$F59*N$58</f>
        <v>0</v>
      </c>
    </row>
    <row r="60" spans="1:14" ht="15">
      <c r="A60" s="87"/>
      <c r="B60" s="7" t="str">
        <f>IF(CAPDAT=1,"MDAP1",IF(CAPDAT=2,"MDAP2",IF(CAPDAT=3,"MDAP3",IF(CAPDAT=4,"MDAP4"))))</f>
        <v>MDAP3</v>
      </c>
      <c r="C60" s="32" t="str">
        <f>VLOOKUP($B60,R_DG!$A$7:$G$1305,2,0)</f>
        <v>AB.13000</v>
      </c>
      <c r="D60" s="8" t="str">
        <f>VLOOKUP($B60,R_DG!$A$7:$G$1305,3,0)</f>
        <v>Đắp đất hố móng, đất cấp 3, k = 0,85</v>
      </c>
      <c r="E60" s="9" t="str">
        <f>VLOOKUP($B60,R_DG!$A$7:$G$1305,4,0)</f>
        <v>m3</v>
      </c>
      <c r="F60" s="10">
        <v>0.12</v>
      </c>
      <c r="G60" s="214">
        <f>VLOOKUP($B60,R_DG!$A$7:$G$1305,5,0)</f>
        <v>0</v>
      </c>
      <c r="H60" s="214">
        <f>VLOOKUP($B60,R_DG!$A$7:$G$1305,6,0)</f>
        <v>100210.88</v>
      </c>
      <c r="I60" s="214">
        <f>VLOOKUP($B60,R_DG!$A$7:$G$1305,7,0)</f>
        <v>0</v>
      </c>
      <c r="J60" s="214">
        <f t="shared" ref="J60:L110" si="10">G60*$F60</f>
        <v>0</v>
      </c>
      <c r="K60" s="214">
        <f t="shared" si="10"/>
        <v>12025.3056</v>
      </c>
      <c r="L60" s="220">
        <f t="shared" si="10"/>
        <v>0</v>
      </c>
      <c r="M60" s="93">
        <f>IF(F60&gt;0,M$58,0)</f>
        <v>0</v>
      </c>
      <c r="N60" s="328">
        <f ca="1">$F60*N$58</f>
        <v>0</v>
      </c>
    </row>
    <row r="61" spans="1:14" ht="15">
      <c r="A61" s="89" t="s">
        <v>2147</v>
      </c>
      <c r="B61" s="24"/>
      <c r="C61" s="34"/>
      <c r="D61" s="25" t="s">
        <v>2148</v>
      </c>
      <c r="E61" s="25" t="s">
        <v>2146</v>
      </c>
      <c r="F61" s="26"/>
      <c r="G61" s="213"/>
      <c r="H61" s="213"/>
      <c r="I61" s="213"/>
      <c r="J61" s="213" t="e">
        <f>SUM(J62:J67)</f>
        <v>#REF!</v>
      </c>
      <c r="K61" s="213">
        <f>SUM(K62:K67)</f>
        <v>919125.03319999995</v>
      </c>
      <c r="L61" s="219">
        <f>SUM(L62:L67)</f>
        <v>0</v>
      </c>
      <c r="M61" s="92">
        <f>IF(ERROR.TYPE(IF(HLOOKUP(A61,maBK,1,0)&lt;&gt;"",#NULL!,"ABC"))&lt;&gt;7,1,0)</f>
        <v>0</v>
      </c>
      <c r="N61" s="327">
        <f ca="1">SUMIF(maBK,$A61,tongBK1)</f>
        <v>0</v>
      </c>
    </row>
    <row r="62" spans="1:14" ht="15">
      <c r="A62" s="87"/>
      <c r="B62" s="7" t="s">
        <v>2149</v>
      </c>
      <c r="C62" s="32" t="str">
        <f>VLOOKUP($B62,R_DG!$A$7:$G$1305,2,0)</f>
        <v>04.3801</v>
      </c>
      <c r="D62" s="8" t="str">
        <f>VLOOKUP($B62,R_DG!$A$7:$G$1305,3,0)</f>
        <v>Đà cản BTCT 1,2m</v>
      </c>
      <c r="E62" s="9" t="str">
        <f>VLOOKUP($B62,R_DG!$A$7:$G$1305,4,0)</f>
        <v>cái</v>
      </c>
      <c r="F62" s="11">
        <v>1</v>
      </c>
      <c r="G62" s="214">
        <f>VLOOKUP($B62,R_DG!$A$7:$G$1305,5,0)</f>
        <v>650000</v>
      </c>
      <c r="H62" s="214">
        <f>VLOOKUP($B62,R_DG!$A$7:$G$1305,6,0)</f>
        <v>161119.20000000001</v>
      </c>
      <c r="I62" s="214">
        <f>VLOOKUP($B62,R_DG!$A$7:$G$1305,7,0)</f>
        <v>0</v>
      </c>
      <c r="J62" s="214">
        <f t="shared" si="10"/>
        <v>650000</v>
      </c>
      <c r="K62" s="214">
        <f t="shared" si="10"/>
        <v>161119.20000000001</v>
      </c>
      <c r="L62" s="220">
        <f t="shared" si="10"/>
        <v>0</v>
      </c>
      <c r="M62" s="93">
        <f t="shared" ref="M62:M67" si="11">IF(F62&gt;0,M$61,0)</f>
        <v>0</v>
      </c>
      <c r="N62" s="328">
        <f t="shared" ref="N62:N67" ca="1" si="12">$F62*N$61</f>
        <v>0</v>
      </c>
    </row>
    <row r="63" spans="1:14" ht="20.100000000000001" customHeight="1">
      <c r="A63" s="87"/>
      <c r="B63" s="7" t="s">
        <v>2150</v>
      </c>
      <c r="C63" s="32">
        <f>VLOOKUP($B63,R_DG!$A$7:$G$1305,2,0)</f>
        <v>0</v>
      </c>
      <c r="D63" s="8" t="str">
        <f>VLOOKUP($B63,R_DG!$A$7:$G$1305,3,0)</f>
        <v>Boulon 22x550+ 2 long đền vuông D24-50x50x3/Zn</v>
      </c>
      <c r="E63" s="9" t="str">
        <f>VLOOKUP($B63,R_DG!$A$7:$G$1305,4,0)</f>
        <v>bộ</v>
      </c>
      <c r="F63" s="11">
        <v>1</v>
      </c>
      <c r="G63" s="214" t="e">
        <f>VLOOKUP($B63,R_DG!$A$7:$G$1305,5,0)</f>
        <v>#REF!</v>
      </c>
      <c r="H63" s="214">
        <f>VLOOKUP($B63,R_DG!$A$7:$G$1305,6,0)</f>
        <v>0</v>
      </c>
      <c r="I63" s="214">
        <f>VLOOKUP($B63,R_DG!$A$7:$G$1305,7,0)</f>
        <v>0</v>
      </c>
      <c r="J63" s="214" t="e">
        <f t="shared" si="10"/>
        <v>#REF!</v>
      </c>
      <c r="K63" s="214">
        <f t="shared" si="10"/>
        <v>0</v>
      </c>
      <c r="L63" s="220">
        <f t="shared" si="10"/>
        <v>0</v>
      </c>
      <c r="M63" s="93">
        <f t="shared" si="11"/>
        <v>0</v>
      </c>
      <c r="N63" s="328">
        <f t="shared" ca="1" si="12"/>
        <v>0</v>
      </c>
    </row>
    <row r="64" spans="1:14" ht="20.100000000000001" customHeight="1">
      <c r="A64" s="87"/>
      <c r="B64" s="7" t="s">
        <v>2151</v>
      </c>
      <c r="C64" s="32">
        <f>VLOOKUP($B64,R_DG!$A$7:$G$1305,2,0)</f>
        <v>0</v>
      </c>
      <c r="D64" s="8" t="str">
        <f>VLOOKUP($B64,R_DG!$A$7:$G$1305,3,0)</f>
        <v>Đá 2x4</v>
      </c>
      <c r="E64" s="9" t="str">
        <f>VLOOKUP($B64,R_DG!$A$7:$G$1305,4,0)</f>
        <v>m3</v>
      </c>
      <c r="F64" s="10">
        <v>0.155</v>
      </c>
      <c r="G64" s="214">
        <f>VLOOKUP($B64,R_DG!$A$7:$G$1305,5,0)</f>
        <v>320000</v>
      </c>
      <c r="H64" s="214">
        <f>VLOOKUP($B64,R_DG!$A$7:$G$1305,6,0)</f>
        <v>0</v>
      </c>
      <c r="I64" s="214">
        <f>VLOOKUP($B64,R_DG!$A$7:$G$1305,7,0)</f>
        <v>0</v>
      </c>
      <c r="J64" s="214">
        <f t="shared" si="10"/>
        <v>49600</v>
      </c>
      <c r="K64" s="214">
        <f t="shared" si="10"/>
        <v>0</v>
      </c>
      <c r="L64" s="220">
        <f t="shared" si="10"/>
        <v>0</v>
      </c>
      <c r="M64" s="93">
        <f t="shared" si="11"/>
        <v>0</v>
      </c>
      <c r="N64" s="328">
        <f t="shared" ca="1" si="12"/>
        <v>0</v>
      </c>
    </row>
    <row r="65" spans="1:14" ht="20.100000000000001" customHeight="1">
      <c r="A65" s="87"/>
      <c r="B65" s="7" t="str">
        <f>IF(CAPDAT=1,"MDD1",IF(CAPDAT=2,"MDD2",IF(CAPDAT=3,"MDD3",IF(CAPDAT=4,"MDD4"))))</f>
        <v>MDD3</v>
      </c>
      <c r="C65" s="32" t="str">
        <f>VLOOKUP($B65,R_DG!$A$7:$G$1305,2,0)</f>
        <v>AB.11400</v>
      </c>
      <c r="D65" s="8" t="str">
        <f>VLOOKUP($B65,R_DG!$A$7:$G$1305,3,0)</f>
        <v>Đào hố móng đất cấp 3 sâu &gt;1m, rộng &lt;1m</v>
      </c>
      <c r="E65" s="9" t="str">
        <f>VLOOKUP($B65,R_DG!$A$7:$G$1305,4,0)</f>
        <v>m3</v>
      </c>
      <c r="F65" s="10">
        <v>1.423</v>
      </c>
      <c r="G65" s="214">
        <f>VLOOKUP($B65,R_DG!$A$7:$G$1305,5,0)</f>
        <v>0</v>
      </c>
      <c r="H65" s="214">
        <f>VLOOKUP($B65,R_DG!$A$7:$G$1305,6,0)</f>
        <v>418738.31999999995</v>
      </c>
      <c r="I65" s="214">
        <f>VLOOKUP($B65,R_DG!$A$7:$G$1305,7,0)</f>
        <v>0</v>
      </c>
      <c r="J65" s="214">
        <f t="shared" si="10"/>
        <v>0</v>
      </c>
      <c r="K65" s="214">
        <f t="shared" si="10"/>
        <v>595864.6293599999</v>
      </c>
      <c r="L65" s="220">
        <f t="shared" si="10"/>
        <v>0</v>
      </c>
      <c r="M65" s="93">
        <f t="shared" si="11"/>
        <v>0</v>
      </c>
      <c r="N65" s="328">
        <f t="shared" ca="1" si="12"/>
        <v>0</v>
      </c>
    </row>
    <row r="66" spans="1:14" ht="20.100000000000001" customHeight="1">
      <c r="A66" s="87"/>
      <c r="B66" s="7" t="str">
        <f>IF(CAPDAT=1,"MDAP1",IF(CAPDAT=2,"MDAP2",IF(CAPDAT=3,"MDAP3",IF(CAPDAT=4,"MDAP4"))))</f>
        <v>MDAP3</v>
      </c>
      <c r="C66" s="32" t="str">
        <f>VLOOKUP($B66,R_DG!$A$7:$G$1305,2,0)</f>
        <v>AB.13000</v>
      </c>
      <c r="D66" s="8" t="str">
        <f>VLOOKUP($B66,R_DG!$A$7:$G$1305,3,0)</f>
        <v>Đắp đất hố móng, đất cấp 3, k = 0,85</v>
      </c>
      <c r="E66" s="9" t="str">
        <f>VLOOKUP($B66,R_DG!$A$7:$G$1305,4,0)</f>
        <v>m3</v>
      </c>
      <c r="F66" s="10">
        <v>1.6180000000000001</v>
      </c>
      <c r="G66" s="214">
        <f>VLOOKUP($B66,R_DG!$A$7:$G$1305,5,0)</f>
        <v>0</v>
      </c>
      <c r="H66" s="214">
        <f>VLOOKUP($B66,R_DG!$A$7:$G$1305,6,0)</f>
        <v>100210.88</v>
      </c>
      <c r="I66" s="214">
        <f>VLOOKUP($B66,R_DG!$A$7:$G$1305,7,0)</f>
        <v>0</v>
      </c>
      <c r="J66" s="214">
        <f t="shared" si="10"/>
        <v>0</v>
      </c>
      <c r="K66" s="214">
        <f t="shared" si="10"/>
        <v>162141.20384000003</v>
      </c>
      <c r="L66" s="220">
        <f t="shared" si="10"/>
        <v>0</v>
      </c>
      <c r="M66" s="93">
        <f t="shared" si="11"/>
        <v>0</v>
      </c>
      <c r="N66" s="328">
        <f t="shared" ca="1" si="12"/>
        <v>0</v>
      </c>
    </row>
    <row r="67" spans="1:14" ht="20.100000000000001" customHeight="1">
      <c r="A67" s="87"/>
      <c r="B67" s="7" t="s">
        <v>2152</v>
      </c>
      <c r="C67" s="32" t="str">
        <f>VLOOKUP($B67,R_DG!$A$7:$G$1305,2,0)</f>
        <v>02.1123</v>
      </c>
      <c r="D67" s="8" t="str">
        <f>VLOOKUP($B67,R_DG!$A$7:$G$1305,3,0)</f>
        <v>Bốc dỡ đà cản, đế néo</v>
      </c>
      <c r="E67" s="9" t="str">
        <f>VLOOKUP($B67,R_DG!$A$7:$G$1305,4,0)</f>
        <v>tấn</v>
      </c>
      <c r="F67" s="11">
        <v>0.1</v>
      </c>
      <c r="G67" s="214">
        <f>VLOOKUP($B67,R_DG!$A$7:$G$1305,5,0)</f>
        <v>0</v>
      </c>
      <c r="H67" s="214">
        <f>VLOOKUP($B67,R_DG!$A$7:$G$1305,6,0)</f>
        <v>0</v>
      </c>
      <c r="I67" s="214">
        <f>VLOOKUP($B67,R_DG!$A$7:$G$1305,7,0)</f>
        <v>0</v>
      </c>
      <c r="J67" s="214">
        <f t="shared" si="10"/>
        <v>0</v>
      </c>
      <c r="K67" s="214">
        <f t="shared" si="10"/>
        <v>0</v>
      </c>
      <c r="L67" s="220">
        <f t="shared" si="10"/>
        <v>0</v>
      </c>
      <c r="M67" s="93">
        <f t="shared" si="11"/>
        <v>0</v>
      </c>
      <c r="N67" s="328">
        <f t="shared" ca="1" si="12"/>
        <v>0</v>
      </c>
    </row>
    <row r="68" spans="1:14" ht="20.100000000000001" customHeight="1">
      <c r="A68" s="89" t="s">
        <v>2547</v>
      </c>
      <c r="B68" s="24"/>
      <c r="C68" s="34"/>
      <c r="D68" s="25" t="s">
        <v>2559</v>
      </c>
      <c r="E68" s="25" t="s">
        <v>2146</v>
      </c>
      <c r="F68" s="26"/>
      <c r="G68" s="213"/>
      <c r="H68" s="213"/>
      <c r="I68" s="213"/>
      <c r="J68" s="213" t="e">
        <f>SUM(J69:J74)</f>
        <v>#REF!</v>
      </c>
      <c r="K68" s="213">
        <f>SUM(K69:K74)</f>
        <v>942590.69519999996</v>
      </c>
      <c r="L68" s="219">
        <f>SUM(L69:L74)</f>
        <v>0</v>
      </c>
      <c r="M68" s="92">
        <f>IF(ERROR.TYPE(IF(HLOOKUP(A68,maBK,1,0)&lt;&gt;"",#NULL!,"ABC"))&lt;&gt;7,1,0)</f>
        <v>0</v>
      </c>
      <c r="N68" s="327">
        <f ca="1">SUMIF(maBK,$A68,tongBK1)</f>
        <v>0</v>
      </c>
    </row>
    <row r="69" spans="1:14" ht="20.100000000000001" customHeight="1">
      <c r="A69" s="87"/>
      <c r="B69" s="7" t="s">
        <v>2153</v>
      </c>
      <c r="C69" s="32" t="str">
        <f>VLOOKUP($B69,R_DG!$A$7:$G$1305,2,0)</f>
        <v>04.3801</v>
      </c>
      <c r="D69" s="8" t="str">
        <f>VLOOKUP($B69,R_DG!$A$7:$G$1305,3,0)</f>
        <v>Đà cản BTCT 1,5m</v>
      </c>
      <c r="E69" s="9" t="str">
        <f>VLOOKUP($B69,R_DG!$A$7:$G$1305,4,0)</f>
        <v>cái</v>
      </c>
      <c r="F69" s="11">
        <v>1</v>
      </c>
      <c r="G69" s="214">
        <f>VLOOKUP($B69,R_DG!$A$7:$G$1305,5,0)</f>
        <v>650000</v>
      </c>
      <c r="H69" s="214">
        <f>VLOOKUP($B69,R_DG!$A$7:$G$1305,6,0)</f>
        <v>0</v>
      </c>
      <c r="I69" s="214">
        <f>VLOOKUP($B69,R_DG!$A$7:$G$1305,7,0)</f>
        <v>0</v>
      </c>
      <c r="J69" s="214">
        <f t="shared" si="10"/>
        <v>650000</v>
      </c>
      <c r="K69" s="214">
        <f t="shared" si="10"/>
        <v>0</v>
      </c>
      <c r="L69" s="220">
        <f t="shared" si="10"/>
        <v>0</v>
      </c>
      <c r="M69" s="93">
        <f t="shared" ref="M69:M74" si="13">IF(F69&gt;0,M$68,0)</f>
        <v>0</v>
      </c>
      <c r="N69" s="328">
        <f t="shared" ref="N69:N74" ca="1" si="14">$F69*N$68</f>
        <v>0</v>
      </c>
    </row>
    <row r="70" spans="1:14" ht="20.100000000000001" customHeight="1">
      <c r="A70" s="87"/>
      <c r="B70" s="7" t="s">
        <v>2150</v>
      </c>
      <c r="C70" s="32">
        <f>VLOOKUP($B70,R_DG!$A$7:$G$1305,2,0)</f>
        <v>0</v>
      </c>
      <c r="D70" s="8" t="str">
        <f>VLOOKUP($B70,R_DG!$A$7:$G$1305,3,0)</f>
        <v>Boulon 22x550+ 2 long đền vuông D24-50x50x3/Zn</v>
      </c>
      <c r="E70" s="9" t="str">
        <f>VLOOKUP($B70,R_DG!$A$7:$G$1305,4,0)</f>
        <v>bộ</v>
      </c>
      <c r="F70" s="11">
        <v>1</v>
      </c>
      <c r="G70" s="214" t="e">
        <f>VLOOKUP($B70,R_DG!$A$7:$G$1305,5,0)</f>
        <v>#REF!</v>
      </c>
      <c r="H70" s="214">
        <f>VLOOKUP($B70,R_DG!$A$7:$G$1305,6,0)</f>
        <v>0</v>
      </c>
      <c r="I70" s="214">
        <f>VLOOKUP($B70,R_DG!$A$7:$G$1305,7,0)</f>
        <v>0</v>
      </c>
      <c r="J70" s="214" t="e">
        <f t="shared" si="10"/>
        <v>#REF!</v>
      </c>
      <c r="K70" s="214">
        <f t="shared" si="10"/>
        <v>0</v>
      </c>
      <c r="L70" s="220">
        <f t="shared" si="10"/>
        <v>0</v>
      </c>
      <c r="M70" s="93">
        <f t="shared" si="13"/>
        <v>0</v>
      </c>
      <c r="N70" s="328">
        <f t="shared" ca="1" si="14"/>
        <v>0</v>
      </c>
    </row>
    <row r="71" spans="1:14" ht="20.100000000000001" customHeight="1">
      <c r="A71" s="87"/>
      <c r="B71" s="7" t="s">
        <v>2151</v>
      </c>
      <c r="C71" s="32">
        <f>VLOOKUP($B71,R_DG!$A$7:$G$1305,2,0)</f>
        <v>0</v>
      </c>
      <c r="D71" s="8" t="str">
        <f>VLOOKUP($B71,R_DG!$A$7:$G$1305,3,0)</f>
        <v>Đá 2x4</v>
      </c>
      <c r="E71" s="9" t="str">
        <f>VLOOKUP($B71,R_DG!$A$7:$G$1305,4,0)</f>
        <v>m3</v>
      </c>
      <c r="F71" s="10">
        <v>0.155</v>
      </c>
      <c r="G71" s="214">
        <f>VLOOKUP($B71,R_DG!$A$7:$G$1305,5,0)</f>
        <v>320000</v>
      </c>
      <c r="H71" s="214">
        <f>VLOOKUP($B71,R_DG!$A$7:$G$1305,6,0)</f>
        <v>0</v>
      </c>
      <c r="I71" s="214">
        <f>VLOOKUP($B71,R_DG!$A$7:$G$1305,7,0)</f>
        <v>0</v>
      </c>
      <c r="J71" s="214">
        <f t="shared" si="10"/>
        <v>49600</v>
      </c>
      <c r="K71" s="214">
        <f t="shared" si="10"/>
        <v>0</v>
      </c>
      <c r="L71" s="220">
        <f t="shared" si="10"/>
        <v>0</v>
      </c>
      <c r="M71" s="93">
        <f t="shared" si="13"/>
        <v>0</v>
      </c>
      <c r="N71" s="328">
        <f t="shared" ca="1" si="14"/>
        <v>0</v>
      </c>
    </row>
    <row r="72" spans="1:14" ht="20.100000000000001" customHeight="1">
      <c r="A72" s="87"/>
      <c r="B72" s="7" t="str">
        <f>IF(CAPDAT=1,"MDD1",IF(CAPDAT=2,"MDD2",IF(CAPDAT=3,"MDD3",IF(CAPDAT=4,"MDD4"))))</f>
        <v>MDD3</v>
      </c>
      <c r="C72" s="32" t="str">
        <f>VLOOKUP($B72,R_DG!$A$7:$G$1305,2,0)</f>
        <v>AB.11400</v>
      </c>
      <c r="D72" s="8" t="str">
        <f>VLOOKUP($B72,R_DG!$A$7:$G$1305,3,0)</f>
        <v>Đào hố móng đất cấp 3 sâu &gt;1m, rộng &lt;1m</v>
      </c>
      <c r="E72" s="9" t="str">
        <f>VLOOKUP($B72,R_DG!$A$7:$G$1305,4,0)</f>
        <v>m3</v>
      </c>
      <c r="F72" s="10">
        <v>1.77</v>
      </c>
      <c r="G72" s="214">
        <f>VLOOKUP($B72,R_DG!$A$7:$G$1305,5,0)</f>
        <v>0</v>
      </c>
      <c r="H72" s="214">
        <f>VLOOKUP($B72,R_DG!$A$7:$G$1305,6,0)</f>
        <v>418738.31999999995</v>
      </c>
      <c r="I72" s="214">
        <f>VLOOKUP($B72,R_DG!$A$7:$G$1305,7,0)</f>
        <v>0</v>
      </c>
      <c r="J72" s="214">
        <f t="shared" si="10"/>
        <v>0</v>
      </c>
      <c r="K72" s="214">
        <f t="shared" si="10"/>
        <v>741166.8263999999</v>
      </c>
      <c r="L72" s="220">
        <f t="shared" si="10"/>
        <v>0</v>
      </c>
      <c r="M72" s="93">
        <f t="shared" si="13"/>
        <v>0</v>
      </c>
      <c r="N72" s="328">
        <f t="shared" ca="1" si="14"/>
        <v>0</v>
      </c>
    </row>
    <row r="73" spans="1:14" ht="20.100000000000001" customHeight="1">
      <c r="A73" s="87"/>
      <c r="B73" s="7" t="str">
        <f>IF(CAPDAT=1,"MDAP1",IF(CAPDAT=2,"MDAP2",IF(CAPDAT=3,"MDAP3",IF(CAPDAT=4,"MDAP4"))))</f>
        <v>MDAP3</v>
      </c>
      <c r="C73" s="32" t="str">
        <f>VLOOKUP($B73,R_DG!$A$7:$G$1305,2,0)</f>
        <v>AB.13000</v>
      </c>
      <c r="D73" s="8" t="str">
        <f>VLOOKUP($B73,R_DG!$A$7:$G$1305,3,0)</f>
        <v>Đắp đất hố móng, đất cấp 3, k = 0,85</v>
      </c>
      <c r="E73" s="9" t="str">
        <f>VLOOKUP($B73,R_DG!$A$7:$G$1305,4,0)</f>
        <v>m3</v>
      </c>
      <c r="F73" s="10">
        <v>2.0099999999999998</v>
      </c>
      <c r="G73" s="214">
        <f>VLOOKUP($B73,R_DG!$A$7:$G$1305,5,0)</f>
        <v>0</v>
      </c>
      <c r="H73" s="214">
        <f>VLOOKUP($B73,R_DG!$A$7:$G$1305,6,0)</f>
        <v>100210.88</v>
      </c>
      <c r="I73" s="214">
        <f>VLOOKUP($B73,R_DG!$A$7:$G$1305,7,0)</f>
        <v>0</v>
      </c>
      <c r="J73" s="214">
        <f t="shared" si="10"/>
        <v>0</v>
      </c>
      <c r="K73" s="214">
        <f t="shared" si="10"/>
        <v>201423.8688</v>
      </c>
      <c r="L73" s="220">
        <f t="shared" si="10"/>
        <v>0</v>
      </c>
      <c r="M73" s="93">
        <f t="shared" si="13"/>
        <v>0</v>
      </c>
      <c r="N73" s="328">
        <f t="shared" ca="1" si="14"/>
        <v>0</v>
      </c>
    </row>
    <row r="74" spans="1:14" ht="20.100000000000001" customHeight="1">
      <c r="A74" s="87"/>
      <c r="B74" s="7" t="s">
        <v>2152</v>
      </c>
      <c r="C74" s="32" t="str">
        <f>VLOOKUP($B74,R_DG!$A$7:$G$1305,2,0)</f>
        <v>02.1123</v>
      </c>
      <c r="D74" s="8" t="str">
        <f>VLOOKUP($B74,R_DG!$A$7:$G$1305,3,0)</f>
        <v>Bốc dỡ đà cản, đế néo</v>
      </c>
      <c r="E74" s="9" t="str">
        <f>VLOOKUP($B74,R_DG!$A$7:$G$1305,4,0)</f>
        <v>tấn</v>
      </c>
      <c r="F74" s="11">
        <v>0.1</v>
      </c>
      <c r="G74" s="214">
        <f>VLOOKUP($B74,R_DG!$A$7:$G$1305,5,0)</f>
        <v>0</v>
      </c>
      <c r="H74" s="214">
        <f>VLOOKUP($B74,R_DG!$A$7:$G$1305,6,0)</f>
        <v>0</v>
      </c>
      <c r="I74" s="214">
        <f>VLOOKUP($B74,R_DG!$A$7:$G$1305,7,0)</f>
        <v>0</v>
      </c>
      <c r="J74" s="214">
        <f t="shared" si="10"/>
        <v>0</v>
      </c>
      <c r="K74" s="214">
        <f t="shared" si="10"/>
        <v>0</v>
      </c>
      <c r="L74" s="220">
        <f t="shared" si="10"/>
        <v>0</v>
      </c>
      <c r="M74" s="93">
        <f t="shared" si="13"/>
        <v>0</v>
      </c>
      <c r="N74" s="328">
        <f t="shared" ca="1" si="14"/>
        <v>0</v>
      </c>
    </row>
    <row r="75" spans="1:14" ht="20.100000000000001" customHeight="1">
      <c r="A75" s="89" t="s">
        <v>2548</v>
      </c>
      <c r="B75" s="24"/>
      <c r="C75" s="34"/>
      <c r="D75" s="25" t="s">
        <v>2558</v>
      </c>
      <c r="E75" s="25" t="s">
        <v>2146</v>
      </c>
      <c r="F75" s="26"/>
      <c r="G75" s="213"/>
      <c r="H75" s="213"/>
      <c r="I75" s="213"/>
      <c r="J75" s="213" t="e">
        <f>SUM(J76:J80)</f>
        <v>#REF!</v>
      </c>
      <c r="K75" s="213">
        <f>SUM(K76:K80)</f>
        <v>2292563.2487999997</v>
      </c>
      <c r="L75" s="219">
        <f>SUM(L76:L80)</f>
        <v>0</v>
      </c>
      <c r="M75" s="92">
        <f>IF(ERROR.TYPE(IF(HLOOKUP(A75,maBK,1,0)&lt;&gt;"",#NULL!,"ABC"))&lt;&gt;7,1,0)</f>
        <v>0</v>
      </c>
      <c r="N75" s="327">
        <f ca="1">SUMIF(maBK,$A75,tongBK1)</f>
        <v>0</v>
      </c>
    </row>
    <row r="76" spans="1:14" ht="20.100000000000001" customHeight="1">
      <c r="A76" s="87"/>
      <c r="B76" s="7" t="s">
        <v>2149</v>
      </c>
      <c r="C76" s="32" t="str">
        <f>VLOOKUP($B76,R_DG!$A$7:$G$1305,2,0)</f>
        <v>04.3801</v>
      </c>
      <c r="D76" s="8" t="str">
        <f>VLOOKUP($B76,R_DG!$A$7:$G$1305,3,0)</f>
        <v>Đà cản BTCT 1,2m</v>
      </c>
      <c r="E76" s="9" t="str">
        <f>VLOOKUP($B76,R_DG!$A$7:$G$1305,4,0)</f>
        <v>cái</v>
      </c>
      <c r="F76" s="11">
        <v>2</v>
      </c>
      <c r="G76" s="214">
        <f>VLOOKUP($B76,R_DG!$A$7:$G$1305,5,0)</f>
        <v>650000</v>
      </c>
      <c r="H76" s="214">
        <f>VLOOKUP($B76,R_DG!$A$7:$G$1305,6,0)</f>
        <v>161119.20000000001</v>
      </c>
      <c r="I76" s="214">
        <f>VLOOKUP($B76,R_DG!$A$7:$G$1305,7,0)</f>
        <v>0</v>
      </c>
      <c r="J76" s="214">
        <f t="shared" si="10"/>
        <v>1300000</v>
      </c>
      <c r="K76" s="214">
        <f t="shared" si="10"/>
        <v>322238.40000000002</v>
      </c>
      <c r="L76" s="220">
        <f t="shared" si="10"/>
        <v>0</v>
      </c>
      <c r="M76" s="93">
        <f>IF(F76&gt;0,M$75,0)</f>
        <v>0</v>
      </c>
      <c r="N76" s="328">
        <f ca="1">$F76*N$75</f>
        <v>0</v>
      </c>
    </row>
    <row r="77" spans="1:14" ht="20.100000000000001" customHeight="1">
      <c r="A77" s="87"/>
      <c r="B77" s="7" t="s">
        <v>2150</v>
      </c>
      <c r="C77" s="32">
        <f>VLOOKUP($B77,R_DG!$A$7:$G$1305,2,0)</f>
        <v>0</v>
      </c>
      <c r="D77" s="8" t="str">
        <f>VLOOKUP($B77,R_DG!$A$7:$G$1305,3,0)</f>
        <v>Boulon 22x550+ 2 long đền vuông D24-50x50x3/Zn</v>
      </c>
      <c r="E77" s="9" t="str">
        <f>VLOOKUP($B77,R_DG!$A$7:$G$1305,4,0)</f>
        <v>bộ</v>
      </c>
      <c r="F77" s="11">
        <v>2</v>
      </c>
      <c r="G77" s="214" t="e">
        <f>VLOOKUP($B77,R_DG!$A$7:$G$1305,5,0)</f>
        <v>#REF!</v>
      </c>
      <c r="H77" s="214">
        <f>VLOOKUP($B77,R_DG!$A$7:$G$1305,6,0)</f>
        <v>0</v>
      </c>
      <c r="I77" s="214">
        <f>VLOOKUP($B77,R_DG!$A$7:$G$1305,7,0)</f>
        <v>0</v>
      </c>
      <c r="J77" s="214" t="e">
        <f t="shared" si="10"/>
        <v>#REF!</v>
      </c>
      <c r="K77" s="214">
        <f t="shared" si="10"/>
        <v>0</v>
      </c>
      <c r="L77" s="220">
        <f t="shared" si="10"/>
        <v>0</v>
      </c>
      <c r="M77" s="93">
        <f>IF(F77&gt;0,M$75,0)</f>
        <v>0</v>
      </c>
      <c r="N77" s="328">
        <f ca="1">$F77*N$75</f>
        <v>0</v>
      </c>
    </row>
    <row r="78" spans="1:14" ht="20.100000000000001" customHeight="1">
      <c r="A78" s="87"/>
      <c r="B78" s="7" t="str">
        <f>IF(CAPDAT=1,"MDD1",IF(CAPDAT=2,"MDD2",IF(CAPDAT=3,"MDD3",IF(CAPDAT=4,"MDD4"))))</f>
        <v>MDD3</v>
      </c>
      <c r="C78" s="32" t="str">
        <f>VLOOKUP($B78,R_DG!$A$7:$G$1305,2,0)</f>
        <v>AB.11400</v>
      </c>
      <c r="D78" s="8" t="str">
        <f>VLOOKUP($B78,R_DG!$A$7:$G$1305,3,0)</f>
        <v>Đào hố móng đất cấp 3 sâu &gt;1m, rộng &lt;1m</v>
      </c>
      <c r="E78" s="9" t="str">
        <f>VLOOKUP($B78,R_DG!$A$7:$G$1305,4,0)</f>
        <v>m3</v>
      </c>
      <c r="F78" s="10">
        <v>3.65</v>
      </c>
      <c r="G78" s="214">
        <f>VLOOKUP($B78,R_DG!$A$7:$G$1305,5,0)</f>
        <v>0</v>
      </c>
      <c r="H78" s="214">
        <f>VLOOKUP($B78,R_DG!$A$7:$G$1305,6,0)</f>
        <v>418738.31999999995</v>
      </c>
      <c r="I78" s="214">
        <f>VLOOKUP($B78,R_DG!$A$7:$G$1305,7,0)</f>
        <v>0</v>
      </c>
      <c r="J78" s="214">
        <f t="shared" si="10"/>
        <v>0</v>
      </c>
      <c r="K78" s="214">
        <f t="shared" si="10"/>
        <v>1528394.8679999998</v>
      </c>
      <c r="L78" s="220">
        <f t="shared" si="10"/>
        <v>0</v>
      </c>
      <c r="M78" s="93">
        <f>IF(F78&gt;0,M$75,0)</f>
        <v>0</v>
      </c>
      <c r="N78" s="328">
        <f ca="1">$F78*N$75</f>
        <v>0</v>
      </c>
    </row>
    <row r="79" spans="1:14" ht="20.100000000000001" customHeight="1">
      <c r="A79" s="87"/>
      <c r="B79" s="7" t="str">
        <f>IF(CAPDAT=1,"MDAP1",IF(CAPDAT=2,"MDAP2",IF(CAPDAT=3,"MDAP3",IF(CAPDAT=4,"MDAP4"))))</f>
        <v>MDAP3</v>
      </c>
      <c r="C79" s="32" t="str">
        <f>VLOOKUP($B79,R_DG!$A$7:$G$1305,2,0)</f>
        <v>AB.13000</v>
      </c>
      <c r="D79" s="8" t="str">
        <f>VLOOKUP($B79,R_DG!$A$7:$G$1305,3,0)</f>
        <v>Đắp đất hố móng, đất cấp 3, k = 0,85</v>
      </c>
      <c r="E79" s="9" t="str">
        <f>VLOOKUP($B79,R_DG!$A$7:$G$1305,4,0)</f>
        <v>m3</v>
      </c>
      <c r="F79" s="10">
        <v>4.41</v>
      </c>
      <c r="G79" s="214">
        <f>VLOOKUP($B79,R_DG!$A$7:$G$1305,5,0)</f>
        <v>0</v>
      </c>
      <c r="H79" s="214">
        <f>VLOOKUP($B79,R_DG!$A$7:$G$1305,6,0)</f>
        <v>100210.88</v>
      </c>
      <c r="I79" s="214">
        <f>VLOOKUP($B79,R_DG!$A$7:$G$1305,7,0)</f>
        <v>0</v>
      </c>
      <c r="J79" s="214">
        <f t="shared" si="10"/>
        <v>0</v>
      </c>
      <c r="K79" s="214">
        <f t="shared" si="10"/>
        <v>441929.98080000002</v>
      </c>
      <c r="L79" s="220">
        <f t="shared" si="10"/>
        <v>0</v>
      </c>
      <c r="M79" s="93">
        <f>IF(F79&gt;0,M$75,0)</f>
        <v>0</v>
      </c>
      <c r="N79" s="328">
        <f ca="1">$F79*N$75</f>
        <v>0</v>
      </c>
    </row>
    <row r="80" spans="1:14" ht="20.100000000000001" customHeight="1">
      <c r="A80" s="87"/>
      <c r="B80" s="7" t="s">
        <v>2152</v>
      </c>
      <c r="C80" s="32" t="str">
        <f>VLOOKUP($B80,R_DG!$A$7:$G$1305,2,0)</f>
        <v>02.1123</v>
      </c>
      <c r="D80" s="8" t="str">
        <f>VLOOKUP($B80,R_DG!$A$7:$G$1305,3,0)</f>
        <v>Bốc dỡ đà cản, đế néo</v>
      </c>
      <c r="E80" s="9" t="str">
        <f>VLOOKUP($B80,R_DG!$A$7:$G$1305,4,0)</f>
        <v>tấn</v>
      </c>
      <c r="F80" s="11">
        <f>0.1*F76</f>
        <v>0.2</v>
      </c>
      <c r="G80" s="214">
        <f>VLOOKUP($B80,R_DG!$A$7:$G$1305,5,0)</f>
        <v>0</v>
      </c>
      <c r="H80" s="214">
        <f>VLOOKUP($B80,R_DG!$A$7:$G$1305,6,0)</f>
        <v>0</v>
      </c>
      <c r="I80" s="214">
        <f>VLOOKUP($B80,R_DG!$A$7:$G$1305,7,0)</f>
        <v>0</v>
      </c>
      <c r="J80" s="214">
        <f t="shared" si="10"/>
        <v>0</v>
      </c>
      <c r="K80" s="214">
        <f t="shared" si="10"/>
        <v>0</v>
      </c>
      <c r="L80" s="220">
        <f t="shared" si="10"/>
        <v>0</v>
      </c>
      <c r="M80" s="93">
        <f>IF(F80&gt;0,M$75,0)</f>
        <v>0</v>
      </c>
      <c r="N80" s="328">
        <f ca="1">$F80*N$75</f>
        <v>0</v>
      </c>
    </row>
    <row r="81" spans="1:14" ht="20.100000000000001" customHeight="1">
      <c r="A81" s="89" t="s">
        <v>2154</v>
      </c>
      <c r="B81" s="24"/>
      <c r="C81" s="34"/>
      <c r="D81" s="25" t="s">
        <v>2155</v>
      </c>
      <c r="E81" s="25" t="s">
        <v>2146</v>
      </c>
      <c r="F81" s="26"/>
      <c r="G81" s="213"/>
      <c r="H81" s="213"/>
      <c r="I81" s="213"/>
      <c r="J81" s="213">
        <f>SUM(J82:J83)</f>
        <v>0</v>
      </c>
      <c r="K81" s="213">
        <f>SUM(K82:K83)</f>
        <v>55008.615199999986</v>
      </c>
      <c r="L81" s="219">
        <f>SUM(L82:L83)</f>
        <v>0</v>
      </c>
      <c r="M81" s="92">
        <f>IF(ERROR.TYPE(IF(HLOOKUP(A81,maBK,1,0)&lt;&gt;"",#NULL!,"ABC"))&lt;&gt;7,1,0)</f>
        <v>1</v>
      </c>
      <c r="N81" s="327">
        <f ca="1">SUMIF(maBK,$A81,tongBK1)</f>
        <v>1</v>
      </c>
    </row>
    <row r="82" spans="1:14" ht="20.100000000000001" customHeight="1">
      <c r="A82" s="90"/>
      <c r="B82" s="12" t="str">
        <f>IF(CAPDAT=1,"MDD1",IF(CAPDAT=2,"MDD2",IF(CAPDAT=3,"MDD3",IF(CAPDAT=4,"MDD4"))))</f>
        <v>MDD3</v>
      </c>
      <c r="C82" s="32" t="str">
        <f>VLOOKUP($B82,R_DG!$A$7:$G$1305,2,0)</f>
        <v>AB.11400</v>
      </c>
      <c r="D82" s="8" t="str">
        <f>VLOOKUP($B82,R_DG!$A$7:$G$1305,3,0)</f>
        <v>Đào hố móng đất cấp 3 sâu &gt;1m, rộng &lt;1m</v>
      </c>
      <c r="E82" s="9" t="str">
        <f>VLOOKUP($B82,R_DG!$A$7:$G$1305,4,0)</f>
        <v>m3</v>
      </c>
      <c r="F82" s="225">
        <v>0.106</v>
      </c>
      <c r="G82" s="214">
        <f>VLOOKUP($B82,R_DG!$A$7:$G$1305,5,0)</f>
        <v>0</v>
      </c>
      <c r="H82" s="214">
        <f>VLOOKUP($B82,R_DG!$A$7:$G$1305,6,0)</f>
        <v>418738.31999999995</v>
      </c>
      <c r="I82" s="214">
        <f>VLOOKUP($B82,R_DG!$A$7:$G$1305,7,0)</f>
        <v>0</v>
      </c>
      <c r="J82" s="214">
        <f t="shared" si="10"/>
        <v>0</v>
      </c>
      <c r="K82" s="214">
        <f t="shared" si="10"/>
        <v>44386.26191999999</v>
      </c>
      <c r="L82" s="220">
        <f t="shared" si="10"/>
        <v>0</v>
      </c>
      <c r="M82" s="93">
        <f>IF(F82&gt;0,M$81,0)</f>
        <v>1</v>
      </c>
      <c r="N82" s="329">
        <f ca="1">$F82*N$81</f>
        <v>0.106</v>
      </c>
    </row>
    <row r="83" spans="1:14" ht="20.100000000000001" customHeight="1">
      <c r="A83" s="90"/>
      <c r="B83" s="12" t="str">
        <f>IF(CAPDAT=1,"MDAP1",IF(CAPDAT=2,"MDAP2",IF(CAPDAT=3,"MDAP3",IF(CAPDAT=4,"MDAP4"))))</f>
        <v>MDAP3</v>
      </c>
      <c r="C83" s="32" t="str">
        <f>VLOOKUP($B83,R_DG!$A$7:$G$1305,2,0)</f>
        <v>AB.13000</v>
      </c>
      <c r="D83" s="8" t="str">
        <f>VLOOKUP($B83,R_DG!$A$7:$G$1305,3,0)</f>
        <v>Đắp đất hố móng, đất cấp 3, k = 0,85</v>
      </c>
      <c r="E83" s="9" t="str">
        <f>VLOOKUP($B83,R_DG!$A$7:$G$1305,4,0)</f>
        <v>m3</v>
      </c>
      <c r="F83" s="225">
        <v>0.106</v>
      </c>
      <c r="G83" s="214">
        <f>VLOOKUP($B83,R_DG!$A$7:$G$1305,5,0)</f>
        <v>0</v>
      </c>
      <c r="H83" s="214">
        <f>VLOOKUP($B83,R_DG!$A$7:$G$1305,6,0)</f>
        <v>100210.88</v>
      </c>
      <c r="I83" s="214">
        <f>VLOOKUP($B83,R_DG!$A$7:$G$1305,7,0)</f>
        <v>0</v>
      </c>
      <c r="J83" s="214">
        <f t="shared" si="10"/>
        <v>0</v>
      </c>
      <c r="K83" s="214">
        <f t="shared" si="10"/>
        <v>10622.353279999999</v>
      </c>
      <c r="L83" s="220">
        <f t="shared" si="10"/>
        <v>0</v>
      </c>
      <c r="M83" s="93">
        <f>IF(F83&gt;0,M$81,0)</f>
        <v>1</v>
      </c>
      <c r="N83" s="328">
        <f ca="1">$F83*N$81</f>
        <v>0.106</v>
      </c>
    </row>
    <row r="84" spans="1:14" ht="20.100000000000001" customHeight="1">
      <c r="A84" s="89" t="s">
        <v>2156</v>
      </c>
      <c r="B84" s="24"/>
      <c r="C84" s="34"/>
      <c r="D84" s="25" t="s">
        <v>2157</v>
      </c>
      <c r="E84" s="25" t="s">
        <v>2146</v>
      </c>
      <c r="F84" s="26"/>
      <c r="G84" s="213"/>
      <c r="H84" s="213"/>
      <c r="I84" s="213"/>
      <c r="J84" s="213" t="e">
        <f>SUM(J85:J89)</f>
        <v>#REF!</v>
      </c>
      <c r="K84" s="213">
        <f>SUM(K85:K89)</f>
        <v>365692.55359999998</v>
      </c>
      <c r="L84" s="219">
        <f>SUM(L85:L89)</f>
        <v>0</v>
      </c>
      <c r="M84" s="92">
        <f>IF(ERROR.TYPE(IF(HLOOKUP(A84,maBK,1,0)&lt;&gt;"",#NULL!,"ABC"))&lt;&gt;7,1,0)</f>
        <v>0</v>
      </c>
      <c r="N84" s="327">
        <f ca="1">SUMIF(maBK,$A84,tongBK1)</f>
        <v>0</v>
      </c>
    </row>
    <row r="85" spans="1:14" ht="20.100000000000001" customHeight="1">
      <c r="A85" s="90"/>
      <c r="B85" s="12" t="s">
        <v>2149</v>
      </c>
      <c r="C85" s="32" t="str">
        <f>VLOOKUP($B85,R_DG!$A$7:$G$1305,2,0)</f>
        <v>04.3801</v>
      </c>
      <c r="D85" s="8" t="str">
        <f>VLOOKUP($B85,R_DG!$A$7:$G$1305,3,0)</f>
        <v>Đà cản BTCT 1,2m</v>
      </c>
      <c r="E85" s="9" t="str">
        <f>VLOOKUP($B85,R_DG!$A$7:$G$1305,4,0)</f>
        <v>cái</v>
      </c>
      <c r="F85" s="14">
        <v>1</v>
      </c>
      <c r="G85" s="214">
        <f>VLOOKUP($B85,R_DG!$A$7:$G$1305,5,0)</f>
        <v>650000</v>
      </c>
      <c r="H85" s="214">
        <f>VLOOKUP($B85,R_DG!$A$7:$G$1305,6,0)</f>
        <v>161119.20000000001</v>
      </c>
      <c r="I85" s="214">
        <f>VLOOKUP($B85,R_DG!$A$7:$G$1305,7,0)</f>
        <v>0</v>
      </c>
      <c r="J85" s="214">
        <f t="shared" si="10"/>
        <v>650000</v>
      </c>
      <c r="K85" s="214">
        <f t="shared" si="10"/>
        <v>161119.20000000001</v>
      </c>
      <c r="L85" s="220">
        <f t="shared" si="10"/>
        <v>0</v>
      </c>
      <c r="M85" s="93">
        <f>IF(F85&gt;0,M$84,0)</f>
        <v>0</v>
      </c>
      <c r="N85" s="328">
        <f ca="1">$F85*N$84</f>
        <v>0</v>
      </c>
    </row>
    <row r="86" spans="1:14" ht="20.100000000000001" customHeight="1">
      <c r="A86" s="90"/>
      <c r="B86" s="12" t="s">
        <v>2150</v>
      </c>
      <c r="C86" s="32">
        <f>VLOOKUP($B86,R_DG!$A$7:$G$1305,2,0)</f>
        <v>0</v>
      </c>
      <c r="D86" s="8" t="str">
        <f>VLOOKUP($B86,R_DG!$A$7:$G$1305,3,0)</f>
        <v>Boulon 22x550+ 2 long đền vuông D24-50x50x3/Zn</v>
      </c>
      <c r="E86" s="9" t="str">
        <f>VLOOKUP($B86,R_DG!$A$7:$G$1305,4,0)</f>
        <v>bộ</v>
      </c>
      <c r="F86" s="14">
        <v>1</v>
      </c>
      <c r="G86" s="214" t="e">
        <f>VLOOKUP($B86,R_DG!$A$7:$G$1305,5,0)</f>
        <v>#REF!</v>
      </c>
      <c r="H86" s="214">
        <f>VLOOKUP($B86,R_DG!$A$7:$G$1305,6,0)</f>
        <v>0</v>
      </c>
      <c r="I86" s="214">
        <f>VLOOKUP($B86,R_DG!$A$7:$G$1305,7,0)</f>
        <v>0</v>
      </c>
      <c r="J86" s="214" t="e">
        <f t="shared" si="10"/>
        <v>#REF!</v>
      </c>
      <c r="K86" s="214">
        <f t="shared" si="10"/>
        <v>0</v>
      </c>
      <c r="L86" s="220">
        <f t="shared" si="10"/>
        <v>0</v>
      </c>
      <c r="M86" s="93">
        <f>IF(F86&gt;0,M$84,0)</f>
        <v>0</v>
      </c>
      <c r="N86" s="328">
        <f ca="1">$F86*N$84</f>
        <v>0</v>
      </c>
    </row>
    <row r="87" spans="1:14" ht="20.100000000000001" customHeight="1">
      <c r="A87" s="90"/>
      <c r="B87" s="12" t="str">
        <f>IF(CAPDAT=1,"MDD1",IF(CAPDAT=2,"MDD2",IF(CAPDAT=3,"MDD3",IF(CAPDAT=4,"MDD4"))))</f>
        <v>MDD3</v>
      </c>
      <c r="C87" s="32" t="str">
        <f>VLOOKUP($B87,R_DG!$A$7:$G$1305,2,0)</f>
        <v>AB.11400</v>
      </c>
      <c r="D87" s="8" t="str">
        <f>VLOOKUP($B87,R_DG!$A$7:$G$1305,3,0)</f>
        <v>Đào hố móng đất cấp 3 sâu &gt;1m, rộng &lt;1m</v>
      </c>
      <c r="E87" s="9" t="str">
        <f>VLOOKUP($B87,R_DG!$A$7:$G$1305,4,0)</f>
        <v>m3</v>
      </c>
      <c r="F87" s="14">
        <v>0.4</v>
      </c>
      <c r="G87" s="214">
        <f>VLOOKUP($B87,R_DG!$A$7:$G$1305,5,0)</f>
        <v>0</v>
      </c>
      <c r="H87" s="214">
        <f>VLOOKUP($B87,R_DG!$A$7:$G$1305,6,0)</f>
        <v>418738.31999999995</v>
      </c>
      <c r="I87" s="214">
        <f>VLOOKUP($B87,R_DG!$A$7:$G$1305,7,0)</f>
        <v>0</v>
      </c>
      <c r="J87" s="214">
        <f t="shared" si="10"/>
        <v>0</v>
      </c>
      <c r="K87" s="214">
        <f t="shared" si="10"/>
        <v>167495.32799999998</v>
      </c>
      <c r="L87" s="220">
        <f t="shared" si="10"/>
        <v>0</v>
      </c>
      <c r="M87" s="93">
        <f>IF(F87&gt;0,M$84,0)</f>
        <v>0</v>
      </c>
      <c r="N87" s="328">
        <f ca="1">$F87*N$84</f>
        <v>0</v>
      </c>
    </row>
    <row r="88" spans="1:14" ht="20.100000000000001" customHeight="1">
      <c r="A88" s="90"/>
      <c r="B88" s="12" t="str">
        <f>IF(CAPDAT=1,"MDAP1",IF(CAPDAT=2,"MDAP2",IF(CAPDAT=3,"MDAP3",IF(CAPDAT=4,"MDAP4"))))</f>
        <v>MDAP3</v>
      </c>
      <c r="C88" s="32" t="str">
        <f>VLOOKUP($B88,R_DG!$A$7:$G$1305,2,0)</f>
        <v>AB.13000</v>
      </c>
      <c r="D88" s="8" t="str">
        <f>VLOOKUP($B88,R_DG!$A$7:$G$1305,3,0)</f>
        <v>Đắp đất hố móng, đất cấp 3, k = 0,85</v>
      </c>
      <c r="E88" s="9" t="str">
        <f>VLOOKUP($B88,R_DG!$A$7:$G$1305,4,0)</f>
        <v>m3</v>
      </c>
      <c r="F88" s="14">
        <v>0.37</v>
      </c>
      <c r="G88" s="214">
        <f>VLOOKUP($B88,R_DG!$A$7:$G$1305,5,0)</f>
        <v>0</v>
      </c>
      <c r="H88" s="214">
        <f>VLOOKUP($B88,R_DG!$A$7:$G$1305,6,0)</f>
        <v>100210.88</v>
      </c>
      <c r="I88" s="214">
        <f>VLOOKUP($B88,R_DG!$A$7:$G$1305,7,0)</f>
        <v>0</v>
      </c>
      <c r="J88" s="214">
        <f t="shared" si="10"/>
        <v>0</v>
      </c>
      <c r="K88" s="214">
        <f t="shared" si="10"/>
        <v>37078.025600000001</v>
      </c>
      <c r="L88" s="220">
        <f t="shared" si="10"/>
        <v>0</v>
      </c>
      <c r="M88" s="93">
        <f>IF(F88&gt;0,M$84,0)</f>
        <v>0</v>
      </c>
      <c r="N88" s="328">
        <f ca="1">$F88*N$84</f>
        <v>0</v>
      </c>
    </row>
    <row r="89" spans="1:14" ht="20.100000000000001" customHeight="1">
      <c r="A89" s="90"/>
      <c r="B89" s="12" t="s">
        <v>2152</v>
      </c>
      <c r="C89" s="32" t="str">
        <f>VLOOKUP($B89,R_DG!$A$7:$G$1305,2,0)</f>
        <v>02.1123</v>
      </c>
      <c r="D89" s="8" t="str">
        <f>VLOOKUP($B89,R_DG!$A$7:$G$1305,3,0)</f>
        <v>Bốc dỡ đà cản, đế néo</v>
      </c>
      <c r="E89" s="9" t="str">
        <f>VLOOKUP($B89,R_DG!$A$7:$G$1305,4,0)</f>
        <v>tấn</v>
      </c>
      <c r="F89" s="14"/>
      <c r="G89" s="214">
        <f>VLOOKUP($B89,R_DG!$A$7:$G$1305,5,0)</f>
        <v>0</v>
      </c>
      <c r="H89" s="214">
        <f>VLOOKUP($B89,R_DG!$A$7:$G$1305,6,0)</f>
        <v>0</v>
      </c>
      <c r="I89" s="214">
        <f>VLOOKUP($B89,R_DG!$A$7:$G$1305,7,0)</f>
        <v>0</v>
      </c>
      <c r="J89" s="214">
        <f t="shared" si="10"/>
        <v>0</v>
      </c>
      <c r="K89" s="214">
        <f t="shared" si="10"/>
        <v>0</v>
      </c>
      <c r="L89" s="220">
        <f t="shared" si="10"/>
        <v>0</v>
      </c>
      <c r="M89" s="93">
        <f>IF(F89&gt;0,M$84,0)</f>
        <v>0</v>
      </c>
      <c r="N89" s="328">
        <f ca="1">$F89*N$84</f>
        <v>0</v>
      </c>
    </row>
    <row r="90" spans="1:14" ht="20.100000000000001" customHeight="1">
      <c r="A90" s="89" t="s">
        <v>2339</v>
      </c>
      <c r="B90" s="24"/>
      <c r="C90" s="34"/>
      <c r="D90" s="25" t="s">
        <v>2158</v>
      </c>
      <c r="E90" s="25" t="s">
        <v>2146</v>
      </c>
      <c r="F90" s="26"/>
      <c r="G90" s="213"/>
      <c r="H90" s="213"/>
      <c r="I90" s="213"/>
      <c r="J90" s="213">
        <f>SUM(J91:J106)</f>
        <v>801437</v>
      </c>
      <c r="K90" s="213">
        <f>SUM(K91:K106)</f>
        <v>604174.89299999992</v>
      </c>
      <c r="L90" s="219">
        <f>SUM(L91:L106)</f>
        <v>0</v>
      </c>
      <c r="M90" s="92">
        <f>IF(ERROR.TYPE(IF(HLOOKUP(A90,maBK,1,0)&lt;&gt;"",#NULL!,"ABC"))&lt;&gt;7,1,0)</f>
        <v>1</v>
      </c>
      <c r="N90" s="327">
        <f ca="1">SUMIF(maBK,$A90,tongBK1)</f>
        <v>0</v>
      </c>
    </row>
    <row r="91" spans="1:14" ht="20.100000000000001" customHeight="1">
      <c r="A91" s="90"/>
      <c r="B91" s="15" t="s">
        <v>767</v>
      </c>
      <c r="C91" s="32">
        <f>VLOOKUP($B91,R_DG!$A$7:$G$1305,2,0)</f>
        <v>0</v>
      </c>
      <c r="D91" s="8" t="str">
        <f>VLOOKUP($B91,R_DG!$A$7:$G$1305,3,0)</f>
        <v>Ximăng</v>
      </c>
      <c r="E91" s="9" t="str">
        <f>VLOOKUP($B91,R_DG!$A$7:$G$1305,4,0)</f>
        <v>kg</v>
      </c>
      <c r="F91" s="225">
        <f>350.55*F106</f>
        <v>245.38499999999999</v>
      </c>
      <c r="G91" s="214">
        <f>VLOOKUP($B91,R_DG!$A$7:$G$1305,5,0)</f>
        <v>1800</v>
      </c>
      <c r="H91" s="214">
        <f>VLOOKUP($B91,R_DG!$A$7:$G$1305,6,0)</f>
        <v>0</v>
      </c>
      <c r="I91" s="214">
        <f>VLOOKUP($B91,R_DG!$A$7:$G$1305,7,0)</f>
        <v>0</v>
      </c>
      <c r="J91" s="214">
        <f t="shared" si="10"/>
        <v>441693</v>
      </c>
      <c r="K91" s="214">
        <f t="shared" si="10"/>
        <v>0</v>
      </c>
      <c r="L91" s="220">
        <f t="shared" si="10"/>
        <v>0</v>
      </c>
      <c r="M91" s="93">
        <f t="shared" ref="M91:M106" si="15">IF(F91&gt;0,M$90,0)</f>
        <v>1</v>
      </c>
      <c r="N91" s="328">
        <f t="shared" ref="N91:N106" ca="1" si="16">$F91*N$90</f>
        <v>0</v>
      </c>
    </row>
    <row r="92" spans="1:14" ht="20.100000000000001" customHeight="1">
      <c r="A92" s="90"/>
      <c r="B92" s="15" t="s">
        <v>762</v>
      </c>
      <c r="C92" s="32">
        <f>VLOOKUP($B92,R_DG!$A$7:$G$1305,2,0)</f>
        <v>0</v>
      </c>
      <c r="D92" s="8" t="str">
        <f>VLOOKUP($B92,R_DG!$A$7:$G$1305,3,0)</f>
        <v>Cát vàng</v>
      </c>
      <c r="E92" s="9" t="str">
        <f>VLOOKUP($B92,R_DG!$A$7:$G$1305,4,0)</f>
        <v>m3</v>
      </c>
      <c r="F92" s="225">
        <f>0.481*F106</f>
        <v>0.33669999999999994</v>
      </c>
      <c r="G92" s="214">
        <f>VLOOKUP($B92,R_DG!$A$7:$G$1305,5,0)</f>
        <v>320000</v>
      </c>
      <c r="H92" s="214">
        <f>VLOOKUP($B92,R_DG!$A$7:$G$1305,6,0)</f>
        <v>0</v>
      </c>
      <c r="I92" s="214">
        <f>VLOOKUP($B92,R_DG!$A$7:$G$1305,7,0)</f>
        <v>0</v>
      </c>
      <c r="J92" s="214">
        <f t="shared" si="10"/>
        <v>107743.99999999999</v>
      </c>
      <c r="K92" s="214">
        <f t="shared" si="10"/>
        <v>0</v>
      </c>
      <c r="L92" s="220">
        <f t="shared" si="10"/>
        <v>0</v>
      </c>
      <c r="M92" s="93">
        <f t="shared" si="15"/>
        <v>1</v>
      </c>
      <c r="N92" s="328">
        <f t="shared" ca="1" si="16"/>
        <v>0</v>
      </c>
    </row>
    <row r="93" spans="1:14" ht="20.100000000000001" customHeight="1">
      <c r="A93" s="90"/>
      <c r="B93" s="15" t="s">
        <v>2159</v>
      </c>
      <c r="C93" s="32">
        <f>VLOOKUP($B93,R_DG!$A$7:$G$1305,2,0)</f>
        <v>0</v>
      </c>
      <c r="D93" s="8" t="str">
        <f>VLOOKUP($B93,R_DG!$A$7:$G$1305,3,0)</f>
        <v>Đá 1x2</v>
      </c>
      <c r="E93" s="9" t="str">
        <f>VLOOKUP($B93,R_DG!$A$7:$G$1305,4,0)</f>
        <v>m3</v>
      </c>
      <c r="F93" s="225">
        <f>0.9*F106</f>
        <v>0.63</v>
      </c>
      <c r="G93" s="214">
        <f>VLOOKUP($B93,R_DG!$A$7:$G$1305,5,0)</f>
        <v>400000</v>
      </c>
      <c r="H93" s="214">
        <f>VLOOKUP($B93,R_DG!$A$7:$G$1305,6,0)</f>
        <v>0</v>
      </c>
      <c r="I93" s="214">
        <f>VLOOKUP($B93,R_DG!$A$7:$G$1305,7,0)</f>
        <v>0</v>
      </c>
      <c r="J93" s="214">
        <f t="shared" si="10"/>
        <v>252000</v>
      </c>
      <c r="K93" s="214">
        <f t="shared" si="10"/>
        <v>0</v>
      </c>
      <c r="L93" s="220">
        <f t="shared" si="10"/>
        <v>0</v>
      </c>
      <c r="M93" s="93">
        <f t="shared" si="15"/>
        <v>1</v>
      </c>
      <c r="N93" s="328">
        <f t="shared" ca="1" si="16"/>
        <v>0</v>
      </c>
    </row>
    <row r="94" spans="1:14" ht="20.100000000000001" customHeight="1">
      <c r="A94" s="90"/>
      <c r="B94" s="15" t="s">
        <v>671</v>
      </c>
      <c r="C94" s="32">
        <f>VLOOKUP($B94,R_DG!$A$7:$G$1305,2,0)</f>
        <v>0</v>
      </c>
      <c r="D94" s="8" t="str">
        <f>VLOOKUP($B94,R_DG!$A$7:$G$1305,3,0)</f>
        <v>Sắt  φ8</v>
      </c>
      <c r="E94" s="9" t="str">
        <f>VLOOKUP($B94,R_DG!$A$7:$G$1305,4,0)</f>
        <v>kg</v>
      </c>
      <c r="F94" s="225"/>
      <c r="G94" s="214">
        <f>VLOOKUP($B94,R_DG!$A$7:$G$1305,5,0)</f>
        <v>16000</v>
      </c>
      <c r="H94" s="214">
        <f>VLOOKUP($B94,R_DG!$A$7:$G$1305,6,0)</f>
        <v>0</v>
      </c>
      <c r="I94" s="214">
        <f>VLOOKUP($B94,R_DG!$A$7:$G$1305,7,0)</f>
        <v>0</v>
      </c>
      <c r="J94" s="214">
        <f t="shared" si="10"/>
        <v>0</v>
      </c>
      <c r="K94" s="214">
        <f t="shared" si="10"/>
        <v>0</v>
      </c>
      <c r="L94" s="220">
        <f t="shared" si="10"/>
        <v>0</v>
      </c>
      <c r="M94" s="93">
        <f t="shared" si="15"/>
        <v>0</v>
      </c>
      <c r="N94" s="328">
        <f t="shared" ca="1" si="16"/>
        <v>0</v>
      </c>
    </row>
    <row r="95" spans="1:14" ht="20.100000000000001" customHeight="1">
      <c r="A95" s="90"/>
      <c r="B95" s="15" t="s">
        <v>1974</v>
      </c>
      <c r="C95" s="32">
        <f>VLOOKUP($B95,R_DG!$A$7:$G$1305,2,0)</f>
        <v>0</v>
      </c>
      <c r="D95" s="8" t="str">
        <f>VLOOKUP($B95,R_DG!$A$7:$G$1305,3,0)</f>
        <v>Kẽm</v>
      </c>
      <c r="E95" s="9" t="str">
        <f>VLOOKUP($B95,R_DG!$A$7:$G$1305,4,0)</f>
        <v>kg</v>
      </c>
      <c r="F95" s="225"/>
      <c r="G95" s="214">
        <f>VLOOKUP($B95,R_DG!$A$7:$G$1305,5,0)</f>
        <v>35200</v>
      </c>
      <c r="H95" s="214">
        <f>VLOOKUP($B95,R_DG!$A$7:$G$1305,6,0)</f>
        <v>0</v>
      </c>
      <c r="I95" s="214">
        <f>VLOOKUP($B95,R_DG!$A$7:$G$1305,7,0)</f>
        <v>0</v>
      </c>
      <c r="J95" s="214">
        <f t="shared" si="10"/>
        <v>0</v>
      </c>
      <c r="K95" s="214">
        <f t="shared" si="10"/>
        <v>0</v>
      </c>
      <c r="L95" s="220">
        <f t="shared" si="10"/>
        <v>0</v>
      </c>
      <c r="M95" s="93">
        <f t="shared" si="15"/>
        <v>0</v>
      </c>
      <c r="N95" s="328">
        <f t="shared" ca="1" si="16"/>
        <v>0</v>
      </c>
    </row>
    <row r="96" spans="1:14" ht="20.100000000000001" customHeight="1">
      <c r="A96" s="90"/>
      <c r="B96" s="15" t="s">
        <v>818</v>
      </c>
      <c r="C96" s="32" t="str">
        <f>VLOOKUP($B96,R_DG!$A$7:$G$1305,2,0)</f>
        <v>AB.11400</v>
      </c>
      <c r="D96" s="8" t="str">
        <f>VLOOKUP($B96,R_DG!$A$7:$G$1305,3,0)</f>
        <v>Đào hố móng đất cấp 3 sâu &gt;1m, rộng &lt;1m</v>
      </c>
      <c r="E96" s="9" t="str">
        <f>VLOOKUP($B96,R_DG!$A$7:$G$1305,4,0)</f>
        <v>m3</v>
      </c>
      <c r="F96" s="225">
        <v>0.76900000000000002</v>
      </c>
      <c r="G96" s="214">
        <f>VLOOKUP($B96,R_DG!$A$7:$G$1305,5,0)</f>
        <v>0</v>
      </c>
      <c r="H96" s="214">
        <f>VLOOKUP($B96,R_DG!$A$7:$G$1305,6,0)</f>
        <v>418738.31999999995</v>
      </c>
      <c r="I96" s="214">
        <f>VLOOKUP($B96,R_DG!$A$7:$G$1305,7,0)</f>
        <v>0</v>
      </c>
      <c r="J96" s="214">
        <f t="shared" si="10"/>
        <v>0</v>
      </c>
      <c r="K96" s="214">
        <f t="shared" si="10"/>
        <v>322009.76807999995</v>
      </c>
      <c r="L96" s="220">
        <f t="shared" si="10"/>
        <v>0</v>
      </c>
      <c r="M96" s="93">
        <f t="shared" si="15"/>
        <v>1</v>
      </c>
      <c r="N96" s="328">
        <f t="shared" ca="1" si="16"/>
        <v>0</v>
      </c>
    </row>
    <row r="97" spans="1:14" ht="20.100000000000001" customHeight="1">
      <c r="A97" s="90"/>
      <c r="B97" s="15" t="s">
        <v>831</v>
      </c>
      <c r="C97" s="32" t="str">
        <f>VLOOKUP($B97,R_DG!$A$7:$G$1305,2,0)</f>
        <v>AB.13000</v>
      </c>
      <c r="D97" s="8" t="str">
        <f>VLOOKUP($B97,R_DG!$A$7:$G$1305,3,0)</f>
        <v>Đắp đất hố móng, đất cấp 3, k = 0,85</v>
      </c>
      <c r="E97" s="9" t="str">
        <f>VLOOKUP($B97,R_DG!$A$7:$G$1305,4,0)</f>
        <v>m3</v>
      </c>
      <c r="F97" s="225">
        <v>3.4000000000000002E-2</v>
      </c>
      <c r="G97" s="214">
        <f>VLOOKUP($B97,R_DG!$A$7:$G$1305,5,0)</f>
        <v>0</v>
      </c>
      <c r="H97" s="214">
        <f>VLOOKUP($B97,R_DG!$A$7:$G$1305,6,0)</f>
        <v>100210.88</v>
      </c>
      <c r="I97" s="214">
        <f>VLOOKUP($B97,R_DG!$A$7:$G$1305,7,0)</f>
        <v>0</v>
      </c>
      <c r="J97" s="214">
        <f t="shared" si="10"/>
        <v>0</v>
      </c>
      <c r="K97" s="214">
        <f t="shared" si="10"/>
        <v>3407.1699200000003</v>
      </c>
      <c r="L97" s="220">
        <f t="shared" si="10"/>
        <v>0</v>
      </c>
      <c r="M97" s="93">
        <f t="shared" si="15"/>
        <v>1</v>
      </c>
      <c r="N97" s="328">
        <f t="shared" ca="1" si="16"/>
        <v>0</v>
      </c>
    </row>
    <row r="98" spans="1:14" ht="20.100000000000001" customHeight="1">
      <c r="A98" s="90"/>
      <c r="B98" s="15" t="s">
        <v>1116</v>
      </c>
      <c r="C98" s="32" t="str">
        <f>VLOOKUP($B98,R_DG!$A$7:$G$1305,2,0)</f>
        <v>02.1101</v>
      </c>
      <c r="D98" s="8" t="str">
        <f>VLOOKUP($B98,R_DG!$A$7:$G$1305,3,0)</f>
        <v>Bốc dỡ xi măng</v>
      </c>
      <c r="E98" s="9" t="str">
        <f>VLOOKUP($B98,R_DG!$A$7:$G$1305,4,0)</f>
        <v>tấn</v>
      </c>
      <c r="F98" s="14">
        <f>F91/1000</f>
        <v>0.24538499999999999</v>
      </c>
      <c r="G98" s="214">
        <f>VLOOKUP($B98,R_DG!$A$7:$G$1305,5,0)</f>
        <v>0</v>
      </c>
      <c r="H98" s="214">
        <f>VLOOKUP($B98,R_DG!$A$7:$G$1305,6,0)</f>
        <v>0</v>
      </c>
      <c r="I98" s="214">
        <f>VLOOKUP($B98,R_DG!$A$7:$G$1305,7,0)</f>
        <v>0</v>
      </c>
      <c r="J98" s="214">
        <f t="shared" si="10"/>
        <v>0</v>
      </c>
      <c r="K98" s="214">
        <f t="shared" si="10"/>
        <v>0</v>
      </c>
      <c r="L98" s="220">
        <f t="shared" si="10"/>
        <v>0</v>
      </c>
      <c r="M98" s="93">
        <f t="shared" si="15"/>
        <v>1</v>
      </c>
      <c r="N98" s="328">
        <f t="shared" ca="1" si="16"/>
        <v>0</v>
      </c>
    </row>
    <row r="99" spans="1:14" ht="20.100000000000001" customHeight="1">
      <c r="A99" s="90"/>
      <c r="B99" s="15" t="s">
        <v>1119</v>
      </c>
      <c r="C99" s="32" t="str">
        <f>VLOOKUP($B99,R_DG!$A$7:$G$1305,2,0)</f>
        <v>02.1103</v>
      </c>
      <c r="D99" s="8" t="str">
        <f>VLOOKUP($B99,R_DG!$A$7:$G$1305,3,0)</f>
        <v>Bốc dỡ cát</v>
      </c>
      <c r="E99" s="9" t="str">
        <f>VLOOKUP($B99,R_DG!$A$7:$G$1305,4,0)</f>
        <v>m3</v>
      </c>
      <c r="F99" s="14">
        <f>F92</f>
        <v>0.33669999999999994</v>
      </c>
      <c r="G99" s="214">
        <f>VLOOKUP($B99,R_DG!$A$7:$G$1305,5,0)</f>
        <v>0</v>
      </c>
      <c r="H99" s="214">
        <f>VLOOKUP($B99,R_DG!$A$7:$G$1305,6,0)</f>
        <v>0</v>
      </c>
      <c r="I99" s="214">
        <f>VLOOKUP($B99,R_DG!$A$7:$G$1305,7,0)</f>
        <v>0</v>
      </c>
      <c r="J99" s="214">
        <f t="shared" si="10"/>
        <v>0</v>
      </c>
      <c r="K99" s="214">
        <f t="shared" si="10"/>
        <v>0</v>
      </c>
      <c r="L99" s="220">
        <f t="shared" si="10"/>
        <v>0</v>
      </c>
      <c r="M99" s="93">
        <f t="shared" si="15"/>
        <v>1</v>
      </c>
      <c r="N99" s="328">
        <f t="shared" ca="1" si="16"/>
        <v>0</v>
      </c>
    </row>
    <row r="100" spans="1:14" ht="20.100000000000001" customHeight="1">
      <c r="A100" s="90"/>
      <c r="B100" s="15" t="s">
        <v>1122</v>
      </c>
      <c r="C100" s="32" t="str">
        <f>VLOOKUP($B100,R_DG!$A$7:$G$1305,2,0)</f>
        <v>02.1104</v>
      </c>
      <c r="D100" s="8" t="str">
        <f>VLOOKUP($B100,R_DG!$A$7:$G$1305,3,0)</f>
        <v>Bốc dỡ đá dăm</v>
      </c>
      <c r="E100" s="9" t="str">
        <f>VLOOKUP($B100,R_DG!$A$7:$G$1305,4,0)</f>
        <v>m3</v>
      </c>
      <c r="F100" s="14">
        <f>F93</f>
        <v>0.63</v>
      </c>
      <c r="G100" s="214">
        <f>VLOOKUP($B100,R_DG!$A$7:$G$1305,5,0)</f>
        <v>0</v>
      </c>
      <c r="H100" s="214">
        <f>VLOOKUP($B100,R_DG!$A$7:$G$1305,6,0)</f>
        <v>0</v>
      </c>
      <c r="I100" s="214">
        <f>VLOOKUP($B100,R_DG!$A$7:$G$1305,7,0)</f>
        <v>0</v>
      </c>
      <c r="J100" s="214">
        <f t="shared" si="10"/>
        <v>0</v>
      </c>
      <c r="K100" s="214">
        <f t="shared" si="10"/>
        <v>0</v>
      </c>
      <c r="L100" s="220">
        <f t="shared" si="10"/>
        <v>0</v>
      </c>
      <c r="M100" s="93">
        <f t="shared" si="15"/>
        <v>1</v>
      </c>
      <c r="N100" s="328">
        <f t="shared" ca="1" si="16"/>
        <v>0</v>
      </c>
    </row>
    <row r="101" spans="1:14" ht="20.100000000000001" customHeight="1">
      <c r="A101" s="90"/>
      <c r="B101" s="15" t="s">
        <v>1250</v>
      </c>
      <c r="C101" s="32" t="str">
        <f>VLOOKUP($B101,R_DG!$A$7:$G$1305,2,0)</f>
        <v>04.1101</v>
      </c>
      <c r="D101" s="8" t="str">
        <f>VLOOKUP($B101,R_DG!$A$7:$G$1305,3,0)</f>
        <v>Gia công và lắp dựng cốt thép D&lt;=10</v>
      </c>
      <c r="E101" s="9" t="str">
        <f>VLOOKUP($B101,R_DG!$A$7:$G$1305,4,0)</f>
        <v>kg</v>
      </c>
      <c r="F101" s="14">
        <f>F94*0</f>
        <v>0</v>
      </c>
      <c r="G101" s="214">
        <f>VLOOKUP($B101,R_DG!$A$7:$G$1305,5,0)</f>
        <v>405.99</v>
      </c>
      <c r="H101" s="214">
        <f>VLOOKUP($B101,R_DG!$A$7:$G$1305,6,0)</f>
        <v>0</v>
      </c>
      <c r="I101" s="214">
        <f>VLOOKUP($B101,R_DG!$A$7:$G$1305,7,0)</f>
        <v>0</v>
      </c>
      <c r="J101" s="214">
        <f t="shared" si="10"/>
        <v>0</v>
      </c>
      <c r="K101" s="214">
        <f t="shared" si="10"/>
        <v>0</v>
      </c>
      <c r="L101" s="220">
        <f t="shared" si="10"/>
        <v>0</v>
      </c>
      <c r="M101" s="93">
        <f t="shared" si="15"/>
        <v>0</v>
      </c>
      <c r="N101" s="328">
        <f t="shared" ca="1" si="16"/>
        <v>0</v>
      </c>
    </row>
    <row r="102" spans="1:14" ht="20.100000000000001" customHeight="1">
      <c r="A102" s="90"/>
      <c r="B102" s="15" t="s">
        <v>1027</v>
      </c>
      <c r="C102" s="32" t="str">
        <f>VLOOKUP($B102,R_DG!$A$7:$G$1305,2,0)</f>
        <v>02.1211</v>
      </c>
      <c r="D102" s="8" t="str">
        <f>VLOOKUP($B102,R_DG!$A$7:$G$1305,3,0)</f>
        <v>V/c xi măng ( cự ly &lt;=100m)</v>
      </c>
      <c r="E102" s="9" t="str">
        <f>VLOOKUP($B102,R_DG!$A$7:$G$1305,4,0)</f>
        <v>tấn</v>
      </c>
      <c r="F102" s="13">
        <f>F98</f>
        <v>0.24538499999999999</v>
      </c>
      <c r="G102" s="214">
        <f>VLOOKUP($B102,R_DG!$A$7:$G$1305,5,0)</f>
        <v>0</v>
      </c>
      <c r="H102" s="214">
        <f>VLOOKUP($B102,R_DG!$A$7:$G$1305,6,0)</f>
        <v>0</v>
      </c>
      <c r="I102" s="214">
        <f>VLOOKUP($B102,R_DG!$A$7:$G$1305,7,0)</f>
        <v>0</v>
      </c>
      <c r="J102" s="214">
        <f t="shared" si="10"/>
        <v>0</v>
      </c>
      <c r="K102" s="214">
        <f t="shared" si="10"/>
        <v>0</v>
      </c>
      <c r="L102" s="220">
        <f t="shared" si="10"/>
        <v>0</v>
      </c>
      <c r="M102" s="93">
        <f t="shared" si="15"/>
        <v>1</v>
      </c>
      <c r="N102" s="328">
        <f t="shared" ca="1" si="16"/>
        <v>0</v>
      </c>
    </row>
    <row r="103" spans="1:14" ht="20.100000000000001" customHeight="1">
      <c r="A103" s="90"/>
      <c r="B103" s="15" t="s">
        <v>1072</v>
      </c>
      <c r="C103" s="32" t="str">
        <f>VLOOKUP($B103,R_DG!$A$7:$G$1305,2,0)</f>
        <v>02.1231</v>
      </c>
      <c r="D103" s="8" t="str">
        <f>VLOOKUP($B103,R_DG!$A$7:$G$1305,3,0)</f>
        <v>V/c cát vàng cự ly &lt;=100m</v>
      </c>
      <c r="E103" s="9" t="str">
        <f>VLOOKUP($B103,R_DG!$A$7:$G$1305,4,0)</f>
        <v>m3</v>
      </c>
      <c r="F103" s="13">
        <f>F99</f>
        <v>0.33669999999999994</v>
      </c>
      <c r="G103" s="214">
        <f>VLOOKUP($B103,R_DG!$A$7:$G$1305,5,0)</f>
        <v>0</v>
      </c>
      <c r="H103" s="214">
        <f>VLOOKUP($B103,R_DG!$A$7:$G$1305,6,0)</f>
        <v>0</v>
      </c>
      <c r="I103" s="214">
        <f>VLOOKUP($B103,R_DG!$A$7:$G$1305,7,0)</f>
        <v>0</v>
      </c>
      <c r="J103" s="214">
        <f t="shared" si="10"/>
        <v>0</v>
      </c>
      <c r="K103" s="214">
        <f t="shared" si="10"/>
        <v>0</v>
      </c>
      <c r="L103" s="220">
        <f t="shared" si="10"/>
        <v>0</v>
      </c>
      <c r="M103" s="93">
        <f t="shared" si="15"/>
        <v>1</v>
      </c>
      <c r="N103" s="328">
        <f t="shared" ca="1" si="16"/>
        <v>0</v>
      </c>
    </row>
    <row r="104" spans="1:14" ht="20.100000000000001" customHeight="1">
      <c r="A104" s="90"/>
      <c r="B104" s="15" t="s">
        <v>1039</v>
      </c>
      <c r="C104" s="32" t="str">
        <f>VLOOKUP($B104,R_DG!$A$7:$G$1305,2,0)</f>
        <v>02.1241</v>
      </c>
      <c r="D104" s="8" t="str">
        <f>VLOOKUP($B104,R_DG!$A$7:$G$1305,3,0)</f>
        <v>V/c đá dăm ( cự ly &lt;=100m)</v>
      </c>
      <c r="E104" s="9" t="str">
        <f>VLOOKUP($B104,R_DG!$A$7:$G$1305,4,0)</f>
        <v>m3</v>
      </c>
      <c r="F104" s="13">
        <f>F100</f>
        <v>0.63</v>
      </c>
      <c r="G104" s="214">
        <f>VLOOKUP($B104,R_DG!$A$7:$G$1305,5,0)</f>
        <v>0</v>
      </c>
      <c r="H104" s="214">
        <f>VLOOKUP($B104,R_DG!$A$7:$G$1305,6,0)</f>
        <v>0</v>
      </c>
      <c r="I104" s="214">
        <f>VLOOKUP($B104,R_DG!$A$7:$G$1305,7,0)</f>
        <v>0</v>
      </c>
      <c r="J104" s="214">
        <f t="shared" si="10"/>
        <v>0</v>
      </c>
      <c r="K104" s="214">
        <f t="shared" si="10"/>
        <v>0</v>
      </c>
      <c r="L104" s="220">
        <f t="shared" si="10"/>
        <v>0</v>
      </c>
      <c r="M104" s="93">
        <f t="shared" si="15"/>
        <v>1</v>
      </c>
      <c r="N104" s="328">
        <f t="shared" ca="1" si="16"/>
        <v>0</v>
      </c>
    </row>
    <row r="105" spans="1:14" ht="20.100000000000001" customHeight="1">
      <c r="A105" s="90"/>
      <c r="B105" s="15" t="s">
        <v>991</v>
      </c>
      <c r="C105" s="32" t="str">
        <f>VLOOKUP($B105,R_DG!$A$7:$G$1305,2,0)</f>
        <v>02.1482</v>
      </c>
      <c r="D105" s="8" t="str">
        <f>VLOOKUP($B105,R_DG!$A$7:$G$1305,3,0)</f>
        <v>V/c dụng cụ thi công ( cự ly &lt;=100m)</v>
      </c>
      <c r="E105" s="9" t="str">
        <f>VLOOKUP($B105,R_DG!$A$7:$G$1305,4,0)</f>
        <v>tấn</v>
      </c>
      <c r="F105" s="225"/>
      <c r="G105" s="214">
        <f>VLOOKUP($B105,R_DG!$A$7:$G$1305,5,0)</f>
        <v>0</v>
      </c>
      <c r="H105" s="214">
        <f>VLOOKUP($B105,R_DG!$A$7:$G$1305,6,0)</f>
        <v>0</v>
      </c>
      <c r="I105" s="214">
        <f>VLOOKUP($B105,R_DG!$A$7:$G$1305,7,0)</f>
        <v>0</v>
      </c>
      <c r="J105" s="214">
        <f t="shared" si="10"/>
        <v>0</v>
      </c>
      <c r="K105" s="214">
        <f t="shared" si="10"/>
        <v>0</v>
      </c>
      <c r="L105" s="220">
        <f t="shared" si="10"/>
        <v>0</v>
      </c>
      <c r="M105" s="93">
        <f t="shared" si="15"/>
        <v>0</v>
      </c>
      <c r="N105" s="328">
        <f t="shared" ca="1" si="16"/>
        <v>0</v>
      </c>
    </row>
    <row r="106" spans="1:14" ht="20.100000000000001" customHeight="1">
      <c r="A106" s="90"/>
      <c r="B106" s="15" t="s">
        <v>1247</v>
      </c>
      <c r="C106" s="32" t="str">
        <f>VLOOKUP($B106,R_DG!$A$7:$G$1305,2,0)</f>
        <v>AF112.20</v>
      </c>
      <c r="D106" s="8" t="str">
        <f>VLOOKUP($B106,R_DG!$A$7:$G$1305,3,0)</f>
        <v>Đổ bê tông mác M200 đá 1x2</v>
      </c>
      <c r="E106" s="9" t="str">
        <f>VLOOKUP($B106,R_DG!$A$7:$G$1305,4,0)</f>
        <v>m3</v>
      </c>
      <c r="F106" s="225">
        <v>0.7</v>
      </c>
      <c r="G106" s="214">
        <f>VLOOKUP($B106,R_DG!$A$7:$G$1305,5,0)</f>
        <v>0</v>
      </c>
      <c r="H106" s="214">
        <f>VLOOKUP($B106,R_DG!$A$7:$G$1305,6,0)</f>
        <v>398225.65</v>
      </c>
      <c r="I106" s="214">
        <f>VLOOKUP($B106,R_DG!$A$7:$G$1305,7,0)</f>
        <v>0</v>
      </c>
      <c r="J106" s="214">
        <f t="shared" si="10"/>
        <v>0</v>
      </c>
      <c r="K106" s="214">
        <f t="shared" si="10"/>
        <v>278757.95500000002</v>
      </c>
      <c r="L106" s="220">
        <f t="shared" si="10"/>
        <v>0</v>
      </c>
      <c r="M106" s="93">
        <f t="shared" si="15"/>
        <v>1</v>
      </c>
      <c r="N106" s="328">
        <f t="shared" ca="1" si="16"/>
        <v>0</v>
      </c>
    </row>
    <row r="107" spans="1:14" ht="20.100000000000001" customHeight="1">
      <c r="A107" s="89" t="s">
        <v>2340</v>
      </c>
      <c r="B107" s="24"/>
      <c r="C107" s="34"/>
      <c r="D107" s="25" t="s">
        <v>2160</v>
      </c>
      <c r="E107" s="25" t="s">
        <v>2146</v>
      </c>
      <c r="F107" s="26"/>
      <c r="G107" s="213"/>
      <c r="H107" s="213"/>
      <c r="I107" s="213"/>
      <c r="J107" s="213" t="e">
        <f>SUM(J108:J123)</f>
        <v>#REF!</v>
      </c>
      <c r="K107" s="213">
        <f>SUM(K108:K123)</f>
        <v>775303.73385999992</v>
      </c>
      <c r="L107" s="219">
        <f>SUM(L108:L123)</f>
        <v>0</v>
      </c>
      <c r="M107" s="92">
        <f>IF(ERROR.TYPE(IF(HLOOKUP(A107,maBK,1,0)&lt;&gt;"",#NULL!,"ABC"))&lt;&gt;7,1,0)</f>
        <v>1</v>
      </c>
      <c r="N107" s="327">
        <f ca="1">SUMIF(maBK,$A107,tongBK1)</f>
        <v>1</v>
      </c>
    </row>
    <row r="108" spans="1:14" ht="20.100000000000001" customHeight="1">
      <c r="A108" s="90"/>
      <c r="B108" s="15" t="s">
        <v>767</v>
      </c>
      <c r="C108" s="32">
        <f>VLOOKUP($B108,R_DG!$A$7:$G$1305,2,0)</f>
        <v>0</v>
      </c>
      <c r="D108" s="8" t="str">
        <f>VLOOKUP($B108,R_DG!$A$7:$G$1305,3,0)</f>
        <v>Ximăng</v>
      </c>
      <c r="E108" s="9" t="str">
        <f>VLOOKUP($B108,R_DG!$A$7:$G$1305,4,0)</f>
        <v>kg</v>
      </c>
      <c r="F108" s="225">
        <v>235</v>
      </c>
      <c r="G108" s="214">
        <f>VLOOKUP($B108,R_DG!$A$7:$G$1305,5,0)</f>
        <v>1800</v>
      </c>
      <c r="H108" s="214">
        <f>VLOOKUP($B108,R_DG!$A$7:$G$1305,6,0)</f>
        <v>0</v>
      </c>
      <c r="I108" s="214">
        <f>VLOOKUP($B108,R_DG!$A$7:$G$1305,7,0)</f>
        <v>0</v>
      </c>
      <c r="J108" s="214">
        <f t="shared" si="10"/>
        <v>423000</v>
      </c>
      <c r="K108" s="214">
        <f t="shared" si="10"/>
        <v>0</v>
      </c>
      <c r="L108" s="220">
        <f t="shared" si="10"/>
        <v>0</v>
      </c>
      <c r="M108" s="93">
        <f t="shared" ref="M108:M123" si="17">IF(F108&gt;0,M$107,0)</f>
        <v>1</v>
      </c>
      <c r="N108" s="329">
        <f t="shared" ref="N108:N123" ca="1" si="18">$F108*N$107</f>
        <v>235</v>
      </c>
    </row>
    <row r="109" spans="1:14" ht="20.100000000000001" customHeight="1">
      <c r="A109" s="90"/>
      <c r="B109" s="15" t="s">
        <v>762</v>
      </c>
      <c r="C109" s="32">
        <f>VLOOKUP($B109,R_DG!$A$7:$G$1305,2,0)</f>
        <v>0</v>
      </c>
      <c r="D109" s="8" t="str">
        <f>VLOOKUP($B109,R_DG!$A$7:$G$1305,3,0)</f>
        <v>Cát vàng</v>
      </c>
      <c r="E109" s="9" t="str">
        <f>VLOOKUP($B109,R_DG!$A$7:$G$1305,4,0)</f>
        <v>m3</v>
      </c>
      <c r="F109" s="225">
        <v>0.377</v>
      </c>
      <c r="G109" s="214">
        <f>VLOOKUP($B109,R_DG!$A$7:$G$1305,5,0)</f>
        <v>320000</v>
      </c>
      <c r="H109" s="214">
        <f>VLOOKUP($B109,R_DG!$A$7:$G$1305,6,0)</f>
        <v>0</v>
      </c>
      <c r="I109" s="214">
        <f>VLOOKUP($B109,R_DG!$A$7:$G$1305,7,0)</f>
        <v>0</v>
      </c>
      <c r="J109" s="214">
        <f t="shared" si="10"/>
        <v>120640</v>
      </c>
      <c r="K109" s="214">
        <f t="shared" si="10"/>
        <v>0</v>
      </c>
      <c r="L109" s="220">
        <f t="shared" si="10"/>
        <v>0</v>
      </c>
      <c r="M109" s="93">
        <f t="shared" si="17"/>
        <v>1</v>
      </c>
      <c r="N109" s="328">
        <f t="shared" ca="1" si="18"/>
        <v>0.377</v>
      </c>
    </row>
    <row r="110" spans="1:14" ht="20.100000000000001" customHeight="1">
      <c r="A110" s="90"/>
      <c r="B110" s="15" t="s">
        <v>2159</v>
      </c>
      <c r="C110" s="32">
        <f>VLOOKUP($B110,R_DG!$A$7:$G$1305,2,0)</f>
        <v>0</v>
      </c>
      <c r="D110" s="8" t="str">
        <f>VLOOKUP($B110,R_DG!$A$7:$G$1305,3,0)</f>
        <v>Đá 1x2</v>
      </c>
      <c r="E110" s="9" t="str">
        <f>VLOOKUP($B110,R_DG!$A$7:$G$1305,4,0)</f>
        <v>m3</v>
      </c>
      <c r="F110" s="225">
        <v>0.7</v>
      </c>
      <c r="G110" s="214">
        <f>VLOOKUP($B110,R_DG!$A$7:$G$1305,5,0)</f>
        <v>400000</v>
      </c>
      <c r="H110" s="214">
        <f>VLOOKUP($B110,R_DG!$A$7:$G$1305,6,0)</f>
        <v>0</v>
      </c>
      <c r="I110" s="214">
        <f>VLOOKUP($B110,R_DG!$A$7:$G$1305,7,0)</f>
        <v>0</v>
      </c>
      <c r="J110" s="214">
        <f t="shared" si="10"/>
        <v>280000</v>
      </c>
      <c r="K110" s="214">
        <f t="shared" si="10"/>
        <v>0</v>
      </c>
      <c r="L110" s="220">
        <f t="shared" si="10"/>
        <v>0</v>
      </c>
      <c r="M110" s="93">
        <f t="shared" si="17"/>
        <v>1</v>
      </c>
      <c r="N110" s="329">
        <f t="shared" ca="1" si="18"/>
        <v>0.7</v>
      </c>
    </row>
    <row r="111" spans="1:14" ht="20.100000000000001" customHeight="1">
      <c r="A111" s="90"/>
      <c r="B111" s="15" t="s">
        <v>672</v>
      </c>
      <c r="C111" s="32">
        <f>VLOOKUP($B111,R_DG!$A$7:$G$1305,2,0)</f>
        <v>0</v>
      </c>
      <c r="D111" s="8" t="str">
        <f>VLOOKUP($B111,R_DG!$A$7:$G$1305,3,0)</f>
        <v>Sắt  φ10</v>
      </c>
      <c r="E111" s="9" t="str">
        <f>VLOOKUP($B111,R_DG!$A$7:$G$1305,4,0)</f>
        <v>kg</v>
      </c>
      <c r="F111" s="14"/>
      <c r="G111" s="214">
        <f>VLOOKUP($B111,R_DG!$A$7:$G$1305,5,0)</f>
        <v>14545</v>
      </c>
      <c r="H111" s="214">
        <f>VLOOKUP($B111,R_DG!$A$7:$G$1305,6,0)</f>
        <v>0</v>
      </c>
      <c r="I111" s="214">
        <f>VLOOKUP($B111,R_DG!$A$7:$G$1305,7,0)</f>
        <v>0</v>
      </c>
      <c r="J111" s="214">
        <f t="shared" ref="J111:L135" si="19">G111*$F111</f>
        <v>0</v>
      </c>
      <c r="K111" s="214">
        <f t="shared" si="19"/>
        <v>0</v>
      </c>
      <c r="L111" s="220">
        <f t="shared" si="19"/>
        <v>0</v>
      </c>
      <c r="M111" s="93">
        <f t="shared" si="17"/>
        <v>0</v>
      </c>
      <c r="N111" s="328">
        <f t="shared" ca="1" si="18"/>
        <v>0</v>
      </c>
    </row>
    <row r="112" spans="1:14" ht="20.100000000000001" customHeight="1">
      <c r="A112" s="90"/>
      <c r="B112" s="15" t="s">
        <v>1974</v>
      </c>
      <c r="C112" s="32">
        <f>VLOOKUP($B112,R_DG!$A$7:$G$1305,2,0)</f>
        <v>0</v>
      </c>
      <c r="D112" s="8" t="str">
        <f>VLOOKUP($B112,R_DG!$A$7:$G$1305,3,0)</f>
        <v>Kẽm</v>
      </c>
      <c r="E112" s="9" t="str">
        <f>VLOOKUP($B112,R_DG!$A$7:$G$1305,4,0)</f>
        <v>kg</v>
      </c>
      <c r="F112" s="14"/>
      <c r="G112" s="214">
        <f>VLOOKUP($B112,R_DG!$A$7:$G$1305,5,0)</f>
        <v>35200</v>
      </c>
      <c r="H112" s="214">
        <f>VLOOKUP($B112,R_DG!$A$7:$G$1305,6,0)</f>
        <v>0</v>
      </c>
      <c r="I112" s="214">
        <f>VLOOKUP($B112,R_DG!$A$7:$G$1305,7,0)</f>
        <v>0</v>
      </c>
      <c r="J112" s="214">
        <f t="shared" si="19"/>
        <v>0</v>
      </c>
      <c r="K112" s="214">
        <f t="shared" si="19"/>
        <v>0</v>
      </c>
      <c r="L112" s="220">
        <f t="shared" si="19"/>
        <v>0</v>
      </c>
      <c r="M112" s="93">
        <f t="shared" si="17"/>
        <v>0</v>
      </c>
      <c r="N112" s="328">
        <f t="shared" ca="1" si="18"/>
        <v>0</v>
      </c>
    </row>
    <row r="113" spans="1:14" ht="20.100000000000001" customHeight="1">
      <c r="A113" s="90"/>
      <c r="B113" s="15" t="s">
        <v>818</v>
      </c>
      <c r="C113" s="32" t="str">
        <f>VLOOKUP($B113,R_DG!$A$7:$G$1305,2,0)</f>
        <v>AB.11400</v>
      </c>
      <c r="D113" s="8" t="str">
        <f>VLOOKUP($B113,R_DG!$A$7:$G$1305,3,0)</f>
        <v>Đào hố móng đất cấp 3 sâu &gt;1m, rộng &lt;1m</v>
      </c>
      <c r="E113" s="9" t="str">
        <f>VLOOKUP($B113,R_DG!$A$7:$G$1305,4,0)</f>
        <v>m3</v>
      </c>
      <c r="F113" s="14">
        <v>1.0609999999999999</v>
      </c>
      <c r="G113" s="214">
        <f>VLOOKUP($B113,R_DG!$A$7:$G$1305,5,0)</f>
        <v>0</v>
      </c>
      <c r="H113" s="214">
        <f>VLOOKUP($B113,R_DG!$A$7:$G$1305,6,0)</f>
        <v>418738.31999999995</v>
      </c>
      <c r="I113" s="214">
        <f>VLOOKUP($B113,R_DG!$A$7:$G$1305,7,0)</f>
        <v>0</v>
      </c>
      <c r="J113" s="214">
        <f t="shared" si="19"/>
        <v>0</v>
      </c>
      <c r="K113" s="214">
        <f t="shared" si="19"/>
        <v>444281.3575199999</v>
      </c>
      <c r="L113" s="220">
        <f t="shared" si="19"/>
        <v>0</v>
      </c>
      <c r="M113" s="93">
        <f t="shared" si="17"/>
        <v>1</v>
      </c>
      <c r="N113" s="328">
        <f t="shared" ca="1" si="18"/>
        <v>1.0609999999999999</v>
      </c>
    </row>
    <row r="114" spans="1:14" ht="20.100000000000001" customHeight="1">
      <c r="A114" s="90"/>
      <c r="B114" s="15" t="s">
        <v>831</v>
      </c>
      <c r="C114" s="32" t="str">
        <f>VLOOKUP($B114,R_DG!$A$7:$G$1305,2,0)</f>
        <v>AB.13000</v>
      </c>
      <c r="D114" s="8" t="str">
        <f>VLOOKUP($B114,R_DG!$A$7:$G$1305,3,0)</f>
        <v>Đắp đất hố móng, đất cấp 3, k = 0,85</v>
      </c>
      <c r="E114" s="9" t="str">
        <f>VLOOKUP($B114,R_DG!$A$7:$G$1305,4,0)</f>
        <v>m3</v>
      </c>
      <c r="F114" s="14">
        <v>0.14799999999999999</v>
      </c>
      <c r="G114" s="214">
        <f>VLOOKUP($B114,R_DG!$A$7:$G$1305,5,0)</f>
        <v>0</v>
      </c>
      <c r="H114" s="214">
        <f>VLOOKUP($B114,R_DG!$A$7:$G$1305,6,0)</f>
        <v>100210.88</v>
      </c>
      <c r="I114" s="214">
        <f>VLOOKUP($B114,R_DG!$A$7:$G$1305,7,0)</f>
        <v>0</v>
      </c>
      <c r="J114" s="214">
        <f t="shared" si="19"/>
        <v>0</v>
      </c>
      <c r="K114" s="214">
        <f t="shared" si="19"/>
        <v>14831.21024</v>
      </c>
      <c r="L114" s="220">
        <f t="shared" si="19"/>
        <v>0</v>
      </c>
      <c r="M114" s="93">
        <f t="shared" si="17"/>
        <v>1</v>
      </c>
      <c r="N114" s="329">
        <f t="shared" ca="1" si="18"/>
        <v>0.14799999999999999</v>
      </c>
    </row>
    <row r="115" spans="1:14" ht="20.100000000000001" customHeight="1">
      <c r="A115" s="90"/>
      <c r="B115" s="15" t="s">
        <v>112</v>
      </c>
      <c r="C115" s="32">
        <f>VLOOKUP($B115,R_DG!$A$7:$G$1305,2,0)</f>
        <v>0</v>
      </c>
      <c r="D115" s="8" t="str">
        <f>VLOOKUP($B115,R_DG!$A$7:$G$1305,3,0)</f>
        <v>Boulon 16x500VRS+ 4 long đền vuông D18-50x50x3/Zn</v>
      </c>
      <c r="E115" s="9" t="str">
        <f>VLOOKUP($B115,R_DG!$A$7:$G$1305,4,0)</f>
        <v>bộ</v>
      </c>
      <c r="F115" s="14">
        <v>1</v>
      </c>
      <c r="G115" s="214" t="e">
        <f>VLOOKUP($B115,R_DG!$A$7:$G$1305,5,0)</f>
        <v>#REF!</v>
      </c>
      <c r="H115" s="214">
        <f>VLOOKUP($B115,R_DG!$A$7:$G$1305,6,0)</f>
        <v>0</v>
      </c>
      <c r="I115" s="214">
        <f>VLOOKUP($B115,R_DG!$A$7:$G$1305,7,0)</f>
        <v>0</v>
      </c>
      <c r="J115" s="214" t="e">
        <f t="shared" si="19"/>
        <v>#REF!</v>
      </c>
      <c r="K115" s="214">
        <f t="shared" si="19"/>
        <v>0</v>
      </c>
      <c r="L115" s="220">
        <f t="shared" si="19"/>
        <v>0</v>
      </c>
      <c r="M115" s="93">
        <f t="shared" si="17"/>
        <v>1</v>
      </c>
      <c r="N115" s="328">
        <f t="shared" ca="1" si="18"/>
        <v>1</v>
      </c>
    </row>
    <row r="116" spans="1:14" ht="20.100000000000001" customHeight="1">
      <c r="A116" s="90"/>
      <c r="B116" s="15" t="s">
        <v>3565</v>
      </c>
      <c r="C116" s="32">
        <f>VLOOKUP($B116,R_DG!$A$7:$G$1305,2,0)</f>
        <v>0</v>
      </c>
      <c r="D116" s="8" t="str">
        <f>VLOOKUP($B116,R_DG!$A$7:$G$1305,3,0)</f>
        <v>Boulon 16x450VRS+ 4 long đền vuông D18-50x50x3/Zn</v>
      </c>
      <c r="E116" s="9" t="str">
        <f>VLOOKUP($B116,R_DG!$A$7:$G$1305,4,0)</f>
        <v>bộ</v>
      </c>
      <c r="F116" s="14">
        <v>1</v>
      </c>
      <c r="G116" s="214" t="e">
        <f>VLOOKUP($B116,R_DG!$A$7:$G$1305,5,0)</f>
        <v>#REF!</v>
      </c>
      <c r="H116" s="214">
        <f>VLOOKUP($B116,R_DG!$A$7:$G$1305,6,0)</f>
        <v>0</v>
      </c>
      <c r="I116" s="214">
        <f>VLOOKUP($B116,R_DG!$A$7:$G$1305,7,0)</f>
        <v>0</v>
      </c>
      <c r="J116" s="214" t="e">
        <f t="shared" si="19"/>
        <v>#REF!</v>
      </c>
      <c r="K116" s="214">
        <f t="shared" si="19"/>
        <v>0</v>
      </c>
      <c r="L116" s="220">
        <f t="shared" si="19"/>
        <v>0</v>
      </c>
      <c r="M116" s="93">
        <f t="shared" si="17"/>
        <v>1</v>
      </c>
      <c r="N116" s="329">
        <f t="shared" ca="1" si="18"/>
        <v>1</v>
      </c>
    </row>
    <row r="117" spans="1:14" ht="20.100000000000001" customHeight="1">
      <c r="A117" s="90"/>
      <c r="B117" s="15" t="s">
        <v>2257</v>
      </c>
      <c r="C117" s="32">
        <f>VLOOKUP($B117,R_DG!$A$7:$G$1305,2,0)</f>
        <v>0</v>
      </c>
      <c r="D117" s="8" t="str">
        <f>VLOOKUP($B117,R_DG!$A$7:$G$1305,3,0)</f>
        <v>Boulon 16x400VRS+ 4 long đền vuông D18-50x50x3/Zn</v>
      </c>
      <c r="E117" s="9" t="str">
        <f>VLOOKUP($B117,R_DG!$A$7:$G$1305,4,0)</f>
        <v>bộ</v>
      </c>
      <c r="F117" s="14">
        <v>1</v>
      </c>
      <c r="G117" s="214" t="e">
        <f>VLOOKUP($B117,R_DG!$A$7:$G$1305,5,0)</f>
        <v>#REF!</v>
      </c>
      <c r="H117" s="214">
        <f>VLOOKUP($B117,R_DG!$A$7:$G$1305,6,0)</f>
        <v>0</v>
      </c>
      <c r="I117" s="214">
        <f>VLOOKUP($B117,R_DG!$A$7:$G$1305,7,0)</f>
        <v>0</v>
      </c>
      <c r="J117" s="214" t="e">
        <f t="shared" si="19"/>
        <v>#REF!</v>
      </c>
      <c r="K117" s="214">
        <f t="shared" si="19"/>
        <v>0</v>
      </c>
      <c r="L117" s="220">
        <f t="shared" si="19"/>
        <v>0</v>
      </c>
      <c r="M117" s="93">
        <f t="shared" si="17"/>
        <v>1</v>
      </c>
      <c r="N117" s="328">
        <f t="shared" ca="1" si="18"/>
        <v>1</v>
      </c>
    </row>
    <row r="118" spans="1:14" ht="20.100000000000001" customHeight="1">
      <c r="A118" s="90"/>
      <c r="B118" s="15" t="s">
        <v>1250</v>
      </c>
      <c r="C118" s="32" t="str">
        <f>VLOOKUP($B118,R_DG!$A$7:$G$1305,2,0)</f>
        <v>04.1101</v>
      </c>
      <c r="D118" s="8" t="str">
        <f>VLOOKUP($B118,R_DG!$A$7:$G$1305,3,0)</f>
        <v>Gia công và lắp dựng cốt thép D&lt;=10</v>
      </c>
      <c r="E118" s="9" t="str">
        <f>VLOOKUP($B118,R_DG!$A$7:$G$1305,4,0)</f>
        <v>kg</v>
      </c>
      <c r="F118" s="14">
        <f>F111*0</f>
        <v>0</v>
      </c>
      <c r="G118" s="214">
        <f>VLOOKUP($B118,R_DG!$A$7:$G$1305,5,0)</f>
        <v>405.99</v>
      </c>
      <c r="H118" s="214">
        <f>VLOOKUP($B118,R_DG!$A$7:$G$1305,6,0)</f>
        <v>0</v>
      </c>
      <c r="I118" s="214">
        <f>VLOOKUP($B118,R_DG!$A$7:$G$1305,7,0)</f>
        <v>0</v>
      </c>
      <c r="J118" s="214">
        <f t="shared" si="19"/>
        <v>0</v>
      </c>
      <c r="K118" s="214">
        <f t="shared" si="19"/>
        <v>0</v>
      </c>
      <c r="L118" s="220">
        <f t="shared" si="19"/>
        <v>0</v>
      </c>
      <c r="M118" s="93">
        <f t="shared" si="17"/>
        <v>0</v>
      </c>
      <c r="N118" s="328">
        <f t="shared" ca="1" si="18"/>
        <v>0</v>
      </c>
    </row>
    <row r="119" spans="1:14" ht="20.100000000000001" customHeight="1">
      <c r="A119" s="90"/>
      <c r="B119" s="15" t="s">
        <v>1027</v>
      </c>
      <c r="C119" s="32" t="str">
        <f>VLOOKUP($B119,R_DG!$A$7:$G$1305,2,0)</f>
        <v>02.1211</v>
      </c>
      <c r="D119" s="8" t="str">
        <f>VLOOKUP($B119,R_DG!$A$7:$G$1305,3,0)</f>
        <v>V/c xi măng ( cự ly &lt;=100m)</v>
      </c>
      <c r="E119" s="9" t="str">
        <f>VLOOKUP($B119,R_DG!$A$7:$G$1305,4,0)</f>
        <v>tấn</v>
      </c>
      <c r="F119" s="13">
        <f>F115</f>
        <v>1</v>
      </c>
      <c r="G119" s="214">
        <f>VLOOKUP($B119,R_DG!$A$7:$G$1305,5,0)</f>
        <v>0</v>
      </c>
      <c r="H119" s="214">
        <f>VLOOKUP($B119,R_DG!$A$7:$G$1305,6,0)</f>
        <v>0</v>
      </c>
      <c r="I119" s="214">
        <f>VLOOKUP($B119,R_DG!$A$7:$G$1305,7,0)</f>
        <v>0</v>
      </c>
      <c r="J119" s="214">
        <f t="shared" si="19"/>
        <v>0</v>
      </c>
      <c r="K119" s="214">
        <f t="shared" si="19"/>
        <v>0</v>
      </c>
      <c r="L119" s="220">
        <f t="shared" si="19"/>
        <v>0</v>
      </c>
      <c r="M119" s="93">
        <f t="shared" si="17"/>
        <v>1</v>
      </c>
      <c r="N119" s="329">
        <f t="shared" ca="1" si="18"/>
        <v>1</v>
      </c>
    </row>
    <row r="120" spans="1:14" ht="20.100000000000001" customHeight="1">
      <c r="A120" s="90"/>
      <c r="B120" s="15" t="s">
        <v>1072</v>
      </c>
      <c r="C120" s="32" t="str">
        <f>VLOOKUP($B120,R_DG!$A$7:$G$1305,2,0)</f>
        <v>02.1231</v>
      </c>
      <c r="D120" s="8" t="str">
        <f>VLOOKUP($B120,R_DG!$A$7:$G$1305,3,0)</f>
        <v>V/c cát vàng cự ly &lt;=100m</v>
      </c>
      <c r="E120" s="9" t="str">
        <f>VLOOKUP($B120,R_DG!$A$7:$G$1305,4,0)</f>
        <v>m3</v>
      </c>
      <c r="F120" s="13">
        <f>F116</f>
        <v>1</v>
      </c>
      <c r="G120" s="214">
        <f>VLOOKUP($B120,R_DG!$A$7:$G$1305,5,0)</f>
        <v>0</v>
      </c>
      <c r="H120" s="214">
        <f>VLOOKUP($B120,R_DG!$A$7:$G$1305,6,0)</f>
        <v>0</v>
      </c>
      <c r="I120" s="214">
        <f>VLOOKUP($B120,R_DG!$A$7:$G$1305,7,0)</f>
        <v>0</v>
      </c>
      <c r="J120" s="214">
        <f t="shared" si="19"/>
        <v>0</v>
      </c>
      <c r="K120" s="214">
        <f t="shared" si="19"/>
        <v>0</v>
      </c>
      <c r="L120" s="220">
        <f t="shared" si="19"/>
        <v>0</v>
      </c>
      <c r="M120" s="93">
        <f t="shared" si="17"/>
        <v>1</v>
      </c>
      <c r="N120" s="328">
        <f t="shared" ca="1" si="18"/>
        <v>1</v>
      </c>
    </row>
    <row r="121" spans="1:14" ht="20.100000000000001" customHeight="1">
      <c r="A121" s="90"/>
      <c r="B121" s="15" t="s">
        <v>1039</v>
      </c>
      <c r="C121" s="32" t="str">
        <f>VLOOKUP($B121,R_DG!$A$7:$G$1305,2,0)</f>
        <v>02.1241</v>
      </c>
      <c r="D121" s="8" t="str">
        <f>VLOOKUP($B121,R_DG!$A$7:$G$1305,3,0)</f>
        <v>V/c đá dăm ( cự ly &lt;=100m)</v>
      </c>
      <c r="E121" s="9" t="str">
        <f>VLOOKUP($B121,R_DG!$A$7:$G$1305,4,0)</f>
        <v>m3</v>
      </c>
      <c r="F121" s="13">
        <f>F117</f>
        <v>1</v>
      </c>
      <c r="G121" s="214">
        <f>VLOOKUP($B121,R_DG!$A$7:$G$1305,5,0)</f>
        <v>0</v>
      </c>
      <c r="H121" s="214">
        <f>VLOOKUP($B121,R_DG!$A$7:$G$1305,6,0)</f>
        <v>0</v>
      </c>
      <c r="I121" s="214">
        <f>VLOOKUP($B121,R_DG!$A$7:$G$1305,7,0)</f>
        <v>0</v>
      </c>
      <c r="J121" s="214">
        <f t="shared" si="19"/>
        <v>0</v>
      </c>
      <c r="K121" s="214">
        <f t="shared" si="19"/>
        <v>0</v>
      </c>
      <c r="L121" s="220">
        <f t="shared" si="19"/>
        <v>0</v>
      </c>
      <c r="M121" s="93">
        <f t="shared" si="17"/>
        <v>1</v>
      </c>
      <c r="N121" s="329">
        <f t="shared" ca="1" si="18"/>
        <v>1</v>
      </c>
    </row>
    <row r="122" spans="1:14" ht="20.100000000000001" customHeight="1">
      <c r="A122" s="90"/>
      <c r="B122" s="15" t="s">
        <v>991</v>
      </c>
      <c r="C122" s="32" t="str">
        <f>VLOOKUP($B122,R_DG!$A$7:$G$1305,2,0)</f>
        <v>02.1482</v>
      </c>
      <c r="D122" s="8" t="str">
        <f>VLOOKUP($B122,R_DG!$A$7:$G$1305,3,0)</f>
        <v>V/c dụng cụ thi công ( cự ly &lt;=100m)</v>
      </c>
      <c r="E122" s="9" t="str">
        <f>VLOOKUP($B122,R_DG!$A$7:$G$1305,4,0)</f>
        <v>tấn</v>
      </c>
      <c r="F122" s="13"/>
      <c r="G122" s="214">
        <f>VLOOKUP($B122,R_DG!$A$7:$G$1305,5,0)</f>
        <v>0</v>
      </c>
      <c r="H122" s="214">
        <f>VLOOKUP($B122,R_DG!$A$7:$G$1305,6,0)</f>
        <v>0</v>
      </c>
      <c r="I122" s="214">
        <f>VLOOKUP($B122,R_DG!$A$7:$G$1305,7,0)</f>
        <v>0</v>
      </c>
      <c r="J122" s="214">
        <f t="shared" si="19"/>
        <v>0</v>
      </c>
      <c r="K122" s="214">
        <f t="shared" si="19"/>
        <v>0</v>
      </c>
      <c r="L122" s="220">
        <f t="shared" si="19"/>
        <v>0</v>
      </c>
      <c r="M122" s="93">
        <f t="shared" si="17"/>
        <v>0</v>
      </c>
      <c r="N122" s="328">
        <f t="shared" ca="1" si="18"/>
        <v>0</v>
      </c>
    </row>
    <row r="123" spans="1:14" ht="20.100000000000001" customHeight="1">
      <c r="A123" s="90"/>
      <c r="B123" s="15" t="s">
        <v>1247</v>
      </c>
      <c r="C123" s="32" t="str">
        <f>VLOOKUP($B123,R_DG!$A$7:$G$1305,2,0)</f>
        <v>AF112.20</v>
      </c>
      <c r="D123" s="8" t="str">
        <f>VLOOKUP($B123,R_DG!$A$7:$G$1305,3,0)</f>
        <v>Đổ bê tông mác M200 đá 1x2</v>
      </c>
      <c r="E123" s="9" t="str">
        <f>VLOOKUP($B123,R_DG!$A$7:$G$1305,4,0)</f>
        <v>m3</v>
      </c>
      <c r="F123" s="14">
        <v>0.79400000000000004</v>
      </c>
      <c r="G123" s="214">
        <f>VLOOKUP($B123,R_DG!$A$7:$G$1305,5,0)</f>
        <v>0</v>
      </c>
      <c r="H123" s="214">
        <f>VLOOKUP($B123,R_DG!$A$7:$G$1305,6,0)</f>
        <v>398225.65</v>
      </c>
      <c r="I123" s="214">
        <f>VLOOKUP($B123,R_DG!$A$7:$G$1305,7,0)</f>
        <v>0</v>
      </c>
      <c r="J123" s="214">
        <f t="shared" si="19"/>
        <v>0</v>
      </c>
      <c r="K123" s="214">
        <f t="shared" si="19"/>
        <v>316191.16610000003</v>
      </c>
      <c r="L123" s="220">
        <f t="shared" si="19"/>
        <v>0</v>
      </c>
      <c r="M123" s="93">
        <f t="shared" si="17"/>
        <v>1</v>
      </c>
      <c r="N123" s="328">
        <f t="shared" ca="1" si="18"/>
        <v>0.79400000000000004</v>
      </c>
    </row>
    <row r="124" spans="1:14" ht="20.100000000000001" customHeight="1">
      <c r="A124" s="89" t="s">
        <v>2161</v>
      </c>
      <c r="B124" s="24"/>
      <c r="C124" s="34"/>
      <c r="D124" s="25" t="s">
        <v>2162</v>
      </c>
      <c r="E124" s="25" t="s">
        <v>2146</v>
      </c>
      <c r="F124" s="26"/>
      <c r="G124" s="213"/>
      <c r="H124" s="213"/>
      <c r="I124" s="213"/>
      <c r="J124" s="213">
        <f>SUM(J125:J126)</f>
        <v>0</v>
      </c>
      <c r="K124" s="213">
        <f>SUM(K125:K126)</f>
        <v>102404.78247999999</v>
      </c>
      <c r="L124" s="219">
        <f>SUM(L125:L126)</f>
        <v>0</v>
      </c>
      <c r="M124" s="92">
        <f>IF(ERROR.TYPE(IF(HLOOKUP(A124,maBK,1,0)&lt;&gt;"",#NULL!,"ABC"))&lt;&gt;7,1,0)</f>
        <v>0</v>
      </c>
      <c r="N124" s="327">
        <f ca="1">SUMIF(maBK,$A124,tongBK1)</f>
        <v>0</v>
      </c>
    </row>
    <row r="125" spans="1:14" ht="20.100000000000001" customHeight="1">
      <c r="A125" s="90"/>
      <c r="B125" s="12" t="s">
        <v>818</v>
      </c>
      <c r="C125" s="32" t="str">
        <f>VLOOKUP($B125,R_DG!$A$7:$G$1305,2,0)</f>
        <v>AB.11400</v>
      </c>
      <c r="D125" s="8" t="str">
        <f>VLOOKUP($B125,R_DG!$A$7:$G$1305,3,0)</f>
        <v>Đào hố móng đất cấp 3 sâu &gt;1m, rộng &lt;1m</v>
      </c>
      <c r="E125" s="9" t="str">
        <f>VLOOKUP($B125,R_DG!$A$7:$G$1305,4,0)</f>
        <v>m3</v>
      </c>
      <c r="F125" s="14">
        <v>0.20100000000000001</v>
      </c>
      <c r="G125" s="214">
        <f>VLOOKUP($B125,R_DG!$A$7:$G$1305,5,0)</f>
        <v>0</v>
      </c>
      <c r="H125" s="214">
        <f>VLOOKUP($B125,R_DG!$A$7:$G$1305,6,0)</f>
        <v>418738.31999999995</v>
      </c>
      <c r="I125" s="214">
        <f>VLOOKUP($B125,R_DG!$A$7:$G$1305,7,0)</f>
        <v>0</v>
      </c>
      <c r="J125" s="214">
        <f t="shared" si="19"/>
        <v>0</v>
      </c>
      <c r="K125" s="214">
        <f t="shared" si="19"/>
        <v>84166.402319999994</v>
      </c>
      <c r="L125" s="220">
        <f t="shared" si="19"/>
        <v>0</v>
      </c>
      <c r="M125" s="93">
        <f>IF(F125&gt;0,M$124,0)</f>
        <v>0</v>
      </c>
      <c r="N125" s="328">
        <f ca="1">$F125*N$124</f>
        <v>0</v>
      </c>
    </row>
    <row r="126" spans="1:14" ht="20.100000000000001" customHeight="1">
      <c r="A126" s="87"/>
      <c r="B126" s="7" t="s">
        <v>831</v>
      </c>
      <c r="C126" s="32" t="str">
        <f>VLOOKUP($B126,R_DG!$A$7:$G$1305,2,0)</f>
        <v>AB.13000</v>
      </c>
      <c r="D126" s="8" t="str">
        <f>VLOOKUP($B126,R_DG!$A$7:$G$1305,3,0)</f>
        <v>Đắp đất hố móng, đất cấp 3, k = 0,85</v>
      </c>
      <c r="E126" s="9" t="str">
        <f>VLOOKUP($B126,R_DG!$A$7:$G$1305,4,0)</f>
        <v>m3</v>
      </c>
      <c r="F126" s="11">
        <v>0.182</v>
      </c>
      <c r="G126" s="214">
        <f>VLOOKUP($B126,R_DG!$A$7:$G$1305,5,0)</f>
        <v>0</v>
      </c>
      <c r="H126" s="214">
        <f>VLOOKUP($B126,R_DG!$A$7:$G$1305,6,0)</f>
        <v>100210.88</v>
      </c>
      <c r="I126" s="214">
        <f>VLOOKUP($B126,R_DG!$A$7:$G$1305,7,0)</f>
        <v>0</v>
      </c>
      <c r="J126" s="214">
        <f t="shared" si="19"/>
        <v>0</v>
      </c>
      <c r="K126" s="214">
        <f t="shared" si="19"/>
        <v>18238.380160000001</v>
      </c>
      <c r="L126" s="220">
        <f t="shared" si="19"/>
        <v>0</v>
      </c>
      <c r="M126" s="93">
        <f>IF(F126&gt;0,M$124,0)</f>
        <v>0</v>
      </c>
      <c r="N126" s="329">
        <f ca="1">$F126*N$124</f>
        <v>0</v>
      </c>
    </row>
    <row r="127" spans="1:14" ht="20.100000000000001" customHeight="1">
      <c r="A127" s="89" t="s">
        <v>2163</v>
      </c>
      <c r="B127" s="24"/>
      <c r="C127" s="34"/>
      <c r="D127" s="25" t="s">
        <v>2164</v>
      </c>
      <c r="E127" s="25" t="s">
        <v>2146</v>
      </c>
      <c r="F127" s="26"/>
      <c r="G127" s="213"/>
      <c r="H127" s="213"/>
      <c r="I127" s="213"/>
      <c r="J127" s="213" t="e">
        <f>SUM(J128:J132)</f>
        <v>#REF!</v>
      </c>
      <c r="K127" s="213">
        <f>SUM(K128:K132)</f>
        <v>529805.76439999999</v>
      </c>
      <c r="L127" s="219">
        <f>SUM(L128:L132)</f>
        <v>0</v>
      </c>
      <c r="M127" s="92">
        <f>IF(ERROR.TYPE(IF(HLOOKUP(A127,maBK,1,0)&lt;&gt;"",#NULL!,"ABC"))&lt;&gt;7,1,0)</f>
        <v>0</v>
      </c>
      <c r="N127" s="327">
        <f ca="1">SUMIF(maBK,$A127,tongBK1)</f>
        <v>0</v>
      </c>
    </row>
    <row r="128" spans="1:14" ht="20.100000000000001" customHeight="1">
      <c r="A128" s="87"/>
      <c r="B128" s="7" t="s">
        <v>2149</v>
      </c>
      <c r="C128" s="32" t="str">
        <f>VLOOKUP($B128,R_DG!$A$7:$G$1305,2,0)</f>
        <v>04.3801</v>
      </c>
      <c r="D128" s="8" t="str">
        <f>VLOOKUP($B128,R_DG!$A$7:$G$1305,3,0)</f>
        <v>Đà cản BTCT 1,2m</v>
      </c>
      <c r="E128" s="9" t="str">
        <f>VLOOKUP($B128,R_DG!$A$7:$G$1305,4,0)</f>
        <v>cái</v>
      </c>
      <c r="F128" s="11">
        <v>1</v>
      </c>
      <c r="G128" s="214">
        <f>VLOOKUP($B128,R_DG!$A$7:$G$1305,5,0)</f>
        <v>650000</v>
      </c>
      <c r="H128" s="214">
        <f>VLOOKUP($B128,R_DG!$A$7:$G$1305,6,0)</f>
        <v>161119.20000000001</v>
      </c>
      <c r="I128" s="214">
        <f>VLOOKUP($B128,R_DG!$A$7:$G$1305,7,0)</f>
        <v>0</v>
      </c>
      <c r="J128" s="214">
        <f t="shared" si="19"/>
        <v>650000</v>
      </c>
      <c r="K128" s="214">
        <f t="shared" si="19"/>
        <v>161119.20000000001</v>
      </c>
      <c r="L128" s="220">
        <f t="shared" si="19"/>
        <v>0</v>
      </c>
      <c r="M128" s="93">
        <f>IF(F128&gt;0,M$127,0)</f>
        <v>0</v>
      </c>
      <c r="N128" s="328">
        <f ca="1">$F128*N$127</f>
        <v>0</v>
      </c>
    </row>
    <row r="129" spans="1:14" ht="20.100000000000001" customHeight="1">
      <c r="A129" s="87"/>
      <c r="B129" s="7" t="s">
        <v>2165</v>
      </c>
      <c r="C129" s="32">
        <f>VLOOKUP($B129,R_DG!$A$7:$G$1305,2,0)</f>
        <v>0</v>
      </c>
      <c r="D129" s="8" t="str">
        <f>VLOOKUP($B129,R_DG!$A$7:$G$1305,3,0)</f>
        <v>Boulon 22x650+ 2 long đền vuông D24-50x50x3/Zn</v>
      </c>
      <c r="E129" s="9" t="str">
        <f>VLOOKUP($B129,R_DG!$A$7:$G$1305,4,0)</f>
        <v>bộ</v>
      </c>
      <c r="F129" s="11">
        <v>1</v>
      </c>
      <c r="G129" s="214" t="e">
        <f>VLOOKUP($B129,R_DG!$A$7:$G$1305,5,0)</f>
        <v>#REF!</v>
      </c>
      <c r="H129" s="214">
        <f>VLOOKUP($B129,R_DG!$A$7:$G$1305,6,0)</f>
        <v>0</v>
      </c>
      <c r="I129" s="214">
        <f>VLOOKUP($B129,R_DG!$A$7:$G$1305,7,0)</f>
        <v>0</v>
      </c>
      <c r="J129" s="214" t="e">
        <f t="shared" si="19"/>
        <v>#REF!</v>
      </c>
      <c r="K129" s="214">
        <f t="shared" si="19"/>
        <v>0</v>
      </c>
      <c r="L129" s="220">
        <f t="shared" si="19"/>
        <v>0</v>
      </c>
      <c r="M129" s="93">
        <f>IF(F129&gt;0,M$127,0)</f>
        <v>0</v>
      </c>
      <c r="N129" s="328">
        <f ca="1">$F129*N$127</f>
        <v>0</v>
      </c>
    </row>
    <row r="130" spans="1:14" ht="20.100000000000001" customHeight="1">
      <c r="A130" s="87"/>
      <c r="B130" s="7" t="str">
        <f>IF(CAPDAT=1,"MDD1",IF(CAPDAT=2,"MDD2",IF(CAPDAT=3,"MDD3",IF(CAPDAT=4,"MDD4"))))</f>
        <v>MDD3</v>
      </c>
      <c r="C130" s="32" t="str">
        <f>VLOOKUP($B130,R_DG!$A$7:$G$1305,2,0)</f>
        <v>AB.11400</v>
      </c>
      <c r="D130" s="8" t="str">
        <f>VLOOKUP($B130,R_DG!$A$7:$G$1305,3,0)</f>
        <v>Đào hố móng đất cấp 3 sâu &gt;1m, rộng &lt;1m</v>
      </c>
      <c r="E130" s="9" t="str">
        <f>VLOOKUP($B130,R_DG!$A$7:$G$1305,4,0)</f>
        <v>m3</v>
      </c>
      <c r="F130" s="11">
        <v>0.72299999999999998</v>
      </c>
      <c r="G130" s="214">
        <f>VLOOKUP($B130,R_DG!$A$7:$G$1305,5,0)</f>
        <v>0</v>
      </c>
      <c r="H130" s="214">
        <f>VLOOKUP($B130,R_DG!$A$7:$G$1305,6,0)</f>
        <v>418738.31999999995</v>
      </c>
      <c r="I130" s="214">
        <f>VLOOKUP($B130,R_DG!$A$7:$G$1305,7,0)</f>
        <v>0</v>
      </c>
      <c r="J130" s="214">
        <f t="shared" si="19"/>
        <v>0</v>
      </c>
      <c r="K130" s="214">
        <f t="shared" si="19"/>
        <v>302747.80535999994</v>
      </c>
      <c r="L130" s="220">
        <f t="shared" si="19"/>
        <v>0</v>
      </c>
      <c r="M130" s="93">
        <f>IF(F130&gt;0,M$127,0)</f>
        <v>0</v>
      </c>
      <c r="N130" s="328">
        <f ca="1">$F130*N$127</f>
        <v>0</v>
      </c>
    </row>
    <row r="131" spans="1:14" ht="20.100000000000001" customHeight="1">
      <c r="A131" s="87"/>
      <c r="B131" s="7" t="str">
        <f>IF(CAPDAT=1,"MDAP1",IF(CAPDAT=2,"MDAP2",IF(CAPDAT=3,"MDAP3",IF(CAPDAT=4,"MDAP4"))))</f>
        <v>MDAP3</v>
      </c>
      <c r="C131" s="32" t="str">
        <f>VLOOKUP($B131,R_DG!$A$7:$G$1305,2,0)</f>
        <v>AB.13000</v>
      </c>
      <c r="D131" s="8" t="str">
        <f>VLOOKUP($B131,R_DG!$A$7:$G$1305,3,0)</f>
        <v>Đắp đất hố móng, đất cấp 3, k = 0,85</v>
      </c>
      <c r="E131" s="9" t="str">
        <f>VLOOKUP($B131,R_DG!$A$7:$G$1305,4,0)</f>
        <v>m3</v>
      </c>
      <c r="F131" s="11">
        <v>0.65800000000000003</v>
      </c>
      <c r="G131" s="214">
        <f>VLOOKUP($B131,R_DG!$A$7:$G$1305,5,0)</f>
        <v>0</v>
      </c>
      <c r="H131" s="214">
        <f>VLOOKUP($B131,R_DG!$A$7:$G$1305,6,0)</f>
        <v>100210.88</v>
      </c>
      <c r="I131" s="214">
        <f>VLOOKUP($B131,R_DG!$A$7:$G$1305,7,0)</f>
        <v>0</v>
      </c>
      <c r="J131" s="214">
        <f t="shared" si="19"/>
        <v>0</v>
      </c>
      <c r="K131" s="214">
        <f t="shared" si="19"/>
        <v>65938.759040000004</v>
      </c>
      <c r="L131" s="220">
        <f t="shared" si="19"/>
        <v>0</v>
      </c>
      <c r="M131" s="93">
        <f>IF(F131&gt;0,M$127,0)</f>
        <v>0</v>
      </c>
      <c r="N131" s="328">
        <f ca="1">$F131*N$127</f>
        <v>0</v>
      </c>
    </row>
    <row r="132" spans="1:14" ht="20.100000000000001" customHeight="1">
      <c r="A132" s="87"/>
      <c r="B132" s="7" t="s">
        <v>2152</v>
      </c>
      <c r="C132" s="32" t="str">
        <f>VLOOKUP($B132,R_DG!$A$7:$G$1305,2,0)</f>
        <v>02.1123</v>
      </c>
      <c r="D132" s="8" t="str">
        <f>VLOOKUP($B132,R_DG!$A$7:$G$1305,3,0)</f>
        <v>Bốc dỡ đà cản, đế néo</v>
      </c>
      <c r="E132" s="9" t="str">
        <f>VLOOKUP($B132,R_DG!$A$7:$G$1305,4,0)</f>
        <v>tấn</v>
      </c>
      <c r="F132" s="11"/>
      <c r="G132" s="214">
        <f>VLOOKUP($B132,R_DG!$A$7:$G$1305,5,0)</f>
        <v>0</v>
      </c>
      <c r="H132" s="214">
        <f>VLOOKUP($B132,R_DG!$A$7:$G$1305,6,0)</f>
        <v>0</v>
      </c>
      <c r="I132" s="214">
        <f>VLOOKUP($B132,R_DG!$A$7:$G$1305,7,0)</f>
        <v>0</v>
      </c>
      <c r="J132" s="214">
        <f t="shared" si="19"/>
        <v>0</v>
      </c>
      <c r="K132" s="214">
        <f t="shared" si="19"/>
        <v>0</v>
      </c>
      <c r="L132" s="220">
        <f t="shared" si="19"/>
        <v>0</v>
      </c>
      <c r="M132" s="93">
        <f>IF(F132&gt;0,M$127,0)</f>
        <v>0</v>
      </c>
      <c r="N132" s="328">
        <f ca="1">$F132*N$127</f>
        <v>0</v>
      </c>
    </row>
    <row r="133" spans="1:14" ht="20.100000000000001" customHeight="1">
      <c r="A133" s="221" t="s">
        <v>2341</v>
      </c>
      <c r="B133" s="24"/>
      <c r="C133" s="34"/>
      <c r="D133" s="25" t="s">
        <v>2338</v>
      </c>
      <c r="E133" s="25" t="s">
        <v>2146</v>
      </c>
      <c r="F133" s="26"/>
      <c r="G133" s="213"/>
      <c r="H133" s="213"/>
      <c r="I133" s="213"/>
      <c r="J133" s="213">
        <f>SUM(J134:J146)</f>
        <v>487449.7</v>
      </c>
      <c r="K133" s="213">
        <f>SUM(K134:K146)</f>
        <v>144114.08282999997</v>
      </c>
      <c r="L133" s="219">
        <f>SUM(L134:L146)</f>
        <v>0</v>
      </c>
      <c r="M133" s="92">
        <f>IF(ERROR.TYPE(IF(HLOOKUP(A133,maBK,1,0)&lt;&gt;"",#NULL!,"ABC"))&lt;&gt;7,1,0)</f>
        <v>0</v>
      </c>
      <c r="N133" s="327">
        <f ca="1">SUMIF(maBK,$A133,tongBK1)</f>
        <v>0</v>
      </c>
    </row>
    <row r="134" spans="1:14" ht="20.100000000000001" customHeight="1">
      <c r="A134" s="90"/>
      <c r="B134" s="15" t="s">
        <v>767</v>
      </c>
      <c r="C134" s="32">
        <f>VLOOKUP($B134,R_DG!$A$7:$G$1305,2,0)</f>
        <v>0</v>
      </c>
      <c r="D134" s="8" t="str">
        <f>VLOOKUP($B134,R_DG!$A$7:$G$1305,3,0)</f>
        <v>Ximăng</v>
      </c>
      <c r="E134" s="9" t="str">
        <f>VLOOKUP($B134,R_DG!$A$7:$G$1305,4,0)</f>
        <v>kg</v>
      </c>
      <c r="F134" s="14">
        <v>4.5999999999999996</v>
      </c>
      <c r="G134" s="214">
        <f>VLOOKUP($B134,R_DG!$A$7:$G$1305,5,0)</f>
        <v>1800</v>
      </c>
      <c r="H134" s="214">
        <f>VLOOKUP($B134,R_DG!$A$7:$G$1305,6,0)</f>
        <v>0</v>
      </c>
      <c r="I134" s="214">
        <f>VLOOKUP($B134,R_DG!$A$7:$G$1305,7,0)</f>
        <v>0</v>
      </c>
      <c r="J134" s="214">
        <f t="shared" si="19"/>
        <v>8280</v>
      </c>
      <c r="K134" s="214">
        <f t="shared" si="19"/>
        <v>0</v>
      </c>
      <c r="L134" s="220">
        <f t="shared" si="19"/>
        <v>0</v>
      </c>
      <c r="M134" s="93">
        <f t="shared" ref="M134:M146" si="20">IF(F134&gt;0,M$133,0)</f>
        <v>0</v>
      </c>
      <c r="N134" s="328">
        <f t="shared" ref="N134:N146" ca="1" si="21">$F134*N$133</f>
        <v>0</v>
      </c>
    </row>
    <row r="135" spans="1:14" ht="20.100000000000001" customHeight="1">
      <c r="A135" s="90"/>
      <c r="B135" s="15" t="s">
        <v>762</v>
      </c>
      <c r="C135" s="32">
        <f>VLOOKUP($B135,R_DG!$A$7:$G$1305,2,0)</f>
        <v>0</v>
      </c>
      <c r="D135" s="8" t="str">
        <f>VLOOKUP($B135,R_DG!$A$7:$G$1305,3,0)</f>
        <v>Cát vàng</v>
      </c>
      <c r="E135" s="9" t="str">
        <f>VLOOKUP($B135,R_DG!$A$7:$G$1305,4,0)</f>
        <v>m3</v>
      </c>
      <c r="F135" s="13">
        <v>8.0000000000000002E-3</v>
      </c>
      <c r="G135" s="214">
        <f>VLOOKUP($B135,R_DG!$A$7:$G$1305,5,0)</f>
        <v>320000</v>
      </c>
      <c r="H135" s="214">
        <f>VLOOKUP($B135,R_DG!$A$7:$G$1305,6,0)</f>
        <v>0</v>
      </c>
      <c r="I135" s="214">
        <f>VLOOKUP($B135,R_DG!$A$7:$G$1305,7,0)</f>
        <v>0</v>
      </c>
      <c r="J135" s="214">
        <f t="shared" si="19"/>
        <v>2560</v>
      </c>
      <c r="K135" s="214">
        <f t="shared" si="19"/>
        <v>0</v>
      </c>
      <c r="L135" s="220">
        <f t="shared" si="19"/>
        <v>0</v>
      </c>
      <c r="M135" s="93">
        <f t="shared" si="20"/>
        <v>0</v>
      </c>
      <c r="N135" s="328">
        <f t="shared" ca="1" si="21"/>
        <v>0</v>
      </c>
    </row>
    <row r="136" spans="1:14" ht="20.100000000000001" customHeight="1">
      <c r="A136" s="90"/>
      <c r="B136" s="15" t="s">
        <v>2159</v>
      </c>
      <c r="C136" s="32">
        <f>VLOOKUP($B136,R_DG!$A$7:$G$1305,2,0)</f>
        <v>0</v>
      </c>
      <c r="D136" s="8" t="str">
        <f>VLOOKUP($B136,R_DG!$A$7:$G$1305,3,0)</f>
        <v>Đá 1x2</v>
      </c>
      <c r="E136" s="9" t="str">
        <f>VLOOKUP($B136,R_DG!$A$7:$G$1305,4,0)</f>
        <v>m3</v>
      </c>
      <c r="F136" s="14">
        <v>1.2999999999999999E-2</v>
      </c>
      <c r="G136" s="214">
        <f>VLOOKUP($B136,R_DG!$A$7:$G$1305,5,0)</f>
        <v>400000</v>
      </c>
      <c r="H136" s="214">
        <f>VLOOKUP($B136,R_DG!$A$7:$G$1305,6,0)</f>
        <v>0</v>
      </c>
      <c r="I136" s="214">
        <f>VLOOKUP($B136,R_DG!$A$7:$G$1305,7,0)</f>
        <v>0</v>
      </c>
      <c r="J136" s="214">
        <f t="shared" ref="J136:L169" si="22">G136*$F136</f>
        <v>5200</v>
      </c>
      <c r="K136" s="214">
        <f t="shared" si="22"/>
        <v>0</v>
      </c>
      <c r="L136" s="220">
        <f t="shared" si="22"/>
        <v>0</v>
      </c>
      <c r="M136" s="93">
        <f t="shared" si="20"/>
        <v>0</v>
      </c>
      <c r="N136" s="328">
        <f t="shared" ca="1" si="21"/>
        <v>0</v>
      </c>
    </row>
    <row r="137" spans="1:14" ht="20.100000000000001" customHeight="1">
      <c r="A137" s="90"/>
      <c r="B137" s="15" t="s">
        <v>672</v>
      </c>
      <c r="C137" s="32">
        <f>VLOOKUP($B137,R_DG!$A$7:$G$1305,2,0)</f>
        <v>0</v>
      </c>
      <c r="D137" s="8" t="str">
        <f>VLOOKUP($B137,R_DG!$A$7:$G$1305,3,0)</f>
        <v>Sắt  φ10</v>
      </c>
      <c r="E137" s="9" t="str">
        <f>VLOOKUP($B137,R_DG!$A$7:$G$1305,4,0)</f>
        <v>kg</v>
      </c>
      <c r="F137" s="13">
        <v>30</v>
      </c>
      <c r="G137" s="214">
        <f>VLOOKUP($B137,R_DG!$A$7:$G$1305,5,0)</f>
        <v>14545</v>
      </c>
      <c r="H137" s="214">
        <f>VLOOKUP($B137,R_DG!$A$7:$G$1305,6,0)</f>
        <v>0</v>
      </c>
      <c r="I137" s="214">
        <f>VLOOKUP($B137,R_DG!$A$7:$G$1305,7,0)</f>
        <v>0</v>
      </c>
      <c r="J137" s="214">
        <f t="shared" si="22"/>
        <v>436350</v>
      </c>
      <c r="K137" s="214">
        <f t="shared" si="22"/>
        <v>0</v>
      </c>
      <c r="L137" s="220">
        <f t="shared" si="22"/>
        <v>0</v>
      </c>
      <c r="M137" s="93">
        <f t="shared" si="20"/>
        <v>0</v>
      </c>
      <c r="N137" s="328">
        <f t="shared" ca="1" si="21"/>
        <v>0</v>
      </c>
    </row>
    <row r="138" spans="1:14" ht="20.100000000000001" customHeight="1">
      <c r="A138" s="90"/>
      <c r="B138" s="15" t="s">
        <v>1974</v>
      </c>
      <c r="C138" s="32">
        <f>VLOOKUP($B138,R_DG!$A$7:$G$1305,2,0)</f>
        <v>0</v>
      </c>
      <c r="D138" s="8" t="str">
        <f>VLOOKUP($B138,R_DG!$A$7:$G$1305,3,0)</f>
        <v>Kẽm</v>
      </c>
      <c r="E138" s="9" t="str">
        <f>VLOOKUP($B138,R_DG!$A$7:$G$1305,4,0)</f>
        <v>kg</v>
      </c>
      <c r="F138" s="14">
        <v>0.65</v>
      </c>
      <c r="G138" s="214">
        <f>VLOOKUP($B138,R_DG!$A$7:$G$1305,5,0)</f>
        <v>35200</v>
      </c>
      <c r="H138" s="214">
        <f>VLOOKUP($B138,R_DG!$A$7:$G$1305,6,0)</f>
        <v>0</v>
      </c>
      <c r="I138" s="214">
        <f>VLOOKUP($B138,R_DG!$A$7:$G$1305,7,0)</f>
        <v>0</v>
      </c>
      <c r="J138" s="214">
        <f t="shared" si="22"/>
        <v>22880</v>
      </c>
      <c r="K138" s="214">
        <f t="shared" si="22"/>
        <v>0</v>
      </c>
      <c r="L138" s="220">
        <f t="shared" si="22"/>
        <v>0</v>
      </c>
      <c r="M138" s="93">
        <f t="shared" si="20"/>
        <v>0</v>
      </c>
      <c r="N138" s="328">
        <f t="shared" ca="1" si="21"/>
        <v>0</v>
      </c>
    </row>
    <row r="139" spans="1:14" ht="20.100000000000001" customHeight="1">
      <c r="A139" s="90"/>
      <c r="B139" s="15" t="s">
        <v>820</v>
      </c>
      <c r="C139" s="32" t="str">
        <f>VLOOKUP($B139,R_DG!$A$7:$G$1305,2,0)</f>
        <v>03.1113</v>
      </c>
      <c r="D139" s="8" t="str">
        <f>VLOOKUP($B139,R_DG!$A$7:$G$1305,3,0)</f>
        <v>Khoan cắt BT bằng máy khoan cằm tay</v>
      </c>
      <c r="E139" s="9" t="str">
        <f>VLOOKUP($B139,R_DG!$A$7:$G$1305,4,0)</f>
        <v>m3</v>
      </c>
      <c r="F139" s="14">
        <v>0</v>
      </c>
      <c r="G139" s="214">
        <f>VLOOKUP($B139,R_DG!$A$7:$G$1305,5,0)</f>
        <v>0</v>
      </c>
      <c r="H139" s="214">
        <f>VLOOKUP($B139,R_DG!$A$7:$G$1305,6,0)</f>
        <v>0</v>
      </c>
      <c r="I139" s="214">
        <f>VLOOKUP($B139,R_DG!$A$7:$G$1305,7,0)</f>
        <v>0</v>
      </c>
      <c r="J139" s="214">
        <f t="shared" si="22"/>
        <v>0</v>
      </c>
      <c r="K139" s="214">
        <f t="shared" si="22"/>
        <v>0</v>
      </c>
      <c r="L139" s="220">
        <f t="shared" si="22"/>
        <v>0</v>
      </c>
      <c r="M139" s="93">
        <f t="shared" si="20"/>
        <v>0</v>
      </c>
      <c r="N139" s="328">
        <f t="shared" ca="1" si="21"/>
        <v>0</v>
      </c>
    </row>
    <row r="140" spans="1:14" ht="20.100000000000001" customHeight="1">
      <c r="A140" s="90"/>
      <c r="B140" s="15" t="s">
        <v>818</v>
      </c>
      <c r="C140" s="32" t="str">
        <f>VLOOKUP($B140,R_DG!$A$7:$G$1305,2,0)</f>
        <v>AB.11400</v>
      </c>
      <c r="D140" s="8" t="str">
        <f>VLOOKUP($B140,R_DG!$A$7:$G$1305,3,0)</f>
        <v>Đào hố móng đất cấp 3 sâu &gt;1m, rộng &lt;1m</v>
      </c>
      <c r="E140" s="9" t="str">
        <f>VLOOKUP($B140,R_DG!$A$7:$G$1305,4,0)</f>
        <v>m3</v>
      </c>
      <c r="F140" s="13">
        <v>0.29399999999999998</v>
      </c>
      <c r="G140" s="214">
        <f>VLOOKUP($B140,R_DG!$A$7:$G$1305,5,0)</f>
        <v>0</v>
      </c>
      <c r="H140" s="214">
        <f>VLOOKUP($B140,R_DG!$A$7:$G$1305,6,0)</f>
        <v>418738.31999999995</v>
      </c>
      <c r="I140" s="214">
        <f>VLOOKUP($B140,R_DG!$A$7:$G$1305,7,0)</f>
        <v>0</v>
      </c>
      <c r="J140" s="214">
        <f t="shared" si="22"/>
        <v>0</v>
      </c>
      <c r="K140" s="214">
        <f t="shared" si="22"/>
        <v>123109.06607999998</v>
      </c>
      <c r="L140" s="220">
        <f t="shared" si="22"/>
        <v>0</v>
      </c>
      <c r="M140" s="93">
        <f t="shared" si="20"/>
        <v>0</v>
      </c>
      <c r="N140" s="328">
        <f t="shared" ca="1" si="21"/>
        <v>0</v>
      </c>
    </row>
    <row r="141" spans="1:14" ht="20.100000000000001" customHeight="1">
      <c r="A141" s="90"/>
      <c r="B141" s="15" t="s">
        <v>831</v>
      </c>
      <c r="C141" s="32" t="str">
        <f>VLOOKUP($B141,R_DG!$A$7:$G$1305,2,0)</f>
        <v>AB.13000</v>
      </c>
      <c r="D141" s="8" t="str">
        <f>VLOOKUP($B141,R_DG!$A$7:$G$1305,3,0)</f>
        <v>Đắp đất hố móng, đất cấp 3, k = 0,85</v>
      </c>
      <c r="E141" s="9" t="str">
        <f>VLOOKUP($B141,R_DG!$A$7:$G$1305,4,0)</f>
        <v>m3</v>
      </c>
      <c r="F141" s="13">
        <v>0.15</v>
      </c>
      <c r="G141" s="214">
        <f>VLOOKUP($B141,R_DG!$A$7:$G$1305,5,0)</f>
        <v>0</v>
      </c>
      <c r="H141" s="214">
        <f>VLOOKUP($B141,R_DG!$A$7:$G$1305,6,0)</f>
        <v>100210.88</v>
      </c>
      <c r="I141" s="214">
        <f>VLOOKUP($B141,R_DG!$A$7:$G$1305,7,0)</f>
        <v>0</v>
      </c>
      <c r="J141" s="214">
        <f t="shared" si="22"/>
        <v>0</v>
      </c>
      <c r="K141" s="214">
        <f t="shared" si="22"/>
        <v>15031.632</v>
      </c>
      <c r="L141" s="220">
        <f t="shared" si="22"/>
        <v>0</v>
      </c>
      <c r="M141" s="93">
        <f t="shared" si="20"/>
        <v>0</v>
      </c>
      <c r="N141" s="328">
        <f t="shared" ca="1" si="21"/>
        <v>0</v>
      </c>
    </row>
    <row r="142" spans="1:14" ht="20.100000000000001" customHeight="1">
      <c r="A142" s="90"/>
      <c r="B142" s="15" t="s">
        <v>1116</v>
      </c>
      <c r="C142" s="32" t="str">
        <f>VLOOKUP($B142,R_DG!$A$7:$G$1305,2,0)</f>
        <v>02.1101</v>
      </c>
      <c r="D142" s="8" t="str">
        <f>VLOOKUP($B142,R_DG!$A$7:$G$1305,3,0)</f>
        <v>Bốc dỡ xi măng</v>
      </c>
      <c r="E142" s="9" t="str">
        <f>VLOOKUP($B142,R_DG!$A$7:$G$1305,4,0)</f>
        <v>tấn</v>
      </c>
      <c r="F142" s="13">
        <f>F134*0</f>
        <v>0</v>
      </c>
      <c r="G142" s="214">
        <f>VLOOKUP($B142,R_DG!$A$7:$G$1305,5,0)</f>
        <v>0</v>
      </c>
      <c r="H142" s="214">
        <f>VLOOKUP($B142,R_DG!$A$7:$G$1305,6,0)</f>
        <v>0</v>
      </c>
      <c r="I142" s="214">
        <f>VLOOKUP($B142,R_DG!$A$7:$G$1305,7,0)</f>
        <v>0</v>
      </c>
      <c r="J142" s="214">
        <f t="shared" si="22"/>
        <v>0</v>
      </c>
      <c r="K142" s="214">
        <f t="shared" si="22"/>
        <v>0</v>
      </c>
      <c r="L142" s="220">
        <f t="shared" si="22"/>
        <v>0</v>
      </c>
      <c r="M142" s="93">
        <f t="shared" si="20"/>
        <v>0</v>
      </c>
      <c r="N142" s="328">
        <f t="shared" ca="1" si="21"/>
        <v>0</v>
      </c>
    </row>
    <row r="143" spans="1:14" ht="20.100000000000001" customHeight="1">
      <c r="A143" s="90"/>
      <c r="B143" s="15" t="s">
        <v>1119</v>
      </c>
      <c r="C143" s="32" t="str">
        <f>VLOOKUP($B143,R_DG!$A$7:$G$1305,2,0)</f>
        <v>02.1103</v>
      </c>
      <c r="D143" s="8" t="str">
        <f>VLOOKUP($B143,R_DG!$A$7:$G$1305,3,0)</f>
        <v>Bốc dỡ cát</v>
      </c>
      <c r="E143" s="9" t="str">
        <f>VLOOKUP($B143,R_DG!$A$7:$G$1305,4,0)</f>
        <v>m3</v>
      </c>
      <c r="F143" s="13">
        <f>F135*0</f>
        <v>0</v>
      </c>
      <c r="G143" s="214">
        <f>VLOOKUP($B143,R_DG!$A$7:$G$1305,5,0)</f>
        <v>0</v>
      </c>
      <c r="H143" s="214">
        <f>VLOOKUP($B143,R_DG!$A$7:$G$1305,6,0)</f>
        <v>0</v>
      </c>
      <c r="I143" s="214">
        <f>VLOOKUP($B143,R_DG!$A$7:$G$1305,7,0)</f>
        <v>0</v>
      </c>
      <c r="J143" s="214">
        <f t="shared" si="22"/>
        <v>0</v>
      </c>
      <c r="K143" s="214">
        <f t="shared" si="22"/>
        <v>0</v>
      </c>
      <c r="L143" s="220">
        <f t="shared" si="22"/>
        <v>0</v>
      </c>
      <c r="M143" s="93">
        <f t="shared" si="20"/>
        <v>0</v>
      </c>
      <c r="N143" s="328">
        <f t="shared" ca="1" si="21"/>
        <v>0</v>
      </c>
    </row>
    <row r="144" spans="1:14" ht="20.100000000000001" customHeight="1">
      <c r="A144" s="90"/>
      <c r="B144" s="15" t="s">
        <v>1122</v>
      </c>
      <c r="C144" s="32" t="str">
        <f>VLOOKUP($B144,R_DG!$A$7:$G$1305,2,0)</f>
        <v>02.1104</v>
      </c>
      <c r="D144" s="8" t="str">
        <f>VLOOKUP($B144,R_DG!$A$7:$G$1305,3,0)</f>
        <v>Bốc dỡ đá dăm</v>
      </c>
      <c r="E144" s="9" t="str">
        <f>VLOOKUP($B144,R_DG!$A$7:$G$1305,4,0)</f>
        <v>m3</v>
      </c>
      <c r="F144" s="13">
        <f>F136*0</f>
        <v>0</v>
      </c>
      <c r="G144" s="214">
        <f>VLOOKUP($B144,R_DG!$A$7:$G$1305,5,0)</f>
        <v>0</v>
      </c>
      <c r="H144" s="214">
        <f>VLOOKUP($B144,R_DG!$A$7:$G$1305,6,0)</f>
        <v>0</v>
      </c>
      <c r="I144" s="214">
        <f>VLOOKUP($B144,R_DG!$A$7:$G$1305,7,0)</f>
        <v>0</v>
      </c>
      <c r="J144" s="214">
        <f t="shared" si="22"/>
        <v>0</v>
      </c>
      <c r="K144" s="214">
        <f t="shared" si="22"/>
        <v>0</v>
      </c>
      <c r="L144" s="220">
        <f t="shared" si="22"/>
        <v>0</v>
      </c>
      <c r="M144" s="93">
        <f t="shared" si="20"/>
        <v>0</v>
      </c>
      <c r="N144" s="328">
        <f t="shared" ca="1" si="21"/>
        <v>0</v>
      </c>
    </row>
    <row r="145" spans="1:14" ht="20.100000000000001" customHeight="1">
      <c r="A145" s="90"/>
      <c r="B145" s="15" t="s">
        <v>1250</v>
      </c>
      <c r="C145" s="32" t="str">
        <f>VLOOKUP($B145,R_DG!$A$7:$G$1305,2,0)</f>
        <v>04.1101</v>
      </c>
      <c r="D145" s="8" t="str">
        <f>VLOOKUP($B145,R_DG!$A$7:$G$1305,3,0)</f>
        <v>Gia công và lắp dựng cốt thép D&lt;=10</v>
      </c>
      <c r="E145" s="9" t="str">
        <f>VLOOKUP($B145,R_DG!$A$7:$G$1305,4,0)</f>
        <v>kg</v>
      </c>
      <c r="F145" s="13">
        <f>F137</f>
        <v>30</v>
      </c>
      <c r="G145" s="214">
        <f>VLOOKUP($B145,R_DG!$A$7:$G$1305,5,0)</f>
        <v>405.99</v>
      </c>
      <c r="H145" s="214">
        <f>VLOOKUP($B145,R_DG!$A$7:$G$1305,6,0)</f>
        <v>0</v>
      </c>
      <c r="I145" s="214">
        <f>VLOOKUP($B145,R_DG!$A$7:$G$1305,7,0)</f>
        <v>0</v>
      </c>
      <c r="J145" s="214">
        <f t="shared" si="22"/>
        <v>12179.7</v>
      </c>
      <c r="K145" s="214">
        <f t="shared" si="22"/>
        <v>0</v>
      </c>
      <c r="L145" s="220">
        <f t="shared" si="22"/>
        <v>0</v>
      </c>
      <c r="M145" s="93">
        <f t="shared" si="20"/>
        <v>0</v>
      </c>
      <c r="N145" s="328">
        <f t="shared" ca="1" si="21"/>
        <v>0</v>
      </c>
    </row>
    <row r="146" spans="1:14" ht="20.100000000000001" customHeight="1">
      <c r="A146" s="90"/>
      <c r="B146" s="15" t="s">
        <v>1245</v>
      </c>
      <c r="C146" s="32" t="str">
        <f>VLOOKUP($B146,R_DG!$A$7:$G$1305,2,0)</f>
        <v>AF112.20</v>
      </c>
      <c r="D146" s="8" t="str">
        <f>VLOOKUP($B146,R_DG!$A$7:$G$1305,3,0)</f>
        <v>Đổ bê tông mác M150 đá 1x2</v>
      </c>
      <c r="E146" s="9" t="str">
        <f>VLOOKUP($B146,R_DG!$A$7:$G$1305,4,0)</f>
        <v>m3</v>
      </c>
      <c r="F146" s="13">
        <v>1.4999999999999999E-2</v>
      </c>
      <c r="G146" s="214">
        <f>VLOOKUP($B146,R_DG!$A$7:$G$1305,5,0)</f>
        <v>0</v>
      </c>
      <c r="H146" s="214">
        <f>VLOOKUP($B146,R_DG!$A$7:$G$1305,6,0)</f>
        <v>398225.65</v>
      </c>
      <c r="I146" s="214">
        <f>VLOOKUP($B146,R_DG!$A$7:$G$1305,7,0)</f>
        <v>0</v>
      </c>
      <c r="J146" s="214">
        <f t="shared" si="22"/>
        <v>0</v>
      </c>
      <c r="K146" s="214">
        <f t="shared" si="22"/>
        <v>5973.3847500000002</v>
      </c>
      <c r="L146" s="220">
        <f t="shared" si="22"/>
        <v>0</v>
      </c>
      <c r="M146" s="93">
        <f t="shared" si="20"/>
        <v>0</v>
      </c>
      <c r="N146" s="328">
        <f t="shared" ca="1" si="21"/>
        <v>0</v>
      </c>
    </row>
    <row r="147" spans="1:14" ht="20.100000000000001" customHeight="1">
      <c r="A147" s="221" t="s">
        <v>2549</v>
      </c>
      <c r="B147" s="24"/>
      <c r="C147" s="34"/>
      <c r="D147" s="25" t="s">
        <v>2338</v>
      </c>
      <c r="E147" s="25" t="s">
        <v>2146</v>
      </c>
      <c r="F147" s="26"/>
      <c r="G147" s="213"/>
      <c r="H147" s="213"/>
      <c r="I147" s="213"/>
      <c r="J147" s="213">
        <f>SUM(J148:J160)</f>
        <v>487449.7</v>
      </c>
      <c r="K147" s="213">
        <f>SUM(K148:K160)</f>
        <v>144114.08282999997</v>
      </c>
      <c r="L147" s="219">
        <f>SUM(L148:L160)</f>
        <v>0</v>
      </c>
      <c r="M147" s="92">
        <f>IF(ERROR.TYPE(IF(HLOOKUP(A147,maBK,1,0)&lt;&gt;"",#NULL!,"ABC"))&lt;&gt;7,1,0)</f>
        <v>0</v>
      </c>
      <c r="N147" s="327">
        <f ca="1">SUMIF(maBK,$A147,tongBK1)</f>
        <v>0</v>
      </c>
    </row>
    <row r="148" spans="1:14" ht="20.100000000000001" customHeight="1">
      <c r="A148" s="90"/>
      <c r="B148" s="15" t="s">
        <v>767</v>
      </c>
      <c r="C148" s="32">
        <f>VLOOKUP($B148,R_DG!$A$7:$G$1305,2,0)</f>
        <v>0</v>
      </c>
      <c r="D148" s="8" t="str">
        <f>VLOOKUP($B148,R_DG!$A$7:$G$1305,3,0)</f>
        <v>Ximăng</v>
      </c>
      <c r="E148" s="9" t="str">
        <f>VLOOKUP($B148,R_DG!$A$7:$G$1305,4,0)</f>
        <v>kg</v>
      </c>
      <c r="F148" s="14">
        <v>4.5999999999999996</v>
      </c>
      <c r="G148" s="214">
        <f>VLOOKUP($B148,R_DG!$A$7:$G$1305,5,0)</f>
        <v>1800</v>
      </c>
      <c r="H148" s="214">
        <f>VLOOKUP($B148,R_DG!$A$7:$G$1305,6,0)</f>
        <v>0</v>
      </c>
      <c r="I148" s="214">
        <f>VLOOKUP($B148,R_DG!$A$7:$G$1305,7,0)</f>
        <v>0</v>
      </c>
      <c r="J148" s="214">
        <f t="shared" ref="J148:L160" si="23">G148*$F148</f>
        <v>8280</v>
      </c>
      <c r="K148" s="214">
        <f t="shared" si="23"/>
        <v>0</v>
      </c>
      <c r="L148" s="220">
        <f t="shared" si="23"/>
        <v>0</v>
      </c>
      <c r="M148" s="93">
        <f>IF(F148&gt;0,M$147,0)</f>
        <v>0</v>
      </c>
      <c r="N148" s="328">
        <f t="shared" ref="N148:N160" ca="1" si="24">$F148*N$147</f>
        <v>0</v>
      </c>
    </row>
    <row r="149" spans="1:14" ht="20.100000000000001" customHeight="1">
      <c r="A149" s="90"/>
      <c r="B149" s="15" t="s">
        <v>762</v>
      </c>
      <c r="C149" s="32">
        <f>VLOOKUP($B149,R_DG!$A$7:$G$1305,2,0)</f>
        <v>0</v>
      </c>
      <c r="D149" s="8" t="str">
        <f>VLOOKUP($B149,R_DG!$A$7:$G$1305,3,0)</f>
        <v>Cát vàng</v>
      </c>
      <c r="E149" s="9" t="str">
        <f>VLOOKUP($B149,R_DG!$A$7:$G$1305,4,0)</f>
        <v>m3</v>
      </c>
      <c r="F149" s="13">
        <v>8.0000000000000002E-3</v>
      </c>
      <c r="G149" s="214">
        <f>VLOOKUP($B149,R_DG!$A$7:$G$1305,5,0)</f>
        <v>320000</v>
      </c>
      <c r="H149" s="214">
        <f>VLOOKUP($B149,R_DG!$A$7:$G$1305,6,0)</f>
        <v>0</v>
      </c>
      <c r="I149" s="214">
        <f>VLOOKUP($B149,R_DG!$A$7:$G$1305,7,0)</f>
        <v>0</v>
      </c>
      <c r="J149" s="214">
        <f t="shared" si="23"/>
        <v>2560</v>
      </c>
      <c r="K149" s="214">
        <f t="shared" si="23"/>
        <v>0</v>
      </c>
      <c r="L149" s="220">
        <f t="shared" si="23"/>
        <v>0</v>
      </c>
      <c r="M149" s="93">
        <f t="shared" ref="M149:M160" si="25">IF(F149&gt;0,M$147,0)</f>
        <v>0</v>
      </c>
      <c r="N149" s="328">
        <f t="shared" ca="1" si="24"/>
        <v>0</v>
      </c>
    </row>
    <row r="150" spans="1:14" ht="20.100000000000001" customHeight="1">
      <c r="A150" s="90"/>
      <c r="B150" s="15" t="s">
        <v>2159</v>
      </c>
      <c r="C150" s="32">
        <f>VLOOKUP($B150,R_DG!$A$7:$G$1305,2,0)</f>
        <v>0</v>
      </c>
      <c r="D150" s="8" t="str">
        <f>VLOOKUP($B150,R_DG!$A$7:$G$1305,3,0)</f>
        <v>Đá 1x2</v>
      </c>
      <c r="E150" s="9" t="str">
        <f>VLOOKUP($B150,R_DG!$A$7:$G$1305,4,0)</f>
        <v>m3</v>
      </c>
      <c r="F150" s="14">
        <v>1.2999999999999999E-2</v>
      </c>
      <c r="G150" s="214">
        <f>VLOOKUP($B150,R_DG!$A$7:$G$1305,5,0)</f>
        <v>400000</v>
      </c>
      <c r="H150" s="214">
        <f>VLOOKUP($B150,R_DG!$A$7:$G$1305,6,0)</f>
        <v>0</v>
      </c>
      <c r="I150" s="214">
        <f>VLOOKUP($B150,R_DG!$A$7:$G$1305,7,0)</f>
        <v>0</v>
      </c>
      <c r="J150" s="214">
        <f t="shared" si="23"/>
        <v>5200</v>
      </c>
      <c r="K150" s="214">
        <f t="shared" si="23"/>
        <v>0</v>
      </c>
      <c r="L150" s="220">
        <f t="shared" si="23"/>
        <v>0</v>
      </c>
      <c r="M150" s="93">
        <f t="shared" si="25"/>
        <v>0</v>
      </c>
      <c r="N150" s="328">
        <f t="shared" ca="1" si="24"/>
        <v>0</v>
      </c>
    </row>
    <row r="151" spans="1:14" ht="20.100000000000001" customHeight="1">
      <c r="A151" s="90"/>
      <c r="B151" s="15" t="s">
        <v>672</v>
      </c>
      <c r="C151" s="32">
        <f>VLOOKUP($B151,R_DG!$A$7:$G$1305,2,0)</f>
        <v>0</v>
      </c>
      <c r="D151" s="8" t="str">
        <f>VLOOKUP($B151,R_DG!$A$7:$G$1305,3,0)</f>
        <v>Sắt  φ10</v>
      </c>
      <c r="E151" s="9" t="str">
        <f>VLOOKUP($B151,R_DG!$A$7:$G$1305,4,0)</f>
        <v>kg</v>
      </c>
      <c r="F151" s="13">
        <v>30</v>
      </c>
      <c r="G151" s="214">
        <f>VLOOKUP($B151,R_DG!$A$7:$G$1305,5,0)</f>
        <v>14545</v>
      </c>
      <c r="H151" s="214">
        <f>VLOOKUP($B151,R_DG!$A$7:$G$1305,6,0)</f>
        <v>0</v>
      </c>
      <c r="I151" s="214">
        <f>VLOOKUP($B151,R_DG!$A$7:$G$1305,7,0)</f>
        <v>0</v>
      </c>
      <c r="J151" s="214">
        <f t="shared" si="23"/>
        <v>436350</v>
      </c>
      <c r="K151" s="214">
        <f t="shared" si="23"/>
        <v>0</v>
      </c>
      <c r="L151" s="220">
        <f t="shared" si="23"/>
        <v>0</v>
      </c>
      <c r="M151" s="93">
        <f t="shared" si="25"/>
        <v>0</v>
      </c>
      <c r="N151" s="328">
        <f t="shared" ca="1" si="24"/>
        <v>0</v>
      </c>
    </row>
    <row r="152" spans="1:14" ht="20.100000000000001" customHeight="1">
      <c r="A152" s="90"/>
      <c r="B152" s="15" t="s">
        <v>1974</v>
      </c>
      <c r="C152" s="32">
        <f>VLOOKUP($B152,R_DG!$A$7:$G$1305,2,0)</f>
        <v>0</v>
      </c>
      <c r="D152" s="8" t="str">
        <f>VLOOKUP($B152,R_DG!$A$7:$G$1305,3,0)</f>
        <v>Kẽm</v>
      </c>
      <c r="E152" s="9" t="str">
        <f>VLOOKUP($B152,R_DG!$A$7:$G$1305,4,0)</f>
        <v>kg</v>
      </c>
      <c r="F152" s="14">
        <v>0.65</v>
      </c>
      <c r="G152" s="214">
        <f>VLOOKUP($B152,R_DG!$A$7:$G$1305,5,0)</f>
        <v>35200</v>
      </c>
      <c r="H152" s="214">
        <f>VLOOKUP($B152,R_DG!$A$7:$G$1305,6,0)</f>
        <v>0</v>
      </c>
      <c r="I152" s="214">
        <f>VLOOKUP($B152,R_DG!$A$7:$G$1305,7,0)</f>
        <v>0</v>
      </c>
      <c r="J152" s="214">
        <f t="shared" si="23"/>
        <v>22880</v>
      </c>
      <c r="K152" s="214">
        <f t="shared" si="23"/>
        <v>0</v>
      </c>
      <c r="L152" s="220">
        <f t="shared" si="23"/>
        <v>0</v>
      </c>
      <c r="M152" s="93">
        <f t="shared" si="25"/>
        <v>0</v>
      </c>
      <c r="N152" s="328">
        <f t="shared" ca="1" si="24"/>
        <v>0</v>
      </c>
    </row>
    <row r="153" spans="1:14" ht="20.100000000000001" customHeight="1">
      <c r="A153" s="90"/>
      <c r="B153" s="15" t="s">
        <v>820</v>
      </c>
      <c r="C153" s="32" t="str">
        <f>VLOOKUP($B153,R_DG!$A$7:$G$1305,2,0)</f>
        <v>03.1113</v>
      </c>
      <c r="D153" s="8" t="str">
        <f>VLOOKUP($B153,R_DG!$A$7:$G$1305,3,0)</f>
        <v>Khoan cắt BT bằng máy khoan cằm tay</v>
      </c>
      <c r="E153" s="9" t="str">
        <f>VLOOKUP($B153,R_DG!$A$7:$G$1305,4,0)</f>
        <v>m3</v>
      </c>
      <c r="F153" s="14">
        <v>0</v>
      </c>
      <c r="G153" s="214">
        <f>VLOOKUP($B153,R_DG!$A$7:$G$1305,5,0)</f>
        <v>0</v>
      </c>
      <c r="H153" s="214">
        <f>VLOOKUP($B153,R_DG!$A$7:$G$1305,6,0)</f>
        <v>0</v>
      </c>
      <c r="I153" s="214">
        <f>VLOOKUP($B153,R_DG!$A$7:$G$1305,7,0)</f>
        <v>0</v>
      </c>
      <c r="J153" s="214">
        <f t="shared" si="23"/>
        <v>0</v>
      </c>
      <c r="K153" s="214">
        <f t="shared" si="23"/>
        <v>0</v>
      </c>
      <c r="L153" s="220">
        <f t="shared" si="23"/>
        <v>0</v>
      </c>
      <c r="M153" s="93">
        <f t="shared" si="25"/>
        <v>0</v>
      </c>
      <c r="N153" s="328">
        <f t="shared" ca="1" si="24"/>
        <v>0</v>
      </c>
    </row>
    <row r="154" spans="1:14" ht="20.100000000000001" customHeight="1">
      <c r="A154" s="90"/>
      <c r="B154" s="15" t="s">
        <v>818</v>
      </c>
      <c r="C154" s="32" t="str">
        <f>VLOOKUP($B154,R_DG!$A$7:$G$1305,2,0)</f>
        <v>AB.11400</v>
      </c>
      <c r="D154" s="8" t="str">
        <f>VLOOKUP($B154,R_DG!$A$7:$G$1305,3,0)</f>
        <v>Đào hố móng đất cấp 3 sâu &gt;1m, rộng &lt;1m</v>
      </c>
      <c r="E154" s="9" t="str">
        <f>VLOOKUP($B154,R_DG!$A$7:$G$1305,4,0)</f>
        <v>m3</v>
      </c>
      <c r="F154" s="13">
        <v>0.29399999999999998</v>
      </c>
      <c r="G154" s="214">
        <f>VLOOKUP($B154,R_DG!$A$7:$G$1305,5,0)</f>
        <v>0</v>
      </c>
      <c r="H154" s="214">
        <f>VLOOKUP($B154,R_DG!$A$7:$G$1305,6,0)</f>
        <v>418738.31999999995</v>
      </c>
      <c r="I154" s="214">
        <f>VLOOKUP($B154,R_DG!$A$7:$G$1305,7,0)</f>
        <v>0</v>
      </c>
      <c r="J154" s="214">
        <f t="shared" si="23"/>
        <v>0</v>
      </c>
      <c r="K154" s="214">
        <f t="shared" si="23"/>
        <v>123109.06607999998</v>
      </c>
      <c r="L154" s="220">
        <f t="shared" si="23"/>
        <v>0</v>
      </c>
      <c r="M154" s="93">
        <f t="shared" si="25"/>
        <v>0</v>
      </c>
      <c r="N154" s="328">
        <f t="shared" ca="1" si="24"/>
        <v>0</v>
      </c>
    </row>
    <row r="155" spans="1:14" ht="20.100000000000001" customHeight="1">
      <c r="A155" s="90"/>
      <c r="B155" s="15" t="s">
        <v>831</v>
      </c>
      <c r="C155" s="32" t="str">
        <f>VLOOKUP($B155,R_DG!$A$7:$G$1305,2,0)</f>
        <v>AB.13000</v>
      </c>
      <c r="D155" s="8" t="str">
        <f>VLOOKUP($B155,R_DG!$A$7:$G$1305,3,0)</f>
        <v>Đắp đất hố móng, đất cấp 3, k = 0,85</v>
      </c>
      <c r="E155" s="9" t="str">
        <f>VLOOKUP($B155,R_DG!$A$7:$G$1305,4,0)</f>
        <v>m3</v>
      </c>
      <c r="F155" s="13">
        <v>0.15</v>
      </c>
      <c r="G155" s="214">
        <f>VLOOKUP($B155,R_DG!$A$7:$G$1305,5,0)</f>
        <v>0</v>
      </c>
      <c r="H155" s="214">
        <f>VLOOKUP($B155,R_DG!$A$7:$G$1305,6,0)</f>
        <v>100210.88</v>
      </c>
      <c r="I155" s="214">
        <f>VLOOKUP($B155,R_DG!$A$7:$G$1305,7,0)</f>
        <v>0</v>
      </c>
      <c r="J155" s="214">
        <f t="shared" si="23"/>
        <v>0</v>
      </c>
      <c r="K155" s="214">
        <f t="shared" si="23"/>
        <v>15031.632</v>
      </c>
      <c r="L155" s="220">
        <f t="shared" si="23"/>
        <v>0</v>
      </c>
      <c r="M155" s="93">
        <f t="shared" si="25"/>
        <v>0</v>
      </c>
      <c r="N155" s="328">
        <f t="shared" ca="1" si="24"/>
        <v>0</v>
      </c>
    </row>
    <row r="156" spans="1:14" ht="20.100000000000001" customHeight="1">
      <c r="A156" s="90"/>
      <c r="B156" s="15" t="s">
        <v>1116</v>
      </c>
      <c r="C156" s="32" t="str">
        <f>VLOOKUP($B156,R_DG!$A$7:$G$1305,2,0)</f>
        <v>02.1101</v>
      </c>
      <c r="D156" s="8" t="str">
        <f>VLOOKUP($B156,R_DG!$A$7:$G$1305,3,0)</f>
        <v>Bốc dỡ xi măng</v>
      </c>
      <c r="E156" s="9" t="str">
        <f>VLOOKUP($B156,R_DG!$A$7:$G$1305,4,0)</f>
        <v>tấn</v>
      </c>
      <c r="F156" s="13">
        <f>F148*0</f>
        <v>0</v>
      </c>
      <c r="G156" s="214">
        <f>VLOOKUP($B156,R_DG!$A$7:$G$1305,5,0)</f>
        <v>0</v>
      </c>
      <c r="H156" s="214">
        <f>VLOOKUP($B156,R_DG!$A$7:$G$1305,6,0)</f>
        <v>0</v>
      </c>
      <c r="I156" s="214">
        <f>VLOOKUP($B156,R_DG!$A$7:$G$1305,7,0)</f>
        <v>0</v>
      </c>
      <c r="J156" s="214">
        <f t="shared" si="23"/>
        <v>0</v>
      </c>
      <c r="K156" s="214">
        <f t="shared" si="23"/>
        <v>0</v>
      </c>
      <c r="L156" s="220">
        <f t="shared" si="23"/>
        <v>0</v>
      </c>
      <c r="M156" s="93">
        <f t="shared" si="25"/>
        <v>0</v>
      </c>
      <c r="N156" s="328">
        <f t="shared" ca="1" si="24"/>
        <v>0</v>
      </c>
    </row>
    <row r="157" spans="1:14" ht="20.100000000000001" customHeight="1">
      <c r="A157" s="90"/>
      <c r="B157" s="15" t="s">
        <v>1119</v>
      </c>
      <c r="C157" s="32" t="str">
        <f>VLOOKUP($B157,R_DG!$A$7:$G$1305,2,0)</f>
        <v>02.1103</v>
      </c>
      <c r="D157" s="8" t="str">
        <f>VLOOKUP($B157,R_DG!$A$7:$G$1305,3,0)</f>
        <v>Bốc dỡ cát</v>
      </c>
      <c r="E157" s="9" t="str">
        <f>VLOOKUP($B157,R_DG!$A$7:$G$1305,4,0)</f>
        <v>m3</v>
      </c>
      <c r="F157" s="13">
        <f>F149*0</f>
        <v>0</v>
      </c>
      <c r="G157" s="214">
        <f>VLOOKUP($B157,R_DG!$A$7:$G$1305,5,0)</f>
        <v>0</v>
      </c>
      <c r="H157" s="214">
        <f>VLOOKUP($B157,R_DG!$A$7:$G$1305,6,0)</f>
        <v>0</v>
      </c>
      <c r="I157" s="214">
        <f>VLOOKUP($B157,R_DG!$A$7:$G$1305,7,0)</f>
        <v>0</v>
      </c>
      <c r="J157" s="214">
        <f t="shared" si="23"/>
        <v>0</v>
      </c>
      <c r="K157" s="214">
        <f t="shared" si="23"/>
        <v>0</v>
      </c>
      <c r="L157" s="220">
        <f t="shared" si="23"/>
        <v>0</v>
      </c>
      <c r="M157" s="93">
        <f t="shared" si="25"/>
        <v>0</v>
      </c>
      <c r="N157" s="328">
        <f t="shared" ca="1" si="24"/>
        <v>0</v>
      </c>
    </row>
    <row r="158" spans="1:14" ht="20.100000000000001" customHeight="1">
      <c r="A158" s="90"/>
      <c r="B158" s="15" t="s">
        <v>1122</v>
      </c>
      <c r="C158" s="32" t="str">
        <f>VLOOKUP($B158,R_DG!$A$7:$G$1305,2,0)</f>
        <v>02.1104</v>
      </c>
      <c r="D158" s="8" t="str">
        <f>VLOOKUP($B158,R_DG!$A$7:$G$1305,3,0)</f>
        <v>Bốc dỡ đá dăm</v>
      </c>
      <c r="E158" s="9" t="str">
        <f>VLOOKUP($B158,R_DG!$A$7:$G$1305,4,0)</f>
        <v>m3</v>
      </c>
      <c r="F158" s="13">
        <f>F150*0</f>
        <v>0</v>
      </c>
      <c r="G158" s="214">
        <f>VLOOKUP($B158,R_DG!$A$7:$G$1305,5,0)</f>
        <v>0</v>
      </c>
      <c r="H158" s="214">
        <f>VLOOKUP($B158,R_DG!$A$7:$G$1305,6,0)</f>
        <v>0</v>
      </c>
      <c r="I158" s="214">
        <f>VLOOKUP($B158,R_DG!$A$7:$G$1305,7,0)</f>
        <v>0</v>
      </c>
      <c r="J158" s="214">
        <f t="shared" si="23"/>
        <v>0</v>
      </c>
      <c r="K158" s="214">
        <f t="shared" si="23"/>
        <v>0</v>
      </c>
      <c r="L158" s="220">
        <f t="shared" si="23"/>
        <v>0</v>
      </c>
      <c r="M158" s="93">
        <f t="shared" si="25"/>
        <v>0</v>
      </c>
      <c r="N158" s="328">
        <f t="shared" ca="1" si="24"/>
        <v>0</v>
      </c>
    </row>
    <row r="159" spans="1:14" ht="20.100000000000001" customHeight="1">
      <c r="A159" s="90"/>
      <c r="B159" s="15" t="s">
        <v>1250</v>
      </c>
      <c r="C159" s="32" t="str">
        <f>VLOOKUP($B159,R_DG!$A$7:$G$1305,2,0)</f>
        <v>04.1101</v>
      </c>
      <c r="D159" s="8" t="str">
        <f>VLOOKUP($B159,R_DG!$A$7:$G$1305,3,0)</f>
        <v>Gia công và lắp dựng cốt thép D&lt;=10</v>
      </c>
      <c r="E159" s="9" t="str">
        <f>VLOOKUP($B159,R_DG!$A$7:$G$1305,4,0)</f>
        <v>kg</v>
      </c>
      <c r="F159" s="13">
        <f>F151</f>
        <v>30</v>
      </c>
      <c r="G159" s="214">
        <f>VLOOKUP($B159,R_DG!$A$7:$G$1305,5,0)</f>
        <v>405.99</v>
      </c>
      <c r="H159" s="214">
        <f>VLOOKUP($B159,R_DG!$A$7:$G$1305,6,0)</f>
        <v>0</v>
      </c>
      <c r="I159" s="214">
        <f>VLOOKUP($B159,R_DG!$A$7:$G$1305,7,0)</f>
        <v>0</v>
      </c>
      <c r="J159" s="214">
        <f t="shared" si="23"/>
        <v>12179.7</v>
      </c>
      <c r="K159" s="214">
        <f t="shared" si="23"/>
        <v>0</v>
      </c>
      <c r="L159" s="220">
        <f t="shared" si="23"/>
        <v>0</v>
      </c>
      <c r="M159" s="93">
        <f t="shared" si="25"/>
        <v>0</v>
      </c>
      <c r="N159" s="328">
        <f t="shared" ca="1" si="24"/>
        <v>0</v>
      </c>
    </row>
    <row r="160" spans="1:14" ht="20.100000000000001" customHeight="1">
      <c r="A160" s="90"/>
      <c r="B160" s="15" t="s">
        <v>1245</v>
      </c>
      <c r="C160" s="32" t="str">
        <f>VLOOKUP($B160,R_DG!$A$7:$G$1305,2,0)</f>
        <v>AF112.20</v>
      </c>
      <c r="D160" s="8" t="str">
        <f>VLOOKUP($B160,R_DG!$A$7:$G$1305,3,0)</f>
        <v>Đổ bê tông mác M150 đá 1x2</v>
      </c>
      <c r="E160" s="9" t="str">
        <f>VLOOKUP($B160,R_DG!$A$7:$G$1305,4,0)</f>
        <v>m3</v>
      </c>
      <c r="F160" s="13">
        <v>1.4999999999999999E-2</v>
      </c>
      <c r="G160" s="214">
        <f>VLOOKUP($B160,R_DG!$A$7:$G$1305,5,0)</f>
        <v>0</v>
      </c>
      <c r="H160" s="214">
        <f>VLOOKUP($B160,R_DG!$A$7:$G$1305,6,0)</f>
        <v>398225.65</v>
      </c>
      <c r="I160" s="214">
        <f>VLOOKUP($B160,R_DG!$A$7:$G$1305,7,0)</f>
        <v>0</v>
      </c>
      <c r="J160" s="214">
        <f t="shared" si="23"/>
        <v>0</v>
      </c>
      <c r="K160" s="214">
        <f t="shared" si="23"/>
        <v>5973.3847500000002</v>
      </c>
      <c r="L160" s="220">
        <f t="shared" si="23"/>
        <v>0</v>
      </c>
      <c r="M160" s="93">
        <f t="shared" si="25"/>
        <v>0</v>
      </c>
      <c r="N160" s="328">
        <f t="shared" ca="1" si="24"/>
        <v>0</v>
      </c>
    </row>
    <row r="161" spans="1:14" ht="20.100000000000001" customHeight="1">
      <c r="A161" s="89" t="s">
        <v>876</v>
      </c>
      <c r="B161" s="24"/>
      <c r="C161" s="34"/>
      <c r="D161" s="25" t="s">
        <v>2167</v>
      </c>
      <c r="E161" s="25" t="s">
        <v>2146</v>
      </c>
      <c r="F161" s="26"/>
      <c r="G161" s="213"/>
      <c r="H161" s="213"/>
      <c r="I161" s="213"/>
      <c r="J161" s="213">
        <f>SUM(J162:J163)</f>
        <v>0</v>
      </c>
      <c r="K161" s="213">
        <f>SUM(K162:K163)</f>
        <v>130256.24919999999</v>
      </c>
      <c r="L161" s="219">
        <f>SUM(L162:L163)</f>
        <v>0</v>
      </c>
      <c r="M161" s="92">
        <f>IF(ERROR.TYPE(IF(HLOOKUP(A161,maBK,1,0)&lt;&gt;"",#NULL!,"ABC"))&lt;&gt;7,1,0)</f>
        <v>1</v>
      </c>
      <c r="N161" s="327">
        <f ca="1">SUMIF(maBK,$A161,tongBK1)</f>
        <v>10</v>
      </c>
    </row>
    <row r="162" spans="1:14" ht="20.100000000000001" customHeight="1">
      <c r="A162" s="90"/>
      <c r="B162" s="7" t="str">
        <f>IF(CAPDAT=1,"MDD1",IF(CAPDAT=2,"MDD2",IF(CAPDAT=3,"MDD3",IF(CAPDAT=4,"MDD4"))))</f>
        <v>MDD3</v>
      </c>
      <c r="C162" s="32" t="str">
        <f>VLOOKUP($B162,R_DG!$A$7:$G$1305,2,0)</f>
        <v>AB.11400</v>
      </c>
      <c r="D162" s="8" t="str">
        <f>VLOOKUP($B162,R_DG!$A$7:$G$1305,3,0)</f>
        <v>Đào hố móng đất cấp 3 sâu &gt;1m, rộng &lt;1m</v>
      </c>
      <c r="E162" s="9" t="str">
        <f>VLOOKUP($B162,R_DG!$A$7:$G$1305,4,0)</f>
        <v>m3</v>
      </c>
      <c r="F162" s="14">
        <v>0.251</v>
      </c>
      <c r="G162" s="214">
        <f>VLOOKUP($B162,R_DG!$A$7:$G$1305,5,0)</f>
        <v>0</v>
      </c>
      <c r="H162" s="214">
        <f>VLOOKUP($B162,R_DG!$A$7:$G$1305,6,0)</f>
        <v>418738.31999999995</v>
      </c>
      <c r="I162" s="214">
        <f>VLOOKUP($B162,R_DG!$A$7:$G$1305,7,0)</f>
        <v>0</v>
      </c>
      <c r="J162" s="214">
        <f t="shared" si="22"/>
        <v>0</v>
      </c>
      <c r="K162" s="214">
        <f t="shared" si="22"/>
        <v>105103.31831999999</v>
      </c>
      <c r="L162" s="220">
        <f t="shared" si="22"/>
        <v>0</v>
      </c>
      <c r="M162" s="93">
        <f>IF(F162&gt;0,M$161,0)</f>
        <v>1</v>
      </c>
      <c r="N162" s="328">
        <f ca="1">$F162*N$161</f>
        <v>2.5099999999999998</v>
      </c>
    </row>
    <row r="163" spans="1:14" ht="20.100000000000001" customHeight="1">
      <c r="A163" s="87"/>
      <c r="B163" s="7" t="str">
        <f>IF(CAPDAT=1,"MDAP1",IF(CAPDAT=2,"MDAP2",IF(CAPDAT=3,"MDAP3",IF(CAPDAT=4,"MDAP4"))))</f>
        <v>MDAP3</v>
      </c>
      <c r="C163" s="32" t="str">
        <f>VLOOKUP($B163,R_DG!$A$7:$G$1305,2,0)</f>
        <v>AB.13000</v>
      </c>
      <c r="D163" s="8" t="str">
        <f>VLOOKUP($B163,R_DG!$A$7:$G$1305,3,0)</f>
        <v>Đắp đất hố móng, đất cấp 3, k = 0,85</v>
      </c>
      <c r="E163" s="9" t="str">
        <f>VLOOKUP($B163,R_DG!$A$7:$G$1305,4,0)</f>
        <v>m3</v>
      </c>
      <c r="F163" s="10">
        <v>0.251</v>
      </c>
      <c r="G163" s="214">
        <f>VLOOKUP($B163,R_DG!$A$7:$G$1305,5,0)</f>
        <v>0</v>
      </c>
      <c r="H163" s="214">
        <f>VLOOKUP($B163,R_DG!$A$7:$G$1305,6,0)</f>
        <v>100210.88</v>
      </c>
      <c r="I163" s="214">
        <f>VLOOKUP($B163,R_DG!$A$7:$G$1305,7,0)</f>
        <v>0</v>
      </c>
      <c r="J163" s="214">
        <f t="shared" si="22"/>
        <v>0</v>
      </c>
      <c r="K163" s="214">
        <f t="shared" si="22"/>
        <v>25152.93088</v>
      </c>
      <c r="L163" s="220">
        <f t="shared" si="22"/>
        <v>0</v>
      </c>
      <c r="M163" s="93">
        <f>IF(F163&gt;0,M$161,0)</f>
        <v>1</v>
      </c>
      <c r="N163" s="328">
        <f ca="1">$F163*N$161</f>
        <v>2.5099999999999998</v>
      </c>
    </row>
    <row r="164" spans="1:14" ht="20.100000000000001" customHeight="1">
      <c r="A164" s="89" t="s">
        <v>2168</v>
      </c>
      <c r="B164" s="24"/>
      <c r="C164" s="34"/>
      <c r="D164" s="25" t="s">
        <v>2169</v>
      </c>
      <c r="E164" s="25" t="s">
        <v>2146</v>
      </c>
      <c r="F164" s="26"/>
      <c r="G164" s="213"/>
      <c r="H164" s="213"/>
      <c r="I164" s="213"/>
      <c r="J164" s="213" t="e">
        <f>SUM(J165:J169)</f>
        <v>#REF!</v>
      </c>
      <c r="K164" s="213">
        <f>SUM(K165:K169)</f>
        <v>686804.00271999999</v>
      </c>
      <c r="L164" s="219">
        <f>SUM(L165:L169)</f>
        <v>0</v>
      </c>
      <c r="M164" s="92">
        <f>IF(ERROR.TYPE(IF(HLOOKUP(A164,maBK,1,0)&lt;&gt;"",#NULL!,"ABC"))&lt;&gt;7,1,0)</f>
        <v>0</v>
      </c>
      <c r="N164" s="327">
        <f ca="1">SUMIF(maBK,$A164,tongBK1)</f>
        <v>0</v>
      </c>
    </row>
    <row r="165" spans="1:14" ht="20.100000000000001" customHeight="1">
      <c r="A165" s="90"/>
      <c r="B165" s="12" t="s">
        <v>2149</v>
      </c>
      <c r="C165" s="32" t="str">
        <f>VLOOKUP($B165,R_DG!$A$7:$G$1305,2,0)</f>
        <v>04.3801</v>
      </c>
      <c r="D165" s="8" t="str">
        <f>VLOOKUP($B165,R_DG!$A$7:$G$1305,3,0)</f>
        <v>Đà cản BTCT 1,2m</v>
      </c>
      <c r="E165" s="9" t="str">
        <f>VLOOKUP($B165,R_DG!$A$7:$G$1305,4,0)</f>
        <v>cái</v>
      </c>
      <c r="F165" s="14">
        <v>1</v>
      </c>
      <c r="G165" s="214">
        <f>VLOOKUP($B165,R_DG!$A$7:$G$1305,5,0)</f>
        <v>650000</v>
      </c>
      <c r="H165" s="214">
        <f>VLOOKUP($B165,R_DG!$A$7:$G$1305,6,0)</f>
        <v>161119.20000000001</v>
      </c>
      <c r="I165" s="214">
        <f>VLOOKUP($B165,R_DG!$A$7:$G$1305,7,0)</f>
        <v>0</v>
      </c>
      <c r="J165" s="214">
        <f t="shared" si="22"/>
        <v>650000</v>
      </c>
      <c r="K165" s="214">
        <f t="shared" si="22"/>
        <v>161119.20000000001</v>
      </c>
      <c r="L165" s="220">
        <f t="shared" si="22"/>
        <v>0</v>
      </c>
      <c r="M165" s="93">
        <f>IF(F165&gt;0,M$164,0)</f>
        <v>0</v>
      </c>
      <c r="N165" s="328">
        <f ca="1">$F165*N$164</f>
        <v>0</v>
      </c>
    </row>
    <row r="166" spans="1:14" ht="20.100000000000001" customHeight="1">
      <c r="A166" s="90"/>
      <c r="B166" s="12" t="s">
        <v>2165</v>
      </c>
      <c r="C166" s="32">
        <f>VLOOKUP($B166,R_DG!$A$7:$G$1305,2,0)</f>
        <v>0</v>
      </c>
      <c r="D166" s="8" t="str">
        <f>VLOOKUP($B166,R_DG!$A$7:$G$1305,3,0)</f>
        <v>Boulon 22x650+ 2 long đền vuông D24-50x50x3/Zn</v>
      </c>
      <c r="E166" s="9" t="str">
        <f>VLOOKUP($B166,R_DG!$A$7:$G$1305,4,0)</f>
        <v>bộ</v>
      </c>
      <c r="F166" s="14">
        <v>1</v>
      </c>
      <c r="G166" s="214" t="e">
        <f>VLOOKUP($B166,R_DG!$A$7:$G$1305,5,0)</f>
        <v>#REF!</v>
      </c>
      <c r="H166" s="214">
        <f>VLOOKUP($B166,R_DG!$A$7:$G$1305,6,0)</f>
        <v>0</v>
      </c>
      <c r="I166" s="214">
        <f>VLOOKUP($B166,R_DG!$A$7:$G$1305,7,0)</f>
        <v>0</v>
      </c>
      <c r="J166" s="214" t="e">
        <f t="shared" si="22"/>
        <v>#REF!</v>
      </c>
      <c r="K166" s="214">
        <f t="shared" si="22"/>
        <v>0</v>
      </c>
      <c r="L166" s="220">
        <f t="shared" si="22"/>
        <v>0</v>
      </c>
      <c r="M166" s="93">
        <f>IF(F166&gt;0,M$164,0)</f>
        <v>0</v>
      </c>
      <c r="N166" s="328">
        <f ca="1">$F166*N$164</f>
        <v>0</v>
      </c>
    </row>
    <row r="167" spans="1:14" ht="20.100000000000001" customHeight="1">
      <c r="A167" s="90"/>
      <c r="B167" s="12" t="str">
        <f>IF(CAPDAT=1,"MDD1",IF(CAPDAT=2,"MDD2",IF(CAPDAT=3,"MDD3",IF(CAPDAT=4,"MDD4"))))</f>
        <v>MDD3</v>
      </c>
      <c r="C167" s="32" t="str">
        <f>VLOOKUP($B167,R_DG!$A$7:$G$1305,2,0)</f>
        <v>AB.11400</v>
      </c>
      <c r="D167" s="8" t="str">
        <f>VLOOKUP($B167,R_DG!$A$7:$G$1305,3,0)</f>
        <v>Đào hố móng đất cấp 3 sâu &gt;1m, rộng &lt;1m</v>
      </c>
      <c r="E167" s="9" t="str">
        <f>VLOOKUP($B167,R_DG!$A$7:$G$1305,4,0)</f>
        <v>m3</v>
      </c>
      <c r="F167" s="14">
        <v>1.018</v>
      </c>
      <c r="G167" s="214">
        <f>VLOOKUP($B167,R_DG!$A$7:$G$1305,5,0)</f>
        <v>0</v>
      </c>
      <c r="H167" s="214">
        <f>VLOOKUP($B167,R_DG!$A$7:$G$1305,6,0)</f>
        <v>418738.31999999995</v>
      </c>
      <c r="I167" s="214">
        <f>VLOOKUP($B167,R_DG!$A$7:$G$1305,7,0)</f>
        <v>0</v>
      </c>
      <c r="J167" s="214">
        <f t="shared" si="22"/>
        <v>0</v>
      </c>
      <c r="K167" s="214">
        <f t="shared" si="22"/>
        <v>426275.60975999996</v>
      </c>
      <c r="L167" s="220">
        <f t="shared" si="22"/>
        <v>0</v>
      </c>
      <c r="M167" s="93">
        <f>IF(F167&gt;0,M$164,0)</f>
        <v>0</v>
      </c>
      <c r="N167" s="328">
        <f ca="1">$F167*N$164</f>
        <v>0</v>
      </c>
    </row>
    <row r="168" spans="1:14" ht="20.100000000000001" customHeight="1">
      <c r="A168" s="90"/>
      <c r="B168" s="12" t="str">
        <f>IF(CAPDAT=1,"MDAP1",IF(CAPDAT=2,"MDAP2",IF(CAPDAT=3,"MDAP3",IF(CAPDAT=4,"MDAP4"))))</f>
        <v>MDAP3</v>
      </c>
      <c r="C168" s="32" t="str">
        <f>VLOOKUP($B168,R_DG!$A$7:$G$1305,2,0)</f>
        <v>AB.13000</v>
      </c>
      <c r="D168" s="8" t="str">
        <f>VLOOKUP($B168,R_DG!$A$7:$G$1305,3,0)</f>
        <v>Đắp đất hố móng, đất cấp 3, k = 0,85</v>
      </c>
      <c r="E168" s="9" t="str">
        <f>VLOOKUP($B168,R_DG!$A$7:$G$1305,4,0)</f>
        <v>m3</v>
      </c>
      <c r="F168" s="14">
        <v>0.99199999999999999</v>
      </c>
      <c r="G168" s="214">
        <f>VLOOKUP($B168,R_DG!$A$7:$G$1305,5,0)</f>
        <v>0</v>
      </c>
      <c r="H168" s="214">
        <f>VLOOKUP($B168,R_DG!$A$7:$G$1305,6,0)</f>
        <v>100210.88</v>
      </c>
      <c r="I168" s="214">
        <f>VLOOKUP($B168,R_DG!$A$7:$G$1305,7,0)</f>
        <v>0</v>
      </c>
      <c r="J168" s="214">
        <f t="shared" si="22"/>
        <v>0</v>
      </c>
      <c r="K168" s="214">
        <f t="shared" si="22"/>
        <v>99409.19296</v>
      </c>
      <c r="L168" s="220">
        <f t="shared" si="22"/>
        <v>0</v>
      </c>
      <c r="M168" s="93">
        <f>IF(F168&gt;0,M$164,0)</f>
        <v>0</v>
      </c>
      <c r="N168" s="328">
        <f ca="1">$F168*N$164</f>
        <v>0</v>
      </c>
    </row>
    <row r="169" spans="1:14" ht="20.100000000000001" customHeight="1">
      <c r="A169" s="90"/>
      <c r="B169" s="12" t="s">
        <v>2152</v>
      </c>
      <c r="C169" s="32" t="str">
        <f>VLOOKUP($B169,R_DG!$A$7:$G$1305,2,0)</f>
        <v>02.1123</v>
      </c>
      <c r="D169" s="8" t="str">
        <f>VLOOKUP($B169,R_DG!$A$7:$G$1305,3,0)</f>
        <v>Bốc dỡ đà cản, đế néo</v>
      </c>
      <c r="E169" s="9" t="str">
        <f>VLOOKUP($B169,R_DG!$A$7:$G$1305,4,0)</f>
        <v>tấn</v>
      </c>
      <c r="F169" s="13">
        <f>0.1*0</f>
        <v>0</v>
      </c>
      <c r="G169" s="214">
        <f>VLOOKUP($B169,R_DG!$A$7:$G$1305,5,0)</f>
        <v>0</v>
      </c>
      <c r="H169" s="214">
        <f>VLOOKUP($B169,R_DG!$A$7:$G$1305,6,0)</f>
        <v>0</v>
      </c>
      <c r="I169" s="214">
        <f>VLOOKUP($B169,R_DG!$A$7:$G$1305,7,0)</f>
        <v>0</v>
      </c>
      <c r="J169" s="214">
        <f t="shared" si="22"/>
        <v>0</v>
      </c>
      <c r="K169" s="214">
        <f t="shared" si="22"/>
        <v>0</v>
      </c>
      <c r="L169" s="220">
        <f t="shared" si="22"/>
        <v>0</v>
      </c>
      <c r="M169" s="93">
        <f>IF(F169&gt;0,M$164,0)</f>
        <v>0</v>
      </c>
      <c r="N169" s="328">
        <f ca="1">$F169*N$164</f>
        <v>0</v>
      </c>
    </row>
    <row r="170" spans="1:14" ht="20.100000000000001" customHeight="1">
      <c r="A170" s="89" t="s">
        <v>2560</v>
      </c>
      <c r="B170" s="24"/>
      <c r="C170" s="34"/>
      <c r="D170" s="25" t="s">
        <v>2171</v>
      </c>
      <c r="E170" s="25" t="s">
        <v>2146</v>
      </c>
      <c r="F170" s="26"/>
      <c r="G170" s="213"/>
      <c r="H170" s="213"/>
      <c r="I170" s="213"/>
      <c r="J170" s="213">
        <f>SUM(J171:J173)</f>
        <v>0</v>
      </c>
      <c r="K170" s="213">
        <f>SUM(K171:K173)</f>
        <v>138183.64559999999</v>
      </c>
      <c r="L170" s="219">
        <f>SUM(L171:L173)</f>
        <v>0</v>
      </c>
      <c r="M170" s="92">
        <f>IF(ERROR.TYPE(IF(HLOOKUP(A170,maBK,1,0)&lt;&gt;"",#NULL!,"ABC"))&lt;&gt;7,1,0)</f>
        <v>0</v>
      </c>
      <c r="N170" s="327">
        <f ca="1">SUMIF(maBK,$A170,tongBK1)</f>
        <v>0</v>
      </c>
    </row>
    <row r="171" spans="1:14" ht="20.100000000000001" customHeight="1">
      <c r="A171" s="90"/>
      <c r="B171" s="12" t="s">
        <v>810</v>
      </c>
      <c r="C171" s="32" t="str">
        <f>VLOOKUP($B171,R_DG!$A$7:$G$1305,2,0)</f>
        <v>AB.11400</v>
      </c>
      <c r="D171" s="8" t="str">
        <f>VLOOKUP($B171,R_DG!$A$7:$G$1305,3,0)</f>
        <v>Đào hố móng đất cấp 3 sâu &lt;=1m</v>
      </c>
      <c r="E171" s="9" t="str">
        <f>VLOOKUP($B171,R_DG!$A$7:$G$1305,4,0)</f>
        <v>m3</v>
      </c>
      <c r="F171" s="13">
        <v>0.33</v>
      </c>
      <c r="G171" s="214">
        <f>VLOOKUP($B171,R_DG!$A$7:$G$1305,5,0)</f>
        <v>0</v>
      </c>
      <c r="H171" s="214">
        <f>VLOOKUP($B171,R_DG!$A$7:$G$1305,6,0)</f>
        <v>418738.31999999995</v>
      </c>
      <c r="I171" s="214">
        <f>VLOOKUP($B171,R_DG!$A$7:$G$1305,7,0)</f>
        <v>0</v>
      </c>
      <c r="J171" s="214">
        <f t="shared" ref="J171:L173" si="26">G171*$F171</f>
        <v>0</v>
      </c>
      <c r="K171" s="214">
        <f t="shared" si="26"/>
        <v>138183.64559999999</v>
      </c>
      <c r="L171" s="220">
        <f t="shared" si="26"/>
        <v>0</v>
      </c>
      <c r="M171" s="93">
        <f>IF(F171&gt;0,M$170,0)</f>
        <v>0</v>
      </c>
      <c r="N171" s="328">
        <f ca="1">$F171*N$170</f>
        <v>0</v>
      </c>
    </row>
    <row r="172" spans="1:14" ht="20.100000000000001" customHeight="1">
      <c r="A172" s="90"/>
      <c r="B172" s="12" t="s">
        <v>799</v>
      </c>
      <c r="C172" s="32" t="str">
        <f>VLOOKUP($B172,R_DG!$A$7:$G$1305,2,0)</f>
        <v>03.8133</v>
      </c>
      <c r="D172" s="8" t="str">
        <f>VLOOKUP($B172,R_DG!$A$7:$G$1305,3,0)</f>
        <v>Phá đá chân hố móng, đá cấp I</v>
      </c>
      <c r="E172" s="9" t="str">
        <f>VLOOKUP($B172,R_DG!$A$7:$G$1305,4,0)</f>
        <v>m3</v>
      </c>
      <c r="F172" s="13">
        <v>1.65</v>
      </c>
      <c r="G172" s="214">
        <f>VLOOKUP($B172,R_DG!$A$7:$G$1305,5,0)</f>
        <v>0</v>
      </c>
      <c r="H172" s="214">
        <f>VLOOKUP($B172,R_DG!$A$7:$G$1305,6,0)</f>
        <v>0</v>
      </c>
      <c r="I172" s="214">
        <f>VLOOKUP($B172,R_DG!$A$7:$G$1305,7,0)</f>
        <v>0</v>
      </c>
      <c r="J172" s="214">
        <f t="shared" si="26"/>
        <v>0</v>
      </c>
      <c r="K172" s="214">
        <f t="shared" si="26"/>
        <v>0</v>
      </c>
      <c r="L172" s="220">
        <f t="shared" si="26"/>
        <v>0</v>
      </c>
      <c r="M172" s="93">
        <f>IF(F172&gt;0,M$170,0)</f>
        <v>0</v>
      </c>
      <c r="N172" s="328">
        <f ca="1">$F172*N$170</f>
        <v>0</v>
      </c>
    </row>
    <row r="173" spans="1:14" ht="20.100000000000001" customHeight="1">
      <c r="A173" s="90"/>
      <c r="B173" s="12" t="s">
        <v>833</v>
      </c>
      <c r="C173" s="32" t="str">
        <f>VLOOKUP($B173,R_DG!$A$7:$G$1305,2,0)</f>
        <v>03.2203</v>
      </c>
      <c r="D173" s="8" t="str">
        <f>VLOOKUP($B173,R_DG!$A$7:$G$1305,3,0)</f>
        <v>Đắp đất hố móng, đất cấp 4</v>
      </c>
      <c r="E173" s="9" t="str">
        <f>VLOOKUP($B173,R_DG!$A$7:$G$1305,4,0)</f>
        <v>m3</v>
      </c>
      <c r="F173" s="14">
        <v>2.0499999999999998</v>
      </c>
      <c r="G173" s="214">
        <f>VLOOKUP($B173,R_DG!$A$7:$G$1305,5,0)</f>
        <v>0</v>
      </c>
      <c r="H173" s="214">
        <f>VLOOKUP($B173,R_DG!$A$7:$G$1305,6,0)</f>
        <v>0</v>
      </c>
      <c r="I173" s="214">
        <f>VLOOKUP($B173,R_DG!$A$7:$G$1305,7,0)</f>
        <v>0</v>
      </c>
      <c r="J173" s="214">
        <f t="shared" si="26"/>
        <v>0</v>
      </c>
      <c r="K173" s="214">
        <f t="shared" si="26"/>
        <v>0</v>
      </c>
      <c r="L173" s="220">
        <f t="shared" si="26"/>
        <v>0</v>
      </c>
      <c r="M173" s="93">
        <f>IF(F173&gt;0,M$170,0)</f>
        <v>0</v>
      </c>
      <c r="N173" s="328">
        <f ca="1">$F173*N$170</f>
        <v>0</v>
      </c>
    </row>
    <row r="174" spans="1:14" ht="20.100000000000001" customHeight="1">
      <c r="A174" s="89" t="s">
        <v>2343</v>
      </c>
      <c r="B174" s="24"/>
      <c r="C174" s="34"/>
      <c r="D174" s="25" t="s">
        <v>2172</v>
      </c>
      <c r="E174" s="25" t="s">
        <v>2146</v>
      </c>
      <c r="F174" s="26"/>
      <c r="G174" s="213"/>
      <c r="H174" s="213"/>
      <c r="I174" s="213"/>
      <c r="J174" s="213" t="e">
        <f>SUM(J175:J190)</f>
        <v>#REF!</v>
      </c>
      <c r="K174" s="213">
        <f>SUM(K175:K190)</f>
        <v>924713.13697999995</v>
      </c>
      <c r="L174" s="219">
        <f>SUM(L175:L190)</f>
        <v>0</v>
      </c>
      <c r="M174" s="92">
        <f>IF(ERROR.TYPE(IF(HLOOKUP(A174,maBK,1,0)&lt;&gt;"",#NULL!,"ABC"))&lt;&gt;7,1,0)</f>
        <v>1</v>
      </c>
      <c r="N174" s="327">
        <f ca="1">SUMIF(maBK,$A174,tongBK1)</f>
        <v>1</v>
      </c>
    </row>
    <row r="175" spans="1:14" ht="20.100000000000001" customHeight="1">
      <c r="A175" s="90"/>
      <c r="B175" s="15" t="s">
        <v>767</v>
      </c>
      <c r="C175" s="32">
        <f>VLOOKUP($B175,R_DG!$A$7:$G$1305,2,0)</f>
        <v>0</v>
      </c>
      <c r="D175" s="8" t="str">
        <f>VLOOKUP($B175,R_DG!$A$7:$G$1305,3,0)</f>
        <v>Ximăng</v>
      </c>
      <c r="E175" s="9" t="str">
        <f>VLOOKUP($B175,R_DG!$A$7:$G$1305,4,0)</f>
        <v>kg</v>
      </c>
      <c r="F175" s="14">
        <v>308.39999999999998</v>
      </c>
      <c r="G175" s="214">
        <f>VLOOKUP($B175,R_DG!$A$7:$G$1305,5,0)</f>
        <v>1800</v>
      </c>
      <c r="H175" s="214">
        <f>VLOOKUP($B175,R_DG!$A$7:$G$1305,6,0)</f>
        <v>0</v>
      </c>
      <c r="I175" s="214">
        <f>VLOOKUP($B175,R_DG!$A$7:$G$1305,7,0)</f>
        <v>0</v>
      </c>
      <c r="J175" s="214">
        <f t="shared" ref="J175:L211" si="27">G175*$F175</f>
        <v>555120</v>
      </c>
      <c r="K175" s="214">
        <f t="shared" si="27"/>
        <v>0</v>
      </c>
      <c r="L175" s="220">
        <f t="shared" si="27"/>
        <v>0</v>
      </c>
      <c r="M175" s="93">
        <f t="shared" ref="M175:M190" si="28">IF(F175&gt;0,M$174,0)</f>
        <v>1</v>
      </c>
      <c r="N175" s="328">
        <f t="shared" ref="N175:N190" ca="1" si="29">$F175*N$174</f>
        <v>308.39999999999998</v>
      </c>
    </row>
    <row r="176" spans="1:14" ht="20.100000000000001" customHeight="1">
      <c r="A176" s="90"/>
      <c r="B176" s="15" t="s">
        <v>762</v>
      </c>
      <c r="C176" s="32">
        <f>VLOOKUP($B176,R_DG!$A$7:$G$1305,2,0)</f>
        <v>0</v>
      </c>
      <c r="D176" s="8" t="str">
        <f>VLOOKUP($B176,R_DG!$A$7:$G$1305,3,0)</f>
        <v>Cát vàng</v>
      </c>
      <c r="E176" s="9" t="str">
        <f>VLOOKUP($B176,R_DG!$A$7:$G$1305,4,0)</f>
        <v>m3</v>
      </c>
      <c r="F176" s="14">
        <v>0.495</v>
      </c>
      <c r="G176" s="214">
        <f>VLOOKUP($B176,R_DG!$A$7:$G$1305,5,0)</f>
        <v>320000</v>
      </c>
      <c r="H176" s="214">
        <f>VLOOKUP($B176,R_DG!$A$7:$G$1305,6,0)</f>
        <v>0</v>
      </c>
      <c r="I176" s="214">
        <f>VLOOKUP($B176,R_DG!$A$7:$G$1305,7,0)</f>
        <v>0</v>
      </c>
      <c r="J176" s="214">
        <f t="shared" si="27"/>
        <v>158400</v>
      </c>
      <c r="K176" s="214">
        <f t="shared" si="27"/>
        <v>0</v>
      </c>
      <c r="L176" s="220">
        <f t="shared" si="27"/>
        <v>0</v>
      </c>
      <c r="M176" s="93">
        <f t="shared" si="28"/>
        <v>1</v>
      </c>
      <c r="N176" s="328">
        <f t="shared" ca="1" si="29"/>
        <v>0.495</v>
      </c>
    </row>
    <row r="177" spans="1:14" ht="20.100000000000001" customHeight="1">
      <c r="A177" s="90"/>
      <c r="B177" s="15" t="s">
        <v>2159</v>
      </c>
      <c r="C177" s="32">
        <f>VLOOKUP($B177,R_DG!$A$7:$G$1305,2,0)</f>
        <v>0</v>
      </c>
      <c r="D177" s="8" t="str">
        <f>VLOOKUP($B177,R_DG!$A$7:$G$1305,3,0)</f>
        <v>Đá 1x2</v>
      </c>
      <c r="E177" s="9" t="str">
        <f>VLOOKUP($B177,R_DG!$A$7:$G$1305,4,0)</f>
        <v>m3</v>
      </c>
      <c r="F177" s="14">
        <v>0.91800000000000004</v>
      </c>
      <c r="G177" s="214">
        <f>VLOOKUP($B177,R_DG!$A$7:$G$1305,5,0)</f>
        <v>400000</v>
      </c>
      <c r="H177" s="214">
        <f>VLOOKUP($B177,R_DG!$A$7:$G$1305,6,0)</f>
        <v>0</v>
      </c>
      <c r="I177" s="214">
        <f>VLOOKUP($B177,R_DG!$A$7:$G$1305,7,0)</f>
        <v>0</v>
      </c>
      <c r="J177" s="214">
        <f t="shared" si="27"/>
        <v>367200</v>
      </c>
      <c r="K177" s="214">
        <f t="shared" si="27"/>
        <v>0</v>
      </c>
      <c r="L177" s="220">
        <f t="shared" si="27"/>
        <v>0</v>
      </c>
      <c r="M177" s="93">
        <f t="shared" si="28"/>
        <v>1</v>
      </c>
      <c r="N177" s="328">
        <f t="shared" ca="1" si="29"/>
        <v>0.91800000000000004</v>
      </c>
    </row>
    <row r="178" spans="1:14" ht="20.100000000000001" customHeight="1">
      <c r="A178" s="90"/>
      <c r="B178" s="15" t="s">
        <v>2173</v>
      </c>
      <c r="C178" s="32">
        <f>VLOOKUP($B178,R_DG!$A$7:$G$1305,2,0)</f>
        <v>0</v>
      </c>
      <c r="D178" s="8" t="str">
        <f>VLOOKUP($B178,R_DG!$A$7:$G$1305,3,0)</f>
        <v>Sắt  φ10</v>
      </c>
      <c r="E178" s="9" t="str">
        <f>VLOOKUP($B178,R_DG!$A$7:$G$1305,4,0)</f>
        <v>kg</v>
      </c>
      <c r="F178" s="14"/>
      <c r="G178" s="214">
        <f>VLOOKUP($B178,R_DG!$A$7:$G$1305,5,0)</f>
        <v>14545</v>
      </c>
      <c r="H178" s="214">
        <f>VLOOKUP($B178,R_DG!$A$7:$G$1305,6,0)</f>
        <v>0</v>
      </c>
      <c r="I178" s="214">
        <f>VLOOKUP($B178,R_DG!$A$7:$G$1305,7,0)</f>
        <v>0</v>
      </c>
      <c r="J178" s="214">
        <f t="shared" si="27"/>
        <v>0</v>
      </c>
      <c r="K178" s="214">
        <f t="shared" si="27"/>
        <v>0</v>
      </c>
      <c r="L178" s="220">
        <f t="shared" si="27"/>
        <v>0</v>
      </c>
      <c r="M178" s="93">
        <f t="shared" si="28"/>
        <v>0</v>
      </c>
      <c r="N178" s="328">
        <f t="shared" ca="1" si="29"/>
        <v>0</v>
      </c>
    </row>
    <row r="179" spans="1:14" ht="20.100000000000001" customHeight="1">
      <c r="A179" s="90"/>
      <c r="B179" s="15" t="s">
        <v>2174</v>
      </c>
      <c r="C179" s="32">
        <f>VLOOKUP($B179,R_DG!$A$7:$G$1305,2,0)</f>
        <v>0</v>
      </c>
      <c r="D179" s="8" t="str">
        <f>VLOOKUP($B179,R_DG!$A$7:$G$1305,3,0)</f>
        <v>Kẽm</v>
      </c>
      <c r="E179" s="9" t="str">
        <f>VLOOKUP($B179,R_DG!$A$7:$G$1305,4,0)</f>
        <v>kg</v>
      </c>
      <c r="F179" s="14"/>
      <c r="G179" s="214">
        <f>VLOOKUP($B179,R_DG!$A$7:$G$1305,5,0)</f>
        <v>35200</v>
      </c>
      <c r="H179" s="214">
        <f>VLOOKUP($B179,R_DG!$A$7:$G$1305,6,0)</f>
        <v>0</v>
      </c>
      <c r="I179" s="214">
        <f>VLOOKUP($B179,R_DG!$A$7:$G$1305,7,0)</f>
        <v>0</v>
      </c>
      <c r="J179" s="214">
        <f t="shared" si="27"/>
        <v>0</v>
      </c>
      <c r="K179" s="214">
        <f t="shared" si="27"/>
        <v>0</v>
      </c>
      <c r="L179" s="220">
        <f t="shared" si="27"/>
        <v>0</v>
      </c>
      <c r="M179" s="93">
        <f t="shared" si="28"/>
        <v>0</v>
      </c>
      <c r="N179" s="328">
        <f t="shared" ca="1" si="29"/>
        <v>0</v>
      </c>
    </row>
    <row r="180" spans="1:14" ht="20.100000000000001" customHeight="1">
      <c r="A180" s="90"/>
      <c r="B180" s="7" t="str">
        <f>IF(CAPDAT=1,"MDD1",IF(CAPDAT=2,"MDD2",IF(CAPDAT=3,"MDD3",IF(CAPDAT=4,"MDD4"))))</f>
        <v>MDD3</v>
      </c>
      <c r="C180" s="32" t="str">
        <f>VLOOKUP($B180,R_DG!$A$7:$G$1305,2,0)</f>
        <v>AB.11400</v>
      </c>
      <c r="D180" s="8" t="str">
        <f>VLOOKUP($B180,R_DG!$A$7:$G$1305,3,0)</f>
        <v>Đào hố móng đất cấp 3 sâu &gt;1m, rộng &lt;1m</v>
      </c>
      <c r="E180" s="9" t="str">
        <f>VLOOKUP($B180,R_DG!$A$7:$G$1305,4,0)</f>
        <v>m3</v>
      </c>
      <c r="F180" s="14">
        <v>1.2090000000000001</v>
      </c>
      <c r="G180" s="214">
        <f>VLOOKUP($B180,R_DG!$A$7:$G$1305,5,0)</f>
        <v>0</v>
      </c>
      <c r="H180" s="214">
        <f>VLOOKUP($B180,R_DG!$A$7:$G$1305,6,0)</f>
        <v>418738.31999999995</v>
      </c>
      <c r="I180" s="214">
        <f>VLOOKUP($B180,R_DG!$A$7:$G$1305,7,0)</f>
        <v>0</v>
      </c>
      <c r="J180" s="214">
        <f t="shared" si="27"/>
        <v>0</v>
      </c>
      <c r="K180" s="214">
        <f t="shared" si="27"/>
        <v>506254.62887999997</v>
      </c>
      <c r="L180" s="220">
        <f t="shared" si="27"/>
        <v>0</v>
      </c>
      <c r="M180" s="93">
        <f t="shared" si="28"/>
        <v>1</v>
      </c>
      <c r="N180" s="328">
        <f t="shared" ca="1" si="29"/>
        <v>1.2090000000000001</v>
      </c>
    </row>
    <row r="181" spans="1:14" ht="20.100000000000001" customHeight="1">
      <c r="A181" s="90"/>
      <c r="B181" s="15" t="s">
        <v>831</v>
      </c>
      <c r="C181" s="32" t="str">
        <f>VLOOKUP($B181,R_DG!$A$7:$G$1305,2,0)</f>
        <v>AB.13000</v>
      </c>
      <c r="D181" s="8" t="str">
        <f>VLOOKUP($B181,R_DG!$A$7:$G$1305,3,0)</f>
        <v>Đắp đất hố móng, đất cấp 3, k = 0,85</v>
      </c>
      <c r="E181" s="9" t="str">
        <f>VLOOKUP($B181,R_DG!$A$7:$G$1305,4,0)</f>
        <v>m3</v>
      </c>
      <c r="F181" s="14">
        <v>3.5000000000000003E-2</v>
      </c>
      <c r="G181" s="214">
        <f>VLOOKUP($B181,R_DG!$A$7:$G$1305,5,0)</f>
        <v>0</v>
      </c>
      <c r="H181" s="214">
        <f>VLOOKUP($B181,R_DG!$A$7:$G$1305,6,0)</f>
        <v>100210.88</v>
      </c>
      <c r="I181" s="214">
        <f>VLOOKUP($B181,R_DG!$A$7:$G$1305,7,0)</f>
        <v>0</v>
      </c>
      <c r="J181" s="214">
        <f t="shared" si="27"/>
        <v>0</v>
      </c>
      <c r="K181" s="214">
        <f t="shared" si="27"/>
        <v>3507.3808000000004</v>
      </c>
      <c r="L181" s="220">
        <f t="shared" si="27"/>
        <v>0</v>
      </c>
      <c r="M181" s="93">
        <f t="shared" si="28"/>
        <v>1</v>
      </c>
      <c r="N181" s="328">
        <f t="shared" ca="1" si="29"/>
        <v>3.5000000000000003E-2</v>
      </c>
    </row>
    <row r="182" spans="1:14" ht="20.100000000000001" customHeight="1">
      <c r="A182" s="90"/>
      <c r="B182" s="15" t="s">
        <v>3565</v>
      </c>
      <c r="C182" s="32">
        <f>VLOOKUP($B182,R_DG!$A$7:$G$1305,2,0)</f>
        <v>0</v>
      </c>
      <c r="D182" s="8" t="str">
        <f>VLOOKUP($B182,R_DG!$A$7:$G$1305,3,0)</f>
        <v>Boulon 16x450VRS+ 4 long đền vuông D18-50x50x3/Zn</v>
      </c>
      <c r="E182" s="9" t="str">
        <f>VLOOKUP($B182,R_DG!$A$7:$G$1305,4,0)</f>
        <v>bộ</v>
      </c>
      <c r="F182" s="13"/>
      <c r="G182" s="214" t="e">
        <f>VLOOKUP($B182,R_DG!$A$7:$G$1305,5,0)</f>
        <v>#REF!</v>
      </c>
      <c r="H182" s="214">
        <f>VLOOKUP($B182,R_DG!$A$7:$G$1305,6,0)</f>
        <v>0</v>
      </c>
      <c r="I182" s="214">
        <f>VLOOKUP($B182,R_DG!$A$7:$G$1305,7,0)</f>
        <v>0</v>
      </c>
      <c r="J182" s="214" t="e">
        <f t="shared" si="27"/>
        <v>#REF!</v>
      </c>
      <c r="K182" s="214">
        <f t="shared" si="27"/>
        <v>0</v>
      </c>
      <c r="L182" s="220">
        <f t="shared" si="27"/>
        <v>0</v>
      </c>
      <c r="M182" s="93">
        <f t="shared" si="28"/>
        <v>0</v>
      </c>
      <c r="N182" s="328">
        <f t="shared" ca="1" si="29"/>
        <v>0</v>
      </c>
    </row>
    <row r="183" spans="1:14" ht="20.100000000000001" customHeight="1">
      <c r="A183" s="90"/>
      <c r="B183" s="15" t="s">
        <v>114</v>
      </c>
      <c r="C183" s="32">
        <f>VLOOKUP($B183,R_DG!$A$7:$G$1305,2,0)</f>
        <v>0</v>
      </c>
      <c r="D183" s="8" t="str">
        <f>VLOOKUP($B183,R_DG!$A$7:$G$1305,3,0)</f>
        <v>Boulon 16x550VRS+ 4 long đền vuông D18-50x50x3/Zn</v>
      </c>
      <c r="E183" s="9" t="str">
        <f>VLOOKUP($B183,R_DG!$A$7:$G$1305,4,0)</f>
        <v>bộ</v>
      </c>
      <c r="F183" s="13"/>
      <c r="G183" s="214" t="e">
        <f>VLOOKUP($B183,R_DG!$A$7:$G$1305,5,0)</f>
        <v>#REF!</v>
      </c>
      <c r="H183" s="214">
        <f>VLOOKUP($B183,R_DG!$A$7:$G$1305,6,0)</f>
        <v>0</v>
      </c>
      <c r="I183" s="214">
        <f>VLOOKUP($B183,R_DG!$A$7:$G$1305,7,0)</f>
        <v>0</v>
      </c>
      <c r="J183" s="214" t="e">
        <f t="shared" si="27"/>
        <v>#REF!</v>
      </c>
      <c r="K183" s="214">
        <f t="shared" si="27"/>
        <v>0</v>
      </c>
      <c r="L183" s="220">
        <f t="shared" si="27"/>
        <v>0</v>
      </c>
      <c r="M183" s="93">
        <f t="shared" si="28"/>
        <v>0</v>
      </c>
      <c r="N183" s="328">
        <f t="shared" ca="1" si="29"/>
        <v>0</v>
      </c>
    </row>
    <row r="184" spans="1:14" ht="20.100000000000001" customHeight="1">
      <c r="A184" s="90"/>
      <c r="B184" s="15" t="s">
        <v>118</v>
      </c>
      <c r="C184" s="32">
        <f>VLOOKUP($B184,R_DG!$A$7:$G$1305,2,0)</f>
        <v>0</v>
      </c>
      <c r="D184" s="8" t="str">
        <f>VLOOKUP($B184,R_DG!$A$7:$G$1305,3,0)</f>
        <v>Boulon 16x650VRS+ 4 long đền vuông D18-50x50x3/Zn</v>
      </c>
      <c r="E184" s="9" t="str">
        <f>VLOOKUP($B184,R_DG!$A$7:$G$1305,4,0)</f>
        <v>bộ</v>
      </c>
      <c r="F184" s="13"/>
      <c r="G184" s="214" t="e">
        <f>VLOOKUP($B184,R_DG!$A$7:$G$1305,5,0)</f>
        <v>#REF!</v>
      </c>
      <c r="H184" s="214">
        <f>VLOOKUP($B184,R_DG!$A$7:$G$1305,6,0)</f>
        <v>0</v>
      </c>
      <c r="I184" s="214">
        <f>VLOOKUP($B184,R_DG!$A$7:$G$1305,7,0)</f>
        <v>0</v>
      </c>
      <c r="J184" s="214" t="e">
        <f t="shared" si="27"/>
        <v>#REF!</v>
      </c>
      <c r="K184" s="214">
        <f t="shared" si="27"/>
        <v>0</v>
      </c>
      <c r="L184" s="220">
        <f t="shared" si="27"/>
        <v>0</v>
      </c>
      <c r="M184" s="93">
        <f t="shared" si="28"/>
        <v>0</v>
      </c>
      <c r="N184" s="328">
        <f t="shared" ca="1" si="29"/>
        <v>0</v>
      </c>
    </row>
    <row r="185" spans="1:14" ht="20.100000000000001" customHeight="1">
      <c r="A185" s="90"/>
      <c r="B185" s="15" t="s">
        <v>1027</v>
      </c>
      <c r="C185" s="32" t="str">
        <f>VLOOKUP($B185,R_DG!$A$7:$G$1305,2,0)</f>
        <v>02.1211</v>
      </c>
      <c r="D185" s="8" t="str">
        <f>VLOOKUP($B185,R_DG!$A$7:$G$1305,3,0)</f>
        <v>V/c xi măng ( cự ly &lt;=100m)</v>
      </c>
      <c r="E185" s="9" t="str">
        <f>VLOOKUP($B185,R_DG!$A$7:$G$1305,4,0)</f>
        <v>tấn</v>
      </c>
      <c r="F185" s="13"/>
      <c r="G185" s="214">
        <f>VLOOKUP($B185,R_DG!$A$7:$G$1305,5,0)</f>
        <v>0</v>
      </c>
      <c r="H185" s="214">
        <f>VLOOKUP($B185,R_DG!$A$7:$G$1305,6,0)</f>
        <v>0</v>
      </c>
      <c r="I185" s="214">
        <f>VLOOKUP($B185,R_DG!$A$7:$G$1305,7,0)</f>
        <v>0</v>
      </c>
      <c r="J185" s="214">
        <f t="shared" si="27"/>
        <v>0</v>
      </c>
      <c r="K185" s="214">
        <f t="shared" si="27"/>
        <v>0</v>
      </c>
      <c r="L185" s="220">
        <f t="shared" si="27"/>
        <v>0</v>
      </c>
      <c r="M185" s="93">
        <f t="shared" si="28"/>
        <v>0</v>
      </c>
      <c r="N185" s="328">
        <f t="shared" ca="1" si="29"/>
        <v>0</v>
      </c>
    </row>
    <row r="186" spans="1:14" ht="20.100000000000001" customHeight="1">
      <c r="A186" s="90"/>
      <c r="B186" s="15" t="s">
        <v>1072</v>
      </c>
      <c r="C186" s="32" t="str">
        <f>VLOOKUP($B186,R_DG!$A$7:$G$1305,2,0)</f>
        <v>02.1231</v>
      </c>
      <c r="D186" s="8" t="str">
        <f>VLOOKUP($B186,R_DG!$A$7:$G$1305,3,0)</f>
        <v>V/c cát vàng cự ly &lt;=100m</v>
      </c>
      <c r="E186" s="9" t="str">
        <f>VLOOKUP($B186,R_DG!$A$7:$G$1305,4,0)</f>
        <v>m3</v>
      </c>
      <c r="F186" s="13"/>
      <c r="G186" s="214">
        <f>VLOOKUP($B186,R_DG!$A$7:$G$1305,5,0)</f>
        <v>0</v>
      </c>
      <c r="H186" s="214">
        <f>VLOOKUP($B186,R_DG!$A$7:$G$1305,6,0)</f>
        <v>0</v>
      </c>
      <c r="I186" s="214">
        <f>VLOOKUP($B186,R_DG!$A$7:$G$1305,7,0)</f>
        <v>0</v>
      </c>
      <c r="J186" s="214">
        <f t="shared" si="27"/>
        <v>0</v>
      </c>
      <c r="K186" s="214">
        <f t="shared" si="27"/>
        <v>0</v>
      </c>
      <c r="L186" s="220">
        <f t="shared" si="27"/>
        <v>0</v>
      </c>
      <c r="M186" s="93">
        <f t="shared" si="28"/>
        <v>0</v>
      </c>
      <c r="N186" s="328">
        <f t="shared" ca="1" si="29"/>
        <v>0</v>
      </c>
    </row>
    <row r="187" spans="1:14" ht="20.100000000000001" customHeight="1">
      <c r="A187" s="90"/>
      <c r="B187" s="15" t="s">
        <v>1039</v>
      </c>
      <c r="C187" s="32" t="str">
        <f>VLOOKUP($B187,R_DG!$A$7:$G$1305,2,0)</f>
        <v>02.1241</v>
      </c>
      <c r="D187" s="8" t="str">
        <f>VLOOKUP($B187,R_DG!$A$7:$G$1305,3,0)</f>
        <v>V/c đá dăm ( cự ly &lt;=100m)</v>
      </c>
      <c r="E187" s="9" t="str">
        <f>VLOOKUP($B187,R_DG!$A$7:$G$1305,4,0)</f>
        <v>m3</v>
      </c>
      <c r="F187" s="13"/>
      <c r="G187" s="214">
        <f>VLOOKUP($B187,R_DG!$A$7:$G$1305,5,0)</f>
        <v>0</v>
      </c>
      <c r="H187" s="214">
        <f>VLOOKUP($B187,R_DG!$A$7:$G$1305,6,0)</f>
        <v>0</v>
      </c>
      <c r="I187" s="214">
        <f>VLOOKUP($B187,R_DG!$A$7:$G$1305,7,0)</f>
        <v>0</v>
      </c>
      <c r="J187" s="214">
        <f t="shared" si="27"/>
        <v>0</v>
      </c>
      <c r="K187" s="214">
        <f t="shared" si="27"/>
        <v>0</v>
      </c>
      <c r="L187" s="220">
        <f t="shared" si="27"/>
        <v>0</v>
      </c>
      <c r="M187" s="93">
        <f t="shared" si="28"/>
        <v>0</v>
      </c>
      <c r="N187" s="328">
        <f t="shared" ca="1" si="29"/>
        <v>0</v>
      </c>
    </row>
    <row r="188" spans="1:14" ht="20.100000000000001" customHeight="1">
      <c r="A188" s="90"/>
      <c r="B188" s="15" t="s">
        <v>991</v>
      </c>
      <c r="C188" s="32" t="str">
        <f>VLOOKUP($B188,R_DG!$A$7:$G$1305,2,0)</f>
        <v>02.1482</v>
      </c>
      <c r="D188" s="8" t="str">
        <f>VLOOKUP($B188,R_DG!$A$7:$G$1305,3,0)</f>
        <v>V/c dụng cụ thi công ( cự ly &lt;=100m)</v>
      </c>
      <c r="E188" s="9" t="str">
        <f>VLOOKUP($B188,R_DG!$A$7:$G$1305,4,0)</f>
        <v>tấn</v>
      </c>
      <c r="F188" s="13"/>
      <c r="G188" s="214">
        <f>VLOOKUP($B188,R_DG!$A$7:$G$1305,5,0)</f>
        <v>0</v>
      </c>
      <c r="H188" s="214">
        <f>VLOOKUP($B188,R_DG!$A$7:$G$1305,6,0)</f>
        <v>0</v>
      </c>
      <c r="I188" s="214">
        <f>VLOOKUP($B188,R_DG!$A$7:$G$1305,7,0)</f>
        <v>0</v>
      </c>
      <c r="J188" s="214">
        <f t="shared" si="27"/>
        <v>0</v>
      </c>
      <c r="K188" s="214">
        <f t="shared" si="27"/>
        <v>0</v>
      </c>
      <c r="L188" s="220">
        <f t="shared" si="27"/>
        <v>0</v>
      </c>
      <c r="M188" s="93">
        <f t="shared" si="28"/>
        <v>0</v>
      </c>
      <c r="N188" s="328">
        <f t="shared" ca="1" si="29"/>
        <v>0</v>
      </c>
    </row>
    <row r="189" spans="1:14" ht="20.100000000000001" customHeight="1">
      <c r="A189" s="90"/>
      <c r="B189" s="15" t="s">
        <v>2175</v>
      </c>
      <c r="C189" s="32" t="str">
        <f>VLOOKUP($B189,R_DG!$A$7:$G$1305,2,0)</f>
        <v>04.1101</v>
      </c>
      <c r="D189" s="8" t="str">
        <f>VLOOKUP($B189,R_DG!$A$7:$G$1305,3,0)</f>
        <v>Gia công và lắp dựng cốt thép D&lt;=10</v>
      </c>
      <c r="E189" s="9" t="str">
        <f>VLOOKUP($B189,R_DG!$A$7:$G$1305,4,0)</f>
        <v>kg</v>
      </c>
      <c r="F189" s="14">
        <f>F178*0</f>
        <v>0</v>
      </c>
      <c r="G189" s="214">
        <f>VLOOKUP($B189,R_DG!$A$7:$G$1305,5,0)</f>
        <v>405.99</v>
      </c>
      <c r="H189" s="214">
        <f>VLOOKUP($B189,R_DG!$A$7:$G$1305,6,0)</f>
        <v>0</v>
      </c>
      <c r="I189" s="214">
        <f>VLOOKUP($B189,R_DG!$A$7:$G$1305,7,0)</f>
        <v>0</v>
      </c>
      <c r="J189" s="214">
        <f t="shared" si="27"/>
        <v>0</v>
      </c>
      <c r="K189" s="214">
        <f t="shared" si="27"/>
        <v>0</v>
      </c>
      <c r="L189" s="220">
        <f t="shared" si="27"/>
        <v>0</v>
      </c>
      <c r="M189" s="93">
        <f t="shared" si="28"/>
        <v>0</v>
      </c>
      <c r="N189" s="328">
        <f t="shared" ca="1" si="29"/>
        <v>0</v>
      </c>
    </row>
    <row r="190" spans="1:14" ht="20.100000000000001" customHeight="1">
      <c r="A190" s="90"/>
      <c r="B190" s="15" t="s">
        <v>1245</v>
      </c>
      <c r="C190" s="32" t="str">
        <f>VLOOKUP($B190,R_DG!$A$7:$G$1305,2,0)</f>
        <v>AF112.20</v>
      </c>
      <c r="D190" s="8" t="str">
        <f>VLOOKUP($B190,R_DG!$A$7:$G$1305,3,0)</f>
        <v>Đổ bê tông mác M150 đá 1x2</v>
      </c>
      <c r="E190" s="9" t="str">
        <f>VLOOKUP($B190,R_DG!$A$7:$G$1305,4,0)</f>
        <v>m3</v>
      </c>
      <c r="F190" s="14">
        <v>1.042</v>
      </c>
      <c r="G190" s="214">
        <f>VLOOKUP($B190,R_DG!$A$7:$G$1305,5,0)</f>
        <v>0</v>
      </c>
      <c r="H190" s="214">
        <f>VLOOKUP($B190,R_DG!$A$7:$G$1305,6,0)</f>
        <v>398225.65</v>
      </c>
      <c r="I190" s="214">
        <f>VLOOKUP($B190,R_DG!$A$7:$G$1305,7,0)</f>
        <v>0</v>
      </c>
      <c r="J190" s="214">
        <f t="shared" si="27"/>
        <v>0</v>
      </c>
      <c r="K190" s="214">
        <f t="shared" si="27"/>
        <v>414951.12730000005</v>
      </c>
      <c r="L190" s="220">
        <f t="shared" si="27"/>
        <v>0</v>
      </c>
      <c r="M190" s="93">
        <f t="shared" si="28"/>
        <v>1</v>
      </c>
      <c r="N190" s="328">
        <f t="shared" ca="1" si="29"/>
        <v>1.042</v>
      </c>
    </row>
    <row r="191" spans="1:14" ht="20.100000000000001" customHeight="1">
      <c r="A191" s="221" t="s">
        <v>2344</v>
      </c>
      <c r="B191" s="24"/>
      <c r="C191" s="34"/>
      <c r="D191" s="25" t="s">
        <v>2176</v>
      </c>
      <c r="E191" s="25" t="s">
        <v>2146</v>
      </c>
      <c r="F191" s="26"/>
      <c r="G191" s="213"/>
      <c r="H191" s="213"/>
      <c r="I191" s="213"/>
      <c r="J191" s="213" t="e">
        <f>SUM(J192:J211)</f>
        <v>#REF!</v>
      </c>
      <c r="K191" s="213">
        <f>SUM(K192:K211)</f>
        <v>1615025.9242199999</v>
      </c>
      <c r="L191" s="219">
        <f>SUM(L192:L211)</f>
        <v>0</v>
      </c>
      <c r="M191" s="92">
        <f>IF(ERROR.TYPE(IF(HLOOKUP(A191,maBK,1,0)&lt;&gt;"",#NULL!,"ABC"))&lt;&gt;7,1,0)</f>
        <v>1</v>
      </c>
      <c r="N191" s="327">
        <f ca="1">SUMIF(maBK,$A191,tongBK1)</f>
        <v>4</v>
      </c>
    </row>
    <row r="192" spans="1:14" ht="20.100000000000001" customHeight="1">
      <c r="A192" s="90"/>
      <c r="B192" s="15" t="s">
        <v>767</v>
      </c>
      <c r="C192" s="32">
        <f>VLOOKUP($B192,R_DG!$A$7:$G$1305,2,0)</f>
        <v>0</v>
      </c>
      <c r="D192" s="8" t="str">
        <f>VLOOKUP($B192,R_DG!$A$7:$G$1305,3,0)</f>
        <v>Ximăng</v>
      </c>
      <c r="E192" s="9" t="str">
        <f>VLOOKUP($B192,R_DG!$A$7:$G$1305,4,0)</f>
        <v>kg</v>
      </c>
      <c r="F192" s="14">
        <v>423.3</v>
      </c>
      <c r="G192" s="214">
        <f>VLOOKUP($B192,R_DG!$A$7:$G$1305,5,0)</f>
        <v>1800</v>
      </c>
      <c r="H192" s="214">
        <f>VLOOKUP($B192,R_DG!$A$7:$G$1305,6,0)</f>
        <v>0</v>
      </c>
      <c r="I192" s="214">
        <f>VLOOKUP($B192,R_DG!$A$7:$G$1305,7,0)</f>
        <v>0</v>
      </c>
      <c r="J192" s="214">
        <f t="shared" si="27"/>
        <v>761940</v>
      </c>
      <c r="K192" s="214">
        <f t="shared" si="27"/>
        <v>0</v>
      </c>
      <c r="L192" s="220">
        <f t="shared" si="27"/>
        <v>0</v>
      </c>
      <c r="M192" s="93">
        <f t="shared" ref="M192:M211" si="30">IF(F192&gt;0,M$191,0)</f>
        <v>1</v>
      </c>
      <c r="N192" s="328">
        <f t="shared" ref="N192:N211" ca="1" si="31">$F192*N$191</f>
        <v>1693.2</v>
      </c>
    </row>
    <row r="193" spans="1:14" ht="20.100000000000001" customHeight="1">
      <c r="A193" s="90"/>
      <c r="B193" s="15" t="s">
        <v>762</v>
      </c>
      <c r="C193" s="32">
        <f>VLOOKUP($B193,R_DG!$A$7:$G$1305,2,0)</f>
        <v>0</v>
      </c>
      <c r="D193" s="8" t="str">
        <f>VLOOKUP($B193,R_DG!$A$7:$G$1305,3,0)</f>
        <v>Cát vàng</v>
      </c>
      <c r="E193" s="9" t="str">
        <f>VLOOKUP($B193,R_DG!$A$7:$G$1305,4,0)</f>
        <v>m3</v>
      </c>
      <c r="F193" s="14">
        <v>0.56499999999999995</v>
      </c>
      <c r="G193" s="214">
        <f>VLOOKUP($B193,R_DG!$A$7:$G$1305,5,0)</f>
        <v>320000</v>
      </c>
      <c r="H193" s="214">
        <f>VLOOKUP($B193,R_DG!$A$7:$G$1305,6,0)</f>
        <v>0</v>
      </c>
      <c r="I193" s="214">
        <f>VLOOKUP($B193,R_DG!$A$7:$G$1305,7,0)</f>
        <v>0</v>
      </c>
      <c r="J193" s="214">
        <f t="shared" si="27"/>
        <v>180799.99999999997</v>
      </c>
      <c r="K193" s="214">
        <f t="shared" si="27"/>
        <v>0</v>
      </c>
      <c r="L193" s="220">
        <f t="shared" si="27"/>
        <v>0</v>
      </c>
      <c r="M193" s="93">
        <f t="shared" si="30"/>
        <v>1</v>
      </c>
      <c r="N193" s="328">
        <f t="shared" ca="1" si="31"/>
        <v>2.2599999999999998</v>
      </c>
    </row>
    <row r="194" spans="1:14" ht="20.100000000000001" customHeight="1">
      <c r="A194" s="90"/>
      <c r="B194" s="15" t="s">
        <v>2159</v>
      </c>
      <c r="C194" s="32">
        <f>VLOOKUP($B194,R_DG!$A$7:$G$1305,2,0)</f>
        <v>0</v>
      </c>
      <c r="D194" s="8" t="str">
        <f>VLOOKUP($B194,R_DG!$A$7:$G$1305,3,0)</f>
        <v>Đá 1x2</v>
      </c>
      <c r="E194" s="9" t="str">
        <f>VLOOKUP($B194,R_DG!$A$7:$G$1305,4,0)</f>
        <v>m3</v>
      </c>
      <c r="F194" s="14">
        <v>1.26</v>
      </c>
      <c r="G194" s="214">
        <f>VLOOKUP($B194,R_DG!$A$7:$G$1305,5,0)</f>
        <v>400000</v>
      </c>
      <c r="H194" s="214">
        <f>VLOOKUP($B194,R_DG!$A$7:$G$1305,6,0)</f>
        <v>0</v>
      </c>
      <c r="I194" s="214">
        <f>VLOOKUP($B194,R_DG!$A$7:$G$1305,7,0)</f>
        <v>0</v>
      </c>
      <c r="J194" s="214">
        <f t="shared" si="27"/>
        <v>504000</v>
      </c>
      <c r="K194" s="214">
        <f t="shared" si="27"/>
        <v>0</v>
      </c>
      <c r="L194" s="220">
        <f t="shared" si="27"/>
        <v>0</v>
      </c>
      <c r="M194" s="93">
        <f t="shared" si="30"/>
        <v>1</v>
      </c>
      <c r="N194" s="328">
        <f t="shared" ca="1" si="31"/>
        <v>5.04</v>
      </c>
    </row>
    <row r="195" spans="1:14" ht="20.100000000000001" customHeight="1">
      <c r="A195" s="90"/>
      <c r="B195" s="15" t="s">
        <v>2166</v>
      </c>
      <c r="C195" s="32">
        <f>VLOOKUP($B195,R_DG!$A$7:$G$1305,2,0)</f>
        <v>0</v>
      </c>
      <c r="D195" s="8" t="str">
        <f>VLOOKUP($B195,R_DG!$A$7:$G$1305,3,0)</f>
        <v>Boulon 22x800+ 2 long đền vuông D24-50x50x3/Zn</v>
      </c>
      <c r="E195" s="9" t="str">
        <f>VLOOKUP($B195,R_DG!$A$7:$G$1305,4,0)</f>
        <v>bộ</v>
      </c>
      <c r="F195" s="14"/>
      <c r="G195" s="214" t="e">
        <f>VLOOKUP($B195,R_DG!$A$7:$G$1305,5,0)</f>
        <v>#REF!</v>
      </c>
      <c r="H195" s="214">
        <f>VLOOKUP($B195,R_DG!$A$7:$G$1305,6,0)</f>
        <v>0</v>
      </c>
      <c r="I195" s="214">
        <f>VLOOKUP($B195,R_DG!$A$7:$G$1305,7,0)</f>
        <v>0</v>
      </c>
      <c r="J195" s="214" t="e">
        <f t="shared" si="27"/>
        <v>#REF!</v>
      </c>
      <c r="K195" s="214">
        <f t="shared" si="27"/>
        <v>0</v>
      </c>
      <c r="L195" s="220">
        <f t="shared" si="27"/>
        <v>0</v>
      </c>
      <c r="M195" s="93">
        <f t="shared" si="30"/>
        <v>0</v>
      </c>
      <c r="N195" s="328">
        <f t="shared" ca="1" si="31"/>
        <v>0</v>
      </c>
    </row>
    <row r="196" spans="1:14" ht="20.100000000000001" customHeight="1">
      <c r="A196" s="90"/>
      <c r="B196" s="15" t="s">
        <v>2173</v>
      </c>
      <c r="C196" s="32">
        <f>VLOOKUP($B196,R_DG!$A$7:$G$1305,2,0)</f>
        <v>0</v>
      </c>
      <c r="D196" s="8" t="str">
        <f>VLOOKUP($B196,R_DG!$A$7:$G$1305,3,0)</f>
        <v>Sắt  φ10</v>
      </c>
      <c r="E196" s="9" t="str">
        <f>VLOOKUP($B196,R_DG!$A$7:$G$1305,4,0)</f>
        <v>kg</v>
      </c>
      <c r="F196" s="14"/>
      <c r="G196" s="214">
        <f>VLOOKUP($B196,R_DG!$A$7:$G$1305,5,0)</f>
        <v>14545</v>
      </c>
      <c r="H196" s="214">
        <f>VLOOKUP($B196,R_DG!$A$7:$G$1305,6,0)</f>
        <v>0</v>
      </c>
      <c r="I196" s="214">
        <f>VLOOKUP($B196,R_DG!$A$7:$G$1305,7,0)</f>
        <v>0</v>
      </c>
      <c r="J196" s="214">
        <f t="shared" si="27"/>
        <v>0</v>
      </c>
      <c r="K196" s="214">
        <f t="shared" si="27"/>
        <v>0</v>
      </c>
      <c r="L196" s="220">
        <f t="shared" si="27"/>
        <v>0</v>
      </c>
      <c r="M196" s="93">
        <f t="shared" si="30"/>
        <v>0</v>
      </c>
      <c r="N196" s="328">
        <f t="shared" ca="1" si="31"/>
        <v>0</v>
      </c>
    </row>
    <row r="197" spans="1:14" ht="20.100000000000001" customHeight="1">
      <c r="A197" s="90"/>
      <c r="B197" s="15" t="s">
        <v>2174</v>
      </c>
      <c r="C197" s="32">
        <f>VLOOKUP($B197,R_DG!$A$7:$G$1305,2,0)</f>
        <v>0</v>
      </c>
      <c r="D197" s="8" t="str">
        <f>VLOOKUP($B197,R_DG!$A$7:$G$1305,3,0)</f>
        <v>Kẽm</v>
      </c>
      <c r="E197" s="9" t="str">
        <f>VLOOKUP($B197,R_DG!$A$7:$G$1305,4,0)</f>
        <v>kg</v>
      </c>
      <c r="F197" s="14"/>
      <c r="G197" s="214">
        <f>VLOOKUP($B197,R_DG!$A$7:$G$1305,5,0)</f>
        <v>35200</v>
      </c>
      <c r="H197" s="214">
        <f>VLOOKUP($B197,R_DG!$A$7:$G$1305,6,0)</f>
        <v>0</v>
      </c>
      <c r="I197" s="214">
        <f>VLOOKUP($B197,R_DG!$A$7:$G$1305,7,0)</f>
        <v>0</v>
      </c>
      <c r="J197" s="214">
        <f t="shared" si="27"/>
        <v>0</v>
      </c>
      <c r="K197" s="214">
        <f t="shared" si="27"/>
        <v>0</v>
      </c>
      <c r="L197" s="220">
        <f t="shared" si="27"/>
        <v>0</v>
      </c>
      <c r="M197" s="93">
        <f t="shared" si="30"/>
        <v>0</v>
      </c>
      <c r="N197" s="328">
        <f t="shared" ca="1" si="31"/>
        <v>0</v>
      </c>
    </row>
    <row r="198" spans="1:14" ht="20.100000000000001" customHeight="1">
      <c r="A198" s="90"/>
      <c r="B198" s="7" t="str">
        <f>IF(CAPDAT=1,"MDD1",IF(CAPDAT=2,"MDD2",IF(CAPDAT=3,"MDD3",IF(CAPDAT=4,"MDD4"))))</f>
        <v>MDD3</v>
      </c>
      <c r="C198" s="32" t="str">
        <f>VLOOKUP($B198,R_DG!$A$7:$G$1305,2,0)</f>
        <v>AB.11400</v>
      </c>
      <c r="D198" s="8" t="str">
        <f>VLOOKUP($B198,R_DG!$A$7:$G$1305,3,0)</f>
        <v>Đào hố móng đất cấp 3 sâu &gt;1m, rộng &lt;1m</v>
      </c>
      <c r="E198" s="9" t="str">
        <f>VLOOKUP($B198,R_DG!$A$7:$G$1305,4,0)</f>
        <v>m3</v>
      </c>
      <c r="F198" s="14">
        <v>1.95</v>
      </c>
      <c r="G198" s="214">
        <f>VLOOKUP($B198,R_DG!$A$7:$G$1305,5,0)</f>
        <v>0</v>
      </c>
      <c r="H198" s="214">
        <f>VLOOKUP($B198,R_DG!$A$7:$G$1305,6,0)</f>
        <v>418738.31999999995</v>
      </c>
      <c r="I198" s="214">
        <f>VLOOKUP($B198,R_DG!$A$7:$G$1305,7,0)</f>
        <v>0</v>
      </c>
      <c r="J198" s="214">
        <f t="shared" si="27"/>
        <v>0</v>
      </c>
      <c r="K198" s="214">
        <f t="shared" si="27"/>
        <v>816539.72399999993</v>
      </c>
      <c r="L198" s="220">
        <f t="shared" si="27"/>
        <v>0</v>
      </c>
      <c r="M198" s="93">
        <f t="shared" si="30"/>
        <v>1</v>
      </c>
      <c r="N198" s="328">
        <f t="shared" ca="1" si="31"/>
        <v>7.8</v>
      </c>
    </row>
    <row r="199" spans="1:14" ht="20.100000000000001" customHeight="1">
      <c r="A199" s="90"/>
      <c r="B199" s="15" t="s">
        <v>831</v>
      </c>
      <c r="C199" s="32" t="str">
        <f>VLOOKUP($B199,R_DG!$A$7:$G$1305,2,0)</f>
        <v>AB.13000</v>
      </c>
      <c r="D199" s="8" t="str">
        <f>VLOOKUP($B199,R_DG!$A$7:$G$1305,3,0)</f>
        <v>Đắp đất hố móng, đất cấp 3, k = 0,85</v>
      </c>
      <c r="E199" s="9" t="str">
        <f>VLOOKUP($B199,R_DG!$A$7:$G$1305,4,0)</f>
        <v>m3</v>
      </c>
      <c r="F199" s="14">
        <v>0.219</v>
      </c>
      <c r="G199" s="214">
        <f>VLOOKUP($B199,R_DG!$A$7:$G$1305,5,0)</f>
        <v>0</v>
      </c>
      <c r="H199" s="214">
        <f>VLOOKUP($B199,R_DG!$A$7:$G$1305,6,0)</f>
        <v>100210.88</v>
      </c>
      <c r="I199" s="214">
        <f>VLOOKUP($B199,R_DG!$A$7:$G$1305,7,0)</f>
        <v>0</v>
      </c>
      <c r="J199" s="214">
        <f t="shared" si="27"/>
        <v>0</v>
      </c>
      <c r="K199" s="214">
        <f t="shared" si="27"/>
        <v>21946.182720000001</v>
      </c>
      <c r="L199" s="220">
        <f t="shared" si="27"/>
        <v>0</v>
      </c>
      <c r="M199" s="93">
        <f t="shared" si="30"/>
        <v>1</v>
      </c>
      <c r="N199" s="328">
        <f t="shared" ca="1" si="31"/>
        <v>0.876</v>
      </c>
    </row>
    <row r="200" spans="1:14" ht="20.100000000000001" customHeight="1">
      <c r="A200" s="90"/>
      <c r="B200" s="15" t="s">
        <v>3565</v>
      </c>
      <c r="C200" s="32">
        <f>VLOOKUP($B200,R_DG!$A$7:$G$1305,2,0)</f>
        <v>0</v>
      </c>
      <c r="D200" s="8" t="str">
        <f>VLOOKUP($B200,R_DG!$A$7:$G$1305,3,0)</f>
        <v>Boulon 16x450VRS+ 4 long đền vuông D18-50x50x3/Zn</v>
      </c>
      <c r="E200" s="9" t="str">
        <f>VLOOKUP($B200,R_DG!$A$7:$G$1305,4,0)</f>
        <v>bộ</v>
      </c>
      <c r="F200" s="14">
        <v>1</v>
      </c>
      <c r="G200" s="214" t="e">
        <f>VLOOKUP($B200,R_DG!$A$7:$G$1305,5,0)</f>
        <v>#REF!</v>
      </c>
      <c r="H200" s="214">
        <f>VLOOKUP($B200,R_DG!$A$7:$G$1305,6,0)</f>
        <v>0</v>
      </c>
      <c r="I200" s="214">
        <f>VLOOKUP($B200,R_DG!$A$7:$G$1305,7,0)</f>
        <v>0</v>
      </c>
      <c r="J200" s="214" t="e">
        <f t="shared" ref="J200:L202" si="32">G200*$F200</f>
        <v>#REF!</v>
      </c>
      <c r="K200" s="214">
        <f t="shared" si="32"/>
        <v>0</v>
      </c>
      <c r="L200" s="220">
        <f t="shared" si="32"/>
        <v>0</v>
      </c>
      <c r="M200" s="93">
        <f>IF(F200&gt;0,M$191,0)</f>
        <v>1</v>
      </c>
      <c r="N200" s="328">
        <f t="shared" ca="1" si="31"/>
        <v>4</v>
      </c>
    </row>
    <row r="201" spans="1:14" ht="20.100000000000001" customHeight="1">
      <c r="A201" s="90"/>
      <c r="B201" s="15" t="s">
        <v>114</v>
      </c>
      <c r="C201" s="32">
        <f>VLOOKUP($B201,R_DG!$A$7:$G$1305,2,0)</f>
        <v>0</v>
      </c>
      <c r="D201" s="8" t="str">
        <f>VLOOKUP($B201,R_DG!$A$7:$G$1305,3,0)</f>
        <v>Boulon 16x550VRS+ 4 long đền vuông D18-50x50x3/Zn</v>
      </c>
      <c r="E201" s="9" t="str">
        <f>VLOOKUP($B201,R_DG!$A$7:$G$1305,4,0)</f>
        <v>bộ</v>
      </c>
      <c r="F201" s="14">
        <v>1</v>
      </c>
      <c r="G201" s="214" t="e">
        <f>VLOOKUP($B201,R_DG!$A$7:$G$1305,5,0)</f>
        <v>#REF!</v>
      </c>
      <c r="H201" s="214">
        <f>VLOOKUP($B201,R_DG!$A$7:$G$1305,6,0)</f>
        <v>0</v>
      </c>
      <c r="I201" s="214">
        <f>VLOOKUP($B201,R_DG!$A$7:$G$1305,7,0)</f>
        <v>0</v>
      </c>
      <c r="J201" s="214" t="e">
        <f t="shared" si="32"/>
        <v>#REF!</v>
      </c>
      <c r="K201" s="214">
        <f t="shared" si="32"/>
        <v>0</v>
      </c>
      <c r="L201" s="220">
        <f t="shared" si="32"/>
        <v>0</v>
      </c>
      <c r="M201" s="93">
        <f>IF(F201&gt;0,M$191,0)</f>
        <v>1</v>
      </c>
      <c r="N201" s="328">
        <f t="shared" ca="1" si="31"/>
        <v>4</v>
      </c>
    </row>
    <row r="202" spans="1:14" ht="20.100000000000001" customHeight="1">
      <c r="A202" s="90"/>
      <c r="B202" s="15" t="s">
        <v>118</v>
      </c>
      <c r="C202" s="32">
        <f>VLOOKUP($B202,R_DG!$A$7:$G$1305,2,0)</f>
        <v>0</v>
      </c>
      <c r="D202" s="8" t="str">
        <f>VLOOKUP($B202,R_DG!$A$7:$G$1305,3,0)</f>
        <v>Boulon 16x650VRS+ 4 long đền vuông D18-50x50x3/Zn</v>
      </c>
      <c r="E202" s="9" t="str">
        <f>VLOOKUP($B202,R_DG!$A$7:$G$1305,4,0)</f>
        <v>bộ</v>
      </c>
      <c r="F202" s="14">
        <v>1</v>
      </c>
      <c r="G202" s="214" t="e">
        <f>VLOOKUP($B202,R_DG!$A$7:$G$1305,5,0)</f>
        <v>#REF!</v>
      </c>
      <c r="H202" s="214">
        <f>VLOOKUP($B202,R_DG!$A$7:$G$1305,6,0)</f>
        <v>0</v>
      </c>
      <c r="I202" s="214">
        <f>VLOOKUP($B202,R_DG!$A$7:$G$1305,7,0)</f>
        <v>0</v>
      </c>
      <c r="J202" s="214" t="e">
        <f t="shared" si="32"/>
        <v>#REF!</v>
      </c>
      <c r="K202" s="214">
        <f t="shared" si="32"/>
        <v>0</v>
      </c>
      <c r="L202" s="220">
        <f t="shared" si="32"/>
        <v>0</v>
      </c>
      <c r="M202" s="93">
        <f>IF(F202&gt;0,M$191,0)</f>
        <v>1</v>
      </c>
      <c r="N202" s="328">
        <f t="shared" ca="1" si="31"/>
        <v>4</v>
      </c>
    </row>
    <row r="203" spans="1:14" ht="20.100000000000001" customHeight="1">
      <c r="A203" s="90"/>
      <c r="B203" s="15" t="s">
        <v>1116</v>
      </c>
      <c r="C203" s="32" t="str">
        <f>VLOOKUP($B203,R_DG!$A$7:$G$1305,2,0)</f>
        <v>02.1101</v>
      </c>
      <c r="D203" s="8" t="str">
        <f>VLOOKUP($B203,R_DG!$A$7:$G$1305,3,0)</f>
        <v>Bốc dỡ xi măng</v>
      </c>
      <c r="E203" s="9" t="str">
        <f>VLOOKUP($B203,R_DG!$A$7:$G$1305,4,0)</f>
        <v>tấn</v>
      </c>
      <c r="F203" s="13"/>
      <c r="G203" s="214">
        <f>VLOOKUP($B203,R_DG!$A$7:$G$1305,5,0)</f>
        <v>0</v>
      </c>
      <c r="H203" s="214">
        <f>VLOOKUP($B203,R_DG!$A$7:$G$1305,6,0)</f>
        <v>0</v>
      </c>
      <c r="I203" s="214">
        <f>VLOOKUP($B203,R_DG!$A$7:$G$1305,7,0)</f>
        <v>0</v>
      </c>
      <c r="J203" s="214">
        <f t="shared" si="27"/>
        <v>0</v>
      </c>
      <c r="K203" s="214">
        <f t="shared" si="27"/>
        <v>0</v>
      </c>
      <c r="L203" s="220">
        <f t="shared" si="27"/>
        <v>0</v>
      </c>
      <c r="M203" s="93">
        <f t="shared" si="30"/>
        <v>0</v>
      </c>
      <c r="N203" s="328">
        <f t="shared" ca="1" si="31"/>
        <v>0</v>
      </c>
    </row>
    <row r="204" spans="1:14" ht="20.100000000000001" customHeight="1">
      <c r="A204" s="90"/>
      <c r="B204" s="15" t="s">
        <v>1119</v>
      </c>
      <c r="C204" s="32" t="str">
        <f>VLOOKUP($B204,R_DG!$A$7:$G$1305,2,0)</f>
        <v>02.1103</v>
      </c>
      <c r="D204" s="8" t="str">
        <f>VLOOKUP($B204,R_DG!$A$7:$G$1305,3,0)</f>
        <v>Bốc dỡ cát</v>
      </c>
      <c r="E204" s="9" t="str">
        <f>VLOOKUP($B204,R_DG!$A$7:$G$1305,4,0)</f>
        <v>m3</v>
      </c>
      <c r="F204" s="13"/>
      <c r="G204" s="214">
        <f>VLOOKUP($B204,R_DG!$A$7:$G$1305,5,0)</f>
        <v>0</v>
      </c>
      <c r="H204" s="214">
        <f>VLOOKUP($B204,R_DG!$A$7:$G$1305,6,0)</f>
        <v>0</v>
      </c>
      <c r="I204" s="214">
        <f>VLOOKUP($B204,R_DG!$A$7:$G$1305,7,0)</f>
        <v>0</v>
      </c>
      <c r="J204" s="214">
        <f t="shared" si="27"/>
        <v>0</v>
      </c>
      <c r="K204" s="214">
        <f t="shared" si="27"/>
        <v>0</v>
      </c>
      <c r="L204" s="220">
        <f t="shared" si="27"/>
        <v>0</v>
      </c>
      <c r="M204" s="93">
        <f t="shared" si="30"/>
        <v>0</v>
      </c>
      <c r="N204" s="328">
        <f t="shared" ca="1" si="31"/>
        <v>0</v>
      </c>
    </row>
    <row r="205" spans="1:14" ht="20.100000000000001" customHeight="1">
      <c r="A205" s="90"/>
      <c r="B205" s="15" t="s">
        <v>1122</v>
      </c>
      <c r="C205" s="32" t="str">
        <f>VLOOKUP($B205,R_DG!$A$7:$G$1305,2,0)</f>
        <v>02.1104</v>
      </c>
      <c r="D205" s="8" t="str">
        <f>VLOOKUP($B205,R_DG!$A$7:$G$1305,3,0)</f>
        <v>Bốc dỡ đá dăm</v>
      </c>
      <c r="E205" s="9" t="str">
        <f>VLOOKUP($B205,R_DG!$A$7:$G$1305,4,0)</f>
        <v>m3</v>
      </c>
      <c r="F205" s="13"/>
      <c r="G205" s="214">
        <f>VLOOKUP($B205,R_DG!$A$7:$G$1305,5,0)</f>
        <v>0</v>
      </c>
      <c r="H205" s="214">
        <f>VLOOKUP($B205,R_DG!$A$7:$G$1305,6,0)</f>
        <v>0</v>
      </c>
      <c r="I205" s="214">
        <f>VLOOKUP($B205,R_DG!$A$7:$G$1305,7,0)</f>
        <v>0</v>
      </c>
      <c r="J205" s="214">
        <f t="shared" si="27"/>
        <v>0</v>
      </c>
      <c r="K205" s="214">
        <f t="shared" si="27"/>
        <v>0</v>
      </c>
      <c r="L205" s="220">
        <f t="shared" si="27"/>
        <v>0</v>
      </c>
      <c r="M205" s="93">
        <f t="shared" si="30"/>
        <v>0</v>
      </c>
      <c r="N205" s="328">
        <f t="shared" ca="1" si="31"/>
        <v>0</v>
      </c>
    </row>
    <row r="206" spans="1:14" ht="20.100000000000001" customHeight="1">
      <c r="A206" s="90"/>
      <c r="B206" s="15" t="s">
        <v>1027</v>
      </c>
      <c r="C206" s="32" t="str">
        <f>VLOOKUP($B206,R_DG!$A$7:$G$1305,2,0)</f>
        <v>02.1211</v>
      </c>
      <c r="D206" s="8" t="str">
        <f>VLOOKUP($B206,R_DG!$A$7:$G$1305,3,0)</f>
        <v>V/c xi măng ( cự ly &lt;=100m)</v>
      </c>
      <c r="E206" s="9" t="str">
        <f>VLOOKUP($B206,R_DG!$A$7:$G$1305,4,0)</f>
        <v>tấn</v>
      </c>
      <c r="F206" s="13"/>
      <c r="G206" s="214">
        <f>VLOOKUP($B206,R_DG!$A$7:$G$1305,5,0)</f>
        <v>0</v>
      </c>
      <c r="H206" s="214">
        <f>VLOOKUP($B206,R_DG!$A$7:$G$1305,6,0)</f>
        <v>0</v>
      </c>
      <c r="I206" s="214">
        <f>VLOOKUP($B206,R_DG!$A$7:$G$1305,7,0)</f>
        <v>0</v>
      </c>
      <c r="J206" s="214">
        <f t="shared" si="27"/>
        <v>0</v>
      </c>
      <c r="K206" s="214">
        <f t="shared" si="27"/>
        <v>0</v>
      </c>
      <c r="L206" s="220">
        <f t="shared" si="27"/>
        <v>0</v>
      </c>
      <c r="M206" s="93">
        <f t="shared" si="30"/>
        <v>0</v>
      </c>
      <c r="N206" s="328">
        <f t="shared" ca="1" si="31"/>
        <v>0</v>
      </c>
    </row>
    <row r="207" spans="1:14" ht="20.100000000000001" customHeight="1">
      <c r="A207" s="90"/>
      <c r="B207" s="15" t="s">
        <v>1072</v>
      </c>
      <c r="C207" s="32" t="str">
        <f>VLOOKUP($B207,R_DG!$A$7:$G$1305,2,0)</f>
        <v>02.1231</v>
      </c>
      <c r="D207" s="8" t="str">
        <f>VLOOKUP($B207,R_DG!$A$7:$G$1305,3,0)</f>
        <v>V/c cát vàng cự ly &lt;=100m</v>
      </c>
      <c r="E207" s="9" t="str">
        <f>VLOOKUP($B207,R_DG!$A$7:$G$1305,4,0)</f>
        <v>m3</v>
      </c>
      <c r="F207" s="13"/>
      <c r="G207" s="214">
        <f>VLOOKUP($B207,R_DG!$A$7:$G$1305,5,0)</f>
        <v>0</v>
      </c>
      <c r="H207" s="214">
        <f>VLOOKUP($B207,R_DG!$A$7:$G$1305,6,0)</f>
        <v>0</v>
      </c>
      <c r="I207" s="214">
        <f>VLOOKUP($B207,R_DG!$A$7:$G$1305,7,0)</f>
        <v>0</v>
      </c>
      <c r="J207" s="214">
        <f t="shared" si="27"/>
        <v>0</v>
      </c>
      <c r="K207" s="214">
        <f t="shared" si="27"/>
        <v>0</v>
      </c>
      <c r="L207" s="220">
        <f t="shared" si="27"/>
        <v>0</v>
      </c>
      <c r="M207" s="93">
        <f t="shared" si="30"/>
        <v>0</v>
      </c>
      <c r="N207" s="328">
        <f t="shared" ca="1" si="31"/>
        <v>0</v>
      </c>
    </row>
    <row r="208" spans="1:14" ht="20.100000000000001" customHeight="1">
      <c r="A208" s="90"/>
      <c r="B208" s="15" t="s">
        <v>1039</v>
      </c>
      <c r="C208" s="32" t="str">
        <f>VLOOKUP($B208,R_DG!$A$7:$G$1305,2,0)</f>
        <v>02.1241</v>
      </c>
      <c r="D208" s="8" t="str">
        <f>VLOOKUP($B208,R_DG!$A$7:$G$1305,3,0)</f>
        <v>V/c đá dăm ( cự ly &lt;=100m)</v>
      </c>
      <c r="E208" s="9" t="str">
        <f>VLOOKUP($B208,R_DG!$A$7:$G$1305,4,0)</f>
        <v>m3</v>
      </c>
      <c r="F208" s="13"/>
      <c r="G208" s="214">
        <f>VLOOKUP($B208,R_DG!$A$7:$G$1305,5,0)</f>
        <v>0</v>
      </c>
      <c r="H208" s="214">
        <f>VLOOKUP($B208,R_DG!$A$7:$G$1305,6,0)</f>
        <v>0</v>
      </c>
      <c r="I208" s="214">
        <f>VLOOKUP($B208,R_DG!$A$7:$G$1305,7,0)</f>
        <v>0</v>
      </c>
      <c r="J208" s="214">
        <f t="shared" si="27"/>
        <v>0</v>
      </c>
      <c r="K208" s="214">
        <f t="shared" si="27"/>
        <v>0</v>
      </c>
      <c r="L208" s="220">
        <f t="shared" si="27"/>
        <v>0</v>
      </c>
      <c r="M208" s="93">
        <f t="shared" si="30"/>
        <v>0</v>
      </c>
      <c r="N208" s="328">
        <f t="shared" ca="1" si="31"/>
        <v>0</v>
      </c>
    </row>
    <row r="209" spans="1:14" ht="20.100000000000001" customHeight="1">
      <c r="A209" s="90"/>
      <c r="B209" s="15" t="s">
        <v>991</v>
      </c>
      <c r="C209" s="32" t="str">
        <f>VLOOKUP($B209,R_DG!$A$7:$G$1305,2,0)</f>
        <v>02.1482</v>
      </c>
      <c r="D209" s="8" t="str">
        <f>VLOOKUP($B209,R_DG!$A$7:$G$1305,3,0)</f>
        <v>V/c dụng cụ thi công ( cự ly &lt;=100m)</v>
      </c>
      <c r="E209" s="9" t="str">
        <f>VLOOKUP($B209,R_DG!$A$7:$G$1305,4,0)</f>
        <v>tấn</v>
      </c>
      <c r="F209" s="13"/>
      <c r="G209" s="214">
        <f>VLOOKUP($B209,R_DG!$A$7:$G$1305,5,0)</f>
        <v>0</v>
      </c>
      <c r="H209" s="214">
        <f>VLOOKUP($B209,R_DG!$A$7:$G$1305,6,0)</f>
        <v>0</v>
      </c>
      <c r="I209" s="214">
        <f>VLOOKUP($B209,R_DG!$A$7:$G$1305,7,0)</f>
        <v>0</v>
      </c>
      <c r="J209" s="214">
        <f t="shared" si="27"/>
        <v>0</v>
      </c>
      <c r="K209" s="214">
        <f t="shared" si="27"/>
        <v>0</v>
      </c>
      <c r="L209" s="220">
        <f t="shared" si="27"/>
        <v>0</v>
      </c>
      <c r="M209" s="93">
        <f t="shared" si="30"/>
        <v>0</v>
      </c>
      <c r="N209" s="328">
        <f t="shared" ca="1" si="31"/>
        <v>0</v>
      </c>
    </row>
    <row r="210" spans="1:14" ht="20.100000000000001" customHeight="1">
      <c r="A210" s="90"/>
      <c r="B210" s="15" t="s">
        <v>2175</v>
      </c>
      <c r="C210" s="32" t="str">
        <f>VLOOKUP($B210,R_DG!$A$7:$G$1305,2,0)</f>
        <v>04.1101</v>
      </c>
      <c r="D210" s="8" t="str">
        <f>VLOOKUP($B210,R_DG!$A$7:$G$1305,3,0)</f>
        <v>Gia công và lắp dựng cốt thép D&lt;=10</v>
      </c>
      <c r="E210" s="9" t="str">
        <f>VLOOKUP($B210,R_DG!$A$7:$G$1305,4,0)</f>
        <v>kg</v>
      </c>
      <c r="F210" s="14">
        <f>F196</f>
        <v>0</v>
      </c>
      <c r="G210" s="214">
        <f>VLOOKUP($B210,R_DG!$A$7:$G$1305,5,0)</f>
        <v>405.99</v>
      </c>
      <c r="H210" s="214">
        <f>VLOOKUP($B210,R_DG!$A$7:$G$1305,6,0)</f>
        <v>0</v>
      </c>
      <c r="I210" s="214">
        <f>VLOOKUP($B210,R_DG!$A$7:$G$1305,7,0)</f>
        <v>0</v>
      </c>
      <c r="J210" s="214">
        <f t="shared" si="27"/>
        <v>0</v>
      </c>
      <c r="K210" s="214">
        <f t="shared" si="27"/>
        <v>0</v>
      </c>
      <c r="L210" s="220">
        <f t="shared" si="27"/>
        <v>0</v>
      </c>
      <c r="M210" s="93">
        <f t="shared" si="30"/>
        <v>0</v>
      </c>
      <c r="N210" s="328">
        <f t="shared" ca="1" si="31"/>
        <v>0</v>
      </c>
    </row>
    <row r="211" spans="1:14" ht="20.100000000000001" customHeight="1">
      <c r="A211" s="90"/>
      <c r="B211" s="15" t="s">
        <v>1245</v>
      </c>
      <c r="C211" s="32" t="str">
        <f>VLOOKUP($B211,R_DG!$A$7:$G$1305,2,0)</f>
        <v>AF112.20</v>
      </c>
      <c r="D211" s="8" t="str">
        <f>VLOOKUP($B211,R_DG!$A$7:$G$1305,3,0)</f>
        <v>Đổ bê tông mác M150 đá 1x2</v>
      </c>
      <c r="E211" s="9" t="str">
        <f>VLOOKUP($B211,R_DG!$A$7:$G$1305,4,0)</f>
        <v>m3</v>
      </c>
      <c r="F211" s="14">
        <v>1.95</v>
      </c>
      <c r="G211" s="214">
        <f>VLOOKUP($B211,R_DG!$A$7:$G$1305,5,0)</f>
        <v>0</v>
      </c>
      <c r="H211" s="214">
        <f>VLOOKUP($B211,R_DG!$A$7:$G$1305,6,0)</f>
        <v>398225.65</v>
      </c>
      <c r="I211" s="214">
        <f>VLOOKUP($B211,R_DG!$A$7:$G$1305,7,0)</f>
        <v>0</v>
      </c>
      <c r="J211" s="214">
        <f t="shared" si="27"/>
        <v>0</v>
      </c>
      <c r="K211" s="214">
        <f t="shared" si="27"/>
        <v>776540.01750000007</v>
      </c>
      <c r="L211" s="220">
        <f t="shared" si="27"/>
        <v>0</v>
      </c>
      <c r="M211" s="93">
        <f t="shared" si="30"/>
        <v>1</v>
      </c>
      <c r="N211" s="328">
        <f t="shared" ca="1" si="31"/>
        <v>7.8</v>
      </c>
    </row>
    <row r="212" spans="1:14" ht="20.100000000000001" customHeight="1">
      <c r="A212" s="89" t="s">
        <v>2177</v>
      </c>
      <c r="B212" s="24"/>
      <c r="C212" s="34"/>
      <c r="D212" s="25" t="s">
        <v>2178</v>
      </c>
      <c r="E212" s="25" t="s">
        <v>2146</v>
      </c>
      <c r="F212" s="26"/>
      <c r="G212" s="213"/>
      <c r="H212" s="213"/>
      <c r="I212" s="213"/>
      <c r="J212" s="213">
        <f>SUM(J213:J214)</f>
        <v>0</v>
      </c>
      <c r="K212" s="213">
        <f>SUM(K213:K214)</f>
        <v>207579.68</v>
      </c>
      <c r="L212" s="219">
        <f>SUM(L213:L214)</f>
        <v>0</v>
      </c>
      <c r="M212" s="92">
        <f>IF(ERROR.TYPE(IF(HLOOKUP(A212,maBK,1,0)&lt;&gt;"",#NULL!,"ABC"))&lt;&gt;7,1,0)</f>
        <v>0</v>
      </c>
      <c r="N212" s="327">
        <f ca="1">SUMIF(maBK,$A212,tongBK1)</f>
        <v>0</v>
      </c>
    </row>
    <row r="213" spans="1:14" ht="20.100000000000001" customHeight="1">
      <c r="A213" s="90"/>
      <c r="B213" s="12" t="s">
        <v>818</v>
      </c>
      <c r="C213" s="32" t="str">
        <f>VLOOKUP($B213,R_DG!$A$7:$G$1305,2,0)</f>
        <v>AB.11400</v>
      </c>
      <c r="D213" s="8" t="str">
        <f>VLOOKUP($B213,R_DG!$A$7:$G$1305,3,0)</f>
        <v>Đào hố móng đất cấp 3 sâu &gt;1m, rộng &lt;1m</v>
      </c>
      <c r="E213" s="9" t="str">
        <f>VLOOKUP($B213,R_DG!$A$7:$G$1305,4,0)</f>
        <v>m3</v>
      </c>
      <c r="F213" s="14">
        <v>0.4</v>
      </c>
      <c r="G213" s="214">
        <f>VLOOKUP($B213,R_DG!$A$7:$G$1305,5,0)</f>
        <v>0</v>
      </c>
      <c r="H213" s="214">
        <f>VLOOKUP($B213,R_DG!$A$7:$G$1305,6,0)</f>
        <v>418738.31999999995</v>
      </c>
      <c r="I213" s="214">
        <f>VLOOKUP($B213,R_DG!$A$7:$G$1305,7,0)</f>
        <v>0</v>
      </c>
      <c r="J213" s="214">
        <f t="shared" ref="J213:L237" si="33">G213*$F213</f>
        <v>0</v>
      </c>
      <c r="K213" s="214">
        <f t="shared" si="33"/>
        <v>167495.32799999998</v>
      </c>
      <c r="L213" s="220">
        <f t="shared" si="33"/>
        <v>0</v>
      </c>
      <c r="M213" s="93">
        <f>IF(F213&gt;0,M$212,0)</f>
        <v>0</v>
      </c>
      <c r="N213" s="328">
        <f ca="1">$F213*N$212</f>
        <v>0</v>
      </c>
    </row>
    <row r="214" spans="1:14" ht="20.100000000000001" customHeight="1">
      <c r="A214" s="87"/>
      <c r="B214" s="7" t="s">
        <v>831</v>
      </c>
      <c r="C214" s="32" t="str">
        <f>VLOOKUP($B214,R_DG!$A$7:$G$1305,2,0)</f>
        <v>AB.13000</v>
      </c>
      <c r="D214" s="8" t="str">
        <f>VLOOKUP($B214,R_DG!$A$7:$G$1305,3,0)</f>
        <v>Đắp đất hố móng, đất cấp 3, k = 0,85</v>
      </c>
      <c r="E214" s="9" t="str">
        <f>VLOOKUP($B214,R_DG!$A$7:$G$1305,4,0)</f>
        <v>m3</v>
      </c>
      <c r="F214" s="11">
        <v>0.4</v>
      </c>
      <c r="G214" s="214">
        <f>VLOOKUP($B214,R_DG!$A$7:$G$1305,5,0)</f>
        <v>0</v>
      </c>
      <c r="H214" s="214">
        <f>VLOOKUP($B214,R_DG!$A$7:$G$1305,6,0)</f>
        <v>100210.88</v>
      </c>
      <c r="I214" s="214">
        <f>VLOOKUP($B214,R_DG!$A$7:$G$1305,7,0)</f>
        <v>0</v>
      </c>
      <c r="J214" s="214">
        <f t="shared" si="33"/>
        <v>0</v>
      </c>
      <c r="K214" s="214">
        <f t="shared" si="33"/>
        <v>40084.352000000006</v>
      </c>
      <c r="L214" s="220">
        <f t="shared" si="33"/>
        <v>0</v>
      </c>
      <c r="M214" s="93">
        <f>IF(F214&gt;0,M$212,0)</f>
        <v>0</v>
      </c>
      <c r="N214" s="328">
        <f ca="1">$F214*N$212</f>
        <v>0</v>
      </c>
    </row>
    <row r="215" spans="1:14" ht="20.100000000000001" customHeight="1">
      <c r="A215" s="89" t="s">
        <v>2179</v>
      </c>
      <c r="B215" s="24"/>
      <c r="C215" s="34"/>
      <c r="D215" s="25" t="s">
        <v>2180</v>
      </c>
      <c r="E215" s="25" t="s">
        <v>2146</v>
      </c>
      <c r="F215" s="26"/>
      <c r="G215" s="213"/>
      <c r="H215" s="213"/>
      <c r="I215" s="213"/>
      <c r="J215" s="213" t="e">
        <f>SUM(J216:J220)</f>
        <v>#REF!</v>
      </c>
      <c r="K215" s="213">
        <f>SUM(K216:K220)</f>
        <v>990149.49439999973</v>
      </c>
      <c r="L215" s="219">
        <f>SUM(L216:L220)</f>
        <v>0</v>
      </c>
      <c r="M215" s="92">
        <f>IF(ERROR.TYPE(IF(HLOOKUP(A215,maBK,1,0)&lt;&gt;"",#NULL!,"ABC"))&lt;&gt;7,1,0)</f>
        <v>0</v>
      </c>
      <c r="N215" s="327">
        <f ca="1">SUMIF(maBK,$A215,tongBK1)</f>
        <v>0</v>
      </c>
    </row>
    <row r="216" spans="1:14" ht="20.100000000000001" customHeight="1">
      <c r="A216" s="90"/>
      <c r="B216" s="12" t="s">
        <v>2149</v>
      </c>
      <c r="C216" s="32" t="str">
        <f>VLOOKUP($B216,R_DG!$A$7:$G$1305,2,0)</f>
        <v>04.3801</v>
      </c>
      <c r="D216" s="8" t="str">
        <f>VLOOKUP($B216,R_DG!$A$7:$G$1305,3,0)</f>
        <v>Đà cản BTCT 1,2m</v>
      </c>
      <c r="E216" s="9" t="str">
        <f>VLOOKUP($B216,R_DG!$A$7:$G$1305,4,0)</f>
        <v>cái</v>
      </c>
      <c r="F216" s="14">
        <v>1</v>
      </c>
      <c r="G216" s="214">
        <f>VLOOKUP($B216,R_DG!$A$7:$G$1305,5,0)</f>
        <v>650000</v>
      </c>
      <c r="H216" s="214">
        <f>VLOOKUP($B216,R_DG!$A$7:$G$1305,6,0)</f>
        <v>161119.20000000001</v>
      </c>
      <c r="I216" s="214">
        <f>VLOOKUP($B216,R_DG!$A$7:$G$1305,7,0)</f>
        <v>0</v>
      </c>
      <c r="J216" s="214">
        <f t="shared" si="33"/>
        <v>650000</v>
      </c>
      <c r="K216" s="214">
        <f t="shared" si="33"/>
        <v>161119.20000000001</v>
      </c>
      <c r="L216" s="220">
        <f t="shared" si="33"/>
        <v>0</v>
      </c>
      <c r="M216" s="93">
        <f>IF(F216&gt;0,M$215,0)</f>
        <v>0</v>
      </c>
      <c r="N216" s="328">
        <f ca="1">$F216*N$215</f>
        <v>0</v>
      </c>
    </row>
    <row r="217" spans="1:14" ht="20.100000000000001" customHeight="1">
      <c r="A217" s="90"/>
      <c r="B217" s="12" t="s">
        <v>2165</v>
      </c>
      <c r="C217" s="32">
        <f>VLOOKUP($B217,R_DG!$A$7:$G$1305,2,0)</f>
        <v>0</v>
      </c>
      <c r="D217" s="8" t="str">
        <f>VLOOKUP($B217,R_DG!$A$7:$G$1305,3,0)</f>
        <v>Boulon 22x650+ 2 long đền vuông D24-50x50x3/Zn</v>
      </c>
      <c r="E217" s="9" t="str">
        <f>VLOOKUP($B217,R_DG!$A$7:$G$1305,4,0)</f>
        <v>bộ</v>
      </c>
      <c r="F217" s="14">
        <v>1</v>
      </c>
      <c r="G217" s="214" t="e">
        <f>VLOOKUP($B217,R_DG!$A$7:$G$1305,5,0)</f>
        <v>#REF!</v>
      </c>
      <c r="H217" s="214">
        <f>VLOOKUP($B217,R_DG!$A$7:$G$1305,6,0)</f>
        <v>0</v>
      </c>
      <c r="I217" s="214">
        <f>VLOOKUP($B217,R_DG!$A$7:$G$1305,7,0)</f>
        <v>0</v>
      </c>
      <c r="J217" s="214" t="e">
        <f t="shared" si="33"/>
        <v>#REF!</v>
      </c>
      <c r="K217" s="214">
        <f t="shared" si="33"/>
        <v>0</v>
      </c>
      <c r="L217" s="220">
        <f t="shared" si="33"/>
        <v>0</v>
      </c>
      <c r="M217" s="93">
        <f>IF(F217&gt;0,M$215,0)</f>
        <v>0</v>
      </c>
      <c r="N217" s="328">
        <f ca="1">$F217*N$215</f>
        <v>0</v>
      </c>
    </row>
    <row r="218" spans="1:14" ht="20.100000000000001" customHeight="1">
      <c r="A218" s="90"/>
      <c r="B218" s="12" t="str">
        <f>IF(CAPDAT=1,"MDD1",IF(CAPDAT=2,"MDD2",IF(CAPDAT=3,"MDD3",IF(CAPDAT=4,"MDD4"))))</f>
        <v>MDD3</v>
      </c>
      <c r="C218" s="32" t="str">
        <f>VLOOKUP($B218,R_DG!$A$7:$G$1305,2,0)</f>
        <v>AB.11400</v>
      </c>
      <c r="D218" s="8" t="str">
        <f>VLOOKUP($B218,R_DG!$A$7:$G$1305,3,0)</f>
        <v>Đào hố móng đất cấp 3 sâu &gt;1m, rộng &lt;1m</v>
      </c>
      <c r="E218" s="9" t="str">
        <f>VLOOKUP($B218,R_DG!$A$7:$G$1305,4,0)</f>
        <v>m3</v>
      </c>
      <c r="F218" s="14">
        <v>1.64</v>
      </c>
      <c r="G218" s="214">
        <f>VLOOKUP($B218,R_DG!$A$7:$G$1305,5,0)</f>
        <v>0</v>
      </c>
      <c r="H218" s="214">
        <f>VLOOKUP($B218,R_DG!$A$7:$G$1305,6,0)</f>
        <v>418738.31999999995</v>
      </c>
      <c r="I218" s="214">
        <f>VLOOKUP($B218,R_DG!$A$7:$G$1305,7,0)</f>
        <v>0</v>
      </c>
      <c r="J218" s="214">
        <f t="shared" si="33"/>
        <v>0</v>
      </c>
      <c r="K218" s="214">
        <f t="shared" si="33"/>
        <v>686730.84479999985</v>
      </c>
      <c r="L218" s="220">
        <f t="shared" si="33"/>
        <v>0</v>
      </c>
      <c r="M218" s="93">
        <f>IF(F218&gt;0,M$215,0)</f>
        <v>0</v>
      </c>
      <c r="N218" s="328">
        <f ca="1">$F218*N$215</f>
        <v>0</v>
      </c>
    </row>
    <row r="219" spans="1:14" ht="20.100000000000001" customHeight="1">
      <c r="A219" s="90"/>
      <c r="B219" s="12" t="str">
        <f>IF(CAPDAT=1,"MDAP1",IF(CAPDAT=2,"MDAP2",IF(CAPDAT=3,"MDAP3",IF(CAPDAT=4,"MDAP4"))))</f>
        <v>MDAP3</v>
      </c>
      <c r="C219" s="32" t="str">
        <f>VLOOKUP($B219,R_DG!$A$7:$G$1305,2,0)</f>
        <v>AB.13000</v>
      </c>
      <c r="D219" s="8" t="str">
        <f>VLOOKUP($B219,R_DG!$A$7:$G$1305,3,0)</f>
        <v>Đắp đất hố móng, đất cấp 3, k = 0,85</v>
      </c>
      <c r="E219" s="9" t="str">
        <f>VLOOKUP($B219,R_DG!$A$7:$G$1305,4,0)</f>
        <v>m3</v>
      </c>
      <c r="F219" s="14">
        <v>1.42</v>
      </c>
      <c r="G219" s="214">
        <f>VLOOKUP($B219,R_DG!$A$7:$G$1305,5,0)</f>
        <v>0</v>
      </c>
      <c r="H219" s="214">
        <f>VLOOKUP($B219,R_DG!$A$7:$G$1305,6,0)</f>
        <v>100210.88</v>
      </c>
      <c r="I219" s="214">
        <f>VLOOKUP($B219,R_DG!$A$7:$G$1305,7,0)</f>
        <v>0</v>
      </c>
      <c r="J219" s="214">
        <f t="shared" si="33"/>
        <v>0</v>
      </c>
      <c r="K219" s="214">
        <f t="shared" si="33"/>
        <v>142299.44959999999</v>
      </c>
      <c r="L219" s="220">
        <f t="shared" si="33"/>
        <v>0</v>
      </c>
      <c r="M219" s="93">
        <f>IF(F219&gt;0,M$215,0)</f>
        <v>0</v>
      </c>
      <c r="N219" s="328">
        <f ca="1">$F219*N$215</f>
        <v>0</v>
      </c>
    </row>
    <row r="220" spans="1:14" ht="20.100000000000001" customHeight="1">
      <c r="A220" s="90"/>
      <c r="B220" s="12" t="s">
        <v>2152</v>
      </c>
      <c r="C220" s="32" t="str">
        <f>VLOOKUP($B220,R_DG!$A$7:$G$1305,2,0)</f>
        <v>02.1123</v>
      </c>
      <c r="D220" s="8" t="str">
        <f>VLOOKUP($B220,R_DG!$A$7:$G$1305,3,0)</f>
        <v>Bốc dỡ đà cản, đế néo</v>
      </c>
      <c r="E220" s="9" t="str">
        <f>VLOOKUP($B220,R_DG!$A$7:$G$1305,4,0)</f>
        <v>tấn</v>
      </c>
      <c r="F220" s="13"/>
      <c r="G220" s="214">
        <f>VLOOKUP($B220,R_DG!$A$7:$G$1305,5,0)</f>
        <v>0</v>
      </c>
      <c r="H220" s="214">
        <f>VLOOKUP($B220,R_DG!$A$7:$G$1305,6,0)</f>
        <v>0</v>
      </c>
      <c r="I220" s="214">
        <f>VLOOKUP($B220,R_DG!$A$7:$G$1305,7,0)</f>
        <v>0</v>
      </c>
      <c r="J220" s="214">
        <f t="shared" si="33"/>
        <v>0</v>
      </c>
      <c r="K220" s="214">
        <f t="shared" si="33"/>
        <v>0</v>
      </c>
      <c r="L220" s="220">
        <f t="shared" si="33"/>
        <v>0</v>
      </c>
      <c r="M220" s="93">
        <f>IF(F220&gt;0,M$215,0)</f>
        <v>0</v>
      </c>
      <c r="N220" s="328">
        <f ca="1">$F220*N$215</f>
        <v>0</v>
      </c>
    </row>
    <row r="221" spans="1:14" ht="20.100000000000001" customHeight="1">
      <c r="A221" s="89" t="s">
        <v>2342</v>
      </c>
      <c r="B221" s="24"/>
      <c r="C221" s="34"/>
      <c r="D221" s="25" t="s">
        <v>2181</v>
      </c>
      <c r="E221" s="25" t="s">
        <v>2146</v>
      </c>
      <c r="F221" s="26"/>
      <c r="G221" s="213"/>
      <c r="H221" s="213"/>
      <c r="I221" s="213"/>
      <c r="J221" s="213">
        <f>SUM(J222:J237)</f>
        <v>1665439.7890000001</v>
      </c>
      <c r="K221" s="213">
        <f>SUM(K222:K237)</f>
        <v>1021072.0023000001</v>
      </c>
      <c r="L221" s="219">
        <f>SUM(L222:L237)</f>
        <v>0</v>
      </c>
      <c r="M221" s="92">
        <f>IF(ERROR.TYPE(IF(HLOOKUP(A221,maBK,1,0)&lt;&gt;"",#NULL!,"ABC"))&lt;&gt;7,1,0)</f>
        <v>0</v>
      </c>
      <c r="N221" s="327">
        <f ca="1">SUMIF(maBK,$A221,tongBK1)</f>
        <v>0</v>
      </c>
    </row>
    <row r="222" spans="1:14" ht="20.100000000000001" customHeight="1">
      <c r="A222" s="90"/>
      <c r="B222" s="15" t="s">
        <v>767</v>
      </c>
      <c r="C222" s="32">
        <f>VLOOKUP($B222,R_DG!$A$7:$G$1305,2,0)</f>
        <v>0</v>
      </c>
      <c r="D222" s="8" t="str">
        <f>VLOOKUP($B222,R_DG!$A$7:$G$1305,3,0)</f>
        <v>Ximăng</v>
      </c>
      <c r="E222" s="9" t="str">
        <f>VLOOKUP($B222,R_DG!$A$7:$G$1305,4,0)</f>
        <v>kg</v>
      </c>
      <c r="F222" s="14">
        <v>336</v>
      </c>
      <c r="G222" s="214">
        <f>VLOOKUP($B222,R_DG!$A$7:$G$1305,5,0)</f>
        <v>1800</v>
      </c>
      <c r="H222" s="214">
        <f>VLOOKUP($B222,R_DG!$A$7:$G$1305,6,0)</f>
        <v>0</v>
      </c>
      <c r="I222" s="214">
        <f>VLOOKUP($B222,R_DG!$A$7:$G$1305,7,0)</f>
        <v>0</v>
      </c>
      <c r="J222" s="214">
        <f t="shared" si="33"/>
        <v>604800</v>
      </c>
      <c r="K222" s="214">
        <f t="shared" si="33"/>
        <v>0</v>
      </c>
      <c r="L222" s="220">
        <f t="shared" si="33"/>
        <v>0</v>
      </c>
      <c r="M222" s="93">
        <f t="shared" ref="M222:M237" si="34">IF(F222&gt;0,M$221,0)</f>
        <v>0</v>
      </c>
      <c r="N222" s="328">
        <f t="shared" ref="N222:N237" ca="1" si="35">$F222*N$221</f>
        <v>0</v>
      </c>
    </row>
    <row r="223" spans="1:14" ht="20.100000000000001" customHeight="1">
      <c r="A223" s="90"/>
      <c r="B223" s="15" t="s">
        <v>762</v>
      </c>
      <c r="C223" s="32">
        <f>VLOOKUP($B223,R_DG!$A$7:$G$1305,2,0)</f>
        <v>0</v>
      </c>
      <c r="D223" s="8" t="str">
        <f>VLOOKUP($B223,R_DG!$A$7:$G$1305,3,0)</f>
        <v>Cát vàng</v>
      </c>
      <c r="E223" s="9" t="str">
        <f>VLOOKUP($B223,R_DG!$A$7:$G$1305,4,0)</f>
        <v>m3</v>
      </c>
      <c r="F223" s="14">
        <v>0.53900000000000003</v>
      </c>
      <c r="G223" s="214">
        <f>VLOOKUP($B223,R_DG!$A$7:$G$1305,5,0)</f>
        <v>320000</v>
      </c>
      <c r="H223" s="214">
        <f>VLOOKUP($B223,R_DG!$A$7:$G$1305,6,0)</f>
        <v>0</v>
      </c>
      <c r="I223" s="214">
        <f>VLOOKUP($B223,R_DG!$A$7:$G$1305,7,0)</f>
        <v>0</v>
      </c>
      <c r="J223" s="214">
        <f t="shared" si="33"/>
        <v>172480</v>
      </c>
      <c r="K223" s="214">
        <f t="shared" si="33"/>
        <v>0</v>
      </c>
      <c r="L223" s="220">
        <f t="shared" si="33"/>
        <v>0</v>
      </c>
      <c r="M223" s="93">
        <f t="shared" si="34"/>
        <v>0</v>
      </c>
      <c r="N223" s="328">
        <f t="shared" ca="1" si="35"/>
        <v>0</v>
      </c>
    </row>
    <row r="224" spans="1:14" ht="20.100000000000001" customHeight="1">
      <c r="A224" s="90"/>
      <c r="B224" s="15" t="s">
        <v>2159</v>
      </c>
      <c r="C224" s="32">
        <f>VLOOKUP($B224,R_DG!$A$7:$G$1305,2,0)</f>
        <v>0</v>
      </c>
      <c r="D224" s="8" t="str">
        <f>VLOOKUP($B224,R_DG!$A$7:$G$1305,3,0)</f>
        <v>Đá 1x2</v>
      </c>
      <c r="E224" s="9" t="str">
        <f>VLOOKUP($B224,R_DG!$A$7:$G$1305,4,0)</f>
        <v>m3</v>
      </c>
      <c r="F224" s="14">
        <v>0.999</v>
      </c>
      <c r="G224" s="214">
        <f>VLOOKUP($B224,R_DG!$A$7:$G$1305,5,0)</f>
        <v>400000</v>
      </c>
      <c r="H224" s="214">
        <f>VLOOKUP($B224,R_DG!$A$7:$G$1305,6,0)</f>
        <v>0</v>
      </c>
      <c r="I224" s="214">
        <f>VLOOKUP($B224,R_DG!$A$7:$G$1305,7,0)</f>
        <v>0</v>
      </c>
      <c r="J224" s="214">
        <f t="shared" si="33"/>
        <v>399600</v>
      </c>
      <c r="K224" s="214">
        <f t="shared" si="33"/>
        <v>0</v>
      </c>
      <c r="L224" s="220">
        <f t="shared" si="33"/>
        <v>0</v>
      </c>
      <c r="M224" s="93">
        <f t="shared" si="34"/>
        <v>0</v>
      </c>
      <c r="N224" s="328">
        <f t="shared" ca="1" si="35"/>
        <v>0</v>
      </c>
    </row>
    <row r="225" spans="1:14" ht="20.100000000000001" customHeight="1">
      <c r="A225" s="90"/>
      <c r="B225" s="15" t="s">
        <v>2173</v>
      </c>
      <c r="C225" s="32">
        <f>VLOOKUP($B225,R_DG!$A$7:$G$1305,2,0)</f>
        <v>0</v>
      </c>
      <c r="D225" s="8" t="str">
        <f>VLOOKUP($B225,R_DG!$A$7:$G$1305,3,0)</f>
        <v>Sắt  φ10</v>
      </c>
      <c r="E225" s="9" t="str">
        <f>VLOOKUP($B225,R_DG!$A$7:$G$1305,4,0)</f>
        <v>kg</v>
      </c>
      <c r="F225" s="14">
        <v>31.1</v>
      </c>
      <c r="G225" s="214">
        <f>VLOOKUP($B225,R_DG!$A$7:$G$1305,5,0)</f>
        <v>14545</v>
      </c>
      <c r="H225" s="214">
        <f>VLOOKUP($B225,R_DG!$A$7:$G$1305,6,0)</f>
        <v>0</v>
      </c>
      <c r="I225" s="214">
        <f>VLOOKUP($B225,R_DG!$A$7:$G$1305,7,0)</f>
        <v>0</v>
      </c>
      <c r="J225" s="214">
        <f t="shared" si="33"/>
        <v>452349.5</v>
      </c>
      <c r="K225" s="214">
        <f t="shared" si="33"/>
        <v>0</v>
      </c>
      <c r="L225" s="220">
        <f t="shared" si="33"/>
        <v>0</v>
      </c>
      <c r="M225" s="93">
        <f t="shared" si="34"/>
        <v>0</v>
      </c>
      <c r="N225" s="328">
        <f t="shared" ca="1" si="35"/>
        <v>0</v>
      </c>
    </row>
    <row r="226" spans="1:14" ht="20.100000000000001" customHeight="1">
      <c r="A226" s="90"/>
      <c r="B226" s="15" t="s">
        <v>2174</v>
      </c>
      <c r="C226" s="32">
        <f>VLOOKUP($B226,R_DG!$A$7:$G$1305,2,0)</f>
        <v>0</v>
      </c>
      <c r="D226" s="8" t="str">
        <f>VLOOKUP($B226,R_DG!$A$7:$G$1305,3,0)</f>
        <v>Kẽm</v>
      </c>
      <c r="E226" s="9" t="str">
        <f>VLOOKUP($B226,R_DG!$A$7:$G$1305,4,0)</f>
        <v>kg</v>
      </c>
      <c r="F226" s="14">
        <v>0.67</v>
      </c>
      <c r="G226" s="214">
        <f>VLOOKUP($B226,R_DG!$A$7:$G$1305,5,0)</f>
        <v>35200</v>
      </c>
      <c r="H226" s="214">
        <f>VLOOKUP($B226,R_DG!$A$7:$G$1305,6,0)</f>
        <v>0</v>
      </c>
      <c r="I226" s="214">
        <f>VLOOKUP($B226,R_DG!$A$7:$G$1305,7,0)</f>
        <v>0</v>
      </c>
      <c r="J226" s="214">
        <f t="shared" si="33"/>
        <v>23584</v>
      </c>
      <c r="K226" s="214">
        <f t="shared" si="33"/>
        <v>0</v>
      </c>
      <c r="L226" s="220">
        <f t="shared" si="33"/>
        <v>0</v>
      </c>
      <c r="M226" s="93">
        <f t="shared" si="34"/>
        <v>0</v>
      </c>
      <c r="N226" s="328">
        <f t="shared" ca="1" si="35"/>
        <v>0</v>
      </c>
    </row>
    <row r="227" spans="1:14" ht="20.100000000000001" customHeight="1">
      <c r="A227" s="90"/>
      <c r="B227" s="15" t="s">
        <v>818</v>
      </c>
      <c r="C227" s="32" t="str">
        <f>VLOOKUP($B227,R_DG!$A$7:$G$1305,2,0)</f>
        <v>AB.11400</v>
      </c>
      <c r="D227" s="8" t="str">
        <f>VLOOKUP($B227,R_DG!$A$7:$G$1305,3,0)</f>
        <v>Đào hố móng đất cấp 3 sâu &gt;1m, rộng &lt;1m</v>
      </c>
      <c r="E227" s="9" t="str">
        <f>VLOOKUP($B227,R_DG!$A$7:$G$1305,4,0)</f>
        <v>m3</v>
      </c>
      <c r="F227" s="14">
        <v>1.36</v>
      </c>
      <c r="G227" s="214">
        <f>VLOOKUP($B227,R_DG!$A$7:$G$1305,5,0)</f>
        <v>0</v>
      </c>
      <c r="H227" s="214">
        <f>VLOOKUP($B227,R_DG!$A$7:$G$1305,6,0)</f>
        <v>418738.31999999995</v>
      </c>
      <c r="I227" s="214">
        <f>VLOOKUP($B227,R_DG!$A$7:$G$1305,7,0)</f>
        <v>0</v>
      </c>
      <c r="J227" s="214">
        <f t="shared" si="33"/>
        <v>0</v>
      </c>
      <c r="K227" s="214">
        <f t="shared" si="33"/>
        <v>569484.1152</v>
      </c>
      <c r="L227" s="220">
        <f t="shared" si="33"/>
        <v>0</v>
      </c>
      <c r="M227" s="93">
        <f t="shared" si="34"/>
        <v>0</v>
      </c>
      <c r="N227" s="328">
        <f t="shared" ca="1" si="35"/>
        <v>0</v>
      </c>
    </row>
    <row r="228" spans="1:14" ht="20.100000000000001" customHeight="1">
      <c r="A228" s="90"/>
      <c r="B228" s="15" t="s">
        <v>831</v>
      </c>
      <c r="C228" s="32" t="str">
        <f>VLOOKUP($B228,R_DG!$A$7:$G$1305,2,0)</f>
        <v>AB.13000</v>
      </c>
      <c r="D228" s="8" t="str">
        <f>VLOOKUP($B228,R_DG!$A$7:$G$1305,3,0)</f>
        <v>Đắp đất hố móng, đất cấp 3, k = 0,85</v>
      </c>
      <c r="E228" s="9" t="str">
        <f>VLOOKUP($B228,R_DG!$A$7:$G$1305,4,0)</f>
        <v>m3</v>
      </c>
      <c r="F228" s="14">
        <v>0</v>
      </c>
      <c r="G228" s="214">
        <f>VLOOKUP($B228,R_DG!$A$7:$G$1305,5,0)</f>
        <v>0</v>
      </c>
      <c r="H228" s="214">
        <f>VLOOKUP($B228,R_DG!$A$7:$G$1305,6,0)</f>
        <v>100210.88</v>
      </c>
      <c r="I228" s="214">
        <f>VLOOKUP($B228,R_DG!$A$7:$G$1305,7,0)</f>
        <v>0</v>
      </c>
      <c r="J228" s="214">
        <f t="shared" si="33"/>
        <v>0</v>
      </c>
      <c r="K228" s="214">
        <f t="shared" si="33"/>
        <v>0</v>
      </c>
      <c r="L228" s="220">
        <f t="shared" si="33"/>
        <v>0</v>
      </c>
      <c r="M228" s="93">
        <f t="shared" si="34"/>
        <v>0</v>
      </c>
      <c r="N228" s="328">
        <f t="shared" ca="1" si="35"/>
        <v>0</v>
      </c>
    </row>
    <row r="229" spans="1:14" ht="20.100000000000001" customHeight="1">
      <c r="A229" s="90"/>
      <c r="B229" s="15" t="s">
        <v>1116</v>
      </c>
      <c r="C229" s="32" t="str">
        <f>VLOOKUP($B229,R_DG!$A$7:$G$1305,2,0)</f>
        <v>02.1101</v>
      </c>
      <c r="D229" s="8" t="str">
        <f>VLOOKUP($B229,R_DG!$A$7:$G$1305,3,0)</f>
        <v>Bốc dỡ xi măng</v>
      </c>
      <c r="E229" s="9" t="str">
        <f>VLOOKUP($B229,R_DG!$A$7:$G$1305,4,0)</f>
        <v>tấn</v>
      </c>
      <c r="F229" s="13"/>
      <c r="G229" s="214">
        <f>VLOOKUP($B229,R_DG!$A$7:$G$1305,5,0)</f>
        <v>0</v>
      </c>
      <c r="H229" s="214">
        <f>VLOOKUP($B229,R_DG!$A$7:$G$1305,6,0)</f>
        <v>0</v>
      </c>
      <c r="I229" s="214">
        <f>VLOOKUP($B229,R_DG!$A$7:$G$1305,7,0)</f>
        <v>0</v>
      </c>
      <c r="J229" s="214">
        <f t="shared" si="33"/>
        <v>0</v>
      </c>
      <c r="K229" s="214">
        <f t="shared" si="33"/>
        <v>0</v>
      </c>
      <c r="L229" s="220">
        <f t="shared" si="33"/>
        <v>0</v>
      </c>
      <c r="M229" s="93">
        <f t="shared" si="34"/>
        <v>0</v>
      </c>
      <c r="N229" s="328">
        <f t="shared" ca="1" si="35"/>
        <v>0</v>
      </c>
    </row>
    <row r="230" spans="1:14" ht="20.100000000000001" customHeight="1">
      <c r="A230" s="90"/>
      <c r="B230" s="15" t="s">
        <v>1119</v>
      </c>
      <c r="C230" s="32" t="str">
        <f>VLOOKUP($B230,R_DG!$A$7:$G$1305,2,0)</f>
        <v>02.1103</v>
      </c>
      <c r="D230" s="8" t="str">
        <f>VLOOKUP($B230,R_DG!$A$7:$G$1305,3,0)</f>
        <v>Bốc dỡ cát</v>
      </c>
      <c r="E230" s="9" t="str">
        <f>VLOOKUP($B230,R_DG!$A$7:$G$1305,4,0)</f>
        <v>m3</v>
      </c>
      <c r="F230" s="13"/>
      <c r="G230" s="214">
        <f>VLOOKUP($B230,R_DG!$A$7:$G$1305,5,0)</f>
        <v>0</v>
      </c>
      <c r="H230" s="214">
        <f>VLOOKUP($B230,R_DG!$A$7:$G$1305,6,0)</f>
        <v>0</v>
      </c>
      <c r="I230" s="214">
        <f>VLOOKUP($B230,R_DG!$A$7:$G$1305,7,0)</f>
        <v>0</v>
      </c>
      <c r="J230" s="214">
        <f t="shared" si="33"/>
        <v>0</v>
      </c>
      <c r="K230" s="214">
        <f t="shared" si="33"/>
        <v>0</v>
      </c>
      <c r="L230" s="220">
        <f t="shared" si="33"/>
        <v>0</v>
      </c>
      <c r="M230" s="93">
        <f t="shared" si="34"/>
        <v>0</v>
      </c>
      <c r="N230" s="328">
        <f t="shared" ca="1" si="35"/>
        <v>0</v>
      </c>
    </row>
    <row r="231" spans="1:14" ht="20.100000000000001" customHeight="1">
      <c r="A231" s="90"/>
      <c r="B231" s="15" t="s">
        <v>1122</v>
      </c>
      <c r="C231" s="32" t="str">
        <f>VLOOKUP($B231,R_DG!$A$7:$G$1305,2,0)</f>
        <v>02.1104</v>
      </c>
      <c r="D231" s="8" t="str">
        <f>VLOOKUP($B231,R_DG!$A$7:$G$1305,3,0)</f>
        <v>Bốc dỡ đá dăm</v>
      </c>
      <c r="E231" s="9" t="str">
        <f>VLOOKUP($B231,R_DG!$A$7:$G$1305,4,0)</f>
        <v>m3</v>
      </c>
      <c r="F231" s="13"/>
      <c r="G231" s="214">
        <f>VLOOKUP($B231,R_DG!$A$7:$G$1305,5,0)</f>
        <v>0</v>
      </c>
      <c r="H231" s="214">
        <f>VLOOKUP($B231,R_DG!$A$7:$G$1305,6,0)</f>
        <v>0</v>
      </c>
      <c r="I231" s="214">
        <f>VLOOKUP($B231,R_DG!$A$7:$G$1305,7,0)</f>
        <v>0</v>
      </c>
      <c r="J231" s="214">
        <f t="shared" si="33"/>
        <v>0</v>
      </c>
      <c r="K231" s="214">
        <f t="shared" si="33"/>
        <v>0</v>
      </c>
      <c r="L231" s="220">
        <f t="shared" si="33"/>
        <v>0</v>
      </c>
      <c r="M231" s="93">
        <f t="shared" si="34"/>
        <v>0</v>
      </c>
      <c r="N231" s="328">
        <f t="shared" ca="1" si="35"/>
        <v>0</v>
      </c>
    </row>
    <row r="232" spans="1:14" ht="20.100000000000001" customHeight="1">
      <c r="A232" s="90"/>
      <c r="B232" s="15" t="s">
        <v>1027</v>
      </c>
      <c r="C232" s="32" t="str">
        <f>VLOOKUP($B232,R_DG!$A$7:$G$1305,2,0)</f>
        <v>02.1211</v>
      </c>
      <c r="D232" s="8" t="str">
        <f>VLOOKUP($B232,R_DG!$A$7:$G$1305,3,0)</f>
        <v>V/c xi măng ( cự ly &lt;=100m)</v>
      </c>
      <c r="E232" s="9" t="str">
        <f>VLOOKUP($B232,R_DG!$A$7:$G$1305,4,0)</f>
        <v>tấn</v>
      </c>
      <c r="F232" s="13"/>
      <c r="G232" s="214">
        <f>VLOOKUP($B232,R_DG!$A$7:$G$1305,5,0)</f>
        <v>0</v>
      </c>
      <c r="H232" s="214">
        <f>VLOOKUP($B232,R_DG!$A$7:$G$1305,6,0)</f>
        <v>0</v>
      </c>
      <c r="I232" s="214">
        <f>VLOOKUP($B232,R_DG!$A$7:$G$1305,7,0)</f>
        <v>0</v>
      </c>
      <c r="J232" s="214">
        <f t="shared" si="33"/>
        <v>0</v>
      </c>
      <c r="K232" s="214">
        <f t="shared" si="33"/>
        <v>0</v>
      </c>
      <c r="L232" s="220">
        <f t="shared" si="33"/>
        <v>0</v>
      </c>
      <c r="M232" s="93">
        <f t="shared" si="34"/>
        <v>0</v>
      </c>
      <c r="N232" s="328">
        <f t="shared" ca="1" si="35"/>
        <v>0</v>
      </c>
    </row>
    <row r="233" spans="1:14" ht="20.100000000000001" customHeight="1">
      <c r="A233" s="90"/>
      <c r="B233" s="15" t="s">
        <v>1072</v>
      </c>
      <c r="C233" s="32" t="str">
        <f>VLOOKUP($B233,R_DG!$A$7:$G$1305,2,0)</f>
        <v>02.1231</v>
      </c>
      <c r="D233" s="8" t="str">
        <f>VLOOKUP($B233,R_DG!$A$7:$G$1305,3,0)</f>
        <v>V/c cát vàng cự ly &lt;=100m</v>
      </c>
      <c r="E233" s="9" t="str">
        <f>VLOOKUP($B233,R_DG!$A$7:$G$1305,4,0)</f>
        <v>m3</v>
      </c>
      <c r="F233" s="13"/>
      <c r="G233" s="214">
        <f>VLOOKUP($B233,R_DG!$A$7:$G$1305,5,0)</f>
        <v>0</v>
      </c>
      <c r="H233" s="214">
        <f>VLOOKUP($B233,R_DG!$A$7:$G$1305,6,0)</f>
        <v>0</v>
      </c>
      <c r="I233" s="214">
        <f>VLOOKUP($B233,R_DG!$A$7:$G$1305,7,0)</f>
        <v>0</v>
      </c>
      <c r="J233" s="214">
        <f t="shared" si="33"/>
        <v>0</v>
      </c>
      <c r="K233" s="214">
        <f t="shared" si="33"/>
        <v>0</v>
      </c>
      <c r="L233" s="220">
        <f t="shared" si="33"/>
        <v>0</v>
      </c>
      <c r="M233" s="93">
        <f t="shared" si="34"/>
        <v>0</v>
      </c>
      <c r="N233" s="328">
        <f t="shared" ca="1" si="35"/>
        <v>0</v>
      </c>
    </row>
    <row r="234" spans="1:14" ht="20.100000000000001" customHeight="1">
      <c r="A234" s="90"/>
      <c r="B234" s="15" t="s">
        <v>1039</v>
      </c>
      <c r="C234" s="32" t="str">
        <f>VLOOKUP($B234,R_DG!$A$7:$G$1305,2,0)</f>
        <v>02.1241</v>
      </c>
      <c r="D234" s="8" t="str">
        <f>VLOOKUP($B234,R_DG!$A$7:$G$1305,3,0)</f>
        <v>V/c đá dăm ( cự ly &lt;=100m)</v>
      </c>
      <c r="E234" s="9" t="str">
        <f>VLOOKUP($B234,R_DG!$A$7:$G$1305,4,0)</f>
        <v>m3</v>
      </c>
      <c r="F234" s="13"/>
      <c r="G234" s="214">
        <f>VLOOKUP($B234,R_DG!$A$7:$G$1305,5,0)</f>
        <v>0</v>
      </c>
      <c r="H234" s="214">
        <f>VLOOKUP($B234,R_DG!$A$7:$G$1305,6,0)</f>
        <v>0</v>
      </c>
      <c r="I234" s="214">
        <f>VLOOKUP($B234,R_DG!$A$7:$G$1305,7,0)</f>
        <v>0</v>
      </c>
      <c r="J234" s="214">
        <f t="shared" si="33"/>
        <v>0</v>
      </c>
      <c r="K234" s="214">
        <f t="shared" si="33"/>
        <v>0</v>
      </c>
      <c r="L234" s="220">
        <f t="shared" si="33"/>
        <v>0</v>
      </c>
      <c r="M234" s="93">
        <f t="shared" si="34"/>
        <v>0</v>
      </c>
      <c r="N234" s="328">
        <f t="shared" ca="1" si="35"/>
        <v>0</v>
      </c>
    </row>
    <row r="235" spans="1:14" ht="20.100000000000001" customHeight="1">
      <c r="A235" s="90"/>
      <c r="B235" s="15" t="s">
        <v>991</v>
      </c>
      <c r="C235" s="32" t="str">
        <f>VLOOKUP($B235,R_DG!$A$7:$G$1305,2,0)</f>
        <v>02.1482</v>
      </c>
      <c r="D235" s="8" t="str">
        <f>VLOOKUP($B235,R_DG!$A$7:$G$1305,3,0)</f>
        <v>V/c dụng cụ thi công ( cự ly &lt;=100m)</v>
      </c>
      <c r="E235" s="9" t="str">
        <f>VLOOKUP($B235,R_DG!$A$7:$G$1305,4,0)</f>
        <v>tấn</v>
      </c>
      <c r="F235" s="13"/>
      <c r="G235" s="214">
        <f>VLOOKUP($B235,R_DG!$A$7:$G$1305,5,0)</f>
        <v>0</v>
      </c>
      <c r="H235" s="214">
        <f>VLOOKUP($B235,R_DG!$A$7:$G$1305,6,0)</f>
        <v>0</v>
      </c>
      <c r="I235" s="214">
        <f>VLOOKUP($B235,R_DG!$A$7:$G$1305,7,0)</f>
        <v>0</v>
      </c>
      <c r="J235" s="214">
        <f t="shared" si="33"/>
        <v>0</v>
      </c>
      <c r="K235" s="214">
        <f t="shared" si="33"/>
        <v>0</v>
      </c>
      <c r="L235" s="220">
        <f t="shared" si="33"/>
        <v>0</v>
      </c>
      <c r="M235" s="93">
        <f t="shared" si="34"/>
        <v>0</v>
      </c>
      <c r="N235" s="328">
        <f t="shared" ca="1" si="35"/>
        <v>0</v>
      </c>
    </row>
    <row r="236" spans="1:14" ht="20.100000000000001" customHeight="1">
      <c r="A236" s="90"/>
      <c r="B236" s="15" t="s">
        <v>2175</v>
      </c>
      <c r="C236" s="32" t="str">
        <f>VLOOKUP($B236,R_DG!$A$7:$G$1305,2,0)</f>
        <v>04.1101</v>
      </c>
      <c r="D236" s="8" t="str">
        <f>VLOOKUP($B236,R_DG!$A$7:$G$1305,3,0)</f>
        <v>Gia công và lắp dựng cốt thép D&lt;=10</v>
      </c>
      <c r="E236" s="9" t="str">
        <f>VLOOKUP($B236,R_DG!$A$7:$G$1305,4,0)</f>
        <v>kg</v>
      </c>
      <c r="F236" s="14">
        <f>F225</f>
        <v>31.1</v>
      </c>
      <c r="G236" s="214">
        <f>VLOOKUP($B236,R_DG!$A$7:$G$1305,5,0)</f>
        <v>405.99</v>
      </c>
      <c r="H236" s="214">
        <f>VLOOKUP($B236,R_DG!$A$7:$G$1305,6,0)</f>
        <v>0</v>
      </c>
      <c r="I236" s="214">
        <f>VLOOKUP($B236,R_DG!$A$7:$G$1305,7,0)</f>
        <v>0</v>
      </c>
      <c r="J236" s="214">
        <f t="shared" si="33"/>
        <v>12626.289000000001</v>
      </c>
      <c r="K236" s="214">
        <f t="shared" si="33"/>
        <v>0</v>
      </c>
      <c r="L236" s="220">
        <f t="shared" si="33"/>
        <v>0</v>
      </c>
      <c r="M236" s="93">
        <f t="shared" si="34"/>
        <v>0</v>
      </c>
      <c r="N236" s="328">
        <f t="shared" ca="1" si="35"/>
        <v>0</v>
      </c>
    </row>
    <row r="237" spans="1:14" ht="20.100000000000001" customHeight="1">
      <c r="A237" s="90"/>
      <c r="B237" s="15" t="s">
        <v>1245</v>
      </c>
      <c r="C237" s="32" t="str">
        <f>VLOOKUP($B237,R_DG!$A$7:$G$1305,2,0)</f>
        <v>AF112.20</v>
      </c>
      <c r="D237" s="8" t="str">
        <f>VLOOKUP($B237,R_DG!$A$7:$G$1305,3,0)</f>
        <v>Đổ bê tông mác M150 đá 1x2</v>
      </c>
      <c r="E237" s="9" t="str">
        <f>VLOOKUP($B237,R_DG!$A$7:$G$1305,4,0)</f>
        <v>m3</v>
      </c>
      <c r="F237" s="14">
        <v>1.1339999999999999</v>
      </c>
      <c r="G237" s="214">
        <f>VLOOKUP($B237,R_DG!$A$7:$G$1305,5,0)</f>
        <v>0</v>
      </c>
      <c r="H237" s="214">
        <f>VLOOKUP($B237,R_DG!$A$7:$G$1305,6,0)</f>
        <v>398225.65</v>
      </c>
      <c r="I237" s="214">
        <f>VLOOKUP($B237,R_DG!$A$7:$G$1305,7,0)</f>
        <v>0</v>
      </c>
      <c r="J237" s="214">
        <f t="shared" si="33"/>
        <v>0</v>
      </c>
      <c r="K237" s="214">
        <f t="shared" si="33"/>
        <v>451587.88709999999</v>
      </c>
      <c r="L237" s="220">
        <f t="shared" si="33"/>
        <v>0</v>
      </c>
      <c r="M237" s="93">
        <f t="shared" si="34"/>
        <v>0</v>
      </c>
      <c r="N237" s="328">
        <f t="shared" ca="1" si="35"/>
        <v>0</v>
      </c>
    </row>
    <row r="238" spans="1:14" ht="20.100000000000001" customHeight="1">
      <c r="A238" s="89" t="s">
        <v>2550</v>
      </c>
      <c r="B238" s="24"/>
      <c r="C238" s="34"/>
      <c r="D238" s="25" t="s">
        <v>2564</v>
      </c>
      <c r="E238" s="25" t="s">
        <v>2146</v>
      </c>
      <c r="F238" s="26"/>
      <c r="G238" s="213"/>
      <c r="H238" s="213"/>
      <c r="I238" s="213"/>
      <c r="J238" s="213" t="e">
        <f>SUM(J239:J257)</f>
        <v>#REF!</v>
      </c>
      <c r="K238" s="213">
        <f>SUM(K239:K257)</f>
        <v>1021072.0023000001</v>
      </c>
      <c r="L238" s="219">
        <f>SUM(L239:L257)</f>
        <v>0</v>
      </c>
      <c r="M238" s="92">
        <f>IF(ERROR.TYPE(IF(HLOOKUP(A238,maBK,1,0)&lt;&gt;"",#NULL!,"ABC"))&lt;&gt;7,1,0)</f>
        <v>0</v>
      </c>
      <c r="N238" s="327">
        <f ca="1">SUMIF(maBK,$A238,tongBK1)</f>
        <v>0</v>
      </c>
    </row>
    <row r="239" spans="1:14" ht="20.100000000000001" customHeight="1">
      <c r="A239" s="90"/>
      <c r="B239" s="15" t="s">
        <v>767</v>
      </c>
      <c r="C239" s="32">
        <f>VLOOKUP($B239,R_DG!$A$7:$G$1305,2,0)</f>
        <v>0</v>
      </c>
      <c r="D239" s="8" t="str">
        <f>VLOOKUP($B239,R_DG!$A$7:$G$1305,3,0)</f>
        <v>Ximăng</v>
      </c>
      <c r="E239" s="9" t="str">
        <f>VLOOKUP($B239,R_DG!$A$7:$G$1305,4,0)</f>
        <v>kg</v>
      </c>
      <c r="F239" s="14">
        <v>336</v>
      </c>
      <c r="G239" s="214">
        <f>VLOOKUP($B239,R_DG!$A$7:$G$1305,5,0)</f>
        <v>1800</v>
      </c>
      <c r="H239" s="214">
        <f>VLOOKUP($B239,R_DG!$A$7:$G$1305,6,0)</f>
        <v>0</v>
      </c>
      <c r="I239" s="214">
        <f>VLOOKUP($B239,R_DG!$A$7:$G$1305,7,0)</f>
        <v>0</v>
      </c>
      <c r="J239" s="214">
        <f t="shared" ref="J239:L257" si="36">G239*$F239</f>
        <v>604800</v>
      </c>
      <c r="K239" s="214">
        <f t="shared" si="36"/>
        <v>0</v>
      </c>
      <c r="L239" s="220">
        <f t="shared" si="36"/>
        <v>0</v>
      </c>
      <c r="M239" s="93">
        <f>IF(F239&gt;0,M$238,0)</f>
        <v>0</v>
      </c>
      <c r="N239" s="328">
        <f t="shared" ref="N239:N245" ca="1" si="37">$F239*N$238</f>
        <v>0</v>
      </c>
    </row>
    <row r="240" spans="1:14" ht="20.100000000000001" customHeight="1">
      <c r="A240" s="90"/>
      <c r="B240" s="15" t="s">
        <v>762</v>
      </c>
      <c r="C240" s="32">
        <f>VLOOKUP($B240,R_DG!$A$7:$G$1305,2,0)</f>
        <v>0</v>
      </c>
      <c r="D240" s="8" t="str">
        <f>VLOOKUP($B240,R_DG!$A$7:$G$1305,3,0)</f>
        <v>Cát vàng</v>
      </c>
      <c r="E240" s="9" t="str">
        <f>VLOOKUP($B240,R_DG!$A$7:$G$1305,4,0)</f>
        <v>m3</v>
      </c>
      <c r="F240" s="14">
        <v>0.53900000000000003</v>
      </c>
      <c r="G240" s="214">
        <f>VLOOKUP($B240,R_DG!$A$7:$G$1305,5,0)</f>
        <v>320000</v>
      </c>
      <c r="H240" s="214">
        <f>VLOOKUP($B240,R_DG!$A$7:$G$1305,6,0)</f>
        <v>0</v>
      </c>
      <c r="I240" s="214">
        <f>VLOOKUP($B240,R_DG!$A$7:$G$1305,7,0)</f>
        <v>0</v>
      </c>
      <c r="J240" s="214">
        <f t="shared" si="36"/>
        <v>172480</v>
      </c>
      <c r="K240" s="214">
        <f t="shared" si="36"/>
        <v>0</v>
      </c>
      <c r="L240" s="220">
        <f t="shared" si="36"/>
        <v>0</v>
      </c>
      <c r="M240" s="93">
        <f t="shared" ref="M240:M257" si="38">IF(F240&gt;0,M$238,0)</f>
        <v>0</v>
      </c>
      <c r="N240" s="328">
        <f t="shared" ca="1" si="37"/>
        <v>0</v>
      </c>
    </row>
    <row r="241" spans="1:14" ht="20.100000000000001" customHeight="1">
      <c r="A241" s="90"/>
      <c r="B241" s="15" t="s">
        <v>2159</v>
      </c>
      <c r="C241" s="32">
        <f>VLOOKUP($B241,R_DG!$A$7:$G$1305,2,0)</f>
        <v>0</v>
      </c>
      <c r="D241" s="8" t="str">
        <f>VLOOKUP($B241,R_DG!$A$7:$G$1305,3,0)</f>
        <v>Đá 1x2</v>
      </c>
      <c r="E241" s="9" t="str">
        <f>VLOOKUP($B241,R_DG!$A$7:$G$1305,4,0)</f>
        <v>m3</v>
      </c>
      <c r="F241" s="14">
        <v>0.999</v>
      </c>
      <c r="G241" s="214">
        <f>VLOOKUP($B241,R_DG!$A$7:$G$1305,5,0)</f>
        <v>400000</v>
      </c>
      <c r="H241" s="214">
        <f>VLOOKUP($B241,R_DG!$A$7:$G$1305,6,0)</f>
        <v>0</v>
      </c>
      <c r="I241" s="214">
        <f>VLOOKUP($B241,R_DG!$A$7:$G$1305,7,0)</f>
        <v>0</v>
      </c>
      <c r="J241" s="214">
        <f t="shared" si="36"/>
        <v>399600</v>
      </c>
      <c r="K241" s="214">
        <f t="shared" si="36"/>
        <v>0</v>
      </c>
      <c r="L241" s="220">
        <f t="shared" si="36"/>
        <v>0</v>
      </c>
      <c r="M241" s="93">
        <f t="shared" si="38"/>
        <v>0</v>
      </c>
      <c r="N241" s="328">
        <f t="shared" ca="1" si="37"/>
        <v>0</v>
      </c>
    </row>
    <row r="242" spans="1:14" ht="20.100000000000001" customHeight="1">
      <c r="A242" s="90"/>
      <c r="B242" s="15" t="s">
        <v>2173</v>
      </c>
      <c r="C242" s="32">
        <f>VLOOKUP($B242,R_DG!$A$7:$G$1305,2,0)</f>
        <v>0</v>
      </c>
      <c r="D242" s="8" t="str">
        <f>VLOOKUP($B242,R_DG!$A$7:$G$1305,3,0)</f>
        <v>Sắt  φ10</v>
      </c>
      <c r="E242" s="9" t="str">
        <f>VLOOKUP($B242,R_DG!$A$7:$G$1305,4,0)</f>
        <v>kg</v>
      </c>
      <c r="F242" s="14">
        <v>31.1</v>
      </c>
      <c r="G242" s="214">
        <f>VLOOKUP($B242,R_DG!$A$7:$G$1305,5,0)</f>
        <v>14545</v>
      </c>
      <c r="H242" s="214">
        <f>VLOOKUP($B242,R_DG!$A$7:$G$1305,6,0)</f>
        <v>0</v>
      </c>
      <c r="I242" s="214">
        <f>VLOOKUP($B242,R_DG!$A$7:$G$1305,7,0)</f>
        <v>0</v>
      </c>
      <c r="J242" s="214">
        <f t="shared" si="36"/>
        <v>452349.5</v>
      </c>
      <c r="K242" s="214">
        <f t="shared" si="36"/>
        <v>0</v>
      </c>
      <c r="L242" s="220">
        <f t="shared" si="36"/>
        <v>0</v>
      </c>
      <c r="M242" s="93">
        <f t="shared" si="38"/>
        <v>0</v>
      </c>
      <c r="N242" s="328">
        <f t="shared" ca="1" si="37"/>
        <v>0</v>
      </c>
    </row>
    <row r="243" spans="1:14" ht="20.100000000000001" customHeight="1">
      <c r="A243" s="90"/>
      <c r="B243" s="15" t="s">
        <v>2174</v>
      </c>
      <c r="C243" s="32">
        <f>VLOOKUP($B243,R_DG!$A$7:$G$1305,2,0)</f>
        <v>0</v>
      </c>
      <c r="D243" s="8" t="str">
        <f>VLOOKUP($B243,R_DG!$A$7:$G$1305,3,0)</f>
        <v>Kẽm</v>
      </c>
      <c r="E243" s="9" t="str">
        <f>VLOOKUP($B243,R_DG!$A$7:$G$1305,4,0)</f>
        <v>kg</v>
      </c>
      <c r="F243" s="14">
        <v>0.67</v>
      </c>
      <c r="G243" s="214">
        <f>VLOOKUP($B243,R_DG!$A$7:$G$1305,5,0)</f>
        <v>35200</v>
      </c>
      <c r="H243" s="214">
        <f>VLOOKUP($B243,R_DG!$A$7:$G$1305,6,0)</f>
        <v>0</v>
      </c>
      <c r="I243" s="214">
        <f>VLOOKUP($B243,R_DG!$A$7:$G$1305,7,0)</f>
        <v>0</v>
      </c>
      <c r="J243" s="214">
        <f t="shared" si="36"/>
        <v>23584</v>
      </c>
      <c r="K243" s="214">
        <f t="shared" si="36"/>
        <v>0</v>
      </c>
      <c r="L243" s="220">
        <f t="shared" si="36"/>
        <v>0</v>
      </c>
      <c r="M243" s="93">
        <f t="shared" si="38"/>
        <v>0</v>
      </c>
      <c r="N243" s="328">
        <f t="shared" ca="1" si="37"/>
        <v>0</v>
      </c>
    </row>
    <row r="244" spans="1:14" ht="20.100000000000001" customHeight="1">
      <c r="A244" s="90"/>
      <c r="B244" s="15" t="s">
        <v>818</v>
      </c>
      <c r="C244" s="32" t="str">
        <f>VLOOKUP($B244,R_DG!$A$7:$G$1305,2,0)</f>
        <v>AB.11400</v>
      </c>
      <c r="D244" s="8" t="str">
        <f>VLOOKUP($B244,R_DG!$A$7:$G$1305,3,0)</f>
        <v>Đào hố móng đất cấp 3 sâu &gt;1m, rộng &lt;1m</v>
      </c>
      <c r="E244" s="9" t="str">
        <f>VLOOKUP($B244,R_DG!$A$7:$G$1305,4,0)</f>
        <v>m3</v>
      </c>
      <c r="F244" s="14">
        <v>1.36</v>
      </c>
      <c r="G244" s="214">
        <f>VLOOKUP($B244,R_DG!$A$7:$G$1305,5,0)</f>
        <v>0</v>
      </c>
      <c r="H244" s="214">
        <f>VLOOKUP($B244,R_DG!$A$7:$G$1305,6,0)</f>
        <v>418738.31999999995</v>
      </c>
      <c r="I244" s="214">
        <f>VLOOKUP($B244,R_DG!$A$7:$G$1305,7,0)</f>
        <v>0</v>
      </c>
      <c r="J244" s="214">
        <f t="shared" si="36"/>
        <v>0</v>
      </c>
      <c r="K244" s="214">
        <f t="shared" si="36"/>
        <v>569484.1152</v>
      </c>
      <c r="L244" s="220">
        <f t="shared" si="36"/>
        <v>0</v>
      </c>
      <c r="M244" s="93">
        <f t="shared" si="38"/>
        <v>0</v>
      </c>
      <c r="N244" s="328">
        <f t="shared" ca="1" si="37"/>
        <v>0</v>
      </c>
    </row>
    <row r="245" spans="1:14" ht="20.100000000000001" customHeight="1">
      <c r="A245" s="90"/>
      <c r="B245" s="15" t="s">
        <v>831</v>
      </c>
      <c r="C245" s="32" t="str">
        <f>VLOOKUP($B245,R_DG!$A$7:$G$1305,2,0)</f>
        <v>AB.13000</v>
      </c>
      <c r="D245" s="8" t="str">
        <f>VLOOKUP($B245,R_DG!$A$7:$G$1305,3,0)</f>
        <v>Đắp đất hố móng, đất cấp 3, k = 0,85</v>
      </c>
      <c r="E245" s="9" t="str">
        <f>VLOOKUP($B245,R_DG!$A$7:$G$1305,4,0)</f>
        <v>m3</v>
      </c>
      <c r="F245" s="14">
        <v>0</v>
      </c>
      <c r="G245" s="214">
        <f>VLOOKUP($B245,R_DG!$A$7:$G$1305,5,0)</f>
        <v>0</v>
      </c>
      <c r="H245" s="214">
        <f>VLOOKUP($B245,R_DG!$A$7:$G$1305,6,0)</f>
        <v>100210.88</v>
      </c>
      <c r="I245" s="214">
        <f>VLOOKUP($B245,R_DG!$A$7:$G$1305,7,0)</f>
        <v>0</v>
      </c>
      <c r="J245" s="214">
        <f t="shared" si="36"/>
        <v>0</v>
      </c>
      <c r="K245" s="214">
        <f t="shared" si="36"/>
        <v>0</v>
      </c>
      <c r="L245" s="220">
        <f t="shared" si="36"/>
        <v>0</v>
      </c>
      <c r="M245" s="93">
        <f t="shared" si="38"/>
        <v>0</v>
      </c>
      <c r="N245" s="328">
        <f t="shared" ca="1" si="37"/>
        <v>0</v>
      </c>
    </row>
    <row r="246" spans="1:14" ht="20.100000000000001" customHeight="1">
      <c r="A246" s="90"/>
      <c r="B246" s="15" t="s">
        <v>2919</v>
      </c>
      <c r="C246" s="32">
        <f>VLOOKUP($B246,R_DG!$A$7:$G$1305,2,0)</f>
        <v>0</v>
      </c>
      <c r="D246" s="8" t="str">
        <f>VLOOKUP($B246,R_DG!$A$7:$G$1305,3,0)</f>
        <v>Boulon 16x500VRS+ 4 long đền vuông D18-50x50x3/Zn</v>
      </c>
      <c r="E246" s="9" t="str">
        <f>VLOOKUP($B246,R_DG!$A$7:$G$1305,4,0)</f>
        <v>bộ</v>
      </c>
      <c r="F246" s="14">
        <v>1</v>
      </c>
      <c r="G246" s="214" t="e">
        <f>VLOOKUP($B246,R_DG!$A$7:$G$1305,5,0)</f>
        <v>#REF!</v>
      </c>
      <c r="H246" s="214">
        <f>VLOOKUP($B246,R_DG!$A$7:$G$1305,6,0)</f>
        <v>0</v>
      </c>
      <c r="I246" s="214">
        <f>VLOOKUP($B246,R_DG!$A$7:$G$1305,7,0)</f>
        <v>0</v>
      </c>
      <c r="J246" s="214" t="e">
        <f t="shared" si="36"/>
        <v>#REF!</v>
      </c>
      <c r="K246" s="214">
        <f t="shared" si="36"/>
        <v>0</v>
      </c>
      <c r="L246" s="220">
        <f t="shared" si="36"/>
        <v>0</v>
      </c>
      <c r="M246" s="93">
        <f t="shared" si="38"/>
        <v>0</v>
      </c>
      <c r="N246" s="328">
        <f ca="1">$F246*N$191</f>
        <v>4</v>
      </c>
    </row>
    <row r="247" spans="1:14" ht="20.100000000000001" customHeight="1">
      <c r="A247" s="90"/>
      <c r="B247" s="15" t="s">
        <v>2921</v>
      </c>
      <c r="C247" s="32">
        <f>VLOOKUP($B247,R_DG!$A$7:$G$1305,2,0)</f>
        <v>0</v>
      </c>
      <c r="D247" s="8" t="str">
        <f>VLOOKUP($B247,R_DG!$A$7:$G$1305,3,0)</f>
        <v>Boulon 16x600VRS+ 4 long đền vuông D18-50x50x3/Zn</v>
      </c>
      <c r="E247" s="9" t="str">
        <f>VLOOKUP($B247,R_DG!$A$7:$G$1305,4,0)</f>
        <v>bộ</v>
      </c>
      <c r="F247" s="14">
        <v>1</v>
      </c>
      <c r="G247" s="214" t="e">
        <f>VLOOKUP($B247,R_DG!$A$7:$G$1305,5,0)</f>
        <v>#REF!</v>
      </c>
      <c r="H247" s="214">
        <f>VLOOKUP($B247,R_DG!$A$7:$G$1305,6,0)</f>
        <v>0</v>
      </c>
      <c r="I247" s="214">
        <f>VLOOKUP($B247,R_DG!$A$7:$G$1305,7,0)</f>
        <v>0</v>
      </c>
      <c r="J247" s="214" t="e">
        <f t="shared" si="36"/>
        <v>#REF!</v>
      </c>
      <c r="K247" s="214">
        <f t="shared" si="36"/>
        <v>0</v>
      </c>
      <c r="L247" s="220">
        <f t="shared" si="36"/>
        <v>0</v>
      </c>
      <c r="M247" s="93">
        <f t="shared" si="38"/>
        <v>0</v>
      </c>
      <c r="N247" s="328">
        <f ca="1">$F247*N$191</f>
        <v>4</v>
      </c>
    </row>
    <row r="248" spans="1:14" ht="20.100000000000001" customHeight="1">
      <c r="A248" s="90"/>
      <c r="B248" s="15" t="s">
        <v>2920</v>
      </c>
      <c r="C248" s="32">
        <f>VLOOKUP($B248,R_DG!$A$7:$G$1305,2,0)</f>
        <v>0</v>
      </c>
      <c r="D248" s="8" t="str">
        <f>VLOOKUP($B248,R_DG!$A$7:$G$1305,3,0)</f>
        <v>Boulon 16x700VRS+ 4 long đền vuông D18-50x50x3/Zn</v>
      </c>
      <c r="E248" s="9" t="str">
        <f>VLOOKUP($B248,R_DG!$A$7:$G$1305,4,0)</f>
        <v>bộ</v>
      </c>
      <c r="F248" s="14">
        <v>1</v>
      </c>
      <c r="G248" s="214" t="e">
        <f>VLOOKUP($B248,R_DG!$A$7:$G$1305,5,0)</f>
        <v>#REF!</v>
      </c>
      <c r="H248" s="214">
        <f>VLOOKUP($B248,R_DG!$A$7:$G$1305,6,0)</f>
        <v>0</v>
      </c>
      <c r="I248" s="214">
        <f>VLOOKUP($B248,R_DG!$A$7:$G$1305,7,0)</f>
        <v>0</v>
      </c>
      <c r="J248" s="214" t="e">
        <f t="shared" si="36"/>
        <v>#REF!</v>
      </c>
      <c r="K248" s="214">
        <f t="shared" si="36"/>
        <v>0</v>
      </c>
      <c r="L248" s="220">
        <f t="shared" si="36"/>
        <v>0</v>
      </c>
      <c r="M248" s="93">
        <f t="shared" si="38"/>
        <v>0</v>
      </c>
      <c r="N248" s="328">
        <f ca="1">$F248*N$191</f>
        <v>4</v>
      </c>
    </row>
    <row r="249" spans="1:14" ht="20.100000000000001" customHeight="1">
      <c r="A249" s="90"/>
      <c r="B249" s="15" t="s">
        <v>1116</v>
      </c>
      <c r="C249" s="32" t="str">
        <f>VLOOKUP($B249,R_DG!$A$7:$G$1305,2,0)</f>
        <v>02.1101</v>
      </c>
      <c r="D249" s="8" t="str">
        <f>VLOOKUP($B249,R_DG!$A$7:$G$1305,3,0)</f>
        <v>Bốc dỡ xi măng</v>
      </c>
      <c r="E249" s="9" t="str">
        <f>VLOOKUP($B249,R_DG!$A$7:$G$1305,4,0)</f>
        <v>tấn</v>
      </c>
      <c r="F249" s="13"/>
      <c r="G249" s="214">
        <f>VLOOKUP($B249,R_DG!$A$7:$G$1305,5,0)</f>
        <v>0</v>
      </c>
      <c r="H249" s="214">
        <f>VLOOKUP($B249,R_DG!$A$7:$G$1305,6,0)</f>
        <v>0</v>
      </c>
      <c r="I249" s="214">
        <f>VLOOKUP($B249,R_DG!$A$7:$G$1305,7,0)</f>
        <v>0</v>
      </c>
      <c r="J249" s="214">
        <f t="shared" si="36"/>
        <v>0</v>
      </c>
      <c r="K249" s="214">
        <f t="shared" si="36"/>
        <v>0</v>
      </c>
      <c r="L249" s="220">
        <f t="shared" si="36"/>
        <v>0</v>
      </c>
      <c r="M249" s="93">
        <f t="shared" si="38"/>
        <v>0</v>
      </c>
      <c r="N249" s="328">
        <f t="shared" ref="N249:N257" ca="1" si="39">$F249*N$238</f>
        <v>0</v>
      </c>
    </row>
    <row r="250" spans="1:14" ht="20.100000000000001" customHeight="1">
      <c r="A250" s="90"/>
      <c r="B250" s="15" t="s">
        <v>1119</v>
      </c>
      <c r="C250" s="32" t="str">
        <f>VLOOKUP($B250,R_DG!$A$7:$G$1305,2,0)</f>
        <v>02.1103</v>
      </c>
      <c r="D250" s="8" t="str">
        <f>VLOOKUP($B250,R_DG!$A$7:$G$1305,3,0)</f>
        <v>Bốc dỡ cát</v>
      </c>
      <c r="E250" s="9" t="str">
        <f>VLOOKUP($B250,R_DG!$A$7:$G$1305,4,0)</f>
        <v>m3</v>
      </c>
      <c r="F250" s="13"/>
      <c r="G250" s="214">
        <f>VLOOKUP($B250,R_DG!$A$7:$G$1305,5,0)</f>
        <v>0</v>
      </c>
      <c r="H250" s="214">
        <f>VLOOKUP($B250,R_DG!$A$7:$G$1305,6,0)</f>
        <v>0</v>
      </c>
      <c r="I250" s="214">
        <f>VLOOKUP($B250,R_DG!$A$7:$G$1305,7,0)</f>
        <v>0</v>
      </c>
      <c r="J250" s="214">
        <f t="shared" si="36"/>
        <v>0</v>
      </c>
      <c r="K250" s="214">
        <f t="shared" si="36"/>
        <v>0</v>
      </c>
      <c r="L250" s="220">
        <f t="shared" si="36"/>
        <v>0</v>
      </c>
      <c r="M250" s="93">
        <f t="shared" si="38"/>
        <v>0</v>
      </c>
      <c r="N250" s="328">
        <f t="shared" ca="1" si="39"/>
        <v>0</v>
      </c>
    </row>
    <row r="251" spans="1:14" ht="20.100000000000001" customHeight="1">
      <c r="A251" s="90"/>
      <c r="B251" s="15" t="s">
        <v>1122</v>
      </c>
      <c r="C251" s="32" t="str">
        <f>VLOOKUP($B251,R_DG!$A$7:$G$1305,2,0)</f>
        <v>02.1104</v>
      </c>
      <c r="D251" s="8" t="str">
        <f>VLOOKUP($B251,R_DG!$A$7:$G$1305,3,0)</f>
        <v>Bốc dỡ đá dăm</v>
      </c>
      <c r="E251" s="9" t="str">
        <f>VLOOKUP($B251,R_DG!$A$7:$G$1305,4,0)</f>
        <v>m3</v>
      </c>
      <c r="F251" s="13"/>
      <c r="G251" s="214">
        <f>VLOOKUP($B251,R_DG!$A$7:$G$1305,5,0)</f>
        <v>0</v>
      </c>
      <c r="H251" s="214">
        <f>VLOOKUP($B251,R_DG!$A$7:$G$1305,6,0)</f>
        <v>0</v>
      </c>
      <c r="I251" s="214">
        <f>VLOOKUP($B251,R_DG!$A$7:$G$1305,7,0)</f>
        <v>0</v>
      </c>
      <c r="J251" s="214">
        <f t="shared" si="36"/>
        <v>0</v>
      </c>
      <c r="K251" s="214">
        <f t="shared" si="36"/>
        <v>0</v>
      </c>
      <c r="L251" s="220">
        <f t="shared" si="36"/>
        <v>0</v>
      </c>
      <c r="M251" s="93">
        <f t="shared" si="38"/>
        <v>0</v>
      </c>
      <c r="N251" s="328">
        <f t="shared" ca="1" si="39"/>
        <v>0</v>
      </c>
    </row>
    <row r="252" spans="1:14" ht="20.100000000000001" customHeight="1">
      <c r="A252" s="90"/>
      <c r="B252" s="15" t="s">
        <v>1027</v>
      </c>
      <c r="C252" s="32" t="str">
        <f>VLOOKUP($B252,R_DG!$A$7:$G$1305,2,0)</f>
        <v>02.1211</v>
      </c>
      <c r="D252" s="8" t="str">
        <f>VLOOKUP($B252,R_DG!$A$7:$G$1305,3,0)</f>
        <v>V/c xi măng ( cự ly &lt;=100m)</v>
      </c>
      <c r="E252" s="9" t="str">
        <f>VLOOKUP($B252,R_DG!$A$7:$G$1305,4,0)</f>
        <v>tấn</v>
      </c>
      <c r="F252" s="13"/>
      <c r="G252" s="214">
        <f>VLOOKUP($B252,R_DG!$A$7:$G$1305,5,0)</f>
        <v>0</v>
      </c>
      <c r="H252" s="214">
        <f>VLOOKUP($B252,R_DG!$A$7:$G$1305,6,0)</f>
        <v>0</v>
      </c>
      <c r="I252" s="214">
        <f>VLOOKUP($B252,R_DG!$A$7:$G$1305,7,0)</f>
        <v>0</v>
      </c>
      <c r="J252" s="214">
        <f t="shared" si="36"/>
        <v>0</v>
      </c>
      <c r="K252" s="214">
        <f t="shared" si="36"/>
        <v>0</v>
      </c>
      <c r="L252" s="220">
        <f t="shared" si="36"/>
        <v>0</v>
      </c>
      <c r="M252" s="93">
        <f t="shared" si="38"/>
        <v>0</v>
      </c>
      <c r="N252" s="328">
        <f t="shared" ca="1" si="39"/>
        <v>0</v>
      </c>
    </row>
    <row r="253" spans="1:14" ht="20.100000000000001" customHeight="1">
      <c r="A253" s="90"/>
      <c r="B253" s="15" t="s">
        <v>1072</v>
      </c>
      <c r="C253" s="32" t="str">
        <f>VLOOKUP($B253,R_DG!$A$7:$G$1305,2,0)</f>
        <v>02.1231</v>
      </c>
      <c r="D253" s="8" t="str">
        <f>VLOOKUP($B253,R_DG!$A$7:$G$1305,3,0)</f>
        <v>V/c cát vàng cự ly &lt;=100m</v>
      </c>
      <c r="E253" s="9" t="str">
        <f>VLOOKUP($B253,R_DG!$A$7:$G$1305,4,0)</f>
        <v>m3</v>
      </c>
      <c r="F253" s="13"/>
      <c r="G253" s="214">
        <f>VLOOKUP($B253,R_DG!$A$7:$G$1305,5,0)</f>
        <v>0</v>
      </c>
      <c r="H253" s="214">
        <f>VLOOKUP($B253,R_DG!$A$7:$G$1305,6,0)</f>
        <v>0</v>
      </c>
      <c r="I253" s="214">
        <f>VLOOKUP($B253,R_DG!$A$7:$G$1305,7,0)</f>
        <v>0</v>
      </c>
      <c r="J253" s="214">
        <f t="shared" si="36"/>
        <v>0</v>
      </c>
      <c r="K253" s="214">
        <f t="shared" si="36"/>
        <v>0</v>
      </c>
      <c r="L253" s="220">
        <f t="shared" si="36"/>
        <v>0</v>
      </c>
      <c r="M253" s="93">
        <f t="shared" si="38"/>
        <v>0</v>
      </c>
      <c r="N253" s="328">
        <f t="shared" ca="1" si="39"/>
        <v>0</v>
      </c>
    </row>
    <row r="254" spans="1:14" ht="20.100000000000001" customHeight="1">
      <c r="A254" s="90"/>
      <c r="B254" s="15" t="s">
        <v>1039</v>
      </c>
      <c r="C254" s="32" t="str">
        <f>VLOOKUP($B254,R_DG!$A$7:$G$1305,2,0)</f>
        <v>02.1241</v>
      </c>
      <c r="D254" s="8" t="str">
        <f>VLOOKUP($B254,R_DG!$A$7:$G$1305,3,0)</f>
        <v>V/c đá dăm ( cự ly &lt;=100m)</v>
      </c>
      <c r="E254" s="9" t="str">
        <f>VLOOKUP($B254,R_DG!$A$7:$G$1305,4,0)</f>
        <v>m3</v>
      </c>
      <c r="F254" s="13"/>
      <c r="G254" s="214">
        <f>VLOOKUP($B254,R_DG!$A$7:$G$1305,5,0)</f>
        <v>0</v>
      </c>
      <c r="H254" s="214">
        <f>VLOOKUP($B254,R_DG!$A$7:$G$1305,6,0)</f>
        <v>0</v>
      </c>
      <c r="I254" s="214">
        <f>VLOOKUP($B254,R_DG!$A$7:$G$1305,7,0)</f>
        <v>0</v>
      </c>
      <c r="J254" s="214">
        <f t="shared" si="36"/>
        <v>0</v>
      </c>
      <c r="K254" s="214">
        <f t="shared" si="36"/>
        <v>0</v>
      </c>
      <c r="L254" s="220">
        <f t="shared" si="36"/>
        <v>0</v>
      </c>
      <c r="M254" s="93">
        <f t="shared" si="38"/>
        <v>0</v>
      </c>
      <c r="N254" s="328">
        <f t="shared" ca="1" si="39"/>
        <v>0</v>
      </c>
    </row>
    <row r="255" spans="1:14" ht="20.100000000000001" customHeight="1">
      <c r="A255" s="90"/>
      <c r="B255" s="15" t="s">
        <v>991</v>
      </c>
      <c r="C255" s="32" t="str">
        <f>VLOOKUP($B255,R_DG!$A$7:$G$1305,2,0)</f>
        <v>02.1482</v>
      </c>
      <c r="D255" s="8" t="str">
        <f>VLOOKUP($B255,R_DG!$A$7:$G$1305,3,0)</f>
        <v>V/c dụng cụ thi công ( cự ly &lt;=100m)</v>
      </c>
      <c r="E255" s="9" t="str">
        <f>VLOOKUP($B255,R_DG!$A$7:$G$1305,4,0)</f>
        <v>tấn</v>
      </c>
      <c r="F255" s="13"/>
      <c r="G255" s="214">
        <f>VLOOKUP($B255,R_DG!$A$7:$G$1305,5,0)</f>
        <v>0</v>
      </c>
      <c r="H255" s="214">
        <f>VLOOKUP($B255,R_DG!$A$7:$G$1305,6,0)</f>
        <v>0</v>
      </c>
      <c r="I255" s="214">
        <f>VLOOKUP($B255,R_DG!$A$7:$G$1305,7,0)</f>
        <v>0</v>
      </c>
      <c r="J255" s="214">
        <f t="shared" si="36"/>
        <v>0</v>
      </c>
      <c r="K255" s="214">
        <f t="shared" si="36"/>
        <v>0</v>
      </c>
      <c r="L255" s="220">
        <f t="shared" si="36"/>
        <v>0</v>
      </c>
      <c r="M255" s="93">
        <f t="shared" si="38"/>
        <v>0</v>
      </c>
      <c r="N255" s="328">
        <f t="shared" ca="1" si="39"/>
        <v>0</v>
      </c>
    </row>
    <row r="256" spans="1:14" ht="20.100000000000001" customHeight="1">
      <c r="A256" s="90"/>
      <c r="B256" s="15" t="s">
        <v>2175</v>
      </c>
      <c r="C256" s="32" t="str">
        <f>VLOOKUP($B256,R_DG!$A$7:$G$1305,2,0)</f>
        <v>04.1101</v>
      </c>
      <c r="D256" s="8" t="str">
        <f>VLOOKUP($B256,R_DG!$A$7:$G$1305,3,0)</f>
        <v>Gia công và lắp dựng cốt thép D&lt;=10</v>
      </c>
      <c r="E256" s="9" t="str">
        <f>VLOOKUP($B256,R_DG!$A$7:$G$1305,4,0)</f>
        <v>kg</v>
      </c>
      <c r="F256" s="14">
        <f>F242</f>
        <v>31.1</v>
      </c>
      <c r="G256" s="214">
        <f>VLOOKUP($B256,R_DG!$A$7:$G$1305,5,0)</f>
        <v>405.99</v>
      </c>
      <c r="H256" s="214">
        <f>VLOOKUP($B256,R_DG!$A$7:$G$1305,6,0)</f>
        <v>0</v>
      </c>
      <c r="I256" s="214">
        <f>VLOOKUP($B256,R_DG!$A$7:$G$1305,7,0)</f>
        <v>0</v>
      </c>
      <c r="J256" s="214">
        <f t="shared" si="36"/>
        <v>12626.289000000001</v>
      </c>
      <c r="K256" s="214">
        <f t="shared" si="36"/>
        <v>0</v>
      </c>
      <c r="L256" s="220">
        <f t="shared" si="36"/>
        <v>0</v>
      </c>
      <c r="M256" s="93">
        <f t="shared" si="38"/>
        <v>0</v>
      </c>
      <c r="N256" s="328">
        <f t="shared" ca="1" si="39"/>
        <v>0</v>
      </c>
    </row>
    <row r="257" spans="1:14" ht="20.100000000000001" customHeight="1">
      <c r="A257" s="90"/>
      <c r="B257" s="15" t="s">
        <v>1245</v>
      </c>
      <c r="C257" s="32" t="str">
        <f>VLOOKUP($B257,R_DG!$A$7:$G$1305,2,0)</f>
        <v>AF112.20</v>
      </c>
      <c r="D257" s="8" t="str">
        <f>VLOOKUP($B257,R_DG!$A$7:$G$1305,3,0)</f>
        <v>Đổ bê tông mác M150 đá 1x2</v>
      </c>
      <c r="E257" s="9" t="str">
        <f>VLOOKUP($B257,R_DG!$A$7:$G$1305,4,0)</f>
        <v>m3</v>
      </c>
      <c r="F257" s="14">
        <v>1.1339999999999999</v>
      </c>
      <c r="G257" s="214">
        <f>VLOOKUP($B257,R_DG!$A$7:$G$1305,5,0)</f>
        <v>0</v>
      </c>
      <c r="H257" s="214">
        <f>VLOOKUP($B257,R_DG!$A$7:$G$1305,6,0)</f>
        <v>398225.65</v>
      </c>
      <c r="I257" s="214">
        <f>VLOOKUP($B257,R_DG!$A$7:$G$1305,7,0)</f>
        <v>0</v>
      </c>
      <c r="J257" s="214">
        <f t="shared" si="36"/>
        <v>0</v>
      </c>
      <c r="K257" s="214">
        <f t="shared" si="36"/>
        <v>451587.88709999999</v>
      </c>
      <c r="L257" s="220">
        <f t="shared" si="36"/>
        <v>0</v>
      </c>
      <c r="M257" s="93">
        <f t="shared" si="38"/>
        <v>0</v>
      </c>
      <c r="N257" s="328">
        <f t="shared" ca="1" si="39"/>
        <v>0</v>
      </c>
    </row>
    <row r="258" spans="1:14" ht="20.100000000000001" customHeight="1">
      <c r="A258" s="89" t="s">
        <v>2551</v>
      </c>
      <c r="B258" s="24"/>
      <c r="C258" s="34"/>
      <c r="D258" s="25" t="s">
        <v>2563</v>
      </c>
      <c r="E258" s="25" t="s">
        <v>2146</v>
      </c>
      <c r="F258" s="26"/>
      <c r="G258" s="213"/>
      <c r="H258" s="213"/>
      <c r="I258" s="213"/>
      <c r="J258" s="213" t="e">
        <f>SUM(J259:J264)</f>
        <v>#REF!</v>
      </c>
      <c r="K258" s="213">
        <f>SUM(K259:K264)</f>
        <v>2027863.3672</v>
      </c>
      <c r="L258" s="219">
        <f>SUM(L259:L264)</f>
        <v>0</v>
      </c>
      <c r="M258" s="92">
        <f>IF(ERROR.TYPE(IF(HLOOKUP(A258,maBK,1,0)&lt;&gt;"",#NULL!,"ABC"))&lt;&gt;7,1,0)</f>
        <v>0</v>
      </c>
      <c r="N258" s="327">
        <f ca="1">SUMIF(maBK,$A258,tongBK1)</f>
        <v>0</v>
      </c>
    </row>
    <row r="259" spans="1:14" ht="20.100000000000001" customHeight="1">
      <c r="A259" s="90"/>
      <c r="B259" s="12" t="s">
        <v>2149</v>
      </c>
      <c r="C259" s="32" t="str">
        <f>VLOOKUP($B259,R_DG!$A$7:$G$1305,2,0)</f>
        <v>04.3801</v>
      </c>
      <c r="D259" s="8" t="str">
        <f>VLOOKUP($B259,R_DG!$A$7:$G$1305,3,0)</f>
        <v>Đà cản BTCT 1,2m</v>
      </c>
      <c r="E259" s="9" t="str">
        <f>VLOOKUP($B259,R_DG!$A$7:$G$1305,4,0)</f>
        <v>cái</v>
      </c>
      <c r="F259" s="14">
        <v>2</v>
      </c>
      <c r="G259" s="214">
        <f>VLOOKUP($B259,R_DG!$A$7:$G$1305,5,0)</f>
        <v>650000</v>
      </c>
      <c r="H259" s="214">
        <f>VLOOKUP($B259,R_DG!$A$7:$G$1305,6,0)</f>
        <v>161119.20000000001</v>
      </c>
      <c r="I259" s="214">
        <f>VLOOKUP($B259,R_DG!$A$7:$G$1305,7,0)</f>
        <v>0</v>
      </c>
      <c r="J259" s="214">
        <f t="shared" ref="J259:L277" si="40">G259*$F259</f>
        <v>1300000</v>
      </c>
      <c r="K259" s="214">
        <f t="shared" si="40"/>
        <v>322238.40000000002</v>
      </c>
      <c r="L259" s="220">
        <f t="shared" si="40"/>
        <v>0</v>
      </c>
      <c r="M259" s="93">
        <f t="shared" ref="M259:M264" si="41">IF(F259&gt;0,M$258,0)</f>
        <v>0</v>
      </c>
      <c r="N259" s="328">
        <f t="shared" ref="N259:N264" ca="1" si="42">$F259*N$258</f>
        <v>0</v>
      </c>
    </row>
    <row r="260" spans="1:14" ht="20.100000000000001" customHeight="1">
      <c r="A260" s="90"/>
      <c r="B260" s="12" t="s">
        <v>2170</v>
      </c>
      <c r="C260" s="32">
        <f>VLOOKUP($B260,R_DG!$A$7:$G$1305,2,0)</f>
        <v>0</v>
      </c>
      <c r="D260" s="8" t="str">
        <f>VLOOKUP($B260,R_DG!$A$7:$G$1305,3,0)</f>
        <v>Boulon 22x700+ 2 long đền vuông D24-50x50x3/Zn</v>
      </c>
      <c r="E260" s="9" t="str">
        <f>VLOOKUP($B260,R_DG!$A$7:$G$1305,4,0)</f>
        <v>bộ</v>
      </c>
      <c r="F260" s="14">
        <v>1</v>
      </c>
      <c r="G260" s="214" t="e">
        <f>VLOOKUP($B260,R_DG!$A$7:$G$1305,5,0)</f>
        <v>#REF!</v>
      </c>
      <c r="H260" s="214">
        <f>VLOOKUP($B260,R_DG!$A$7:$G$1305,6,0)</f>
        <v>0</v>
      </c>
      <c r="I260" s="214">
        <f>VLOOKUP($B260,R_DG!$A$7:$G$1305,7,0)</f>
        <v>0</v>
      </c>
      <c r="J260" s="214" t="e">
        <f t="shared" si="40"/>
        <v>#REF!</v>
      </c>
      <c r="K260" s="214">
        <f t="shared" si="40"/>
        <v>0</v>
      </c>
      <c r="L260" s="220">
        <f t="shared" si="40"/>
        <v>0</v>
      </c>
      <c r="M260" s="93">
        <f t="shared" si="41"/>
        <v>0</v>
      </c>
      <c r="N260" s="328">
        <f t="shared" ca="1" si="42"/>
        <v>0</v>
      </c>
    </row>
    <row r="261" spans="1:14" ht="20.100000000000001" customHeight="1">
      <c r="A261" s="87"/>
      <c r="B261" s="7" t="s">
        <v>2151</v>
      </c>
      <c r="C261" s="32">
        <f>VLOOKUP($B261,R_DG!$A$7:$G$1305,2,0)</f>
        <v>0</v>
      </c>
      <c r="D261" s="8" t="str">
        <f>VLOOKUP($B261,R_DG!$A$7:$G$1305,3,0)</f>
        <v>Đá 2x4</v>
      </c>
      <c r="E261" s="9" t="str">
        <f>VLOOKUP($B261,R_DG!$A$7:$G$1305,4,0)</f>
        <v>m3</v>
      </c>
      <c r="F261" s="11">
        <v>0.42099999999999999</v>
      </c>
      <c r="G261" s="214">
        <f>VLOOKUP($B261,R_DG!$A$7:$G$1305,5,0)</f>
        <v>320000</v>
      </c>
      <c r="H261" s="214">
        <f>VLOOKUP($B261,R_DG!$A$7:$G$1305,6,0)</f>
        <v>0</v>
      </c>
      <c r="I261" s="214">
        <f>VLOOKUP($B261,R_DG!$A$7:$G$1305,7,0)</f>
        <v>0</v>
      </c>
      <c r="J261" s="214">
        <f t="shared" si="40"/>
        <v>134720</v>
      </c>
      <c r="K261" s="214">
        <f t="shared" si="40"/>
        <v>0</v>
      </c>
      <c r="L261" s="220">
        <f t="shared" si="40"/>
        <v>0</v>
      </c>
      <c r="M261" s="93">
        <f t="shared" si="41"/>
        <v>0</v>
      </c>
      <c r="N261" s="328">
        <f t="shared" ca="1" si="42"/>
        <v>0</v>
      </c>
    </row>
    <row r="262" spans="1:14" ht="20.100000000000001" customHeight="1">
      <c r="A262" s="90"/>
      <c r="B262" s="12" t="str">
        <f>IF(CAPDAT=1,"MDD1",IF(CAPDAT=2,"MDD2",IF(CAPDAT=3,"MDD3",IF(CAPDAT=4,"MDD4"))))</f>
        <v>MDD3</v>
      </c>
      <c r="C262" s="32" t="str">
        <f>VLOOKUP($B262,R_DG!$A$7:$G$1305,2,0)</f>
        <v>AB.11400</v>
      </c>
      <c r="D262" s="8" t="str">
        <f>VLOOKUP($B262,R_DG!$A$7:$G$1305,3,0)</f>
        <v>Đào hố móng đất cấp 3 sâu &gt;1m, rộng &lt;1m</v>
      </c>
      <c r="E262" s="9" t="str">
        <f>VLOOKUP($B262,R_DG!$A$7:$G$1305,4,0)</f>
        <v>m3</v>
      </c>
      <c r="F262" s="14">
        <v>3.25</v>
      </c>
      <c r="G262" s="214">
        <f>VLOOKUP($B262,R_DG!$A$7:$G$1305,5,0)</f>
        <v>0</v>
      </c>
      <c r="H262" s="214">
        <f>VLOOKUP($B262,R_DG!$A$7:$G$1305,6,0)</f>
        <v>418738.31999999995</v>
      </c>
      <c r="I262" s="214">
        <f>VLOOKUP($B262,R_DG!$A$7:$G$1305,7,0)</f>
        <v>0</v>
      </c>
      <c r="J262" s="214">
        <f t="shared" si="40"/>
        <v>0</v>
      </c>
      <c r="K262" s="214">
        <f t="shared" si="40"/>
        <v>1360899.5399999998</v>
      </c>
      <c r="L262" s="220">
        <f t="shared" si="40"/>
        <v>0</v>
      </c>
      <c r="M262" s="93">
        <f t="shared" si="41"/>
        <v>0</v>
      </c>
      <c r="N262" s="328">
        <f t="shared" ca="1" si="42"/>
        <v>0</v>
      </c>
    </row>
    <row r="263" spans="1:14" ht="20.100000000000001" customHeight="1">
      <c r="A263" s="90"/>
      <c r="B263" s="12" t="str">
        <f>IF(CAPDAT=1,"MDAP1",IF(CAPDAT=2,"MDAP2",IF(CAPDAT=3,"MDAP3",IF(CAPDAT=4,"MDAP4"))))</f>
        <v>MDAP3</v>
      </c>
      <c r="C263" s="32" t="str">
        <f>VLOOKUP($B263,R_DG!$A$7:$G$1305,2,0)</f>
        <v>AB.13000</v>
      </c>
      <c r="D263" s="8" t="str">
        <f>VLOOKUP($B263,R_DG!$A$7:$G$1305,3,0)</f>
        <v>Đắp đất hố móng, đất cấp 3, k = 0,85</v>
      </c>
      <c r="E263" s="9" t="str">
        <f>VLOOKUP($B263,R_DG!$A$7:$G$1305,4,0)</f>
        <v>m3</v>
      </c>
      <c r="F263" s="14">
        <v>3.44</v>
      </c>
      <c r="G263" s="214">
        <f>VLOOKUP($B263,R_DG!$A$7:$G$1305,5,0)</f>
        <v>0</v>
      </c>
      <c r="H263" s="214">
        <f>VLOOKUP($B263,R_DG!$A$7:$G$1305,6,0)</f>
        <v>100210.88</v>
      </c>
      <c r="I263" s="214">
        <f>VLOOKUP($B263,R_DG!$A$7:$G$1305,7,0)</f>
        <v>0</v>
      </c>
      <c r="J263" s="214">
        <f t="shared" si="40"/>
        <v>0</v>
      </c>
      <c r="K263" s="214">
        <f t="shared" si="40"/>
        <v>344725.42720000003</v>
      </c>
      <c r="L263" s="220">
        <f t="shared" si="40"/>
        <v>0</v>
      </c>
      <c r="M263" s="93">
        <f t="shared" si="41"/>
        <v>0</v>
      </c>
      <c r="N263" s="328">
        <f t="shared" ca="1" si="42"/>
        <v>0</v>
      </c>
    </row>
    <row r="264" spans="1:14" ht="20.100000000000001" customHeight="1">
      <c r="A264" s="90"/>
      <c r="B264" s="12" t="s">
        <v>2152</v>
      </c>
      <c r="C264" s="32" t="str">
        <f>VLOOKUP($B264,R_DG!$A$7:$G$1305,2,0)</f>
        <v>02.1123</v>
      </c>
      <c r="D264" s="8" t="str">
        <f>VLOOKUP($B264,R_DG!$A$7:$G$1305,3,0)</f>
        <v>Bốc dỡ đà cản, đế néo</v>
      </c>
      <c r="E264" s="9" t="str">
        <f>VLOOKUP($B264,R_DG!$A$7:$G$1305,4,0)</f>
        <v>tấn</v>
      </c>
      <c r="F264" s="14">
        <f>0.1*2</f>
        <v>0.2</v>
      </c>
      <c r="G264" s="214">
        <f>VLOOKUP($B264,R_DG!$A$7:$G$1305,5,0)</f>
        <v>0</v>
      </c>
      <c r="H264" s="214">
        <f>VLOOKUP($B264,R_DG!$A$7:$G$1305,6,0)</f>
        <v>0</v>
      </c>
      <c r="I264" s="214">
        <f>VLOOKUP($B264,R_DG!$A$7:$G$1305,7,0)</f>
        <v>0</v>
      </c>
      <c r="J264" s="214">
        <f t="shared" si="40"/>
        <v>0</v>
      </c>
      <c r="K264" s="214">
        <f t="shared" si="40"/>
        <v>0</v>
      </c>
      <c r="L264" s="220">
        <f t="shared" si="40"/>
        <v>0</v>
      </c>
      <c r="M264" s="93">
        <f t="shared" si="41"/>
        <v>0</v>
      </c>
      <c r="N264" s="328">
        <f t="shared" ca="1" si="42"/>
        <v>0</v>
      </c>
    </row>
    <row r="265" spans="1:14" ht="20.100000000000001" customHeight="1">
      <c r="A265" s="89" t="s">
        <v>2552</v>
      </c>
      <c r="B265" s="24"/>
      <c r="C265" s="34"/>
      <c r="D265" s="25" t="s">
        <v>2562</v>
      </c>
      <c r="E265" s="25" t="s">
        <v>2146</v>
      </c>
      <c r="F265" s="26"/>
      <c r="G265" s="213"/>
      <c r="H265" s="213"/>
      <c r="I265" s="213"/>
      <c r="J265" s="213" t="e">
        <f>SUM(J266:J271)</f>
        <v>#REF!</v>
      </c>
      <c r="K265" s="213">
        <f>SUM(K266:K271)</f>
        <v>2119825.1659200001</v>
      </c>
      <c r="L265" s="219">
        <f>SUM(L266:L271)</f>
        <v>0</v>
      </c>
      <c r="M265" s="92">
        <f>IF(ERROR.TYPE(IF(HLOOKUP(A265,maBK,1,0)&lt;&gt;"",#NULL!,"ABC"))&lt;&gt;7,1,0)</f>
        <v>0</v>
      </c>
      <c r="N265" s="327">
        <f ca="1">SUMIF(maBK,$A265,tongBK1)</f>
        <v>0</v>
      </c>
    </row>
    <row r="266" spans="1:14" ht="20.100000000000001" customHeight="1">
      <c r="A266" s="90"/>
      <c r="B266" s="12" t="s">
        <v>2153</v>
      </c>
      <c r="C266" s="32" t="str">
        <f>VLOOKUP($B266,R_DG!$A$7:$G$1305,2,0)</f>
        <v>04.3801</v>
      </c>
      <c r="D266" s="8" t="str">
        <f>VLOOKUP($B266,R_DG!$A$7:$G$1305,3,0)</f>
        <v>Đà cản BTCT 1,5m</v>
      </c>
      <c r="E266" s="9" t="str">
        <f>VLOOKUP($B266,R_DG!$A$7:$G$1305,4,0)</f>
        <v>cái</v>
      </c>
      <c r="F266" s="14">
        <v>2</v>
      </c>
      <c r="G266" s="214">
        <f>VLOOKUP($B266,R_DG!$A$7:$G$1305,5,0)</f>
        <v>650000</v>
      </c>
      <c r="H266" s="214">
        <f>VLOOKUP($B266,R_DG!$A$7:$G$1305,6,0)</f>
        <v>0</v>
      </c>
      <c r="I266" s="214">
        <f>VLOOKUP($B266,R_DG!$A$7:$G$1305,7,0)</f>
        <v>0</v>
      </c>
      <c r="J266" s="214">
        <f t="shared" si="40"/>
        <v>1300000</v>
      </c>
      <c r="K266" s="214">
        <f t="shared" si="40"/>
        <v>0</v>
      </c>
      <c r="L266" s="220">
        <f t="shared" si="40"/>
        <v>0</v>
      </c>
      <c r="M266" s="93">
        <f t="shared" ref="M266:M271" si="43">IF(F266&gt;0,M$265,0)</f>
        <v>0</v>
      </c>
      <c r="N266" s="328">
        <f t="shared" ref="N266:N271" ca="1" si="44">$F266*N$265</f>
        <v>0</v>
      </c>
    </row>
    <row r="267" spans="1:14" ht="20.100000000000001" customHeight="1">
      <c r="A267" s="90"/>
      <c r="B267" s="12" t="s">
        <v>2166</v>
      </c>
      <c r="C267" s="32">
        <f>VLOOKUP($B267,R_DG!$A$7:$G$1305,2,0)</f>
        <v>0</v>
      </c>
      <c r="D267" s="8" t="str">
        <f>VLOOKUP($B267,R_DG!$A$7:$G$1305,3,0)</f>
        <v>Boulon 22x800+ 2 long đền vuông D24-50x50x3/Zn</v>
      </c>
      <c r="E267" s="9" t="str">
        <f>VLOOKUP($B267,R_DG!$A$7:$G$1305,4,0)</f>
        <v>bộ</v>
      </c>
      <c r="F267" s="14">
        <v>1</v>
      </c>
      <c r="G267" s="214" t="e">
        <f>VLOOKUP($B267,R_DG!$A$7:$G$1305,5,0)</f>
        <v>#REF!</v>
      </c>
      <c r="H267" s="214">
        <f>VLOOKUP($B267,R_DG!$A$7:$G$1305,6,0)</f>
        <v>0</v>
      </c>
      <c r="I267" s="214">
        <f>VLOOKUP($B267,R_DG!$A$7:$G$1305,7,0)</f>
        <v>0</v>
      </c>
      <c r="J267" s="214" t="e">
        <f t="shared" si="40"/>
        <v>#REF!</v>
      </c>
      <c r="K267" s="214">
        <f t="shared" si="40"/>
        <v>0</v>
      </c>
      <c r="L267" s="220">
        <f t="shared" si="40"/>
        <v>0</v>
      </c>
      <c r="M267" s="93">
        <f t="shared" si="43"/>
        <v>0</v>
      </c>
      <c r="N267" s="328">
        <f t="shared" ca="1" si="44"/>
        <v>0</v>
      </c>
    </row>
    <row r="268" spans="1:14" ht="20.100000000000001" customHeight="1">
      <c r="A268" s="87"/>
      <c r="B268" s="7" t="s">
        <v>2151</v>
      </c>
      <c r="C268" s="32">
        <f>VLOOKUP($B268,R_DG!$A$7:$G$1305,2,0)</f>
        <v>0</v>
      </c>
      <c r="D268" s="8" t="str">
        <f>VLOOKUP($B268,R_DG!$A$7:$G$1305,3,0)</f>
        <v>Đá 2x4</v>
      </c>
      <c r="E268" s="9" t="str">
        <f>VLOOKUP($B268,R_DG!$A$7:$G$1305,4,0)</f>
        <v>m3</v>
      </c>
      <c r="F268" s="11">
        <v>0.42099999999999999</v>
      </c>
      <c r="G268" s="214">
        <f>VLOOKUP($B268,R_DG!$A$7:$G$1305,5,0)</f>
        <v>320000</v>
      </c>
      <c r="H268" s="214">
        <f>VLOOKUP($B268,R_DG!$A$7:$G$1305,6,0)</f>
        <v>0</v>
      </c>
      <c r="I268" s="214">
        <f>VLOOKUP($B268,R_DG!$A$7:$G$1305,7,0)</f>
        <v>0</v>
      </c>
      <c r="J268" s="214">
        <f t="shared" si="40"/>
        <v>134720</v>
      </c>
      <c r="K268" s="214">
        <f t="shared" si="40"/>
        <v>0</v>
      </c>
      <c r="L268" s="220">
        <f t="shared" si="40"/>
        <v>0</v>
      </c>
      <c r="M268" s="93">
        <f t="shared" si="43"/>
        <v>0</v>
      </c>
      <c r="N268" s="328">
        <f t="shared" ca="1" si="44"/>
        <v>0</v>
      </c>
    </row>
    <row r="269" spans="1:14" ht="20.100000000000001" customHeight="1">
      <c r="A269" s="90"/>
      <c r="B269" s="12" t="str">
        <f>IF(CAPDAT=1,"MDD1",IF(CAPDAT=2,"MDD2",IF(CAPDAT=3,"MDD3",IF(CAPDAT=4,"MDD4"))))</f>
        <v>MDD3</v>
      </c>
      <c r="C269" s="32" t="str">
        <f>VLOOKUP($B269,R_DG!$A$7:$G$1305,2,0)</f>
        <v>AB.11400</v>
      </c>
      <c r="D269" s="8" t="str">
        <f>VLOOKUP($B269,R_DG!$A$7:$G$1305,3,0)</f>
        <v>Đào hố móng đất cấp 3 sâu &gt;1m, rộng &lt;1m</v>
      </c>
      <c r="E269" s="9" t="str">
        <f>VLOOKUP($B269,R_DG!$A$7:$G$1305,4,0)</f>
        <v>m3</v>
      </c>
      <c r="F269" s="14">
        <v>4.03</v>
      </c>
      <c r="G269" s="214">
        <f>VLOOKUP($B269,R_DG!$A$7:$G$1305,5,0)</f>
        <v>0</v>
      </c>
      <c r="H269" s="214">
        <f>VLOOKUP($B269,R_DG!$A$7:$G$1305,6,0)</f>
        <v>418738.31999999995</v>
      </c>
      <c r="I269" s="214">
        <f>VLOOKUP($B269,R_DG!$A$7:$G$1305,7,0)</f>
        <v>0</v>
      </c>
      <c r="J269" s="214">
        <f t="shared" si="40"/>
        <v>0</v>
      </c>
      <c r="K269" s="214">
        <f t="shared" si="40"/>
        <v>1687515.4295999999</v>
      </c>
      <c r="L269" s="220">
        <f t="shared" si="40"/>
        <v>0</v>
      </c>
      <c r="M269" s="93">
        <f t="shared" si="43"/>
        <v>0</v>
      </c>
      <c r="N269" s="328">
        <f t="shared" ca="1" si="44"/>
        <v>0</v>
      </c>
    </row>
    <row r="270" spans="1:14" ht="20.100000000000001" customHeight="1">
      <c r="A270" s="90"/>
      <c r="B270" s="12" t="str">
        <f>IF(CAPDAT=1,"MDAP1",IF(CAPDAT=2,"MDAP2",IF(CAPDAT=3,"MDAP3",IF(CAPDAT=4,"MDAP4"))))</f>
        <v>MDAP3</v>
      </c>
      <c r="C270" s="32" t="str">
        <f>VLOOKUP($B270,R_DG!$A$7:$G$1305,2,0)</f>
        <v>AB.13000</v>
      </c>
      <c r="D270" s="8" t="str">
        <f>VLOOKUP($B270,R_DG!$A$7:$G$1305,3,0)</f>
        <v>Đắp đất hố móng, đất cấp 3, k = 0,85</v>
      </c>
      <c r="E270" s="9" t="str">
        <f>VLOOKUP($B270,R_DG!$A$7:$G$1305,4,0)</f>
        <v>m3</v>
      </c>
      <c r="F270" s="14">
        <v>4.3140000000000001</v>
      </c>
      <c r="G270" s="214">
        <f>VLOOKUP($B270,R_DG!$A$7:$G$1305,5,0)</f>
        <v>0</v>
      </c>
      <c r="H270" s="214">
        <f>VLOOKUP($B270,R_DG!$A$7:$G$1305,6,0)</f>
        <v>100210.88</v>
      </c>
      <c r="I270" s="214">
        <f>VLOOKUP($B270,R_DG!$A$7:$G$1305,7,0)</f>
        <v>0</v>
      </c>
      <c r="J270" s="214">
        <f t="shared" si="40"/>
        <v>0</v>
      </c>
      <c r="K270" s="214">
        <f t="shared" si="40"/>
        <v>432309.73632000003</v>
      </c>
      <c r="L270" s="220">
        <f t="shared" si="40"/>
        <v>0</v>
      </c>
      <c r="M270" s="93">
        <f t="shared" si="43"/>
        <v>0</v>
      </c>
      <c r="N270" s="328">
        <f t="shared" ca="1" si="44"/>
        <v>0</v>
      </c>
    </row>
    <row r="271" spans="1:14" ht="20.100000000000001" customHeight="1">
      <c r="A271" s="90"/>
      <c r="B271" s="12" t="s">
        <v>2152</v>
      </c>
      <c r="C271" s="32" t="str">
        <f>VLOOKUP($B271,R_DG!$A$7:$G$1305,2,0)</f>
        <v>02.1123</v>
      </c>
      <c r="D271" s="8" t="str">
        <f>VLOOKUP($B271,R_DG!$A$7:$G$1305,3,0)</f>
        <v>Bốc dỡ đà cản, đế néo</v>
      </c>
      <c r="E271" s="9" t="str">
        <f>VLOOKUP($B271,R_DG!$A$7:$G$1305,4,0)</f>
        <v>tấn</v>
      </c>
      <c r="F271" s="14">
        <f>0.255*2</f>
        <v>0.51</v>
      </c>
      <c r="G271" s="214">
        <f>VLOOKUP($B271,R_DG!$A$7:$G$1305,5,0)</f>
        <v>0</v>
      </c>
      <c r="H271" s="214">
        <f>VLOOKUP($B271,R_DG!$A$7:$G$1305,6,0)</f>
        <v>0</v>
      </c>
      <c r="I271" s="214">
        <f>VLOOKUP($B271,R_DG!$A$7:$G$1305,7,0)</f>
        <v>0</v>
      </c>
      <c r="J271" s="214">
        <f t="shared" si="40"/>
        <v>0</v>
      </c>
      <c r="K271" s="214">
        <f t="shared" si="40"/>
        <v>0</v>
      </c>
      <c r="L271" s="220">
        <f t="shared" si="40"/>
        <v>0</v>
      </c>
      <c r="M271" s="93">
        <f t="shared" si="43"/>
        <v>0</v>
      </c>
      <c r="N271" s="328">
        <f t="shared" ca="1" si="44"/>
        <v>0</v>
      </c>
    </row>
    <row r="272" spans="1:14" ht="20.100000000000001" customHeight="1">
      <c r="A272" s="89" t="s">
        <v>2553</v>
      </c>
      <c r="B272" s="24"/>
      <c r="C272" s="34"/>
      <c r="D272" s="25" t="s">
        <v>2561</v>
      </c>
      <c r="E272" s="25" t="s">
        <v>2146</v>
      </c>
      <c r="F272" s="26"/>
      <c r="G272" s="213"/>
      <c r="H272" s="213"/>
      <c r="I272" s="213"/>
      <c r="J272" s="213" t="e">
        <f>SUM(J273:J277)</f>
        <v>#REF!</v>
      </c>
      <c r="K272" s="213">
        <f>SUM(K273:K277)</f>
        <v>5516429.9960000003</v>
      </c>
      <c r="L272" s="219">
        <f>SUM(L273:L277)</f>
        <v>0</v>
      </c>
      <c r="M272" s="92">
        <f>IF(ERROR.TYPE(IF(HLOOKUP(A272,maBK,1,0)&lt;&gt;"",#NULL!,"ABC"))&lt;&gt;7,1,0)</f>
        <v>0</v>
      </c>
      <c r="N272" s="327">
        <f ca="1">SUMIF(maBK,$A272,tongBK1)</f>
        <v>0</v>
      </c>
    </row>
    <row r="273" spans="1:14" ht="20.100000000000001" customHeight="1">
      <c r="A273" s="90"/>
      <c r="B273" s="12" t="s">
        <v>2153</v>
      </c>
      <c r="C273" s="32" t="str">
        <f>VLOOKUP($B273,R_DG!$A$7:$G$1305,2,0)</f>
        <v>04.3801</v>
      </c>
      <c r="D273" s="8" t="str">
        <f>VLOOKUP($B273,R_DG!$A$7:$G$1305,3,0)</f>
        <v>Đà cản BTCT 1,5m</v>
      </c>
      <c r="E273" s="9" t="str">
        <f>VLOOKUP($B273,R_DG!$A$7:$G$1305,4,0)</f>
        <v>cái</v>
      </c>
      <c r="F273" s="14">
        <v>4</v>
      </c>
      <c r="G273" s="214">
        <f>VLOOKUP($B273,R_DG!$A$7:$G$1305,5,0)</f>
        <v>650000</v>
      </c>
      <c r="H273" s="214">
        <f>VLOOKUP($B273,R_DG!$A$7:$G$1305,6,0)</f>
        <v>0</v>
      </c>
      <c r="I273" s="214">
        <f>VLOOKUP($B273,R_DG!$A$7:$G$1305,7,0)</f>
        <v>0</v>
      </c>
      <c r="J273" s="214">
        <f t="shared" si="40"/>
        <v>2600000</v>
      </c>
      <c r="K273" s="214">
        <f t="shared" si="40"/>
        <v>0</v>
      </c>
      <c r="L273" s="220">
        <f t="shared" si="40"/>
        <v>0</v>
      </c>
      <c r="M273" s="93">
        <f>IF(F273&gt;0,M$272,0)</f>
        <v>0</v>
      </c>
      <c r="N273" s="328">
        <f ca="1">$F273*N$272</f>
        <v>0</v>
      </c>
    </row>
    <row r="274" spans="1:14" ht="20.100000000000001" customHeight="1">
      <c r="A274" s="90"/>
      <c r="B274" s="12" t="s">
        <v>2165</v>
      </c>
      <c r="C274" s="32">
        <f>VLOOKUP($B274,R_DG!$A$7:$G$1305,2,0)</f>
        <v>0</v>
      </c>
      <c r="D274" s="8" t="str">
        <f>VLOOKUP($B274,R_DG!$A$7:$G$1305,3,0)</f>
        <v>Boulon 22x650+ 2 long đền vuông D24-50x50x3/Zn</v>
      </c>
      <c r="E274" s="9" t="str">
        <f>VLOOKUP($B274,R_DG!$A$7:$G$1305,4,0)</f>
        <v>bộ</v>
      </c>
      <c r="F274" s="14">
        <v>4</v>
      </c>
      <c r="G274" s="214" t="e">
        <f>VLOOKUP($B274,R_DG!$A$7:$G$1305,5,0)</f>
        <v>#REF!</v>
      </c>
      <c r="H274" s="214">
        <f>VLOOKUP($B274,R_DG!$A$7:$G$1305,6,0)</f>
        <v>0</v>
      </c>
      <c r="I274" s="214">
        <f>VLOOKUP($B274,R_DG!$A$7:$G$1305,7,0)</f>
        <v>0</v>
      </c>
      <c r="J274" s="214" t="e">
        <f t="shared" si="40"/>
        <v>#REF!</v>
      </c>
      <c r="K274" s="214">
        <f t="shared" si="40"/>
        <v>0</v>
      </c>
      <c r="L274" s="220">
        <f t="shared" si="40"/>
        <v>0</v>
      </c>
      <c r="M274" s="93">
        <f>IF(F274&gt;0,M$272,0)</f>
        <v>0</v>
      </c>
      <c r="N274" s="328">
        <f ca="1">$F274*N$272</f>
        <v>0</v>
      </c>
    </row>
    <row r="275" spans="1:14" ht="20.100000000000001" customHeight="1">
      <c r="A275" s="90"/>
      <c r="B275" s="12" t="str">
        <f>IF(CAPDAT=1,"MDD1",IF(CAPDAT=2,"MDD2",IF(CAPDAT=3,"MDD3",IF(CAPDAT=4,"MDD4"))))</f>
        <v>MDD3</v>
      </c>
      <c r="C275" s="32" t="str">
        <f>VLOOKUP($B275,R_DG!$A$7:$G$1305,2,0)</f>
        <v>AB.11400</v>
      </c>
      <c r="D275" s="8" t="str">
        <f>VLOOKUP($B275,R_DG!$A$7:$G$1305,3,0)</f>
        <v>Đào hố móng đất cấp 3 sâu &gt;1m, rộng &lt;1m</v>
      </c>
      <c r="E275" s="9" t="str">
        <f>VLOOKUP($B275,R_DG!$A$7:$G$1305,4,0)</f>
        <v>m3</v>
      </c>
      <c r="F275" s="14">
        <v>10.63</v>
      </c>
      <c r="G275" s="214">
        <f>VLOOKUP($B275,R_DG!$A$7:$G$1305,5,0)</f>
        <v>0</v>
      </c>
      <c r="H275" s="214">
        <f>VLOOKUP($B275,R_DG!$A$7:$G$1305,6,0)</f>
        <v>418738.31999999995</v>
      </c>
      <c r="I275" s="214">
        <f>VLOOKUP($B275,R_DG!$A$7:$G$1305,7,0)</f>
        <v>0</v>
      </c>
      <c r="J275" s="214">
        <f t="shared" si="40"/>
        <v>0</v>
      </c>
      <c r="K275" s="214">
        <f t="shared" si="40"/>
        <v>4451188.3415999999</v>
      </c>
      <c r="L275" s="220">
        <f t="shared" si="40"/>
        <v>0</v>
      </c>
      <c r="M275" s="93">
        <f>IF(F275&gt;0,M$272,0)</f>
        <v>0</v>
      </c>
      <c r="N275" s="328">
        <f ca="1">$F275*N$272</f>
        <v>0</v>
      </c>
    </row>
    <row r="276" spans="1:14" ht="20.100000000000001" customHeight="1">
      <c r="A276" s="90"/>
      <c r="B276" s="12" t="str">
        <f>IF(CAPDAT=1,"MDAP1",IF(CAPDAT=2,"MDAP2",IF(CAPDAT=3,"MDAP3",IF(CAPDAT=4,"MDAP4"))))</f>
        <v>MDAP3</v>
      </c>
      <c r="C276" s="32" t="str">
        <f>VLOOKUP($B276,R_DG!$A$7:$G$1305,2,0)</f>
        <v>AB.13000</v>
      </c>
      <c r="D276" s="8" t="str">
        <f>VLOOKUP($B276,R_DG!$A$7:$G$1305,3,0)</f>
        <v>Đắp đất hố móng, đất cấp 3, k = 0,85</v>
      </c>
      <c r="E276" s="9" t="str">
        <f>VLOOKUP($B276,R_DG!$A$7:$G$1305,4,0)</f>
        <v>m3</v>
      </c>
      <c r="F276" s="14">
        <v>10.63</v>
      </c>
      <c r="G276" s="214">
        <f>VLOOKUP($B276,R_DG!$A$7:$G$1305,5,0)</f>
        <v>0</v>
      </c>
      <c r="H276" s="214">
        <f>VLOOKUP($B276,R_DG!$A$7:$G$1305,6,0)</f>
        <v>100210.88</v>
      </c>
      <c r="I276" s="214">
        <f>VLOOKUP($B276,R_DG!$A$7:$G$1305,7,0)</f>
        <v>0</v>
      </c>
      <c r="J276" s="214">
        <f t="shared" si="40"/>
        <v>0</v>
      </c>
      <c r="K276" s="214">
        <f t="shared" si="40"/>
        <v>1065241.6544000001</v>
      </c>
      <c r="L276" s="220">
        <f t="shared" si="40"/>
        <v>0</v>
      </c>
      <c r="M276" s="93">
        <f>IF(F276&gt;0,M$272,0)</f>
        <v>0</v>
      </c>
      <c r="N276" s="328">
        <f ca="1">$F276*N$272</f>
        <v>0</v>
      </c>
    </row>
    <row r="277" spans="1:14" ht="20.100000000000001" customHeight="1">
      <c r="A277" s="90"/>
      <c r="B277" s="12" t="s">
        <v>2152</v>
      </c>
      <c r="C277" s="32" t="str">
        <f>VLOOKUP($B277,R_DG!$A$7:$G$1305,2,0)</f>
        <v>02.1123</v>
      </c>
      <c r="D277" s="8" t="str">
        <f>VLOOKUP($B277,R_DG!$A$7:$G$1305,3,0)</f>
        <v>Bốc dỡ đà cản, đế néo</v>
      </c>
      <c r="E277" s="9" t="str">
        <f>VLOOKUP($B277,R_DG!$A$7:$G$1305,4,0)</f>
        <v>tấn</v>
      </c>
      <c r="F277" s="14">
        <f>0.255*F273</f>
        <v>1.02</v>
      </c>
      <c r="G277" s="214">
        <f>VLOOKUP($B277,R_DG!$A$7:$G$1305,5,0)</f>
        <v>0</v>
      </c>
      <c r="H277" s="214">
        <f>VLOOKUP($B277,R_DG!$A$7:$G$1305,6,0)</f>
        <v>0</v>
      </c>
      <c r="I277" s="214">
        <f>VLOOKUP($B277,R_DG!$A$7:$G$1305,7,0)</f>
        <v>0</v>
      </c>
      <c r="J277" s="214">
        <f t="shared" si="40"/>
        <v>0</v>
      </c>
      <c r="K277" s="214">
        <f t="shared" si="40"/>
        <v>0</v>
      </c>
      <c r="L277" s="220">
        <f t="shared" si="40"/>
        <v>0</v>
      </c>
      <c r="M277" s="93">
        <f>IF(F277&gt;0,M$272,0)</f>
        <v>0</v>
      </c>
      <c r="N277" s="328">
        <f ca="1">$F277*N$272</f>
        <v>0</v>
      </c>
    </row>
    <row r="278" spans="1:14" ht="20.100000000000001" customHeight="1">
      <c r="A278" s="89" t="s">
        <v>3024</v>
      </c>
      <c r="B278" s="24"/>
      <c r="C278" s="34"/>
      <c r="D278" s="25" t="s">
        <v>3023</v>
      </c>
      <c r="E278" s="25" t="s">
        <v>3025</v>
      </c>
      <c r="F278" s="26"/>
      <c r="G278" s="213"/>
      <c r="H278" s="213"/>
      <c r="I278" s="213"/>
      <c r="J278" s="213">
        <f>SUM(J279:J283)</f>
        <v>180238</v>
      </c>
      <c r="K278" s="213">
        <f>SUM(K279:K283)</f>
        <v>0</v>
      </c>
      <c r="L278" s="219">
        <f>SUM(L279:L283)</f>
        <v>0</v>
      </c>
      <c r="M278" s="92">
        <f>IF(ERROR.TYPE(IF(HLOOKUP(A278,maBK,1,0)&lt;&gt;"",#NULL!,"ABC"))&lt;&gt;7,1,0)</f>
        <v>0</v>
      </c>
      <c r="N278" s="327">
        <f ca="1">SUMIF(maBK,$A278,tongBK1)</f>
        <v>0</v>
      </c>
    </row>
    <row r="279" spans="1:14" ht="20.100000000000001" customHeight="1">
      <c r="A279" s="90"/>
      <c r="B279" s="12" t="s">
        <v>762</v>
      </c>
      <c r="C279" s="32">
        <f>VLOOKUP($B279,R_DG!$A$7:$G$1305,2,0)</f>
        <v>0</v>
      </c>
      <c r="D279" s="8" t="str">
        <f>VLOOKUP($B279,R_DG!$A$7:$G$1305,3,0)</f>
        <v>Cát vàng</v>
      </c>
      <c r="E279" s="9" t="str">
        <f>VLOOKUP($B279,R_DG!$A$7:$G$1305,4,0)</f>
        <v>m3</v>
      </c>
      <c r="F279" s="14">
        <v>0.28000000000000003</v>
      </c>
      <c r="G279" s="214">
        <f>VLOOKUP($B279,R_DG!$A$7:$G$1305,5,0)</f>
        <v>320000</v>
      </c>
      <c r="H279" s="214">
        <f>VLOOKUP($B279,R_DG!$A$7:$G$1305,6,0)</f>
        <v>0</v>
      </c>
      <c r="I279" s="214">
        <f>VLOOKUP($B279,R_DG!$A$7:$G$1305,7,0)</f>
        <v>0</v>
      </c>
      <c r="J279" s="214">
        <f t="shared" ref="J279:J289" si="45">G279*$F279</f>
        <v>89600.000000000015</v>
      </c>
      <c r="K279" s="214">
        <f t="shared" ref="K279:K289" si="46">H279*$F279</f>
        <v>0</v>
      </c>
      <c r="L279" s="220">
        <f t="shared" ref="L279:L289" si="47">I279*$F279</f>
        <v>0</v>
      </c>
      <c r="M279" s="93">
        <f>IF(F279&gt;0,M$278,0)</f>
        <v>0</v>
      </c>
      <c r="N279" s="328">
        <f t="shared" ref="N279:N289" ca="1" si="48">$F279*N$278</f>
        <v>0</v>
      </c>
    </row>
    <row r="280" spans="1:14" ht="20.100000000000001" customHeight="1">
      <c r="A280" s="90"/>
      <c r="B280" s="12" t="s">
        <v>2159</v>
      </c>
      <c r="C280" s="32">
        <f>VLOOKUP($B280,R_DG!$A$7:$G$1305,2,0)</f>
        <v>0</v>
      </c>
      <c r="D280" s="8" t="str">
        <f>VLOOKUP($B280,R_DG!$A$7:$G$1305,3,0)</f>
        <v>Đá 1x2</v>
      </c>
      <c r="E280" s="9" t="str">
        <f>VLOOKUP($B280,R_DG!$A$7:$G$1305,4,0)</f>
        <v>m3</v>
      </c>
      <c r="F280" s="14">
        <v>0.04</v>
      </c>
      <c r="G280" s="214">
        <f>VLOOKUP($B280,R_DG!$A$7:$G$1305,5,0)</f>
        <v>400000</v>
      </c>
      <c r="H280" s="214">
        <f>VLOOKUP($B280,R_DG!$A$7:$G$1305,6,0)</f>
        <v>0</v>
      </c>
      <c r="I280" s="214">
        <f>VLOOKUP($B280,R_DG!$A$7:$G$1305,7,0)</f>
        <v>0</v>
      </c>
      <c r="J280" s="214">
        <f t="shared" si="45"/>
        <v>16000</v>
      </c>
      <c r="K280" s="214">
        <f t="shared" si="46"/>
        <v>0</v>
      </c>
      <c r="L280" s="220">
        <f t="shared" si="47"/>
        <v>0</v>
      </c>
      <c r="M280" s="93">
        <f t="shared" ref="M280:M289" si="49">IF(F280&gt;0,M$278,0)</f>
        <v>0</v>
      </c>
      <c r="N280" s="328">
        <f t="shared" ca="1" si="48"/>
        <v>0</v>
      </c>
    </row>
    <row r="281" spans="1:14" ht="20.100000000000001" customHeight="1">
      <c r="A281" s="90"/>
      <c r="B281" s="15" t="s">
        <v>759</v>
      </c>
      <c r="C281" s="32">
        <f>VLOOKUP($B281,R_DG!$A$7:$G$1305,2,0)</f>
        <v>0</v>
      </c>
      <c r="D281" s="8" t="str">
        <f>VLOOKUP($B281,R_DG!$A$7:$G$1305,3,0)</f>
        <v>Đá 2x4</v>
      </c>
      <c r="E281" s="9" t="str">
        <f>VLOOKUP($B281,R_DG!$A$7:$G$1305,4,0)</f>
        <v>m3</v>
      </c>
      <c r="F281" s="14">
        <v>9.1999999999999998E-2</v>
      </c>
      <c r="G281" s="214">
        <f>VLOOKUP($B281,R_DG!$A$7:$G$1305,5,0)</f>
        <v>320000</v>
      </c>
      <c r="H281" s="214">
        <f>VLOOKUP($B281,R_DG!$A$7:$G$1305,6,0)</f>
        <v>0</v>
      </c>
      <c r="I281" s="214">
        <f>VLOOKUP($B281,R_DG!$A$7:$G$1305,7,0)</f>
        <v>0</v>
      </c>
      <c r="J281" s="214">
        <f t="shared" si="45"/>
        <v>29440</v>
      </c>
      <c r="K281" s="214">
        <f t="shared" si="46"/>
        <v>0</v>
      </c>
      <c r="L281" s="220">
        <f t="shared" si="47"/>
        <v>0</v>
      </c>
      <c r="M281" s="93">
        <f t="shared" si="49"/>
        <v>0</v>
      </c>
      <c r="N281" s="328">
        <f t="shared" ca="1" si="48"/>
        <v>0</v>
      </c>
    </row>
    <row r="282" spans="1:14" ht="20.100000000000001" customHeight="1">
      <c r="A282" s="90"/>
      <c r="B282" s="15" t="s">
        <v>767</v>
      </c>
      <c r="C282" s="32">
        <f>VLOOKUP($B282,R_DG!$A$7:$G$1305,2,0)</f>
        <v>0</v>
      </c>
      <c r="D282" s="8" t="str">
        <f>VLOOKUP($B282,R_DG!$A$7:$G$1305,3,0)</f>
        <v>Ximăng</v>
      </c>
      <c r="E282" s="9" t="str">
        <f>VLOOKUP($B282,R_DG!$A$7:$G$1305,4,0)</f>
        <v>kg</v>
      </c>
      <c r="F282" s="14">
        <v>14.11</v>
      </c>
      <c r="G282" s="214">
        <f>VLOOKUP($B282,R_DG!$A$7:$G$1305,5,0)</f>
        <v>1800</v>
      </c>
      <c r="H282" s="214">
        <f>VLOOKUP($B282,R_DG!$A$7:$G$1305,6,0)</f>
        <v>0</v>
      </c>
      <c r="I282" s="214">
        <f>VLOOKUP($B282,R_DG!$A$7:$G$1305,7,0)</f>
        <v>0</v>
      </c>
      <c r="J282" s="214">
        <f t="shared" si="45"/>
        <v>25398</v>
      </c>
      <c r="K282" s="214">
        <f t="shared" si="46"/>
        <v>0</v>
      </c>
      <c r="L282" s="220">
        <f t="shared" si="47"/>
        <v>0</v>
      </c>
      <c r="M282" s="93">
        <f t="shared" si="49"/>
        <v>0</v>
      </c>
      <c r="N282" s="328">
        <f t="shared" ca="1" si="48"/>
        <v>0</v>
      </c>
    </row>
    <row r="283" spans="1:14" ht="20.100000000000001" customHeight="1">
      <c r="A283" s="90"/>
      <c r="B283" s="15" t="s">
        <v>766</v>
      </c>
      <c r="C283" s="32">
        <f>VLOOKUP($B283,R_DG!$A$7:$G$1305,2,0)</f>
        <v>0</v>
      </c>
      <c r="D283" s="8" t="str">
        <f>VLOOKUP($B283,R_DG!$A$7:$G$1305,3,0)</f>
        <v>Gạch tàu (30x30x30)</v>
      </c>
      <c r="E283" s="9" t="str">
        <f>VLOOKUP($B283,R_DG!$A$7:$G$1305,4,0)</f>
        <v>viên</v>
      </c>
      <c r="F283" s="14">
        <v>3.3</v>
      </c>
      <c r="G283" s="214">
        <f>VLOOKUP($B283,R_DG!$A$7:$G$1305,5,0)</f>
        <v>6000</v>
      </c>
      <c r="H283" s="214">
        <f>VLOOKUP($B283,R_DG!$A$7:$G$1305,6,0)</f>
        <v>0</v>
      </c>
      <c r="I283" s="214">
        <f>VLOOKUP($B283,R_DG!$A$7:$G$1305,7,0)</f>
        <v>0</v>
      </c>
      <c r="J283" s="214">
        <f t="shared" si="45"/>
        <v>19800</v>
      </c>
      <c r="K283" s="214">
        <f t="shared" si="46"/>
        <v>0</v>
      </c>
      <c r="L283" s="220">
        <f t="shared" si="47"/>
        <v>0</v>
      </c>
      <c r="M283" s="93">
        <f t="shared" si="49"/>
        <v>0</v>
      </c>
      <c r="N283" s="328">
        <f t="shared" ca="1" si="48"/>
        <v>0</v>
      </c>
    </row>
    <row r="284" spans="1:14" ht="20.100000000000001" customHeight="1">
      <c r="A284" s="90"/>
      <c r="B284" s="12" t="s">
        <v>770</v>
      </c>
      <c r="C284" s="32">
        <f>VLOOKUP($B284,R_DG!$A$7:$G$1305,2,0)</f>
        <v>0</v>
      </c>
      <c r="D284" s="8" t="str">
        <f>VLOOKUP($B284,R_DG!$A$7:$G$1305,3,0)</f>
        <v>Tấm nilông màu cảnh báo</v>
      </c>
      <c r="E284" s="9" t="str">
        <f>VLOOKUP($B284,R_DG!$A$7:$G$1305,4,0)</f>
        <v>m2</v>
      </c>
      <c r="F284" s="14">
        <v>0.5</v>
      </c>
      <c r="G284" s="214">
        <f>VLOOKUP($B284,R_DG!$A$7:$G$1305,5,0)</f>
        <v>6000</v>
      </c>
      <c r="H284" s="214">
        <f>VLOOKUP($B284,R_DG!$A$7:$G$1305,6,0)</f>
        <v>0</v>
      </c>
      <c r="I284" s="214">
        <f>VLOOKUP($B284,R_DG!$A$7:$G$1305,7,0)</f>
        <v>0</v>
      </c>
      <c r="J284" s="214">
        <f t="shared" si="45"/>
        <v>3000</v>
      </c>
      <c r="K284" s="214">
        <f t="shared" si="46"/>
        <v>0</v>
      </c>
      <c r="L284" s="220">
        <f t="shared" si="47"/>
        <v>0</v>
      </c>
      <c r="M284" s="93">
        <f t="shared" si="49"/>
        <v>0</v>
      </c>
      <c r="N284" s="328">
        <f t="shared" ca="1" si="48"/>
        <v>0</v>
      </c>
    </row>
    <row r="285" spans="1:14" ht="20.100000000000001" customHeight="1">
      <c r="A285" s="90"/>
      <c r="B285" s="12" t="s">
        <v>1902</v>
      </c>
      <c r="C285" s="32">
        <f>VLOOKUP($B285,R_DG!$A$7:$G$1305,2,0)</f>
        <v>0</v>
      </c>
      <c r="D285" s="8" t="str">
        <f>VLOOKUP($B285,R_DG!$A$7:$G$1305,3,0)</f>
        <v xml:space="preserve">Ống PVC D114x4,9mm </v>
      </c>
      <c r="E285" s="9" t="str">
        <f>VLOOKUP($B285,R_DG!$A$7:$G$1305,4,0)</f>
        <v>m</v>
      </c>
      <c r="F285" s="14">
        <v>1</v>
      </c>
      <c r="G285" s="214">
        <f>VLOOKUP($B285,R_DG!$A$7:$G$1305,5,0)</f>
        <v>103700</v>
      </c>
      <c r="H285" s="214">
        <f>VLOOKUP($B285,R_DG!$A$7:$G$1305,6,0)</f>
        <v>0</v>
      </c>
      <c r="I285" s="214">
        <f>VLOOKUP($B285,R_DG!$A$7:$G$1305,7,0)</f>
        <v>0</v>
      </c>
      <c r="J285" s="214">
        <f t="shared" si="45"/>
        <v>103700</v>
      </c>
      <c r="K285" s="214">
        <f t="shared" si="46"/>
        <v>0</v>
      </c>
      <c r="L285" s="220">
        <f t="shared" si="47"/>
        <v>0</v>
      </c>
      <c r="M285" s="93">
        <f t="shared" si="49"/>
        <v>0</v>
      </c>
      <c r="N285" s="328">
        <f t="shared" ca="1" si="48"/>
        <v>0</v>
      </c>
    </row>
    <row r="286" spans="1:14" ht="20.100000000000001" customHeight="1">
      <c r="A286" s="90"/>
      <c r="B286" s="15" t="s">
        <v>3028</v>
      </c>
      <c r="C286" s="32" t="str">
        <f>VLOOKUP($B286,R_DG!$A$7:$G$1305,2,0)</f>
        <v>07.2104</v>
      </c>
      <c r="D286" s="8" t="str">
        <f>VLOOKUP($B286,R_DG!$A$7:$G$1305,3,0)</f>
        <v>Lắp gạch làm dấu</v>
      </c>
      <c r="E286" s="9" t="str">
        <f>VLOOKUP($B286,R_DG!$A$7:$G$1305,4,0)</f>
        <v>viên</v>
      </c>
      <c r="F286" s="14">
        <v>3.3</v>
      </c>
      <c r="G286" s="214">
        <f>VLOOKUP($B286,R_DG!$A$7:$G$1305,5,0)</f>
        <v>0</v>
      </c>
      <c r="H286" s="214">
        <f>VLOOKUP($B286,R_DG!$A$7:$G$1305,6,0)</f>
        <v>0</v>
      </c>
      <c r="I286" s="214">
        <f>VLOOKUP($B286,R_DG!$A$7:$G$1305,7,0)</f>
        <v>0</v>
      </c>
      <c r="J286" s="214">
        <f t="shared" si="45"/>
        <v>0</v>
      </c>
      <c r="K286" s="214">
        <f t="shared" si="46"/>
        <v>0</v>
      </c>
      <c r="L286" s="220">
        <f t="shared" si="47"/>
        <v>0</v>
      </c>
      <c r="M286" s="93">
        <f t="shared" si="49"/>
        <v>0</v>
      </c>
      <c r="N286" s="328">
        <f t="shared" ca="1" si="48"/>
        <v>0</v>
      </c>
    </row>
    <row r="287" spans="1:14" ht="20.100000000000001" customHeight="1">
      <c r="A287" s="90"/>
      <c r="B287" s="15" t="s">
        <v>3029</v>
      </c>
      <c r="C287" s="32" t="str">
        <f>VLOOKUP($B287,R_DG!$A$7:$G$1305,2,0)</f>
        <v>03.7000</v>
      </c>
      <c r="D287" s="8" t="str">
        <f>VLOOKUP($B287,R_DG!$A$7:$G$1305,3,0)</f>
        <v xml:space="preserve">Đắp cát </v>
      </c>
      <c r="E287" s="9" t="str">
        <f>VLOOKUP($B287,R_DG!$A$7:$G$1305,4,0)</f>
        <v>m3</v>
      </c>
      <c r="F287" s="14">
        <v>0.25900000000000001</v>
      </c>
      <c r="G287" s="214">
        <f>VLOOKUP($B287,R_DG!$A$7:$G$1305,5,0)</f>
        <v>0</v>
      </c>
      <c r="H287" s="214">
        <f>VLOOKUP($B287,R_DG!$A$7:$G$1305,6,0)</f>
        <v>0</v>
      </c>
      <c r="I287" s="214">
        <f>VLOOKUP($B287,R_DG!$A$7:$G$1305,7,0)</f>
        <v>0</v>
      </c>
      <c r="J287" s="214">
        <f t="shared" si="45"/>
        <v>0</v>
      </c>
      <c r="K287" s="214">
        <f t="shared" si="46"/>
        <v>0</v>
      </c>
      <c r="L287" s="220">
        <f t="shared" si="47"/>
        <v>0</v>
      </c>
      <c r="M287" s="93">
        <f t="shared" si="49"/>
        <v>0</v>
      </c>
      <c r="N287" s="328">
        <f t="shared" ca="1" si="48"/>
        <v>0</v>
      </c>
    </row>
    <row r="288" spans="1:14" ht="20.100000000000001" customHeight="1">
      <c r="A288" s="90"/>
      <c r="B288" s="15" t="s">
        <v>838</v>
      </c>
      <c r="C288" s="32" t="str">
        <f>VLOOKUP($B288,R_DG!$A$7:$G$1305,2,0)</f>
        <v>03.3103</v>
      </c>
      <c r="D288" s="8" t="str">
        <f>VLOOKUP($B288,R_DG!$A$7:$G$1305,3,0)</f>
        <v>Đào mương cáp ngầm đất cấp 3</v>
      </c>
      <c r="E288" s="9" t="str">
        <f>VLOOKUP($B288,R_DG!$A$7:$G$1305,4,0)</f>
        <v>m3</v>
      </c>
      <c r="F288" s="14">
        <v>0.4</v>
      </c>
      <c r="G288" s="214">
        <f>VLOOKUP($B288,R_DG!$A$7:$G$1305,5,0)</f>
        <v>0</v>
      </c>
      <c r="H288" s="214">
        <f>VLOOKUP($B288,R_DG!$A$7:$G$1305,6,0)</f>
        <v>0</v>
      </c>
      <c r="I288" s="214">
        <f>VLOOKUP($B288,R_DG!$A$7:$G$1305,7,0)</f>
        <v>0</v>
      </c>
      <c r="J288" s="214">
        <f t="shared" si="45"/>
        <v>0</v>
      </c>
      <c r="K288" s="214">
        <f t="shared" si="46"/>
        <v>0</v>
      </c>
      <c r="L288" s="220">
        <f t="shared" si="47"/>
        <v>0</v>
      </c>
      <c r="M288" s="93">
        <f t="shared" si="49"/>
        <v>0</v>
      </c>
      <c r="N288" s="328">
        <f t="shared" ca="1" si="48"/>
        <v>0</v>
      </c>
    </row>
    <row r="289" spans="1:14" ht="20.100000000000001" customHeight="1">
      <c r="A289" s="90"/>
      <c r="B289" s="15" t="s">
        <v>1245</v>
      </c>
      <c r="C289" s="32" t="str">
        <f>VLOOKUP($B289,R_DG!$A$7:$G$1305,2,0)</f>
        <v>AF112.20</v>
      </c>
      <c r="D289" s="8" t="str">
        <f>VLOOKUP($B289,R_DG!$A$7:$G$1305,3,0)</f>
        <v>Đổ bê tông mác M150 đá 1x2</v>
      </c>
      <c r="E289" s="9" t="str">
        <f>VLOOKUP($B289,R_DG!$A$7:$G$1305,4,0)</f>
        <v>m3</v>
      </c>
      <c r="F289" s="14">
        <v>4.9000000000000002E-2</v>
      </c>
      <c r="G289" s="214">
        <f>VLOOKUP($B289,R_DG!$A$7:$G$1305,5,0)</f>
        <v>0</v>
      </c>
      <c r="H289" s="214">
        <f>VLOOKUP($B289,R_DG!$A$7:$G$1305,6,0)</f>
        <v>398225.65</v>
      </c>
      <c r="I289" s="214">
        <f>VLOOKUP($B289,R_DG!$A$7:$G$1305,7,0)</f>
        <v>0</v>
      </c>
      <c r="J289" s="214">
        <f t="shared" si="45"/>
        <v>0</v>
      </c>
      <c r="K289" s="214">
        <f t="shared" si="46"/>
        <v>19513.056850000001</v>
      </c>
      <c r="L289" s="220">
        <f t="shared" si="47"/>
        <v>0</v>
      </c>
      <c r="M289" s="93">
        <f t="shared" si="49"/>
        <v>0</v>
      </c>
      <c r="N289" s="328">
        <f t="shared" ca="1" si="48"/>
        <v>0</v>
      </c>
    </row>
    <row r="290" spans="1:14" ht="20.100000000000001" customHeight="1">
      <c r="A290" s="89" t="s">
        <v>3027</v>
      </c>
      <c r="B290" s="24"/>
      <c r="C290" s="34"/>
      <c r="D290" s="25" t="s">
        <v>3026</v>
      </c>
      <c r="E290" s="25" t="s">
        <v>3025</v>
      </c>
      <c r="F290" s="26"/>
      <c r="G290" s="213"/>
      <c r="H290" s="213"/>
      <c r="I290" s="213"/>
      <c r="J290" s="213">
        <f>SUM(J291:J295)</f>
        <v>3430556</v>
      </c>
      <c r="K290" s="213">
        <f>SUM(K291:K295)</f>
        <v>0</v>
      </c>
      <c r="L290" s="219">
        <f>SUM(L291:L295)</f>
        <v>0</v>
      </c>
      <c r="M290" s="92">
        <f>IF(ERROR.TYPE(IF(HLOOKUP(A290,maBK,1,0)&lt;&gt;"",#NULL!,"ABC"))&lt;&gt;7,1,0)</f>
        <v>0</v>
      </c>
      <c r="N290" s="327">
        <f ca="1">SUMIF(maBK,$A290,tongBK1)</f>
        <v>0</v>
      </c>
    </row>
    <row r="291" spans="1:14" ht="20.100000000000001" customHeight="1">
      <c r="A291" s="90"/>
      <c r="B291" s="12" t="s">
        <v>767</v>
      </c>
      <c r="C291" s="32">
        <f>VLOOKUP($B291,R_DG!$A$7:$G$1305,2,0)</f>
        <v>0</v>
      </c>
      <c r="D291" s="8" t="str">
        <f>VLOOKUP($B291,R_DG!$A$7:$G$1305,3,0)</f>
        <v>Ximăng</v>
      </c>
      <c r="E291" s="9" t="str">
        <f>VLOOKUP($B291,R_DG!$A$7:$G$1305,4,0)</f>
        <v>kg</v>
      </c>
      <c r="F291" s="14">
        <v>385.41999999999996</v>
      </c>
      <c r="G291" s="214">
        <f>VLOOKUP($B291,R_DG!$A$7:$G$1305,5,0)</f>
        <v>1800</v>
      </c>
      <c r="H291" s="214">
        <f>VLOOKUP($B291,R_DG!$A$7:$G$1305,6,0)</f>
        <v>0</v>
      </c>
      <c r="I291" s="214">
        <f>VLOOKUP($B291,R_DG!$A$7:$G$1305,7,0)</f>
        <v>0</v>
      </c>
      <c r="J291" s="214">
        <f t="shared" ref="J291:J300" si="50">G291*$F291</f>
        <v>693755.99999999988</v>
      </c>
      <c r="K291" s="214">
        <f t="shared" ref="K291:K300" si="51">H291*$F291</f>
        <v>0</v>
      </c>
      <c r="L291" s="220">
        <f t="shared" ref="L291:L300" si="52">I291*$F291</f>
        <v>0</v>
      </c>
      <c r="M291" s="93">
        <f>IF(F291&gt;0,M$290,0)</f>
        <v>0</v>
      </c>
      <c r="N291" s="328">
        <f t="shared" ref="N291:N301" ca="1" si="53">$F291*N$290</f>
        <v>0</v>
      </c>
    </row>
    <row r="292" spans="1:14" ht="20.100000000000001" customHeight="1">
      <c r="A292" s="90"/>
      <c r="B292" s="12" t="s">
        <v>762</v>
      </c>
      <c r="C292" s="32">
        <f>VLOOKUP($B292,R_DG!$A$7:$G$1305,2,0)</f>
        <v>0</v>
      </c>
      <c r="D292" s="8" t="str">
        <f>VLOOKUP($B292,R_DG!$A$7:$G$1305,3,0)</f>
        <v>Cát vàng</v>
      </c>
      <c r="E292" s="9" t="str">
        <f>VLOOKUP($B292,R_DG!$A$7:$G$1305,4,0)</f>
        <v>m3</v>
      </c>
      <c r="F292" s="14">
        <v>3.59</v>
      </c>
      <c r="G292" s="214">
        <f>VLOOKUP($B292,R_DG!$A$7:$G$1305,5,0)</f>
        <v>320000</v>
      </c>
      <c r="H292" s="214">
        <f>VLOOKUP($B292,R_DG!$A$7:$G$1305,6,0)</f>
        <v>0</v>
      </c>
      <c r="I292" s="214">
        <f>VLOOKUP($B292,R_DG!$A$7:$G$1305,7,0)</f>
        <v>0</v>
      </c>
      <c r="J292" s="214">
        <f t="shared" si="50"/>
        <v>1148800</v>
      </c>
      <c r="K292" s="214">
        <f t="shared" si="51"/>
        <v>0</v>
      </c>
      <c r="L292" s="220">
        <f t="shared" si="52"/>
        <v>0</v>
      </c>
      <c r="M292" s="93">
        <f t="shared" ref="M292:M301" si="54">IF(F292&gt;0,M$290,0)</f>
        <v>0</v>
      </c>
      <c r="N292" s="328">
        <f t="shared" ca="1" si="53"/>
        <v>0</v>
      </c>
    </row>
    <row r="293" spans="1:14" ht="20.100000000000001" customHeight="1">
      <c r="A293" s="90"/>
      <c r="B293" s="15" t="s">
        <v>2159</v>
      </c>
      <c r="C293" s="32">
        <f>VLOOKUP($B293,R_DG!$A$7:$G$1305,2,0)</f>
        <v>0</v>
      </c>
      <c r="D293" s="8" t="str">
        <f>VLOOKUP($B293,R_DG!$A$7:$G$1305,3,0)</f>
        <v>Đá 1x2</v>
      </c>
      <c r="E293" s="9" t="str">
        <f>VLOOKUP($B293,R_DG!$A$7:$G$1305,4,0)</f>
        <v>m3</v>
      </c>
      <c r="F293" s="14">
        <v>3.97</v>
      </c>
      <c r="G293" s="214">
        <f>VLOOKUP($B293,R_DG!$A$7:$G$1305,5,0)</f>
        <v>400000</v>
      </c>
      <c r="H293" s="214">
        <f>VLOOKUP($B293,R_DG!$A$7:$G$1305,6,0)</f>
        <v>0</v>
      </c>
      <c r="I293" s="214">
        <f>VLOOKUP($B293,R_DG!$A$7:$G$1305,7,0)</f>
        <v>0</v>
      </c>
      <c r="J293" s="214">
        <f t="shared" si="50"/>
        <v>1588000</v>
      </c>
      <c r="K293" s="214">
        <f t="shared" si="51"/>
        <v>0</v>
      </c>
      <c r="L293" s="220">
        <f t="shared" si="52"/>
        <v>0</v>
      </c>
      <c r="M293" s="93">
        <f t="shared" si="54"/>
        <v>0</v>
      </c>
      <c r="N293" s="328">
        <f t="shared" ca="1" si="53"/>
        <v>0</v>
      </c>
    </row>
    <row r="294" spans="1:14" ht="20.100000000000001" customHeight="1">
      <c r="A294" s="90"/>
      <c r="B294" s="15" t="s">
        <v>3030</v>
      </c>
      <c r="C294" s="32">
        <f>VLOOKUP($B294,R_DG!$A$7:$G$1305,2,0)</f>
        <v>0</v>
      </c>
      <c r="D294" s="8" t="str">
        <f>VLOOKUP($B294,R_DG!$A$7:$G$1305,3,0)</f>
        <v>Đá 4x6</v>
      </c>
      <c r="E294" s="9" t="str">
        <f>VLOOKUP($B294,R_DG!$A$7:$G$1305,4,0)</f>
        <v>m3</v>
      </c>
      <c r="F294" s="14"/>
      <c r="G294" s="214">
        <f>VLOOKUP($B294,R_DG!$A$7:$G$1305,5,0)</f>
        <v>113524</v>
      </c>
      <c r="H294" s="214">
        <f>VLOOKUP($B294,R_DG!$A$7:$G$1305,6,0)</f>
        <v>0</v>
      </c>
      <c r="I294" s="214">
        <f>VLOOKUP($B294,R_DG!$A$7:$G$1305,7,0)</f>
        <v>0</v>
      </c>
      <c r="J294" s="214">
        <f t="shared" si="50"/>
        <v>0</v>
      </c>
      <c r="K294" s="214">
        <f t="shared" si="51"/>
        <v>0</v>
      </c>
      <c r="L294" s="220">
        <f t="shared" si="52"/>
        <v>0</v>
      </c>
      <c r="M294" s="93">
        <f t="shared" si="54"/>
        <v>0</v>
      </c>
      <c r="N294" s="328">
        <f t="shared" ca="1" si="53"/>
        <v>0</v>
      </c>
    </row>
    <row r="295" spans="1:14" ht="20.25" customHeight="1">
      <c r="A295" s="90"/>
      <c r="B295" s="15" t="s">
        <v>852</v>
      </c>
      <c r="C295" s="32" t="str">
        <f>VLOOKUP($B295,R_DG!$A$7:$G$1305,2,0)</f>
        <v>03.7000</v>
      </c>
      <c r="D295" s="8" t="str">
        <f>VLOOKUP($B295,R_DG!$A$7:$G$1305,3,0)</f>
        <v xml:space="preserve">Đắp cát </v>
      </c>
      <c r="E295" s="9" t="str">
        <f>VLOOKUP($B295,R_DG!$A$7:$G$1305,4,0)</f>
        <v>m3</v>
      </c>
      <c r="F295" s="14">
        <v>0.14000000000000001</v>
      </c>
      <c r="G295" s="214">
        <f>VLOOKUP($B295,R_DG!$A$7:$G$1305,5,0)</f>
        <v>0</v>
      </c>
      <c r="H295" s="214">
        <f>VLOOKUP($B295,R_DG!$A$7:$G$1305,6,0)</f>
        <v>0</v>
      </c>
      <c r="I295" s="214">
        <f>VLOOKUP($B295,R_DG!$A$7:$G$1305,7,0)</f>
        <v>0</v>
      </c>
      <c r="J295" s="214">
        <f t="shared" si="50"/>
        <v>0</v>
      </c>
      <c r="K295" s="214">
        <f t="shared" si="51"/>
        <v>0</v>
      </c>
      <c r="L295" s="220">
        <f t="shared" si="52"/>
        <v>0</v>
      </c>
      <c r="M295" s="93">
        <f t="shared" si="54"/>
        <v>0</v>
      </c>
      <c r="N295" s="328">
        <f t="shared" ca="1" si="53"/>
        <v>0</v>
      </c>
    </row>
    <row r="296" spans="1:14" ht="20.100000000000001" customHeight="1">
      <c r="A296" s="90"/>
      <c r="B296" s="12" t="s">
        <v>818</v>
      </c>
      <c r="C296" s="32" t="str">
        <f>VLOOKUP($B296,R_DG!$A$7:$G$1305,2,0)</f>
        <v>AB.11400</v>
      </c>
      <c r="D296" s="8" t="str">
        <f>VLOOKUP($B296,R_DG!$A$7:$G$1305,3,0)</f>
        <v>Đào hố móng đất cấp 3 sâu &gt;1m, rộng &lt;1m</v>
      </c>
      <c r="E296" s="9" t="str">
        <f>VLOOKUP($B296,R_DG!$A$7:$G$1305,4,0)</f>
        <v>m3</v>
      </c>
      <c r="F296" s="14">
        <v>1.73</v>
      </c>
      <c r="G296" s="214">
        <f>VLOOKUP($B296,R_DG!$A$7:$G$1305,5,0)</f>
        <v>0</v>
      </c>
      <c r="H296" s="214">
        <f>VLOOKUP($B296,R_DG!$A$7:$G$1305,6,0)</f>
        <v>418738.31999999995</v>
      </c>
      <c r="I296" s="214">
        <f>VLOOKUP($B296,R_DG!$A$7:$G$1305,7,0)</f>
        <v>0</v>
      </c>
      <c r="J296" s="214">
        <f t="shared" si="50"/>
        <v>0</v>
      </c>
      <c r="K296" s="214">
        <f t="shared" si="51"/>
        <v>724417.29359999986</v>
      </c>
      <c r="L296" s="220">
        <f t="shared" si="52"/>
        <v>0</v>
      </c>
      <c r="M296" s="93">
        <f t="shared" si="54"/>
        <v>0</v>
      </c>
      <c r="N296" s="328">
        <f t="shared" ca="1" si="53"/>
        <v>0</v>
      </c>
    </row>
    <row r="297" spans="1:14" ht="20.100000000000001" customHeight="1">
      <c r="A297" s="90"/>
      <c r="B297" s="12" t="s">
        <v>1245</v>
      </c>
      <c r="C297" s="32" t="str">
        <f>VLOOKUP($B297,R_DG!$A$7:$G$1305,2,0)</f>
        <v>AF112.20</v>
      </c>
      <c r="D297" s="8" t="str">
        <f>VLOOKUP($B297,R_DG!$A$7:$G$1305,3,0)</f>
        <v>Đổ bê tông mác M150 đá 1x2</v>
      </c>
      <c r="E297" s="9" t="str">
        <f>VLOOKUP($B297,R_DG!$A$7:$G$1305,4,0)</f>
        <v>m3</v>
      </c>
      <c r="F297" s="14">
        <v>0.14000000000000001</v>
      </c>
      <c r="G297" s="214">
        <f>VLOOKUP($B297,R_DG!$A$7:$G$1305,5,0)</f>
        <v>0</v>
      </c>
      <c r="H297" s="214">
        <f>VLOOKUP($B297,R_DG!$A$7:$G$1305,6,0)</f>
        <v>398225.65</v>
      </c>
      <c r="I297" s="214">
        <f>VLOOKUP($B297,R_DG!$A$7:$G$1305,7,0)</f>
        <v>0</v>
      </c>
      <c r="J297" s="214">
        <f t="shared" si="50"/>
        <v>0</v>
      </c>
      <c r="K297" s="214">
        <f t="shared" si="51"/>
        <v>55751.591000000008</v>
      </c>
      <c r="L297" s="220">
        <f t="shared" si="52"/>
        <v>0</v>
      </c>
      <c r="M297" s="93">
        <f t="shared" si="54"/>
        <v>0</v>
      </c>
      <c r="N297" s="328">
        <f t="shared" ca="1" si="53"/>
        <v>0</v>
      </c>
    </row>
    <row r="298" spans="1:14" ht="20.100000000000001" customHeight="1">
      <c r="A298" s="90"/>
      <c r="B298" s="15" t="s">
        <v>1247</v>
      </c>
      <c r="C298" s="32" t="str">
        <f>VLOOKUP($B298,R_DG!$A$7:$G$1305,2,0)</f>
        <v>AF112.20</v>
      </c>
      <c r="D298" s="8" t="str">
        <f>VLOOKUP($B298,R_DG!$A$7:$G$1305,3,0)</f>
        <v>Đổ bê tông mác M200 đá 1x2</v>
      </c>
      <c r="E298" s="9" t="str">
        <f>VLOOKUP($B298,R_DG!$A$7:$G$1305,4,0)</f>
        <v>m3</v>
      </c>
      <c r="F298" s="14">
        <v>0.98</v>
      </c>
      <c r="G298" s="214">
        <f>VLOOKUP($B298,R_DG!$A$7:$G$1305,5,0)</f>
        <v>0</v>
      </c>
      <c r="H298" s="214">
        <f>VLOOKUP($B298,R_DG!$A$7:$G$1305,6,0)</f>
        <v>398225.65</v>
      </c>
      <c r="I298" s="214">
        <f>VLOOKUP($B298,R_DG!$A$7:$G$1305,7,0)</f>
        <v>0</v>
      </c>
      <c r="J298" s="214">
        <f t="shared" si="50"/>
        <v>0</v>
      </c>
      <c r="K298" s="214">
        <f t="shared" si="51"/>
        <v>390261.13699999999</v>
      </c>
      <c r="L298" s="220">
        <f t="shared" si="52"/>
        <v>0</v>
      </c>
      <c r="M298" s="93">
        <f t="shared" si="54"/>
        <v>0</v>
      </c>
      <c r="N298" s="328">
        <f t="shared" ca="1" si="53"/>
        <v>0</v>
      </c>
    </row>
    <row r="299" spans="1:14" ht="20.100000000000001" customHeight="1">
      <c r="A299" s="90"/>
      <c r="B299" s="15" t="s">
        <v>2173</v>
      </c>
      <c r="C299" s="32">
        <f>VLOOKUP($B299,R_DG!$A$7:$G$1305,2,0)</f>
        <v>0</v>
      </c>
      <c r="D299" s="8" t="str">
        <f>VLOOKUP($B299,R_DG!$A$7:$G$1305,3,0)</f>
        <v>Sắt  φ10</v>
      </c>
      <c r="E299" s="9" t="str">
        <f>VLOOKUP($B299,R_DG!$A$7:$G$1305,4,0)</f>
        <v>kg</v>
      </c>
      <c r="F299" s="14">
        <v>82.8</v>
      </c>
      <c r="G299" s="214">
        <f>VLOOKUP($B299,R_DG!$A$7:$G$1305,5,0)</f>
        <v>14545</v>
      </c>
      <c r="H299" s="214">
        <f>VLOOKUP($B299,R_DG!$A$7:$G$1305,6,0)</f>
        <v>0</v>
      </c>
      <c r="I299" s="214">
        <f>VLOOKUP($B299,R_DG!$A$7:$G$1305,7,0)</f>
        <v>0</v>
      </c>
      <c r="J299" s="214">
        <f t="shared" si="50"/>
        <v>1204326</v>
      </c>
      <c r="K299" s="214">
        <f t="shared" si="51"/>
        <v>0</v>
      </c>
      <c r="L299" s="220">
        <f t="shared" si="52"/>
        <v>0</v>
      </c>
      <c r="M299" s="93">
        <f t="shared" si="54"/>
        <v>0</v>
      </c>
      <c r="N299" s="328">
        <f t="shared" ca="1" si="53"/>
        <v>0</v>
      </c>
    </row>
    <row r="300" spans="1:14" ht="20.100000000000001" customHeight="1">
      <c r="A300" s="90"/>
      <c r="B300" s="15" t="s">
        <v>2174</v>
      </c>
      <c r="C300" s="32">
        <f>VLOOKUP($B300,R_DG!$A$7:$G$1305,2,0)</f>
        <v>0</v>
      </c>
      <c r="D300" s="8" t="str">
        <f>VLOOKUP($B300,R_DG!$A$7:$G$1305,3,0)</f>
        <v>Kẽm</v>
      </c>
      <c r="E300" s="9" t="str">
        <f>VLOOKUP($B300,R_DG!$A$7:$G$1305,4,0)</f>
        <v>kg</v>
      </c>
      <c r="F300" s="14">
        <v>0.3</v>
      </c>
      <c r="G300" s="214">
        <f>VLOOKUP($B300,R_DG!$A$7:$G$1305,5,0)</f>
        <v>35200</v>
      </c>
      <c r="H300" s="214">
        <f>VLOOKUP($B300,R_DG!$A$7:$G$1305,6,0)</f>
        <v>0</v>
      </c>
      <c r="I300" s="214">
        <f>VLOOKUP($B300,R_DG!$A$7:$G$1305,7,0)</f>
        <v>0</v>
      </c>
      <c r="J300" s="214">
        <f t="shared" si="50"/>
        <v>10560</v>
      </c>
      <c r="K300" s="214">
        <f t="shared" si="51"/>
        <v>0</v>
      </c>
      <c r="L300" s="220">
        <f t="shared" si="52"/>
        <v>0</v>
      </c>
      <c r="M300" s="93">
        <f t="shared" si="54"/>
        <v>0</v>
      </c>
      <c r="N300" s="328">
        <f t="shared" ca="1" si="53"/>
        <v>0</v>
      </c>
    </row>
    <row r="301" spans="1:14" ht="20.100000000000001" customHeight="1">
      <c r="A301" s="90"/>
      <c r="B301" s="15" t="s">
        <v>2496</v>
      </c>
      <c r="C301" s="32">
        <f>VLOOKUP($B301,R_DG!$A$7:$G$1305,2,0)</f>
        <v>0</v>
      </c>
      <c r="D301" s="8" t="str">
        <f>VLOOKUP($B301,R_DG!$A$7:$G$1305,3,0)</f>
        <v>Thép hình L75 x75 x8</v>
      </c>
      <c r="E301" s="9" t="str">
        <f>VLOOKUP($B301,R_DG!$A$7:$G$1305,4,0)</f>
        <v>kg</v>
      </c>
      <c r="F301" s="14">
        <v>39.96</v>
      </c>
      <c r="G301" s="214">
        <f>VLOOKUP($B301,R_DG!$A$7:$G$1305,5,0)</f>
        <v>28961</v>
      </c>
      <c r="H301" s="214">
        <f>VLOOKUP($B301,R_DG!$A$7:$G$1305,6,0)</f>
        <v>0</v>
      </c>
      <c r="I301" s="214">
        <f>VLOOKUP($B301,R_DG!$A$7:$G$1305,7,0)</f>
        <v>0</v>
      </c>
      <c r="J301" s="214">
        <f>G301*$F301</f>
        <v>1157281.56</v>
      </c>
      <c r="K301" s="214">
        <f>H301*$F301</f>
        <v>0</v>
      </c>
      <c r="L301" s="220">
        <f>I301*$F301</f>
        <v>0</v>
      </c>
      <c r="M301" s="93">
        <f t="shared" si="54"/>
        <v>0</v>
      </c>
      <c r="N301" s="328">
        <f t="shared" ca="1" si="53"/>
        <v>0</v>
      </c>
    </row>
    <row r="302" spans="1:14" ht="20.100000000000001" customHeight="1">
      <c r="A302" s="89" t="s">
        <v>3253</v>
      </c>
      <c r="B302" s="24"/>
      <c r="C302" s="34"/>
      <c r="D302" s="25" t="s">
        <v>3254</v>
      </c>
      <c r="E302" s="25" t="s">
        <v>163</v>
      </c>
      <c r="F302" s="26"/>
      <c r="G302" s="213"/>
      <c r="H302" s="213"/>
      <c r="I302" s="213"/>
      <c r="J302" s="213">
        <f>SUM(J303:J308)</f>
        <v>614856</v>
      </c>
      <c r="K302" s="213">
        <f>SUM(K303:K308)</f>
        <v>85984.656000000003</v>
      </c>
      <c r="L302" s="219">
        <f>SUM(L303:L308)</f>
        <v>0</v>
      </c>
      <c r="M302" s="92">
        <f>IF(ERROR.TYPE(IF(HLOOKUP(A302,maBK,1,0)&lt;&gt;"",#NULL!,"ABC"))&lt;&gt;7,1,0)</f>
        <v>0</v>
      </c>
      <c r="N302" s="327">
        <f ca="1">SUMIF(maBK,$A302,tongBK1)</f>
        <v>0</v>
      </c>
    </row>
    <row r="303" spans="1:14" ht="20.100000000000001" customHeight="1">
      <c r="A303" s="87"/>
      <c r="B303" s="7" t="s">
        <v>2184</v>
      </c>
      <c r="C303" s="32">
        <f>VLOOKUP($B303,R_DG!$A$7:$G$1305,2,0)</f>
        <v>0</v>
      </c>
      <c r="D303" s="8" t="str">
        <f>VLOOKUP($B303,R_DG!$A$7:$G$1305,3,0)</f>
        <v>Cáp đồng trần M25mm2</v>
      </c>
      <c r="E303" s="9" t="str">
        <f>VLOOKUP($B303,R_DG!$A$7:$G$1305,4,0)</f>
        <v>kg</v>
      </c>
      <c r="F303" s="16">
        <f>8*0.224</f>
        <v>1.792</v>
      </c>
      <c r="G303" s="214">
        <f>VLOOKUP($B303,R_DG!$A$7:$G$1305,5,0)</f>
        <v>255500</v>
      </c>
      <c r="H303" s="214">
        <f>VLOOKUP($B303,R_DG!$A$7:$G$1305,6,0)</f>
        <v>0</v>
      </c>
      <c r="I303" s="214">
        <f>VLOOKUP($B303,R_DG!$A$7:$G$1305,7,0)</f>
        <v>0</v>
      </c>
      <c r="J303" s="214">
        <f t="shared" ref="J303:J308" si="55">G303*$F303</f>
        <v>457856</v>
      </c>
      <c r="K303" s="214">
        <f t="shared" ref="K303:K308" si="56">H303*$F303</f>
        <v>0</v>
      </c>
      <c r="L303" s="220">
        <f t="shared" ref="L303:L308" si="57">I303*$F303</f>
        <v>0</v>
      </c>
      <c r="M303" s="93">
        <f>IF(F303&gt;0,M$302,0)</f>
        <v>0</v>
      </c>
      <c r="N303" s="328">
        <f t="shared" ref="N303:N308" ca="1" si="58">$F303*N$310</f>
        <v>0</v>
      </c>
    </row>
    <row r="304" spans="1:14" ht="20.100000000000001" customHeight="1">
      <c r="A304" s="87"/>
      <c r="B304" s="7" t="s">
        <v>405</v>
      </c>
      <c r="C304" s="32">
        <f>VLOOKUP($B304,R_DG!$A$7:$G$1305,2,0)</f>
        <v>0</v>
      </c>
      <c r="D304" s="8" t="str">
        <f>VLOOKUP($B304,R_DG!$A$7:$G$1305,3,0)</f>
        <v>Cọc tiếp đất φ 16- 2,4m + kẹp cọc</v>
      </c>
      <c r="E304" s="9" t="str">
        <f>VLOOKUP($B304,R_DG!$A$7:$G$1305,4,0)</f>
        <v>bộ</v>
      </c>
      <c r="F304" s="11">
        <v>1</v>
      </c>
      <c r="G304" s="214">
        <f>VLOOKUP($B304,R_DG!$A$7:$G$1305,5,0)</f>
        <v>135000</v>
      </c>
      <c r="H304" s="214">
        <f>VLOOKUP($B304,R_DG!$A$7:$G$1305,6,0)</f>
        <v>0</v>
      </c>
      <c r="I304" s="214">
        <f>VLOOKUP($B304,R_DG!$A$7:$G$1305,7,0)</f>
        <v>0</v>
      </c>
      <c r="J304" s="214">
        <f t="shared" si="55"/>
        <v>135000</v>
      </c>
      <c r="K304" s="214">
        <f t="shared" si="56"/>
        <v>0</v>
      </c>
      <c r="L304" s="220">
        <f t="shared" si="57"/>
        <v>0</v>
      </c>
      <c r="M304" s="93">
        <f t="shared" ref="M304:M309" si="59">IF(F304&gt;0,M$302,0)</f>
        <v>0</v>
      </c>
      <c r="N304" s="328">
        <f t="shared" ca="1" si="58"/>
        <v>0</v>
      </c>
    </row>
    <row r="305" spans="1:14" ht="20.100000000000001" customHeight="1">
      <c r="A305" s="87"/>
      <c r="B305" s="7" t="s">
        <v>2055</v>
      </c>
      <c r="C305" s="32">
        <f>VLOOKUP($B305,R_DG!$A$7:$G$1305,2,0)</f>
        <v>0</v>
      </c>
      <c r="D305" s="8" t="str">
        <f>VLOOKUP($B305,R_DG!$A$7:$G$1305,3,0)</f>
        <v>Ghíp nối IPC 70-25 2BL</v>
      </c>
      <c r="E305" s="9" t="str">
        <f>VLOOKUP($B305,R_DG!$A$7:$G$1305,4,0)</f>
        <v>cái</v>
      </c>
      <c r="F305" s="11">
        <v>1</v>
      </c>
      <c r="G305" s="214">
        <f>VLOOKUP($B305,R_DG!$A$7:$G$1305,5,0)</f>
        <v>22000</v>
      </c>
      <c r="H305" s="214">
        <f>VLOOKUP($B305,R_DG!$A$7:$G$1305,6,0)</f>
        <v>0</v>
      </c>
      <c r="I305" s="214">
        <f>VLOOKUP($B305,R_DG!$A$7:$G$1305,7,0)</f>
        <v>0</v>
      </c>
      <c r="J305" s="214">
        <f t="shared" si="55"/>
        <v>22000</v>
      </c>
      <c r="K305" s="214">
        <f t="shared" si="56"/>
        <v>0</v>
      </c>
      <c r="L305" s="220">
        <f t="shared" si="57"/>
        <v>0</v>
      </c>
      <c r="M305" s="93">
        <f t="shared" si="59"/>
        <v>0</v>
      </c>
      <c r="N305" s="328">
        <f t="shared" ca="1" si="58"/>
        <v>0</v>
      </c>
    </row>
    <row r="306" spans="1:14" ht="20.100000000000001" customHeight="1">
      <c r="A306" s="87"/>
      <c r="B306" s="7" t="s">
        <v>3239</v>
      </c>
      <c r="C306" s="32" t="str">
        <f>VLOOKUP($B306,R_DG!$A$7:$G$1305,2,0)</f>
        <v>CS.1.07.31</v>
      </c>
      <c r="D306" s="8" t="str">
        <f>VLOOKUP($B306,R_DG!$A$7:$G$1305,3,0)</f>
        <v>Làm tiếp địa lặp lại cho hệ thống chiếu sáng cáp treo</v>
      </c>
      <c r="E306" s="9" t="str">
        <f>VLOOKUP($B306,R_DG!$A$7:$G$1305,4,0)</f>
        <v>bộ</v>
      </c>
      <c r="F306" s="11">
        <v>1</v>
      </c>
      <c r="G306" s="214">
        <f>VLOOKUP($B306,R_DG!$A$7:$G$1305,5,0)</f>
        <v>0</v>
      </c>
      <c r="H306" s="214">
        <f>VLOOKUP($B306,R_DG!$A$7:$G$1305,6,0)</f>
        <v>0</v>
      </c>
      <c r="I306" s="214">
        <f>VLOOKUP($B306,R_DG!$A$7:$G$1305,7,0)</f>
        <v>0</v>
      </c>
      <c r="J306" s="214">
        <f t="shared" si="55"/>
        <v>0</v>
      </c>
      <c r="K306" s="214">
        <f t="shared" si="56"/>
        <v>0</v>
      </c>
      <c r="L306" s="220">
        <f t="shared" si="57"/>
        <v>0</v>
      </c>
      <c r="M306" s="93">
        <f t="shared" si="59"/>
        <v>0</v>
      </c>
      <c r="N306" s="328">
        <f t="shared" ca="1" si="58"/>
        <v>0</v>
      </c>
    </row>
    <row r="307" spans="1:14" ht="20.100000000000001" customHeight="1">
      <c r="A307" s="87"/>
      <c r="B307" s="7" t="s">
        <v>1136</v>
      </c>
      <c r="C307" s="32" t="str">
        <f>VLOOKUP($B307,R_DG!$A$7:$G$1305,2,0)</f>
        <v>D2.8103</v>
      </c>
      <c r="D307" s="8" t="str">
        <f>VLOOKUP($B307,R_DG!$A$7:$G$1305,3,0)</f>
        <v>Đóng cọc tiếp địa đất cấp 3</v>
      </c>
      <c r="E307" s="9" t="str">
        <f>VLOOKUP($B307,R_DG!$A$7:$G$1305,4,0)</f>
        <v>cọc</v>
      </c>
      <c r="F307" s="11">
        <v>1</v>
      </c>
      <c r="G307" s="214">
        <f>VLOOKUP($B307,R_DG!$A$7:$G$1305,5,0)</f>
        <v>0</v>
      </c>
      <c r="H307" s="214">
        <f>VLOOKUP($B307,R_DG!$A$7:$G$1305,6,0)</f>
        <v>85984.656000000003</v>
      </c>
      <c r="I307" s="214">
        <f>VLOOKUP($B307,R_DG!$A$7:$G$1305,7,0)</f>
        <v>0</v>
      </c>
      <c r="J307" s="214">
        <f t="shared" si="55"/>
        <v>0</v>
      </c>
      <c r="K307" s="214">
        <f t="shared" si="56"/>
        <v>85984.656000000003</v>
      </c>
      <c r="L307" s="220">
        <f t="shared" si="57"/>
        <v>0</v>
      </c>
      <c r="M307" s="93">
        <f t="shared" si="59"/>
        <v>0</v>
      </c>
      <c r="N307" s="328">
        <f t="shared" ca="1" si="58"/>
        <v>0</v>
      </c>
    </row>
    <row r="308" spans="1:14" ht="20.100000000000001" customHeight="1">
      <c r="A308" s="87"/>
      <c r="B308" s="7" t="s">
        <v>2185</v>
      </c>
      <c r="C308" s="32" t="str">
        <f>VLOOKUP($B308,R_DG!$A$7:$G$1305,2,0)</f>
        <v>02.1120</v>
      </c>
      <c r="D308" s="8" t="str">
        <f>VLOOKUP($B308,R_DG!$A$7:$G$1305,3,0)</f>
        <v>Bốc dỡ phụ kiện</v>
      </c>
      <c r="E308" s="9" t="str">
        <f>VLOOKUP($B308,R_DG!$A$7:$G$1305,4,0)</f>
        <v>tấn</v>
      </c>
      <c r="F308" s="11"/>
      <c r="G308" s="214">
        <f>VLOOKUP($B308,R_DG!$A$7:$G$1305,5,0)</f>
        <v>0</v>
      </c>
      <c r="H308" s="214">
        <f>VLOOKUP($B308,R_DG!$A$7:$G$1305,6,0)</f>
        <v>0</v>
      </c>
      <c r="I308" s="214">
        <f>VLOOKUP($B308,R_DG!$A$7:$G$1305,7,0)</f>
        <v>0</v>
      </c>
      <c r="J308" s="214">
        <f t="shared" si="55"/>
        <v>0</v>
      </c>
      <c r="K308" s="214">
        <f t="shared" si="56"/>
        <v>0</v>
      </c>
      <c r="L308" s="220">
        <f t="shared" si="57"/>
        <v>0</v>
      </c>
      <c r="M308" s="93">
        <f t="shared" si="59"/>
        <v>0</v>
      </c>
      <c r="N308" s="328">
        <f t="shared" ca="1" si="58"/>
        <v>0</v>
      </c>
    </row>
    <row r="309" spans="1:14" ht="20.100000000000001" customHeight="1">
      <c r="A309" s="90"/>
      <c r="B309" s="15" t="s">
        <v>671</v>
      </c>
      <c r="C309" s="32">
        <f>VLOOKUP($B309,R_DG!$A$7:$G$1305,2,0)</f>
        <v>0</v>
      </c>
      <c r="D309" s="8" t="str">
        <f>VLOOKUP($B309,R_DG!$A$7:$G$1305,3,0)</f>
        <v>Sắt  φ8</v>
      </c>
      <c r="E309" s="9" t="str">
        <f>VLOOKUP($B309,R_DG!$A$7:$G$1305,4,0)</f>
        <v>kg</v>
      </c>
      <c r="F309" s="14"/>
      <c r="G309" s="214">
        <f>VLOOKUP($B309,R_DG!$A$7:$G$1305,5,0)</f>
        <v>16000</v>
      </c>
      <c r="H309" s="214">
        <f>VLOOKUP($B309,R_DG!$A$7:$G$1305,6,0)</f>
        <v>0</v>
      </c>
      <c r="I309" s="214">
        <f>VLOOKUP($B309,R_DG!$A$7:$G$1305,7,0)</f>
        <v>0</v>
      </c>
      <c r="J309" s="214">
        <f>G309*$F309</f>
        <v>0</v>
      </c>
      <c r="K309" s="214">
        <f>H309*$F309</f>
        <v>0</v>
      </c>
      <c r="L309" s="220">
        <f>I309*$F309</f>
        <v>0</v>
      </c>
      <c r="M309" s="93">
        <f t="shared" si="59"/>
        <v>0</v>
      </c>
      <c r="N309" s="328">
        <f ca="1">$F309*N$290</f>
        <v>0</v>
      </c>
    </row>
    <row r="310" spans="1:14" ht="20.100000000000001" customHeight="1">
      <c r="A310" s="89" t="s">
        <v>2182</v>
      </c>
      <c r="B310" s="24"/>
      <c r="C310" s="34"/>
      <c r="D310" s="25" t="s">
        <v>2183</v>
      </c>
      <c r="E310" s="25" t="s">
        <v>163</v>
      </c>
      <c r="F310" s="26"/>
      <c r="G310" s="213"/>
      <c r="H310" s="213"/>
      <c r="I310" s="213"/>
      <c r="J310" s="213">
        <f>SUM(J311:J316)</f>
        <v>614856</v>
      </c>
      <c r="K310" s="213">
        <f>SUM(K311:K316)</f>
        <v>98128.115328</v>
      </c>
      <c r="L310" s="219">
        <f>SUM(L311:L316)</f>
        <v>0</v>
      </c>
      <c r="M310" s="92">
        <f>IF(ERROR.TYPE(IF(HLOOKUP(A310,maBK,1,0)&lt;&gt;"",#NULL!,"ABC"))&lt;&gt;7,1,0)</f>
        <v>0</v>
      </c>
      <c r="N310" s="327">
        <f ca="1">SUMIF(maBK,$A310,tongBK1)</f>
        <v>0</v>
      </c>
    </row>
    <row r="311" spans="1:14" ht="20.100000000000001" customHeight="1">
      <c r="A311" s="87"/>
      <c r="B311" s="7" t="s">
        <v>2184</v>
      </c>
      <c r="C311" s="32">
        <f>VLOOKUP($B311,R_DG!$A$7:$G$1305,2,0)</f>
        <v>0</v>
      </c>
      <c r="D311" s="8" t="str">
        <f>VLOOKUP($B311,R_DG!$A$7:$G$1305,3,0)</f>
        <v>Cáp đồng trần M25mm2</v>
      </c>
      <c r="E311" s="9" t="str">
        <f>VLOOKUP($B311,R_DG!$A$7:$G$1305,4,0)</f>
        <v>kg</v>
      </c>
      <c r="F311" s="16">
        <f>8*0.224</f>
        <v>1.792</v>
      </c>
      <c r="G311" s="214">
        <f>VLOOKUP($B311,R_DG!$A$7:$G$1305,5,0)</f>
        <v>255500</v>
      </c>
      <c r="H311" s="214">
        <f>VLOOKUP($B311,R_DG!$A$7:$G$1305,6,0)</f>
        <v>0</v>
      </c>
      <c r="I311" s="214">
        <f>VLOOKUP($B311,R_DG!$A$7:$G$1305,7,0)</f>
        <v>0</v>
      </c>
      <c r="J311" s="214">
        <f t="shared" ref="J311:L359" si="60">G311*$F311</f>
        <v>457856</v>
      </c>
      <c r="K311" s="214">
        <f t="shared" si="60"/>
        <v>0</v>
      </c>
      <c r="L311" s="220">
        <f t="shared" si="60"/>
        <v>0</v>
      </c>
      <c r="M311" s="93">
        <f t="shared" ref="M311:M316" si="61">IF(F311&gt;0,M$310,0)</f>
        <v>0</v>
      </c>
      <c r="N311" s="328">
        <f t="shared" ref="N311:N316" ca="1" si="62">$F311*N$310</f>
        <v>0</v>
      </c>
    </row>
    <row r="312" spans="1:14" ht="20.100000000000001" customHeight="1">
      <c r="A312" s="87"/>
      <c r="B312" s="7" t="s">
        <v>405</v>
      </c>
      <c r="C312" s="32">
        <f>VLOOKUP($B312,R_DG!$A$7:$G$1305,2,0)</f>
        <v>0</v>
      </c>
      <c r="D312" s="8" t="str">
        <f>VLOOKUP($B312,R_DG!$A$7:$G$1305,3,0)</f>
        <v>Cọc tiếp đất φ 16- 2,4m + kẹp cọc</v>
      </c>
      <c r="E312" s="9" t="str">
        <f>VLOOKUP($B312,R_DG!$A$7:$G$1305,4,0)</f>
        <v>bộ</v>
      </c>
      <c r="F312" s="11">
        <v>1</v>
      </c>
      <c r="G312" s="214">
        <f>VLOOKUP($B312,R_DG!$A$7:$G$1305,5,0)</f>
        <v>135000</v>
      </c>
      <c r="H312" s="214">
        <f>VLOOKUP($B312,R_DG!$A$7:$G$1305,6,0)</f>
        <v>0</v>
      </c>
      <c r="I312" s="214">
        <f>VLOOKUP($B312,R_DG!$A$7:$G$1305,7,0)</f>
        <v>0</v>
      </c>
      <c r="J312" s="214">
        <f t="shared" si="60"/>
        <v>135000</v>
      </c>
      <c r="K312" s="214">
        <f t="shared" si="60"/>
        <v>0</v>
      </c>
      <c r="L312" s="220">
        <f t="shared" si="60"/>
        <v>0</v>
      </c>
      <c r="M312" s="93">
        <f t="shared" si="61"/>
        <v>0</v>
      </c>
      <c r="N312" s="328">
        <f t="shared" ca="1" si="62"/>
        <v>0</v>
      </c>
    </row>
    <row r="313" spans="1:14" ht="20.100000000000001" customHeight="1">
      <c r="A313" s="87"/>
      <c r="B313" s="7" t="s">
        <v>2055</v>
      </c>
      <c r="C313" s="32">
        <f>VLOOKUP($B313,R_DG!$A$7:$G$1305,2,0)</f>
        <v>0</v>
      </c>
      <c r="D313" s="8" t="str">
        <f>VLOOKUP($B313,R_DG!$A$7:$G$1305,3,0)</f>
        <v>Ghíp nối IPC 70-25 2BL</v>
      </c>
      <c r="E313" s="9" t="str">
        <f>VLOOKUP($B313,R_DG!$A$7:$G$1305,4,0)</f>
        <v>cái</v>
      </c>
      <c r="F313" s="11">
        <v>1</v>
      </c>
      <c r="G313" s="214">
        <f>VLOOKUP($B313,R_DG!$A$7:$G$1305,5,0)</f>
        <v>22000</v>
      </c>
      <c r="H313" s="214">
        <f>VLOOKUP($B313,R_DG!$A$7:$G$1305,6,0)</f>
        <v>0</v>
      </c>
      <c r="I313" s="214">
        <f>VLOOKUP($B313,R_DG!$A$7:$G$1305,7,0)</f>
        <v>0</v>
      </c>
      <c r="J313" s="214">
        <f t="shared" si="60"/>
        <v>22000</v>
      </c>
      <c r="K313" s="214">
        <f t="shared" si="60"/>
        <v>0</v>
      </c>
      <c r="L313" s="220">
        <f t="shared" si="60"/>
        <v>0</v>
      </c>
      <c r="M313" s="93">
        <f t="shared" si="61"/>
        <v>0</v>
      </c>
      <c r="N313" s="328">
        <f t="shared" ca="1" si="62"/>
        <v>0</v>
      </c>
    </row>
    <row r="314" spans="1:14" ht="20.100000000000001" customHeight="1">
      <c r="A314" s="87"/>
      <c r="B314" s="7" t="s">
        <v>1131</v>
      </c>
      <c r="C314" s="32" t="str">
        <f>VLOOKUP($B314,R_DG!$A$7:$G$1305,2,0)</f>
        <v>05.7001</v>
      </c>
      <c r="D314" s="8" t="str">
        <f>VLOOKUP($B314,R_DG!$A$7:$G$1305,3,0)</f>
        <v xml:space="preserve">Kéo dây tiếp địa </v>
      </c>
      <c r="E314" s="9" t="str">
        <f>VLOOKUP($B314,R_DG!$A$7:$G$1305,4,0)</f>
        <v>m</v>
      </c>
      <c r="F314" s="11">
        <f>F311</f>
        <v>1.792</v>
      </c>
      <c r="G314" s="214">
        <f>VLOOKUP($B314,R_DG!$A$7:$G$1305,5,0)</f>
        <v>0</v>
      </c>
      <c r="H314" s="214">
        <f>VLOOKUP($B314,R_DG!$A$7:$G$1305,6,0)</f>
        <v>6776.4839999999995</v>
      </c>
      <c r="I314" s="214">
        <f>VLOOKUP($B314,R_DG!$A$7:$G$1305,7,0)</f>
        <v>0</v>
      </c>
      <c r="J314" s="214">
        <f t="shared" si="60"/>
        <v>0</v>
      </c>
      <c r="K314" s="214">
        <f t="shared" si="60"/>
        <v>12143.459327999999</v>
      </c>
      <c r="L314" s="220">
        <f t="shared" si="60"/>
        <v>0</v>
      </c>
      <c r="M314" s="93">
        <f t="shared" si="61"/>
        <v>0</v>
      </c>
      <c r="N314" s="328">
        <f t="shared" ca="1" si="62"/>
        <v>0</v>
      </c>
    </row>
    <row r="315" spans="1:14" ht="20.100000000000001" customHeight="1">
      <c r="A315" s="87"/>
      <c r="B315" s="7" t="s">
        <v>1136</v>
      </c>
      <c r="C315" s="32" t="str">
        <f>VLOOKUP($B315,R_DG!$A$7:$G$1305,2,0)</f>
        <v>D2.8103</v>
      </c>
      <c r="D315" s="8" t="str">
        <f>VLOOKUP($B315,R_DG!$A$7:$G$1305,3,0)</f>
        <v>Đóng cọc tiếp địa đất cấp 3</v>
      </c>
      <c r="E315" s="9" t="str">
        <f>VLOOKUP($B315,R_DG!$A$7:$G$1305,4,0)</f>
        <v>cọc</v>
      </c>
      <c r="F315" s="11">
        <v>1</v>
      </c>
      <c r="G315" s="214">
        <f>VLOOKUP($B315,R_DG!$A$7:$G$1305,5,0)</f>
        <v>0</v>
      </c>
      <c r="H315" s="214">
        <f>VLOOKUP($B315,R_DG!$A$7:$G$1305,6,0)</f>
        <v>85984.656000000003</v>
      </c>
      <c r="I315" s="214">
        <f>VLOOKUP($B315,R_DG!$A$7:$G$1305,7,0)</f>
        <v>0</v>
      </c>
      <c r="J315" s="214">
        <f t="shared" si="60"/>
        <v>0</v>
      </c>
      <c r="K315" s="214">
        <f t="shared" si="60"/>
        <v>85984.656000000003</v>
      </c>
      <c r="L315" s="220">
        <f t="shared" si="60"/>
        <v>0</v>
      </c>
      <c r="M315" s="93">
        <f t="shared" si="61"/>
        <v>0</v>
      </c>
      <c r="N315" s="328">
        <f t="shared" ca="1" si="62"/>
        <v>0</v>
      </c>
    </row>
    <row r="316" spans="1:14" ht="20.100000000000001" customHeight="1">
      <c r="A316" s="87"/>
      <c r="B316" s="7" t="s">
        <v>2185</v>
      </c>
      <c r="C316" s="32" t="str">
        <f>VLOOKUP($B316,R_DG!$A$7:$G$1305,2,0)</f>
        <v>02.1120</v>
      </c>
      <c r="D316" s="8" t="str">
        <f>VLOOKUP($B316,R_DG!$A$7:$G$1305,3,0)</f>
        <v>Bốc dỡ phụ kiện</v>
      </c>
      <c r="E316" s="9" t="str">
        <f>VLOOKUP($B316,R_DG!$A$7:$G$1305,4,0)</f>
        <v>tấn</v>
      </c>
      <c r="F316" s="11">
        <v>7.0000000000000001E-3</v>
      </c>
      <c r="G316" s="214">
        <f>VLOOKUP($B316,R_DG!$A$7:$G$1305,5,0)</f>
        <v>0</v>
      </c>
      <c r="H316" s="214">
        <f>VLOOKUP($B316,R_DG!$A$7:$G$1305,6,0)</f>
        <v>0</v>
      </c>
      <c r="I316" s="214">
        <f>VLOOKUP($B316,R_DG!$A$7:$G$1305,7,0)</f>
        <v>0</v>
      </c>
      <c r="J316" s="214">
        <f t="shared" si="60"/>
        <v>0</v>
      </c>
      <c r="K316" s="214">
        <f t="shared" si="60"/>
        <v>0</v>
      </c>
      <c r="L316" s="220">
        <f t="shared" si="60"/>
        <v>0</v>
      </c>
      <c r="M316" s="93">
        <f t="shared" si="61"/>
        <v>0</v>
      </c>
      <c r="N316" s="328">
        <f t="shared" ca="1" si="62"/>
        <v>0</v>
      </c>
    </row>
    <row r="317" spans="1:14" ht="20.100000000000001" customHeight="1">
      <c r="A317" s="89" t="s">
        <v>2186</v>
      </c>
      <c r="B317" s="24"/>
      <c r="C317" s="34"/>
      <c r="D317" s="25" t="s">
        <v>2187</v>
      </c>
      <c r="E317" s="25" t="s">
        <v>163</v>
      </c>
      <c r="F317" s="26"/>
      <c r="G317" s="213"/>
      <c r="H317" s="213"/>
      <c r="I317" s="213"/>
      <c r="J317" s="213">
        <f>SUM(J318:J325)</f>
        <v>692088</v>
      </c>
      <c r="K317" s="213">
        <f>SUM(K318:K325)</f>
        <v>618943.16774399998</v>
      </c>
      <c r="L317" s="219">
        <f>SUM(L318:L325)</f>
        <v>9425.1200000000008</v>
      </c>
      <c r="M317" s="92">
        <f>IF(ERROR.TYPE(IF(HLOOKUP(A317,maBK,1,0)&lt;&gt;"",#NULL!,"ABC"))&lt;&gt;7,1,0)</f>
        <v>0</v>
      </c>
      <c r="N317" s="327">
        <f ca="1">SUMIF(maBK,$A317,tongBK1)</f>
        <v>0</v>
      </c>
    </row>
    <row r="318" spans="1:14" ht="20.100000000000001" customHeight="1">
      <c r="A318" s="87"/>
      <c r="B318" s="7" t="s">
        <v>2184</v>
      </c>
      <c r="C318" s="32">
        <f>VLOOKUP($B318,R_DG!$A$7:$G$1305,2,0)</f>
        <v>0</v>
      </c>
      <c r="D318" s="8" t="str">
        <f>VLOOKUP($B318,R_DG!$A$7:$G$1305,3,0)</f>
        <v>Cáp đồng trần M25mm2</v>
      </c>
      <c r="E318" s="9" t="str">
        <f>VLOOKUP($B318,R_DG!$A$7:$G$1305,4,0)</f>
        <v>kg</v>
      </c>
      <c r="F318" s="16">
        <f>9*0.224</f>
        <v>2.016</v>
      </c>
      <c r="G318" s="214">
        <f>VLOOKUP($B318,R_DG!$A$7:$G$1305,5,0)</f>
        <v>255500</v>
      </c>
      <c r="H318" s="214">
        <f>VLOOKUP($B318,R_DG!$A$7:$G$1305,6,0)</f>
        <v>0</v>
      </c>
      <c r="I318" s="214">
        <f>VLOOKUP($B318,R_DG!$A$7:$G$1305,7,0)</f>
        <v>0</v>
      </c>
      <c r="J318" s="214">
        <f t="shared" si="60"/>
        <v>515088</v>
      </c>
      <c r="K318" s="214">
        <f t="shared" si="60"/>
        <v>0</v>
      </c>
      <c r="L318" s="220">
        <f t="shared" si="60"/>
        <v>0</v>
      </c>
      <c r="M318" s="93">
        <f t="shared" ref="M318:M325" si="63">IF(F318&gt;0,M$317,0)</f>
        <v>0</v>
      </c>
      <c r="N318" s="328">
        <f t="shared" ref="N318:N325" ca="1" si="64">$F318*N$317</f>
        <v>0</v>
      </c>
    </row>
    <row r="319" spans="1:14" ht="20.100000000000001" customHeight="1">
      <c r="A319" s="87"/>
      <c r="B319" s="7" t="s">
        <v>405</v>
      </c>
      <c r="C319" s="32">
        <f>VLOOKUP($B319,R_DG!$A$7:$G$1305,2,0)</f>
        <v>0</v>
      </c>
      <c r="D319" s="8" t="str">
        <f>VLOOKUP($B319,R_DG!$A$7:$G$1305,3,0)</f>
        <v>Cọc tiếp đất φ 16- 2,4m + kẹp cọc</v>
      </c>
      <c r="E319" s="9" t="str">
        <f>VLOOKUP($B319,R_DG!$A$7:$G$1305,4,0)</f>
        <v>bộ</v>
      </c>
      <c r="F319" s="11">
        <v>1</v>
      </c>
      <c r="G319" s="214">
        <f>VLOOKUP($B319,R_DG!$A$7:$G$1305,5,0)</f>
        <v>135000</v>
      </c>
      <c r="H319" s="214">
        <f>VLOOKUP($B319,R_DG!$A$7:$G$1305,6,0)</f>
        <v>0</v>
      </c>
      <c r="I319" s="214">
        <f>VLOOKUP($B319,R_DG!$A$7:$G$1305,7,0)</f>
        <v>0</v>
      </c>
      <c r="J319" s="214">
        <f t="shared" si="60"/>
        <v>135000</v>
      </c>
      <c r="K319" s="214">
        <f t="shared" si="60"/>
        <v>0</v>
      </c>
      <c r="L319" s="220">
        <f t="shared" si="60"/>
        <v>0</v>
      </c>
      <c r="M319" s="93">
        <f t="shared" si="63"/>
        <v>0</v>
      </c>
      <c r="N319" s="328">
        <f t="shared" ca="1" si="64"/>
        <v>0</v>
      </c>
    </row>
    <row r="320" spans="1:14" ht="20.100000000000001" customHeight="1">
      <c r="A320" s="87"/>
      <c r="B320" s="7" t="s">
        <v>2188</v>
      </c>
      <c r="C320" s="32" t="str">
        <f>VLOOKUP($B320,R_DG!$A$7:$G$1305,2,0)</f>
        <v>D3.4011</v>
      </c>
      <c r="D320" s="8" t="str">
        <f>VLOOKUP($B320,R_DG!$A$7:$G$1305,3,0)</f>
        <v>Kẹp ép WR cỡ dây 50mm2</v>
      </c>
      <c r="E320" s="9" t="str">
        <f>VLOOKUP($B320,R_DG!$A$7:$G$1305,4,0)</f>
        <v>cái</v>
      </c>
      <c r="F320" s="11">
        <v>2</v>
      </c>
      <c r="G320" s="214">
        <f>VLOOKUP($B320,R_DG!$A$7:$G$1305,5,0)</f>
        <v>13000</v>
      </c>
      <c r="H320" s="214">
        <f>VLOOKUP($B320,R_DG!$A$7:$G$1305,6,0)</f>
        <v>259648.56000000003</v>
      </c>
      <c r="I320" s="214">
        <f>VLOOKUP($B320,R_DG!$A$7:$G$1305,7,0)</f>
        <v>4712.5600000000004</v>
      </c>
      <c r="J320" s="214">
        <f t="shared" si="60"/>
        <v>26000</v>
      </c>
      <c r="K320" s="214">
        <f t="shared" si="60"/>
        <v>519297.12000000005</v>
      </c>
      <c r="L320" s="220">
        <f t="shared" si="60"/>
        <v>9425.1200000000008</v>
      </c>
      <c r="M320" s="93">
        <f t="shared" si="63"/>
        <v>0</v>
      </c>
      <c r="N320" s="328">
        <f t="shared" ca="1" si="64"/>
        <v>0</v>
      </c>
    </row>
    <row r="321" spans="1:14" ht="20.100000000000001" customHeight="1">
      <c r="A321" s="87"/>
      <c r="B321" s="7" t="s">
        <v>2189</v>
      </c>
      <c r="C321" s="32">
        <f>VLOOKUP($B321,R_DG!$A$7:$G$1305,2,0)</f>
        <v>0</v>
      </c>
      <c r="D321" s="8" t="str">
        <f>VLOOKUP($B321,R_DG!$A$7:$G$1305,3,0)</f>
        <v>Đầu cosse ép Cu 25mm2</v>
      </c>
      <c r="E321" s="9" t="str">
        <f>VLOOKUP($B321,R_DG!$A$7:$G$1305,4,0)</f>
        <v>cái</v>
      </c>
      <c r="F321" s="11">
        <v>2</v>
      </c>
      <c r="G321" s="214">
        <f>VLOOKUP($B321,R_DG!$A$7:$G$1305,5,0)</f>
        <v>6500</v>
      </c>
      <c r="H321" s="214">
        <f>VLOOKUP($B321,R_DG!$A$7:$G$1305,6,0)</f>
        <v>0</v>
      </c>
      <c r="I321" s="214">
        <f>VLOOKUP($B321,R_DG!$A$7:$G$1305,7,0)</f>
        <v>0</v>
      </c>
      <c r="J321" s="214">
        <f t="shared" si="60"/>
        <v>13000</v>
      </c>
      <c r="K321" s="214">
        <f t="shared" si="60"/>
        <v>0</v>
      </c>
      <c r="L321" s="220">
        <f t="shared" si="60"/>
        <v>0</v>
      </c>
      <c r="M321" s="93">
        <f t="shared" si="63"/>
        <v>0</v>
      </c>
      <c r="N321" s="328">
        <f t="shared" ca="1" si="64"/>
        <v>0</v>
      </c>
    </row>
    <row r="322" spans="1:14" ht="20.100000000000001" customHeight="1">
      <c r="A322" s="87"/>
      <c r="B322" s="7" t="s">
        <v>2190</v>
      </c>
      <c r="C322" s="32">
        <f>VLOOKUP($B322,R_DG!$A$7:$G$1305,2,0)</f>
        <v>0</v>
      </c>
      <c r="D322" s="8" t="str">
        <f>VLOOKUP($B322,R_DG!$A$7:$G$1305,3,0)</f>
        <v>Boulon 12x40+ 2 long đền vuông D14-50x50x3/Zn</v>
      </c>
      <c r="E322" s="9" t="str">
        <f>VLOOKUP($B322,R_DG!$A$7:$G$1305,4,0)</f>
        <v>bộ</v>
      </c>
      <c r="F322" s="11">
        <v>1</v>
      </c>
      <c r="G322" s="214">
        <f>VLOOKUP($B322,R_DG!$A$7:$G$1305,5,0)</f>
        <v>3000</v>
      </c>
      <c r="H322" s="214">
        <f>VLOOKUP($B322,R_DG!$A$7:$G$1305,6,0)</f>
        <v>0</v>
      </c>
      <c r="I322" s="214">
        <f>VLOOKUP($B322,R_DG!$A$7:$G$1305,7,0)</f>
        <v>0</v>
      </c>
      <c r="J322" s="214">
        <f t="shared" si="60"/>
        <v>3000</v>
      </c>
      <c r="K322" s="214">
        <f t="shared" si="60"/>
        <v>0</v>
      </c>
      <c r="L322" s="220">
        <f t="shared" si="60"/>
        <v>0</v>
      </c>
      <c r="M322" s="93">
        <f t="shared" si="63"/>
        <v>0</v>
      </c>
      <c r="N322" s="328">
        <f t="shared" ca="1" si="64"/>
        <v>0</v>
      </c>
    </row>
    <row r="323" spans="1:14" ht="20.100000000000001" customHeight="1">
      <c r="A323" s="87"/>
      <c r="B323" s="7" t="s">
        <v>1131</v>
      </c>
      <c r="C323" s="32" t="str">
        <f>VLOOKUP($B323,R_DG!$A$7:$G$1305,2,0)</f>
        <v>05.7001</v>
      </c>
      <c r="D323" s="8" t="str">
        <f>VLOOKUP($B323,R_DG!$A$7:$G$1305,3,0)</f>
        <v xml:space="preserve">Kéo dây tiếp địa </v>
      </c>
      <c r="E323" s="9" t="str">
        <f>VLOOKUP($B323,R_DG!$A$7:$G$1305,4,0)</f>
        <v>m</v>
      </c>
      <c r="F323" s="11">
        <f>F318</f>
        <v>2.016</v>
      </c>
      <c r="G323" s="214">
        <f>VLOOKUP($B323,R_DG!$A$7:$G$1305,5,0)</f>
        <v>0</v>
      </c>
      <c r="H323" s="214">
        <f>VLOOKUP($B323,R_DG!$A$7:$G$1305,6,0)</f>
        <v>6776.4839999999995</v>
      </c>
      <c r="I323" s="214">
        <f>VLOOKUP($B323,R_DG!$A$7:$G$1305,7,0)</f>
        <v>0</v>
      </c>
      <c r="J323" s="214">
        <f t="shared" si="60"/>
        <v>0</v>
      </c>
      <c r="K323" s="214">
        <f t="shared" si="60"/>
        <v>13661.391743999999</v>
      </c>
      <c r="L323" s="220">
        <f t="shared" si="60"/>
        <v>0</v>
      </c>
      <c r="M323" s="93">
        <f t="shared" si="63"/>
        <v>0</v>
      </c>
      <c r="N323" s="328">
        <f t="shared" ca="1" si="64"/>
        <v>0</v>
      </c>
    </row>
    <row r="324" spans="1:14" ht="20.100000000000001" customHeight="1">
      <c r="A324" s="87"/>
      <c r="B324" s="7" t="s">
        <v>1136</v>
      </c>
      <c r="C324" s="32" t="str">
        <f>VLOOKUP($B324,R_DG!$A$7:$G$1305,2,0)</f>
        <v>D2.8103</v>
      </c>
      <c r="D324" s="8" t="str">
        <f>VLOOKUP($B324,R_DG!$A$7:$G$1305,3,0)</f>
        <v>Đóng cọc tiếp địa đất cấp 3</v>
      </c>
      <c r="E324" s="9" t="str">
        <f>VLOOKUP($B324,R_DG!$A$7:$G$1305,4,0)</f>
        <v>cọc</v>
      </c>
      <c r="F324" s="11">
        <v>1</v>
      </c>
      <c r="G324" s="214">
        <f>VLOOKUP($B324,R_DG!$A$7:$G$1305,5,0)</f>
        <v>0</v>
      </c>
      <c r="H324" s="214">
        <f>VLOOKUP($B324,R_DG!$A$7:$G$1305,6,0)</f>
        <v>85984.656000000003</v>
      </c>
      <c r="I324" s="214">
        <f>VLOOKUP($B324,R_DG!$A$7:$G$1305,7,0)</f>
        <v>0</v>
      </c>
      <c r="J324" s="214">
        <f t="shared" si="60"/>
        <v>0</v>
      </c>
      <c r="K324" s="214">
        <f t="shared" si="60"/>
        <v>85984.656000000003</v>
      </c>
      <c r="L324" s="220">
        <f t="shared" si="60"/>
        <v>0</v>
      </c>
      <c r="M324" s="93">
        <f t="shared" si="63"/>
        <v>0</v>
      </c>
      <c r="N324" s="328">
        <f t="shared" ca="1" si="64"/>
        <v>0</v>
      </c>
    </row>
    <row r="325" spans="1:14" ht="20.100000000000001" customHeight="1">
      <c r="A325" s="87"/>
      <c r="B325" s="7" t="s">
        <v>2185</v>
      </c>
      <c r="C325" s="32" t="str">
        <f>VLOOKUP($B325,R_DG!$A$7:$G$1305,2,0)</f>
        <v>02.1120</v>
      </c>
      <c r="D325" s="8" t="str">
        <f>VLOOKUP($B325,R_DG!$A$7:$G$1305,3,0)</f>
        <v>Bốc dỡ phụ kiện</v>
      </c>
      <c r="E325" s="9" t="str">
        <f>VLOOKUP($B325,R_DG!$A$7:$G$1305,4,0)</f>
        <v>tấn</v>
      </c>
      <c r="F325" s="11"/>
      <c r="G325" s="214">
        <f>VLOOKUP($B325,R_DG!$A$7:$G$1305,5,0)</f>
        <v>0</v>
      </c>
      <c r="H325" s="214">
        <f>VLOOKUP($B325,R_DG!$A$7:$G$1305,6,0)</f>
        <v>0</v>
      </c>
      <c r="I325" s="214">
        <f>VLOOKUP($B325,R_DG!$A$7:$G$1305,7,0)</f>
        <v>0</v>
      </c>
      <c r="J325" s="214">
        <f t="shared" si="60"/>
        <v>0</v>
      </c>
      <c r="K325" s="214">
        <f t="shared" si="60"/>
        <v>0</v>
      </c>
      <c r="L325" s="220">
        <f t="shared" si="60"/>
        <v>0</v>
      </c>
      <c r="M325" s="93">
        <f t="shared" si="63"/>
        <v>0</v>
      </c>
      <c r="N325" s="328">
        <f t="shared" ca="1" si="64"/>
        <v>0</v>
      </c>
    </row>
    <row r="326" spans="1:14" ht="20.100000000000001" customHeight="1">
      <c r="A326" s="89" t="s">
        <v>2191</v>
      </c>
      <c r="B326" s="24"/>
      <c r="C326" s="34"/>
      <c r="D326" s="25" t="s">
        <v>2192</v>
      </c>
      <c r="E326" s="25" t="s">
        <v>163</v>
      </c>
      <c r="F326" s="26"/>
      <c r="G326" s="213"/>
      <c r="H326" s="213"/>
      <c r="I326" s="213"/>
      <c r="J326" s="213">
        <f>SUM(J327:J334)</f>
        <v>677788</v>
      </c>
      <c r="K326" s="213">
        <f>SUM(K327:K334)</f>
        <v>99646.047743999996</v>
      </c>
      <c r="L326" s="219">
        <f>SUM(L327:L334)</f>
        <v>0</v>
      </c>
      <c r="M326" s="92">
        <f>IF(ERROR.TYPE(IF(HLOOKUP(A326,maBK,1,0)&lt;&gt;"",#NULL!,"ABC"))&lt;&gt;7,1,0)</f>
        <v>1</v>
      </c>
      <c r="N326" s="327">
        <f ca="1">SUMIF(maBK,$A326,tongBK1)</f>
        <v>17</v>
      </c>
    </row>
    <row r="327" spans="1:14" ht="20.100000000000001" customHeight="1">
      <c r="A327" s="87"/>
      <c r="B327" s="7" t="s">
        <v>2184</v>
      </c>
      <c r="C327" s="32">
        <f>VLOOKUP($B327,R_DG!$A$7:$G$1305,2,0)</f>
        <v>0</v>
      </c>
      <c r="D327" s="8" t="str">
        <f>VLOOKUP($B327,R_DG!$A$7:$G$1305,3,0)</f>
        <v>Cáp đồng trần M25mm2</v>
      </c>
      <c r="E327" s="9" t="str">
        <f>VLOOKUP($B327,R_DG!$A$7:$G$1305,4,0)</f>
        <v>kg</v>
      </c>
      <c r="F327" s="16">
        <f>9*0.224</f>
        <v>2.016</v>
      </c>
      <c r="G327" s="214">
        <f>VLOOKUP($B327,R_DG!$A$7:$G$1305,5,0)</f>
        <v>255500</v>
      </c>
      <c r="H327" s="214">
        <f>VLOOKUP($B327,R_DG!$A$7:$G$1305,6,0)</f>
        <v>0</v>
      </c>
      <c r="I327" s="214">
        <f>VLOOKUP($B327,R_DG!$A$7:$G$1305,7,0)</f>
        <v>0</v>
      </c>
      <c r="J327" s="214">
        <f t="shared" si="60"/>
        <v>515088</v>
      </c>
      <c r="K327" s="214">
        <f t="shared" si="60"/>
        <v>0</v>
      </c>
      <c r="L327" s="220">
        <f t="shared" si="60"/>
        <v>0</v>
      </c>
      <c r="M327" s="93">
        <f t="shared" ref="M327:M334" si="65">IF(F327&gt;0,M$326,0)</f>
        <v>1</v>
      </c>
      <c r="N327" s="328">
        <f t="shared" ref="N327:N334" ca="1" si="66">$F327*N$326</f>
        <v>34.271999999999998</v>
      </c>
    </row>
    <row r="328" spans="1:14" ht="20.100000000000001" customHeight="1">
      <c r="A328" s="87"/>
      <c r="B328" s="7" t="s">
        <v>405</v>
      </c>
      <c r="C328" s="32">
        <f>VLOOKUP($B328,R_DG!$A$7:$G$1305,2,0)</f>
        <v>0</v>
      </c>
      <c r="D328" s="8" t="str">
        <f>VLOOKUP($B328,R_DG!$A$7:$G$1305,3,0)</f>
        <v>Cọc tiếp đất φ 16- 2,4m + kẹp cọc</v>
      </c>
      <c r="E328" s="9" t="str">
        <f>VLOOKUP($B328,R_DG!$A$7:$G$1305,4,0)</f>
        <v>bộ</v>
      </c>
      <c r="F328" s="11">
        <v>1</v>
      </c>
      <c r="G328" s="214">
        <f>VLOOKUP($B328,R_DG!$A$7:$G$1305,5,0)</f>
        <v>135000</v>
      </c>
      <c r="H328" s="214">
        <f>VLOOKUP($B328,R_DG!$A$7:$G$1305,6,0)</f>
        <v>0</v>
      </c>
      <c r="I328" s="214">
        <f>VLOOKUP($B328,R_DG!$A$7:$G$1305,7,0)</f>
        <v>0</v>
      </c>
      <c r="J328" s="214">
        <f t="shared" si="60"/>
        <v>135000</v>
      </c>
      <c r="K328" s="214">
        <f t="shared" si="60"/>
        <v>0</v>
      </c>
      <c r="L328" s="220">
        <f t="shared" si="60"/>
        <v>0</v>
      </c>
      <c r="M328" s="93">
        <f t="shared" si="65"/>
        <v>1</v>
      </c>
      <c r="N328" s="328">
        <f t="shared" ca="1" si="66"/>
        <v>17</v>
      </c>
    </row>
    <row r="329" spans="1:14" ht="20.100000000000001" customHeight="1">
      <c r="A329" s="87"/>
      <c r="B329" s="7" t="s">
        <v>2054</v>
      </c>
      <c r="C329" s="32">
        <f>VLOOKUP($B329,R_DG!$A$7:$G$1305,2,0)</f>
        <v>0</v>
      </c>
      <c r="D329" s="8" t="str">
        <f>VLOOKUP($B329,R_DG!$A$7:$G$1305,3,0)</f>
        <v>Ghíp nối IPC 70-35 2BL</v>
      </c>
      <c r="E329" s="9" t="str">
        <f>VLOOKUP($B329,R_DG!$A$7:$G$1305,4,0)</f>
        <v>cái</v>
      </c>
      <c r="F329" s="11">
        <v>1</v>
      </c>
      <c r="G329" s="214">
        <f>VLOOKUP($B329,R_DG!$A$7:$G$1305,5,0)</f>
        <v>11700</v>
      </c>
      <c r="H329" s="214">
        <f>VLOOKUP($B329,R_DG!$A$7:$G$1305,6,0)</f>
        <v>0</v>
      </c>
      <c r="I329" s="214">
        <f>VLOOKUP($B329,R_DG!$A$7:$G$1305,7,0)</f>
        <v>0</v>
      </c>
      <c r="J329" s="214">
        <f t="shared" si="60"/>
        <v>11700</v>
      </c>
      <c r="K329" s="214">
        <f t="shared" si="60"/>
        <v>0</v>
      </c>
      <c r="L329" s="220">
        <f t="shared" si="60"/>
        <v>0</v>
      </c>
      <c r="M329" s="93">
        <f t="shared" si="65"/>
        <v>1</v>
      </c>
      <c r="N329" s="328">
        <f t="shared" ca="1" si="66"/>
        <v>17</v>
      </c>
    </row>
    <row r="330" spans="1:14" ht="20.100000000000001" customHeight="1">
      <c r="A330" s="87"/>
      <c r="B330" s="7" t="s">
        <v>2189</v>
      </c>
      <c r="C330" s="32">
        <f>VLOOKUP($B330,R_DG!$A$7:$G$1305,2,0)</f>
        <v>0</v>
      </c>
      <c r="D330" s="8" t="str">
        <f>VLOOKUP($B330,R_DG!$A$7:$G$1305,3,0)</f>
        <v>Đầu cosse ép Cu 25mm2</v>
      </c>
      <c r="E330" s="9" t="str">
        <f>VLOOKUP($B330,R_DG!$A$7:$G$1305,4,0)</f>
        <v>cái</v>
      </c>
      <c r="F330" s="11">
        <v>2</v>
      </c>
      <c r="G330" s="214">
        <f>VLOOKUP($B330,R_DG!$A$7:$G$1305,5,0)</f>
        <v>6500</v>
      </c>
      <c r="H330" s="214">
        <f>VLOOKUP($B330,R_DG!$A$7:$G$1305,6,0)</f>
        <v>0</v>
      </c>
      <c r="I330" s="214">
        <f>VLOOKUP($B330,R_DG!$A$7:$G$1305,7,0)</f>
        <v>0</v>
      </c>
      <c r="J330" s="214">
        <f t="shared" si="60"/>
        <v>13000</v>
      </c>
      <c r="K330" s="214">
        <f t="shared" si="60"/>
        <v>0</v>
      </c>
      <c r="L330" s="220">
        <f t="shared" si="60"/>
        <v>0</v>
      </c>
      <c r="M330" s="93">
        <f t="shared" si="65"/>
        <v>1</v>
      </c>
      <c r="N330" s="328">
        <f t="shared" ca="1" si="66"/>
        <v>34</v>
      </c>
    </row>
    <row r="331" spans="1:14" ht="20.100000000000001" customHeight="1">
      <c r="A331" s="87"/>
      <c r="B331" s="7" t="s">
        <v>2190</v>
      </c>
      <c r="C331" s="32">
        <f>VLOOKUP($B331,R_DG!$A$7:$G$1305,2,0)</f>
        <v>0</v>
      </c>
      <c r="D331" s="8" t="str">
        <f>VLOOKUP($B331,R_DG!$A$7:$G$1305,3,0)</f>
        <v>Boulon 12x40+ 2 long đền vuông D14-50x50x3/Zn</v>
      </c>
      <c r="E331" s="9" t="str">
        <f>VLOOKUP($B331,R_DG!$A$7:$G$1305,4,0)</f>
        <v>bộ</v>
      </c>
      <c r="F331" s="11">
        <v>1</v>
      </c>
      <c r="G331" s="214">
        <f>VLOOKUP($B331,R_DG!$A$7:$G$1305,5,0)</f>
        <v>3000</v>
      </c>
      <c r="H331" s="214">
        <f>VLOOKUP($B331,R_DG!$A$7:$G$1305,6,0)</f>
        <v>0</v>
      </c>
      <c r="I331" s="214">
        <f>VLOOKUP($B331,R_DG!$A$7:$G$1305,7,0)</f>
        <v>0</v>
      </c>
      <c r="J331" s="214">
        <f t="shared" si="60"/>
        <v>3000</v>
      </c>
      <c r="K331" s="214">
        <f t="shared" si="60"/>
        <v>0</v>
      </c>
      <c r="L331" s="220">
        <f t="shared" si="60"/>
        <v>0</v>
      </c>
      <c r="M331" s="93">
        <f t="shared" si="65"/>
        <v>1</v>
      </c>
      <c r="N331" s="328">
        <f t="shared" ca="1" si="66"/>
        <v>17</v>
      </c>
    </row>
    <row r="332" spans="1:14" ht="20.100000000000001" customHeight="1">
      <c r="A332" s="87"/>
      <c r="B332" s="7" t="s">
        <v>1131</v>
      </c>
      <c r="C332" s="32" t="str">
        <f>VLOOKUP($B332,R_DG!$A$7:$G$1305,2,0)</f>
        <v>05.7001</v>
      </c>
      <c r="D332" s="8" t="str">
        <f>VLOOKUP($B332,R_DG!$A$7:$G$1305,3,0)</f>
        <v xml:space="preserve">Kéo dây tiếp địa </v>
      </c>
      <c r="E332" s="9" t="str">
        <f>VLOOKUP($B332,R_DG!$A$7:$G$1305,4,0)</f>
        <v>m</v>
      </c>
      <c r="F332" s="11">
        <f>F327</f>
        <v>2.016</v>
      </c>
      <c r="G332" s="214">
        <f>VLOOKUP($B332,R_DG!$A$7:$G$1305,5,0)</f>
        <v>0</v>
      </c>
      <c r="H332" s="214">
        <f>VLOOKUP($B332,R_DG!$A$7:$G$1305,6,0)</f>
        <v>6776.4839999999995</v>
      </c>
      <c r="I332" s="214">
        <f>VLOOKUP($B332,R_DG!$A$7:$G$1305,7,0)</f>
        <v>0</v>
      </c>
      <c r="J332" s="214">
        <f t="shared" si="60"/>
        <v>0</v>
      </c>
      <c r="K332" s="214">
        <f t="shared" si="60"/>
        <v>13661.391743999999</v>
      </c>
      <c r="L332" s="220">
        <f t="shared" si="60"/>
        <v>0</v>
      </c>
      <c r="M332" s="93">
        <f t="shared" si="65"/>
        <v>1</v>
      </c>
      <c r="N332" s="328">
        <f t="shared" ca="1" si="66"/>
        <v>34.271999999999998</v>
      </c>
    </row>
    <row r="333" spans="1:14" ht="20.100000000000001" customHeight="1">
      <c r="A333" s="87"/>
      <c r="B333" s="7" t="s">
        <v>1136</v>
      </c>
      <c r="C333" s="32" t="str">
        <f>VLOOKUP($B333,R_DG!$A$7:$G$1305,2,0)</f>
        <v>D2.8103</v>
      </c>
      <c r="D333" s="8" t="str">
        <f>VLOOKUP($B333,R_DG!$A$7:$G$1305,3,0)</f>
        <v>Đóng cọc tiếp địa đất cấp 3</v>
      </c>
      <c r="E333" s="9" t="str">
        <f>VLOOKUP($B333,R_DG!$A$7:$G$1305,4,0)</f>
        <v>cọc</v>
      </c>
      <c r="F333" s="11">
        <v>1</v>
      </c>
      <c r="G333" s="214">
        <f>VLOOKUP($B333,R_DG!$A$7:$G$1305,5,0)</f>
        <v>0</v>
      </c>
      <c r="H333" s="214">
        <f>VLOOKUP($B333,R_DG!$A$7:$G$1305,6,0)</f>
        <v>85984.656000000003</v>
      </c>
      <c r="I333" s="214">
        <f>VLOOKUP($B333,R_DG!$A$7:$G$1305,7,0)</f>
        <v>0</v>
      </c>
      <c r="J333" s="214">
        <f t="shared" si="60"/>
        <v>0</v>
      </c>
      <c r="K333" s="214">
        <f t="shared" si="60"/>
        <v>85984.656000000003</v>
      </c>
      <c r="L333" s="220">
        <f t="shared" si="60"/>
        <v>0</v>
      </c>
      <c r="M333" s="93">
        <f t="shared" si="65"/>
        <v>1</v>
      </c>
      <c r="N333" s="328">
        <f t="shared" ca="1" si="66"/>
        <v>17</v>
      </c>
    </row>
    <row r="334" spans="1:14" ht="20.100000000000001" customHeight="1">
      <c r="A334" s="87"/>
      <c r="B334" s="7" t="s">
        <v>2185</v>
      </c>
      <c r="C334" s="32" t="str">
        <f>VLOOKUP($B334,R_DG!$A$7:$G$1305,2,0)</f>
        <v>02.1120</v>
      </c>
      <c r="D334" s="8" t="str">
        <f>VLOOKUP($B334,R_DG!$A$7:$G$1305,3,0)</f>
        <v>Bốc dỡ phụ kiện</v>
      </c>
      <c r="E334" s="9" t="str">
        <f>VLOOKUP($B334,R_DG!$A$7:$G$1305,4,0)</f>
        <v>tấn</v>
      </c>
      <c r="F334" s="11"/>
      <c r="G334" s="214">
        <f>VLOOKUP($B334,R_DG!$A$7:$G$1305,5,0)</f>
        <v>0</v>
      </c>
      <c r="H334" s="214">
        <f>VLOOKUP($B334,R_DG!$A$7:$G$1305,6,0)</f>
        <v>0</v>
      </c>
      <c r="I334" s="214">
        <f>VLOOKUP($B334,R_DG!$A$7:$G$1305,7,0)</f>
        <v>0</v>
      </c>
      <c r="J334" s="214">
        <f t="shared" si="60"/>
        <v>0</v>
      </c>
      <c r="K334" s="214">
        <f t="shared" si="60"/>
        <v>0</v>
      </c>
      <c r="L334" s="220">
        <f t="shared" si="60"/>
        <v>0</v>
      </c>
      <c r="M334" s="93">
        <f t="shared" si="65"/>
        <v>0</v>
      </c>
      <c r="N334" s="328">
        <f t="shared" ca="1" si="66"/>
        <v>0</v>
      </c>
    </row>
    <row r="335" spans="1:14" ht="20.100000000000001" customHeight="1">
      <c r="A335" s="89" t="s">
        <v>2193</v>
      </c>
      <c r="B335" s="24"/>
      <c r="C335" s="34"/>
      <c r="D335" s="25" t="s">
        <v>2194</v>
      </c>
      <c r="E335" s="25" t="s">
        <v>163</v>
      </c>
      <c r="F335" s="26"/>
      <c r="G335" s="213"/>
      <c r="H335" s="213"/>
      <c r="I335" s="213"/>
      <c r="J335" s="213" t="e">
        <f>SUM(J336:J341)</f>
        <v>#N/A</v>
      </c>
      <c r="K335" s="213" t="e">
        <f>SUM(K336:K341)</f>
        <v>#N/A</v>
      </c>
      <c r="L335" s="219" t="e">
        <f>SUM(L336:L341)</f>
        <v>#N/A</v>
      </c>
      <c r="M335" s="92">
        <f>IF(ERROR.TYPE(IF(HLOOKUP(A335,maBK,1,0)&lt;&gt;"",#NULL!,"ABC"))&lt;&gt;7,1,0)</f>
        <v>0</v>
      </c>
      <c r="N335" s="327">
        <f ca="1">SUMIF(maBK,$A335,tongBK1)</f>
        <v>0</v>
      </c>
    </row>
    <row r="336" spans="1:14" ht="20.100000000000001" customHeight="1">
      <c r="A336" s="87"/>
      <c r="B336" s="7" t="s">
        <v>2184</v>
      </c>
      <c r="C336" s="32">
        <f>VLOOKUP($B336,R_DG!$A$7:$G$1305,2,0)</f>
        <v>0</v>
      </c>
      <c r="D336" s="8" t="str">
        <f>VLOOKUP($B336,R_DG!$A$7:$G$1305,3,0)</f>
        <v>Cáp đồng trần M25mm2</v>
      </c>
      <c r="E336" s="9" t="str">
        <f>VLOOKUP($B336,R_DG!$A$7:$G$1305,4,0)</f>
        <v>kg</v>
      </c>
      <c r="F336" s="16">
        <f>3*0.224</f>
        <v>0.67200000000000004</v>
      </c>
      <c r="G336" s="214">
        <f>VLOOKUP($B336,R_DG!$A$7:$G$1305,5,0)</f>
        <v>255500</v>
      </c>
      <c r="H336" s="214">
        <f>VLOOKUP($B336,R_DG!$A$7:$G$1305,6,0)</f>
        <v>0</v>
      </c>
      <c r="I336" s="214">
        <f>VLOOKUP($B336,R_DG!$A$7:$G$1305,7,0)</f>
        <v>0</v>
      </c>
      <c r="J336" s="214">
        <f t="shared" si="60"/>
        <v>171696</v>
      </c>
      <c r="K336" s="214">
        <f t="shared" si="60"/>
        <v>0</v>
      </c>
      <c r="L336" s="220">
        <f t="shared" si="60"/>
        <v>0</v>
      </c>
      <c r="M336" s="93">
        <f t="shared" ref="M336:M341" si="67">IF(F336&gt;0,M$335,0)</f>
        <v>0</v>
      </c>
      <c r="N336" s="328">
        <f t="shared" ref="N336:N341" ca="1" si="68">$F336*N$335</f>
        <v>0</v>
      </c>
    </row>
    <row r="337" spans="1:14" ht="20.100000000000001" customHeight="1">
      <c r="A337" s="87"/>
      <c r="B337" s="7" t="s">
        <v>405</v>
      </c>
      <c r="C337" s="32">
        <f>VLOOKUP($B337,R_DG!$A$7:$G$1305,2,0)</f>
        <v>0</v>
      </c>
      <c r="D337" s="8" t="str">
        <f>VLOOKUP($B337,R_DG!$A$7:$G$1305,3,0)</f>
        <v>Cọc tiếp đất φ 16- 2,4m + kẹp cọc</v>
      </c>
      <c r="E337" s="9" t="str">
        <f>VLOOKUP($B337,R_DG!$A$7:$G$1305,4,0)</f>
        <v>bộ</v>
      </c>
      <c r="F337" s="11">
        <v>1</v>
      </c>
      <c r="G337" s="214">
        <f>VLOOKUP($B337,R_DG!$A$7:$G$1305,5,0)</f>
        <v>135000</v>
      </c>
      <c r="H337" s="214">
        <f>VLOOKUP($B337,R_DG!$A$7:$G$1305,6,0)</f>
        <v>0</v>
      </c>
      <c r="I337" s="214">
        <f>VLOOKUP($B337,R_DG!$A$7:$G$1305,7,0)</f>
        <v>0</v>
      </c>
      <c r="J337" s="214">
        <f t="shared" si="60"/>
        <v>135000</v>
      </c>
      <c r="K337" s="214">
        <f t="shared" si="60"/>
        <v>0</v>
      </c>
      <c r="L337" s="220">
        <f t="shared" si="60"/>
        <v>0</v>
      </c>
      <c r="M337" s="93">
        <f t="shared" si="67"/>
        <v>0</v>
      </c>
      <c r="N337" s="328">
        <f t="shared" ca="1" si="68"/>
        <v>0</v>
      </c>
    </row>
    <row r="338" spans="1:14" ht="20.100000000000001" customHeight="1">
      <c r="A338" s="87"/>
      <c r="B338" s="7" t="s">
        <v>2053</v>
      </c>
      <c r="C338" s="32" t="e">
        <f>VLOOKUP($B338,R_DG!$A$7:$G$1305,2,0)</f>
        <v>#N/A</v>
      </c>
      <c r="D338" s="8" t="e">
        <f>VLOOKUP($B338,R_DG!$A$7:$G$1305,3,0)</f>
        <v>#N/A</v>
      </c>
      <c r="E338" s="9" t="e">
        <f>VLOOKUP($B338,R_DG!$A$7:$G$1305,4,0)</f>
        <v>#N/A</v>
      </c>
      <c r="F338" s="11">
        <v>1</v>
      </c>
      <c r="G338" s="214" t="e">
        <f>VLOOKUP($B338,R_DG!$A$7:$G$1305,5,0)</f>
        <v>#N/A</v>
      </c>
      <c r="H338" s="214" t="e">
        <f>VLOOKUP($B338,R_DG!$A$7:$G$1305,6,0)</f>
        <v>#N/A</v>
      </c>
      <c r="I338" s="214" t="e">
        <f>VLOOKUP($B338,R_DG!$A$7:$G$1305,7,0)</f>
        <v>#N/A</v>
      </c>
      <c r="J338" s="214" t="e">
        <f t="shared" si="60"/>
        <v>#N/A</v>
      </c>
      <c r="K338" s="214" t="e">
        <f t="shared" si="60"/>
        <v>#N/A</v>
      </c>
      <c r="L338" s="220" t="e">
        <f t="shared" si="60"/>
        <v>#N/A</v>
      </c>
      <c r="M338" s="93">
        <f t="shared" si="67"/>
        <v>0</v>
      </c>
      <c r="N338" s="328">
        <f t="shared" ca="1" si="68"/>
        <v>0</v>
      </c>
    </row>
    <row r="339" spans="1:14" ht="20.100000000000001" customHeight="1">
      <c r="A339" s="87"/>
      <c r="B339" s="7" t="s">
        <v>1131</v>
      </c>
      <c r="C339" s="32" t="str">
        <f>VLOOKUP($B339,R_DG!$A$7:$G$1305,2,0)</f>
        <v>05.7001</v>
      </c>
      <c r="D339" s="8" t="str">
        <f>VLOOKUP($B339,R_DG!$A$7:$G$1305,3,0)</f>
        <v xml:space="preserve">Kéo dây tiếp địa </v>
      </c>
      <c r="E339" s="9" t="str">
        <f>VLOOKUP($B339,R_DG!$A$7:$G$1305,4,0)</f>
        <v>m</v>
      </c>
      <c r="F339" s="11">
        <f>F336</f>
        <v>0.67200000000000004</v>
      </c>
      <c r="G339" s="214">
        <f>VLOOKUP($B339,R_DG!$A$7:$G$1305,5,0)</f>
        <v>0</v>
      </c>
      <c r="H339" s="214">
        <f>VLOOKUP($B339,R_DG!$A$7:$G$1305,6,0)</f>
        <v>6776.4839999999995</v>
      </c>
      <c r="I339" s="214">
        <f>VLOOKUP($B339,R_DG!$A$7:$G$1305,7,0)</f>
        <v>0</v>
      </c>
      <c r="J339" s="214">
        <f t="shared" si="60"/>
        <v>0</v>
      </c>
      <c r="K339" s="214">
        <f t="shared" si="60"/>
        <v>4553.7972479999999</v>
      </c>
      <c r="L339" s="220">
        <f t="shared" si="60"/>
        <v>0</v>
      </c>
      <c r="M339" s="93">
        <f t="shared" si="67"/>
        <v>0</v>
      </c>
      <c r="N339" s="328">
        <f t="shared" ca="1" si="68"/>
        <v>0</v>
      </c>
    </row>
    <row r="340" spans="1:14" ht="20.100000000000001" customHeight="1">
      <c r="A340" s="87"/>
      <c r="B340" s="7" t="s">
        <v>1136</v>
      </c>
      <c r="C340" s="32" t="str">
        <f>VLOOKUP($B340,R_DG!$A$7:$G$1305,2,0)</f>
        <v>D2.8103</v>
      </c>
      <c r="D340" s="8" t="str">
        <f>VLOOKUP($B340,R_DG!$A$7:$G$1305,3,0)</f>
        <v>Đóng cọc tiếp địa đất cấp 3</v>
      </c>
      <c r="E340" s="9" t="str">
        <f>VLOOKUP($B340,R_DG!$A$7:$G$1305,4,0)</f>
        <v>cọc</v>
      </c>
      <c r="F340" s="11">
        <v>1</v>
      </c>
      <c r="G340" s="214">
        <f>VLOOKUP($B340,R_DG!$A$7:$G$1305,5,0)</f>
        <v>0</v>
      </c>
      <c r="H340" s="214">
        <f>VLOOKUP($B340,R_DG!$A$7:$G$1305,6,0)</f>
        <v>85984.656000000003</v>
      </c>
      <c r="I340" s="214">
        <f>VLOOKUP($B340,R_DG!$A$7:$G$1305,7,0)</f>
        <v>0</v>
      </c>
      <c r="J340" s="214">
        <f t="shared" si="60"/>
        <v>0</v>
      </c>
      <c r="K340" s="214">
        <f t="shared" si="60"/>
        <v>85984.656000000003</v>
      </c>
      <c r="L340" s="220">
        <f t="shared" si="60"/>
        <v>0</v>
      </c>
      <c r="M340" s="93">
        <f t="shared" si="67"/>
        <v>0</v>
      </c>
      <c r="N340" s="328">
        <f t="shared" ca="1" si="68"/>
        <v>0</v>
      </c>
    </row>
    <row r="341" spans="1:14" ht="20.100000000000001" customHeight="1">
      <c r="A341" s="87"/>
      <c r="B341" s="7" t="s">
        <v>2185</v>
      </c>
      <c r="C341" s="32" t="str">
        <f>VLOOKUP($B341,R_DG!$A$7:$G$1305,2,0)</f>
        <v>02.1120</v>
      </c>
      <c r="D341" s="8" t="str">
        <f>VLOOKUP($B341,R_DG!$A$7:$G$1305,3,0)</f>
        <v>Bốc dỡ phụ kiện</v>
      </c>
      <c r="E341" s="9" t="str">
        <f>VLOOKUP($B341,R_DG!$A$7:$G$1305,4,0)</f>
        <v>tấn</v>
      </c>
      <c r="F341" s="11"/>
      <c r="G341" s="214">
        <f>VLOOKUP($B341,R_DG!$A$7:$G$1305,5,0)</f>
        <v>0</v>
      </c>
      <c r="H341" s="214">
        <f>VLOOKUP($B341,R_DG!$A$7:$G$1305,6,0)</f>
        <v>0</v>
      </c>
      <c r="I341" s="214">
        <f>VLOOKUP($B341,R_DG!$A$7:$G$1305,7,0)</f>
        <v>0</v>
      </c>
      <c r="J341" s="214">
        <f t="shared" si="60"/>
        <v>0</v>
      </c>
      <c r="K341" s="214">
        <f t="shared" si="60"/>
        <v>0</v>
      </c>
      <c r="L341" s="220">
        <f t="shared" si="60"/>
        <v>0</v>
      </c>
      <c r="M341" s="93">
        <f t="shared" si="67"/>
        <v>0</v>
      </c>
      <c r="N341" s="328">
        <f t="shared" ca="1" si="68"/>
        <v>0</v>
      </c>
    </row>
    <row r="342" spans="1:14" ht="20.100000000000001" customHeight="1">
      <c r="A342" s="89" t="s">
        <v>2195</v>
      </c>
      <c r="B342" s="24"/>
      <c r="C342" s="34"/>
      <c r="D342" s="25" t="s">
        <v>2196</v>
      </c>
      <c r="E342" s="25" t="s">
        <v>163</v>
      </c>
      <c r="F342" s="26"/>
      <c r="G342" s="213"/>
      <c r="H342" s="213"/>
      <c r="I342" s="213"/>
      <c r="J342" s="213">
        <f>SUM(J343:J350)</f>
        <v>732520</v>
      </c>
      <c r="K342" s="213">
        <f>SUM(K343:K350)</f>
        <v>101163.98016000001</v>
      </c>
      <c r="L342" s="219">
        <f>SUM(L343:L350)</f>
        <v>0</v>
      </c>
      <c r="M342" s="92">
        <f>IF(ERROR.TYPE(IF(HLOOKUP(A342,maBK,1,0)&lt;&gt;"",#NULL!,"ABC"))&lt;&gt;7,1,0)</f>
        <v>0</v>
      </c>
      <c r="N342" s="327">
        <f ca="1">SUMIF(maBK,$A342,tongBK1)</f>
        <v>0</v>
      </c>
    </row>
    <row r="343" spans="1:14" ht="20.100000000000001" customHeight="1">
      <c r="A343" s="87"/>
      <c r="B343" s="7" t="s">
        <v>2184</v>
      </c>
      <c r="C343" s="32">
        <f>VLOOKUP($B343,R_DG!$A$7:$G$1305,2,0)</f>
        <v>0</v>
      </c>
      <c r="D343" s="8" t="str">
        <f>VLOOKUP($B343,R_DG!$A$7:$G$1305,3,0)</f>
        <v>Cáp đồng trần M25mm2</v>
      </c>
      <c r="E343" s="9" t="str">
        <f>VLOOKUP($B343,R_DG!$A$7:$G$1305,4,0)</f>
        <v>kg</v>
      </c>
      <c r="F343" s="16">
        <f>10*0.224</f>
        <v>2.2400000000000002</v>
      </c>
      <c r="G343" s="214">
        <f>VLOOKUP($B343,R_DG!$A$7:$G$1305,5,0)</f>
        <v>255500</v>
      </c>
      <c r="H343" s="214">
        <f>VLOOKUP($B343,R_DG!$A$7:$G$1305,6,0)</f>
        <v>0</v>
      </c>
      <c r="I343" s="214">
        <f>VLOOKUP($B343,R_DG!$A$7:$G$1305,7,0)</f>
        <v>0</v>
      </c>
      <c r="J343" s="214">
        <f t="shared" si="60"/>
        <v>572320</v>
      </c>
      <c r="K343" s="214">
        <f t="shared" si="60"/>
        <v>0</v>
      </c>
      <c r="L343" s="220">
        <f t="shared" si="60"/>
        <v>0</v>
      </c>
      <c r="M343" s="93">
        <f t="shared" ref="M343:M350" si="69">IF(F343&gt;0,M$342,0)</f>
        <v>0</v>
      </c>
      <c r="N343" s="328">
        <f t="shared" ref="N343:N350" ca="1" si="70">$F343*N$342</f>
        <v>0</v>
      </c>
    </row>
    <row r="344" spans="1:14" ht="20.100000000000001" customHeight="1">
      <c r="A344" s="87"/>
      <c r="B344" s="7" t="s">
        <v>405</v>
      </c>
      <c r="C344" s="32">
        <f>VLOOKUP($B344,R_DG!$A$7:$G$1305,2,0)</f>
        <v>0</v>
      </c>
      <c r="D344" s="8" t="str">
        <f>VLOOKUP($B344,R_DG!$A$7:$G$1305,3,0)</f>
        <v>Cọc tiếp đất φ 16- 2,4m + kẹp cọc</v>
      </c>
      <c r="E344" s="9" t="str">
        <f>VLOOKUP($B344,R_DG!$A$7:$G$1305,4,0)</f>
        <v>bộ</v>
      </c>
      <c r="F344" s="11">
        <v>1</v>
      </c>
      <c r="G344" s="214">
        <f>VLOOKUP($B344,R_DG!$A$7:$G$1305,5,0)</f>
        <v>135000</v>
      </c>
      <c r="H344" s="214">
        <f>VLOOKUP($B344,R_DG!$A$7:$G$1305,6,0)</f>
        <v>0</v>
      </c>
      <c r="I344" s="214">
        <f>VLOOKUP($B344,R_DG!$A$7:$G$1305,7,0)</f>
        <v>0</v>
      </c>
      <c r="J344" s="214">
        <f t="shared" si="60"/>
        <v>135000</v>
      </c>
      <c r="K344" s="214">
        <f t="shared" si="60"/>
        <v>0</v>
      </c>
      <c r="L344" s="220">
        <f t="shared" si="60"/>
        <v>0</v>
      </c>
      <c r="M344" s="93">
        <f t="shared" si="69"/>
        <v>0</v>
      </c>
      <c r="N344" s="328">
        <f t="shared" ca="1" si="70"/>
        <v>0</v>
      </c>
    </row>
    <row r="345" spans="1:14" ht="20.100000000000001" customHeight="1">
      <c r="A345" s="87"/>
      <c r="B345" s="7" t="s">
        <v>514</v>
      </c>
      <c r="C345" s="32">
        <f>VLOOKUP($B345,R_DG!$A$7:$G$1305,2,0)</f>
        <v>0</v>
      </c>
      <c r="D345" s="8" t="str">
        <f>VLOOKUP($B345,R_DG!$A$7:$G$1305,3,0)</f>
        <v>Kẹp nối đồng-nhôm</v>
      </c>
      <c r="E345" s="9" t="str">
        <f>VLOOKUP($B345,R_DG!$A$7:$G$1305,4,0)</f>
        <v>cái</v>
      </c>
      <c r="F345" s="11">
        <v>2</v>
      </c>
      <c r="G345" s="214">
        <f>VLOOKUP($B345,R_DG!$A$7:$G$1305,5,0)</f>
        <v>4600</v>
      </c>
      <c r="H345" s="214">
        <f>VLOOKUP($B345,R_DG!$A$7:$G$1305,6,0)</f>
        <v>0</v>
      </c>
      <c r="I345" s="214">
        <f>VLOOKUP($B345,R_DG!$A$7:$G$1305,7,0)</f>
        <v>0</v>
      </c>
      <c r="J345" s="214">
        <f t="shared" si="60"/>
        <v>9200</v>
      </c>
      <c r="K345" s="214">
        <f t="shared" si="60"/>
        <v>0</v>
      </c>
      <c r="L345" s="220">
        <f t="shared" si="60"/>
        <v>0</v>
      </c>
      <c r="M345" s="93">
        <f t="shared" si="69"/>
        <v>0</v>
      </c>
      <c r="N345" s="328">
        <f t="shared" ca="1" si="70"/>
        <v>0</v>
      </c>
    </row>
    <row r="346" spans="1:14" ht="20.100000000000001" customHeight="1">
      <c r="A346" s="87"/>
      <c r="B346" s="7" t="s">
        <v>2189</v>
      </c>
      <c r="C346" s="32">
        <f>VLOOKUP($B346,R_DG!$A$7:$G$1305,2,0)</f>
        <v>0</v>
      </c>
      <c r="D346" s="8" t="str">
        <f>VLOOKUP($B346,R_DG!$A$7:$G$1305,3,0)</f>
        <v>Đầu cosse ép Cu 25mm2</v>
      </c>
      <c r="E346" s="9" t="str">
        <f>VLOOKUP($B346,R_DG!$A$7:$G$1305,4,0)</f>
        <v>cái</v>
      </c>
      <c r="F346" s="11">
        <v>2</v>
      </c>
      <c r="G346" s="214">
        <f>VLOOKUP($B346,R_DG!$A$7:$G$1305,5,0)</f>
        <v>6500</v>
      </c>
      <c r="H346" s="214">
        <f>VLOOKUP($B346,R_DG!$A$7:$G$1305,6,0)</f>
        <v>0</v>
      </c>
      <c r="I346" s="214">
        <f>VLOOKUP($B346,R_DG!$A$7:$G$1305,7,0)</f>
        <v>0</v>
      </c>
      <c r="J346" s="214">
        <f t="shared" si="60"/>
        <v>13000</v>
      </c>
      <c r="K346" s="214">
        <f t="shared" si="60"/>
        <v>0</v>
      </c>
      <c r="L346" s="220">
        <f t="shared" si="60"/>
        <v>0</v>
      </c>
      <c r="M346" s="93">
        <f t="shared" si="69"/>
        <v>0</v>
      </c>
      <c r="N346" s="328">
        <f t="shared" ca="1" si="70"/>
        <v>0</v>
      </c>
    </row>
    <row r="347" spans="1:14" ht="20.100000000000001" customHeight="1">
      <c r="A347" s="87"/>
      <c r="B347" s="7" t="s">
        <v>2190</v>
      </c>
      <c r="C347" s="32">
        <f>VLOOKUP($B347,R_DG!$A$7:$G$1305,2,0)</f>
        <v>0</v>
      </c>
      <c r="D347" s="8" t="str">
        <f>VLOOKUP($B347,R_DG!$A$7:$G$1305,3,0)</f>
        <v>Boulon 12x40+ 2 long đền vuông D14-50x50x3/Zn</v>
      </c>
      <c r="E347" s="9" t="str">
        <f>VLOOKUP($B347,R_DG!$A$7:$G$1305,4,0)</f>
        <v>bộ</v>
      </c>
      <c r="F347" s="11">
        <v>1</v>
      </c>
      <c r="G347" s="214">
        <f>VLOOKUP($B347,R_DG!$A$7:$G$1305,5,0)</f>
        <v>3000</v>
      </c>
      <c r="H347" s="214">
        <f>VLOOKUP($B347,R_DG!$A$7:$G$1305,6,0)</f>
        <v>0</v>
      </c>
      <c r="I347" s="214">
        <f>VLOOKUP($B347,R_DG!$A$7:$G$1305,7,0)</f>
        <v>0</v>
      </c>
      <c r="J347" s="214">
        <f t="shared" si="60"/>
        <v>3000</v>
      </c>
      <c r="K347" s="214">
        <f t="shared" si="60"/>
        <v>0</v>
      </c>
      <c r="L347" s="220">
        <f t="shared" si="60"/>
        <v>0</v>
      </c>
      <c r="M347" s="93">
        <f t="shared" si="69"/>
        <v>0</v>
      </c>
      <c r="N347" s="328">
        <f t="shared" ca="1" si="70"/>
        <v>0</v>
      </c>
    </row>
    <row r="348" spans="1:14" ht="20.100000000000001" customHeight="1">
      <c r="A348" s="87"/>
      <c r="B348" s="7" t="s">
        <v>1131</v>
      </c>
      <c r="C348" s="32" t="str">
        <f>VLOOKUP($B348,R_DG!$A$7:$G$1305,2,0)</f>
        <v>05.7001</v>
      </c>
      <c r="D348" s="8" t="str">
        <f>VLOOKUP($B348,R_DG!$A$7:$G$1305,3,0)</f>
        <v xml:space="preserve">Kéo dây tiếp địa </v>
      </c>
      <c r="E348" s="9" t="str">
        <f>VLOOKUP($B348,R_DG!$A$7:$G$1305,4,0)</f>
        <v>m</v>
      </c>
      <c r="F348" s="11">
        <f>F343</f>
        <v>2.2400000000000002</v>
      </c>
      <c r="G348" s="214">
        <f>VLOOKUP($B348,R_DG!$A$7:$G$1305,5,0)</f>
        <v>0</v>
      </c>
      <c r="H348" s="214">
        <f>VLOOKUP($B348,R_DG!$A$7:$G$1305,6,0)</f>
        <v>6776.4839999999995</v>
      </c>
      <c r="I348" s="214">
        <f>VLOOKUP($B348,R_DG!$A$7:$G$1305,7,0)</f>
        <v>0</v>
      </c>
      <c r="J348" s="214">
        <f t="shared" si="60"/>
        <v>0</v>
      </c>
      <c r="K348" s="214">
        <f t="shared" si="60"/>
        <v>15179.32416</v>
      </c>
      <c r="L348" s="220">
        <f t="shared" si="60"/>
        <v>0</v>
      </c>
      <c r="M348" s="93">
        <f t="shared" si="69"/>
        <v>0</v>
      </c>
      <c r="N348" s="328">
        <f t="shared" ca="1" si="70"/>
        <v>0</v>
      </c>
    </row>
    <row r="349" spans="1:14" ht="20.100000000000001" customHeight="1">
      <c r="A349" s="87"/>
      <c r="B349" s="7" t="s">
        <v>1136</v>
      </c>
      <c r="C349" s="32" t="str">
        <f>VLOOKUP($B349,R_DG!$A$7:$G$1305,2,0)</f>
        <v>D2.8103</v>
      </c>
      <c r="D349" s="8" t="str">
        <f>VLOOKUP($B349,R_DG!$A$7:$G$1305,3,0)</f>
        <v>Đóng cọc tiếp địa đất cấp 3</v>
      </c>
      <c r="E349" s="9" t="str">
        <f>VLOOKUP($B349,R_DG!$A$7:$G$1305,4,0)</f>
        <v>cọc</v>
      </c>
      <c r="F349" s="11">
        <f>+F344</f>
        <v>1</v>
      </c>
      <c r="G349" s="214">
        <f>VLOOKUP($B349,R_DG!$A$7:$G$1305,5,0)</f>
        <v>0</v>
      </c>
      <c r="H349" s="214">
        <f>VLOOKUP($B349,R_DG!$A$7:$G$1305,6,0)</f>
        <v>85984.656000000003</v>
      </c>
      <c r="I349" s="214">
        <f>VLOOKUP($B349,R_DG!$A$7:$G$1305,7,0)</f>
        <v>0</v>
      </c>
      <c r="J349" s="214">
        <f t="shared" si="60"/>
        <v>0</v>
      </c>
      <c r="K349" s="214">
        <f t="shared" si="60"/>
        <v>85984.656000000003</v>
      </c>
      <c r="L349" s="220">
        <f t="shared" si="60"/>
        <v>0</v>
      </c>
      <c r="M349" s="93">
        <f t="shared" si="69"/>
        <v>0</v>
      </c>
      <c r="N349" s="328">
        <f t="shared" ca="1" si="70"/>
        <v>0</v>
      </c>
    </row>
    <row r="350" spans="1:14" ht="20.100000000000001" customHeight="1">
      <c r="A350" s="87"/>
      <c r="B350" s="7" t="s">
        <v>2185</v>
      </c>
      <c r="C350" s="32" t="str">
        <f>VLOOKUP($B350,R_DG!$A$7:$G$1305,2,0)</f>
        <v>02.1120</v>
      </c>
      <c r="D350" s="8" t="str">
        <f>VLOOKUP($B350,R_DG!$A$7:$G$1305,3,0)</f>
        <v>Bốc dỡ phụ kiện</v>
      </c>
      <c r="E350" s="9" t="str">
        <f>VLOOKUP($B350,R_DG!$A$7:$G$1305,4,0)</f>
        <v>tấn</v>
      </c>
      <c r="F350" s="11"/>
      <c r="G350" s="214">
        <f>VLOOKUP($B350,R_DG!$A$7:$G$1305,5,0)</f>
        <v>0</v>
      </c>
      <c r="H350" s="214">
        <f>VLOOKUP($B350,R_DG!$A$7:$G$1305,6,0)</f>
        <v>0</v>
      </c>
      <c r="I350" s="214">
        <f>VLOOKUP($B350,R_DG!$A$7:$G$1305,7,0)</f>
        <v>0</v>
      </c>
      <c r="J350" s="214">
        <f t="shared" si="60"/>
        <v>0</v>
      </c>
      <c r="K350" s="214">
        <f t="shared" si="60"/>
        <v>0</v>
      </c>
      <c r="L350" s="220">
        <f t="shared" si="60"/>
        <v>0</v>
      </c>
      <c r="M350" s="93">
        <f t="shared" si="69"/>
        <v>0</v>
      </c>
      <c r="N350" s="328">
        <f t="shared" ca="1" si="70"/>
        <v>0</v>
      </c>
    </row>
    <row r="351" spans="1:14" ht="20.100000000000001" customHeight="1">
      <c r="A351" s="89" t="s">
        <v>2198</v>
      </c>
      <c r="B351" s="24"/>
      <c r="C351" s="34"/>
      <c r="D351" s="25" t="s">
        <v>2199</v>
      </c>
      <c r="E351" s="25" t="s">
        <v>163</v>
      </c>
      <c r="F351" s="26"/>
      <c r="G351" s="213"/>
      <c r="H351" s="213"/>
      <c r="I351" s="213"/>
      <c r="J351" s="213">
        <f>SUM(J352:J359)</f>
        <v>847784</v>
      </c>
      <c r="K351" s="213">
        <f>SUM(K352:K359)</f>
        <v>623496.96499200002</v>
      </c>
      <c r="L351" s="219">
        <f>SUM(L352:L359)</f>
        <v>9425.1200000000008</v>
      </c>
      <c r="M351" s="92">
        <f>IF(ERROR.TYPE(IF(HLOOKUP(A351,maBK,1,0)&lt;&gt;"",#NULL!,"ABC"))&lt;&gt;7,1,0)</f>
        <v>1</v>
      </c>
      <c r="N351" s="327">
        <f ca="1">SUMIF(maBK,$A351,tongBK1)</f>
        <v>2</v>
      </c>
    </row>
    <row r="352" spans="1:14" ht="20.100000000000001" customHeight="1">
      <c r="A352" s="87"/>
      <c r="B352" s="7" t="s">
        <v>2184</v>
      </c>
      <c r="C352" s="32">
        <f>VLOOKUP($B352,R_DG!$A$7:$G$1305,2,0)</f>
        <v>0</v>
      </c>
      <c r="D352" s="8" t="str">
        <f>VLOOKUP($B352,R_DG!$A$7:$G$1305,3,0)</f>
        <v>Cáp đồng trần M25mm2</v>
      </c>
      <c r="E352" s="9" t="str">
        <f>VLOOKUP($B352,R_DG!$A$7:$G$1305,4,0)</f>
        <v>kg</v>
      </c>
      <c r="F352" s="16">
        <f>12*0.224</f>
        <v>2.6880000000000002</v>
      </c>
      <c r="G352" s="214">
        <f>VLOOKUP($B352,R_DG!$A$7:$G$1305,5,0)</f>
        <v>255500</v>
      </c>
      <c r="H352" s="214">
        <f>VLOOKUP($B352,R_DG!$A$7:$G$1305,6,0)</f>
        <v>0</v>
      </c>
      <c r="I352" s="214">
        <f>VLOOKUP($B352,R_DG!$A$7:$G$1305,7,0)</f>
        <v>0</v>
      </c>
      <c r="J352" s="214">
        <f t="shared" si="60"/>
        <v>686784</v>
      </c>
      <c r="K352" s="214">
        <f t="shared" si="60"/>
        <v>0</v>
      </c>
      <c r="L352" s="220">
        <f t="shared" si="60"/>
        <v>0</v>
      </c>
      <c r="M352" s="93">
        <f t="shared" ref="M352:M359" si="71">IF(F352&gt;0,M$351,0)</f>
        <v>1</v>
      </c>
      <c r="N352" s="328">
        <f t="shared" ref="N352:N359" ca="1" si="72">$F352*N$351</f>
        <v>5.3760000000000003</v>
      </c>
    </row>
    <row r="353" spans="1:14" ht="20.100000000000001" customHeight="1">
      <c r="A353" s="87"/>
      <c r="B353" s="7" t="s">
        <v>405</v>
      </c>
      <c r="C353" s="32">
        <f>VLOOKUP($B353,R_DG!$A$7:$G$1305,2,0)</f>
        <v>0</v>
      </c>
      <c r="D353" s="8" t="str">
        <f>VLOOKUP($B353,R_DG!$A$7:$G$1305,3,0)</f>
        <v>Cọc tiếp đất φ 16- 2,4m + kẹp cọc</v>
      </c>
      <c r="E353" s="9" t="str">
        <f>VLOOKUP($B353,R_DG!$A$7:$G$1305,4,0)</f>
        <v>bộ</v>
      </c>
      <c r="F353" s="11">
        <v>1</v>
      </c>
      <c r="G353" s="214">
        <f>VLOOKUP($B353,R_DG!$A$7:$G$1305,5,0)</f>
        <v>135000</v>
      </c>
      <c r="H353" s="214">
        <f>VLOOKUP($B353,R_DG!$A$7:$G$1305,6,0)</f>
        <v>0</v>
      </c>
      <c r="I353" s="214">
        <f>VLOOKUP($B353,R_DG!$A$7:$G$1305,7,0)</f>
        <v>0</v>
      </c>
      <c r="J353" s="214">
        <f t="shared" si="60"/>
        <v>135000</v>
      </c>
      <c r="K353" s="214">
        <f t="shared" si="60"/>
        <v>0</v>
      </c>
      <c r="L353" s="220">
        <f t="shared" si="60"/>
        <v>0</v>
      </c>
      <c r="M353" s="93">
        <f t="shared" si="71"/>
        <v>1</v>
      </c>
      <c r="N353" s="328">
        <f t="shared" ca="1" si="72"/>
        <v>2</v>
      </c>
    </row>
    <row r="354" spans="1:14" ht="20.100000000000001" customHeight="1">
      <c r="A354" s="87"/>
      <c r="B354" s="7" t="s">
        <v>2188</v>
      </c>
      <c r="C354" s="32" t="str">
        <f>VLOOKUP($B354,R_DG!$A$7:$G$1305,2,0)</f>
        <v>D3.4011</v>
      </c>
      <c r="D354" s="8" t="str">
        <f>VLOOKUP($B354,R_DG!$A$7:$G$1305,3,0)</f>
        <v>Kẹp ép WR cỡ dây 50mm2</v>
      </c>
      <c r="E354" s="9" t="str">
        <f>VLOOKUP($B354,R_DG!$A$7:$G$1305,4,0)</f>
        <v>cái</v>
      </c>
      <c r="F354" s="11">
        <v>2</v>
      </c>
      <c r="G354" s="214">
        <f>VLOOKUP($B354,R_DG!$A$7:$G$1305,5,0)</f>
        <v>13000</v>
      </c>
      <c r="H354" s="214">
        <f>VLOOKUP($B354,R_DG!$A$7:$G$1305,6,0)</f>
        <v>259648.56000000003</v>
      </c>
      <c r="I354" s="214">
        <f>VLOOKUP($B354,R_DG!$A$7:$G$1305,7,0)</f>
        <v>4712.5600000000004</v>
      </c>
      <c r="J354" s="214">
        <f t="shared" si="60"/>
        <v>26000</v>
      </c>
      <c r="K354" s="214">
        <f t="shared" si="60"/>
        <v>519297.12000000005</v>
      </c>
      <c r="L354" s="220">
        <f t="shared" si="60"/>
        <v>9425.1200000000008</v>
      </c>
      <c r="M354" s="93">
        <f t="shared" si="71"/>
        <v>1</v>
      </c>
      <c r="N354" s="328">
        <f t="shared" ca="1" si="72"/>
        <v>4</v>
      </c>
    </row>
    <row r="355" spans="1:14" ht="20.100000000000001" customHeight="1">
      <c r="A355" s="87"/>
      <c r="B355" s="7" t="s">
        <v>2189</v>
      </c>
      <c r="C355" s="32">
        <f>VLOOKUP($B355,R_DG!$A$7:$G$1305,2,0)</f>
        <v>0</v>
      </c>
      <c r="D355" s="8" t="str">
        <f>VLOOKUP($B355,R_DG!$A$7:$G$1305,3,0)</f>
        <v>Đầu cosse ép Cu 25mm2</v>
      </c>
      <c r="E355" s="9" t="str">
        <f>VLOOKUP($B355,R_DG!$A$7:$G$1305,4,0)</f>
        <v>cái</v>
      </c>
      <c r="F355" s="11"/>
      <c r="G355" s="214">
        <f>VLOOKUP($B355,R_DG!$A$7:$G$1305,5,0)</f>
        <v>6500</v>
      </c>
      <c r="H355" s="214">
        <f>VLOOKUP($B355,R_DG!$A$7:$G$1305,6,0)</f>
        <v>0</v>
      </c>
      <c r="I355" s="214">
        <f>VLOOKUP($B355,R_DG!$A$7:$G$1305,7,0)</f>
        <v>0</v>
      </c>
      <c r="J355" s="214">
        <f t="shared" si="60"/>
        <v>0</v>
      </c>
      <c r="K355" s="214">
        <f t="shared" si="60"/>
        <v>0</v>
      </c>
      <c r="L355" s="220">
        <f t="shared" si="60"/>
        <v>0</v>
      </c>
      <c r="M355" s="93">
        <f t="shared" si="71"/>
        <v>0</v>
      </c>
      <c r="N355" s="328">
        <f t="shared" ca="1" si="72"/>
        <v>0</v>
      </c>
    </row>
    <row r="356" spans="1:14" ht="20.100000000000001" customHeight="1">
      <c r="A356" s="87"/>
      <c r="B356" s="7" t="s">
        <v>2190</v>
      </c>
      <c r="C356" s="32">
        <f>VLOOKUP($B356,R_DG!$A$7:$G$1305,2,0)</f>
        <v>0</v>
      </c>
      <c r="D356" s="8" t="str">
        <f>VLOOKUP($B356,R_DG!$A$7:$G$1305,3,0)</f>
        <v>Boulon 12x40+ 2 long đền vuông D14-50x50x3/Zn</v>
      </c>
      <c r="E356" s="9" t="str">
        <f>VLOOKUP($B356,R_DG!$A$7:$G$1305,4,0)</f>
        <v>bộ</v>
      </c>
      <c r="F356" s="11"/>
      <c r="G356" s="214">
        <f>VLOOKUP($B356,R_DG!$A$7:$G$1305,5,0)</f>
        <v>3000</v>
      </c>
      <c r="H356" s="214">
        <f>VLOOKUP($B356,R_DG!$A$7:$G$1305,6,0)</f>
        <v>0</v>
      </c>
      <c r="I356" s="214">
        <f>VLOOKUP($B356,R_DG!$A$7:$G$1305,7,0)</f>
        <v>0</v>
      </c>
      <c r="J356" s="214">
        <f t="shared" si="60"/>
        <v>0</v>
      </c>
      <c r="K356" s="214">
        <f t="shared" si="60"/>
        <v>0</v>
      </c>
      <c r="L356" s="220">
        <f t="shared" si="60"/>
        <v>0</v>
      </c>
      <c r="M356" s="93">
        <f t="shared" si="71"/>
        <v>0</v>
      </c>
      <c r="N356" s="328">
        <f t="shared" ca="1" si="72"/>
        <v>0</v>
      </c>
    </row>
    <row r="357" spans="1:14" ht="20.100000000000001" customHeight="1">
      <c r="A357" s="87"/>
      <c r="B357" s="7" t="s">
        <v>1131</v>
      </c>
      <c r="C357" s="32" t="str">
        <f>VLOOKUP($B357,R_DG!$A$7:$G$1305,2,0)</f>
        <v>05.7001</v>
      </c>
      <c r="D357" s="8" t="str">
        <f>VLOOKUP($B357,R_DG!$A$7:$G$1305,3,0)</f>
        <v xml:space="preserve">Kéo dây tiếp địa </v>
      </c>
      <c r="E357" s="9" t="str">
        <f>VLOOKUP($B357,R_DG!$A$7:$G$1305,4,0)</f>
        <v>m</v>
      </c>
      <c r="F357" s="11">
        <f>F352</f>
        <v>2.6880000000000002</v>
      </c>
      <c r="G357" s="214">
        <f>VLOOKUP($B357,R_DG!$A$7:$G$1305,5,0)</f>
        <v>0</v>
      </c>
      <c r="H357" s="214">
        <f>VLOOKUP($B357,R_DG!$A$7:$G$1305,6,0)</f>
        <v>6776.4839999999995</v>
      </c>
      <c r="I357" s="214">
        <f>VLOOKUP($B357,R_DG!$A$7:$G$1305,7,0)</f>
        <v>0</v>
      </c>
      <c r="J357" s="214">
        <f t="shared" si="60"/>
        <v>0</v>
      </c>
      <c r="K357" s="214">
        <f t="shared" si="60"/>
        <v>18215.188991999999</v>
      </c>
      <c r="L357" s="220">
        <f t="shared" si="60"/>
        <v>0</v>
      </c>
      <c r="M357" s="93">
        <f t="shared" si="71"/>
        <v>1</v>
      </c>
      <c r="N357" s="328">
        <f t="shared" ca="1" si="72"/>
        <v>5.3760000000000003</v>
      </c>
    </row>
    <row r="358" spans="1:14" ht="20.100000000000001" customHeight="1">
      <c r="A358" s="87"/>
      <c r="B358" s="7" t="s">
        <v>1136</v>
      </c>
      <c r="C358" s="32" t="str">
        <f>VLOOKUP($B358,R_DG!$A$7:$G$1305,2,0)</f>
        <v>D2.8103</v>
      </c>
      <c r="D358" s="8" t="str">
        <f>VLOOKUP($B358,R_DG!$A$7:$G$1305,3,0)</f>
        <v>Đóng cọc tiếp địa đất cấp 3</v>
      </c>
      <c r="E358" s="9" t="str">
        <f>VLOOKUP($B358,R_DG!$A$7:$G$1305,4,0)</f>
        <v>cọc</v>
      </c>
      <c r="F358" s="11">
        <f>F353</f>
        <v>1</v>
      </c>
      <c r="G358" s="214">
        <f>VLOOKUP($B358,R_DG!$A$7:$G$1305,5,0)</f>
        <v>0</v>
      </c>
      <c r="H358" s="214">
        <f>VLOOKUP($B358,R_DG!$A$7:$G$1305,6,0)</f>
        <v>85984.656000000003</v>
      </c>
      <c r="I358" s="214">
        <f>VLOOKUP($B358,R_DG!$A$7:$G$1305,7,0)</f>
        <v>0</v>
      </c>
      <c r="J358" s="214">
        <f t="shared" si="60"/>
        <v>0</v>
      </c>
      <c r="K358" s="214">
        <f t="shared" si="60"/>
        <v>85984.656000000003</v>
      </c>
      <c r="L358" s="220">
        <f t="shared" si="60"/>
        <v>0</v>
      </c>
      <c r="M358" s="93">
        <f t="shared" si="71"/>
        <v>1</v>
      </c>
      <c r="N358" s="328">
        <f t="shared" ca="1" si="72"/>
        <v>2</v>
      </c>
    </row>
    <row r="359" spans="1:14" ht="20.100000000000001" customHeight="1">
      <c r="A359" s="87"/>
      <c r="B359" s="7" t="s">
        <v>2185</v>
      </c>
      <c r="C359" s="32" t="str">
        <f>VLOOKUP($B359,R_DG!$A$7:$G$1305,2,0)</f>
        <v>02.1120</v>
      </c>
      <c r="D359" s="8" t="str">
        <f>VLOOKUP($B359,R_DG!$A$7:$G$1305,3,0)</f>
        <v>Bốc dỡ phụ kiện</v>
      </c>
      <c r="E359" s="9" t="str">
        <f>VLOOKUP($B359,R_DG!$A$7:$G$1305,4,0)</f>
        <v>tấn</v>
      </c>
      <c r="F359" s="11"/>
      <c r="G359" s="214">
        <f>VLOOKUP($B359,R_DG!$A$7:$G$1305,5,0)</f>
        <v>0</v>
      </c>
      <c r="H359" s="214">
        <f>VLOOKUP($B359,R_DG!$A$7:$G$1305,6,0)</f>
        <v>0</v>
      </c>
      <c r="I359" s="214">
        <f>VLOOKUP($B359,R_DG!$A$7:$G$1305,7,0)</f>
        <v>0</v>
      </c>
      <c r="J359" s="214">
        <f t="shared" si="60"/>
        <v>0</v>
      </c>
      <c r="K359" s="214">
        <f t="shared" si="60"/>
        <v>0</v>
      </c>
      <c r="L359" s="220">
        <f t="shared" si="60"/>
        <v>0</v>
      </c>
      <c r="M359" s="93">
        <f t="shared" si="71"/>
        <v>0</v>
      </c>
      <c r="N359" s="328">
        <f t="shared" ca="1" si="72"/>
        <v>0</v>
      </c>
    </row>
    <row r="360" spans="1:14" ht="20.100000000000001" customHeight="1">
      <c r="A360" s="89" t="s">
        <v>2200</v>
      </c>
      <c r="B360" s="24"/>
      <c r="C360" s="34"/>
      <c r="D360" s="25" t="s">
        <v>2201</v>
      </c>
      <c r="E360" s="25" t="s">
        <v>163</v>
      </c>
      <c r="F360" s="26"/>
      <c r="G360" s="213"/>
      <c r="H360" s="213"/>
      <c r="I360" s="213"/>
      <c r="J360" s="213">
        <f>SUM(J361:J368)</f>
        <v>4273496</v>
      </c>
      <c r="K360" s="213">
        <f>SUM(K361:K368)</f>
        <v>854312.32204799994</v>
      </c>
      <c r="L360" s="219">
        <f>SUM(L361:L368)</f>
        <v>0</v>
      </c>
      <c r="M360" s="92">
        <f>IF(ERROR.TYPE(IF(HLOOKUP(A360,maBK,1,0)&lt;&gt;"",#NULL!,"ABC"))&lt;&gt;7,1,0)</f>
        <v>0</v>
      </c>
      <c r="N360" s="327">
        <f ca="1">SUMIF(maBK,$A360,tongBK1)</f>
        <v>0</v>
      </c>
    </row>
    <row r="361" spans="1:14" ht="20.100000000000001" customHeight="1">
      <c r="A361" s="87"/>
      <c r="B361" s="7" t="s">
        <v>2184</v>
      </c>
      <c r="C361" s="32">
        <f>VLOOKUP($B361,R_DG!$A$7:$G$1305,2,0)</f>
        <v>0</v>
      </c>
      <c r="D361" s="8" t="str">
        <f>VLOOKUP($B361,R_DG!$A$7:$G$1305,3,0)</f>
        <v>Cáp đồng trần M25mm2</v>
      </c>
      <c r="E361" s="9" t="str">
        <f>VLOOKUP($B361,R_DG!$A$7:$G$1305,4,0)</f>
        <v>kg</v>
      </c>
      <c r="F361" s="16">
        <f>53*0.224</f>
        <v>11.872</v>
      </c>
      <c r="G361" s="214">
        <f>VLOOKUP($B361,R_DG!$A$7:$G$1305,5,0)</f>
        <v>255500</v>
      </c>
      <c r="H361" s="214">
        <f>VLOOKUP($B361,R_DG!$A$7:$G$1305,6,0)</f>
        <v>0</v>
      </c>
      <c r="I361" s="214">
        <f>VLOOKUP($B361,R_DG!$A$7:$G$1305,7,0)</f>
        <v>0</v>
      </c>
      <c r="J361" s="214">
        <f t="shared" ref="J361:L398" si="73">G361*$F361</f>
        <v>3033296</v>
      </c>
      <c r="K361" s="214">
        <f t="shared" si="73"/>
        <v>0</v>
      </c>
      <c r="L361" s="220">
        <f t="shared" si="73"/>
        <v>0</v>
      </c>
      <c r="M361" s="93">
        <f t="shared" ref="M361:M368" si="74">IF(F361&gt;0,M$360,0)</f>
        <v>0</v>
      </c>
      <c r="N361" s="328">
        <f t="shared" ref="N361:N368" ca="1" si="75">$F361*N$360</f>
        <v>0</v>
      </c>
    </row>
    <row r="362" spans="1:14" ht="20.100000000000001" customHeight="1">
      <c r="A362" s="87"/>
      <c r="B362" s="7" t="s">
        <v>405</v>
      </c>
      <c r="C362" s="32">
        <f>VLOOKUP($B362,R_DG!$A$7:$G$1305,2,0)</f>
        <v>0</v>
      </c>
      <c r="D362" s="8" t="str">
        <f>VLOOKUP($B362,R_DG!$A$7:$G$1305,3,0)</f>
        <v>Cọc tiếp đất φ 16- 2,4m + kẹp cọc</v>
      </c>
      <c r="E362" s="9" t="str">
        <f>VLOOKUP($B362,R_DG!$A$7:$G$1305,4,0)</f>
        <v>bộ</v>
      </c>
      <c r="F362" s="11">
        <v>9</v>
      </c>
      <c r="G362" s="214">
        <f>VLOOKUP($B362,R_DG!$A$7:$G$1305,5,0)</f>
        <v>135000</v>
      </c>
      <c r="H362" s="214">
        <f>VLOOKUP($B362,R_DG!$A$7:$G$1305,6,0)</f>
        <v>0</v>
      </c>
      <c r="I362" s="214">
        <f>VLOOKUP($B362,R_DG!$A$7:$G$1305,7,0)</f>
        <v>0</v>
      </c>
      <c r="J362" s="214">
        <f t="shared" si="73"/>
        <v>1215000</v>
      </c>
      <c r="K362" s="214">
        <f t="shared" si="73"/>
        <v>0</v>
      </c>
      <c r="L362" s="220">
        <f t="shared" si="73"/>
        <v>0</v>
      </c>
      <c r="M362" s="93">
        <f t="shared" si="74"/>
        <v>0</v>
      </c>
      <c r="N362" s="328">
        <f t="shared" ca="1" si="75"/>
        <v>0</v>
      </c>
    </row>
    <row r="363" spans="1:14" ht="20.100000000000001" customHeight="1">
      <c r="A363" s="87"/>
      <c r="B363" s="7" t="s">
        <v>514</v>
      </c>
      <c r="C363" s="32">
        <f>VLOOKUP($B363,R_DG!$A$7:$G$1305,2,0)</f>
        <v>0</v>
      </c>
      <c r="D363" s="8" t="str">
        <f>VLOOKUP($B363,R_DG!$A$7:$G$1305,3,0)</f>
        <v>Kẹp nối đồng-nhôm</v>
      </c>
      <c r="E363" s="9" t="str">
        <f>VLOOKUP($B363,R_DG!$A$7:$G$1305,4,0)</f>
        <v>cái</v>
      </c>
      <c r="F363" s="11">
        <v>2</v>
      </c>
      <c r="G363" s="214">
        <f>VLOOKUP($B363,R_DG!$A$7:$G$1305,5,0)</f>
        <v>4600</v>
      </c>
      <c r="H363" s="214">
        <f>VLOOKUP($B363,R_DG!$A$7:$G$1305,6,0)</f>
        <v>0</v>
      </c>
      <c r="I363" s="214">
        <f>VLOOKUP($B363,R_DG!$A$7:$G$1305,7,0)</f>
        <v>0</v>
      </c>
      <c r="J363" s="214">
        <f t="shared" si="73"/>
        <v>9200</v>
      </c>
      <c r="K363" s="214">
        <f t="shared" si="73"/>
        <v>0</v>
      </c>
      <c r="L363" s="220">
        <f t="shared" si="73"/>
        <v>0</v>
      </c>
      <c r="M363" s="93">
        <f t="shared" si="74"/>
        <v>0</v>
      </c>
      <c r="N363" s="328">
        <f t="shared" ca="1" si="75"/>
        <v>0</v>
      </c>
    </row>
    <row r="364" spans="1:14" ht="20.100000000000001" customHeight="1">
      <c r="A364" s="87"/>
      <c r="B364" s="7" t="s">
        <v>2189</v>
      </c>
      <c r="C364" s="32">
        <f>VLOOKUP($B364,R_DG!$A$7:$G$1305,2,0)</f>
        <v>0</v>
      </c>
      <c r="D364" s="8" t="str">
        <f>VLOOKUP($B364,R_DG!$A$7:$G$1305,3,0)</f>
        <v>Đầu cosse ép Cu 25mm2</v>
      </c>
      <c r="E364" s="9" t="str">
        <f>VLOOKUP($B364,R_DG!$A$7:$G$1305,4,0)</f>
        <v>cái</v>
      </c>
      <c r="F364" s="11">
        <v>2</v>
      </c>
      <c r="G364" s="214">
        <f>VLOOKUP($B364,R_DG!$A$7:$G$1305,5,0)</f>
        <v>6500</v>
      </c>
      <c r="H364" s="214">
        <f>VLOOKUP($B364,R_DG!$A$7:$G$1305,6,0)</f>
        <v>0</v>
      </c>
      <c r="I364" s="214">
        <f>VLOOKUP($B364,R_DG!$A$7:$G$1305,7,0)</f>
        <v>0</v>
      </c>
      <c r="J364" s="214">
        <f t="shared" si="73"/>
        <v>13000</v>
      </c>
      <c r="K364" s="214">
        <f t="shared" si="73"/>
        <v>0</v>
      </c>
      <c r="L364" s="220">
        <f t="shared" si="73"/>
        <v>0</v>
      </c>
      <c r="M364" s="93">
        <f t="shared" si="74"/>
        <v>0</v>
      </c>
      <c r="N364" s="328">
        <f t="shared" ca="1" si="75"/>
        <v>0</v>
      </c>
    </row>
    <row r="365" spans="1:14" ht="20.100000000000001" customHeight="1">
      <c r="A365" s="87"/>
      <c r="B365" s="7" t="s">
        <v>2190</v>
      </c>
      <c r="C365" s="32">
        <f>VLOOKUP($B365,R_DG!$A$7:$G$1305,2,0)</f>
        <v>0</v>
      </c>
      <c r="D365" s="8" t="str">
        <f>VLOOKUP($B365,R_DG!$A$7:$G$1305,3,0)</f>
        <v>Boulon 12x40+ 2 long đền vuông D14-50x50x3/Zn</v>
      </c>
      <c r="E365" s="9" t="str">
        <f>VLOOKUP($B365,R_DG!$A$7:$G$1305,4,0)</f>
        <v>bộ</v>
      </c>
      <c r="F365" s="11">
        <v>1</v>
      </c>
      <c r="G365" s="214">
        <f>VLOOKUP($B365,R_DG!$A$7:$G$1305,5,0)</f>
        <v>3000</v>
      </c>
      <c r="H365" s="214">
        <f>VLOOKUP($B365,R_DG!$A$7:$G$1305,6,0)</f>
        <v>0</v>
      </c>
      <c r="I365" s="214">
        <f>VLOOKUP($B365,R_DG!$A$7:$G$1305,7,0)</f>
        <v>0</v>
      </c>
      <c r="J365" s="214">
        <f t="shared" si="73"/>
        <v>3000</v>
      </c>
      <c r="K365" s="214">
        <f t="shared" si="73"/>
        <v>0</v>
      </c>
      <c r="L365" s="220">
        <f t="shared" si="73"/>
        <v>0</v>
      </c>
      <c r="M365" s="93">
        <f t="shared" si="74"/>
        <v>0</v>
      </c>
      <c r="N365" s="328">
        <f t="shared" ca="1" si="75"/>
        <v>0</v>
      </c>
    </row>
    <row r="366" spans="1:14" ht="20.100000000000001" customHeight="1">
      <c r="A366" s="87"/>
      <c r="B366" s="7" t="s">
        <v>1131</v>
      </c>
      <c r="C366" s="32" t="str">
        <f>VLOOKUP($B366,R_DG!$A$7:$G$1305,2,0)</f>
        <v>05.7001</v>
      </c>
      <c r="D366" s="8" t="str">
        <f>VLOOKUP($B366,R_DG!$A$7:$G$1305,3,0)</f>
        <v xml:space="preserve">Kéo dây tiếp địa </v>
      </c>
      <c r="E366" s="9" t="str">
        <f>VLOOKUP($B366,R_DG!$A$7:$G$1305,4,0)</f>
        <v>m</v>
      </c>
      <c r="F366" s="11">
        <f>F361</f>
        <v>11.872</v>
      </c>
      <c r="G366" s="214">
        <f>VLOOKUP($B366,R_DG!$A$7:$G$1305,5,0)</f>
        <v>0</v>
      </c>
      <c r="H366" s="214">
        <f>VLOOKUP($B366,R_DG!$A$7:$G$1305,6,0)</f>
        <v>6776.4839999999995</v>
      </c>
      <c r="I366" s="214">
        <f>VLOOKUP($B366,R_DG!$A$7:$G$1305,7,0)</f>
        <v>0</v>
      </c>
      <c r="J366" s="214">
        <f t="shared" si="73"/>
        <v>0</v>
      </c>
      <c r="K366" s="214">
        <f t="shared" si="73"/>
        <v>80450.418047999992</v>
      </c>
      <c r="L366" s="220">
        <f t="shared" si="73"/>
        <v>0</v>
      </c>
      <c r="M366" s="93">
        <f t="shared" si="74"/>
        <v>0</v>
      </c>
      <c r="N366" s="328">
        <f t="shared" ca="1" si="75"/>
        <v>0</v>
      </c>
    </row>
    <row r="367" spans="1:14" ht="20.100000000000001" customHeight="1">
      <c r="A367" s="87"/>
      <c r="B367" s="7" t="s">
        <v>1136</v>
      </c>
      <c r="C367" s="32" t="str">
        <f>VLOOKUP($B367,R_DG!$A$7:$G$1305,2,0)</f>
        <v>D2.8103</v>
      </c>
      <c r="D367" s="8" t="str">
        <f>VLOOKUP($B367,R_DG!$A$7:$G$1305,3,0)</f>
        <v>Đóng cọc tiếp địa đất cấp 3</v>
      </c>
      <c r="E367" s="9" t="str">
        <f>VLOOKUP($B367,R_DG!$A$7:$G$1305,4,0)</f>
        <v>cọc</v>
      </c>
      <c r="F367" s="11">
        <f>F362</f>
        <v>9</v>
      </c>
      <c r="G367" s="214">
        <f>VLOOKUP($B367,R_DG!$A$7:$G$1305,5,0)</f>
        <v>0</v>
      </c>
      <c r="H367" s="214">
        <f>VLOOKUP($B367,R_DG!$A$7:$G$1305,6,0)</f>
        <v>85984.656000000003</v>
      </c>
      <c r="I367" s="214">
        <f>VLOOKUP($B367,R_DG!$A$7:$G$1305,7,0)</f>
        <v>0</v>
      </c>
      <c r="J367" s="214">
        <f t="shared" si="73"/>
        <v>0</v>
      </c>
      <c r="K367" s="214">
        <f t="shared" si="73"/>
        <v>773861.90399999998</v>
      </c>
      <c r="L367" s="220">
        <f t="shared" si="73"/>
        <v>0</v>
      </c>
      <c r="M367" s="93">
        <f t="shared" si="74"/>
        <v>0</v>
      </c>
      <c r="N367" s="328">
        <f t="shared" ca="1" si="75"/>
        <v>0</v>
      </c>
    </row>
    <row r="368" spans="1:14" ht="20.100000000000001" customHeight="1">
      <c r="A368" s="87"/>
      <c r="B368" s="7" t="s">
        <v>2185</v>
      </c>
      <c r="C368" s="32" t="str">
        <f>VLOOKUP($B368,R_DG!$A$7:$G$1305,2,0)</f>
        <v>02.1120</v>
      </c>
      <c r="D368" s="8" t="str">
        <f>VLOOKUP($B368,R_DG!$A$7:$G$1305,3,0)</f>
        <v>Bốc dỡ phụ kiện</v>
      </c>
      <c r="E368" s="9" t="str">
        <f>VLOOKUP($B368,R_DG!$A$7:$G$1305,4,0)</f>
        <v>tấn</v>
      </c>
      <c r="F368" s="11">
        <v>8.0000000000000002E-3</v>
      </c>
      <c r="G368" s="214">
        <f>VLOOKUP($B368,R_DG!$A$7:$G$1305,5,0)</f>
        <v>0</v>
      </c>
      <c r="H368" s="214">
        <f>VLOOKUP($B368,R_DG!$A$7:$G$1305,6,0)</f>
        <v>0</v>
      </c>
      <c r="I368" s="214">
        <f>VLOOKUP($B368,R_DG!$A$7:$G$1305,7,0)</f>
        <v>0</v>
      </c>
      <c r="J368" s="214">
        <f t="shared" si="73"/>
        <v>0</v>
      </c>
      <c r="K368" s="214">
        <f t="shared" si="73"/>
        <v>0</v>
      </c>
      <c r="L368" s="220">
        <f t="shared" si="73"/>
        <v>0</v>
      </c>
      <c r="M368" s="93">
        <f t="shared" si="74"/>
        <v>0</v>
      </c>
      <c r="N368" s="328">
        <f t="shared" ca="1" si="75"/>
        <v>0</v>
      </c>
    </row>
    <row r="369" spans="1:14" ht="20.100000000000001" customHeight="1">
      <c r="A369" s="89" t="s">
        <v>2202</v>
      </c>
      <c r="B369" s="24"/>
      <c r="C369" s="34"/>
      <c r="D369" s="25" t="s">
        <v>2203</v>
      </c>
      <c r="E369" s="25" t="s">
        <v>163</v>
      </c>
      <c r="F369" s="26"/>
      <c r="G369" s="213"/>
      <c r="H369" s="213"/>
      <c r="I369" s="213"/>
      <c r="J369" s="213">
        <f>SUM(J370:J377)</f>
        <v>961448</v>
      </c>
      <c r="K369" s="213">
        <f>SUM(K370:K377)</f>
        <v>107235.70982400001</v>
      </c>
      <c r="L369" s="219">
        <f>SUM(L370:L377)</f>
        <v>0</v>
      </c>
      <c r="M369" s="92">
        <f>IF(ERROR.TYPE(IF(HLOOKUP(A369,maBK,1,0)&lt;&gt;"",#NULL!,"ABC"))&lt;&gt;7,1,0)</f>
        <v>0</v>
      </c>
      <c r="N369" s="327">
        <f ca="1">SUMIF(maBK,$A369,tongBK1)</f>
        <v>0</v>
      </c>
    </row>
    <row r="370" spans="1:14" ht="20.100000000000001" customHeight="1">
      <c r="A370" s="87"/>
      <c r="B370" s="7" t="s">
        <v>2184</v>
      </c>
      <c r="C370" s="32">
        <f>VLOOKUP($B370,R_DG!$A$7:$G$1305,2,0)</f>
        <v>0</v>
      </c>
      <c r="D370" s="8" t="str">
        <f>VLOOKUP($B370,R_DG!$A$7:$G$1305,3,0)</f>
        <v>Cáp đồng trần M25mm2</v>
      </c>
      <c r="E370" s="9" t="str">
        <f>VLOOKUP($B370,R_DG!$A$7:$G$1305,4,0)</f>
        <v>kg</v>
      </c>
      <c r="F370" s="16">
        <f>14*0.224</f>
        <v>3.1360000000000001</v>
      </c>
      <c r="G370" s="214">
        <f>VLOOKUP($B370,R_DG!$A$7:$G$1305,5,0)</f>
        <v>255500</v>
      </c>
      <c r="H370" s="214">
        <f>VLOOKUP($B370,R_DG!$A$7:$G$1305,6,0)</f>
        <v>0</v>
      </c>
      <c r="I370" s="214">
        <f>VLOOKUP($B370,R_DG!$A$7:$G$1305,7,0)</f>
        <v>0</v>
      </c>
      <c r="J370" s="214">
        <f t="shared" si="73"/>
        <v>801248</v>
      </c>
      <c r="K370" s="214">
        <f t="shared" si="73"/>
        <v>0</v>
      </c>
      <c r="L370" s="220">
        <f t="shared" si="73"/>
        <v>0</v>
      </c>
      <c r="M370" s="93">
        <f t="shared" ref="M370:M377" si="76">IF(F370&gt;0,M$369,0)</f>
        <v>0</v>
      </c>
      <c r="N370" s="328">
        <f t="shared" ref="N370:N377" ca="1" si="77">$F370*N$369</f>
        <v>0</v>
      </c>
    </row>
    <row r="371" spans="1:14" ht="20.100000000000001" customHeight="1">
      <c r="A371" s="87"/>
      <c r="B371" s="7" t="s">
        <v>405</v>
      </c>
      <c r="C371" s="32">
        <f>VLOOKUP($B371,R_DG!$A$7:$G$1305,2,0)</f>
        <v>0</v>
      </c>
      <c r="D371" s="8" t="str">
        <f>VLOOKUP($B371,R_DG!$A$7:$G$1305,3,0)</f>
        <v>Cọc tiếp đất φ 16- 2,4m + kẹp cọc</v>
      </c>
      <c r="E371" s="9" t="str">
        <f>VLOOKUP($B371,R_DG!$A$7:$G$1305,4,0)</f>
        <v>bộ</v>
      </c>
      <c r="F371" s="11">
        <v>1</v>
      </c>
      <c r="G371" s="214">
        <f>VLOOKUP($B371,R_DG!$A$7:$G$1305,5,0)</f>
        <v>135000</v>
      </c>
      <c r="H371" s="214">
        <f>VLOOKUP($B371,R_DG!$A$7:$G$1305,6,0)</f>
        <v>0</v>
      </c>
      <c r="I371" s="214">
        <f>VLOOKUP($B371,R_DG!$A$7:$G$1305,7,0)</f>
        <v>0</v>
      </c>
      <c r="J371" s="214">
        <f t="shared" si="73"/>
        <v>135000</v>
      </c>
      <c r="K371" s="214">
        <f t="shared" si="73"/>
        <v>0</v>
      </c>
      <c r="L371" s="220">
        <f t="shared" si="73"/>
        <v>0</v>
      </c>
      <c r="M371" s="93">
        <f t="shared" si="76"/>
        <v>0</v>
      </c>
      <c r="N371" s="328">
        <f t="shared" ca="1" si="77"/>
        <v>0</v>
      </c>
    </row>
    <row r="372" spans="1:14" ht="20.100000000000001" customHeight="1">
      <c r="A372" s="87"/>
      <c r="B372" s="7" t="s">
        <v>514</v>
      </c>
      <c r="C372" s="32">
        <f>VLOOKUP($B372,R_DG!$A$7:$G$1305,2,0)</f>
        <v>0</v>
      </c>
      <c r="D372" s="8" t="str">
        <f>VLOOKUP($B372,R_DG!$A$7:$G$1305,3,0)</f>
        <v>Kẹp nối đồng-nhôm</v>
      </c>
      <c r="E372" s="9" t="str">
        <f>VLOOKUP($B372,R_DG!$A$7:$G$1305,4,0)</f>
        <v>cái</v>
      </c>
      <c r="F372" s="11">
        <v>2</v>
      </c>
      <c r="G372" s="214">
        <f>VLOOKUP($B372,R_DG!$A$7:$G$1305,5,0)</f>
        <v>4600</v>
      </c>
      <c r="H372" s="214">
        <f>VLOOKUP($B372,R_DG!$A$7:$G$1305,6,0)</f>
        <v>0</v>
      </c>
      <c r="I372" s="214">
        <f>VLOOKUP($B372,R_DG!$A$7:$G$1305,7,0)</f>
        <v>0</v>
      </c>
      <c r="J372" s="214">
        <f t="shared" si="73"/>
        <v>9200</v>
      </c>
      <c r="K372" s="214">
        <f t="shared" si="73"/>
        <v>0</v>
      </c>
      <c r="L372" s="220">
        <f t="shared" si="73"/>
        <v>0</v>
      </c>
      <c r="M372" s="93">
        <f t="shared" si="76"/>
        <v>0</v>
      </c>
      <c r="N372" s="328">
        <f t="shared" ca="1" si="77"/>
        <v>0</v>
      </c>
    </row>
    <row r="373" spans="1:14" ht="20.100000000000001" customHeight="1">
      <c r="A373" s="87"/>
      <c r="B373" s="7" t="s">
        <v>2189</v>
      </c>
      <c r="C373" s="32">
        <f>VLOOKUP($B373,R_DG!$A$7:$G$1305,2,0)</f>
        <v>0</v>
      </c>
      <c r="D373" s="8" t="str">
        <f>VLOOKUP($B373,R_DG!$A$7:$G$1305,3,0)</f>
        <v>Đầu cosse ép Cu 25mm2</v>
      </c>
      <c r="E373" s="9" t="str">
        <f>VLOOKUP($B373,R_DG!$A$7:$G$1305,4,0)</f>
        <v>cái</v>
      </c>
      <c r="F373" s="11">
        <v>2</v>
      </c>
      <c r="G373" s="214">
        <f>VLOOKUP($B373,R_DG!$A$7:$G$1305,5,0)</f>
        <v>6500</v>
      </c>
      <c r="H373" s="214">
        <f>VLOOKUP($B373,R_DG!$A$7:$G$1305,6,0)</f>
        <v>0</v>
      </c>
      <c r="I373" s="214">
        <f>VLOOKUP($B373,R_DG!$A$7:$G$1305,7,0)</f>
        <v>0</v>
      </c>
      <c r="J373" s="214">
        <f t="shared" si="73"/>
        <v>13000</v>
      </c>
      <c r="K373" s="214">
        <f t="shared" si="73"/>
        <v>0</v>
      </c>
      <c r="L373" s="220">
        <f t="shared" si="73"/>
        <v>0</v>
      </c>
      <c r="M373" s="93">
        <f t="shared" si="76"/>
        <v>0</v>
      </c>
      <c r="N373" s="328">
        <f t="shared" ca="1" si="77"/>
        <v>0</v>
      </c>
    </row>
    <row r="374" spans="1:14" ht="20.100000000000001" customHeight="1">
      <c r="A374" s="87"/>
      <c r="B374" s="7" t="s">
        <v>2190</v>
      </c>
      <c r="C374" s="32">
        <f>VLOOKUP($B374,R_DG!$A$7:$G$1305,2,0)</f>
        <v>0</v>
      </c>
      <c r="D374" s="8" t="str">
        <f>VLOOKUP($B374,R_DG!$A$7:$G$1305,3,0)</f>
        <v>Boulon 12x40+ 2 long đền vuông D14-50x50x3/Zn</v>
      </c>
      <c r="E374" s="9" t="str">
        <f>VLOOKUP($B374,R_DG!$A$7:$G$1305,4,0)</f>
        <v>bộ</v>
      </c>
      <c r="F374" s="11">
        <v>1</v>
      </c>
      <c r="G374" s="214">
        <f>VLOOKUP($B374,R_DG!$A$7:$G$1305,5,0)</f>
        <v>3000</v>
      </c>
      <c r="H374" s="214">
        <f>VLOOKUP($B374,R_DG!$A$7:$G$1305,6,0)</f>
        <v>0</v>
      </c>
      <c r="I374" s="214">
        <f>VLOOKUP($B374,R_DG!$A$7:$G$1305,7,0)</f>
        <v>0</v>
      </c>
      <c r="J374" s="214">
        <f t="shared" si="73"/>
        <v>3000</v>
      </c>
      <c r="K374" s="214">
        <f t="shared" si="73"/>
        <v>0</v>
      </c>
      <c r="L374" s="220">
        <f t="shared" si="73"/>
        <v>0</v>
      </c>
      <c r="M374" s="93">
        <f t="shared" si="76"/>
        <v>0</v>
      </c>
      <c r="N374" s="328">
        <f t="shared" ca="1" si="77"/>
        <v>0</v>
      </c>
    </row>
    <row r="375" spans="1:14" ht="20.100000000000001" customHeight="1">
      <c r="A375" s="87"/>
      <c r="B375" s="7" t="s">
        <v>1131</v>
      </c>
      <c r="C375" s="32" t="str">
        <f>VLOOKUP($B375,R_DG!$A$7:$G$1305,2,0)</f>
        <v>05.7001</v>
      </c>
      <c r="D375" s="8" t="str">
        <f>VLOOKUP($B375,R_DG!$A$7:$G$1305,3,0)</f>
        <v xml:space="preserve">Kéo dây tiếp địa </v>
      </c>
      <c r="E375" s="9" t="str">
        <f>VLOOKUP($B375,R_DG!$A$7:$G$1305,4,0)</f>
        <v>m</v>
      </c>
      <c r="F375" s="11">
        <f>F370</f>
        <v>3.1360000000000001</v>
      </c>
      <c r="G375" s="214">
        <f>VLOOKUP($B375,R_DG!$A$7:$G$1305,5,0)</f>
        <v>0</v>
      </c>
      <c r="H375" s="214">
        <f>VLOOKUP($B375,R_DG!$A$7:$G$1305,6,0)</f>
        <v>6776.4839999999995</v>
      </c>
      <c r="I375" s="214">
        <f>VLOOKUP($B375,R_DG!$A$7:$G$1305,7,0)</f>
        <v>0</v>
      </c>
      <c r="J375" s="214">
        <f t="shared" si="73"/>
        <v>0</v>
      </c>
      <c r="K375" s="214">
        <f t="shared" si="73"/>
        <v>21251.053823999999</v>
      </c>
      <c r="L375" s="220">
        <f t="shared" si="73"/>
        <v>0</v>
      </c>
      <c r="M375" s="93">
        <f t="shared" si="76"/>
        <v>0</v>
      </c>
      <c r="N375" s="328">
        <f t="shared" ca="1" si="77"/>
        <v>0</v>
      </c>
    </row>
    <row r="376" spans="1:14" ht="20.100000000000001" customHeight="1">
      <c r="A376" s="87"/>
      <c r="B376" s="7" t="s">
        <v>1136</v>
      </c>
      <c r="C376" s="32" t="str">
        <f>VLOOKUP($B376,R_DG!$A$7:$G$1305,2,0)</f>
        <v>D2.8103</v>
      </c>
      <c r="D376" s="8" t="str">
        <f>VLOOKUP($B376,R_DG!$A$7:$G$1305,3,0)</f>
        <v>Đóng cọc tiếp địa đất cấp 3</v>
      </c>
      <c r="E376" s="9" t="str">
        <f>VLOOKUP($B376,R_DG!$A$7:$G$1305,4,0)</f>
        <v>cọc</v>
      </c>
      <c r="F376" s="11">
        <v>1</v>
      </c>
      <c r="G376" s="214">
        <f>VLOOKUP($B376,R_DG!$A$7:$G$1305,5,0)</f>
        <v>0</v>
      </c>
      <c r="H376" s="214">
        <f>VLOOKUP($B376,R_DG!$A$7:$G$1305,6,0)</f>
        <v>85984.656000000003</v>
      </c>
      <c r="I376" s="214">
        <f>VLOOKUP($B376,R_DG!$A$7:$G$1305,7,0)</f>
        <v>0</v>
      </c>
      <c r="J376" s="214">
        <f t="shared" si="73"/>
        <v>0</v>
      </c>
      <c r="K376" s="214">
        <f t="shared" si="73"/>
        <v>85984.656000000003</v>
      </c>
      <c r="L376" s="220">
        <f t="shared" si="73"/>
        <v>0</v>
      </c>
      <c r="M376" s="93">
        <f t="shared" si="76"/>
        <v>0</v>
      </c>
      <c r="N376" s="328">
        <f t="shared" ca="1" si="77"/>
        <v>0</v>
      </c>
    </row>
    <row r="377" spans="1:14" ht="20.100000000000001" customHeight="1">
      <c r="A377" s="87"/>
      <c r="B377" s="7" t="s">
        <v>2185</v>
      </c>
      <c r="C377" s="32" t="str">
        <f>VLOOKUP($B377,R_DG!$A$7:$G$1305,2,0)</f>
        <v>02.1120</v>
      </c>
      <c r="D377" s="8" t="str">
        <f>VLOOKUP($B377,R_DG!$A$7:$G$1305,3,0)</f>
        <v>Bốc dỡ phụ kiện</v>
      </c>
      <c r="E377" s="9" t="str">
        <f>VLOOKUP($B377,R_DG!$A$7:$G$1305,4,0)</f>
        <v>tấn</v>
      </c>
      <c r="F377" s="11"/>
      <c r="G377" s="214">
        <f>VLOOKUP($B377,R_DG!$A$7:$G$1305,5,0)</f>
        <v>0</v>
      </c>
      <c r="H377" s="214">
        <f>VLOOKUP($B377,R_DG!$A$7:$G$1305,6,0)</f>
        <v>0</v>
      </c>
      <c r="I377" s="214">
        <f>VLOOKUP($B377,R_DG!$A$7:$G$1305,7,0)</f>
        <v>0</v>
      </c>
      <c r="J377" s="214">
        <f t="shared" si="73"/>
        <v>0</v>
      </c>
      <c r="K377" s="214">
        <f t="shared" si="73"/>
        <v>0</v>
      </c>
      <c r="L377" s="220">
        <f t="shared" si="73"/>
        <v>0</v>
      </c>
      <c r="M377" s="93">
        <f t="shared" si="76"/>
        <v>0</v>
      </c>
      <c r="N377" s="328">
        <f t="shared" ca="1" si="77"/>
        <v>0</v>
      </c>
    </row>
    <row r="378" spans="1:14" ht="20.100000000000001" customHeight="1">
      <c r="A378" s="89" t="s">
        <v>2204</v>
      </c>
      <c r="B378" s="24"/>
      <c r="C378" s="34"/>
      <c r="D378" s="25" t="s">
        <v>2205</v>
      </c>
      <c r="E378" s="25" t="s">
        <v>163</v>
      </c>
      <c r="F378" s="26"/>
      <c r="G378" s="213"/>
      <c r="H378" s="213"/>
      <c r="I378" s="213"/>
      <c r="J378" s="213">
        <f>SUM(J379:J384)</f>
        <v>1403304</v>
      </c>
      <c r="K378" s="213">
        <f>SUM(K379:K384)</f>
        <v>119379.169152</v>
      </c>
      <c r="L378" s="219">
        <f>SUM(L379:L384)</f>
        <v>0</v>
      </c>
      <c r="M378" s="92">
        <f>IF(ERROR.TYPE(IF(HLOOKUP(A378,maBK,1,0)&lt;&gt;"",#NULL!,"ABC"))&lt;&gt;7,1,0)</f>
        <v>0</v>
      </c>
      <c r="N378" s="327">
        <f ca="1">SUMIF(maBK,$A378,tongBK1)</f>
        <v>0</v>
      </c>
    </row>
    <row r="379" spans="1:14" ht="20.100000000000001" customHeight="1">
      <c r="A379" s="87"/>
      <c r="B379" s="7" t="s">
        <v>2184</v>
      </c>
      <c r="C379" s="32">
        <f>VLOOKUP($B379,R_DG!$A$7:$G$1305,2,0)</f>
        <v>0</v>
      </c>
      <c r="D379" s="8" t="str">
        <f>VLOOKUP($B379,R_DG!$A$7:$G$1305,3,0)</f>
        <v>Cáp đồng trần M25mm2</v>
      </c>
      <c r="E379" s="9" t="str">
        <f>VLOOKUP($B379,R_DG!$A$7:$G$1305,4,0)</f>
        <v>kg</v>
      </c>
      <c r="F379" s="16">
        <f>22*0.224</f>
        <v>4.9279999999999999</v>
      </c>
      <c r="G379" s="214">
        <f>VLOOKUP($B379,R_DG!$A$7:$G$1305,5,0)</f>
        <v>255500</v>
      </c>
      <c r="H379" s="214">
        <f>VLOOKUP($B379,R_DG!$A$7:$G$1305,6,0)</f>
        <v>0</v>
      </c>
      <c r="I379" s="214">
        <f>VLOOKUP($B379,R_DG!$A$7:$G$1305,7,0)</f>
        <v>0</v>
      </c>
      <c r="J379" s="214">
        <f t="shared" si="73"/>
        <v>1259104</v>
      </c>
      <c r="K379" s="214">
        <f t="shared" si="73"/>
        <v>0</v>
      </c>
      <c r="L379" s="220">
        <f t="shared" si="73"/>
        <v>0</v>
      </c>
      <c r="M379" s="93">
        <f t="shared" ref="M379:M384" si="78">IF(F379&gt;0,M$378,0)</f>
        <v>0</v>
      </c>
      <c r="N379" s="328">
        <f t="shared" ref="N379:N384" ca="1" si="79">$F379*N$378</f>
        <v>0</v>
      </c>
    </row>
    <row r="380" spans="1:14" ht="20.100000000000001" customHeight="1">
      <c r="A380" s="87"/>
      <c r="B380" s="7" t="s">
        <v>405</v>
      </c>
      <c r="C380" s="32">
        <f>VLOOKUP($B380,R_DG!$A$7:$G$1305,2,0)</f>
        <v>0</v>
      </c>
      <c r="D380" s="8" t="str">
        <f>VLOOKUP($B380,R_DG!$A$7:$G$1305,3,0)</f>
        <v>Cọc tiếp đất φ 16- 2,4m + kẹp cọc</v>
      </c>
      <c r="E380" s="9" t="str">
        <f>VLOOKUP($B380,R_DG!$A$7:$G$1305,4,0)</f>
        <v>bộ</v>
      </c>
      <c r="F380" s="11">
        <v>1</v>
      </c>
      <c r="G380" s="214">
        <f>VLOOKUP($B380,R_DG!$A$7:$G$1305,5,0)</f>
        <v>135000</v>
      </c>
      <c r="H380" s="214">
        <f>VLOOKUP($B380,R_DG!$A$7:$G$1305,6,0)</f>
        <v>0</v>
      </c>
      <c r="I380" s="214">
        <f>VLOOKUP($B380,R_DG!$A$7:$G$1305,7,0)</f>
        <v>0</v>
      </c>
      <c r="J380" s="214">
        <f t="shared" si="73"/>
        <v>135000</v>
      </c>
      <c r="K380" s="214">
        <f t="shared" si="73"/>
        <v>0</v>
      </c>
      <c r="L380" s="220">
        <f t="shared" si="73"/>
        <v>0</v>
      </c>
      <c r="M380" s="93">
        <f t="shared" si="78"/>
        <v>0</v>
      </c>
      <c r="N380" s="328">
        <f t="shared" ca="1" si="79"/>
        <v>0</v>
      </c>
    </row>
    <row r="381" spans="1:14" ht="20.100000000000001" customHeight="1">
      <c r="A381" s="87"/>
      <c r="B381" s="7" t="s">
        <v>514</v>
      </c>
      <c r="C381" s="32">
        <f>VLOOKUP($B381,R_DG!$A$7:$G$1305,2,0)</f>
        <v>0</v>
      </c>
      <c r="D381" s="8" t="str">
        <f>VLOOKUP($B381,R_DG!$A$7:$G$1305,3,0)</f>
        <v>Kẹp nối đồng-nhôm</v>
      </c>
      <c r="E381" s="9" t="str">
        <f>VLOOKUP($B381,R_DG!$A$7:$G$1305,4,0)</f>
        <v>cái</v>
      </c>
      <c r="F381" s="11">
        <v>2</v>
      </c>
      <c r="G381" s="214">
        <f>VLOOKUP($B381,R_DG!$A$7:$G$1305,5,0)</f>
        <v>4600</v>
      </c>
      <c r="H381" s="214">
        <f>VLOOKUP($B381,R_DG!$A$7:$G$1305,6,0)</f>
        <v>0</v>
      </c>
      <c r="I381" s="214">
        <f>VLOOKUP($B381,R_DG!$A$7:$G$1305,7,0)</f>
        <v>0</v>
      </c>
      <c r="J381" s="214">
        <f t="shared" si="73"/>
        <v>9200</v>
      </c>
      <c r="K381" s="214">
        <f t="shared" si="73"/>
        <v>0</v>
      </c>
      <c r="L381" s="220">
        <f t="shared" si="73"/>
        <v>0</v>
      </c>
      <c r="M381" s="93">
        <f t="shared" si="78"/>
        <v>0</v>
      </c>
      <c r="N381" s="328">
        <f t="shared" ca="1" si="79"/>
        <v>0</v>
      </c>
    </row>
    <row r="382" spans="1:14" ht="20.100000000000001" customHeight="1">
      <c r="A382" s="87"/>
      <c r="B382" s="7" t="s">
        <v>1131</v>
      </c>
      <c r="C382" s="32" t="str">
        <f>VLOOKUP($B382,R_DG!$A$7:$G$1305,2,0)</f>
        <v>05.7001</v>
      </c>
      <c r="D382" s="8" t="str">
        <f>VLOOKUP($B382,R_DG!$A$7:$G$1305,3,0)</f>
        <v xml:space="preserve">Kéo dây tiếp địa </v>
      </c>
      <c r="E382" s="9" t="str">
        <f>VLOOKUP($B382,R_DG!$A$7:$G$1305,4,0)</f>
        <v>m</v>
      </c>
      <c r="F382" s="11">
        <f>F379</f>
        <v>4.9279999999999999</v>
      </c>
      <c r="G382" s="214">
        <f>VLOOKUP($B382,R_DG!$A$7:$G$1305,5,0)</f>
        <v>0</v>
      </c>
      <c r="H382" s="214">
        <f>VLOOKUP($B382,R_DG!$A$7:$G$1305,6,0)</f>
        <v>6776.4839999999995</v>
      </c>
      <c r="I382" s="214">
        <f>VLOOKUP($B382,R_DG!$A$7:$G$1305,7,0)</f>
        <v>0</v>
      </c>
      <c r="J382" s="214">
        <f t="shared" si="73"/>
        <v>0</v>
      </c>
      <c r="K382" s="214">
        <f t="shared" si="73"/>
        <v>33394.513152</v>
      </c>
      <c r="L382" s="220">
        <f t="shared" si="73"/>
        <v>0</v>
      </c>
      <c r="M382" s="93">
        <f t="shared" si="78"/>
        <v>0</v>
      </c>
      <c r="N382" s="328">
        <f t="shared" ca="1" si="79"/>
        <v>0</v>
      </c>
    </row>
    <row r="383" spans="1:14" ht="20.100000000000001" customHeight="1">
      <c r="A383" s="87"/>
      <c r="B383" s="7" t="s">
        <v>1136</v>
      </c>
      <c r="C383" s="32" t="str">
        <f>VLOOKUP($B383,R_DG!$A$7:$G$1305,2,0)</f>
        <v>D2.8103</v>
      </c>
      <c r="D383" s="8" t="str">
        <f>VLOOKUP($B383,R_DG!$A$7:$G$1305,3,0)</f>
        <v>Đóng cọc tiếp địa đất cấp 3</v>
      </c>
      <c r="E383" s="9" t="str">
        <f>VLOOKUP($B383,R_DG!$A$7:$G$1305,4,0)</f>
        <v>cọc</v>
      </c>
      <c r="F383" s="11">
        <v>1</v>
      </c>
      <c r="G383" s="214">
        <f>VLOOKUP($B383,R_DG!$A$7:$G$1305,5,0)</f>
        <v>0</v>
      </c>
      <c r="H383" s="214">
        <f>VLOOKUP($B383,R_DG!$A$7:$G$1305,6,0)</f>
        <v>85984.656000000003</v>
      </c>
      <c r="I383" s="214">
        <f>VLOOKUP($B383,R_DG!$A$7:$G$1305,7,0)</f>
        <v>0</v>
      </c>
      <c r="J383" s="214">
        <f t="shared" si="73"/>
        <v>0</v>
      </c>
      <c r="K383" s="214">
        <f t="shared" si="73"/>
        <v>85984.656000000003</v>
      </c>
      <c r="L383" s="220">
        <f t="shared" si="73"/>
        <v>0</v>
      </c>
      <c r="M383" s="93">
        <f t="shared" si="78"/>
        <v>0</v>
      </c>
      <c r="N383" s="328">
        <f t="shared" ca="1" si="79"/>
        <v>0</v>
      </c>
    </row>
    <row r="384" spans="1:14" ht="20.100000000000001" customHeight="1">
      <c r="A384" s="87"/>
      <c r="B384" s="7" t="s">
        <v>2185</v>
      </c>
      <c r="C384" s="32" t="str">
        <f>VLOOKUP($B384,R_DG!$A$7:$G$1305,2,0)</f>
        <v>02.1120</v>
      </c>
      <c r="D384" s="8" t="str">
        <f>VLOOKUP($B384,R_DG!$A$7:$G$1305,3,0)</f>
        <v>Bốc dỡ phụ kiện</v>
      </c>
      <c r="E384" s="9" t="str">
        <f>VLOOKUP($B384,R_DG!$A$7:$G$1305,4,0)</f>
        <v>tấn</v>
      </c>
      <c r="F384" s="11">
        <v>8.0000000000000002E-3</v>
      </c>
      <c r="G384" s="214">
        <f>VLOOKUP($B384,R_DG!$A$7:$G$1305,5,0)</f>
        <v>0</v>
      </c>
      <c r="H384" s="214">
        <f>VLOOKUP($B384,R_DG!$A$7:$G$1305,6,0)</f>
        <v>0</v>
      </c>
      <c r="I384" s="214">
        <f>VLOOKUP($B384,R_DG!$A$7:$G$1305,7,0)</f>
        <v>0</v>
      </c>
      <c r="J384" s="214">
        <f t="shared" si="73"/>
        <v>0</v>
      </c>
      <c r="K384" s="214">
        <f t="shared" si="73"/>
        <v>0</v>
      </c>
      <c r="L384" s="220">
        <f t="shared" si="73"/>
        <v>0</v>
      </c>
      <c r="M384" s="93">
        <f t="shared" si="78"/>
        <v>0</v>
      </c>
      <c r="N384" s="328">
        <f t="shared" ca="1" si="79"/>
        <v>0</v>
      </c>
    </row>
    <row r="385" spans="1:14" ht="20.100000000000001" customHeight="1">
      <c r="A385" s="89" t="s">
        <v>2206</v>
      </c>
      <c r="B385" s="24"/>
      <c r="C385" s="34"/>
      <c r="D385" s="25" t="s">
        <v>2207</v>
      </c>
      <c r="E385" s="25" t="s">
        <v>163</v>
      </c>
      <c r="F385" s="26"/>
      <c r="G385" s="213"/>
      <c r="H385" s="213"/>
      <c r="I385" s="213"/>
      <c r="J385" s="213">
        <f>SUM(J386:J398)</f>
        <v>4595496</v>
      </c>
      <c r="K385" s="213">
        <f>SUM(K386:K398)</f>
        <v>8835865.1220479999</v>
      </c>
      <c r="L385" s="219">
        <f>SUM(L386:L398)</f>
        <v>61263.280000000006</v>
      </c>
      <c r="M385" s="92">
        <f>IF(ERROR.TYPE(IF(HLOOKUP(A385,maBK,1,0)&lt;&gt;"",#NULL!,"ABC"))&lt;&gt;7,1,0)</f>
        <v>0</v>
      </c>
      <c r="N385" s="327">
        <f ca="1">SUMIF(maBK,$A385,tongBK1)</f>
        <v>0</v>
      </c>
    </row>
    <row r="386" spans="1:14" ht="20.100000000000001" customHeight="1">
      <c r="A386" s="87"/>
      <c r="B386" s="7" t="s">
        <v>2184</v>
      </c>
      <c r="C386" s="32">
        <f>VLOOKUP($B386,R_DG!$A$7:$G$1305,2,0)</f>
        <v>0</v>
      </c>
      <c r="D386" s="8" t="str">
        <f>VLOOKUP($B386,R_DG!$A$7:$G$1305,3,0)</f>
        <v>Cáp đồng trần M25mm2</v>
      </c>
      <c r="E386" s="9" t="str">
        <f>VLOOKUP($B386,R_DG!$A$7:$G$1305,4,0)</f>
        <v>kg</v>
      </c>
      <c r="F386" s="16">
        <f>53*0.224</f>
        <v>11.872</v>
      </c>
      <c r="G386" s="214">
        <f>VLOOKUP($B386,R_DG!$A$7:$G$1305,5,0)</f>
        <v>255500</v>
      </c>
      <c r="H386" s="214">
        <f>VLOOKUP($B386,R_DG!$A$7:$G$1305,6,0)</f>
        <v>0</v>
      </c>
      <c r="I386" s="214">
        <f>VLOOKUP($B386,R_DG!$A$7:$G$1305,7,0)</f>
        <v>0</v>
      </c>
      <c r="J386" s="214">
        <f t="shared" si="73"/>
        <v>3033296</v>
      </c>
      <c r="K386" s="214">
        <f t="shared" si="73"/>
        <v>0</v>
      </c>
      <c r="L386" s="220">
        <f t="shared" si="73"/>
        <v>0</v>
      </c>
      <c r="M386" s="93">
        <f t="shared" ref="M386:M398" si="80">IF(F386&gt;0,M$385,0)</f>
        <v>0</v>
      </c>
      <c r="N386" s="328">
        <f t="shared" ref="N386:N398" ca="1" si="81">$F386*N$385</f>
        <v>0</v>
      </c>
    </row>
    <row r="387" spans="1:14" ht="20.100000000000001" customHeight="1">
      <c r="A387" s="87"/>
      <c r="B387" s="7" t="s">
        <v>405</v>
      </c>
      <c r="C387" s="32">
        <f>VLOOKUP($B387,R_DG!$A$7:$G$1305,2,0)</f>
        <v>0</v>
      </c>
      <c r="D387" s="8" t="str">
        <f>VLOOKUP($B387,R_DG!$A$7:$G$1305,3,0)</f>
        <v>Cọc tiếp đất φ 16- 2,4m + kẹp cọc</v>
      </c>
      <c r="E387" s="9" t="str">
        <f>VLOOKUP($B387,R_DG!$A$7:$G$1305,4,0)</f>
        <v>bộ</v>
      </c>
      <c r="F387" s="11">
        <v>9</v>
      </c>
      <c r="G387" s="214">
        <f>VLOOKUP($B387,R_DG!$A$7:$G$1305,5,0)</f>
        <v>135000</v>
      </c>
      <c r="H387" s="214">
        <f>VLOOKUP($B387,R_DG!$A$7:$G$1305,6,0)</f>
        <v>0</v>
      </c>
      <c r="I387" s="214">
        <f>VLOOKUP($B387,R_DG!$A$7:$G$1305,7,0)</f>
        <v>0</v>
      </c>
      <c r="J387" s="214">
        <f t="shared" si="73"/>
        <v>1215000</v>
      </c>
      <c r="K387" s="214">
        <f t="shared" si="73"/>
        <v>0</v>
      </c>
      <c r="L387" s="220">
        <f t="shared" si="73"/>
        <v>0</v>
      </c>
      <c r="M387" s="93">
        <f t="shared" si="80"/>
        <v>0</v>
      </c>
      <c r="N387" s="328">
        <f t="shared" ca="1" si="81"/>
        <v>0</v>
      </c>
    </row>
    <row r="388" spans="1:14" ht="20.100000000000001" customHeight="1">
      <c r="A388" s="87"/>
      <c r="B388" s="7" t="s">
        <v>2208</v>
      </c>
      <c r="C388" s="32" t="str">
        <f>VLOOKUP($B388,R_DG!$A$7:$G$1305,2,0)</f>
        <v>D3.4011</v>
      </c>
      <c r="D388" s="8" t="str">
        <f>VLOOKUP($B388,R_DG!$A$7:$G$1305,3,0)</f>
        <v>Kẹp ép WR cỡ dây 50mm2</v>
      </c>
      <c r="E388" s="9" t="str">
        <f>VLOOKUP($B388,R_DG!$A$7:$G$1305,4,0)</f>
        <v>cái</v>
      </c>
      <c r="F388" s="11">
        <v>2</v>
      </c>
      <c r="G388" s="214">
        <f>VLOOKUP($B388,R_DG!$A$7:$G$1305,5,0)</f>
        <v>13000</v>
      </c>
      <c r="H388" s="214">
        <f>VLOOKUP($B388,R_DG!$A$7:$G$1305,6,0)</f>
        <v>259648.56000000003</v>
      </c>
      <c r="I388" s="214">
        <f>VLOOKUP($B388,R_DG!$A$7:$G$1305,7,0)</f>
        <v>4712.5600000000004</v>
      </c>
      <c r="J388" s="214">
        <f t="shared" si="73"/>
        <v>26000</v>
      </c>
      <c r="K388" s="214">
        <f t="shared" si="73"/>
        <v>519297.12000000005</v>
      </c>
      <c r="L388" s="220">
        <f t="shared" si="73"/>
        <v>9425.1200000000008</v>
      </c>
      <c r="M388" s="93">
        <f t="shared" si="80"/>
        <v>0</v>
      </c>
      <c r="N388" s="328">
        <f t="shared" ca="1" si="81"/>
        <v>0</v>
      </c>
    </row>
    <row r="389" spans="1:14" ht="20.100000000000001" customHeight="1">
      <c r="A389" s="87"/>
      <c r="B389" s="7" t="s">
        <v>2209</v>
      </c>
      <c r="C389" s="32" t="str">
        <f>VLOOKUP($B389,R_DG!$A$7:$G$1305,2,0)</f>
        <v>D3.4011</v>
      </c>
      <c r="D389" s="8" t="str">
        <f>VLOOKUP($B389,R_DG!$A$7:$G$1305,3,0)</f>
        <v>Kẹp ép cỡ dây 25mm2</v>
      </c>
      <c r="E389" s="9" t="str">
        <f>VLOOKUP($B389,R_DG!$A$7:$G$1305,4,0)</f>
        <v>cái</v>
      </c>
      <c r="F389" s="11">
        <v>11</v>
      </c>
      <c r="G389" s="214">
        <f>VLOOKUP($B389,R_DG!$A$7:$G$1305,5,0)</f>
        <v>14000</v>
      </c>
      <c r="H389" s="214">
        <f>VLOOKUP($B389,R_DG!$A$7:$G$1305,6,0)</f>
        <v>259648.56000000003</v>
      </c>
      <c r="I389" s="214">
        <f>VLOOKUP($B389,R_DG!$A$7:$G$1305,7,0)</f>
        <v>4712.5600000000004</v>
      </c>
      <c r="J389" s="214">
        <f t="shared" si="73"/>
        <v>154000</v>
      </c>
      <c r="K389" s="214">
        <f t="shared" si="73"/>
        <v>2856134.16</v>
      </c>
      <c r="L389" s="220">
        <f t="shared" si="73"/>
        <v>51838.16</v>
      </c>
      <c r="M389" s="93">
        <f t="shared" si="80"/>
        <v>0</v>
      </c>
      <c r="N389" s="328">
        <f t="shared" ca="1" si="81"/>
        <v>0</v>
      </c>
    </row>
    <row r="390" spans="1:14" ht="20.100000000000001" customHeight="1">
      <c r="A390" s="87"/>
      <c r="B390" s="7" t="s">
        <v>2197</v>
      </c>
      <c r="C390" s="32">
        <f>VLOOKUP($B390,R_DG!$A$7:$G$1305,2,0)</f>
        <v>0</v>
      </c>
      <c r="D390" s="8" t="str">
        <f>VLOOKUP($B390,R_DG!$A$7:$G$1305,3,0)</f>
        <v xml:space="preserve">Ống PVC D21x1,6mm </v>
      </c>
      <c r="E390" s="9" t="str">
        <f>VLOOKUP($B390,R_DG!$A$7:$G$1305,4,0)</f>
        <v>m</v>
      </c>
      <c r="F390" s="11">
        <v>6</v>
      </c>
      <c r="G390" s="214">
        <f>VLOOKUP($B390,R_DG!$A$7:$G$1305,5,0)</f>
        <v>3700</v>
      </c>
      <c r="H390" s="214">
        <f>VLOOKUP($B390,R_DG!$A$7:$G$1305,6,0)</f>
        <v>0</v>
      </c>
      <c r="I390" s="214">
        <f>VLOOKUP($B390,R_DG!$A$7:$G$1305,7,0)</f>
        <v>0</v>
      </c>
      <c r="J390" s="214">
        <f t="shared" si="73"/>
        <v>22200</v>
      </c>
      <c r="K390" s="214">
        <f t="shared" si="73"/>
        <v>0</v>
      </c>
      <c r="L390" s="220">
        <f t="shared" si="73"/>
        <v>0</v>
      </c>
      <c r="M390" s="93">
        <f t="shared" si="80"/>
        <v>0</v>
      </c>
      <c r="N390" s="328">
        <f t="shared" ca="1" si="81"/>
        <v>0</v>
      </c>
    </row>
    <row r="391" spans="1:14" ht="20.100000000000001" customHeight="1">
      <c r="A391" s="87"/>
      <c r="B391" s="7" t="s">
        <v>2210</v>
      </c>
      <c r="C391" s="32">
        <f>VLOOKUP($B391,R_DG!$A$7:$G$1305,2,0)</f>
        <v>0</v>
      </c>
      <c r="D391" s="8" t="str">
        <f>VLOOKUP($B391,R_DG!$A$7:$G$1305,3,0)</f>
        <v>Cổ dê kẹp ống PVC φ 21</v>
      </c>
      <c r="E391" s="9" t="str">
        <f>VLOOKUP($B391,R_DG!$A$7:$G$1305,4,0)</f>
        <v>bộ</v>
      </c>
      <c r="F391" s="11">
        <v>3</v>
      </c>
      <c r="G391" s="214">
        <f>VLOOKUP($B391,R_DG!$A$7:$G$1305,5,0)</f>
        <v>43000</v>
      </c>
      <c r="H391" s="214">
        <f>VLOOKUP($B391,R_DG!$A$7:$G$1305,6,0)</f>
        <v>0</v>
      </c>
      <c r="I391" s="214">
        <f>VLOOKUP($B391,R_DG!$A$7:$G$1305,7,0)</f>
        <v>0</v>
      </c>
      <c r="J391" s="214">
        <f t="shared" si="73"/>
        <v>129000</v>
      </c>
      <c r="K391" s="214">
        <f t="shared" si="73"/>
        <v>0</v>
      </c>
      <c r="L391" s="220">
        <f t="shared" si="73"/>
        <v>0</v>
      </c>
      <c r="M391" s="93">
        <f t="shared" si="80"/>
        <v>0</v>
      </c>
      <c r="N391" s="328">
        <f t="shared" ca="1" si="81"/>
        <v>0</v>
      </c>
    </row>
    <row r="392" spans="1:14" ht="20.100000000000001" customHeight="1">
      <c r="A392" s="87"/>
      <c r="B392" s="7" t="s">
        <v>2189</v>
      </c>
      <c r="C392" s="32">
        <f>VLOOKUP($B392,R_DG!$A$7:$G$1305,2,0)</f>
        <v>0</v>
      </c>
      <c r="D392" s="8" t="str">
        <f>VLOOKUP($B392,R_DG!$A$7:$G$1305,3,0)</f>
        <v>Đầu cosse ép Cu 25mm2</v>
      </c>
      <c r="E392" s="9" t="str">
        <f>VLOOKUP($B392,R_DG!$A$7:$G$1305,4,0)</f>
        <v>cái</v>
      </c>
      <c r="F392" s="11">
        <v>2</v>
      </c>
      <c r="G392" s="214">
        <f>VLOOKUP($B392,R_DG!$A$7:$G$1305,5,0)</f>
        <v>6500</v>
      </c>
      <c r="H392" s="214">
        <f>VLOOKUP($B392,R_DG!$A$7:$G$1305,6,0)</f>
        <v>0</v>
      </c>
      <c r="I392" s="214">
        <f>VLOOKUP($B392,R_DG!$A$7:$G$1305,7,0)</f>
        <v>0</v>
      </c>
      <c r="J392" s="214">
        <f t="shared" si="73"/>
        <v>13000</v>
      </c>
      <c r="K392" s="214">
        <f t="shared" si="73"/>
        <v>0</v>
      </c>
      <c r="L392" s="220">
        <f t="shared" si="73"/>
        <v>0</v>
      </c>
      <c r="M392" s="93">
        <f t="shared" si="80"/>
        <v>0</v>
      </c>
      <c r="N392" s="328">
        <f t="shared" ca="1" si="81"/>
        <v>0</v>
      </c>
    </row>
    <row r="393" spans="1:14" ht="20.100000000000001" customHeight="1">
      <c r="A393" s="87"/>
      <c r="B393" s="7" t="s">
        <v>2190</v>
      </c>
      <c r="C393" s="32">
        <f>VLOOKUP($B393,R_DG!$A$7:$G$1305,2,0)</f>
        <v>0</v>
      </c>
      <c r="D393" s="8" t="str">
        <f>VLOOKUP($B393,R_DG!$A$7:$G$1305,3,0)</f>
        <v>Boulon 12x40+ 2 long đền vuông D14-50x50x3/Zn</v>
      </c>
      <c r="E393" s="9" t="str">
        <f>VLOOKUP($B393,R_DG!$A$7:$G$1305,4,0)</f>
        <v>bộ</v>
      </c>
      <c r="F393" s="11">
        <v>1</v>
      </c>
      <c r="G393" s="214">
        <f>VLOOKUP($B393,R_DG!$A$7:$G$1305,5,0)</f>
        <v>3000</v>
      </c>
      <c r="H393" s="214">
        <f>VLOOKUP($B393,R_DG!$A$7:$G$1305,6,0)</f>
        <v>0</v>
      </c>
      <c r="I393" s="214">
        <f>VLOOKUP($B393,R_DG!$A$7:$G$1305,7,0)</f>
        <v>0</v>
      </c>
      <c r="J393" s="214">
        <f t="shared" si="73"/>
        <v>3000</v>
      </c>
      <c r="K393" s="214">
        <f t="shared" si="73"/>
        <v>0</v>
      </c>
      <c r="L393" s="220">
        <f t="shared" si="73"/>
        <v>0</v>
      </c>
      <c r="M393" s="93">
        <f t="shared" si="80"/>
        <v>0</v>
      </c>
      <c r="N393" s="328">
        <f t="shared" ca="1" si="81"/>
        <v>0</v>
      </c>
    </row>
    <row r="394" spans="1:14" ht="20.100000000000001" customHeight="1">
      <c r="A394" s="87"/>
      <c r="B394" s="7" t="s">
        <v>1131</v>
      </c>
      <c r="C394" s="32" t="str">
        <f>VLOOKUP($B394,R_DG!$A$7:$G$1305,2,0)</f>
        <v>05.7001</v>
      </c>
      <c r="D394" s="8" t="str">
        <f>VLOOKUP($B394,R_DG!$A$7:$G$1305,3,0)</f>
        <v xml:space="preserve">Kéo dây tiếp địa </v>
      </c>
      <c r="E394" s="9" t="str">
        <f>VLOOKUP($B394,R_DG!$A$7:$G$1305,4,0)</f>
        <v>m</v>
      </c>
      <c r="F394" s="11">
        <f>F386</f>
        <v>11.872</v>
      </c>
      <c r="G394" s="214">
        <f>VLOOKUP($B394,R_DG!$A$7:$G$1305,5,0)</f>
        <v>0</v>
      </c>
      <c r="H394" s="214">
        <f>VLOOKUP($B394,R_DG!$A$7:$G$1305,6,0)</f>
        <v>6776.4839999999995</v>
      </c>
      <c r="I394" s="214">
        <f>VLOOKUP($B394,R_DG!$A$7:$G$1305,7,0)</f>
        <v>0</v>
      </c>
      <c r="J394" s="214">
        <f t="shared" si="73"/>
        <v>0</v>
      </c>
      <c r="K394" s="214">
        <f t="shared" si="73"/>
        <v>80450.418047999992</v>
      </c>
      <c r="L394" s="220">
        <f t="shared" si="73"/>
        <v>0</v>
      </c>
      <c r="M394" s="93">
        <f t="shared" si="80"/>
        <v>0</v>
      </c>
      <c r="N394" s="328">
        <f t="shared" ca="1" si="81"/>
        <v>0</v>
      </c>
    </row>
    <row r="395" spans="1:14" ht="20.100000000000001" customHeight="1">
      <c r="A395" s="87"/>
      <c r="B395" s="7" t="s">
        <v>1136</v>
      </c>
      <c r="C395" s="32" t="str">
        <f>VLOOKUP($B395,R_DG!$A$7:$G$1305,2,0)</f>
        <v>D2.8103</v>
      </c>
      <c r="D395" s="8" t="str">
        <f>VLOOKUP($B395,R_DG!$A$7:$G$1305,3,0)</f>
        <v>Đóng cọc tiếp địa đất cấp 3</v>
      </c>
      <c r="E395" s="9" t="str">
        <f>VLOOKUP($B395,R_DG!$A$7:$G$1305,4,0)</f>
        <v>cọc</v>
      </c>
      <c r="F395" s="11">
        <f>F387</f>
        <v>9</v>
      </c>
      <c r="G395" s="214">
        <f>VLOOKUP($B395,R_DG!$A$7:$G$1305,5,0)</f>
        <v>0</v>
      </c>
      <c r="H395" s="214">
        <f>VLOOKUP($B395,R_DG!$A$7:$G$1305,6,0)</f>
        <v>85984.656000000003</v>
      </c>
      <c r="I395" s="214">
        <f>VLOOKUP($B395,R_DG!$A$7:$G$1305,7,0)</f>
        <v>0</v>
      </c>
      <c r="J395" s="214">
        <f t="shared" si="73"/>
        <v>0</v>
      </c>
      <c r="K395" s="214">
        <f t="shared" si="73"/>
        <v>773861.90399999998</v>
      </c>
      <c r="L395" s="220">
        <f t="shared" si="73"/>
        <v>0</v>
      </c>
      <c r="M395" s="93">
        <f t="shared" si="80"/>
        <v>0</v>
      </c>
      <c r="N395" s="328">
        <f t="shared" ca="1" si="81"/>
        <v>0</v>
      </c>
    </row>
    <row r="396" spans="1:14" ht="20.100000000000001" customHeight="1">
      <c r="A396" s="87"/>
      <c r="B396" s="7" t="s">
        <v>2211</v>
      </c>
      <c r="C396" s="32" t="str">
        <f>VLOOKUP($B396,R_DG!$A$7:$G$1305,2,0)</f>
        <v>AB.1151</v>
      </c>
      <c r="D396" s="8" t="str">
        <f>VLOOKUP($B396,R_DG!$A$7:$G$1305,3,0)</f>
        <v>Đào rãnh tiếp địa đất cấp 3</v>
      </c>
      <c r="E396" s="9" t="str">
        <f>VLOOKUP($B396,R_DG!$A$7:$G$1305,4,0)</f>
        <v>m3</v>
      </c>
      <c r="F396" s="11">
        <v>13.2</v>
      </c>
      <c r="G396" s="214">
        <f>VLOOKUP($B396,R_DG!$A$7:$G$1305,5,0)</f>
        <v>0</v>
      </c>
      <c r="H396" s="214">
        <f>VLOOKUP($B396,R_DG!$A$7:$G$1305,6,0)</f>
        <v>241579.80000000002</v>
      </c>
      <c r="I396" s="214">
        <f>VLOOKUP($B396,R_DG!$A$7:$G$1305,7,0)</f>
        <v>0</v>
      </c>
      <c r="J396" s="214">
        <f t="shared" si="73"/>
        <v>0</v>
      </c>
      <c r="K396" s="214">
        <f t="shared" si="73"/>
        <v>3188853.36</v>
      </c>
      <c r="L396" s="220">
        <f t="shared" si="73"/>
        <v>0</v>
      </c>
      <c r="M396" s="93">
        <f t="shared" si="80"/>
        <v>0</v>
      </c>
      <c r="N396" s="328">
        <f t="shared" ca="1" si="81"/>
        <v>0</v>
      </c>
    </row>
    <row r="397" spans="1:14" ht="20.100000000000001" customHeight="1">
      <c r="A397" s="87"/>
      <c r="B397" s="7" t="s">
        <v>2212</v>
      </c>
      <c r="C397" s="32" t="str">
        <f>VLOOKUP($B397,R_DG!$A$7:$G$1305,2,0)</f>
        <v>AB.1312</v>
      </c>
      <c r="D397" s="8" t="str">
        <f>VLOOKUP($B397,R_DG!$A$7:$G$1305,3,0)</f>
        <v>Đắp đất rãnh tiếp địa cấp 3, k=0,9</v>
      </c>
      <c r="E397" s="9" t="str">
        <f>VLOOKUP($B397,R_DG!$A$7:$G$1305,4,0)</f>
        <v>m3</v>
      </c>
      <c r="F397" s="11">
        <f>F396</f>
        <v>13.2</v>
      </c>
      <c r="G397" s="214">
        <f>VLOOKUP($B397,R_DG!$A$7:$G$1305,5,0)</f>
        <v>0</v>
      </c>
      <c r="H397" s="214">
        <f>VLOOKUP($B397,R_DG!$A$7:$G$1305,6,0)</f>
        <v>107368.8</v>
      </c>
      <c r="I397" s="214">
        <f>VLOOKUP($B397,R_DG!$A$7:$G$1305,7,0)</f>
        <v>0</v>
      </c>
      <c r="J397" s="214">
        <f t="shared" si="73"/>
        <v>0</v>
      </c>
      <c r="K397" s="214">
        <f t="shared" si="73"/>
        <v>1417268.16</v>
      </c>
      <c r="L397" s="220">
        <f t="shared" si="73"/>
        <v>0</v>
      </c>
      <c r="M397" s="93">
        <f t="shared" si="80"/>
        <v>0</v>
      </c>
      <c r="N397" s="328">
        <f t="shared" ca="1" si="81"/>
        <v>0</v>
      </c>
    </row>
    <row r="398" spans="1:14" ht="20.100000000000001" customHeight="1">
      <c r="A398" s="87"/>
      <c r="B398" s="7" t="s">
        <v>2185</v>
      </c>
      <c r="C398" s="32" t="str">
        <f>VLOOKUP($B398,R_DG!$A$7:$G$1305,2,0)</f>
        <v>02.1120</v>
      </c>
      <c r="D398" s="8" t="str">
        <f>VLOOKUP($B398,R_DG!$A$7:$G$1305,3,0)</f>
        <v>Bốc dỡ phụ kiện</v>
      </c>
      <c r="E398" s="9" t="str">
        <f>VLOOKUP($B398,R_DG!$A$7:$G$1305,4,0)</f>
        <v>tấn</v>
      </c>
      <c r="F398" s="11"/>
      <c r="G398" s="214">
        <f>VLOOKUP($B398,R_DG!$A$7:$G$1305,5,0)</f>
        <v>0</v>
      </c>
      <c r="H398" s="214">
        <f>VLOOKUP($B398,R_DG!$A$7:$G$1305,6,0)</f>
        <v>0</v>
      </c>
      <c r="I398" s="214">
        <f>VLOOKUP($B398,R_DG!$A$7:$G$1305,7,0)</f>
        <v>0</v>
      </c>
      <c r="J398" s="214">
        <f t="shared" si="73"/>
        <v>0</v>
      </c>
      <c r="K398" s="214">
        <f t="shared" si="73"/>
        <v>0</v>
      </c>
      <c r="L398" s="220">
        <f t="shared" si="73"/>
        <v>0</v>
      </c>
      <c r="M398" s="93">
        <f t="shared" si="80"/>
        <v>0</v>
      </c>
      <c r="N398" s="328">
        <f t="shared" ca="1" si="81"/>
        <v>0</v>
      </c>
    </row>
    <row r="399" spans="1:14" ht="20.100000000000001" customHeight="1">
      <c r="A399" s="89" t="s">
        <v>2566</v>
      </c>
      <c r="B399" s="24"/>
      <c r="C399" s="34"/>
      <c r="D399" s="25" t="s">
        <v>2914</v>
      </c>
      <c r="E399" s="25" t="s">
        <v>163</v>
      </c>
      <c r="F399" s="26"/>
      <c r="G399" s="213"/>
      <c r="H399" s="213"/>
      <c r="I399" s="213"/>
      <c r="J399" s="213" t="e">
        <f>SUM(J400:J408)</f>
        <v>#REF!</v>
      </c>
      <c r="K399" s="213">
        <f>SUM(K400:K408)</f>
        <v>375446.7</v>
      </c>
      <c r="L399" s="219">
        <f>SUM(L400:L408)</f>
        <v>0</v>
      </c>
      <c r="M399" s="92">
        <f>IF(ERROR.TYPE(IF(HLOOKUP(A399,maBK,1,0)&lt;&gt;"",#NULL!,"ABC"))&lt;&gt;7,1,0)</f>
        <v>0</v>
      </c>
      <c r="N399" s="327">
        <f ca="1">SUMIF(maBK,$A399,tongBK1)</f>
        <v>0</v>
      </c>
    </row>
    <row r="400" spans="1:14" ht="20.100000000000001" customHeight="1">
      <c r="A400" s="87"/>
      <c r="B400" s="7" t="s">
        <v>30</v>
      </c>
      <c r="C400" s="32" t="str">
        <f>VLOOKUP($B400,R_DG!$A$7:$G$1305,2,0)</f>
        <v>D2.6011</v>
      </c>
      <c r="D400" s="8" t="str">
        <f>VLOOKUP($B400,R_DG!$A$7:$G$1305,3,0)</f>
        <v>Đà hộp composit L110x80x800</v>
      </c>
      <c r="E400" s="9" t="str">
        <f>VLOOKUP($B400,R_DG!$A$7:$G$1305,4,0)</f>
        <v>cái</v>
      </c>
      <c r="F400" s="11">
        <v>2</v>
      </c>
      <c r="G400" s="214">
        <f>VLOOKUP($B400,R_DG!$A$7:$G$1305,5,0)</f>
        <v>320000</v>
      </c>
      <c r="H400" s="214">
        <f>VLOOKUP($B400,R_DG!$A$7:$G$1305,6,0)</f>
        <v>187723.35</v>
      </c>
      <c r="I400" s="214">
        <f>VLOOKUP($B400,R_DG!$A$7:$G$1305,7,0)</f>
        <v>0</v>
      </c>
      <c r="J400" s="214">
        <f t="shared" ref="J400:L461" si="82">G400*$F400</f>
        <v>640000</v>
      </c>
      <c r="K400" s="214">
        <f t="shared" si="82"/>
        <v>375446.7</v>
      </c>
      <c r="L400" s="220">
        <f t="shared" si="82"/>
        <v>0</v>
      </c>
      <c r="M400" s="93">
        <f t="shared" ref="M400:M408" si="83">IF(F400&gt;0,M$399,0)</f>
        <v>0</v>
      </c>
      <c r="N400" s="328">
        <f t="shared" ref="N400:N408" ca="1" si="84">$F400*N$399</f>
        <v>0</v>
      </c>
    </row>
    <row r="401" spans="1:14" ht="20.100000000000001" customHeight="1">
      <c r="A401" s="87"/>
      <c r="B401" s="7" t="s">
        <v>32</v>
      </c>
      <c r="C401" s="32">
        <f>VLOOKUP($B401,R_DG!$A$7:$G$1305,2,0)</f>
        <v>0</v>
      </c>
      <c r="D401" s="8" t="str">
        <f>VLOOKUP($B401,R_DG!$A$7:$G$1305,3,0)</f>
        <v>Thanh chống L10x60x710</v>
      </c>
      <c r="E401" s="9" t="str">
        <f>VLOOKUP($B401,R_DG!$A$7:$G$1305,4,0)</f>
        <v>cái</v>
      </c>
      <c r="F401" s="11">
        <v>2</v>
      </c>
      <c r="G401" s="214">
        <f>VLOOKUP($B401,R_DG!$A$7:$G$1305,5,0)</f>
        <v>110000</v>
      </c>
      <c r="H401" s="214">
        <f>VLOOKUP($B401,R_DG!$A$7:$G$1305,6,0)</f>
        <v>0</v>
      </c>
      <c r="I401" s="214">
        <f>VLOOKUP($B401,R_DG!$A$7:$G$1305,7,0)</f>
        <v>0</v>
      </c>
      <c r="J401" s="214">
        <f t="shared" si="82"/>
        <v>220000</v>
      </c>
      <c r="K401" s="214">
        <f t="shared" si="82"/>
        <v>0</v>
      </c>
      <c r="L401" s="220">
        <f t="shared" si="82"/>
        <v>0</v>
      </c>
      <c r="M401" s="93">
        <f t="shared" si="83"/>
        <v>0</v>
      </c>
      <c r="N401" s="328">
        <f t="shared" ca="1" si="84"/>
        <v>0</v>
      </c>
    </row>
    <row r="402" spans="1:14" ht="20.100000000000001" customHeight="1">
      <c r="A402" s="87"/>
      <c r="B402" s="7" t="s">
        <v>161</v>
      </c>
      <c r="C402" s="32">
        <f>VLOOKUP($B402,R_DG!$A$7:$G$1305,2,0)</f>
        <v>0</v>
      </c>
      <c r="D402" s="8" t="str">
        <f>VLOOKUP($B402,R_DG!$A$7:$G$1305,3,0)</f>
        <v>Bass LI bắt FCO</v>
      </c>
      <c r="E402" s="9" t="str">
        <f>VLOOKUP($B402,R_DG!$A$7:$G$1305,4,0)</f>
        <v>Bộ</v>
      </c>
      <c r="F402" s="11">
        <v>2</v>
      </c>
      <c r="G402" s="214">
        <f>VLOOKUP($B402,R_DG!$A$7:$G$1305,5,0)</f>
        <v>42000</v>
      </c>
      <c r="H402" s="214">
        <f>VLOOKUP($B402,R_DG!$A$7:$G$1305,6,0)</f>
        <v>0</v>
      </c>
      <c r="I402" s="214">
        <f>VLOOKUP($B402,R_DG!$A$7:$G$1305,7,0)</f>
        <v>0</v>
      </c>
      <c r="J402" s="214">
        <f t="shared" si="82"/>
        <v>84000</v>
      </c>
      <c r="K402" s="214">
        <f t="shared" si="82"/>
        <v>0</v>
      </c>
      <c r="L402" s="220">
        <f t="shared" si="82"/>
        <v>0</v>
      </c>
      <c r="M402" s="93">
        <f t="shared" si="83"/>
        <v>0</v>
      </c>
      <c r="N402" s="328">
        <f t="shared" ca="1" si="84"/>
        <v>0</v>
      </c>
    </row>
    <row r="403" spans="1:14" ht="20.100000000000001" customHeight="1">
      <c r="A403" s="87"/>
      <c r="B403" s="7" t="s">
        <v>4532</v>
      </c>
      <c r="C403" s="32">
        <f>VLOOKUP($B403,R_DG!$A$7:$G$1305,2,0)</f>
        <v>0</v>
      </c>
      <c r="D403" s="8" t="str">
        <f>VLOOKUP($B403,R_DG!$A$7:$G$1305,3,0)</f>
        <v>Cáp 24KV C/XLPE/PVC 25mm2</v>
      </c>
      <c r="E403" s="9" t="str">
        <f>VLOOKUP($B403,R_DG!$A$7:$G$1305,4,0)</f>
        <v>mét</v>
      </c>
      <c r="F403" s="11">
        <v>3</v>
      </c>
      <c r="G403" s="214">
        <f>VLOOKUP($B403,R_DG!$A$7:$G$1305,5,0)</f>
        <v>57600</v>
      </c>
      <c r="H403" s="214">
        <f>VLOOKUP($B403,R_DG!$A$7:$G$1305,6,0)</f>
        <v>0</v>
      </c>
      <c r="I403" s="214">
        <f>VLOOKUP($B403,R_DG!$A$7:$G$1305,7,0)</f>
        <v>0</v>
      </c>
      <c r="J403" s="214">
        <f t="shared" ref="J403" si="85">G403*$F403</f>
        <v>172800</v>
      </c>
      <c r="K403" s="214">
        <f t="shared" ref="K403" si="86">H403*$F403</f>
        <v>0</v>
      </c>
      <c r="L403" s="220">
        <f t="shared" ref="L403" si="87">I403*$F403</f>
        <v>0</v>
      </c>
      <c r="M403" s="93">
        <f t="shared" ref="M403" si="88">IF(F403&gt;0,M$399,0)</f>
        <v>0</v>
      </c>
      <c r="N403" s="328">
        <f t="shared" ca="1" si="84"/>
        <v>0</v>
      </c>
    </row>
    <row r="404" spans="1:14" ht="20.100000000000001" customHeight="1">
      <c r="A404" s="87"/>
      <c r="B404" s="7" t="s">
        <v>4535</v>
      </c>
      <c r="C404" s="32">
        <f>VLOOKUP($B404,R_DG!$A$7:$G$1305,2,0)</f>
        <v>0</v>
      </c>
      <c r="D404" s="8" t="str">
        <f>VLOOKUP($B404,R_DG!$A$7:$G$1305,3,0)</f>
        <v>Đầu cosse ép Cu-Al 50mm2</v>
      </c>
      <c r="E404" s="9" t="str">
        <f>VLOOKUP($B404,R_DG!$A$7:$G$1305,4,0)</f>
        <v>cái</v>
      </c>
      <c r="F404" s="11">
        <v>1</v>
      </c>
      <c r="G404" s="214">
        <f>VLOOKUP($B404,R_DG!$A$7:$G$1305,5,0)</f>
        <v>13000</v>
      </c>
      <c r="H404" s="214">
        <f>VLOOKUP($B404,R_DG!$A$7:$G$1305,6,0)</f>
        <v>0</v>
      </c>
      <c r="I404" s="214">
        <f>VLOOKUP($B404,R_DG!$A$7:$G$1305,7,0)</f>
        <v>0</v>
      </c>
      <c r="J404" s="214">
        <f t="shared" ref="J404" si="89">G404*$F404</f>
        <v>13000</v>
      </c>
      <c r="K404" s="214">
        <f t="shared" ref="K404" si="90">H404*$F404</f>
        <v>0</v>
      </c>
      <c r="L404" s="220">
        <f t="shared" ref="L404" si="91">I404*$F404</f>
        <v>0</v>
      </c>
      <c r="M404" s="93">
        <f t="shared" ref="M404" si="92">IF(F404&gt;0,M$399,0)</f>
        <v>0</v>
      </c>
      <c r="N404" s="328">
        <f t="shared" ca="1" si="84"/>
        <v>0</v>
      </c>
    </row>
    <row r="405" spans="1:14" ht="20.100000000000001" customHeight="1">
      <c r="A405" s="87"/>
      <c r="B405" s="7" t="s">
        <v>2473</v>
      </c>
      <c r="C405" s="32">
        <f>VLOOKUP($B405,R_DG!$A$7:$G$1305,2,0)</f>
        <v>0</v>
      </c>
      <c r="D405" s="8" t="str">
        <f>VLOOKUP($B405,R_DG!$A$7:$G$1305,3,0)</f>
        <v>Boulon 14x150+ 2 long đền vuông D16-50x50x3/Zn</v>
      </c>
      <c r="E405" s="9" t="str">
        <f>VLOOKUP($B405,R_DG!$A$7:$G$1305,4,0)</f>
        <v>bộ</v>
      </c>
      <c r="F405" s="11">
        <v>2</v>
      </c>
      <c r="G405" s="214">
        <f>VLOOKUP($B405,R_DG!$A$7:$G$1305,5,0)</f>
        <v>12500</v>
      </c>
      <c r="H405" s="214">
        <f>VLOOKUP($B405,R_DG!$A$7:$G$1305,6,0)</f>
        <v>0</v>
      </c>
      <c r="I405" s="214">
        <f>VLOOKUP($B405,R_DG!$A$7:$G$1305,7,0)</f>
        <v>0</v>
      </c>
      <c r="J405" s="214">
        <f t="shared" si="82"/>
        <v>25000</v>
      </c>
      <c r="K405" s="214">
        <f t="shared" si="82"/>
        <v>0</v>
      </c>
      <c r="L405" s="220">
        <f t="shared" si="82"/>
        <v>0</v>
      </c>
      <c r="M405" s="93">
        <f t="shared" si="83"/>
        <v>0</v>
      </c>
      <c r="N405" s="328">
        <f t="shared" ca="1" si="84"/>
        <v>0</v>
      </c>
    </row>
    <row r="406" spans="1:14" ht="20.100000000000001" customHeight="1">
      <c r="A406" s="87"/>
      <c r="B406" s="7" t="s">
        <v>90</v>
      </c>
      <c r="C406" s="32">
        <f>VLOOKUP($B406,R_DG!$A$7:$G$1305,2,0)</f>
        <v>0</v>
      </c>
      <c r="D406" s="8" t="str">
        <f>VLOOKUP($B406,R_DG!$A$7:$G$1305,3,0)</f>
        <v>Boulon 16x400+ 2 long đền vuông D18-50x50x3/Zn</v>
      </c>
      <c r="E406" s="9" t="str">
        <f>VLOOKUP($B406,R_DG!$A$7:$G$1305,4,0)</f>
        <v>bộ</v>
      </c>
      <c r="F406" s="11">
        <v>1</v>
      </c>
      <c r="G406" s="214" t="e">
        <f>VLOOKUP($B406,R_DG!$A$7:$G$1305,5,0)</f>
        <v>#REF!</v>
      </c>
      <c r="H406" s="214">
        <f>VLOOKUP($B406,R_DG!$A$7:$G$1305,6,0)</f>
        <v>0</v>
      </c>
      <c r="I406" s="214">
        <f>VLOOKUP($B406,R_DG!$A$7:$G$1305,7,0)</f>
        <v>0</v>
      </c>
      <c r="J406" s="214" t="e">
        <f t="shared" ref="J406" si="93">G406*$F406</f>
        <v>#REF!</v>
      </c>
      <c r="K406" s="214">
        <f t="shared" ref="K406" si="94">H406*$F406</f>
        <v>0</v>
      </c>
      <c r="L406" s="220">
        <f t="shared" ref="L406" si="95">I406*$F406</f>
        <v>0</v>
      </c>
      <c r="M406" s="93">
        <f t="shared" ref="M406" si="96">IF(F406&gt;0,M$399,0)</f>
        <v>0</v>
      </c>
      <c r="N406" s="328">
        <f t="shared" ca="1" si="84"/>
        <v>0</v>
      </c>
    </row>
    <row r="407" spans="1:14" ht="20.100000000000001" customHeight="1">
      <c r="A407" s="87"/>
      <c r="B407" s="7" t="s">
        <v>110</v>
      </c>
      <c r="C407" s="32">
        <f>VLOOKUP($B407,R_DG!$A$7:$G$1305,2,0)</f>
        <v>0</v>
      </c>
      <c r="D407" s="8" t="str">
        <f>VLOOKUP($B407,R_DG!$A$7:$G$1305,3,0)</f>
        <v>Boulon 16x400VRS+ 4 long đền vuông D18-50x50x3/Zn</v>
      </c>
      <c r="E407" s="9" t="str">
        <f>VLOOKUP($B407,R_DG!$A$7:$G$1305,4,0)</f>
        <v>bộ</v>
      </c>
      <c r="F407" s="11">
        <v>2</v>
      </c>
      <c r="G407" s="214" t="e">
        <f>VLOOKUP($B407,R_DG!$A$7:$G$1305,5,0)</f>
        <v>#REF!</v>
      </c>
      <c r="H407" s="214">
        <f>VLOOKUP($B407,R_DG!$A$7:$G$1305,6,0)</f>
        <v>0</v>
      </c>
      <c r="I407" s="214">
        <f>VLOOKUP($B407,R_DG!$A$7:$G$1305,7,0)</f>
        <v>0</v>
      </c>
      <c r="J407" s="214" t="e">
        <f>G407*$F407</f>
        <v>#REF!</v>
      </c>
      <c r="K407" s="214">
        <f>H407*$F407</f>
        <v>0</v>
      </c>
      <c r="L407" s="220">
        <f>I407*$F407</f>
        <v>0</v>
      </c>
      <c r="M407" s="93">
        <f t="shared" si="83"/>
        <v>0</v>
      </c>
      <c r="N407" s="328">
        <f t="shared" ca="1" si="84"/>
        <v>0</v>
      </c>
    </row>
    <row r="408" spans="1:14" ht="20.100000000000001" customHeight="1">
      <c r="A408" s="87"/>
      <c r="B408" s="7" t="s">
        <v>84</v>
      </c>
      <c r="C408" s="32">
        <f>VLOOKUP($B408,R_DG!$A$7:$G$1305,2,0)</f>
        <v>0</v>
      </c>
      <c r="D408" s="8" t="str">
        <f>VLOOKUP($B408,R_DG!$A$7:$G$1305,3,0)</f>
        <v>Boulon 16x250+ 2 long đền vuông D18-50x50x3/Zn</v>
      </c>
      <c r="E408" s="9" t="str">
        <f>VLOOKUP($B408,R_DG!$A$7:$G$1305,4,0)</f>
        <v>bộ</v>
      </c>
      <c r="F408" s="11">
        <v>2</v>
      </c>
      <c r="G408" s="214" t="e">
        <f>VLOOKUP($B408,R_DG!$A$7:$G$1305,5,0)</f>
        <v>#REF!</v>
      </c>
      <c r="H408" s="214">
        <f>VLOOKUP($B408,R_DG!$A$7:$G$1305,6,0)</f>
        <v>0</v>
      </c>
      <c r="I408" s="214">
        <f>VLOOKUP($B408,R_DG!$A$7:$G$1305,7,0)</f>
        <v>0</v>
      </c>
      <c r="J408" s="214" t="e">
        <f t="shared" si="82"/>
        <v>#REF!</v>
      </c>
      <c r="K408" s="214">
        <f t="shared" si="82"/>
        <v>0</v>
      </c>
      <c r="L408" s="220">
        <f t="shared" si="82"/>
        <v>0</v>
      </c>
      <c r="M408" s="93">
        <f t="shared" si="83"/>
        <v>0</v>
      </c>
      <c r="N408" s="328">
        <f t="shared" ca="1" si="84"/>
        <v>0</v>
      </c>
    </row>
    <row r="409" spans="1:14" ht="20.100000000000001" customHeight="1">
      <c r="A409" s="89" t="s">
        <v>2565</v>
      </c>
      <c r="B409" s="24"/>
      <c r="C409" s="34"/>
      <c r="D409" s="25" t="s">
        <v>2567</v>
      </c>
      <c r="E409" s="25" t="s">
        <v>163</v>
      </c>
      <c r="F409" s="26"/>
      <c r="G409" s="213"/>
      <c r="H409" s="213"/>
      <c r="I409" s="213"/>
      <c r="J409" s="213" t="e">
        <f>SUM(J410:J417)</f>
        <v>#REF!</v>
      </c>
      <c r="K409" s="213">
        <f>SUM(K410:K417)</f>
        <v>187723.35</v>
      </c>
      <c r="L409" s="219">
        <f>SUM(L410:L417)</f>
        <v>0</v>
      </c>
      <c r="M409" s="92">
        <f>IF(ERROR.TYPE(IF(HLOOKUP(A409,maBK,1,0)&lt;&gt;"",#NULL!,"ABC"))&lt;&gt;7,1,0)</f>
        <v>0</v>
      </c>
      <c r="N409" s="327">
        <f ca="1">SUMIF(maBK,$A409,tongBK1)</f>
        <v>0</v>
      </c>
    </row>
    <row r="410" spans="1:14" ht="20.100000000000001" customHeight="1">
      <c r="A410" s="87"/>
      <c r="B410" s="7" t="s">
        <v>2489</v>
      </c>
      <c r="C410" s="32" t="str">
        <f>VLOOKUP($B410,R_DG!$A$7:$G$1305,2,0)</f>
        <v>D2.6011</v>
      </c>
      <c r="D410" s="8" t="str">
        <f>VLOOKUP($B410,R_DG!$A$7:$G$1305,3,0)</f>
        <v>Đà hộp composit L110x80x2400</v>
      </c>
      <c r="E410" s="9" t="str">
        <f>VLOOKUP($B410,R_DG!$A$7:$G$1305,4,0)</f>
        <v>cái</v>
      </c>
      <c r="F410" s="11">
        <v>1</v>
      </c>
      <c r="G410" s="214">
        <f>VLOOKUP($B410,R_DG!$A$7:$G$1305,5,0)</f>
        <v>1056000</v>
      </c>
      <c r="H410" s="214">
        <f>VLOOKUP($B410,R_DG!$A$7:$G$1305,6,0)</f>
        <v>187723.35</v>
      </c>
      <c r="I410" s="214">
        <f>VLOOKUP($B410,R_DG!$A$7:$G$1305,7,0)</f>
        <v>0</v>
      </c>
      <c r="J410" s="214">
        <f t="shared" ref="J410:L417" si="97">G410*$F410</f>
        <v>1056000</v>
      </c>
      <c r="K410" s="214">
        <f t="shared" si="97"/>
        <v>187723.35</v>
      </c>
      <c r="L410" s="220">
        <f t="shared" si="97"/>
        <v>0</v>
      </c>
      <c r="M410" s="93">
        <f>IF(F410&gt;0,M$409,0)</f>
        <v>0</v>
      </c>
      <c r="N410" s="328">
        <f t="shared" ref="N410:N417" ca="1" si="98">$F410*N$409</f>
        <v>0</v>
      </c>
    </row>
    <row r="411" spans="1:14" ht="20.100000000000001" customHeight="1">
      <c r="A411" s="87"/>
      <c r="B411" s="7" t="s">
        <v>2490</v>
      </c>
      <c r="C411" s="32">
        <f>VLOOKUP($B411,R_DG!$A$7:$G$1305,2,0)</f>
        <v>0</v>
      </c>
      <c r="D411" s="8" t="str">
        <f>VLOOKUP($B411,R_DG!$A$7:$G$1305,3,0)</f>
        <v>Thanh chống L10x40x920</v>
      </c>
      <c r="E411" s="9" t="str">
        <f>VLOOKUP($B411,R_DG!$A$7:$G$1305,4,0)</f>
        <v>cái</v>
      </c>
      <c r="F411" s="11">
        <v>2</v>
      </c>
      <c r="G411" s="214">
        <f>VLOOKUP($B411,R_DG!$A$7:$G$1305,5,0)</f>
        <v>110000</v>
      </c>
      <c r="H411" s="214">
        <f>VLOOKUP($B411,R_DG!$A$7:$G$1305,6,0)</f>
        <v>0</v>
      </c>
      <c r="I411" s="214">
        <f>VLOOKUP($B411,R_DG!$A$7:$G$1305,7,0)</f>
        <v>0</v>
      </c>
      <c r="J411" s="214">
        <f t="shared" si="97"/>
        <v>220000</v>
      </c>
      <c r="K411" s="214">
        <f t="shared" si="97"/>
        <v>0</v>
      </c>
      <c r="L411" s="220">
        <f t="shared" si="97"/>
        <v>0</v>
      </c>
      <c r="M411" s="93">
        <f t="shared" ref="M411:M417" si="99">IF(F411&gt;0,M$409,0)</f>
        <v>0</v>
      </c>
      <c r="N411" s="328">
        <f t="shared" ca="1" si="98"/>
        <v>0</v>
      </c>
    </row>
    <row r="412" spans="1:14" ht="20.100000000000001" customHeight="1">
      <c r="A412" s="87"/>
      <c r="B412" s="7" t="s">
        <v>166</v>
      </c>
      <c r="C412" s="32">
        <f>VLOOKUP($B412,R_DG!$A$7:$G$1305,2,0)</f>
        <v>0</v>
      </c>
      <c r="D412" s="8" t="str">
        <f>VLOOKUP($B412,R_DG!$A$7:$G$1305,3,0)</f>
        <v>Bass LL bắt FCO và LA</v>
      </c>
      <c r="E412" s="9" t="str">
        <f>VLOOKUP($B412,R_DG!$A$7:$G$1305,4,0)</f>
        <v>bộ</v>
      </c>
      <c r="F412" s="11">
        <v>3</v>
      </c>
      <c r="G412" s="214">
        <f>VLOOKUP($B412,R_DG!$A$7:$G$1305,5,0)</f>
        <v>59000</v>
      </c>
      <c r="H412" s="214">
        <f>VLOOKUP($B412,R_DG!$A$7:$G$1305,6,0)</f>
        <v>0</v>
      </c>
      <c r="I412" s="214">
        <f>VLOOKUP($B412,R_DG!$A$7:$G$1305,7,0)</f>
        <v>0</v>
      </c>
      <c r="J412" s="214">
        <f t="shared" si="97"/>
        <v>177000</v>
      </c>
      <c r="K412" s="214">
        <f t="shared" si="97"/>
        <v>0</v>
      </c>
      <c r="L412" s="220">
        <f t="shared" si="97"/>
        <v>0</v>
      </c>
      <c r="M412" s="93">
        <f t="shared" si="99"/>
        <v>0</v>
      </c>
      <c r="N412" s="328">
        <f t="shared" ca="1" si="98"/>
        <v>0</v>
      </c>
    </row>
    <row r="413" spans="1:14" ht="20.100000000000001" customHeight="1">
      <c r="A413" s="87"/>
      <c r="B413" s="7" t="s">
        <v>4532</v>
      </c>
      <c r="C413" s="32">
        <f>VLOOKUP($B413,R_DG!$A$7:$G$1305,2,0)</f>
        <v>0</v>
      </c>
      <c r="D413" s="8" t="str">
        <f>VLOOKUP($B413,R_DG!$A$7:$G$1305,3,0)</f>
        <v>Cáp 24KV C/XLPE/PVC 25mm2</v>
      </c>
      <c r="E413" s="9" t="str">
        <f>VLOOKUP($B413,R_DG!$A$7:$G$1305,4,0)</f>
        <v>mét</v>
      </c>
      <c r="F413" s="11">
        <v>3</v>
      </c>
      <c r="G413" s="214">
        <f>VLOOKUP($B413,R_DG!$A$7:$G$1305,5,0)</f>
        <v>57600</v>
      </c>
      <c r="H413" s="214">
        <f>VLOOKUP($B413,R_DG!$A$7:$G$1305,6,0)</f>
        <v>0</v>
      </c>
      <c r="I413" s="214">
        <f>VLOOKUP($B413,R_DG!$A$7:$G$1305,7,0)</f>
        <v>0</v>
      </c>
      <c r="J413" s="214">
        <f t="shared" si="97"/>
        <v>172800</v>
      </c>
      <c r="K413" s="214">
        <f t="shared" si="97"/>
        <v>0</v>
      </c>
      <c r="L413" s="220">
        <f t="shared" si="97"/>
        <v>0</v>
      </c>
      <c r="M413" s="93">
        <f t="shared" si="99"/>
        <v>0</v>
      </c>
      <c r="N413" s="328">
        <f ca="1">$F413*N$409</f>
        <v>0</v>
      </c>
    </row>
    <row r="414" spans="1:14" ht="20.100000000000001" customHeight="1">
      <c r="A414" s="87"/>
      <c r="B414" s="7" t="s">
        <v>4535</v>
      </c>
      <c r="C414" s="32">
        <f>VLOOKUP($B414,R_DG!$A$7:$G$1305,2,0)</f>
        <v>0</v>
      </c>
      <c r="D414" s="8" t="str">
        <f>VLOOKUP($B414,R_DG!$A$7:$G$1305,3,0)</f>
        <v>Đầu cosse ép Cu-Al 50mm2</v>
      </c>
      <c r="E414" s="9" t="str">
        <f>VLOOKUP($B414,R_DG!$A$7:$G$1305,4,0)</f>
        <v>cái</v>
      </c>
      <c r="F414" s="11">
        <v>3</v>
      </c>
      <c r="G414" s="214">
        <f>VLOOKUP($B414,R_DG!$A$7:$G$1305,5,0)</f>
        <v>13000</v>
      </c>
      <c r="H414" s="214">
        <f>VLOOKUP($B414,R_DG!$A$7:$G$1305,6,0)</f>
        <v>0</v>
      </c>
      <c r="I414" s="214">
        <f>VLOOKUP($B414,R_DG!$A$7:$G$1305,7,0)</f>
        <v>0</v>
      </c>
      <c r="J414" s="214">
        <f t="shared" ref="J414" si="100">G414*$F414</f>
        <v>39000</v>
      </c>
      <c r="K414" s="214">
        <f t="shared" ref="K414" si="101">H414*$F414</f>
        <v>0</v>
      </c>
      <c r="L414" s="220">
        <f t="shared" ref="L414" si="102">I414*$F414</f>
        <v>0</v>
      </c>
      <c r="M414" s="93">
        <f t="shared" ref="M414" si="103">IF(F414&gt;0,M$409,0)</f>
        <v>0</v>
      </c>
      <c r="N414" s="328">
        <f ca="1">$F414*N$409</f>
        <v>0</v>
      </c>
    </row>
    <row r="415" spans="1:14" ht="20.100000000000001" customHeight="1">
      <c r="A415" s="87"/>
      <c r="B415" s="7" t="s">
        <v>2473</v>
      </c>
      <c r="C415" s="32">
        <f>VLOOKUP($B415,R_DG!$A$7:$G$1305,2,0)</f>
        <v>0</v>
      </c>
      <c r="D415" s="8" t="str">
        <f>VLOOKUP($B415,R_DG!$A$7:$G$1305,3,0)</f>
        <v>Boulon 14x150+ 2 long đền vuông D16-50x50x3/Zn</v>
      </c>
      <c r="E415" s="9" t="str">
        <f>VLOOKUP($B415,R_DG!$A$7:$G$1305,4,0)</f>
        <v>bộ</v>
      </c>
      <c r="F415" s="11">
        <v>2</v>
      </c>
      <c r="G415" s="214">
        <f>VLOOKUP($B415,R_DG!$A$7:$G$1305,5,0)</f>
        <v>12500</v>
      </c>
      <c r="H415" s="214">
        <f>VLOOKUP($B415,R_DG!$A$7:$G$1305,6,0)</f>
        <v>0</v>
      </c>
      <c r="I415" s="214">
        <f>VLOOKUP($B415,R_DG!$A$7:$G$1305,7,0)</f>
        <v>0</v>
      </c>
      <c r="J415" s="214">
        <f t="shared" si="97"/>
        <v>25000</v>
      </c>
      <c r="K415" s="214">
        <f t="shared" si="97"/>
        <v>0</v>
      </c>
      <c r="L415" s="220">
        <f t="shared" si="97"/>
        <v>0</v>
      </c>
      <c r="M415" s="93">
        <f t="shared" si="99"/>
        <v>0</v>
      </c>
      <c r="N415" s="328">
        <f t="shared" ca="1" si="98"/>
        <v>0</v>
      </c>
    </row>
    <row r="416" spans="1:14" ht="20.100000000000001" customHeight="1">
      <c r="A416" s="87"/>
      <c r="B416" s="7" t="s">
        <v>88</v>
      </c>
      <c r="C416" s="32">
        <f>VLOOKUP($B416,R_DG!$A$7:$G$1305,2,0)</f>
        <v>0</v>
      </c>
      <c r="D416" s="8" t="str">
        <f>VLOOKUP($B416,R_DG!$A$7:$G$1305,3,0)</f>
        <v>Boulon 16x350+ 2 long đền vuông D18-50x50x3/Zn</v>
      </c>
      <c r="E416" s="9" t="str">
        <f>VLOOKUP($B416,R_DG!$A$7:$G$1305,4,0)</f>
        <v>bộ</v>
      </c>
      <c r="F416" s="11">
        <v>1</v>
      </c>
      <c r="G416" s="214" t="e">
        <f>VLOOKUP($B416,R_DG!$A$7:$G$1305,5,0)</f>
        <v>#REF!</v>
      </c>
      <c r="H416" s="214">
        <f>VLOOKUP($B416,R_DG!$A$7:$G$1305,6,0)</f>
        <v>0</v>
      </c>
      <c r="I416" s="214">
        <f>VLOOKUP($B416,R_DG!$A$7:$G$1305,7,0)</f>
        <v>0</v>
      </c>
      <c r="J416" s="214" t="e">
        <f t="shared" ref="J416" si="104">G416*$F416</f>
        <v>#REF!</v>
      </c>
      <c r="K416" s="214">
        <f t="shared" ref="K416" si="105">H416*$F416</f>
        <v>0</v>
      </c>
      <c r="L416" s="220">
        <f t="shared" ref="L416" si="106">I416*$F416</f>
        <v>0</v>
      </c>
      <c r="M416" s="93">
        <f t="shared" si="99"/>
        <v>0</v>
      </c>
      <c r="N416" s="328">
        <f t="shared" ca="1" si="98"/>
        <v>0</v>
      </c>
    </row>
    <row r="417" spans="1:14" ht="20.100000000000001" customHeight="1">
      <c r="A417" s="87"/>
      <c r="B417" s="7" t="s">
        <v>84</v>
      </c>
      <c r="C417" s="32">
        <f>VLOOKUP($B417,R_DG!$A$7:$G$1305,2,0)</f>
        <v>0</v>
      </c>
      <c r="D417" s="8" t="str">
        <f>VLOOKUP($B417,R_DG!$A$7:$G$1305,3,0)</f>
        <v>Boulon 16x250+ 2 long đền vuông D18-50x50x3/Zn</v>
      </c>
      <c r="E417" s="9" t="str">
        <f>VLOOKUP($B417,R_DG!$A$7:$G$1305,4,0)</f>
        <v>bộ</v>
      </c>
      <c r="F417" s="11">
        <v>1</v>
      </c>
      <c r="G417" s="214" t="e">
        <f>VLOOKUP($B417,R_DG!$A$7:$G$1305,5,0)</f>
        <v>#REF!</v>
      </c>
      <c r="H417" s="214">
        <f>VLOOKUP($B417,R_DG!$A$7:$G$1305,6,0)</f>
        <v>0</v>
      </c>
      <c r="I417" s="214">
        <f>VLOOKUP($B417,R_DG!$A$7:$G$1305,7,0)</f>
        <v>0</v>
      </c>
      <c r="J417" s="214" t="e">
        <f t="shared" si="97"/>
        <v>#REF!</v>
      </c>
      <c r="K417" s="214">
        <f t="shared" si="97"/>
        <v>0</v>
      </c>
      <c r="L417" s="220">
        <f t="shared" si="97"/>
        <v>0</v>
      </c>
      <c r="M417" s="93">
        <f t="shared" si="99"/>
        <v>0</v>
      </c>
      <c r="N417" s="328">
        <f t="shared" ca="1" si="98"/>
        <v>0</v>
      </c>
    </row>
    <row r="418" spans="1:14" ht="20.100000000000001" customHeight="1">
      <c r="A418" s="89" t="s">
        <v>3769</v>
      </c>
      <c r="B418" s="24"/>
      <c r="C418" s="34"/>
      <c r="D418" s="25" t="s">
        <v>3770</v>
      </c>
      <c r="E418" s="25" t="s">
        <v>163</v>
      </c>
      <c r="F418" s="26"/>
      <c r="G418" s="213"/>
      <c r="H418" s="213"/>
      <c r="I418" s="213"/>
      <c r="J418" s="213" t="e">
        <f>SUM(J419:J425)</f>
        <v>#REF!</v>
      </c>
      <c r="K418" s="213">
        <f>SUM(K419:K425)</f>
        <v>375446.7</v>
      </c>
      <c r="L418" s="219">
        <f>SUM(L419:L425)</f>
        <v>0</v>
      </c>
      <c r="M418" s="92">
        <f>IF(ERROR.TYPE(IF(HLOOKUP(A418,maBK,1,0)&lt;&gt;"",#NULL!,"ABC"))&lt;&gt;7,1,0)</f>
        <v>0</v>
      </c>
      <c r="N418" s="327">
        <f ca="1">SUMIF(maBK,$A418,tongBK1)</f>
        <v>0</v>
      </c>
    </row>
    <row r="419" spans="1:14" ht="20.100000000000001" customHeight="1">
      <c r="A419" s="87"/>
      <c r="B419" s="7" t="s">
        <v>2489</v>
      </c>
      <c r="C419" s="32" t="str">
        <f>VLOOKUP($B419,R_DG!$A$7:$G$1305,2,0)</f>
        <v>D2.6011</v>
      </c>
      <c r="D419" s="8" t="str">
        <f>VLOOKUP($B419,R_DG!$A$7:$G$1305,3,0)</f>
        <v>Đà hộp composit L110x80x2400</v>
      </c>
      <c r="E419" s="9" t="str">
        <f>VLOOKUP($B419,R_DG!$A$7:$G$1305,4,0)</f>
        <v>cái</v>
      </c>
      <c r="F419" s="11">
        <v>2</v>
      </c>
      <c r="G419" s="214">
        <f>VLOOKUP($B419,R_DG!$A$7:$G$1305,5,0)</f>
        <v>1056000</v>
      </c>
      <c r="H419" s="214">
        <f>VLOOKUP($B419,R_DG!$A$7:$G$1305,6,0)</f>
        <v>187723.35</v>
      </c>
      <c r="I419" s="214">
        <f>VLOOKUP($B419,R_DG!$A$7:$G$1305,7,0)</f>
        <v>0</v>
      </c>
      <c r="J419" s="214">
        <f t="shared" ref="J419:J425" si="107">G419*$F419</f>
        <v>2112000</v>
      </c>
      <c r="K419" s="214">
        <f t="shared" ref="K419:K425" si="108">H419*$F419</f>
        <v>375446.7</v>
      </c>
      <c r="L419" s="220">
        <f t="shared" ref="L419:L425" si="109">I419*$F419</f>
        <v>0</v>
      </c>
      <c r="M419" s="93">
        <f>IF(F419&gt;0,M$418,0)</f>
        <v>0</v>
      </c>
      <c r="N419" s="328">
        <f ca="1">$F419*N$418</f>
        <v>0</v>
      </c>
    </row>
    <row r="420" spans="1:14" ht="20.100000000000001" customHeight="1">
      <c r="A420" s="87"/>
      <c r="B420" s="7" t="s">
        <v>2490</v>
      </c>
      <c r="C420" s="32">
        <f>VLOOKUP($B420,R_DG!$A$7:$G$1305,2,0)</f>
        <v>0</v>
      </c>
      <c r="D420" s="8" t="str">
        <f>VLOOKUP($B420,R_DG!$A$7:$G$1305,3,0)</f>
        <v>Thanh chống L10x40x920</v>
      </c>
      <c r="E420" s="9" t="str">
        <f>VLOOKUP($B420,R_DG!$A$7:$G$1305,4,0)</f>
        <v>cái</v>
      </c>
      <c r="F420" s="11">
        <v>4</v>
      </c>
      <c r="G420" s="214">
        <f>VLOOKUP($B420,R_DG!$A$7:$G$1305,5,0)</f>
        <v>110000</v>
      </c>
      <c r="H420" s="214">
        <f>VLOOKUP($B420,R_DG!$A$7:$G$1305,6,0)</f>
        <v>0</v>
      </c>
      <c r="I420" s="214">
        <f>VLOOKUP($B420,R_DG!$A$7:$G$1305,7,0)</f>
        <v>0</v>
      </c>
      <c r="J420" s="214">
        <f t="shared" si="107"/>
        <v>440000</v>
      </c>
      <c r="K420" s="214">
        <f t="shared" si="108"/>
        <v>0</v>
      </c>
      <c r="L420" s="220">
        <f t="shared" si="109"/>
        <v>0</v>
      </c>
      <c r="M420" s="93">
        <f t="shared" ref="M420:M427" si="110">IF(F420&gt;0,M$418,0)</f>
        <v>0</v>
      </c>
      <c r="N420" s="328">
        <f t="shared" ref="N420:N427" ca="1" si="111">$F420*N$418</f>
        <v>0</v>
      </c>
    </row>
    <row r="421" spans="1:14" ht="20.100000000000001" customHeight="1">
      <c r="A421" s="87"/>
      <c r="B421" s="7" t="s">
        <v>161</v>
      </c>
      <c r="C421" s="32">
        <f>VLOOKUP($B421,R_DG!$A$7:$G$1305,2,0)</f>
        <v>0</v>
      </c>
      <c r="D421" s="8" t="str">
        <f>VLOOKUP($B421,R_DG!$A$7:$G$1305,3,0)</f>
        <v>Bass LI bắt FCO</v>
      </c>
      <c r="E421" s="9" t="str">
        <f>VLOOKUP($B421,R_DG!$A$7:$G$1305,4,0)</f>
        <v>Bộ</v>
      </c>
      <c r="F421" s="11">
        <v>6</v>
      </c>
      <c r="G421" s="214">
        <f>VLOOKUP($B421,R_DG!$A$7:$G$1305,5,0)</f>
        <v>42000</v>
      </c>
      <c r="H421" s="214">
        <f>VLOOKUP($B421,R_DG!$A$7:$G$1305,6,0)</f>
        <v>0</v>
      </c>
      <c r="I421" s="214">
        <f>VLOOKUP($B421,R_DG!$A$7:$G$1305,7,0)</f>
        <v>0</v>
      </c>
      <c r="J421" s="214">
        <f t="shared" si="107"/>
        <v>252000</v>
      </c>
      <c r="K421" s="214">
        <f t="shared" si="108"/>
        <v>0</v>
      </c>
      <c r="L421" s="220">
        <f t="shared" si="109"/>
        <v>0</v>
      </c>
      <c r="M421" s="93">
        <f t="shared" si="110"/>
        <v>0</v>
      </c>
      <c r="N421" s="328">
        <f t="shared" ca="1" si="111"/>
        <v>0</v>
      </c>
    </row>
    <row r="422" spans="1:14" ht="20.100000000000001" customHeight="1">
      <c r="A422" s="87"/>
      <c r="B422" s="7" t="s">
        <v>4532</v>
      </c>
      <c r="C422" s="32">
        <f>VLOOKUP($B422,R_DG!$A$7:$G$1305,2,0)</f>
        <v>0</v>
      </c>
      <c r="D422" s="8" t="str">
        <f>VLOOKUP($B422,R_DG!$A$7:$G$1305,3,0)</f>
        <v>Cáp 24KV C/XLPE/PVC 25mm2</v>
      </c>
      <c r="E422" s="9" t="str">
        <f>VLOOKUP($B422,R_DG!$A$7:$G$1305,4,0)</f>
        <v>mét</v>
      </c>
      <c r="F422" s="11">
        <v>4.5</v>
      </c>
      <c r="G422" s="214">
        <f>VLOOKUP($B422,R_DG!$A$7:$G$1305,5,0)</f>
        <v>57600</v>
      </c>
      <c r="H422" s="214">
        <f>VLOOKUP($B422,R_DG!$A$7:$G$1305,6,0)</f>
        <v>0</v>
      </c>
      <c r="I422" s="214">
        <f>VLOOKUP($B422,R_DG!$A$7:$G$1305,7,0)</f>
        <v>0</v>
      </c>
      <c r="J422" s="214">
        <f t="shared" ref="J422" si="112">G422*$F422</f>
        <v>259200</v>
      </c>
      <c r="K422" s="214">
        <f t="shared" ref="K422" si="113">H422*$F422</f>
        <v>0</v>
      </c>
      <c r="L422" s="220">
        <f t="shared" ref="L422" si="114">I422*$F422</f>
        <v>0</v>
      </c>
      <c r="M422" s="93">
        <f t="shared" ref="M422" si="115">IF(F422&gt;0,M$418,0)</f>
        <v>0</v>
      </c>
      <c r="N422" s="328">
        <f t="shared" ca="1" si="111"/>
        <v>0</v>
      </c>
    </row>
    <row r="423" spans="1:14" ht="20.100000000000001" customHeight="1">
      <c r="A423" s="87"/>
      <c r="B423" s="7" t="s">
        <v>4535</v>
      </c>
      <c r="C423" s="32">
        <f>VLOOKUP($B423,R_DG!$A$7:$G$1305,2,0)</f>
        <v>0</v>
      </c>
      <c r="D423" s="8" t="str">
        <f>VLOOKUP($B423,R_DG!$A$7:$G$1305,3,0)</f>
        <v>Đầu cosse ép Cu-Al 50mm2</v>
      </c>
      <c r="E423" s="9" t="str">
        <f>VLOOKUP($B423,R_DG!$A$7:$G$1305,4,0)</f>
        <v>cái</v>
      </c>
      <c r="F423" s="11">
        <v>3</v>
      </c>
      <c r="G423" s="214">
        <f>VLOOKUP($B423,R_DG!$A$7:$G$1305,5,0)</f>
        <v>13000</v>
      </c>
      <c r="H423" s="214">
        <f>VLOOKUP($B423,R_DG!$A$7:$G$1305,6,0)</f>
        <v>0</v>
      </c>
      <c r="I423" s="214">
        <f>VLOOKUP($B423,R_DG!$A$7:$G$1305,7,0)</f>
        <v>0</v>
      </c>
      <c r="J423" s="214">
        <f t="shared" ref="J423" si="116">G423*$F423</f>
        <v>39000</v>
      </c>
      <c r="K423" s="214">
        <f t="shared" ref="K423" si="117">H423*$F423</f>
        <v>0</v>
      </c>
      <c r="L423" s="220">
        <f t="shared" ref="L423" si="118">I423*$F423</f>
        <v>0</v>
      </c>
      <c r="M423" s="93">
        <f t="shared" ref="M423" si="119">IF(F423&gt;0,M$418,0)</f>
        <v>0</v>
      </c>
      <c r="N423" s="328">
        <f t="shared" ca="1" si="111"/>
        <v>0</v>
      </c>
    </row>
    <row r="424" spans="1:14" ht="20.100000000000001" customHeight="1">
      <c r="A424" s="87"/>
      <c r="B424" s="7" t="s">
        <v>2473</v>
      </c>
      <c r="C424" s="32">
        <f>VLOOKUP($B424,R_DG!$A$7:$G$1305,2,0)</f>
        <v>0</v>
      </c>
      <c r="D424" s="8" t="str">
        <f>VLOOKUP($B424,R_DG!$A$7:$G$1305,3,0)</f>
        <v>Boulon 14x150+ 2 long đền vuông D16-50x50x3/Zn</v>
      </c>
      <c r="E424" s="9" t="str">
        <f>VLOOKUP($B424,R_DG!$A$7:$G$1305,4,0)</f>
        <v>bộ</v>
      </c>
      <c r="F424" s="11">
        <v>4</v>
      </c>
      <c r="G424" s="214">
        <f>VLOOKUP($B424,R_DG!$A$7:$G$1305,5,0)</f>
        <v>12500</v>
      </c>
      <c r="H424" s="214">
        <f>VLOOKUP($B424,R_DG!$A$7:$G$1305,6,0)</f>
        <v>0</v>
      </c>
      <c r="I424" s="214">
        <f>VLOOKUP($B424,R_DG!$A$7:$G$1305,7,0)</f>
        <v>0</v>
      </c>
      <c r="J424" s="214">
        <f t="shared" si="107"/>
        <v>50000</v>
      </c>
      <c r="K424" s="214">
        <f t="shared" si="108"/>
        <v>0</v>
      </c>
      <c r="L424" s="220">
        <f t="shared" si="109"/>
        <v>0</v>
      </c>
      <c r="M424" s="93">
        <f t="shared" si="110"/>
        <v>0</v>
      </c>
      <c r="N424" s="328">
        <f t="shared" ca="1" si="111"/>
        <v>0</v>
      </c>
    </row>
    <row r="425" spans="1:14" ht="20.100000000000001" customHeight="1">
      <c r="A425" s="87"/>
      <c r="B425" s="7" t="s">
        <v>84</v>
      </c>
      <c r="C425" s="32">
        <f>VLOOKUP($B425,R_DG!$A$7:$G$1305,2,0)</f>
        <v>0</v>
      </c>
      <c r="D425" s="8" t="str">
        <f>VLOOKUP($B425,R_DG!$A$7:$G$1305,3,0)</f>
        <v>Boulon 16x250+ 2 long đền vuông D18-50x50x3/Zn</v>
      </c>
      <c r="E425" s="9" t="str">
        <f>VLOOKUP($B425,R_DG!$A$7:$G$1305,4,0)</f>
        <v>bộ</v>
      </c>
      <c r="F425" s="11">
        <v>1</v>
      </c>
      <c r="G425" s="214" t="e">
        <f>VLOOKUP($B425,R_DG!$A$7:$G$1305,5,0)</f>
        <v>#REF!</v>
      </c>
      <c r="H425" s="214">
        <f>VLOOKUP($B425,R_DG!$A$7:$G$1305,6,0)</f>
        <v>0</v>
      </c>
      <c r="I425" s="214">
        <f>VLOOKUP($B425,R_DG!$A$7:$G$1305,7,0)</f>
        <v>0</v>
      </c>
      <c r="J425" s="214" t="e">
        <f t="shared" si="107"/>
        <v>#REF!</v>
      </c>
      <c r="K425" s="214">
        <f t="shared" si="108"/>
        <v>0</v>
      </c>
      <c r="L425" s="220">
        <f t="shared" si="109"/>
        <v>0</v>
      </c>
      <c r="M425" s="93">
        <f t="shared" si="110"/>
        <v>0</v>
      </c>
      <c r="N425" s="328">
        <f t="shared" ca="1" si="111"/>
        <v>0</v>
      </c>
    </row>
    <row r="426" spans="1:14" ht="20.100000000000001" customHeight="1">
      <c r="A426" s="87"/>
      <c r="B426" s="7" t="s">
        <v>110</v>
      </c>
      <c r="C426" s="32">
        <f>VLOOKUP($B426,R_DG!$A$7:$G$1305,2,0)</f>
        <v>0</v>
      </c>
      <c r="D426" s="8" t="str">
        <f>VLOOKUP($B426,R_DG!$A$7:$G$1305,3,0)</f>
        <v>Boulon 16x400VRS+ 4 long đền vuông D18-50x50x3/Zn</v>
      </c>
      <c r="E426" s="9" t="str">
        <f>VLOOKUP($B426,R_DG!$A$7:$G$1305,4,0)</f>
        <v>bộ</v>
      </c>
      <c r="F426" s="11">
        <v>4</v>
      </c>
      <c r="G426" s="214" t="e">
        <f>VLOOKUP($B426,R_DG!$A$7:$G$1305,5,0)</f>
        <v>#REF!</v>
      </c>
      <c r="H426" s="214">
        <f>VLOOKUP($B426,R_DG!$A$7:$G$1305,6,0)</f>
        <v>0</v>
      </c>
      <c r="I426" s="214">
        <f>VLOOKUP($B426,R_DG!$A$7:$G$1305,7,0)</f>
        <v>0</v>
      </c>
      <c r="J426" s="214" t="e">
        <f t="shared" ref="J426" si="120">G426*$F426</f>
        <v>#REF!</v>
      </c>
      <c r="K426" s="214">
        <f t="shared" ref="K426" si="121">H426*$F426</f>
        <v>0</v>
      </c>
      <c r="L426" s="220">
        <f t="shared" ref="L426" si="122">I426*$F426</f>
        <v>0</v>
      </c>
      <c r="M426" s="93">
        <f t="shared" si="110"/>
        <v>0</v>
      </c>
      <c r="N426" s="328">
        <f t="shared" ca="1" si="111"/>
        <v>0</v>
      </c>
    </row>
    <row r="427" spans="1:14" ht="20.100000000000001" customHeight="1">
      <c r="A427" s="87"/>
      <c r="B427" s="7" t="s">
        <v>90</v>
      </c>
      <c r="C427" s="32">
        <f>VLOOKUP($B427,R_DG!$A$7:$G$1305,2,0)</f>
        <v>0</v>
      </c>
      <c r="D427" s="8" t="str">
        <f>VLOOKUP($B427,R_DG!$A$7:$G$1305,3,0)</f>
        <v>Boulon 16x400+ 2 long đền vuông D18-50x50x3/Zn</v>
      </c>
      <c r="E427" s="9" t="str">
        <f>VLOOKUP($B427,R_DG!$A$7:$G$1305,4,0)</f>
        <v>bộ</v>
      </c>
      <c r="F427" s="11">
        <v>1</v>
      </c>
      <c r="G427" s="214" t="e">
        <f>VLOOKUP($B427,R_DG!$A$7:$G$1305,5,0)</f>
        <v>#REF!</v>
      </c>
      <c r="H427" s="214">
        <f>VLOOKUP($B427,R_DG!$A$7:$G$1305,6,0)</f>
        <v>0</v>
      </c>
      <c r="I427" s="214">
        <f>VLOOKUP($B427,R_DG!$A$7:$G$1305,7,0)</f>
        <v>0</v>
      </c>
      <c r="J427" s="214" t="e">
        <f t="shared" ref="J427" si="123">G427*$F427</f>
        <v>#REF!</v>
      </c>
      <c r="K427" s="214">
        <f t="shared" ref="K427" si="124">H427*$F427</f>
        <v>0</v>
      </c>
      <c r="L427" s="220">
        <f t="shared" ref="L427" si="125">I427*$F427</f>
        <v>0</v>
      </c>
      <c r="M427" s="93">
        <f t="shared" si="110"/>
        <v>0</v>
      </c>
      <c r="N427" s="328">
        <f t="shared" ca="1" si="111"/>
        <v>0</v>
      </c>
    </row>
    <row r="428" spans="1:14" ht="20.100000000000001" customHeight="1">
      <c r="A428" s="89" t="s">
        <v>2991</v>
      </c>
      <c r="B428" s="24"/>
      <c r="C428" s="34"/>
      <c r="D428" s="25" t="s">
        <v>2992</v>
      </c>
      <c r="E428" s="25" t="s">
        <v>163</v>
      </c>
      <c r="F428" s="26"/>
      <c r="G428" s="213"/>
      <c r="H428" s="213"/>
      <c r="I428" s="213"/>
      <c r="J428" s="213" t="e">
        <f>SUM(J429:J435)</f>
        <v>#REF!</v>
      </c>
      <c r="K428" s="213">
        <f>SUM(K429:K435)</f>
        <v>187723.35</v>
      </c>
      <c r="L428" s="219">
        <f>SUM(L429:L435)</f>
        <v>0</v>
      </c>
      <c r="M428" s="92">
        <f>IF(ERROR.TYPE(IF(HLOOKUP(A428,maBK,1,0)&lt;&gt;"",#NULL!,"ABC"))&lt;&gt;7,1,0)</f>
        <v>0</v>
      </c>
      <c r="N428" s="327">
        <f ca="1">SUMIF(maBK,$A428,tongBK1)</f>
        <v>0</v>
      </c>
    </row>
    <row r="429" spans="1:14" ht="20.100000000000001" customHeight="1">
      <c r="A429" s="87"/>
      <c r="B429" s="7" t="s">
        <v>2489</v>
      </c>
      <c r="C429" s="32" t="str">
        <f>VLOOKUP($B429,R_DG!$A$7:$G$1305,2,0)</f>
        <v>D2.6011</v>
      </c>
      <c r="D429" s="8" t="str">
        <f>VLOOKUP($B429,R_DG!$A$7:$G$1305,3,0)</f>
        <v>Đà hộp composit L110x80x2400</v>
      </c>
      <c r="E429" s="9" t="str">
        <f>VLOOKUP($B429,R_DG!$A$7:$G$1305,4,0)</f>
        <v>cái</v>
      </c>
      <c r="F429" s="11">
        <v>1</v>
      </c>
      <c r="G429" s="214">
        <f>VLOOKUP($B429,R_DG!$A$7:$G$1305,5,0)</f>
        <v>1056000</v>
      </c>
      <c r="H429" s="214">
        <f>VLOOKUP($B429,R_DG!$A$7:$G$1305,6,0)</f>
        <v>187723.35</v>
      </c>
      <c r="I429" s="214">
        <f>VLOOKUP($B429,R_DG!$A$7:$G$1305,7,0)</f>
        <v>0</v>
      </c>
      <c r="J429" s="214">
        <f t="shared" ref="J429:L435" si="126">G429*$F429</f>
        <v>1056000</v>
      </c>
      <c r="K429" s="214">
        <f t="shared" si="126"/>
        <v>187723.35</v>
      </c>
      <c r="L429" s="220">
        <f t="shared" si="126"/>
        <v>0</v>
      </c>
      <c r="M429" s="93">
        <f>IF(F429&gt;0,M$428,0)</f>
        <v>0</v>
      </c>
      <c r="N429" s="328">
        <f ca="1">$F429*N$428</f>
        <v>0</v>
      </c>
    </row>
    <row r="430" spans="1:14" ht="20.100000000000001" customHeight="1">
      <c r="A430" s="87"/>
      <c r="B430" s="7" t="s">
        <v>2490</v>
      </c>
      <c r="C430" s="32">
        <f>VLOOKUP($B430,R_DG!$A$7:$G$1305,2,0)</f>
        <v>0</v>
      </c>
      <c r="D430" s="8" t="str">
        <f>VLOOKUP($B430,R_DG!$A$7:$G$1305,3,0)</f>
        <v>Thanh chống L10x40x920</v>
      </c>
      <c r="E430" s="9" t="str">
        <f>VLOOKUP($B430,R_DG!$A$7:$G$1305,4,0)</f>
        <v>cái</v>
      </c>
      <c r="F430" s="11">
        <v>2</v>
      </c>
      <c r="G430" s="214">
        <f>VLOOKUP($B430,R_DG!$A$7:$G$1305,5,0)</f>
        <v>110000</v>
      </c>
      <c r="H430" s="214">
        <f>VLOOKUP($B430,R_DG!$A$7:$G$1305,6,0)</f>
        <v>0</v>
      </c>
      <c r="I430" s="214">
        <f>VLOOKUP($B430,R_DG!$A$7:$G$1305,7,0)</f>
        <v>0</v>
      </c>
      <c r="J430" s="214">
        <f t="shared" si="126"/>
        <v>220000</v>
      </c>
      <c r="K430" s="214">
        <f t="shared" si="126"/>
        <v>0</v>
      </c>
      <c r="L430" s="220">
        <f t="shared" si="126"/>
        <v>0</v>
      </c>
      <c r="M430" s="93">
        <f t="shared" ref="M430:M436" si="127">IF(F430&gt;0,M$428,0)</f>
        <v>0</v>
      </c>
      <c r="N430" s="328">
        <f t="shared" ref="N430:N436" ca="1" si="128">$F430*N$428</f>
        <v>0</v>
      </c>
    </row>
    <row r="431" spans="1:14" ht="20.100000000000001" customHeight="1">
      <c r="A431" s="87"/>
      <c r="B431" s="7" t="s">
        <v>166</v>
      </c>
      <c r="C431" s="32">
        <f>VLOOKUP($B431,R_DG!$A$7:$G$1305,2,0)</f>
        <v>0</v>
      </c>
      <c r="D431" s="8" t="str">
        <f>VLOOKUP($B431,R_DG!$A$7:$G$1305,3,0)</f>
        <v>Bass LL bắt FCO và LA</v>
      </c>
      <c r="E431" s="9" t="str">
        <f>VLOOKUP($B431,R_DG!$A$7:$G$1305,4,0)</f>
        <v>bộ</v>
      </c>
      <c r="F431" s="11">
        <v>3</v>
      </c>
      <c r="G431" s="214">
        <f>VLOOKUP($B431,R_DG!$A$7:$G$1305,5,0)</f>
        <v>59000</v>
      </c>
      <c r="H431" s="214">
        <f>VLOOKUP($B431,R_DG!$A$7:$G$1305,6,0)</f>
        <v>0</v>
      </c>
      <c r="I431" s="214">
        <f>VLOOKUP($B431,R_DG!$A$7:$G$1305,7,0)</f>
        <v>0</v>
      </c>
      <c r="J431" s="214">
        <f t="shared" si="126"/>
        <v>177000</v>
      </c>
      <c r="K431" s="214">
        <f t="shared" si="126"/>
        <v>0</v>
      </c>
      <c r="L431" s="220">
        <f t="shared" si="126"/>
        <v>0</v>
      </c>
      <c r="M431" s="93">
        <f t="shared" si="127"/>
        <v>0</v>
      </c>
      <c r="N431" s="328">
        <f t="shared" ca="1" si="128"/>
        <v>0</v>
      </c>
    </row>
    <row r="432" spans="1:14" ht="20.100000000000001" customHeight="1">
      <c r="A432" s="87"/>
      <c r="B432" s="7" t="s">
        <v>4532</v>
      </c>
      <c r="C432" s="32">
        <f>VLOOKUP($B432,R_DG!$A$7:$G$1305,2,0)</f>
        <v>0</v>
      </c>
      <c r="D432" s="8" t="str">
        <f>VLOOKUP($B432,R_DG!$A$7:$G$1305,3,0)</f>
        <v>Cáp 24KV C/XLPE/PVC 25mm2</v>
      </c>
      <c r="E432" s="9" t="str">
        <f>VLOOKUP($B432,R_DG!$A$7:$G$1305,4,0)</f>
        <v>mét</v>
      </c>
      <c r="F432" s="11">
        <v>4.5</v>
      </c>
      <c r="G432" s="214">
        <f>VLOOKUP($B432,R_DG!$A$7:$G$1305,5,0)</f>
        <v>57600</v>
      </c>
      <c r="H432" s="214">
        <f>VLOOKUP($B432,R_DG!$A$7:$G$1305,6,0)</f>
        <v>0</v>
      </c>
      <c r="I432" s="214">
        <f>VLOOKUP($B432,R_DG!$A$7:$G$1305,7,0)</f>
        <v>0</v>
      </c>
      <c r="J432" s="214">
        <f t="shared" ref="J432:J433" si="129">G432*$F432</f>
        <v>259200</v>
      </c>
      <c r="K432" s="214">
        <f t="shared" ref="K432:K433" si="130">H432*$F432</f>
        <v>0</v>
      </c>
      <c r="L432" s="220">
        <f t="shared" ref="L432:L433" si="131">I432*$F432</f>
        <v>0</v>
      </c>
      <c r="M432" s="93">
        <f t="shared" ref="M432:M433" si="132">IF(F432&gt;0,M$428,0)</f>
        <v>0</v>
      </c>
      <c r="N432" s="328">
        <f t="shared" ca="1" si="128"/>
        <v>0</v>
      </c>
    </row>
    <row r="433" spans="1:14" ht="20.100000000000001" customHeight="1">
      <c r="A433" s="87"/>
      <c r="B433" s="7" t="s">
        <v>4535</v>
      </c>
      <c r="C433" s="32">
        <f>VLOOKUP($B433,R_DG!$A$7:$G$1305,2,0)</f>
        <v>0</v>
      </c>
      <c r="D433" s="8" t="str">
        <f>VLOOKUP($B433,R_DG!$A$7:$G$1305,3,0)</f>
        <v>Đầu cosse ép Cu-Al 50mm2</v>
      </c>
      <c r="E433" s="9" t="str">
        <f>VLOOKUP($B433,R_DG!$A$7:$G$1305,4,0)</f>
        <v>cái</v>
      </c>
      <c r="F433" s="11">
        <v>3</v>
      </c>
      <c r="G433" s="214">
        <f>VLOOKUP($B433,R_DG!$A$7:$G$1305,5,0)</f>
        <v>13000</v>
      </c>
      <c r="H433" s="214">
        <f>VLOOKUP($B433,R_DG!$A$7:$G$1305,6,0)</f>
        <v>0</v>
      </c>
      <c r="I433" s="214">
        <f>VLOOKUP($B433,R_DG!$A$7:$G$1305,7,0)</f>
        <v>0</v>
      </c>
      <c r="J433" s="214">
        <f t="shared" si="129"/>
        <v>39000</v>
      </c>
      <c r="K433" s="214">
        <f t="shared" si="130"/>
        <v>0</v>
      </c>
      <c r="L433" s="220">
        <f t="shared" si="131"/>
        <v>0</v>
      </c>
      <c r="M433" s="93">
        <f t="shared" si="132"/>
        <v>0</v>
      </c>
      <c r="N433" s="328">
        <f t="shared" ca="1" si="128"/>
        <v>0</v>
      </c>
    </row>
    <row r="434" spans="1:14" ht="20.100000000000001" customHeight="1">
      <c r="A434" s="87"/>
      <c r="B434" s="7" t="s">
        <v>2473</v>
      </c>
      <c r="C434" s="32">
        <f>VLOOKUP($B434,R_DG!$A$7:$G$1305,2,0)</f>
        <v>0</v>
      </c>
      <c r="D434" s="8" t="str">
        <f>VLOOKUP($B434,R_DG!$A$7:$G$1305,3,0)</f>
        <v>Boulon 14x150+ 2 long đền vuông D16-50x50x3/Zn</v>
      </c>
      <c r="E434" s="9" t="str">
        <f>VLOOKUP($B434,R_DG!$A$7:$G$1305,4,0)</f>
        <v>bộ</v>
      </c>
      <c r="F434" s="11">
        <v>2</v>
      </c>
      <c r="G434" s="214">
        <f>VLOOKUP($B434,R_DG!$A$7:$G$1305,5,0)</f>
        <v>12500</v>
      </c>
      <c r="H434" s="214">
        <f>VLOOKUP($B434,R_DG!$A$7:$G$1305,6,0)</f>
        <v>0</v>
      </c>
      <c r="I434" s="214">
        <f>VLOOKUP($B434,R_DG!$A$7:$G$1305,7,0)</f>
        <v>0</v>
      </c>
      <c r="J434" s="214">
        <f t="shared" si="126"/>
        <v>25000</v>
      </c>
      <c r="K434" s="214">
        <f t="shared" si="126"/>
        <v>0</v>
      </c>
      <c r="L434" s="220">
        <f t="shared" si="126"/>
        <v>0</v>
      </c>
      <c r="M434" s="93">
        <f t="shared" si="127"/>
        <v>0</v>
      </c>
      <c r="N434" s="328">
        <f t="shared" ca="1" si="128"/>
        <v>0</v>
      </c>
    </row>
    <row r="435" spans="1:14" ht="20.100000000000001" customHeight="1">
      <c r="A435" s="87"/>
      <c r="B435" s="7" t="s">
        <v>4416</v>
      </c>
      <c r="C435" s="32">
        <f>VLOOKUP($B435,R_DG!$A$7:$G$1305,2,0)</f>
        <v>0</v>
      </c>
      <c r="D435" s="8" t="str">
        <f>VLOOKUP($B435,R_DG!$A$7:$G$1305,3,0)</f>
        <v>Boulon 16x550+ 2 long đền vuông D18-50x50x3/Zn</v>
      </c>
      <c r="E435" s="9" t="str">
        <f>VLOOKUP($B435,R_DG!$A$7:$G$1305,4,0)</f>
        <v>bộ</v>
      </c>
      <c r="F435" s="11">
        <v>1</v>
      </c>
      <c r="G435" s="214" t="e">
        <f>VLOOKUP($B435,R_DG!$A$7:$G$1305,5,0)</f>
        <v>#REF!</v>
      </c>
      <c r="H435" s="214">
        <f>VLOOKUP($B435,R_DG!$A$7:$G$1305,6,0)</f>
        <v>0</v>
      </c>
      <c r="I435" s="214">
        <f>VLOOKUP($B435,R_DG!$A$7:$G$1305,7,0)</f>
        <v>0</v>
      </c>
      <c r="J435" s="214" t="e">
        <f t="shared" si="126"/>
        <v>#REF!</v>
      </c>
      <c r="K435" s="214">
        <f t="shared" si="126"/>
        <v>0</v>
      </c>
      <c r="L435" s="220">
        <f t="shared" si="126"/>
        <v>0</v>
      </c>
      <c r="M435" s="93">
        <f t="shared" si="127"/>
        <v>0</v>
      </c>
      <c r="N435" s="328">
        <f t="shared" ca="1" si="128"/>
        <v>0</v>
      </c>
    </row>
    <row r="436" spans="1:14" ht="20.100000000000001" customHeight="1">
      <c r="A436" s="87"/>
      <c r="B436" s="7" t="s">
        <v>92</v>
      </c>
      <c r="C436" s="32">
        <f>VLOOKUP($B436,R_DG!$A$7:$G$1305,2,0)</f>
        <v>0</v>
      </c>
      <c r="D436" s="8" t="str">
        <f>VLOOKUP($B436,R_DG!$A$7:$G$1305,3,0)</f>
        <v>Boulon 16x450+ 2 long đền vuông D18-50x50x3/Zn</v>
      </c>
      <c r="E436" s="9" t="str">
        <f>VLOOKUP($B436,R_DG!$A$7:$G$1305,4,0)</f>
        <v>bộ</v>
      </c>
      <c r="F436" s="11">
        <v>1</v>
      </c>
      <c r="G436" s="214" t="e">
        <f>VLOOKUP($B436,R_DG!$A$7:$G$1305,5,0)</f>
        <v>#REF!</v>
      </c>
      <c r="H436" s="214">
        <f>VLOOKUP($B436,R_DG!$A$7:$G$1305,6,0)</f>
        <v>0</v>
      </c>
      <c r="I436" s="214">
        <f>VLOOKUP($B436,R_DG!$A$7:$G$1305,7,0)</f>
        <v>0</v>
      </c>
      <c r="J436" s="214" t="e">
        <f t="shared" ref="J436" si="133">G436*$F436</f>
        <v>#REF!</v>
      </c>
      <c r="K436" s="214">
        <f t="shared" ref="K436" si="134">H436*$F436</f>
        <v>0</v>
      </c>
      <c r="L436" s="220">
        <f t="shared" ref="L436" si="135">I436*$F436</f>
        <v>0</v>
      </c>
      <c r="M436" s="93">
        <f t="shared" si="127"/>
        <v>0</v>
      </c>
      <c r="N436" s="328">
        <f t="shared" ca="1" si="128"/>
        <v>0</v>
      </c>
    </row>
    <row r="437" spans="1:14" ht="20.100000000000001" customHeight="1">
      <c r="A437" s="89" t="s">
        <v>2226</v>
      </c>
      <c r="B437" s="24"/>
      <c r="C437" s="34"/>
      <c r="D437" s="25" t="s">
        <v>2227</v>
      </c>
      <c r="E437" s="25" t="s">
        <v>163</v>
      </c>
      <c r="F437" s="26"/>
      <c r="G437" s="213"/>
      <c r="H437" s="213"/>
      <c r="I437" s="213"/>
      <c r="J437" s="213" t="e">
        <f>SUM(J438:J444)</f>
        <v>#REF!</v>
      </c>
      <c r="K437" s="213">
        <f>SUM(K438:K444)</f>
        <v>208581.5</v>
      </c>
      <c r="L437" s="219">
        <f>SUM(L438:L444)</f>
        <v>0</v>
      </c>
      <c r="M437" s="92">
        <f>IF(ERROR.TYPE(IF(HLOOKUP(A437,maBK,1,0)&lt;&gt;"",#NULL!,"ABC"))&lt;&gt;7,1,0)</f>
        <v>0</v>
      </c>
      <c r="N437" s="327">
        <f ca="1">SUMIF(maBK,$A437,tongBK1)</f>
        <v>0</v>
      </c>
    </row>
    <row r="438" spans="1:14" ht="20.100000000000001" customHeight="1">
      <c r="A438" s="87"/>
      <c r="B438" s="7" t="s">
        <v>3310</v>
      </c>
      <c r="C438" s="32">
        <f>VLOOKUP($B438,R_DG!$A$7:$G$1305,2,0)</f>
        <v>0</v>
      </c>
      <c r="D438" s="8" t="str">
        <f>VLOOKUP($B438,R_DG!$A$7:$G$1305,3,0)</f>
        <v>Đà sắt L75x75x8x1660 2 ốp (16,24kg/cái)</v>
      </c>
      <c r="E438" s="9" t="str">
        <f>VLOOKUP($B438,R_DG!$A$7:$G$1305,4,0)</f>
        <v>cái</v>
      </c>
      <c r="F438" s="11">
        <v>1</v>
      </c>
      <c r="G438" s="214" t="e">
        <f>VLOOKUP($B438,R_DG!$A$7:$G$1305,5,0)</f>
        <v>#REF!</v>
      </c>
      <c r="H438" s="214">
        <f>VLOOKUP($B438,R_DG!$A$7:$G$1305,6,0)</f>
        <v>0</v>
      </c>
      <c r="I438" s="214">
        <f>VLOOKUP($B438,R_DG!$A$7:$G$1305,7,0)</f>
        <v>0</v>
      </c>
      <c r="J438" s="214" t="e">
        <f t="shared" si="82"/>
        <v>#REF!</v>
      </c>
      <c r="K438" s="214">
        <f t="shared" si="82"/>
        <v>0</v>
      </c>
      <c r="L438" s="220">
        <f t="shared" si="82"/>
        <v>0</v>
      </c>
      <c r="M438" s="93">
        <f t="shared" ref="M438:M444" si="136">IF(F438&gt;0,M$437,0)</f>
        <v>0</v>
      </c>
      <c r="N438" s="328">
        <f t="shared" ref="N438:N444" ca="1" si="137">$F438*N$437</f>
        <v>0</v>
      </c>
    </row>
    <row r="439" spans="1:14" ht="20.100000000000001" customHeight="1">
      <c r="A439" s="87"/>
      <c r="B439" s="7" t="s">
        <v>3313</v>
      </c>
      <c r="C439" s="32">
        <f>VLOOKUP($B439,R_DG!$A$7:$G$1305,2,0)</f>
        <v>0</v>
      </c>
      <c r="D439" s="8" t="str">
        <f>VLOOKUP($B439,R_DG!$A$7:$G$1305,3,0)</f>
        <v>Thanh chống L50x50x5x810 (2,47kg/cái)</v>
      </c>
      <c r="E439" s="9" t="str">
        <f>VLOOKUP($B439,R_DG!$A$7:$G$1305,4,0)</f>
        <v>cái</v>
      </c>
      <c r="F439" s="11">
        <v>2</v>
      </c>
      <c r="G439" s="214">
        <f>VLOOKUP($B439,R_DG!$A$7:$G$1305,5,0)</f>
        <v>71533.670000000013</v>
      </c>
      <c r="H439" s="214">
        <f>VLOOKUP($B439,R_DG!$A$7:$G$1305,6,0)</f>
        <v>0</v>
      </c>
      <c r="I439" s="214">
        <f>VLOOKUP($B439,R_DG!$A$7:$G$1305,7,0)</f>
        <v>0</v>
      </c>
      <c r="J439" s="214">
        <f t="shared" si="82"/>
        <v>143067.34000000003</v>
      </c>
      <c r="K439" s="214">
        <f t="shared" si="82"/>
        <v>0</v>
      </c>
      <c r="L439" s="220">
        <f t="shared" si="82"/>
        <v>0</v>
      </c>
      <c r="M439" s="93">
        <f t="shared" si="136"/>
        <v>0</v>
      </c>
      <c r="N439" s="328">
        <f t="shared" ca="1" si="137"/>
        <v>0</v>
      </c>
    </row>
    <row r="440" spans="1:14" ht="20.100000000000001" customHeight="1">
      <c r="A440" s="87"/>
      <c r="B440" s="7" t="s">
        <v>382</v>
      </c>
      <c r="C440" s="32">
        <f>VLOOKUP($B440,R_DG!$A$7:$G$1305,2,0)</f>
        <v>0</v>
      </c>
      <c r="D440" s="8" t="str">
        <f>VLOOKUP($B440,R_DG!$A$7:$G$1305,3,0)</f>
        <v>Chân sứ đỉnh thẳng dài 870x4mm</v>
      </c>
      <c r="E440" s="9" t="str">
        <f>VLOOKUP($B440,R_DG!$A$7:$G$1305,4,0)</f>
        <v>cái</v>
      </c>
      <c r="F440" s="11"/>
      <c r="G440" s="214">
        <f>VLOOKUP($B440,R_DG!$A$7:$G$1305,5,0)</f>
        <v>118000</v>
      </c>
      <c r="H440" s="214">
        <f>VLOOKUP($B440,R_DG!$A$7:$G$1305,6,0)</f>
        <v>0</v>
      </c>
      <c r="I440" s="214">
        <f>VLOOKUP($B440,R_DG!$A$7:$G$1305,7,0)</f>
        <v>0</v>
      </c>
      <c r="J440" s="214">
        <f t="shared" si="82"/>
        <v>0</v>
      </c>
      <c r="K440" s="214">
        <f t="shared" si="82"/>
        <v>0</v>
      </c>
      <c r="L440" s="220">
        <f t="shared" si="82"/>
        <v>0</v>
      </c>
      <c r="M440" s="93">
        <f t="shared" si="136"/>
        <v>0</v>
      </c>
      <c r="N440" s="328">
        <f t="shared" ca="1" si="137"/>
        <v>0</v>
      </c>
    </row>
    <row r="441" spans="1:14" ht="20.100000000000001" customHeight="1">
      <c r="A441" s="87"/>
      <c r="B441" s="7" t="s">
        <v>84</v>
      </c>
      <c r="C441" s="32">
        <f>VLOOKUP($B441,R_DG!$A$7:$G$1305,2,0)</f>
        <v>0</v>
      </c>
      <c r="D441" s="8" t="str">
        <f>VLOOKUP($B441,R_DG!$A$7:$G$1305,3,0)</f>
        <v>Boulon 16x250+ 2 long đền vuông D18-50x50x3/Zn</v>
      </c>
      <c r="E441" s="9" t="str">
        <f>VLOOKUP($B441,R_DG!$A$7:$G$1305,4,0)</f>
        <v>bộ</v>
      </c>
      <c r="F441" s="11">
        <v>2</v>
      </c>
      <c r="G441" s="214" t="e">
        <f>VLOOKUP($B441,R_DG!$A$7:$G$1305,5,0)</f>
        <v>#REF!</v>
      </c>
      <c r="H441" s="214">
        <f>VLOOKUP($B441,R_DG!$A$7:$G$1305,6,0)</f>
        <v>0</v>
      </c>
      <c r="I441" s="214">
        <f>VLOOKUP($B441,R_DG!$A$7:$G$1305,7,0)</f>
        <v>0</v>
      </c>
      <c r="J441" s="214" t="e">
        <f t="shared" si="82"/>
        <v>#REF!</v>
      </c>
      <c r="K441" s="214">
        <f t="shared" si="82"/>
        <v>0</v>
      </c>
      <c r="L441" s="220">
        <f t="shared" si="82"/>
        <v>0</v>
      </c>
      <c r="M441" s="93">
        <f t="shared" si="136"/>
        <v>0</v>
      </c>
      <c r="N441" s="328">
        <f t="shared" ca="1" si="137"/>
        <v>0</v>
      </c>
    </row>
    <row r="442" spans="1:14" ht="20.100000000000001" customHeight="1">
      <c r="A442" s="87"/>
      <c r="B442" s="7" t="s">
        <v>76</v>
      </c>
      <c r="C442" s="32">
        <f>VLOOKUP($B442,R_DG!$A$7:$G$1305,2,0)</f>
        <v>0</v>
      </c>
      <c r="D442" s="8" t="str">
        <f>VLOOKUP($B442,R_DG!$A$7:$G$1305,3,0)</f>
        <v>Boulon 16x50+ 2 long đền vuông D18-50x50x3/Zn</v>
      </c>
      <c r="E442" s="9" t="str">
        <f>VLOOKUP($B442,R_DG!$A$7:$G$1305,4,0)</f>
        <v>bộ</v>
      </c>
      <c r="F442" s="11">
        <v>2</v>
      </c>
      <c r="G442" s="214" t="e">
        <f>VLOOKUP($B442,R_DG!$A$7:$G$1305,5,0)</f>
        <v>#REF!</v>
      </c>
      <c r="H442" s="214">
        <f>VLOOKUP($B442,R_DG!$A$7:$G$1305,6,0)</f>
        <v>0</v>
      </c>
      <c r="I442" s="214">
        <f>VLOOKUP($B442,R_DG!$A$7:$G$1305,7,0)</f>
        <v>0</v>
      </c>
      <c r="J442" s="214" t="e">
        <f t="shared" si="82"/>
        <v>#REF!</v>
      </c>
      <c r="K442" s="214">
        <f t="shared" si="82"/>
        <v>0</v>
      </c>
      <c r="L442" s="220">
        <f t="shared" si="82"/>
        <v>0</v>
      </c>
      <c r="M442" s="93">
        <f t="shared" si="136"/>
        <v>0</v>
      </c>
      <c r="N442" s="328">
        <f t="shared" ca="1" si="137"/>
        <v>0</v>
      </c>
    </row>
    <row r="443" spans="1:14" ht="20.100000000000001" customHeight="1">
      <c r="A443" s="87"/>
      <c r="B443" s="7" t="s">
        <v>1179</v>
      </c>
      <c r="C443" s="32" t="str">
        <f>VLOOKUP($B443,R_DG!$A$7:$G$1305,2,0)</f>
        <v>D2.6021</v>
      </c>
      <c r="D443" s="8" t="str">
        <f>VLOOKUP($B443,R_DG!$A$7:$G$1305,3,0)</f>
        <v>Lắp xà đỡ ≤ 25kg</v>
      </c>
      <c r="E443" s="9" t="str">
        <f>VLOOKUP($B443,R_DG!$A$7:$G$1305,4,0)</f>
        <v>bộ</v>
      </c>
      <c r="F443" s="11">
        <v>1</v>
      </c>
      <c r="G443" s="214">
        <f>VLOOKUP($B443,R_DG!$A$7:$G$1305,5,0)</f>
        <v>0</v>
      </c>
      <c r="H443" s="214">
        <f>VLOOKUP($B443,R_DG!$A$7:$G$1305,6,0)</f>
        <v>208581.5</v>
      </c>
      <c r="I443" s="214">
        <f>VLOOKUP($B443,R_DG!$A$7:$G$1305,7,0)</f>
        <v>0</v>
      </c>
      <c r="J443" s="214">
        <f t="shared" si="82"/>
        <v>0</v>
      </c>
      <c r="K443" s="214">
        <f t="shared" si="82"/>
        <v>208581.5</v>
      </c>
      <c r="L443" s="220">
        <f t="shared" si="82"/>
        <v>0</v>
      </c>
      <c r="M443" s="93">
        <f t="shared" si="136"/>
        <v>0</v>
      </c>
      <c r="N443" s="328">
        <f t="shared" ca="1" si="137"/>
        <v>0</v>
      </c>
    </row>
    <row r="444" spans="1:14" ht="20.100000000000001" customHeight="1">
      <c r="A444" s="87"/>
      <c r="B444" s="7" t="s">
        <v>2228</v>
      </c>
      <c r="C444" s="32" t="str">
        <f>VLOOKUP($B444,R_DG!$A$7:$G$1305,2,0)</f>
        <v>02.1115</v>
      </c>
      <c r="D444" s="8" t="str">
        <f>VLOOKUP($B444,R_DG!$A$7:$G$1305,3,0)</f>
        <v>Bốc dỡ xà, thép thanh</v>
      </c>
      <c r="E444" s="9" t="str">
        <f>VLOOKUP($B444,R_DG!$A$7:$G$1305,4,0)</f>
        <v>tấn</v>
      </c>
      <c r="F444" s="11"/>
      <c r="G444" s="214">
        <f>VLOOKUP($B444,R_DG!$A$7:$G$1305,5,0)</f>
        <v>0</v>
      </c>
      <c r="H444" s="214">
        <f>VLOOKUP($B444,R_DG!$A$7:$G$1305,6,0)</f>
        <v>0</v>
      </c>
      <c r="I444" s="214">
        <f>VLOOKUP($B444,R_DG!$A$7:$G$1305,7,0)</f>
        <v>0</v>
      </c>
      <c r="J444" s="214">
        <f t="shared" si="82"/>
        <v>0</v>
      </c>
      <c r="K444" s="214">
        <f t="shared" si="82"/>
        <v>0</v>
      </c>
      <c r="L444" s="220">
        <f t="shared" si="82"/>
        <v>0</v>
      </c>
      <c r="M444" s="93">
        <f t="shared" si="136"/>
        <v>0</v>
      </c>
      <c r="N444" s="328">
        <f t="shared" ca="1" si="137"/>
        <v>0</v>
      </c>
    </row>
    <row r="445" spans="1:14" ht="20.100000000000001" customHeight="1">
      <c r="A445" s="89" t="s">
        <v>2229</v>
      </c>
      <c r="B445" s="24"/>
      <c r="C445" s="34"/>
      <c r="D445" s="25" t="s">
        <v>2230</v>
      </c>
      <c r="E445" s="25" t="s">
        <v>163</v>
      </c>
      <c r="F445" s="26"/>
      <c r="G445" s="213"/>
      <c r="H445" s="213"/>
      <c r="I445" s="213"/>
      <c r="J445" s="213" t="e">
        <f>SUM(J446:J452)</f>
        <v>#REF!</v>
      </c>
      <c r="K445" s="213">
        <f>SUM(K446:K452)</f>
        <v>417163</v>
      </c>
      <c r="L445" s="219">
        <f>SUM(L446:L452)</f>
        <v>0</v>
      </c>
      <c r="M445" s="92">
        <f>IF(ERROR.TYPE(IF(HLOOKUP(A445,maBK,1,0)&lt;&gt;"",#NULL!,"ABC"))&lt;&gt;7,1,0)</f>
        <v>0</v>
      </c>
      <c r="N445" s="327">
        <f ca="1">SUMIF(maBK,$A445,tongBK1)</f>
        <v>0</v>
      </c>
    </row>
    <row r="446" spans="1:14" ht="20.100000000000001" customHeight="1">
      <c r="A446" s="87"/>
      <c r="B446" s="7" t="s">
        <v>3310</v>
      </c>
      <c r="C446" s="32">
        <f>VLOOKUP($B446,R_DG!$A$7:$G$1305,2,0)</f>
        <v>0</v>
      </c>
      <c r="D446" s="8" t="str">
        <f>VLOOKUP($B446,R_DG!$A$7:$G$1305,3,0)</f>
        <v>Đà sắt L75x75x8x1660 2 ốp (16,24kg/cái)</v>
      </c>
      <c r="E446" s="9" t="str">
        <f>VLOOKUP($B446,R_DG!$A$7:$G$1305,4,0)</f>
        <v>cái</v>
      </c>
      <c r="F446" s="11">
        <v>2</v>
      </c>
      <c r="G446" s="214" t="e">
        <f>VLOOKUP($B446,R_DG!$A$7:$G$1305,5,0)</f>
        <v>#REF!</v>
      </c>
      <c r="H446" s="214">
        <f>VLOOKUP($B446,R_DG!$A$7:$G$1305,6,0)</f>
        <v>0</v>
      </c>
      <c r="I446" s="214">
        <f>VLOOKUP($B446,R_DG!$A$7:$G$1305,7,0)</f>
        <v>0</v>
      </c>
      <c r="J446" s="214" t="e">
        <f t="shared" si="82"/>
        <v>#REF!</v>
      </c>
      <c r="K446" s="214">
        <f t="shared" si="82"/>
        <v>0</v>
      </c>
      <c r="L446" s="220">
        <f t="shared" si="82"/>
        <v>0</v>
      </c>
      <c r="M446" s="93">
        <f t="shared" ref="M446:M452" si="138">IF(F446&gt;0,M$445,0)</f>
        <v>0</v>
      </c>
      <c r="N446" s="328">
        <f t="shared" ref="N446:N452" ca="1" si="139">$F446*N$445</f>
        <v>0</v>
      </c>
    </row>
    <row r="447" spans="1:14" ht="20.100000000000001" customHeight="1">
      <c r="A447" s="87"/>
      <c r="B447" s="7" t="s">
        <v>3313</v>
      </c>
      <c r="C447" s="32">
        <f>VLOOKUP($B447,R_DG!$A$7:$G$1305,2,0)</f>
        <v>0</v>
      </c>
      <c r="D447" s="8" t="str">
        <f>VLOOKUP($B447,R_DG!$A$7:$G$1305,3,0)</f>
        <v>Thanh chống L50x50x5x810 (2,47kg/cái)</v>
      </c>
      <c r="E447" s="9" t="str">
        <f>VLOOKUP($B447,R_DG!$A$7:$G$1305,4,0)</f>
        <v>cái</v>
      </c>
      <c r="F447" s="11">
        <v>4</v>
      </c>
      <c r="G447" s="214">
        <f>VLOOKUP($B447,R_DG!$A$7:$G$1305,5,0)</f>
        <v>71533.670000000013</v>
      </c>
      <c r="H447" s="214">
        <f>VLOOKUP($B447,R_DG!$A$7:$G$1305,6,0)</f>
        <v>0</v>
      </c>
      <c r="I447" s="214">
        <f>VLOOKUP($B447,R_DG!$A$7:$G$1305,7,0)</f>
        <v>0</v>
      </c>
      <c r="J447" s="214">
        <f t="shared" si="82"/>
        <v>286134.68000000005</v>
      </c>
      <c r="K447" s="214">
        <f t="shared" si="82"/>
        <v>0</v>
      </c>
      <c r="L447" s="220">
        <f t="shared" si="82"/>
        <v>0</v>
      </c>
      <c r="M447" s="93">
        <f t="shared" si="138"/>
        <v>0</v>
      </c>
      <c r="N447" s="328">
        <f t="shared" ca="1" si="139"/>
        <v>0</v>
      </c>
    </row>
    <row r="448" spans="1:14" ht="20.100000000000001" customHeight="1">
      <c r="A448" s="87"/>
      <c r="B448" s="7" t="s">
        <v>84</v>
      </c>
      <c r="C448" s="32">
        <f>VLOOKUP($B448,R_DG!$A$7:$G$1305,2,0)</f>
        <v>0</v>
      </c>
      <c r="D448" s="8" t="str">
        <f>VLOOKUP($B448,R_DG!$A$7:$G$1305,3,0)</f>
        <v>Boulon 16x250+ 2 long đền vuông D18-50x50x3/Zn</v>
      </c>
      <c r="E448" s="9" t="str">
        <f>VLOOKUP($B448,R_DG!$A$7:$G$1305,4,0)</f>
        <v>bộ</v>
      </c>
      <c r="F448" s="11">
        <v>2</v>
      </c>
      <c r="G448" s="214" t="e">
        <f>VLOOKUP($B448,R_DG!$A$7:$G$1305,5,0)</f>
        <v>#REF!</v>
      </c>
      <c r="H448" s="214">
        <f>VLOOKUP($B448,R_DG!$A$7:$G$1305,6,0)</f>
        <v>0</v>
      </c>
      <c r="I448" s="214">
        <f>VLOOKUP($B448,R_DG!$A$7:$G$1305,7,0)</f>
        <v>0</v>
      </c>
      <c r="J448" s="214" t="e">
        <f t="shared" si="82"/>
        <v>#REF!</v>
      </c>
      <c r="K448" s="214">
        <f t="shared" si="82"/>
        <v>0</v>
      </c>
      <c r="L448" s="220">
        <f t="shared" si="82"/>
        <v>0</v>
      </c>
      <c r="M448" s="93">
        <f t="shared" si="138"/>
        <v>0</v>
      </c>
      <c r="N448" s="328">
        <f t="shared" ca="1" si="139"/>
        <v>0</v>
      </c>
    </row>
    <row r="449" spans="1:14" ht="20.100000000000001" customHeight="1">
      <c r="A449" s="87"/>
      <c r="B449" s="7" t="s">
        <v>2231</v>
      </c>
      <c r="C449" s="32">
        <f>VLOOKUP($B449,R_DG!$A$7:$G$1305,2,0)</f>
        <v>0</v>
      </c>
      <c r="D449" s="8" t="str">
        <f>VLOOKUP($B449,R_DG!$A$7:$G$1305,3,0)</f>
        <v>Boulon 16x250VRS+ 4 long đền vuông D18-50x50x3/Zn</v>
      </c>
      <c r="E449" s="9" t="str">
        <f>VLOOKUP($B449,R_DG!$A$7:$G$1305,4,0)</f>
        <v>bộ</v>
      </c>
      <c r="F449" s="11">
        <v>2</v>
      </c>
      <c r="G449" s="214" t="e">
        <f>VLOOKUP($B449,R_DG!$A$7:$G$1305,5,0)</f>
        <v>#REF!</v>
      </c>
      <c r="H449" s="214">
        <f>VLOOKUP($B449,R_DG!$A$7:$G$1305,6,0)</f>
        <v>0</v>
      </c>
      <c r="I449" s="214">
        <f>VLOOKUP($B449,R_DG!$A$7:$G$1305,7,0)</f>
        <v>0</v>
      </c>
      <c r="J449" s="214" t="e">
        <f t="shared" si="82"/>
        <v>#REF!</v>
      </c>
      <c r="K449" s="214">
        <f t="shared" si="82"/>
        <v>0</v>
      </c>
      <c r="L449" s="220">
        <f t="shared" si="82"/>
        <v>0</v>
      </c>
      <c r="M449" s="93">
        <f t="shared" si="138"/>
        <v>0</v>
      </c>
      <c r="N449" s="328">
        <f t="shared" ca="1" si="139"/>
        <v>0</v>
      </c>
    </row>
    <row r="450" spans="1:14" ht="20.100000000000001" customHeight="1">
      <c r="A450" s="87"/>
      <c r="B450" s="7" t="s">
        <v>76</v>
      </c>
      <c r="C450" s="32">
        <f>VLOOKUP($B450,R_DG!$A$7:$G$1305,2,0)</f>
        <v>0</v>
      </c>
      <c r="D450" s="8" t="str">
        <f>VLOOKUP($B450,R_DG!$A$7:$G$1305,3,0)</f>
        <v>Boulon 16x50+ 2 long đền vuông D18-50x50x3/Zn</v>
      </c>
      <c r="E450" s="9" t="str">
        <f>VLOOKUP($B450,R_DG!$A$7:$G$1305,4,0)</f>
        <v>bộ</v>
      </c>
      <c r="F450" s="11">
        <v>4</v>
      </c>
      <c r="G450" s="214" t="e">
        <f>VLOOKUP($B450,R_DG!$A$7:$G$1305,5,0)</f>
        <v>#REF!</v>
      </c>
      <c r="H450" s="214">
        <f>VLOOKUP($B450,R_DG!$A$7:$G$1305,6,0)</f>
        <v>0</v>
      </c>
      <c r="I450" s="214">
        <f>VLOOKUP($B450,R_DG!$A$7:$G$1305,7,0)</f>
        <v>0</v>
      </c>
      <c r="J450" s="214" t="e">
        <f t="shared" si="82"/>
        <v>#REF!</v>
      </c>
      <c r="K450" s="214">
        <f t="shared" si="82"/>
        <v>0</v>
      </c>
      <c r="L450" s="220">
        <f t="shared" si="82"/>
        <v>0</v>
      </c>
      <c r="M450" s="93">
        <f t="shared" si="138"/>
        <v>0</v>
      </c>
      <c r="N450" s="328">
        <f t="shared" ca="1" si="139"/>
        <v>0</v>
      </c>
    </row>
    <row r="451" spans="1:14" ht="20.100000000000001" customHeight="1">
      <c r="A451" s="87"/>
      <c r="B451" s="7" t="s">
        <v>4533</v>
      </c>
      <c r="C451" s="32" t="str">
        <f>VLOOKUP($B451,R_DG!$A$7:$G$1305,2,0)</f>
        <v>D2.6021</v>
      </c>
      <c r="D451" s="8" t="str">
        <f>VLOOKUP($B451,R_DG!$A$7:$G$1305,3,0)</f>
        <v>Lắp xà đỡ ≤ 25kg</v>
      </c>
      <c r="E451" s="9" t="str">
        <f>VLOOKUP($B451,R_DG!$A$7:$G$1305,4,0)</f>
        <v>bộ</v>
      </c>
      <c r="F451" s="11">
        <f>F446</f>
        <v>2</v>
      </c>
      <c r="G451" s="214">
        <f>VLOOKUP($B451,R_DG!$A$7:$G$1305,5,0)</f>
        <v>0</v>
      </c>
      <c r="H451" s="214">
        <f>VLOOKUP($B451,R_DG!$A$7:$G$1305,6,0)</f>
        <v>208581.5</v>
      </c>
      <c r="I451" s="214">
        <f>VLOOKUP($B451,R_DG!$A$7:$G$1305,7,0)</f>
        <v>0</v>
      </c>
      <c r="J451" s="214">
        <f t="shared" si="82"/>
        <v>0</v>
      </c>
      <c r="K451" s="214">
        <f t="shared" si="82"/>
        <v>417163</v>
      </c>
      <c r="L451" s="220">
        <f t="shared" si="82"/>
        <v>0</v>
      </c>
      <c r="M451" s="93">
        <f t="shared" si="138"/>
        <v>0</v>
      </c>
      <c r="N451" s="328">
        <f t="shared" ca="1" si="139"/>
        <v>0</v>
      </c>
    </row>
    <row r="452" spans="1:14" ht="20.100000000000001" customHeight="1">
      <c r="A452" s="87"/>
      <c r="B452" s="7" t="s">
        <v>2228</v>
      </c>
      <c r="C452" s="32" t="str">
        <f>VLOOKUP($B452,R_DG!$A$7:$G$1305,2,0)</f>
        <v>02.1115</v>
      </c>
      <c r="D452" s="8" t="str">
        <f>VLOOKUP($B452,R_DG!$A$7:$G$1305,3,0)</f>
        <v>Bốc dỡ xà, thép thanh</v>
      </c>
      <c r="E452" s="9" t="str">
        <f>VLOOKUP($B452,R_DG!$A$7:$G$1305,4,0)</f>
        <v>tấn</v>
      </c>
      <c r="F452" s="11"/>
      <c r="G452" s="214">
        <f>VLOOKUP($B452,R_DG!$A$7:$G$1305,5,0)</f>
        <v>0</v>
      </c>
      <c r="H452" s="214">
        <f>VLOOKUP($B452,R_DG!$A$7:$G$1305,6,0)</f>
        <v>0</v>
      </c>
      <c r="I452" s="214">
        <f>VLOOKUP($B452,R_DG!$A$7:$G$1305,7,0)</f>
        <v>0</v>
      </c>
      <c r="J452" s="214">
        <f t="shared" si="82"/>
        <v>0</v>
      </c>
      <c r="K452" s="214">
        <f t="shared" si="82"/>
        <v>0</v>
      </c>
      <c r="L452" s="220">
        <f t="shared" si="82"/>
        <v>0</v>
      </c>
      <c r="M452" s="93">
        <f t="shared" si="138"/>
        <v>0</v>
      </c>
      <c r="N452" s="328">
        <f t="shared" ca="1" si="139"/>
        <v>0</v>
      </c>
    </row>
    <row r="453" spans="1:14" ht="20.100000000000001" customHeight="1">
      <c r="A453" s="89" t="s">
        <v>2233</v>
      </c>
      <c r="B453" s="24"/>
      <c r="C453" s="34"/>
      <c r="D453" s="25" t="s">
        <v>2234</v>
      </c>
      <c r="E453" s="25" t="s">
        <v>163</v>
      </c>
      <c r="F453" s="26"/>
      <c r="G453" s="213"/>
      <c r="H453" s="213"/>
      <c r="I453" s="213"/>
      <c r="J453" s="213" t="e">
        <f>SUM(J454:J459)</f>
        <v>#REF!</v>
      </c>
      <c r="K453" s="213">
        <f>SUM(K454:K459)</f>
        <v>208581.5</v>
      </c>
      <c r="L453" s="219">
        <f>SUM(L454:L459)</f>
        <v>0</v>
      </c>
      <c r="M453" s="92">
        <f>IF(ERROR.TYPE(IF(HLOOKUP(A453,maBK,1,0)&lt;&gt;"",#NULL!,"ABC"))&lt;&gt;7,1,0)</f>
        <v>0</v>
      </c>
      <c r="N453" s="327">
        <f ca="1">SUMIF(maBK,$A453,tongBK1)</f>
        <v>0</v>
      </c>
    </row>
    <row r="454" spans="1:14" ht="20.100000000000001" customHeight="1">
      <c r="A454" s="87"/>
      <c r="B454" s="7" t="s">
        <v>3311</v>
      </c>
      <c r="C454" s="32">
        <f>VLOOKUP($B454,R_DG!$A$7:$G$1305,2,0)</f>
        <v>0</v>
      </c>
      <c r="D454" s="8" t="str">
        <f>VLOOKUP($B454,R_DG!$A$7:$G$1305,3,0)</f>
        <v>Đà sắt L75x75x8x2000 lệch 2/3 3 ốp (19,93kg/cái)</v>
      </c>
      <c r="E454" s="9" t="str">
        <f>VLOOKUP($B454,R_DG!$A$7:$G$1305,4,0)</f>
        <v>cái</v>
      </c>
      <c r="F454" s="11">
        <v>1</v>
      </c>
      <c r="G454" s="214" t="e">
        <f>VLOOKUP($B454,R_DG!$A$7:$G$1305,5,0)</f>
        <v>#REF!</v>
      </c>
      <c r="H454" s="214">
        <f>VLOOKUP($B454,R_DG!$A$7:$G$1305,6,0)</f>
        <v>0</v>
      </c>
      <c r="I454" s="214">
        <f>VLOOKUP($B454,R_DG!$A$7:$G$1305,7,0)</f>
        <v>0</v>
      </c>
      <c r="J454" s="214" t="e">
        <f t="shared" si="82"/>
        <v>#REF!</v>
      </c>
      <c r="K454" s="214">
        <f t="shared" si="82"/>
        <v>0</v>
      </c>
      <c r="L454" s="220">
        <f t="shared" si="82"/>
        <v>0</v>
      </c>
      <c r="M454" s="93">
        <f t="shared" ref="M454:M459" si="140">IF(F454&gt;0,M$453,0)</f>
        <v>0</v>
      </c>
      <c r="N454" s="328">
        <f t="shared" ref="N454:N459" ca="1" si="141">$F454*N$453</f>
        <v>0</v>
      </c>
    </row>
    <row r="455" spans="1:14" ht="20.100000000000001" customHeight="1">
      <c r="A455" s="87"/>
      <c r="B455" s="7" t="s">
        <v>4052</v>
      </c>
      <c r="C455" s="32">
        <f>VLOOKUP($B455,R_DG!$A$7:$G$1305,2,0)</f>
        <v>0</v>
      </c>
      <c r="D455" s="8" t="str">
        <f>VLOOKUP($B455,R_DG!$A$7:$G$1305,3,0)</f>
        <v>Thanh chống L50x50x5x1150 (3,51kg/cái)</v>
      </c>
      <c r="E455" s="9" t="str">
        <f>VLOOKUP($B455,R_DG!$A$7:$G$1305,4,0)</f>
        <v>cái</v>
      </c>
      <c r="F455" s="11">
        <v>1</v>
      </c>
      <c r="G455" s="214">
        <f>VLOOKUP($B455,R_DG!$A$7:$G$1305,5,0)</f>
        <v>101653.11</v>
      </c>
      <c r="H455" s="214">
        <f>VLOOKUP($B455,R_DG!$A$7:$G$1305,6,0)</f>
        <v>0</v>
      </c>
      <c r="I455" s="214">
        <f>VLOOKUP($B455,R_DG!$A$7:$G$1305,7,0)</f>
        <v>0</v>
      </c>
      <c r="J455" s="214">
        <f t="shared" si="82"/>
        <v>101653.11</v>
      </c>
      <c r="K455" s="214">
        <f t="shared" si="82"/>
        <v>0</v>
      </c>
      <c r="L455" s="220">
        <f t="shared" si="82"/>
        <v>0</v>
      </c>
      <c r="M455" s="93">
        <f t="shared" si="140"/>
        <v>0</v>
      </c>
      <c r="N455" s="328">
        <f t="shared" ca="1" si="141"/>
        <v>0</v>
      </c>
    </row>
    <row r="456" spans="1:14" ht="20.100000000000001" customHeight="1">
      <c r="A456" s="87"/>
      <c r="B456" s="7" t="s">
        <v>84</v>
      </c>
      <c r="C456" s="32">
        <f>VLOOKUP($B456,R_DG!$A$7:$G$1305,2,0)</f>
        <v>0</v>
      </c>
      <c r="D456" s="8" t="str">
        <f>VLOOKUP($B456,R_DG!$A$7:$G$1305,3,0)</f>
        <v>Boulon 16x250+ 2 long đền vuông D18-50x50x3/Zn</v>
      </c>
      <c r="E456" s="9" t="str">
        <f>VLOOKUP($B456,R_DG!$A$7:$G$1305,4,0)</f>
        <v>bộ</v>
      </c>
      <c r="F456" s="11">
        <v>2</v>
      </c>
      <c r="G456" s="214" t="e">
        <f>VLOOKUP($B456,R_DG!$A$7:$G$1305,5,0)</f>
        <v>#REF!</v>
      </c>
      <c r="H456" s="214">
        <f>VLOOKUP($B456,R_DG!$A$7:$G$1305,6,0)</f>
        <v>0</v>
      </c>
      <c r="I456" s="214">
        <f>VLOOKUP($B456,R_DG!$A$7:$G$1305,7,0)</f>
        <v>0</v>
      </c>
      <c r="J456" s="214" t="e">
        <f t="shared" si="82"/>
        <v>#REF!</v>
      </c>
      <c r="K456" s="214">
        <f t="shared" si="82"/>
        <v>0</v>
      </c>
      <c r="L456" s="220">
        <f t="shared" si="82"/>
        <v>0</v>
      </c>
      <c r="M456" s="93">
        <f t="shared" si="140"/>
        <v>0</v>
      </c>
      <c r="N456" s="328">
        <f t="shared" ca="1" si="141"/>
        <v>0</v>
      </c>
    </row>
    <row r="457" spans="1:14" ht="20.100000000000001" customHeight="1">
      <c r="A457" s="87"/>
      <c r="B457" s="7" t="s">
        <v>76</v>
      </c>
      <c r="C457" s="32">
        <f>VLOOKUP($B457,R_DG!$A$7:$G$1305,2,0)</f>
        <v>0</v>
      </c>
      <c r="D457" s="8" t="str">
        <f>VLOOKUP($B457,R_DG!$A$7:$G$1305,3,0)</f>
        <v>Boulon 16x50+ 2 long đền vuông D18-50x50x3/Zn</v>
      </c>
      <c r="E457" s="9" t="str">
        <f>VLOOKUP($B457,R_DG!$A$7:$G$1305,4,0)</f>
        <v>bộ</v>
      </c>
      <c r="F457" s="11">
        <v>1</v>
      </c>
      <c r="G457" s="214" t="e">
        <f>VLOOKUP($B457,R_DG!$A$7:$G$1305,5,0)</f>
        <v>#REF!</v>
      </c>
      <c r="H457" s="214">
        <f>VLOOKUP($B457,R_DG!$A$7:$G$1305,6,0)</f>
        <v>0</v>
      </c>
      <c r="I457" s="214">
        <f>VLOOKUP($B457,R_DG!$A$7:$G$1305,7,0)</f>
        <v>0</v>
      </c>
      <c r="J457" s="214" t="e">
        <f t="shared" si="82"/>
        <v>#REF!</v>
      </c>
      <c r="K457" s="214">
        <f t="shared" si="82"/>
        <v>0</v>
      </c>
      <c r="L457" s="220">
        <f t="shared" si="82"/>
        <v>0</v>
      </c>
      <c r="M457" s="93">
        <f t="shared" si="140"/>
        <v>0</v>
      </c>
      <c r="N457" s="328">
        <f t="shared" ca="1" si="141"/>
        <v>0</v>
      </c>
    </row>
    <row r="458" spans="1:14" ht="20.100000000000001" customHeight="1">
      <c r="A458" s="87"/>
      <c r="B458" s="7" t="s">
        <v>1179</v>
      </c>
      <c r="C458" s="32" t="str">
        <f>VLOOKUP($B458,R_DG!$A$7:$G$1305,2,0)</f>
        <v>D2.6021</v>
      </c>
      <c r="D458" s="8" t="str">
        <f>VLOOKUP($B458,R_DG!$A$7:$G$1305,3,0)</f>
        <v>Lắp xà đỡ ≤ 25kg</v>
      </c>
      <c r="E458" s="9" t="str">
        <f>VLOOKUP($B458,R_DG!$A$7:$G$1305,4,0)</f>
        <v>bộ</v>
      </c>
      <c r="F458" s="11">
        <v>1</v>
      </c>
      <c r="G458" s="214">
        <f>VLOOKUP($B458,R_DG!$A$7:$G$1305,5,0)</f>
        <v>0</v>
      </c>
      <c r="H458" s="214">
        <f>VLOOKUP($B458,R_DG!$A$7:$G$1305,6,0)</f>
        <v>208581.5</v>
      </c>
      <c r="I458" s="214">
        <f>VLOOKUP($B458,R_DG!$A$7:$G$1305,7,0)</f>
        <v>0</v>
      </c>
      <c r="J458" s="214">
        <f t="shared" si="82"/>
        <v>0</v>
      </c>
      <c r="K458" s="214">
        <f t="shared" si="82"/>
        <v>208581.5</v>
      </c>
      <c r="L458" s="220">
        <f t="shared" si="82"/>
        <v>0</v>
      </c>
      <c r="M458" s="93">
        <f t="shared" si="140"/>
        <v>0</v>
      </c>
      <c r="N458" s="328">
        <f t="shared" ca="1" si="141"/>
        <v>0</v>
      </c>
    </row>
    <row r="459" spans="1:14" ht="20.100000000000001" customHeight="1">
      <c r="A459" s="87"/>
      <c r="B459" s="7" t="s">
        <v>2228</v>
      </c>
      <c r="C459" s="32" t="str">
        <f>VLOOKUP($B459,R_DG!$A$7:$G$1305,2,0)</f>
        <v>02.1115</v>
      </c>
      <c r="D459" s="8" t="str">
        <f>VLOOKUP($B459,R_DG!$A$7:$G$1305,3,0)</f>
        <v>Bốc dỡ xà, thép thanh</v>
      </c>
      <c r="E459" s="9" t="str">
        <f>VLOOKUP($B459,R_DG!$A$7:$G$1305,4,0)</f>
        <v>tấn</v>
      </c>
      <c r="F459" s="11"/>
      <c r="G459" s="214">
        <f>VLOOKUP($B459,R_DG!$A$7:$G$1305,5,0)</f>
        <v>0</v>
      </c>
      <c r="H459" s="214">
        <f>VLOOKUP($B459,R_DG!$A$7:$G$1305,6,0)</f>
        <v>0</v>
      </c>
      <c r="I459" s="214">
        <f>VLOOKUP($B459,R_DG!$A$7:$G$1305,7,0)</f>
        <v>0</v>
      </c>
      <c r="J459" s="214">
        <f t="shared" si="82"/>
        <v>0</v>
      </c>
      <c r="K459" s="214">
        <f t="shared" si="82"/>
        <v>0</v>
      </c>
      <c r="L459" s="220">
        <f t="shared" si="82"/>
        <v>0</v>
      </c>
      <c r="M459" s="93">
        <f t="shared" si="140"/>
        <v>0</v>
      </c>
      <c r="N459" s="328">
        <f t="shared" ca="1" si="141"/>
        <v>0</v>
      </c>
    </row>
    <row r="460" spans="1:14" ht="20.100000000000001" customHeight="1">
      <c r="A460" s="89" t="s">
        <v>2235</v>
      </c>
      <c r="B460" s="24"/>
      <c r="C460" s="34"/>
      <c r="D460" s="25" t="s">
        <v>2236</v>
      </c>
      <c r="E460" s="25" t="s">
        <v>163</v>
      </c>
      <c r="F460" s="26"/>
      <c r="G460" s="213"/>
      <c r="H460" s="213"/>
      <c r="I460" s="213"/>
      <c r="J460" s="213" t="e">
        <f>SUM(J461:J468)</f>
        <v>#REF!</v>
      </c>
      <c r="K460" s="213">
        <f>SUM(K461:K468)</f>
        <v>417163</v>
      </c>
      <c r="L460" s="219">
        <f>SUM(L461:L468)</f>
        <v>0</v>
      </c>
      <c r="M460" s="92">
        <f>IF(ERROR.TYPE(IF(HLOOKUP(A460,maBK,1,0)&lt;&gt;"",#NULL!,"ABC"))&lt;&gt;7,1,0)</f>
        <v>0</v>
      </c>
      <c r="N460" s="327">
        <f ca="1">SUMIF(maBK,$A460,tongBK1)</f>
        <v>0</v>
      </c>
    </row>
    <row r="461" spans="1:14" ht="20.100000000000001" customHeight="1">
      <c r="A461" s="87"/>
      <c r="B461" s="7" t="s">
        <v>3311</v>
      </c>
      <c r="C461" s="32">
        <f>VLOOKUP($B461,R_DG!$A$7:$G$1305,2,0)</f>
        <v>0</v>
      </c>
      <c r="D461" s="8" t="str">
        <f>VLOOKUP($B461,R_DG!$A$7:$G$1305,3,0)</f>
        <v>Đà sắt L75x75x8x2000 lệch 2/3 3 ốp (19,93kg/cái)</v>
      </c>
      <c r="E461" s="9" t="str">
        <f>VLOOKUP($B461,R_DG!$A$7:$G$1305,4,0)</f>
        <v>cái</v>
      </c>
      <c r="F461" s="11">
        <v>2</v>
      </c>
      <c r="G461" s="214" t="e">
        <f>VLOOKUP($B461,R_DG!$A$7:$G$1305,5,0)</f>
        <v>#REF!</v>
      </c>
      <c r="H461" s="214">
        <f>VLOOKUP($B461,R_DG!$A$7:$G$1305,6,0)</f>
        <v>0</v>
      </c>
      <c r="I461" s="214">
        <f>VLOOKUP($B461,R_DG!$A$7:$G$1305,7,0)</f>
        <v>0</v>
      </c>
      <c r="J461" s="214" t="e">
        <f t="shared" si="82"/>
        <v>#REF!</v>
      </c>
      <c r="K461" s="214">
        <f t="shared" si="82"/>
        <v>0</v>
      </c>
      <c r="L461" s="220">
        <f t="shared" si="82"/>
        <v>0</v>
      </c>
      <c r="M461" s="93">
        <f t="shared" ref="M461:M468" si="142">IF(F461&gt;0,M$460,0)</f>
        <v>0</v>
      </c>
      <c r="N461" s="328">
        <f t="shared" ref="N461:N468" ca="1" si="143">$F461*N$460</f>
        <v>0</v>
      </c>
    </row>
    <row r="462" spans="1:14" ht="20.100000000000001" customHeight="1">
      <c r="A462" s="87"/>
      <c r="B462" s="7" t="s">
        <v>4052</v>
      </c>
      <c r="C462" s="32">
        <f>VLOOKUP($B462,R_DG!$A$7:$G$1305,2,0)</f>
        <v>0</v>
      </c>
      <c r="D462" s="8" t="str">
        <f>VLOOKUP($B462,R_DG!$A$7:$G$1305,3,0)</f>
        <v>Thanh chống L50x50x5x1150 (3,51kg/cái)</v>
      </c>
      <c r="E462" s="9" t="str">
        <f>VLOOKUP($B462,R_DG!$A$7:$G$1305,4,0)</f>
        <v>cái</v>
      </c>
      <c r="F462" s="11">
        <v>2</v>
      </c>
      <c r="G462" s="214">
        <f>VLOOKUP($B462,R_DG!$A$7:$G$1305,5,0)</f>
        <v>101653.11</v>
      </c>
      <c r="H462" s="214">
        <f>VLOOKUP($B462,R_DG!$A$7:$G$1305,6,0)</f>
        <v>0</v>
      </c>
      <c r="I462" s="214">
        <f>VLOOKUP($B462,R_DG!$A$7:$G$1305,7,0)</f>
        <v>0</v>
      </c>
      <c r="J462" s="214">
        <f t="shared" ref="J462:L515" si="144">G462*$F462</f>
        <v>203306.22</v>
      </c>
      <c r="K462" s="214">
        <f t="shared" si="144"/>
        <v>0</v>
      </c>
      <c r="L462" s="220">
        <f t="shared" si="144"/>
        <v>0</v>
      </c>
      <c r="M462" s="93">
        <f t="shared" si="142"/>
        <v>0</v>
      </c>
      <c r="N462" s="328">
        <f t="shared" ca="1" si="143"/>
        <v>0</v>
      </c>
    </row>
    <row r="463" spans="1:14" ht="20.100000000000001" customHeight="1">
      <c r="A463" s="87"/>
      <c r="B463" s="7" t="s">
        <v>76</v>
      </c>
      <c r="C463" s="32">
        <f>VLOOKUP($B463,R_DG!$A$7:$G$1305,2,0)</f>
        <v>0</v>
      </c>
      <c r="D463" s="8" t="str">
        <f>VLOOKUP($B463,R_DG!$A$7:$G$1305,3,0)</f>
        <v>Boulon 16x50+ 2 long đền vuông D18-50x50x3/Zn</v>
      </c>
      <c r="E463" s="9" t="str">
        <f>VLOOKUP($B463,R_DG!$A$7:$G$1305,4,0)</f>
        <v>bộ</v>
      </c>
      <c r="F463" s="11">
        <v>2</v>
      </c>
      <c r="G463" s="214" t="e">
        <f>VLOOKUP($B463,R_DG!$A$7:$G$1305,5,0)</f>
        <v>#REF!</v>
      </c>
      <c r="H463" s="214">
        <f>VLOOKUP($B463,R_DG!$A$7:$G$1305,6,0)</f>
        <v>0</v>
      </c>
      <c r="I463" s="214">
        <f>VLOOKUP($B463,R_DG!$A$7:$G$1305,7,0)</f>
        <v>0</v>
      </c>
      <c r="J463" s="214" t="e">
        <f t="shared" si="144"/>
        <v>#REF!</v>
      </c>
      <c r="K463" s="214">
        <f t="shared" si="144"/>
        <v>0</v>
      </c>
      <c r="L463" s="220">
        <f t="shared" si="144"/>
        <v>0</v>
      </c>
      <c r="M463" s="93">
        <f t="shared" si="142"/>
        <v>0</v>
      </c>
      <c r="N463" s="328">
        <f t="shared" ca="1" si="143"/>
        <v>0</v>
      </c>
    </row>
    <row r="464" spans="1:14" ht="20.100000000000001" customHeight="1">
      <c r="A464" s="87"/>
      <c r="B464" s="7" t="s">
        <v>84</v>
      </c>
      <c r="C464" s="32">
        <f>VLOOKUP($B464,R_DG!$A$7:$G$1305,2,0)</f>
        <v>0</v>
      </c>
      <c r="D464" s="8" t="str">
        <f>VLOOKUP($B464,R_DG!$A$7:$G$1305,3,0)</f>
        <v>Boulon 16x250+ 2 long đền vuông D18-50x50x3/Zn</v>
      </c>
      <c r="E464" s="9" t="str">
        <f>VLOOKUP($B464,R_DG!$A$7:$G$1305,4,0)</f>
        <v>bộ</v>
      </c>
      <c r="F464" s="11">
        <v>1</v>
      </c>
      <c r="G464" s="214" t="e">
        <f>VLOOKUP($B464,R_DG!$A$7:$G$1305,5,0)</f>
        <v>#REF!</v>
      </c>
      <c r="H464" s="214">
        <f>VLOOKUP($B464,R_DG!$A$7:$G$1305,6,0)</f>
        <v>0</v>
      </c>
      <c r="I464" s="214">
        <f>VLOOKUP($B464,R_DG!$A$7:$G$1305,7,0)</f>
        <v>0</v>
      </c>
      <c r="J464" s="214" t="e">
        <f t="shared" si="144"/>
        <v>#REF!</v>
      </c>
      <c r="K464" s="214">
        <f t="shared" si="144"/>
        <v>0</v>
      </c>
      <c r="L464" s="220">
        <f t="shared" si="144"/>
        <v>0</v>
      </c>
      <c r="M464" s="93">
        <f t="shared" si="142"/>
        <v>0</v>
      </c>
      <c r="N464" s="328">
        <f t="shared" ca="1" si="143"/>
        <v>0</v>
      </c>
    </row>
    <row r="465" spans="1:14" ht="20.100000000000001" customHeight="1">
      <c r="A465" s="87"/>
      <c r="B465" s="7" t="s">
        <v>86</v>
      </c>
      <c r="C465" s="32">
        <f>VLOOKUP($B465,R_DG!$A$7:$G$1305,2,0)</f>
        <v>0</v>
      </c>
      <c r="D465" s="8" t="str">
        <f>VLOOKUP($B465,R_DG!$A$7:$G$1305,3,0)</f>
        <v>Boulon 16x300+ 2 long đền vuông D18-50x50x3/Zn</v>
      </c>
      <c r="E465" s="9" t="str">
        <f>VLOOKUP($B465,R_DG!$A$7:$G$1305,4,0)</f>
        <v>bộ</v>
      </c>
      <c r="F465" s="11">
        <v>1</v>
      </c>
      <c r="G465" s="214" t="e">
        <f>VLOOKUP($B465,R_DG!$A$7:$G$1305,5,0)</f>
        <v>#REF!</v>
      </c>
      <c r="H465" s="214">
        <f>VLOOKUP($B465,R_DG!$A$7:$G$1305,6,0)</f>
        <v>0</v>
      </c>
      <c r="I465" s="214">
        <f>VLOOKUP($B465,R_DG!$A$7:$G$1305,7,0)</f>
        <v>0</v>
      </c>
      <c r="J465" s="214" t="e">
        <f t="shared" si="144"/>
        <v>#REF!</v>
      </c>
      <c r="K465" s="214">
        <f t="shared" si="144"/>
        <v>0</v>
      </c>
      <c r="L465" s="220">
        <f t="shared" si="144"/>
        <v>0</v>
      </c>
      <c r="M465" s="93">
        <f t="shared" si="142"/>
        <v>0</v>
      </c>
      <c r="N465" s="328">
        <f t="shared" ca="1" si="143"/>
        <v>0</v>
      </c>
    </row>
    <row r="466" spans="1:14" ht="20.100000000000001" customHeight="1">
      <c r="A466" s="87"/>
      <c r="B466" s="7" t="s">
        <v>2237</v>
      </c>
      <c r="C466" s="32">
        <f>VLOOKUP($B466,R_DG!$A$7:$G$1305,2,0)</f>
        <v>0</v>
      </c>
      <c r="D466" s="8" t="str">
        <f>VLOOKUP($B466,R_DG!$A$7:$G$1305,3,0)</f>
        <v>Boulon 16x300VRS+ 4 long đền vuông D18-50x50x3/Zn</v>
      </c>
      <c r="E466" s="9" t="str">
        <f>VLOOKUP($B466,R_DG!$A$7:$G$1305,4,0)</f>
        <v>bộ</v>
      </c>
      <c r="F466" s="11">
        <v>2</v>
      </c>
      <c r="G466" s="214" t="e">
        <f>VLOOKUP($B466,R_DG!$A$7:$G$1305,5,0)</f>
        <v>#REF!</v>
      </c>
      <c r="H466" s="214">
        <f>VLOOKUP($B466,R_DG!$A$7:$G$1305,6,0)</f>
        <v>0</v>
      </c>
      <c r="I466" s="214">
        <f>VLOOKUP($B466,R_DG!$A$7:$G$1305,7,0)</f>
        <v>0</v>
      </c>
      <c r="J466" s="214" t="e">
        <f t="shared" si="144"/>
        <v>#REF!</v>
      </c>
      <c r="K466" s="214">
        <f t="shared" si="144"/>
        <v>0</v>
      </c>
      <c r="L466" s="220">
        <f t="shared" si="144"/>
        <v>0</v>
      </c>
      <c r="M466" s="93">
        <f t="shared" si="142"/>
        <v>0</v>
      </c>
      <c r="N466" s="328">
        <f t="shared" ca="1" si="143"/>
        <v>0</v>
      </c>
    </row>
    <row r="467" spans="1:14" ht="20.100000000000001" customHeight="1">
      <c r="A467" s="87"/>
      <c r="B467" s="7" t="s">
        <v>4533</v>
      </c>
      <c r="C467" s="32" t="str">
        <f>VLOOKUP($B467,R_DG!$A$7:$G$1305,2,0)</f>
        <v>D2.6021</v>
      </c>
      <c r="D467" s="8" t="str">
        <f>VLOOKUP($B467,R_DG!$A$7:$G$1305,3,0)</f>
        <v>Lắp xà đỡ ≤ 25kg</v>
      </c>
      <c r="E467" s="9" t="str">
        <f>VLOOKUP($B467,R_DG!$A$7:$G$1305,4,0)</f>
        <v>bộ</v>
      </c>
      <c r="F467" s="11">
        <f>F461</f>
        <v>2</v>
      </c>
      <c r="G467" s="214">
        <f>VLOOKUP($B467,R_DG!$A$7:$G$1305,5,0)</f>
        <v>0</v>
      </c>
      <c r="H467" s="214">
        <f>VLOOKUP($B467,R_DG!$A$7:$G$1305,6,0)</f>
        <v>208581.5</v>
      </c>
      <c r="I467" s="214">
        <f>VLOOKUP($B467,R_DG!$A$7:$G$1305,7,0)</f>
        <v>0</v>
      </c>
      <c r="J467" s="214">
        <f t="shared" si="144"/>
        <v>0</v>
      </c>
      <c r="K467" s="214">
        <f t="shared" si="144"/>
        <v>417163</v>
      </c>
      <c r="L467" s="220">
        <f t="shared" si="144"/>
        <v>0</v>
      </c>
      <c r="M467" s="93">
        <f t="shared" si="142"/>
        <v>0</v>
      </c>
      <c r="N467" s="328">
        <f t="shared" ca="1" si="143"/>
        <v>0</v>
      </c>
    </row>
    <row r="468" spans="1:14" ht="20.100000000000001" customHeight="1">
      <c r="A468" s="87"/>
      <c r="B468" s="7" t="s">
        <v>2228</v>
      </c>
      <c r="C468" s="32" t="str">
        <f>VLOOKUP($B468,R_DG!$A$7:$G$1305,2,0)</f>
        <v>02.1115</v>
      </c>
      <c r="D468" s="8" t="str">
        <f>VLOOKUP($B468,R_DG!$A$7:$G$1305,3,0)</f>
        <v>Bốc dỡ xà, thép thanh</v>
      </c>
      <c r="E468" s="9" t="str">
        <f>VLOOKUP($B468,R_DG!$A$7:$G$1305,4,0)</f>
        <v>tấn</v>
      </c>
      <c r="F468" s="11"/>
      <c r="G468" s="214">
        <f>VLOOKUP($B468,R_DG!$A$7:$G$1305,5,0)</f>
        <v>0</v>
      </c>
      <c r="H468" s="214">
        <f>VLOOKUP($B468,R_DG!$A$7:$G$1305,6,0)</f>
        <v>0</v>
      </c>
      <c r="I468" s="214">
        <f>VLOOKUP($B468,R_DG!$A$7:$G$1305,7,0)</f>
        <v>0</v>
      </c>
      <c r="J468" s="214">
        <f t="shared" si="144"/>
        <v>0</v>
      </c>
      <c r="K468" s="214">
        <f t="shared" si="144"/>
        <v>0</v>
      </c>
      <c r="L468" s="220">
        <f t="shared" si="144"/>
        <v>0</v>
      </c>
      <c r="M468" s="93">
        <f t="shared" si="142"/>
        <v>0</v>
      </c>
      <c r="N468" s="328">
        <f t="shared" ca="1" si="143"/>
        <v>0</v>
      </c>
    </row>
    <row r="469" spans="1:14" ht="20.100000000000001" customHeight="1">
      <c r="A469" s="89" t="s">
        <v>2238</v>
      </c>
      <c r="B469" s="24"/>
      <c r="C469" s="34"/>
      <c r="D469" s="25" t="s">
        <v>2239</v>
      </c>
      <c r="E469" s="25" t="s">
        <v>163</v>
      </c>
      <c r="F469" s="26"/>
      <c r="G469" s="213"/>
      <c r="H469" s="213"/>
      <c r="I469" s="213"/>
      <c r="J469" s="213" t="e">
        <f>SUM(J470:J477)</f>
        <v>#REF!</v>
      </c>
      <c r="K469" s="213">
        <f>SUM(K470:K477)</f>
        <v>208581.5</v>
      </c>
      <c r="L469" s="219">
        <f>SUM(L470:L477)</f>
        <v>0</v>
      </c>
      <c r="M469" s="92">
        <f>IF(ERROR.TYPE(IF(HLOOKUP(A469,maBK,1,0)&lt;&gt;"",#NULL!,"ABC"))&lt;&gt;7,1,0)</f>
        <v>0</v>
      </c>
      <c r="N469" s="327">
        <f ca="1">SUMIF(maBK,$A469,tongBK1)</f>
        <v>0</v>
      </c>
    </row>
    <row r="470" spans="1:14" ht="20.100000000000001" customHeight="1">
      <c r="A470" s="87"/>
      <c r="B470" s="7" t="s">
        <v>3308</v>
      </c>
      <c r="C470" s="32">
        <f>VLOOKUP($B470,R_DG!$A$7:$G$1305,2,0)</f>
        <v>0</v>
      </c>
      <c r="D470" s="8" t="str">
        <f>VLOOKUP($B470,R_DG!$A$7:$G$1305,3,0)</f>
        <v>Đà sắt L75x75x8x2200 4 ốp (22,37kg/cái)</v>
      </c>
      <c r="E470" s="9" t="str">
        <f>VLOOKUP($B470,R_DG!$A$7:$G$1305,4,0)</f>
        <v>cái</v>
      </c>
      <c r="F470" s="11">
        <v>1</v>
      </c>
      <c r="G470" s="214" t="e">
        <f>VLOOKUP($B470,R_DG!$A$7:$G$1305,5,0)</f>
        <v>#REF!</v>
      </c>
      <c r="H470" s="214">
        <f>VLOOKUP($B470,R_DG!$A$7:$G$1305,6,0)</f>
        <v>0</v>
      </c>
      <c r="I470" s="214">
        <f>VLOOKUP($B470,R_DG!$A$7:$G$1305,7,0)</f>
        <v>0</v>
      </c>
      <c r="J470" s="214" t="e">
        <f t="shared" si="144"/>
        <v>#REF!</v>
      </c>
      <c r="K470" s="214">
        <f t="shared" si="144"/>
        <v>0</v>
      </c>
      <c r="L470" s="220">
        <f t="shared" si="144"/>
        <v>0</v>
      </c>
      <c r="M470" s="93">
        <f t="shared" ref="M470:M477" si="145">IF(F470&gt;0,M$469,0)</f>
        <v>0</v>
      </c>
      <c r="N470" s="328">
        <f t="shared" ref="N470:N477" ca="1" si="146">$F470*N$469</f>
        <v>0</v>
      </c>
    </row>
    <row r="471" spans="1:14" ht="20.100000000000001" customHeight="1">
      <c r="A471" s="87"/>
      <c r="B471" s="7" t="s">
        <v>3313</v>
      </c>
      <c r="C471" s="32">
        <f>VLOOKUP($B471,R_DG!$A$7:$G$1305,2,0)</f>
        <v>0</v>
      </c>
      <c r="D471" s="8" t="str">
        <f>VLOOKUP($B471,R_DG!$A$7:$G$1305,3,0)</f>
        <v>Thanh chống L50x50x5x810 (2,47kg/cái)</v>
      </c>
      <c r="E471" s="9" t="str">
        <f>VLOOKUP($B471,R_DG!$A$7:$G$1305,4,0)</f>
        <v>cái</v>
      </c>
      <c r="F471" s="11">
        <v>2</v>
      </c>
      <c r="G471" s="214">
        <f>VLOOKUP($B471,R_DG!$A$7:$G$1305,5,0)</f>
        <v>71533.670000000013</v>
      </c>
      <c r="H471" s="214">
        <f>VLOOKUP($B471,R_DG!$A$7:$G$1305,6,0)</f>
        <v>0</v>
      </c>
      <c r="I471" s="214">
        <f>VLOOKUP($B471,R_DG!$A$7:$G$1305,7,0)</f>
        <v>0</v>
      </c>
      <c r="J471" s="214">
        <f t="shared" si="144"/>
        <v>143067.34000000003</v>
      </c>
      <c r="K471" s="214">
        <f t="shared" si="144"/>
        <v>0</v>
      </c>
      <c r="L471" s="220">
        <f t="shared" si="144"/>
        <v>0</v>
      </c>
      <c r="M471" s="93">
        <f t="shared" si="145"/>
        <v>0</v>
      </c>
      <c r="N471" s="328">
        <f t="shared" ca="1" si="146"/>
        <v>0</v>
      </c>
    </row>
    <row r="472" spans="1:14" ht="20.100000000000001" customHeight="1">
      <c r="A472" s="87"/>
      <c r="B472" s="7" t="s">
        <v>723</v>
      </c>
      <c r="C472" s="32">
        <f>VLOOKUP($B472,R_DG!$A$7:$G$1305,2,0)</f>
        <v>0</v>
      </c>
      <c r="D472" s="8" t="str">
        <f>VLOOKUP($B472,R_DG!$A$7:$G$1305,3,0)</f>
        <v>Cổ dê bắt xà + bulon</v>
      </c>
      <c r="E472" s="9" t="str">
        <f>VLOOKUP($B472,R_DG!$A$7:$G$1305,4,0)</f>
        <v>Kg</v>
      </c>
      <c r="F472" s="11"/>
      <c r="G472" s="214">
        <f>VLOOKUP($B472,R_DG!$A$7:$G$1305,5,0)</f>
        <v>15140.380999999999</v>
      </c>
      <c r="H472" s="214">
        <f>VLOOKUP($B472,R_DG!$A$7:$G$1305,6,0)</f>
        <v>0</v>
      </c>
      <c r="I472" s="214">
        <f>VLOOKUP($B472,R_DG!$A$7:$G$1305,7,0)</f>
        <v>0</v>
      </c>
      <c r="J472" s="214">
        <f t="shared" si="144"/>
        <v>0</v>
      </c>
      <c r="K472" s="214">
        <f t="shared" si="144"/>
        <v>0</v>
      </c>
      <c r="L472" s="220">
        <f t="shared" si="144"/>
        <v>0</v>
      </c>
      <c r="M472" s="93">
        <f t="shared" si="145"/>
        <v>0</v>
      </c>
      <c r="N472" s="328">
        <f t="shared" ca="1" si="146"/>
        <v>0</v>
      </c>
    </row>
    <row r="473" spans="1:14" ht="20.100000000000001" customHeight="1">
      <c r="A473" s="87"/>
      <c r="B473" s="7" t="s">
        <v>728</v>
      </c>
      <c r="C473" s="32">
        <f>VLOOKUP($B473,R_DG!$A$7:$G$1305,2,0)</f>
        <v>0</v>
      </c>
      <c r="D473" s="8" t="str">
        <f>VLOOKUP($B473,R_DG!$A$7:$G$1305,3,0)</f>
        <v xml:space="preserve">Cổ dê chống lắc 8x80x800 </v>
      </c>
      <c r="E473" s="9" t="str">
        <f>VLOOKUP($B473,R_DG!$A$7:$G$1305,4,0)</f>
        <v>Kg</v>
      </c>
      <c r="F473" s="11"/>
      <c r="G473" s="214">
        <f>VLOOKUP($B473,R_DG!$A$7:$G$1305,5,0)</f>
        <v>15140.380999999999</v>
      </c>
      <c r="H473" s="214">
        <f>VLOOKUP($B473,R_DG!$A$7:$G$1305,6,0)</f>
        <v>0</v>
      </c>
      <c r="I473" s="214">
        <f>VLOOKUP($B473,R_DG!$A$7:$G$1305,7,0)</f>
        <v>0</v>
      </c>
      <c r="J473" s="214">
        <f t="shared" si="144"/>
        <v>0</v>
      </c>
      <c r="K473" s="214">
        <f t="shared" si="144"/>
        <v>0</v>
      </c>
      <c r="L473" s="220">
        <f t="shared" si="144"/>
        <v>0</v>
      </c>
      <c r="M473" s="93">
        <f t="shared" si="145"/>
        <v>0</v>
      </c>
      <c r="N473" s="328">
        <f t="shared" ca="1" si="146"/>
        <v>0</v>
      </c>
    </row>
    <row r="474" spans="1:14" ht="20.100000000000001" customHeight="1">
      <c r="A474" s="87"/>
      <c r="B474" s="7" t="s">
        <v>84</v>
      </c>
      <c r="C474" s="32">
        <f>VLOOKUP($B474,R_DG!$A$7:$G$1305,2,0)</f>
        <v>0</v>
      </c>
      <c r="D474" s="8" t="str">
        <f>VLOOKUP($B474,R_DG!$A$7:$G$1305,3,0)</f>
        <v>Boulon 16x250+ 2 long đền vuông D18-50x50x3/Zn</v>
      </c>
      <c r="E474" s="9" t="str">
        <f>VLOOKUP($B474,R_DG!$A$7:$G$1305,4,0)</f>
        <v>bộ</v>
      </c>
      <c r="F474" s="11">
        <v>2</v>
      </c>
      <c r="G474" s="214" t="e">
        <f>VLOOKUP($B474,R_DG!$A$7:$G$1305,5,0)</f>
        <v>#REF!</v>
      </c>
      <c r="H474" s="214">
        <f>VLOOKUP($B474,R_DG!$A$7:$G$1305,6,0)</f>
        <v>0</v>
      </c>
      <c r="I474" s="214">
        <f>VLOOKUP($B474,R_DG!$A$7:$G$1305,7,0)</f>
        <v>0</v>
      </c>
      <c r="J474" s="214" t="e">
        <f t="shared" si="144"/>
        <v>#REF!</v>
      </c>
      <c r="K474" s="214">
        <f t="shared" si="144"/>
        <v>0</v>
      </c>
      <c r="L474" s="220">
        <f t="shared" si="144"/>
        <v>0</v>
      </c>
      <c r="M474" s="93">
        <f t="shared" si="145"/>
        <v>0</v>
      </c>
      <c r="N474" s="328">
        <f t="shared" ca="1" si="146"/>
        <v>0</v>
      </c>
    </row>
    <row r="475" spans="1:14" ht="20.100000000000001" customHeight="1">
      <c r="A475" s="87"/>
      <c r="B475" s="7" t="s">
        <v>76</v>
      </c>
      <c r="C475" s="32">
        <f>VLOOKUP($B475,R_DG!$A$7:$G$1305,2,0)</f>
        <v>0</v>
      </c>
      <c r="D475" s="8" t="str">
        <f>VLOOKUP($B475,R_DG!$A$7:$G$1305,3,0)</f>
        <v>Boulon 16x50+ 2 long đền vuông D18-50x50x3/Zn</v>
      </c>
      <c r="E475" s="9" t="str">
        <f>VLOOKUP($B475,R_DG!$A$7:$G$1305,4,0)</f>
        <v>bộ</v>
      </c>
      <c r="F475" s="11">
        <v>2</v>
      </c>
      <c r="G475" s="214" t="e">
        <f>VLOOKUP($B475,R_DG!$A$7:$G$1305,5,0)</f>
        <v>#REF!</v>
      </c>
      <c r="H475" s="214">
        <f>VLOOKUP($B475,R_DG!$A$7:$G$1305,6,0)</f>
        <v>0</v>
      </c>
      <c r="I475" s="214">
        <f>VLOOKUP($B475,R_DG!$A$7:$G$1305,7,0)</f>
        <v>0</v>
      </c>
      <c r="J475" s="214" t="e">
        <f t="shared" si="144"/>
        <v>#REF!</v>
      </c>
      <c r="K475" s="214">
        <f t="shared" si="144"/>
        <v>0</v>
      </c>
      <c r="L475" s="220">
        <f t="shared" si="144"/>
        <v>0</v>
      </c>
      <c r="M475" s="93">
        <f t="shared" si="145"/>
        <v>0</v>
      </c>
      <c r="N475" s="328">
        <f t="shared" ca="1" si="146"/>
        <v>0</v>
      </c>
    </row>
    <row r="476" spans="1:14" ht="20.100000000000001" customHeight="1">
      <c r="A476" s="87"/>
      <c r="B476" s="7" t="s">
        <v>1179</v>
      </c>
      <c r="C476" s="32" t="str">
        <f>VLOOKUP($B476,R_DG!$A$7:$G$1305,2,0)</f>
        <v>D2.6021</v>
      </c>
      <c r="D476" s="8" t="str">
        <f>VLOOKUP($B476,R_DG!$A$7:$G$1305,3,0)</f>
        <v>Lắp xà đỡ ≤ 25kg</v>
      </c>
      <c r="E476" s="9" t="str">
        <f>VLOOKUP($B476,R_DG!$A$7:$G$1305,4,0)</f>
        <v>bộ</v>
      </c>
      <c r="F476" s="11">
        <v>1</v>
      </c>
      <c r="G476" s="214">
        <f>VLOOKUP($B476,R_DG!$A$7:$G$1305,5,0)</f>
        <v>0</v>
      </c>
      <c r="H476" s="214">
        <f>VLOOKUP($B476,R_DG!$A$7:$G$1305,6,0)</f>
        <v>208581.5</v>
      </c>
      <c r="I476" s="214">
        <f>VLOOKUP($B476,R_DG!$A$7:$G$1305,7,0)</f>
        <v>0</v>
      </c>
      <c r="J476" s="214">
        <f t="shared" si="144"/>
        <v>0</v>
      </c>
      <c r="K476" s="214">
        <f t="shared" si="144"/>
        <v>208581.5</v>
      </c>
      <c r="L476" s="220">
        <f t="shared" si="144"/>
        <v>0</v>
      </c>
      <c r="M476" s="93">
        <f t="shared" si="145"/>
        <v>0</v>
      </c>
      <c r="N476" s="328">
        <f t="shared" ca="1" si="146"/>
        <v>0</v>
      </c>
    </row>
    <row r="477" spans="1:14" ht="20.100000000000001" customHeight="1">
      <c r="A477" s="87"/>
      <c r="B477" s="7" t="s">
        <v>2228</v>
      </c>
      <c r="C477" s="32" t="str">
        <f>VLOOKUP($B477,R_DG!$A$7:$G$1305,2,0)</f>
        <v>02.1115</v>
      </c>
      <c r="D477" s="8" t="str">
        <f>VLOOKUP($B477,R_DG!$A$7:$G$1305,3,0)</f>
        <v>Bốc dỡ xà, thép thanh</v>
      </c>
      <c r="E477" s="9" t="str">
        <f>VLOOKUP($B477,R_DG!$A$7:$G$1305,4,0)</f>
        <v>tấn</v>
      </c>
      <c r="F477" s="11"/>
      <c r="G477" s="214">
        <f>VLOOKUP($B477,R_DG!$A$7:$G$1305,5,0)</f>
        <v>0</v>
      </c>
      <c r="H477" s="214">
        <f>VLOOKUP($B477,R_DG!$A$7:$G$1305,6,0)</f>
        <v>0</v>
      </c>
      <c r="I477" s="214">
        <f>VLOOKUP($B477,R_DG!$A$7:$G$1305,7,0)</f>
        <v>0</v>
      </c>
      <c r="J477" s="214">
        <f t="shared" si="144"/>
        <v>0</v>
      </c>
      <c r="K477" s="214">
        <f t="shared" si="144"/>
        <v>0</v>
      </c>
      <c r="L477" s="220">
        <f t="shared" si="144"/>
        <v>0</v>
      </c>
      <c r="M477" s="93">
        <f t="shared" si="145"/>
        <v>0</v>
      </c>
      <c r="N477" s="328">
        <f t="shared" ca="1" si="146"/>
        <v>0</v>
      </c>
    </row>
    <row r="478" spans="1:14" ht="20.100000000000001" customHeight="1">
      <c r="A478" s="89" t="s">
        <v>2241</v>
      </c>
      <c r="B478" s="24"/>
      <c r="C478" s="34"/>
      <c r="D478" s="25" t="s">
        <v>2242</v>
      </c>
      <c r="E478" s="25" t="s">
        <v>163</v>
      </c>
      <c r="F478" s="26"/>
      <c r="G478" s="213"/>
      <c r="H478" s="213"/>
      <c r="I478" s="213"/>
      <c r="J478" s="213" t="e">
        <f>SUM(J479:J486)</f>
        <v>#REF!</v>
      </c>
      <c r="K478" s="213">
        <f>SUM(K479:K486)</f>
        <v>750893.4</v>
      </c>
      <c r="L478" s="219">
        <f>SUM(L479:L486)</f>
        <v>0</v>
      </c>
      <c r="M478" s="92">
        <f>IF(ERROR.TYPE(IF(HLOOKUP(A478,maBK,1,0)&lt;&gt;"",#NULL!,"ABC"))&lt;&gt;7,1,0)</f>
        <v>0</v>
      </c>
      <c r="N478" s="327">
        <f ca="1">SUMIF(maBK,$A478,tongBK1)</f>
        <v>0</v>
      </c>
    </row>
    <row r="479" spans="1:14" ht="20.100000000000001" customHeight="1">
      <c r="A479" s="87"/>
      <c r="B479" s="7" t="s">
        <v>3308</v>
      </c>
      <c r="C479" s="32">
        <f>VLOOKUP($B479,R_DG!$A$7:$G$1305,2,0)</f>
        <v>0</v>
      </c>
      <c r="D479" s="8" t="str">
        <f>VLOOKUP($B479,R_DG!$A$7:$G$1305,3,0)</f>
        <v>Đà sắt L75x75x8x2200 4 ốp (22,37kg/cái)</v>
      </c>
      <c r="E479" s="9" t="str">
        <f>VLOOKUP($B479,R_DG!$A$7:$G$1305,4,0)</f>
        <v>cái</v>
      </c>
      <c r="F479" s="11">
        <v>2</v>
      </c>
      <c r="G479" s="214" t="e">
        <f>VLOOKUP($B479,R_DG!$A$7:$G$1305,5,0)</f>
        <v>#REF!</v>
      </c>
      <c r="H479" s="214">
        <f>VLOOKUP($B479,R_DG!$A$7:$G$1305,6,0)</f>
        <v>0</v>
      </c>
      <c r="I479" s="214">
        <f>VLOOKUP($B479,R_DG!$A$7:$G$1305,7,0)</f>
        <v>0</v>
      </c>
      <c r="J479" s="214" t="e">
        <f t="shared" si="144"/>
        <v>#REF!</v>
      </c>
      <c r="K479" s="214">
        <f t="shared" si="144"/>
        <v>0</v>
      </c>
      <c r="L479" s="220">
        <f t="shared" si="144"/>
        <v>0</v>
      </c>
      <c r="M479" s="93">
        <f t="shared" ref="M479:M486" si="147">IF(F479&gt;0,M$478,0)</f>
        <v>0</v>
      </c>
      <c r="N479" s="328">
        <f t="shared" ref="N479:N486" ca="1" si="148">$F479*N$478</f>
        <v>0</v>
      </c>
    </row>
    <row r="480" spans="1:14" ht="20.100000000000001" customHeight="1">
      <c r="A480" s="87"/>
      <c r="B480" s="7" t="s">
        <v>3313</v>
      </c>
      <c r="C480" s="32">
        <f>VLOOKUP($B480,R_DG!$A$7:$G$1305,2,0)</f>
        <v>0</v>
      </c>
      <c r="D480" s="8" t="str">
        <f>VLOOKUP($B480,R_DG!$A$7:$G$1305,3,0)</f>
        <v>Thanh chống L50x50x5x810 (2,47kg/cái)</v>
      </c>
      <c r="E480" s="9" t="str">
        <f>VLOOKUP($B480,R_DG!$A$7:$G$1305,4,0)</f>
        <v>cái</v>
      </c>
      <c r="F480" s="11">
        <v>4</v>
      </c>
      <c r="G480" s="214">
        <f>VLOOKUP($B480,R_DG!$A$7:$G$1305,5,0)</f>
        <v>71533.670000000013</v>
      </c>
      <c r="H480" s="214">
        <f>VLOOKUP($B480,R_DG!$A$7:$G$1305,6,0)</f>
        <v>0</v>
      </c>
      <c r="I480" s="214">
        <f>VLOOKUP($B480,R_DG!$A$7:$G$1305,7,0)</f>
        <v>0</v>
      </c>
      <c r="J480" s="214">
        <f t="shared" si="144"/>
        <v>286134.68000000005</v>
      </c>
      <c r="K480" s="214">
        <f t="shared" si="144"/>
        <v>0</v>
      </c>
      <c r="L480" s="220">
        <f t="shared" si="144"/>
        <v>0</v>
      </c>
      <c r="M480" s="93">
        <f t="shared" si="147"/>
        <v>0</v>
      </c>
      <c r="N480" s="328">
        <f t="shared" ca="1" si="148"/>
        <v>0</v>
      </c>
    </row>
    <row r="481" spans="1:14" ht="20.100000000000001" customHeight="1">
      <c r="A481" s="87"/>
      <c r="B481" s="7" t="s">
        <v>84</v>
      </c>
      <c r="C481" s="32">
        <f>VLOOKUP($B481,R_DG!$A$7:$G$1305,2,0)</f>
        <v>0</v>
      </c>
      <c r="D481" s="8" t="str">
        <f>VLOOKUP($B481,R_DG!$A$7:$G$1305,3,0)</f>
        <v>Boulon 16x250+ 2 long đền vuông D18-50x50x3/Zn</v>
      </c>
      <c r="E481" s="9" t="str">
        <f>VLOOKUP($B481,R_DG!$A$7:$G$1305,4,0)</f>
        <v>bộ</v>
      </c>
      <c r="F481" s="11">
        <v>1</v>
      </c>
      <c r="G481" s="214" t="e">
        <f>VLOOKUP($B481,R_DG!$A$7:$G$1305,5,0)</f>
        <v>#REF!</v>
      </c>
      <c r="H481" s="214">
        <f>VLOOKUP($B481,R_DG!$A$7:$G$1305,6,0)</f>
        <v>0</v>
      </c>
      <c r="I481" s="214">
        <f>VLOOKUP($B481,R_DG!$A$7:$G$1305,7,0)</f>
        <v>0</v>
      </c>
      <c r="J481" s="214" t="e">
        <f t="shared" si="144"/>
        <v>#REF!</v>
      </c>
      <c r="K481" s="214">
        <f t="shared" si="144"/>
        <v>0</v>
      </c>
      <c r="L481" s="220">
        <f t="shared" si="144"/>
        <v>0</v>
      </c>
      <c r="M481" s="93">
        <f t="shared" si="147"/>
        <v>0</v>
      </c>
      <c r="N481" s="328">
        <f t="shared" ca="1" si="148"/>
        <v>0</v>
      </c>
    </row>
    <row r="482" spans="1:14" ht="20.100000000000001" customHeight="1">
      <c r="A482" s="87"/>
      <c r="B482" s="7" t="s">
        <v>86</v>
      </c>
      <c r="C482" s="32">
        <f>VLOOKUP($B482,R_DG!$A$7:$G$1305,2,0)</f>
        <v>0</v>
      </c>
      <c r="D482" s="8" t="str">
        <f>VLOOKUP($B482,R_DG!$A$7:$G$1305,3,0)</f>
        <v>Boulon 16x300+ 2 long đền vuông D18-50x50x3/Zn</v>
      </c>
      <c r="E482" s="9" t="str">
        <f>VLOOKUP($B482,R_DG!$A$7:$G$1305,4,0)</f>
        <v>bộ</v>
      </c>
      <c r="F482" s="11">
        <v>1</v>
      </c>
      <c r="G482" s="214" t="e">
        <f>VLOOKUP($B482,R_DG!$A$7:$G$1305,5,0)</f>
        <v>#REF!</v>
      </c>
      <c r="H482" s="214">
        <f>VLOOKUP($B482,R_DG!$A$7:$G$1305,6,0)</f>
        <v>0</v>
      </c>
      <c r="I482" s="214">
        <f>VLOOKUP($B482,R_DG!$A$7:$G$1305,7,0)</f>
        <v>0</v>
      </c>
      <c r="J482" s="214" t="e">
        <f t="shared" si="144"/>
        <v>#REF!</v>
      </c>
      <c r="K482" s="214">
        <f t="shared" si="144"/>
        <v>0</v>
      </c>
      <c r="L482" s="220">
        <f t="shared" si="144"/>
        <v>0</v>
      </c>
      <c r="M482" s="93">
        <f t="shared" si="147"/>
        <v>0</v>
      </c>
      <c r="N482" s="328">
        <f t="shared" ca="1" si="148"/>
        <v>0</v>
      </c>
    </row>
    <row r="483" spans="1:14" ht="20.100000000000001" customHeight="1">
      <c r="A483" s="87"/>
      <c r="B483" s="7" t="s">
        <v>2237</v>
      </c>
      <c r="C483" s="32">
        <f>VLOOKUP($B483,R_DG!$A$7:$G$1305,2,0)</f>
        <v>0</v>
      </c>
      <c r="D483" s="8" t="str">
        <f>VLOOKUP($B483,R_DG!$A$7:$G$1305,3,0)</f>
        <v>Boulon 16x300VRS+ 4 long đền vuông D18-50x50x3/Zn</v>
      </c>
      <c r="E483" s="9" t="str">
        <f>VLOOKUP($B483,R_DG!$A$7:$G$1305,4,0)</f>
        <v>bộ</v>
      </c>
      <c r="F483" s="11">
        <v>4</v>
      </c>
      <c r="G483" s="214" t="e">
        <f>VLOOKUP($B483,R_DG!$A$7:$G$1305,5,0)</f>
        <v>#REF!</v>
      </c>
      <c r="H483" s="214">
        <f>VLOOKUP($B483,R_DG!$A$7:$G$1305,6,0)</f>
        <v>0</v>
      </c>
      <c r="I483" s="214">
        <f>VLOOKUP($B483,R_DG!$A$7:$G$1305,7,0)</f>
        <v>0</v>
      </c>
      <c r="J483" s="214" t="e">
        <f t="shared" si="144"/>
        <v>#REF!</v>
      </c>
      <c r="K483" s="214">
        <f t="shared" si="144"/>
        <v>0</v>
      </c>
      <c r="L483" s="220">
        <f t="shared" si="144"/>
        <v>0</v>
      </c>
      <c r="M483" s="93">
        <f t="shared" si="147"/>
        <v>0</v>
      </c>
      <c r="N483" s="328">
        <f t="shared" ca="1" si="148"/>
        <v>0</v>
      </c>
    </row>
    <row r="484" spans="1:14" ht="20.100000000000001" customHeight="1">
      <c r="A484" s="87"/>
      <c r="B484" s="7" t="s">
        <v>76</v>
      </c>
      <c r="C484" s="32">
        <f>VLOOKUP($B484,R_DG!$A$7:$G$1305,2,0)</f>
        <v>0</v>
      </c>
      <c r="D484" s="8" t="str">
        <f>VLOOKUP($B484,R_DG!$A$7:$G$1305,3,0)</f>
        <v>Boulon 16x50+ 2 long đền vuông D18-50x50x3/Zn</v>
      </c>
      <c r="E484" s="9" t="str">
        <f>VLOOKUP($B484,R_DG!$A$7:$G$1305,4,0)</f>
        <v>bộ</v>
      </c>
      <c r="F484" s="11">
        <v>4</v>
      </c>
      <c r="G484" s="214" t="e">
        <f>VLOOKUP($B484,R_DG!$A$7:$G$1305,5,0)</f>
        <v>#REF!</v>
      </c>
      <c r="H484" s="214">
        <f>VLOOKUP($B484,R_DG!$A$7:$G$1305,6,0)</f>
        <v>0</v>
      </c>
      <c r="I484" s="214">
        <f>VLOOKUP($B484,R_DG!$A$7:$G$1305,7,0)</f>
        <v>0</v>
      </c>
      <c r="J484" s="214" t="e">
        <f t="shared" si="144"/>
        <v>#REF!</v>
      </c>
      <c r="K484" s="214">
        <f t="shared" si="144"/>
        <v>0</v>
      </c>
      <c r="L484" s="220">
        <f t="shared" si="144"/>
        <v>0</v>
      </c>
      <c r="M484" s="93">
        <f t="shared" si="147"/>
        <v>0</v>
      </c>
      <c r="N484" s="328">
        <f t="shared" ca="1" si="148"/>
        <v>0</v>
      </c>
    </row>
    <row r="485" spans="1:14" ht="20.100000000000001" customHeight="1">
      <c r="A485" s="87"/>
      <c r="B485" s="7" t="s">
        <v>2232</v>
      </c>
      <c r="C485" s="32" t="str">
        <f>VLOOKUP($B485,R_DG!$A$7:$G$1305,2,0)</f>
        <v>D2.6032</v>
      </c>
      <c r="D485" s="8" t="str">
        <f>VLOOKUP($B485,R_DG!$A$7:$G$1305,3,0)</f>
        <v>Lắp xà néo ≤ 50kg</v>
      </c>
      <c r="E485" s="9" t="str">
        <f>VLOOKUP($B485,R_DG!$A$7:$G$1305,4,0)</f>
        <v>bộ</v>
      </c>
      <c r="F485" s="11">
        <f>F479</f>
        <v>2</v>
      </c>
      <c r="G485" s="214">
        <f>VLOOKUP($B485,R_DG!$A$7:$G$1305,5,0)</f>
        <v>0</v>
      </c>
      <c r="H485" s="214">
        <f>VLOOKUP($B485,R_DG!$A$7:$G$1305,6,0)</f>
        <v>375446.7</v>
      </c>
      <c r="I485" s="214">
        <f>VLOOKUP($B485,R_DG!$A$7:$G$1305,7,0)</f>
        <v>0</v>
      </c>
      <c r="J485" s="214">
        <f t="shared" si="144"/>
        <v>0</v>
      </c>
      <c r="K485" s="214">
        <f t="shared" si="144"/>
        <v>750893.4</v>
      </c>
      <c r="L485" s="220">
        <f t="shared" si="144"/>
        <v>0</v>
      </c>
      <c r="M485" s="93">
        <f t="shared" si="147"/>
        <v>0</v>
      </c>
      <c r="N485" s="328">
        <f t="shared" ca="1" si="148"/>
        <v>0</v>
      </c>
    </row>
    <row r="486" spans="1:14" ht="20.100000000000001" customHeight="1">
      <c r="A486" s="87"/>
      <c r="B486" s="7" t="s">
        <v>2228</v>
      </c>
      <c r="C486" s="32" t="str">
        <f>VLOOKUP($B486,R_DG!$A$7:$G$1305,2,0)</f>
        <v>02.1115</v>
      </c>
      <c r="D486" s="8" t="str">
        <f>VLOOKUP($B486,R_DG!$A$7:$G$1305,3,0)</f>
        <v>Bốc dỡ xà, thép thanh</v>
      </c>
      <c r="E486" s="9" t="str">
        <f>VLOOKUP($B486,R_DG!$A$7:$G$1305,4,0)</f>
        <v>tấn</v>
      </c>
      <c r="F486" s="11"/>
      <c r="G486" s="214">
        <f>VLOOKUP($B486,R_DG!$A$7:$G$1305,5,0)</f>
        <v>0</v>
      </c>
      <c r="H486" s="214">
        <f>VLOOKUP($B486,R_DG!$A$7:$G$1305,6,0)</f>
        <v>0</v>
      </c>
      <c r="I486" s="214">
        <f>VLOOKUP($B486,R_DG!$A$7:$G$1305,7,0)</f>
        <v>0</v>
      </c>
      <c r="J486" s="214">
        <f t="shared" si="144"/>
        <v>0</v>
      </c>
      <c r="K486" s="214">
        <f t="shared" si="144"/>
        <v>0</v>
      </c>
      <c r="L486" s="220">
        <f t="shared" si="144"/>
        <v>0</v>
      </c>
      <c r="M486" s="93">
        <f t="shared" si="147"/>
        <v>0</v>
      </c>
      <c r="N486" s="328">
        <f t="shared" ca="1" si="148"/>
        <v>0</v>
      </c>
    </row>
    <row r="487" spans="1:14" ht="20.100000000000001" customHeight="1">
      <c r="A487" s="89" t="s">
        <v>2243</v>
      </c>
      <c r="B487" s="24"/>
      <c r="C487" s="34"/>
      <c r="D487" s="25" t="s">
        <v>4534</v>
      </c>
      <c r="E487" s="25" t="s">
        <v>163</v>
      </c>
      <c r="F487" s="26"/>
      <c r="G487" s="213"/>
      <c r="H487" s="213"/>
      <c r="I487" s="213"/>
      <c r="J487" s="213" t="e">
        <f>SUM(J488:J496)</f>
        <v>#REF!</v>
      </c>
      <c r="K487" s="213">
        <f>SUM(K488:K496)</f>
        <v>750893.4</v>
      </c>
      <c r="L487" s="219">
        <f>SUM(L488:L496)</f>
        <v>0</v>
      </c>
      <c r="M487" s="92">
        <f>IF(ERROR.TYPE(IF(HLOOKUP(A487,maBK,1,0)&lt;&gt;"",#NULL!,"ABC"))&lt;&gt;7,1,0)</f>
        <v>0</v>
      </c>
      <c r="N487" s="327">
        <f ca="1">SUMIF(maBK,$A487,tongBK1)</f>
        <v>0</v>
      </c>
    </row>
    <row r="488" spans="1:14" ht="20.100000000000001" customHeight="1">
      <c r="A488" s="87"/>
      <c r="B488" s="7" t="s">
        <v>3308</v>
      </c>
      <c r="C488" s="32">
        <f>VLOOKUP($B488,R_DG!$A$7:$G$1305,2,0)</f>
        <v>0</v>
      </c>
      <c r="D488" s="8" t="str">
        <f>VLOOKUP($B488,R_DG!$A$7:$G$1305,3,0)</f>
        <v>Đà sắt L75x75x8x2200 4 ốp (22,37kg/cái)</v>
      </c>
      <c r="E488" s="9" t="str">
        <f>VLOOKUP($B488,R_DG!$A$7:$G$1305,4,0)</f>
        <v>cái</v>
      </c>
      <c r="F488" s="11">
        <v>2</v>
      </c>
      <c r="G488" s="214" t="e">
        <f>VLOOKUP($B488,R_DG!$A$7:$G$1305,5,0)</f>
        <v>#REF!</v>
      </c>
      <c r="H488" s="214">
        <f>VLOOKUP($B488,R_DG!$A$7:$G$1305,6,0)</f>
        <v>0</v>
      </c>
      <c r="I488" s="214">
        <f>VLOOKUP($B488,R_DG!$A$7:$G$1305,7,0)</f>
        <v>0</v>
      </c>
      <c r="J488" s="214" t="e">
        <f t="shared" si="144"/>
        <v>#REF!</v>
      </c>
      <c r="K488" s="214">
        <f t="shared" si="144"/>
        <v>0</v>
      </c>
      <c r="L488" s="220">
        <f t="shared" si="144"/>
        <v>0</v>
      </c>
      <c r="M488" s="93">
        <f t="shared" ref="M488:M496" si="149">IF(F488&gt;0,M$487,0)</f>
        <v>0</v>
      </c>
      <c r="N488" s="328">
        <f t="shared" ref="N488:N495" ca="1" si="150">$F488*N$487</f>
        <v>0</v>
      </c>
    </row>
    <row r="489" spans="1:14" ht="20.100000000000001" customHeight="1">
      <c r="A489" s="87"/>
      <c r="B489" s="7" t="s">
        <v>3313</v>
      </c>
      <c r="C489" s="32">
        <f>VLOOKUP($B489,R_DG!$A$7:$G$1305,2,0)</f>
        <v>0</v>
      </c>
      <c r="D489" s="8" t="str">
        <f>VLOOKUP($B489,R_DG!$A$7:$G$1305,3,0)</f>
        <v>Thanh chống L50x50x5x810 (2,47kg/cái)</v>
      </c>
      <c r="E489" s="9" t="str">
        <f>VLOOKUP($B489,R_DG!$A$7:$G$1305,4,0)</f>
        <v>cái</v>
      </c>
      <c r="F489" s="11">
        <v>4</v>
      </c>
      <c r="G489" s="214">
        <f>VLOOKUP($B489,R_DG!$A$7:$G$1305,5,0)</f>
        <v>71533.670000000013</v>
      </c>
      <c r="H489" s="214">
        <f>VLOOKUP($B489,R_DG!$A$7:$G$1305,6,0)</f>
        <v>0</v>
      </c>
      <c r="I489" s="214">
        <f>VLOOKUP($B489,R_DG!$A$7:$G$1305,7,0)</f>
        <v>0</v>
      </c>
      <c r="J489" s="214">
        <f t="shared" si="144"/>
        <v>286134.68000000005</v>
      </c>
      <c r="K489" s="214">
        <f t="shared" si="144"/>
        <v>0</v>
      </c>
      <c r="L489" s="220">
        <f t="shared" si="144"/>
        <v>0</v>
      </c>
      <c r="M489" s="93">
        <f t="shared" si="149"/>
        <v>0</v>
      </c>
      <c r="N489" s="328">
        <f t="shared" ca="1" si="150"/>
        <v>0</v>
      </c>
    </row>
    <row r="490" spans="1:14" ht="20.100000000000001" customHeight="1">
      <c r="A490" s="87"/>
      <c r="B490" s="7" t="s">
        <v>94</v>
      </c>
      <c r="C490" s="32">
        <f>VLOOKUP($B490,R_DG!$A$7:$G$1305,2,0)</f>
        <v>0</v>
      </c>
      <c r="D490" s="8" t="str">
        <f>VLOOKUP($B490,R_DG!$A$7:$G$1305,3,0)</f>
        <v>Boulon 16x500+ 2 long đền vuông D18-50x50x3/Zn</v>
      </c>
      <c r="E490" s="9" t="str">
        <f>VLOOKUP($B490,R_DG!$A$7:$G$1305,4,0)</f>
        <v>bộ</v>
      </c>
      <c r="F490" s="11">
        <v>2</v>
      </c>
      <c r="G490" s="214" t="e">
        <f>VLOOKUP($B490,R_DG!$A$7:$G$1305,5,0)</f>
        <v>#REF!</v>
      </c>
      <c r="H490" s="214">
        <f>VLOOKUP($B490,R_DG!$A$7:$G$1305,6,0)</f>
        <v>0</v>
      </c>
      <c r="I490" s="214">
        <f>VLOOKUP($B490,R_DG!$A$7:$G$1305,7,0)</f>
        <v>0</v>
      </c>
      <c r="J490" s="214" t="e">
        <f t="shared" si="144"/>
        <v>#REF!</v>
      </c>
      <c r="K490" s="214">
        <f t="shared" si="144"/>
        <v>0</v>
      </c>
      <c r="L490" s="220">
        <f t="shared" si="144"/>
        <v>0</v>
      </c>
      <c r="M490" s="93">
        <f t="shared" si="149"/>
        <v>0</v>
      </c>
      <c r="N490" s="328">
        <f t="shared" ca="1" si="150"/>
        <v>0</v>
      </c>
    </row>
    <row r="491" spans="1:14" ht="20.100000000000001" customHeight="1">
      <c r="A491" s="87"/>
      <c r="B491" s="7" t="s">
        <v>96</v>
      </c>
      <c r="C491" s="32">
        <f>VLOOKUP($B491,R_DG!$A$7:$G$1305,2,0)</f>
        <v>0</v>
      </c>
      <c r="D491" s="8" t="str">
        <f>VLOOKUP($B491,R_DG!$A$7:$G$1305,3,0)</f>
        <v>Boulon 16x600+ 2 long đền vuông D18-50x50x3/Zn</v>
      </c>
      <c r="E491" s="9" t="str">
        <f>VLOOKUP($B491,R_DG!$A$7:$G$1305,4,0)</f>
        <v>bộ</v>
      </c>
      <c r="F491" s="11"/>
      <c r="G491" s="214" t="e">
        <f>VLOOKUP($B491,R_DG!$A$7:$G$1305,5,0)</f>
        <v>#REF!</v>
      </c>
      <c r="H491" s="214">
        <f>VLOOKUP($B491,R_DG!$A$7:$G$1305,6,0)</f>
        <v>0</v>
      </c>
      <c r="I491" s="214">
        <f>VLOOKUP($B491,R_DG!$A$7:$G$1305,7,0)</f>
        <v>0</v>
      </c>
      <c r="J491" s="214" t="e">
        <f t="shared" si="144"/>
        <v>#REF!</v>
      </c>
      <c r="K491" s="214">
        <f t="shared" si="144"/>
        <v>0</v>
      </c>
      <c r="L491" s="220">
        <f t="shared" si="144"/>
        <v>0</v>
      </c>
      <c r="M491" s="93">
        <f t="shared" si="149"/>
        <v>0</v>
      </c>
      <c r="N491" s="328">
        <f t="shared" ca="1" si="150"/>
        <v>0</v>
      </c>
    </row>
    <row r="492" spans="1:14" ht="20.100000000000001" customHeight="1">
      <c r="A492" s="87"/>
      <c r="B492" s="7" t="s">
        <v>2244</v>
      </c>
      <c r="C492" s="32">
        <f>VLOOKUP($B492,R_DG!$A$7:$G$1305,2,0)</f>
        <v>0</v>
      </c>
      <c r="D492" s="8" t="str">
        <f>VLOOKUP($B492,R_DG!$A$7:$G$1305,3,0)</f>
        <v>Boulon 16x550VRS+ 4 long đền vuông D18-50x50x3/Zn</v>
      </c>
      <c r="E492" s="9" t="str">
        <f>VLOOKUP($B492,R_DG!$A$7:$G$1305,4,0)</f>
        <v>bộ</v>
      </c>
      <c r="F492" s="11">
        <v>4</v>
      </c>
      <c r="G492" s="214" t="e">
        <f>VLOOKUP($B492,R_DG!$A$7:$G$1305,5,0)</f>
        <v>#REF!</v>
      </c>
      <c r="H492" s="214">
        <f>VLOOKUP($B492,R_DG!$A$7:$G$1305,6,0)</f>
        <v>0</v>
      </c>
      <c r="I492" s="214">
        <f>VLOOKUP($B492,R_DG!$A$7:$G$1305,7,0)</f>
        <v>0</v>
      </c>
      <c r="J492" s="214" t="e">
        <f t="shared" si="144"/>
        <v>#REF!</v>
      </c>
      <c r="K492" s="214">
        <f t="shared" si="144"/>
        <v>0</v>
      </c>
      <c r="L492" s="220">
        <f t="shared" si="144"/>
        <v>0</v>
      </c>
      <c r="M492" s="93">
        <f t="shared" si="149"/>
        <v>0</v>
      </c>
      <c r="N492" s="328">
        <f t="shared" ca="1" si="150"/>
        <v>0</v>
      </c>
    </row>
    <row r="493" spans="1:14" ht="20.100000000000001" customHeight="1">
      <c r="A493" s="87"/>
      <c r="B493" s="7" t="s">
        <v>76</v>
      </c>
      <c r="C493" s="32">
        <f>VLOOKUP($B493,R_DG!$A$7:$G$1305,2,0)</f>
        <v>0</v>
      </c>
      <c r="D493" s="8" t="str">
        <f>VLOOKUP($B493,R_DG!$A$7:$G$1305,3,0)</f>
        <v>Boulon 16x50+ 2 long đền vuông D18-50x50x3/Zn</v>
      </c>
      <c r="E493" s="9" t="str">
        <f>VLOOKUP($B493,R_DG!$A$7:$G$1305,4,0)</f>
        <v>bộ</v>
      </c>
      <c r="F493" s="11">
        <v>4</v>
      </c>
      <c r="G493" s="214" t="e">
        <f>VLOOKUP($B493,R_DG!$A$7:$G$1305,5,0)</f>
        <v>#REF!</v>
      </c>
      <c r="H493" s="214">
        <f>VLOOKUP($B493,R_DG!$A$7:$G$1305,6,0)</f>
        <v>0</v>
      </c>
      <c r="I493" s="214">
        <f>VLOOKUP($B493,R_DG!$A$7:$G$1305,7,0)</f>
        <v>0</v>
      </c>
      <c r="J493" s="214" t="e">
        <f t="shared" si="144"/>
        <v>#REF!</v>
      </c>
      <c r="K493" s="214">
        <f t="shared" si="144"/>
        <v>0</v>
      </c>
      <c r="L493" s="220">
        <f t="shared" si="144"/>
        <v>0</v>
      </c>
      <c r="M493" s="93">
        <f t="shared" si="149"/>
        <v>0</v>
      </c>
      <c r="N493" s="328">
        <f t="shared" ca="1" si="150"/>
        <v>0</v>
      </c>
    </row>
    <row r="494" spans="1:14" ht="20.100000000000001" customHeight="1">
      <c r="A494" s="87"/>
      <c r="B494" s="7" t="s">
        <v>1185</v>
      </c>
      <c r="C494" s="32" t="str">
        <f>VLOOKUP($B494,R_DG!$A$7:$G$1305,2,0)</f>
        <v>D2.6032</v>
      </c>
      <c r="D494" s="8" t="str">
        <f>VLOOKUP($B494,R_DG!$A$7:$G$1305,3,0)</f>
        <v>Lắp xà néo ≤ 50kg</v>
      </c>
      <c r="E494" s="9" t="str">
        <f>VLOOKUP($B494,R_DG!$A$7:$G$1305,4,0)</f>
        <v>bộ</v>
      </c>
      <c r="F494" s="11">
        <f>F488</f>
        <v>2</v>
      </c>
      <c r="G494" s="214">
        <f>VLOOKUP($B494,R_DG!$A$7:$G$1305,5,0)</f>
        <v>0</v>
      </c>
      <c r="H494" s="214">
        <f>VLOOKUP($B494,R_DG!$A$7:$G$1305,6,0)</f>
        <v>375446.7</v>
      </c>
      <c r="I494" s="214">
        <f>VLOOKUP($B494,R_DG!$A$7:$G$1305,7,0)</f>
        <v>0</v>
      </c>
      <c r="J494" s="214">
        <f t="shared" si="144"/>
        <v>0</v>
      </c>
      <c r="K494" s="214">
        <f t="shared" si="144"/>
        <v>750893.4</v>
      </c>
      <c r="L494" s="220">
        <f t="shared" si="144"/>
        <v>0</v>
      </c>
      <c r="M494" s="93">
        <f t="shared" si="149"/>
        <v>0</v>
      </c>
      <c r="N494" s="328">
        <f t="shared" ca="1" si="150"/>
        <v>0</v>
      </c>
    </row>
    <row r="495" spans="1:14" ht="20.100000000000001" customHeight="1">
      <c r="A495" s="87"/>
      <c r="B495" s="7" t="s">
        <v>2228</v>
      </c>
      <c r="C495" s="32" t="str">
        <f>VLOOKUP($B495,R_DG!$A$7:$G$1305,2,0)</f>
        <v>02.1115</v>
      </c>
      <c r="D495" s="8" t="str">
        <f>VLOOKUP($B495,R_DG!$A$7:$G$1305,3,0)</f>
        <v>Bốc dỡ xà, thép thanh</v>
      </c>
      <c r="E495" s="9" t="str">
        <f>VLOOKUP($B495,R_DG!$A$7:$G$1305,4,0)</f>
        <v>tấn</v>
      </c>
      <c r="F495" s="11"/>
      <c r="G495" s="214">
        <f>VLOOKUP($B495,R_DG!$A$7:$G$1305,5,0)</f>
        <v>0</v>
      </c>
      <c r="H495" s="214">
        <f>VLOOKUP($B495,R_DG!$A$7:$G$1305,6,0)</f>
        <v>0</v>
      </c>
      <c r="I495" s="214">
        <f>VLOOKUP($B495,R_DG!$A$7:$G$1305,7,0)</f>
        <v>0</v>
      </c>
      <c r="J495" s="214">
        <f t="shared" si="144"/>
        <v>0</v>
      </c>
      <c r="K495" s="214">
        <f t="shared" si="144"/>
        <v>0</v>
      </c>
      <c r="L495" s="220">
        <f t="shared" si="144"/>
        <v>0</v>
      </c>
      <c r="M495" s="93">
        <f t="shared" si="149"/>
        <v>0</v>
      </c>
      <c r="N495" s="328">
        <f t="shared" ca="1" si="150"/>
        <v>0</v>
      </c>
    </row>
    <row r="496" spans="1:14" ht="20.100000000000001" customHeight="1">
      <c r="A496" s="87"/>
      <c r="B496" s="17"/>
      <c r="C496" s="32"/>
      <c r="D496" s="9"/>
      <c r="E496" s="9"/>
      <c r="F496" s="11"/>
      <c r="G496" s="214"/>
      <c r="H496" s="214"/>
      <c r="I496" s="214"/>
      <c r="J496" s="214">
        <f t="shared" si="144"/>
        <v>0</v>
      </c>
      <c r="K496" s="214">
        <f t="shared" si="144"/>
        <v>0</v>
      </c>
      <c r="L496" s="220">
        <f t="shared" si="144"/>
        <v>0</v>
      </c>
      <c r="M496" s="93">
        <f t="shared" si="149"/>
        <v>0</v>
      </c>
      <c r="N496" s="327"/>
    </row>
    <row r="497" spans="1:14" ht="20.100000000000001" customHeight="1">
      <c r="A497" s="89" t="s">
        <v>2245</v>
      </c>
      <c r="B497" s="24"/>
      <c r="C497" s="34"/>
      <c r="D497" s="25" t="s">
        <v>2246</v>
      </c>
      <c r="E497" s="25" t="s">
        <v>163</v>
      </c>
      <c r="F497" s="26"/>
      <c r="G497" s="213"/>
      <c r="H497" s="213"/>
      <c r="I497" s="213"/>
      <c r="J497" s="213" t="e">
        <f>SUM(J498:J505)</f>
        <v>#REF!</v>
      </c>
      <c r="K497" s="213">
        <f>SUM(K498:K505)</f>
        <v>505503.4</v>
      </c>
      <c r="L497" s="219">
        <f>SUM(L498:L505)</f>
        <v>0</v>
      </c>
      <c r="M497" s="92">
        <f>IF(ERROR.TYPE(IF(HLOOKUP(A497,maBK,1,0)&lt;&gt;"",#NULL!,"ABC"))&lt;&gt;7,1,0)</f>
        <v>0</v>
      </c>
      <c r="N497" s="327">
        <f ca="1">SUMIF(maBK,$A497,tongBK1)</f>
        <v>0</v>
      </c>
    </row>
    <row r="498" spans="1:14" ht="20.100000000000001" customHeight="1">
      <c r="A498" s="87"/>
      <c r="B498" s="7" t="s">
        <v>3308</v>
      </c>
      <c r="C498" s="32">
        <f>VLOOKUP($B498,R_DG!$A$7:$G$1305,2,0)</f>
        <v>0</v>
      </c>
      <c r="D498" s="8" t="str">
        <f>VLOOKUP($B498,R_DG!$A$7:$G$1305,3,0)</f>
        <v>Đà sắt L75x75x8x2200 4 ốp (22,37kg/cái)</v>
      </c>
      <c r="E498" s="9" t="str">
        <f>VLOOKUP($B498,R_DG!$A$7:$G$1305,4,0)</f>
        <v>cái</v>
      </c>
      <c r="F498" s="11">
        <v>2</v>
      </c>
      <c r="G498" s="214" t="e">
        <f>VLOOKUP($B498,R_DG!$A$7:$G$1305,5,0)</f>
        <v>#REF!</v>
      </c>
      <c r="H498" s="214">
        <f>VLOOKUP($B498,R_DG!$A$7:$G$1305,6,0)</f>
        <v>0</v>
      </c>
      <c r="I498" s="214">
        <f>VLOOKUP($B498,R_DG!$A$7:$G$1305,7,0)</f>
        <v>0</v>
      </c>
      <c r="J498" s="214" t="e">
        <f t="shared" si="144"/>
        <v>#REF!</v>
      </c>
      <c r="K498" s="214">
        <f t="shared" si="144"/>
        <v>0</v>
      </c>
      <c r="L498" s="220">
        <f t="shared" si="144"/>
        <v>0</v>
      </c>
      <c r="M498" s="93">
        <f t="shared" ref="M498:M505" si="151">IF(F498&gt;0,M$497,0)</f>
        <v>0</v>
      </c>
      <c r="N498" s="328">
        <f t="shared" ref="N498:N505" ca="1" si="152">$F498*N$497</f>
        <v>0</v>
      </c>
    </row>
    <row r="499" spans="1:14" ht="20.100000000000001" customHeight="1">
      <c r="A499" s="87"/>
      <c r="B499" s="7" t="s">
        <v>4055</v>
      </c>
      <c r="C499" s="32">
        <f>VLOOKUP($B499,R_DG!$A$7:$G$1305,2,0)</f>
        <v>0</v>
      </c>
      <c r="D499" s="8" t="str">
        <f>VLOOKUP($B499,R_DG!$A$7:$G$1305,3,0)</f>
        <v>Thanh chống L50x50x5x920 (2,81kg/cái)</v>
      </c>
      <c r="E499" s="9" t="str">
        <f>VLOOKUP($B499,R_DG!$A$7:$G$1305,4,0)</f>
        <v>cái</v>
      </c>
      <c r="F499" s="11">
        <v>4</v>
      </c>
      <c r="G499" s="214">
        <f>VLOOKUP($B499,R_DG!$A$7:$G$1305,5,0)</f>
        <v>81264.566000000006</v>
      </c>
      <c r="H499" s="214">
        <f>VLOOKUP($B499,R_DG!$A$7:$G$1305,6,0)</f>
        <v>0</v>
      </c>
      <c r="I499" s="214">
        <f>VLOOKUP($B499,R_DG!$A$7:$G$1305,7,0)</f>
        <v>0</v>
      </c>
      <c r="J499" s="214">
        <f t="shared" si="144"/>
        <v>325058.26400000002</v>
      </c>
      <c r="K499" s="214">
        <f t="shared" si="144"/>
        <v>0</v>
      </c>
      <c r="L499" s="220">
        <f t="shared" si="144"/>
        <v>0</v>
      </c>
      <c r="M499" s="93">
        <f t="shared" si="151"/>
        <v>0</v>
      </c>
      <c r="N499" s="328">
        <f t="shared" ca="1" si="152"/>
        <v>0</v>
      </c>
    </row>
    <row r="500" spans="1:14" ht="20.100000000000001" customHeight="1">
      <c r="A500" s="87"/>
      <c r="B500" s="7" t="s">
        <v>84</v>
      </c>
      <c r="C500" s="32">
        <f>VLOOKUP($B500,R_DG!$A$7:$G$1305,2,0)</f>
        <v>0</v>
      </c>
      <c r="D500" s="8" t="str">
        <f>VLOOKUP($B500,R_DG!$A$7:$G$1305,3,0)</f>
        <v>Boulon 16x250+ 2 long đền vuông D18-50x50x3/Zn</v>
      </c>
      <c r="E500" s="9" t="str">
        <f>VLOOKUP($B500,R_DG!$A$7:$G$1305,4,0)</f>
        <v>bộ</v>
      </c>
      <c r="F500" s="11">
        <v>1</v>
      </c>
      <c r="G500" s="214" t="e">
        <f>VLOOKUP($B500,R_DG!$A$7:$G$1305,5,0)</f>
        <v>#REF!</v>
      </c>
      <c r="H500" s="214">
        <f>VLOOKUP($B500,R_DG!$A$7:$G$1305,6,0)</f>
        <v>0</v>
      </c>
      <c r="I500" s="214">
        <f>VLOOKUP($B500,R_DG!$A$7:$G$1305,7,0)</f>
        <v>0</v>
      </c>
      <c r="J500" s="214" t="e">
        <f t="shared" si="144"/>
        <v>#REF!</v>
      </c>
      <c r="K500" s="214">
        <f t="shared" si="144"/>
        <v>0</v>
      </c>
      <c r="L500" s="220">
        <f t="shared" si="144"/>
        <v>0</v>
      </c>
      <c r="M500" s="93">
        <f t="shared" si="151"/>
        <v>0</v>
      </c>
      <c r="N500" s="328">
        <f t="shared" ca="1" si="152"/>
        <v>0</v>
      </c>
    </row>
    <row r="501" spans="1:14" ht="20.100000000000001" customHeight="1">
      <c r="A501" s="87"/>
      <c r="B501" s="7" t="s">
        <v>86</v>
      </c>
      <c r="C501" s="32">
        <f>VLOOKUP($B501,R_DG!$A$7:$G$1305,2,0)</f>
        <v>0</v>
      </c>
      <c r="D501" s="8" t="str">
        <f>VLOOKUP($B501,R_DG!$A$7:$G$1305,3,0)</f>
        <v>Boulon 16x300+ 2 long đền vuông D18-50x50x3/Zn</v>
      </c>
      <c r="E501" s="9" t="str">
        <f>VLOOKUP($B501,R_DG!$A$7:$G$1305,4,0)</f>
        <v>bộ</v>
      </c>
      <c r="F501" s="11">
        <v>1</v>
      </c>
      <c r="G501" s="214" t="e">
        <f>VLOOKUP($B501,R_DG!$A$7:$G$1305,5,0)</f>
        <v>#REF!</v>
      </c>
      <c r="H501" s="214">
        <f>VLOOKUP($B501,R_DG!$A$7:$G$1305,6,0)</f>
        <v>0</v>
      </c>
      <c r="I501" s="214">
        <f>VLOOKUP($B501,R_DG!$A$7:$G$1305,7,0)</f>
        <v>0</v>
      </c>
      <c r="J501" s="214" t="e">
        <f t="shared" si="144"/>
        <v>#REF!</v>
      </c>
      <c r="K501" s="214">
        <f t="shared" si="144"/>
        <v>0</v>
      </c>
      <c r="L501" s="220">
        <f t="shared" si="144"/>
        <v>0</v>
      </c>
      <c r="M501" s="93">
        <f t="shared" si="151"/>
        <v>0</v>
      </c>
      <c r="N501" s="328">
        <f t="shared" ca="1" si="152"/>
        <v>0</v>
      </c>
    </row>
    <row r="502" spans="1:14" ht="20.100000000000001" customHeight="1">
      <c r="A502" s="87"/>
      <c r="B502" s="7" t="s">
        <v>2237</v>
      </c>
      <c r="C502" s="32">
        <f>VLOOKUP($B502,R_DG!$A$7:$G$1305,2,0)</f>
        <v>0</v>
      </c>
      <c r="D502" s="8" t="str">
        <f>VLOOKUP($B502,R_DG!$A$7:$G$1305,3,0)</f>
        <v>Boulon 16x300VRS+ 4 long đền vuông D18-50x50x3/Zn</v>
      </c>
      <c r="E502" s="9" t="str">
        <f>VLOOKUP($B502,R_DG!$A$7:$G$1305,4,0)</f>
        <v>bộ</v>
      </c>
      <c r="F502" s="11">
        <v>4</v>
      </c>
      <c r="G502" s="214" t="e">
        <f>VLOOKUP($B502,R_DG!$A$7:$G$1305,5,0)</f>
        <v>#REF!</v>
      </c>
      <c r="H502" s="214">
        <f>VLOOKUP($B502,R_DG!$A$7:$G$1305,6,0)</f>
        <v>0</v>
      </c>
      <c r="I502" s="214">
        <f>VLOOKUP($B502,R_DG!$A$7:$G$1305,7,0)</f>
        <v>0</v>
      </c>
      <c r="J502" s="214" t="e">
        <f t="shared" si="144"/>
        <v>#REF!</v>
      </c>
      <c r="K502" s="214">
        <f t="shared" si="144"/>
        <v>0</v>
      </c>
      <c r="L502" s="220">
        <f t="shared" si="144"/>
        <v>0</v>
      </c>
      <c r="M502" s="93">
        <f t="shared" si="151"/>
        <v>0</v>
      </c>
      <c r="N502" s="328">
        <f t="shared" ca="1" si="152"/>
        <v>0</v>
      </c>
    </row>
    <row r="503" spans="1:14" ht="20.100000000000001" customHeight="1">
      <c r="A503" s="87"/>
      <c r="B503" s="7" t="s">
        <v>76</v>
      </c>
      <c r="C503" s="32">
        <f>VLOOKUP($B503,R_DG!$A$7:$G$1305,2,0)</f>
        <v>0</v>
      </c>
      <c r="D503" s="8" t="str">
        <f>VLOOKUP($B503,R_DG!$A$7:$G$1305,3,0)</f>
        <v>Boulon 16x50+ 2 long đền vuông D18-50x50x3/Zn</v>
      </c>
      <c r="E503" s="9" t="str">
        <f>VLOOKUP($B503,R_DG!$A$7:$G$1305,4,0)</f>
        <v>bộ</v>
      </c>
      <c r="F503" s="11">
        <v>4</v>
      </c>
      <c r="G503" s="214" t="e">
        <f>VLOOKUP($B503,R_DG!$A$7:$G$1305,5,0)</f>
        <v>#REF!</v>
      </c>
      <c r="H503" s="214">
        <f>VLOOKUP($B503,R_DG!$A$7:$G$1305,6,0)</f>
        <v>0</v>
      </c>
      <c r="I503" s="214">
        <f>VLOOKUP($B503,R_DG!$A$7:$G$1305,7,0)</f>
        <v>0</v>
      </c>
      <c r="J503" s="214" t="e">
        <f t="shared" si="144"/>
        <v>#REF!</v>
      </c>
      <c r="K503" s="214">
        <f t="shared" si="144"/>
        <v>0</v>
      </c>
      <c r="L503" s="220">
        <f t="shared" si="144"/>
        <v>0</v>
      </c>
      <c r="M503" s="93">
        <f t="shared" si="151"/>
        <v>0</v>
      </c>
      <c r="N503" s="328">
        <f t="shared" ca="1" si="152"/>
        <v>0</v>
      </c>
    </row>
    <row r="504" spans="1:14" ht="20.100000000000001" customHeight="1">
      <c r="A504" s="87"/>
      <c r="B504" s="7" t="s">
        <v>2247</v>
      </c>
      <c r="C504" s="32" t="str">
        <f>VLOOKUP($B504,R_DG!$A$7:$G$1305,2,0)</f>
        <v>D2.6042</v>
      </c>
      <c r="D504" s="8" t="str">
        <f>VLOOKUP($B504,R_DG!$A$7:$G$1305,3,0)</f>
        <v>Lắp xà néo ≤ 100kg</v>
      </c>
      <c r="E504" s="9" t="str">
        <f>VLOOKUP($B504,R_DG!$A$7:$G$1305,4,0)</f>
        <v>bộ</v>
      </c>
      <c r="F504" s="11">
        <v>1</v>
      </c>
      <c r="G504" s="214">
        <f>VLOOKUP($B504,R_DG!$A$7:$G$1305,5,0)</f>
        <v>0</v>
      </c>
      <c r="H504" s="214">
        <f>VLOOKUP($B504,R_DG!$A$7:$G$1305,6,0)</f>
        <v>505503.4</v>
      </c>
      <c r="I504" s="214">
        <f>VLOOKUP($B504,R_DG!$A$7:$G$1305,7,0)</f>
        <v>0</v>
      </c>
      <c r="J504" s="214">
        <f t="shared" si="144"/>
        <v>0</v>
      </c>
      <c r="K504" s="214">
        <f t="shared" si="144"/>
        <v>505503.4</v>
      </c>
      <c r="L504" s="220">
        <f t="shared" si="144"/>
        <v>0</v>
      </c>
      <c r="M504" s="93">
        <f t="shared" si="151"/>
        <v>0</v>
      </c>
      <c r="N504" s="328">
        <f t="shared" ca="1" si="152"/>
        <v>0</v>
      </c>
    </row>
    <row r="505" spans="1:14" ht="20.100000000000001" customHeight="1">
      <c r="A505" s="87"/>
      <c r="B505" s="7" t="s">
        <v>2228</v>
      </c>
      <c r="C505" s="32" t="str">
        <f>VLOOKUP($B505,R_DG!$A$7:$G$1305,2,0)</f>
        <v>02.1115</v>
      </c>
      <c r="D505" s="8" t="str">
        <f>VLOOKUP($B505,R_DG!$A$7:$G$1305,3,0)</f>
        <v>Bốc dỡ xà, thép thanh</v>
      </c>
      <c r="E505" s="9" t="str">
        <f>VLOOKUP($B505,R_DG!$A$7:$G$1305,4,0)</f>
        <v>tấn</v>
      </c>
      <c r="F505" s="11"/>
      <c r="G505" s="214">
        <f>VLOOKUP($B505,R_DG!$A$7:$G$1305,5,0)</f>
        <v>0</v>
      </c>
      <c r="H505" s="214">
        <f>VLOOKUP($B505,R_DG!$A$7:$G$1305,6,0)</f>
        <v>0</v>
      </c>
      <c r="I505" s="214">
        <f>VLOOKUP($B505,R_DG!$A$7:$G$1305,7,0)</f>
        <v>0</v>
      </c>
      <c r="J505" s="214">
        <f t="shared" si="144"/>
        <v>0</v>
      </c>
      <c r="K505" s="214">
        <f t="shared" si="144"/>
        <v>0</v>
      </c>
      <c r="L505" s="220">
        <f t="shared" si="144"/>
        <v>0</v>
      </c>
      <c r="M505" s="93">
        <f t="shared" si="151"/>
        <v>0</v>
      </c>
      <c r="N505" s="328">
        <f t="shared" ca="1" si="152"/>
        <v>0</v>
      </c>
    </row>
    <row r="506" spans="1:14" ht="20.100000000000001" customHeight="1">
      <c r="A506" s="89" t="s">
        <v>2248</v>
      </c>
      <c r="B506" s="24"/>
      <c r="C506" s="34"/>
      <c r="D506" s="25" t="s">
        <v>2249</v>
      </c>
      <c r="E506" s="25" t="s">
        <v>163</v>
      </c>
      <c r="F506" s="26"/>
      <c r="G506" s="213"/>
      <c r="H506" s="213"/>
      <c r="I506" s="213"/>
      <c r="J506" s="213" t="e">
        <f>SUM(J507:J512)</f>
        <v>#REF!</v>
      </c>
      <c r="K506" s="213">
        <f>SUM(K507:K512)</f>
        <v>282198.5</v>
      </c>
      <c r="L506" s="219">
        <f>SUM(L507:L512)</f>
        <v>0</v>
      </c>
      <c r="M506" s="92">
        <f>IF(ERROR.TYPE(IF(HLOOKUP(A506,maBK,1,0)&lt;&gt;"",#NULL!,"ABC"))&lt;&gt;7,1,0)</f>
        <v>0</v>
      </c>
      <c r="N506" s="327">
        <f ca="1">SUMIF(maBK,$A506,tongBK1)</f>
        <v>0</v>
      </c>
    </row>
    <row r="507" spans="1:14" ht="20.100000000000001" customHeight="1">
      <c r="A507" s="87"/>
      <c r="B507" s="7" t="s">
        <v>4054</v>
      </c>
      <c r="C507" s="32">
        <f>VLOOKUP($B507,R_DG!$A$7:$G$1305,2,0)</f>
        <v>0</v>
      </c>
      <c r="D507" s="8" t="str">
        <f>VLOOKUP($B507,R_DG!$A$7:$G$1305,3,0)</f>
        <v>Thép hình L75 x75 x8</v>
      </c>
      <c r="E507" s="9" t="str">
        <f>VLOOKUP($B507,R_DG!$A$7:$G$1305,4,0)</f>
        <v>kg</v>
      </c>
      <c r="F507" s="11">
        <f>9.02*(2.4+4*0.07)</f>
        <v>24.173599999999997</v>
      </c>
      <c r="G507" s="214">
        <f>VLOOKUP($B507,R_DG!$A$7:$G$1305,5,0)</f>
        <v>28961</v>
      </c>
      <c r="H507" s="214">
        <f>VLOOKUP($B507,R_DG!$A$7:$G$1305,6,0)</f>
        <v>0</v>
      </c>
      <c r="I507" s="214">
        <f>VLOOKUP($B507,R_DG!$A$7:$G$1305,7,0)</f>
        <v>0</v>
      </c>
      <c r="J507" s="214">
        <f t="shared" si="144"/>
        <v>700091.62959999987</v>
      </c>
      <c r="K507" s="214">
        <f t="shared" si="144"/>
        <v>0</v>
      </c>
      <c r="L507" s="220">
        <f t="shared" si="144"/>
        <v>0</v>
      </c>
      <c r="M507" s="93">
        <f t="shared" ref="M507:M512" si="153">IF(F507&gt;0,M$506,0)</f>
        <v>0</v>
      </c>
      <c r="N507" s="328">
        <f t="shared" ref="N507:N512" ca="1" si="154">$F507*N$506</f>
        <v>0</v>
      </c>
    </row>
    <row r="508" spans="1:14" ht="20.100000000000001" customHeight="1">
      <c r="A508" s="87"/>
      <c r="B508" s="7" t="s">
        <v>665</v>
      </c>
      <c r="C508" s="32">
        <f>VLOOKUP($B508,R_DG!$A$7:$G$1305,2,0)</f>
        <v>0</v>
      </c>
      <c r="D508" s="8" t="str">
        <f>VLOOKUP($B508,R_DG!$A$7:$G$1305,3,0)</f>
        <v>Sắt góc L50 x50 x5</v>
      </c>
      <c r="E508" s="9" t="str">
        <f>VLOOKUP($B508,R_DG!$A$7:$G$1305,4,0)</f>
        <v>kg</v>
      </c>
      <c r="F508" s="11">
        <f>3.77*0.92*2</f>
        <v>6.9368000000000007</v>
      </c>
      <c r="G508" s="214">
        <f>VLOOKUP($B508,R_DG!$A$7:$G$1305,5,0)</f>
        <v>28961</v>
      </c>
      <c r="H508" s="214">
        <f>VLOOKUP($B508,R_DG!$A$7:$G$1305,6,0)</f>
        <v>0</v>
      </c>
      <c r="I508" s="214">
        <f>VLOOKUP($B508,R_DG!$A$7:$G$1305,7,0)</f>
        <v>0</v>
      </c>
      <c r="J508" s="214">
        <f t="shared" si="144"/>
        <v>200896.66480000003</v>
      </c>
      <c r="K508" s="214">
        <f t="shared" si="144"/>
        <v>0</v>
      </c>
      <c r="L508" s="220">
        <f t="shared" si="144"/>
        <v>0</v>
      </c>
      <c r="M508" s="93">
        <f t="shared" si="153"/>
        <v>0</v>
      </c>
      <c r="N508" s="328">
        <f t="shared" ca="1" si="154"/>
        <v>0</v>
      </c>
    </row>
    <row r="509" spans="1:14" ht="20.100000000000001" customHeight="1">
      <c r="A509" s="87"/>
      <c r="B509" s="7" t="s">
        <v>86</v>
      </c>
      <c r="C509" s="32">
        <f>VLOOKUP($B509,R_DG!$A$7:$G$1305,2,0)</f>
        <v>0</v>
      </c>
      <c r="D509" s="8" t="str">
        <f>VLOOKUP($B509,R_DG!$A$7:$G$1305,3,0)</f>
        <v>Boulon 16x300+ 2 long đền vuông D18-50x50x3/Zn</v>
      </c>
      <c r="E509" s="9" t="str">
        <f>VLOOKUP($B509,R_DG!$A$7:$G$1305,4,0)</f>
        <v>bộ</v>
      </c>
      <c r="F509" s="11">
        <v>2</v>
      </c>
      <c r="G509" s="214" t="e">
        <f>VLOOKUP($B509,R_DG!$A$7:$G$1305,5,0)</f>
        <v>#REF!</v>
      </c>
      <c r="H509" s="214">
        <f>VLOOKUP($B509,R_DG!$A$7:$G$1305,6,0)</f>
        <v>0</v>
      </c>
      <c r="I509" s="214">
        <f>VLOOKUP($B509,R_DG!$A$7:$G$1305,7,0)</f>
        <v>0</v>
      </c>
      <c r="J509" s="214" t="e">
        <f t="shared" si="144"/>
        <v>#REF!</v>
      </c>
      <c r="K509" s="214">
        <f t="shared" si="144"/>
        <v>0</v>
      </c>
      <c r="L509" s="220">
        <f t="shared" si="144"/>
        <v>0</v>
      </c>
      <c r="M509" s="93">
        <f t="shared" si="153"/>
        <v>0</v>
      </c>
      <c r="N509" s="328">
        <f t="shared" ca="1" si="154"/>
        <v>0</v>
      </c>
    </row>
    <row r="510" spans="1:14" ht="20.100000000000001" customHeight="1">
      <c r="A510" s="87"/>
      <c r="B510" s="7" t="s">
        <v>76</v>
      </c>
      <c r="C510" s="32">
        <f>VLOOKUP($B510,R_DG!$A$7:$G$1305,2,0)</f>
        <v>0</v>
      </c>
      <c r="D510" s="8" t="str">
        <f>VLOOKUP($B510,R_DG!$A$7:$G$1305,3,0)</f>
        <v>Boulon 16x50+ 2 long đền vuông D18-50x50x3/Zn</v>
      </c>
      <c r="E510" s="9" t="str">
        <f>VLOOKUP($B510,R_DG!$A$7:$G$1305,4,0)</f>
        <v>bộ</v>
      </c>
      <c r="F510" s="11">
        <v>2</v>
      </c>
      <c r="G510" s="214" t="e">
        <f>VLOOKUP($B510,R_DG!$A$7:$G$1305,5,0)</f>
        <v>#REF!</v>
      </c>
      <c r="H510" s="214">
        <f>VLOOKUP($B510,R_DG!$A$7:$G$1305,6,0)</f>
        <v>0</v>
      </c>
      <c r="I510" s="214">
        <f>VLOOKUP($B510,R_DG!$A$7:$G$1305,7,0)</f>
        <v>0</v>
      </c>
      <c r="J510" s="214" t="e">
        <f t="shared" si="144"/>
        <v>#REF!</v>
      </c>
      <c r="K510" s="214">
        <f t="shared" si="144"/>
        <v>0</v>
      </c>
      <c r="L510" s="220">
        <f t="shared" si="144"/>
        <v>0</v>
      </c>
      <c r="M510" s="93">
        <f t="shared" si="153"/>
        <v>0</v>
      </c>
      <c r="N510" s="328">
        <f t="shared" ca="1" si="154"/>
        <v>0</v>
      </c>
    </row>
    <row r="511" spans="1:14" ht="20.100000000000001" customHeight="1">
      <c r="A511" s="87"/>
      <c r="B511" s="7" t="s">
        <v>1181</v>
      </c>
      <c r="C511" s="32" t="str">
        <f>VLOOKUP($B511,R_DG!$A$7:$G$1305,2,0)</f>
        <v>D2.6031</v>
      </c>
      <c r="D511" s="8" t="str">
        <f>VLOOKUP($B511,R_DG!$A$7:$G$1305,3,0)</f>
        <v>Lắp xà đỡ ≤ 50kg</v>
      </c>
      <c r="E511" s="9" t="str">
        <f>VLOOKUP($B511,R_DG!$A$7:$G$1305,4,0)</f>
        <v>bộ</v>
      </c>
      <c r="F511" s="11">
        <v>1</v>
      </c>
      <c r="G511" s="214">
        <f>VLOOKUP($B511,R_DG!$A$7:$G$1305,5,0)</f>
        <v>0</v>
      </c>
      <c r="H511" s="214">
        <f>VLOOKUP($B511,R_DG!$A$7:$G$1305,6,0)</f>
        <v>282198.5</v>
      </c>
      <c r="I511" s="214">
        <f>VLOOKUP($B511,R_DG!$A$7:$G$1305,7,0)</f>
        <v>0</v>
      </c>
      <c r="J511" s="214">
        <f t="shared" si="144"/>
        <v>0</v>
      </c>
      <c r="K511" s="214">
        <f t="shared" si="144"/>
        <v>282198.5</v>
      </c>
      <c r="L511" s="220">
        <f t="shared" si="144"/>
        <v>0</v>
      </c>
      <c r="M511" s="93">
        <f t="shared" si="153"/>
        <v>0</v>
      </c>
      <c r="N511" s="328">
        <f t="shared" ca="1" si="154"/>
        <v>0</v>
      </c>
    </row>
    <row r="512" spans="1:14" ht="20.100000000000001" customHeight="1">
      <c r="A512" s="87"/>
      <c r="B512" s="7" t="s">
        <v>2228</v>
      </c>
      <c r="C512" s="32" t="str">
        <f>VLOOKUP($B512,R_DG!$A$7:$G$1305,2,0)</f>
        <v>02.1115</v>
      </c>
      <c r="D512" s="8" t="str">
        <f>VLOOKUP($B512,R_DG!$A$7:$G$1305,3,0)</f>
        <v>Bốc dỡ xà, thép thanh</v>
      </c>
      <c r="E512" s="9" t="str">
        <f>VLOOKUP($B512,R_DG!$A$7:$G$1305,4,0)</f>
        <v>tấn</v>
      </c>
      <c r="F512" s="11"/>
      <c r="G512" s="214">
        <f>VLOOKUP($B512,R_DG!$A$7:$G$1305,5,0)</f>
        <v>0</v>
      </c>
      <c r="H512" s="214">
        <f>VLOOKUP($B512,R_DG!$A$7:$G$1305,6,0)</f>
        <v>0</v>
      </c>
      <c r="I512" s="214">
        <f>VLOOKUP($B512,R_DG!$A$7:$G$1305,7,0)</f>
        <v>0</v>
      </c>
      <c r="J512" s="214">
        <f t="shared" si="144"/>
        <v>0</v>
      </c>
      <c r="K512" s="214">
        <f t="shared" si="144"/>
        <v>0</v>
      </c>
      <c r="L512" s="220">
        <f t="shared" si="144"/>
        <v>0</v>
      </c>
      <c r="M512" s="93">
        <f t="shared" si="153"/>
        <v>0</v>
      </c>
      <c r="N512" s="328">
        <f t="shared" ca="1" si="154"/>
        <v>0</v>
      </c>
    </row>
    <row r="513" spans="1:14" ht="20.100000000000001" customHeight="1">
      <c r="A513" s="89" t="s">
        <v>2250</v>
      </c>
      <c r="B513" s="24"/>
      <c r="C513" s="34"/>
      <c r="D513" s="25" t="s">
        <v>2251</v>
      </c>
      <c r="E513" s="25" t="s">
        <v>163</v>
      </c>
      <c r="F513" s="26"/>
      <c r="G513" s="213"/>
      <c r="H513" s="213"/>
      <c r="I513" s="213"/>
      <c r="J513" s="213" t="e">
        <f>SUM(J514:J520)</f>
        <v>#REF!</v>
      </c>
      <c r="K513" s="213">
        <f>SUM(K514:K520)</f>
        <v>505503.4</v>
      </c>
      <c r="L513" s="219">
        <f>SUM(L514:L520)</f>
        <v>0</v>
      </c>
      <c r="M513" s="92">
        <f>IF(ERROR.TYPE(IF(HLOOKUP(A513,maBK,1,0)&lt;&gt;"",#NULL!,"ABC"))&lt;&gt;7,1,0)</f>
        <v>0</v>
      </c>
      <c r="N513" s="327">
        <f ca="1">SUMIF(maBK,$A513,tongBK1)</f>
        <v>0</v>
      </c>
    </row>
    <row r="514" spans="1:14" ht="20.100000000000001" customHeight="1">
      <c r="A514" s="87"/>
      <c r="B514" s="7" t="s">
        <v>669</v>
      </c>
      <c r="C514" s="32">
        <f>VLOOKUP($B514,R_DG!$A$7:$G$1305,2,0)</f>
        <v>0</v>
      </c>
      <c r="D514" s="8" t="str">
        <f>VLOOKUP($B514,R_DG!$A$7:$G$1305,3,0)</f>
        <v>Thép hình L75 x75 x8</v>
      </c>
      <c r="E514" s="9" t="str">
        <f>VLOOKUP($B514,R_DG!$A$7:$G$1305,4,0)</f>
        <v>kg</v>
      </c>
      <c r="F514" s="11">
        <f>9.02*(2.4+4*0.07)*2</f>
        <v>48.347199999999994</v>
      </c>
      <c r="G514" s="214">
        <f>VLOOKUP($B514,R_DG!$A$7:$G$1305,5,0)</f>
        <v>28961</v>
      </c>
      <c r="H514" s="214">
        <f>VLOOKUP($B514,R_DG!$A$7:$G$1305,6,0)</f>
        <v>0</v>
      </c>
      <c r="I514" s="214">
        <f>VLOOKUP($B514,R_DG!$A$7:$G$1305,7,0)</f>
        <v>0</v>
      </c>
      <c r="J514" s="214">
        <f t="shared" si="144"/>
        <v>1400183.2591999997</v>
      </c>
      <c r="K514" s="214">
        <f t="shared" si="144"/>
        <v>0</v>
      </c>
      <c r="L514" s="220">
        <f t="shared" si="144"/>
        <v>0</v>
      </c>
      <c r="M514" s="93">
        <f t="shared" ref="M514:M520" si="155">IF(F514&gt;0,M$513,0)</f>
        <v>0</v>
      </c>
      <c r="N514" s="328">
        <f t="shared" ref="N514:N520" ca="1" si="156">$F514*N$513</f>
        <v>0</v>
      </c>
    </row>
    <row r="515" spans="1:14" ht="20.100000000000001" customHeight="1">
      <c r="A515" s="87"/>
      <c r="B515" s="7" t="s">
        <v>665</v>
      </c>
      <c r="C515" s="32">
        <f>VLOOKUP($B515,R_DG!$A$7:$G$1305,2,0)</f>
        <v>0</v>
      </c>
      <c r="D515" s="8" t="str">
        <f>VLOOKUP($B515,R_DG!$A$7:$G$1305,3,0)</f>
        <v>Sắt góc L50 x50 x5</v>
      </c>
      <c r="E515" s="9" t="str">
        <f>VLOOKUP($B515,R_DG!$A$7:$G$1305,4,0)</f>
        <v>kg</v>
      </c>
      <c r="F515" s="11">
        <f>3.77*0.92*4</f>
        <v>13.873600000000001</v>
      </c>
      <c r="G515" s="214">
        <f>VLOOKUP($B515,R_DG!$A$7:$G$1305,5,0)</f>
        <v>28961</v>
      </c>
      <c r="H515" s="214">
        <f>VLOOKUP($B515,R_DG!$A$7:$G$1305,6,0)</f>
        <v>0</v>
      </c>
      <c r="I515" s="214">
        <f>VLOOKUP($B515,R_DG!$A$7:$G$1305,7,0)</f>
        <v>0</v>
      </c>
      <c r="J515" s="214">
        <f t="shared" si="144"/>
        <v>401793.32960000006</v>
      </c>
      <c r="K515" s="214">
        <f t="shared" si="144"/>
        <v>0</v>
      </c>
      <c r="L515" s="220">
        <f t="shared" si="144"/>
        <v>0</v>
      </c>
      <c r="M515" s="93">
        <f t="shared" si="155"/>
        <v>0</v>
      </c>
      <c r="N515" s="328">
        <f t="shared" ca="1" si="156"/>
        <v>0</v>
      </c>
    </row>
    <row r="516" spans="1:14" ht="20.100000000000001" customHeight="1">
      <c r="A516" s="87"/>
      <c r="B516" s="7" t="s">
        <v>84</v>
      </c>
      <c r="C516" s="32">
        <f>VLOOKUP($B516,R_DG!$A$7:$G$1305,2,0)</f>
        <v>0</v>
      </c>
      <c r="D516" s="8" t="str">
        <f>VLOOKUP($B516,R_DG!$A$7:$G$1305,3,0)</f>
        <v>Boulon 16x250+ 2 long đền vuông D18-50x50x3/Zn</v>
      </c>
      <c r="E516" s="9" t="str">
        <f>VLOOKUP($B516,R_DG!$A$7:$G$1305,4,0)</f>
        <v>bộ</v>
      </c>
      <c r="F516" s="11">
        <v>1</v>
      </c>
      <c r="G516" s="214" t="e">
        <f>VLOOKUP($B516,R_DG!$A$7:$G$1305,5,0)</f>
        <v>#REF!</v>
      </c>
      <c r="H516" s="214">
        <f>VLOOKUP($B516,R_DG!$A$7:$G$1305,6,0)</f>
        <v>0</v>
      </c>
      <c r="I516" s="214">
        <f>VLOOKUP($B516,R_DG!$A$7:$G$1305,7,0)</f>
        <v>0</v>
      </c>
      <c r="J516" s="214" t="e">
        <f t="shared" ref="J516:L576" si="157">G516*$F516</f>
        <v>#REF!</v>
      </c>
      <c r="K516" s="214">
        <f t="shared" si="157"/>
        <v>0</v>
      </c>
      <c r="L516" s="220">
        <f t="shared" si="157"/>
        <v>0</v>
      </c>
      <c r="M516" s="93">
        <f t="shared" si="155"/>
        <v>0</v>
      </c>
      <c r="N516" s="328">
        <f t="shared" ca="1" si="156"/>
        <v>0</v>
      </c>
    </row>
    <row r="517" spans="1:14" ht="20.100000000000001" customHeight="1">
      <c r="A517" s="87"/>
      <c r="B517" s="7" t="s">
        <v>86</v>
      </c>
      <c r="C517" s="32">
        <f>VLOOKUP($B517,R_DG!$A$7:$G$1305,2,0)</f>
        <v>0</v>
      </c>
      <c r="D517" s="8" t="str">
        <f>VLOOKUP($B517,R_DG!$A$7:$G$1305,3,0)</f>
        <v>Boulon 16x300+ 2 long đền vuông D18-50x50x3/Zn</v>
      </c>
      <c r="E517" s="9" t="str">
        <f>VLOOKUP($B517,R_DG!$A$7:$G$1305,4,0)</f>
        <v>bộ</v>
      </c>
      <c r="F517" s="11">
        <v>1</v>
      </c>
      <c r="G517" s="214" t="e">
        <f>VLOOKUP($B517,R_DG!$A$7:$G$1305,5,0)</f>
        <v>#REF!</v>
      </c>
      <c r="H517" s="214">
        <f>VLOOKUP($B517,R_DG!$A$7:$G$1305,6,0)</f>
        <v>0</v>
      </c>
      <c r="I517" s="214">
        <f>VLOOKUP($B517,R_DG!$A$7:$G$1305,7,0)</f>
        <v>0</v>
      </c>
      <c r="J517" s="214" t="e">
        <f t="shared" si="157"/>
        <v>#REF!</v>
      </c>
      <c r="K517" s="214">
        <f t="shared" si="157"/>
        <v>0</v>
      </c>
      <c r="L517" s="220">
        <f t="shared" si="157"/>
        <v>0</v>
      </c>
      <c r="M517" s="93">
        <f t="shared" si="155"/>
        <v>0</v>
      </c>
      <c r="N517" s="328">
        <f t="shared" ca="1" si="156"/>
        <v>0</v>
      </c>
    </row>
    <row r="518" spans="1:14" ht="20.100000000000001" customHeight="1">
      <c r="A518" s="87"/>
      <c r="B518" s="7" t="s">
        <v>2237</v>
      </c>
      <c r="C518" s="32">
        <f>VLOOKUP($B518,R_DG!$A$7:$G$1305,2,0)</f>
        <v>0</v>
      </c>
      <c r="D518" s="8" t="str">
        <f>VLOOKUP($B518,R_DG!$A$7:$G$1305,3,0)</f>
        <v>Boulon 16x300VRS+ 4 long đền vuông D18-50x50x3/Zn</v>
      </c>
      <c r="E518" s="9" t="str">
        <f>VLOOKUP($B518,R_DG!$A$7:$G$1305,4,0)</f>
        <v>bộ</v>
      </c>
      <c r="F518" s="11">
        <v>4</v>
      </c>
      <c r="G518" s="214" t="e">
        <f>VLOOKUP($B518,R_DG!$A$7:$G$1305,5,0)</f>
        <v>#REF!</v>
      </c>
      <c r="H518" s="214">
        <f>VLOOKUP($B518,R_DG!$A$7:$G$1305,6,0)</f>
        <v>0</v>
      </c>
      <c r="I518" s="214">
        <f>VLOOKUP($B518,R_DG!$A$7:$G$1305,7,0)</f>
        <v>0</v>
      </c>
      <c r="J518" s="214" t="e">
        <f t="shared" si="157"/>
        <v>#REF!</v>
      </c>
      <c r="K518" s="214">
        <f t="shared" si="157"/>
        <v>0</v>
      </c>
      <c r="L518" s="220">
        <f t="shared" si="157"/>
        <v>0</v>
      </c>
      <c r="M518" s="93">
        <f t="shared" si="155"/>
        <v>0</v>
      </c>
      <c r="N518" s="328">
        <f t="shared" ca="1" si="156"/>
        <v>0</v>
      </c>
    </row>
    <row r="519" spans="1:14" ht="20.100000000000001" customHeight="1">
      <c r="A519" s="87"/>
      <c r="B519" s="7" t="s">
        <v>1187</v>
      </c>
      <c r="C519" s="32" t="str">
        <f>VLOOKUP($B519,R_DG!$A$7:$G$1305,2,0)</f>
        <v>D2.6042</v>
      </c>
      <c r="D519" s="8" t="str">
        <f>VLOOKUP($B519,R_DG!$A$7:$G$1305,3,0)</f>
        <v>Lắp xà néo ≤ 100kg</v>
      </c>
      <c r="E519" s="9" t="str">
        <f>VLOOKUP($B519,R_DG!$A$7:$G$1305,4,0)</f>
        <v>bộ</v>
      </c>
      <c r="F519" s="11">
        <v>1</v>
      </c>
      <c r="G519" s="214">
        <f>VLOOKUP($B519,R_DG!$A$7:$G$1305,5,0)</f>
        <v>0</v>
      </c>
      <c r="H519" s="214">
        <f>VLOOKUP($B519,R_DG!$A$7:$G$1305,6,0)</f>
        <v>505503.4</v>
      </c>
      <c r="I519" s="214">
        <f>VLOOKUP($B519,R_DG!$A$7:$G$1305,7,0)</f>
        <v>0</v>
      </c>
      <c r="J519" s="214">
        <f t="shared" si="157"/>
        <v>0</v>
      </c>
      <c r="K519" s="214">
        <f t="shared" si="157"/>
        <v>505503.4</v>
      </c>
      <c r="L519" s="220">
        <f t="shared" si="157"/>
        <v>0</v>
      </c>
      <c r="M519" s="93">
        <f t="shared" si="155"/>
        <v>0</v>
      </c>
      <c r="N519" s="328">
        <f t="shared" ca="1" si="156"/>
        <v>0</v>
      </c>
    </row>
    <row r="520" spans="1:14" ht="20.100000000000001" customHeight="1">
      <c r="A520" s="87"/>
      <c r="B520" s="7" t="s">
        <v>2228</v>
      </c>
      <c r="C520" s="32" t="str">
        <f>VLOOKUP($B520,R_DG!$A$7:$G$1305,2,0)</f>
        <v>02.1115</v>
      </c>
      <c r="D520" s="8" t="str">
        <f>VLOOKUP($B520,R_DG!$A$7:$G$1305,3,0)</f>
        <v>Bốc dỡ xà, thép thanh</v>
      </c>
      <c r="E520" s="9" t="str">
        <f>VLOOKUP($B520,R_DG!$A$7:$G$1305,4,0)</f>
        <v>tấn</v>
      </c>
      <c r="F520" s="11"/>
      <c r="G520" s="214">
        <f>VLOOKUP($B520,R_DG!$A$7:$G$1305,5,0)</f>
        <v>0</v>
      </c>
      <c r="H520" s="214">
        <f>VLOOKUP($B520,R_DG!$A$7:$G$1305,6,0)</f>
        <v>0</v>
      </c>
      <c r="I520" s="214">
        <f>VLOOKUP($B520,R_DG!$A$7:$G$1305,7,0)</f>
        <v>0</v>
      </c>
      <c r="J520" s="214">
        <f t="shared" si="157"/>
        <v>0</v>
      </c>
      <c r="K520" s="214">
        <f t="shared" si="157"/>
        <v>0</v>
      </c>
      <c r="L520" s="220">
        <f t="shared" si="157"/>
        <v>0</v>
      </c>
      <c r="M520" s="93">
        <f t="shared" si="155"/>
        <v>0</v>
      </c>
      <c r="N520" s="328">
        <f t="shared" ca="1" si="156"/>
        <v>0</v>
      </c>
    </row>
    <row r="521" spans="1:14" ht="20.100000000000001" customHeight="1">
      <c r="A521" s="89" t="s">
        <v>2253</v>
      </c>
      <c r="B521" s="24"/>
      <c r="C521" s="34"/>
      <c r="D521" s="25" t="s">
        <v>2254</v>
      </c>
      <c r="E521" s="25" t="s">
        <v>163</v>
      </c>
      <c r="F521" s="26"/>
      <c r="G521" s="213"/>
      <c r="H521" s="213"/>
      <c r="I521" s="213"/>
      <c r="J521" s="213" t="e">
        <f>SUM(J522:J527)</f>
        <v>#REF!</v>
      </c>
      <c r="K521" s="213">
        <f>SUM(K522:K527)</f>
        <v>208581.5</v>
      </c>
      <c r="L521" s="219">
        <f>SUM(L522:L527)</f>
        <v>0</v>
      </c>
      <c r="M521" s="92">
        <f>IF(ERROR.TYPE(IF(HLOOKUP(A521,maBK,1,0)&lt;&gt;"",#NULL!,"ABC"))&lt;&gt;7,1,0)</f>
        <v>0</v>
      </c>
      <c r="N521" s="327">
        <f ca="1">SUMIF(maBK,$A521,tongBK1)</f>
        <v>0</v>
      </c>
    </row>
    <row r="522" spans="1:14" ht="20.100000000000001" customHeight="1">
      <c r="A522" s="87"/>
      <c r="B522" s="7" t="s">
        <v>4053</v>
      </c>
      <c r="C522" s="32">
        <f>VLOOKUP($B522,R_DG!$A$7:$G$1305,2,0)</f>
        <v>0</v>
      </c>
      <c r="D522" s="8" t="str">
        <f>VLOOKUP($B522,R_DG!$A$7:$G$1305,3,0)</f>
        <v>Đà sắt L75x75x8x800 1 ốp (7,85kg/cái)</v>
      </c>
      <c r="E522" s="9" t="str">
        <f>VLOOKUP($B522,R_DG!$A$7:$G$1305,4,0)</f>
        <v>cái</v>
      </c>
      <c r="F522" s="11">
        <v>1</v>
      </c>
      <c r="G522" s="214" t="e">
        <f>VLOOKUP($B522,R_DG!$A$7:$G$1305,5,0)</f>
        <v>#REF!</v>
      </c>
      <c r="H522" s="214">
        <f>VLOOKUP($B522,R_DG!$A$7:$G$1305,6,0)</f>
        <v>0</v>
      </c>
      <c r="I522" s="214">
        <f>VLOOKUP($B522,R_DG!$A$7:$G$1305,7,0)</f>
        <v>0</v>
      </c>
      <c r="J522" s="214" t="e">
        <f t="shared" si="157"/>
        <v>#REF!</v>
      </c>
      <c r="K522" s="214">
        <f t="shared" si="157"/>
        <v>0</v>
      </c>
      <c r="L522" s="220">
        <f t="shared" si="157"/>
        <v>0</v>
      </c>
      <c r="M522" s="93">
        <f t="shared" ref="M522:M527" si="158">IF(F522&gt;0,M$521,0)</f>
        <v>0</v>
      </c>
      <c r="N522" s="328">
        <f t="shared" ref="N522:N527" ca="1" si="159">$F522*N$521</f>
        <v>0</v>
      </c>
    </row>
    <row r="523" spans="1:14" ht="20.100000000000001" customHeight="1">
      <c r="A523" s="87"/>
      <c r="B523" s="7" t="s">
        <v>3313</v>
      </c>
      <c r="C523" s="32">
        <f>VLOOKUP($B523,R_DG!$A$7:$G$1305,2,0)</f>
        <v>0</v>
      </c>
      <c r="D523" s="8" t="str">
        <f>VLOOKUP($B523,R_DG!$A$7:$G$1305,3,0)</f>
        <v>Thanh chống L50x50x5x810 (2,47kg/cái)</v>
      </c>
      <c r="E523" s="9" t="str">
        <f>VLOOKUP($B523,R_DG!$A$7:$G$1305,4,0)</f>
        <v>cái</v>
      </c>
      <c r="F523" s="11">
        <v>1</v>
      </c>
      <c r="G523" s="214">
        <f>VLOOKUP($B523,R_DG!$A$7:$G$1305,5,0)</f>
        <v>71533.670000000013</v>
      </c>
      <c r="H523" s="214">
        <f>VLOOKUP($B523,R_DG!$A$7:$G$1305,6,0)</f>
        <v>0</v>
      </c>
      <c r="I523" s="214">
        <f>VLOOKUP($B523,R_DG!$A$7:$G$1305,7,0)</f>
        <v>0</v>
      </c>
      <c r="J523" s="214">
        <f t="shared" si="157"/>
        <v>71533.670000000013</v>
      </c>
      <c r="K523" s="214">
        <f t="shared" si="157"/>
        <v>0</v>
      </c>
      <c r="L523" s="220">
        <f t="shared" si="157"/>
        <v>0</v>
      </c>
      <c r="M523" s="93">
        <f t="shared" si="158"/>
        <v>0</v>
      </c>
      <c r="N523" s="328">
        <f t="shared" ca="1" si="159"/>
        <v>0</v>
      </c>
    </row>
    <row r="524" spans="1:14" ht="20.100000000000001" customHeight="1">
      <c r="A524" s="87"/>
      <c r="B524" s="7" t="s">
        <v>84</v>
      </c>
      <c r="C524" s="32">
        <f>VLOOKUP($B524,R_DG!$A$7:$G$1305,2,0)</f>
        <v>0</v>
      </c>
      <c r="D524" s="8" t="str">
        <f>VLOOKUP($B524,R_DG!$A$7:$G$1305,3,0)</f>
        <v>Boulon 16x250+ 2 long đền vuông D18-50x50x3/Zn</v>
      </c>
      <c r="E524" s="9" t="str">
        <f>VLOOKUP($B524,R_DG!$A$7:$G$1305,4,0)</f>
        <v>bộ</v>
      </c>
      <c r="F524" s="11">
        <v>2</v>
      </c>
      <c r="G524" s="214" t="e">
        <f>VLOOKUP($B524,R_DG!$A$7:$G$1305,5,0)</f>
        <v>#REF!</v>
      </c>
      <c r="H524" s="214">
        <f>VLOOKUP($B524,R_DG!$A$7:$G$1305,6,0)</f>
        <v>0</v>
      </c>
      <c r="I524" s="214">
        <f>VLOOKUP($B524,R_DG!$A$7:$G$1305,7,0)</f>
        <v>0</v>
      </c>
      <c r="J524" s="214" t="e">
        <f t="shared" si="157"/>
        <v>#REF!</v>
      </c>
      <c r="K524" s="214">
        <f t="shared" si="157"/>
        <v>0</v>
      </c>
      <c r="L524" s="220">
        <f t="shared" si="157"/>
        <v>0</v>
      </c>
      <c r="M524" s="93">
        <f t="shared" si="158"/>
        <v>0</v>
      </c>
      <c r="N524" s="328">
        <f t="shared" ca="1" si="159"/>
        <v>0</v>
      </c>
    </row>
    <row r="525" spans="1:14" ht="20.100000000000001" customHeight="1">
      <c r="A525" s="87"/>
      <c r="B525" s="7" t="s">
        <v>76</v>
      </c>
      <c r="C525" s="32">
        <f>VLOOKUP($B525,R_DG!$A$7:$G$1305,2,0)</f>
        <v>0</v>
      </c>
      <c r="D525" s="8" t="str">
        <f>VLOOKUP($B525,R_DG!$A$7:$G$1305,3,0)</f>
        <v>Boulon 16x50+ 2 long đền vuông D18-50x50x3/Zn</v>
      </c>
      <c r="E525" s="9" t="str">
        <f>VLOOKUP($B525,R_DG!$A$7:$G$1305,4,0)</f>
        <v>bộ</v>
      </c>
      <c r="F525" s="11">
        <v>1</v>
      </c>
      <c r="G525" s="214" t="e">
        <f>VLOOKUP($B525,R_DG!$A$7:$G$1305,5,0)</f>
        <v>#REF!</v>
      </c>
      <c r="H525" s="214">
        <f>VLOOKUP($B525,R_DG!$A$7:$G$1305,6,0)</f>
        <v>0</v>
      </c>
      <c r="I525" s="214">
        <f>VLOOKUP($B525,R_DG!$A$7:$G$1305,7,0)</f>
        <v>0</v>
      </c>
      <c r="J525" s="214" t="e">
        <f t="shared" si="157"/>
        <v>#REF!</v>
      </c>
      <c r="K525" s="214">
        <f t="shared" si="157"/>
        <v>0</v>
      </c>
      <c r="L525" s="220">
        <f t="shared" si="157"/>
        <v>0</v>
      </c>
      <c r="M525" s="93">
        <f t="shared" si="158"/>
        <v>0</v>
      </c>
      <c r="N525" s="328">
        <f t="shared" ca="1" si="159"/>
        <v>0</v>
      </c>
    </row>
    <row r="526" spans="1:14" ht="20.100000000000001" customHeight="1">
      <c r="A526" s="87"/>
      <c r="B526" s="18" t="s">
        <v>1179</v>
      </c>
      <c r="C526" s="32" t="str">
        <f>VLOOKUP($B526,R_DG!$A$7:$G$1305,2,0)</f>
        <v>D2.6021</v>
      </c>
      <c r="D526" s="8" t="str">
        <f>VLOOKUP($B526,R_DG!$A$7:$G$1305,3,0)</f>
        <v>Lắp xà đỡ ≤ 25kg</v>
      </c>
      <c r="E526" s="9" t="str">
        <f>VLOOKUP($B526,R_DG!$A$7:$G$1305,4,0)</f>
        <v>bộ</v>
      </c>
      <c r="F526" s="11">
        <v>1</v>
      </c>
      <c r="G526" s="214">
        <f>VLOOKUP($B526,R_DG!$A$7:$G$1305,5,0)</f>
        <v>0</v>
      </c>
      <c r="H526" s="214">
        <f>VLOOKUP($B526,R_DG!$A$7:$G$1305,6,0)</f>
        <v>208581.5</v>
      </c>
      <c r="I526" s="214">
        <f>VLOOKUP($B526,R_DG!$A$7:$G$1305,7,0)</f>
        <v>0</v>
      </c>
      <c r="J526" s="214">
        <f t="shared" si="157"/>
        <v>0</v>
      </c>
      <c r="K526" s="214">
        <f t="shared" si="157"/>
        <v>208581.5</v>
      </c>
      <c r="L526" s="220">
        <f t="shared" si="157"/>
        <v>0</v>
      </c>
      <c r="M526" s="93">
        <f t="shared" si="158"/>
        <v>0</v>
      </c>
      <c r="N526" s="328">
        <f t="shared" ca="1" si="159"/>
        <v>0</v>
      </c>
    </row>
    <row r="527" spans="1:14" ht="20.100000000000001" customHeight="1">
      <c r="A527" s="87"/>
      <c r="B527" s="7" t="s">
        <v>2228</v>
      </c>
      <c r="C527" s="32" t="str">
        <f>VLOOKUP($B527,R_DG!$A$7:$G$1305,2,0)</f>
        <v>02.1115</v>
      </c>
      <c r="D527" s="8" t="str">
        <f>VLOOKUP($B527,R_DG!$A$7:$G$1305,3,0)</f>
        <v>Bốc dỡ xà, thép thanh</v>
      </c>
      <c r="E527" s="9" t="str">
        <f>VLOOKUP($B527,R_DG!$A$7:$G$1305,4,0)</f>
        <v>tấn</v>
      </c>
      <c r="F527" s="11"/>
      <c r="G527" s="214">
        <f>VLOOKUP($B527,R_DG!$A$7:$G$1305,5,0)</f>
        <v>0</v>
      </c>
      <c r="H527" s="214">
        <f>VLOOKUP($B527,R_DG!$A$7:$G$1305,6,0)</f>
        <v>0</v>
      </c>
      <c r="I527" s="214">
        <f>VLOOKUP($B527,R_DG!$A$7:$G$1305,7,0)</f>
        <v>0</v>
      </c>
      <c r="J527" s="214">
        <f t="shared" si="157"/>
        <v>0</v>
      </c>
      <c r="K527" s="214">
        <f t="shared" si="157"/>
        <v>0</v>
      </c>
      <c r="L527" s="220">
        <f t="shared" si="157"/>
        <v>0</v>
      </c>
      <c r="M527" s="93">
        <f t="shared" si="158"/>
        <v>0</v>
      </c>
      <c r="N527" s="328">
        <f t="shared" ca="1" si="159"/>
        <v>0</v>
      </c>
    </row>
    <row r="528" spans="1:14" ht="20.100000000000001" customHeight="1">
      <c r="A528" s="89" t="s">
        <v>2255</v>
      </c>
      <c r="B528" s="24"/>
      <c r="C528" s="34"/>
      <c r="D528" s="25" t="s">
        <v>2256</v>
      </c>
      <c r="E528" s="25" t="s">
        <v>163</v>
      </c>
      <c r="F528" s="26"/>
      <c r="G528" s="213"/>
      <c r="H528" s="213"/>
      <c r="I528" s="213"/>
      <c r="J528" s="213" t="e">
        <f>SUM(J529:J535)</f>
        <v>#REF!</v>
      </c>
      <c r="K528" s="213">
        <f>SUM(K529:K535)</f>
        <v>277290.69999999995</v>
      </c>
      <c r="L528" s="219">
        <f>SUM(L529:L535)</f>
        <v>0</v>
      </c>
      <c r="M528" s="92">
        <f>IF(ERROR.TYPE(IF(HLOOKUP(A528,maBK,1,0)&lt;&gt;"",#NULL!,"ABC"))&lt;&gt;7,1,0)</f>
        <v>0</v>
      </c>
      <c r="N528" s="327">
        <f ca="1">SUMIF(maBK,$A528,tongBK1)</f>
        <v>0</v>
      </c>
    </row>
    <row r="529" spans="1:14" ht="20.100000000000001" customHeight="1">
      <c r="A529" s="87"/>
      <c r="B529" s="7" t="s">
        <v>4053</v>
      </c>
      <c r="C529" s="32">
        <f>VLOOKUP($B529,R_DG!$A$7:$G$1305,2,0)</f>
        <v>0</v>
      </c>
      <c r="D529" s="8" t="str">
        <f>VLOOKUP($B529,R_DG!$A$7:$G$1305,3,0)</f>
        <v>Đà sắt L75x75x8x800 1 ốp (7,85kg/cái)</v>
      </c>
      <c r="E529" s="9" t="str">
        <f>VLOOKUP($B529,R_DG!$A$7:$G$1305,4,0)</f>
        <v>cái</v>
      </c>
      <c r="F529" s="11">
        <v>2</v>
      </c>
      <c r="G529" s="214" t="e">
        <f>VLOOKUP($B529,R_DG!$A$7:$G$1305,5,0)</f>
        <v>#REF!</v>
      </c>
      <c r="H529" s="214">
        <f>VLOOKUP($B529,R_DG!$A$7:$G$1305,6,0)</f>
        <v>0</v>
      </c>
      <c r="I529" s="214">
        <f>VLOOKUP($B529,R_DG!$A$7:$G$1305,7,0)</f>
        <v>0</v>
      </c>
      <c r="J529" s="214" t="e">
        <f t="shared" si="157"/>
        <v>#REF!</v>
      </c>
      <c r="K529" s="214">
        <f t="shared" si="157"/>
        <v>0</v>
      </c>
      <c r="L529" s="220">
        <f t="shared" si="157"/>
        <v>0</v>
      </c>
      <c r="M529" s="93">
        <f t="shared" ref="M529:M535" si="160">IF(F529&gt;0,M$528,0)</f>
        <v>0</v>
      </c>
      <c r="N529" s="328">
        <f t="shared" ref="N529:N535" ca="1" si="161">$F529*N$528</f>
        <v>0</v>
      </c>
    </row>
    <row r="530" spans="1:14" ht="20.100000000000001" customHeight="1">
      <c r="A530" s="87"/>
      <c r="B530" s="7" t="s">
        <v>3313</v>
      </c>
      <c r="C530" s="32">
        <f>VLOOKUP($B530,R_DG!$A$7:$G$1305,2,0)</f>
        <v>0</v>
      </c>
      <c r="D530" s="8" t="str">
        <f>VLOOKUP($B530,R_DG!$A$7:$G$1305,3,0)</f>
        <v>Thanh chống L50x50x5x810 (2,47kg/cái)</v>
      </c>
      <c r="E530" s="9" t="str">
        <f>VLOOKUP($B530,R_DG!$A$7:$G$1305,4,0)</f>
        <v>cái</v>
      </c>
      <c r="F530" s="11">
        <v>2</v>
      </c>
      <c r="G530" s="214">
        <f>VLOOKUP($B530,R_DG!$A$7:$G$1305,5,0)</f>
        <v>71533.670000000013</v>
      </c>
      <c r="H530" s="214">
        <f>VLOOKUP($B530,R_DG!$A$7:$G$1305,6,0)</f>
        <v>0</v>
      </c>
      <c r="I530" s="214">
        <f>VLOOKUP($B530,R_DG!$A$7:$G$1305,7,0)</f>
        <v>0</v>
      </c>
      <c r="J530" s="214">
        <f t="shared" si="157"/>
        <v>143067.34000000003</v>
      </c>
      <c r="K530" s="214">
        <f t="shared" si="157"/>
        <v>0</v>
      </c>
      <c r="L530" s="220">
        <f t="shared" si="157"/>
        <v>0</v>
      </c>
      <c r="M530" s="93">
        <f t="shared" si="160"/>
        <v>0</v>
      </c>
      <c r="N530" s="328">
        <f t="shared" ca="1" si="161"/>
        <v>0</v>
      </c>
    </row>
    <row r="531" spans="1:14" ht="20.100000000000001" customHeight="1">
      <c r="A531" s="87"/>
      <c r="B531" s="7" t="s">
        <v>90</v>
      </c>
      <c r="C531" s="32">
        <f>VLOOKUP($B531,R_DG!$A$7:$G$1305,2,0)</f>
        <v>0</v>
      </c>
      <c r="D531" s="8" t="str">
        <f>VLOOKUP($B531,R_DG!$A$7:$G$1305,3,0)</f>
        <v>Boulon 16x400+ 2 long đền vuông D18-50x50x3/Zn</v>
      </c>
      <c r="E531" s="9" t="str">
        <f>VLOOKUP($B531,R_DG!$A$7:$G$1305,4,0)</f>
        <v>bộ</v>
      </c>
      <c r="F531" s="11">
        <v>2</v>
      </c>
      <c r="G531" s="214" t="e">
        <f>VLOOKUP($B531,R_DG!$A$7:$G$1305,5,0)</f>
        <v>#REF!</v>
      </c>
      <c r="H531" s="214">
        <f>VLOOKUP($B531,R_DG!$A$7:$G$1305,6,0)</f>
        <v>0</v>
      </c>
      <c r="I531" s="214">
        <f>VLOOKUP($B531,R_DG!$A$7:$G$1305,7,0)</f>
        <v>0</v>
      </c>
      <c r="J531" s="214" t="e">
        <f t="shared" si="157"/>
        <v>#REF!</v>
      </c>
      <c r="K531" s="214">
        <f t="shared" si="157"/>
        <v>0</v>
      </c>
      <c r="L531" s="220">
        <f t="shared" si="157"/>
        <v>0</v>
      </c>
      <c r="M531" s="93">
        <f t="shared" si="160"/>
        <v>0</v>
      </c>
      <c r="N531" s="328">
        <f t="shared" ca="1" si="161"/>
        <v>0</v>
      </c>
    </row>
    <row r="532" spans="1:14" ht="20.100000000000001" customHeight="1">
      <c r="A532" s="87"/>
      <c r="B532" s="7" t="s">
        <v>2257</v>
      </c>
      <c r="C532" s="32">
        <f>VLOOKUP($B532,R_DG!$A$7:$G$1305,2,0)</f>
        <v>0</v>
      </c>
      <c r="D532" s="8" t="str">
        <f>VLOOKUP($B532,R_DG!$A$7:$G$1305,3,0)</f>
        <v>Boulon 16x400VRS+ 4 long đền vuông D18-50x50x3/Zn</v>
      </c>
      <c r="E532" s="9" t="str">
        <f>VLOOKUP($B532,R_DG!$A$7:$G$1305,4,0)</f>
        <v>bộ</v>
      </c>
      <c r="F532" s="11">
        <v>1</v>
      </c>
      <c r="G532" s="214" t="e">
        <f>VLOOKUP($B532,R_DG!$A$7:$G$1305,5,0)</f>
        <v>#REF!</v>
      </c>
      <c r="H532" s="214">
        <f>VLOOKUP($B532,R_DG!$A$7:$G$1305,6,0)</f>
        <v>0</v>
      </c>
      <c r="I532" s="214">
        <f>VLOOKUP($B532,R_DG!$A$7:$G$1305,7,0)</f>
        <v>0</v>
      </c>
      <c r="J532" s="214" t="e">
        <f t="shared" si="157"/>
        <v>#REF!</v>
      </c>
      <c r="K532" s="214">
        <f t="shared" si="157"/>
        <v>0</v>
      </c>
      <c r="L532" s="220">
        <f t="shared" si="157"/>
        <v>0</v>
      </c>
      <c r="M532" s="93">
        <f t="shared" si="160"/>
        <v>0</v>
      </c>
      <c r="N532" s="328">
        <f t="shared" ca="1" si="161"/>
        <v>0</v>
      </c>
    </row>
    <row r="533" spans="1:14" ht="20.100000000000001" customHeight="1">
      <c r="A533" s="87"/>
      <c r="B533" s="7" t="s">
        <v>76</v>
      </c>
      <c r="C533" s="32">
        <f>VLOOKUP($B533,R_DG!$A$7:$G$1305,2,0)</f>
        <v>0</v>
      </c>
      <c r="D533" s="8" t="str">
        <f>VLOOKUP($B533,R_DG!$A$7:$G$1305,3,0)</f>
        <v>Boulon 16x50+ 2 long đền vuông D18-50x50x3/Zn</v>
      </c>
      <c r="E533" s="9" t="str">
        <f>VLOOKUP($B533,R_DG!$A$7:$G$1305,4,0)</f>
        <v>bộ</v>
      </c>
      <c r="F533" s="11">
        <v>2</v>
      </c>
      <c r="G533" s="214" t="e">
        <f>VLOOKUP($B533,R_DG!$A$7:$G$1305,5,0)</f>
        <v>#REF!</v>
      </c>
      <c r="H533" s="214">
        <f>VLOOKUP($B533,R_DG!$A$7:$G$1305,6,0)</f>
        <v>0</v>
      </c>
      <c r="I533" s="214">
        <f>VLOOKUP($B533,R_DG!$A$7:$G$1305,7,0)</f>
        <v>0</v>
      </c>
      <c r="J533" s="214" t="e">
        <f t="shared" si="157"/>
        <v>#REF!</v>
      </c>
      <c r="K533" s="214">
        <f t="shared" si="157"/>
        <v>0</v>
      </c>
      <c r="L533" s="220">
        <f t="shared" si="157"/>
        <v>0</v>
      </c>
      <c r="M533" s="93">
        <f t="shared" si="160"/>
        <v>0</v>
      </c>
      <c r="N533" s="328">
        <f t="shared" ca="1" si="161"/>
        <v>0</v>
      </c>
    </row>
    <row r="534" spans="1:14" ht="20.100000000000001" customHeight="1">
      <c r="A534" s="87"/>
      <c r="B534" s="18" t="s">
        <v>1183</v>
      </c>
      <c r="C534" s="32" t="str">
        <f>VLOOKUP($B534,R_DG!$A$7:$G$1305,2,0)</f>
        <v>D2.6022</v>
      </c>
      <c r="D534" s="8" t="str">
        <f>VLOOKUP($B534,R_DG!$A$7:$G$1305,3,0)</f>
        <v>Lắp xà néo ≤ 25kg</v>
      </c>
      <c r="E534" s="9" t="str">
        <f>VLOOKUP($B534,R_DG!$A$7:$G$1305,4,0)</f>
        <v>bộ</v>
      </c>
      <c r="F534" s="11">
        <v>1</v>
      </c>
      <c r="G534" s="214">
        <f>VLOOKUP($B534,R_DG!$A$7:$G$1305,5,0)</f>
        <v>0</v>
      </c>
      <c r="H534" s="214">
        <f>VLOOKUP($B534,R_DG!$A$7:$G$1305,6,0)</f>
        <v>277290.69999999995</v>
      </c>
      <c r="I534" s="214">
        <f>VLOOKUP($B534,R_DG!$A$7:$G$1305,7,0)</f>
        <v>0</v>
      </c>
      <c r="J534" s="214">
        <f t="shared" si="157"/>
        <v>0</v>
      </c>
      <c r="K534" s="214">
        <f t="shared" si="157"/>
        <v>277290.69999999995</v>
      </c>
      <c r="L534" s="220">
        <f t="shared" si="157"/>
        <v>0</v>
      </c>
      <c r="M534" s="93">
        <f t="shared" si="160"/>
        <v>0</v>
      </c>
      <c r="N534" s="328">
        <f t="shared" ca="1" si="161"/>
        <v>0</v>
      </c>
    </row>
    <row r="535" spans="1:14" ht="20.100000000000001" customHeight="1">
      <c r="A535" s="87"/>
      <c r="B535" s="7" t="s">
        <v>2228</v>
      </c>
      <c r="C535" s="32" t="str">
        <f>VLOOKUP($B535,R_DG!$A$7:$G$1305,2,0)</f>
        <v>02.1115</v>
      </c>
      <c r="D535" s="8" t="str">
        <f>VLOOKUP($B535,R_DG!$A$7:$G$1305,3,0)</f>
        <v>Bốc dỡ xà, thép thanh</v>
      </c>
      <c r="E535" s="9" t="str">
        <f>VLOOKUP($B535,R_DG!$A$7:$G$1305,4,0)</f>
        <v>tấn</v>
      </c>
      <c r="F535" s="11"/>
      <c r="G535" s="214">
        <f>VLOOKUP($B535,R_DG!$A$7:$G$1305,5,0)</f>
        <v>0</v>
      </c>
      <c r="H535" s="214">
        <f>VLOOKUP($B535,R_DG!$A$7:$G$1305,6,0)</f>
        <v>0</v>
      </c>
      <c r="I535" s="214">
        <f>VLOOKUP($B535,R_DG!$A$7:$G$1305,7,0)</f>
        <v>0</v>
      </c>
      <c r="J535" s="214">
        <f t="shared" si="157"/>
        <v>0</v>
      </c>
      <c r="K535" s="214">
        <f t="shared" si="157"/>
        <v>0</v>
      </c>
      <c r="L535" s="220">
        <f t="shared" si="157"/>
        <v>0</v>
      </c>
      <c r="M535" s="93">
        <f t="shared" si="160"/>
        <v>0</v>
      </c>
      <c r="N535" s="328">
        <f t="shared" ca="1" si="161"/>
        <v>0</v>
      </c>
    </row>
    <row r="536" spans="1:14" ht="20.100000000000001" customHeight="1">
      <c r="A536" s="89" t="s">
        <v>2258</v>
      </c>
      <c r="B536" s="24"/>
      <c r="C536" s="34"/>
      <c r="D536" s="25" t="s">
        <v>2259</v>
      </c>
      <c r="E536" s="25" t="s">
        <v>163</v>
      </c>
      <c r="F536" s="26"/>
      <c r="G536" s="213"/>
      <c r="H536" s="213"/>
      <c r="I536" s="213"/>
      <c r="J536" s="213" t="e">
        <f>SUM(J537:J541)</f>
        <v>#REF!</v>
      </c>
      <c r="K536" s="213">
        <f>SUM(K537:K541)</f>
        <v>282198.5</v>
      </c>
      <c r="L536" s="219">
        <f>SUM(L537:L541)</f>
        <v>0</v>
      </c>
      <c r="M536" s="92">
        <f>IF(ERROR.TYPE(IF(HLOOKUP(A536,maBK,1,0)&lt;&gt;"",#NULL!,"ABC"))&lt;&gt;7,1,0)</f>
        <v>0</v>
      </c>
      <c r="N536" s="327">
        <f ca="1">SUMIF(maBK,$A536,tongBK1)</f>
        <v>0</v>
      </c>
    </row>
    <row r="537" spans="1:14" ht="20.100000000000001" customHeight="1">
      <c r="A537" s="87"/>
      <c r="B537" s="7" t="s">
        <v>3309</v>
      </c>
      <c r="C537" s="32">
        <f>VLOOKUP($B537,R_DG!$A$7:$G$1305,2,0)</f>
        <v>0</v>
      </c>
      <c r="D537" s="8" t="str">
        <f>VLOOKUP($B537,R_DG!$A$7:$G$1305,3,0)</f>
        <v>Đà sắt L75x75x8x2100 lệch 100% 3 ốp (20,84kg/cái)</v>
      </c>
      <c r="E537" s="9" t="str">
        <f>VLOOKUP($B537,R_DG!$A$7:$G$1305,4,0)</f>
        <v>cái</v>
      </c>
      <c r="F537" s="11">
        <v>1</v>
      </c>
      <c r="G537" s="214" t="e">
        <f>VLOOKUP($B537,R_DG!$A$7:$G$1305,5,0)</f>
        <v>#REF!</v>
      </c>
      <c r="H537" s="214">
        <f>VLOOKUP($B537,R_DG!$A$7:$G$1305,6,0)</f>
        <v>0</v>
      </c>
      <c r="I537" s="214">
        <f>VLOOKUP($B537,R_DG!$A$7:$G$1305,7,0)</f>
        <v>0</v>
      </c>
      <c r="J537" s="214" t="e">
        <f t="shared" si="157"/>
        <v>#REF!</v>
      </c>
      <c r="K537" s="214">
        <f t="shared" si="157"/>
        <v>0</v>
      </c>
      <c r="L537" s="220">
        <f t="shared" si="157"/>
        <v>0</v>
      </c>
      <c r="M537" s="93">
        <f t="shared" ref="M537:M542" si="162">IF(F537&gt;0,M$536,0)</f>
        <v>0</v>
      </c>
      <c r="N537" s="328">
        <f t="shared" ref="N537:N542" ca="1" si="163">$F537*N$536</f>
        <v>0</v>
      </c>
    </row>
    <row r="538" spans="1:14" ht="20.100000000000001" customHeight="1">
      <c r="A538" s="87"/>
      <c r="B538" s="7" t="s">
        <v>4051</v>
      </c>
      <c r="C538" s="32">
        <f>VLOOKUP($B538,R_DG!$A$7:$G$1305,2,0)</f>
        <v>0</v>
      </c>
      <c r="D538" s="8" t="str">
        <f>VLOOKUP($B538,R_DG!$A$7:$G$1305,3,0)</f>
        <v>Thanh chống L50x50x5x1990 (6,07kg/cái)</v>
      </c>
      <c r="E538" s="9" t="str">
        <f>VLOOKUP($B538,R_DG!$A$7:$G$1305,4,0)</f>
        <v>cái</v>
      </c>
      <c r="F538" s="11">
        <v>1</v>
      </c>
      <c r="G538" s="214">
        <f>VLOOKUP($B538,R_DG!$A$7:$G$1305,5,0)</f>
        <v>175778.78949999998</v>
      </c>
      <c r="H538" s="214">
        <f>VLOOKUP($B538,R_DG!$A$7:$G$1305,6,0)</f>
        <v>0</v>
      </c>
      <c r="I538" s="214">
        <f>VLOOKUP($B538,R_DG!$A$7:$G$1305,7,0)</f>
        <v>0</v>
      </c>
      <c r="J538" s="214">
        <f t="shared" si="157"/>
        <v>175778.78949999998</v>
      </c>
      <c r="K538" s="214">
        <f t="shared" si="157"/>
        <v>0</v>
      </c>
      <c r="L538" s="220">
        <f t="shared" si="157"/>
        <v>0</v>
      </c>
      <c r="M538" s="93">
        <f t="shared" si="162"/>
        <v>0</v>
      </c>
      <c r="N538" s="328">
        <f t="shared" ca="1" si="163"/>
        <v>0</v>
      </c>
    </row>
    <row r="539" spans="1:14" ht="20.100000000000001" customHeight="1">
      <c r="A539" s="87"/>
      <c r="B539" s="7" t="s">
        <v>84</v>
      </c>
      <c r="C539" s="32">
        <f>VLOOKUP($B539,R_DG!$A$7:$G$1305,2,0)</f>
        <v>0</v>
      </c>
      <c r="D539" s="8" t="str">
        <f>VLOOKUP($B539,R_DG!$A$7:$G$1305,3,0)</f>
        <v>Boulon 16x250+ 2 long đền vuông D18-50x50x3/Zn</v>
      </c>
      <c r="E539" s="9" t="str">
        <f>VLOOKUP($B539,R_DG!$A$7:$G$1305,4,0)</f>
        <v>bộ</v>
      </c>
      <c r="F539" s="11">
        <v>2</v>
      </c>
      <c r="G539" s="214" t="e">
        <f>VLOOKUP($B539,R_DG!$A$7:$G$1305,5,0)</f>
        <v>#REF!</v>
      </c>
      <c r="H539" s="214">
        <f>VLOOKUP($B539,R_DG!$A$7:$G$1305,6,0)</f>
        <v>0</v>
      </c>
      <c r="I539" s="214">
        <f>VLOOKUP($B539,R_DG!$A$7:$G$1305,7,0)</f>
        <v>0</v>
      </c>
      <c r="J539" s="214" t="e">
        <f t="shared" si="157"/>
        <v>#REF!</v>
      </c>
      <c r="K539" s="214">
        <f t="shared" si="157"/>
        <v>0</v>
      </c>
      <c r="L539" s="220">
        <f t="shared" si="157"/>
        <v>0</v>
      </c>
      <c r="M539" s="93">
        <f t="shared" si="162"/>
        <v>0</v>
      </c>
      <c r="N539" s="328">
        <f t="shared" ca="1" si="163"/>
        <v>0</v>
      </c>
    </row>
    <row r="540" spans="1:14" ht="20.100000000000001" customHeight="1">
      <c r="A540" s="87"/>
      <c r="B540" s="7" t="s">
        <v>76</v>
      </c>
      <c r="C540" s="32">
        <f>VLOOKUP($B540,R_DG!$A$7:$G$1305,2,0)</f>
        <v>0</v>
      </c>
      <c r="D540" s="8" t="str">
        <f>VLOOKUP($B540,R_DG!$A$7:$G$1305,3,0)</f>
        <v>Boulon 16x50+ 2 long đền vuông D18-50x50x3/Zn</v>
      </c>
      <c r="E540" s="9" t="str">
        <f>VLOOKUP($B540,R_DG!$A$7:$G$1305,4,0)</f>
        <v>bộ</v>
      </c>
      <c r="F540" s="11">
        <v>1</v>
      </c>
      <c r="G540" s="214" t="e">
        <f>VLOOKUP($B540,R_DG!$A$7:$G$1305,5,0)</f>
        <v>#REF!</v>
      </c>
      <c r="H540" s="214">
        <f>VLOOKUP($B540,R_DG!$A$7:$G$1305,6,0)</f>
        <v>0</v>
      </c>
      <c r="I540" s="214">
        <f>VLOOKUP($B540,R_DG!$A$7:$G$1305,7,0)</f>
        <v>0</v>
      </c>
      <c r="J540" s="214" t="e">
        <f t="shared" si="157"/>
        <v>#REF!</v>
      </c>
      <c r="K540" s="214">
        <f t="shared" si="157"/>
        <v>0</v>
      </c>
      <c r="L540" s="220">
        <f t="shared" si="157"/>
        <v>0</v>
      </c>
      <c r="M540" s="93">
        <f t="shared" si="162"/>
        <v>0</v>
      </c>
      <c r="N540" s="328">
        <f t="shared" ca="1" si="163"/>
        <v>0</v>
      </c>
    </row>
    <row r="541" spans="1:14" ht="20.100000000000001" customHeight="1">
      <c r="A541" s="87"/>
      <c r="B541" s="18" t="s">
        <v>2260</v>
      </c>
      <c r="C541" s="32" t="str">
        <f>VLOOKUP($B541,R_DG!$A$7:$G$1305,2,0)</f>
        <v>D2.6031</v>
      </c>
      <c r="D541" s="8" t="str">
        <f>VLOOKUP($B541,R_DG!$A$7:$G$1305,3,0)</f>
        <v>Lắp xà đỡ ≤ 50kg</v>
      </c>
      <c r="E541" s="9" t="str">
        <f>VLOOKUP($B541,R_DG!$A$7:$G$1305,4,0)</f>
        <v>bộ</v>
      </c>
      <c r="F541" s="11">
        <v>1</v>
      </c>
      <c r="G541" s="214">
        <f>VLOOKUP($B541,R_DG!$A$7:$G$1305,5,0)</f>
        <v>0</v>
      </c>
      <c r="H541" s="214">
        <f>VLOOKUP($B541,R_DG!$A$7:$G$1305,6,0)</f>
        <v>282198.5</v>
      </c>
      <c r="I541" s="214">
        <f>VLOOKUP($B541,R_DG!$A$7:$G$1305,7,0)</f>
        <v>0</v>
      </c>
      <c r="J541" s="214">
        <f t="shared" si="157"/>
        <v>0</v>
      </c>
      <c r="K541" s="214">
        <f t="shared" si="157"/>
        <v>282198.5</v>
      </c>
      <c r="L541" s="220">
        <f t="shared" si="157"/>
        <v>0</v>
      </c>
      <c r="M541" s="93">
        <f t="shared" si="162"/>
        <v>0</v>
      </c>
      <c r="N541" s="328">
        <f t="shared" ca="1" si="163"/>
        <v>0</v>
      </c>
    </row>
    <row r="542" spans="1:14" ht="20.100000000000001" customHeight="1">
      <c r="A542" s="87"/>
      <c r="B542" s="7" t="s">
        <v>2228</v>
      </c>
      <c r="C542" s="32" t="str">
        <f>VLOOKUP($B542,R_DG!$A$7:$G$1305,2,0)</f>
        <v>02.1115</v>
      </c>
      <c r="D542" s="8" t="str">
        <f>VLOOKUP($B542,R_DG!$A$7:$G$1305,3,0)</f>
        <v>Bốc dỡ xà, thép thanh</v>
      </c>
      <c r="E542" s="9" t="str">
        <f>VLOOKUP($B542,R_DG!$A$7:$G$1305,4,0)</f>
        <v>tấn</v>
      </c>
      <c r="F542" s="11"/>
      <c r="G542" s="214">
        <f>VLOOKUP($B542,R_DG!$A$7:$G$1305,5,0)</f>
        <v>0</v>
      </c>
      <c r="H542" s="214">
        <f>VLOOKUP($B542,R_DG!$A$7:$G$1305,6,0)</f>
        <v>0</v>
      </c>
      <c r="I542" s="214">
        <f>VLOOKUP($B542,R_DG!$A$7:$G$1305,7,0)</f>
        <v>0</v>
      </c>
      <c r="J542" s="214">
        <f t="shared" si="157"/>
        <v>0</v>
      </c>
      <c r="K542" s="214">
        <f t="shared" si="157"/>
        <v>0</v>
      </c>
      <c r="L542" s="220">
        <f t="shared" si="157"/>
        <v>0</v>
      </c>
      <c r="M542" s="93">
        <f t="shared" si="162"/>
        <v>0</v>
      </c>
      <c r="N542" s="328">
        <f t="shared" ca="1" si="163"/>
        <v>0</v>
      </c>
    </row>
    <row r="543" spans="1:14" ht="20.100000000000001" customHeight="1">
      <c r="A543" s="89" t="s">
        <v>2261</v>
      </c>
      <c r="B543" s="24"/>
      <c r="C543" s="34"/>
      <c r="D543" s="25" t="s">
        <v>2262</v>
      </c>
      <c r="E543" s="25" t="s">
        <v>163</v>
      </c>
      <c r="F543" s="26"/>
      <c r="G543" s="213"/>
      <c r="H543" s="213"/>
      <c r="I543" s="213"/>
      <c r="J543" s="213" t="e">
        <f>SUM(J544:J548)</f>
        <v>#REF!</v>
      </c>
      <c r="K543" s="213">
        <f>SUM(K544:K548)</f>
        <v>0</v>
      </c>
      <c r="L543" s="219">
        <f>SUM(L544:L548)</f>
        <v>0</v>
      </c>
      <c r="M543" s="92">
        <f>IF(ERROR.TYPE(IF(HLOOKUP(A543,maBK,1,0)&lt;&gt;"",#NULL!,"ABC"))&lt;&gt;7,1,0)</f>
        <v>0</v>
      </c>
      <c r="N543" s="327">
        <f ca="1">SUMIF(maBK,$A543,tongBK1)</f>
        <v>0</v>
      </c>
    </row>
    <row r="544" spans="1:14" ht="20.100000000000001" customHeight="1">
      <c r="A544" s="87"/>
      <c r="B544" s="7" t="s">
        <v>3309</v>
      </c>
      <c r="C544" s="32">
        <f>VLOOKUP($B544,R_DG!$A$7:$G$1305,2,0)</f>
        <v>0</v>
      </c>
      <c r="D544" s="8" t="str">
        <f>VLOOKUP($B544,R_DG!$A$7:$G$1305,3,0)</f>
        <v>Đà sắt L75x75x8x2100 lệch 100% 3 ốp (20,84kg/cái)</v>
      </c>
      <c r="E544" s="9" t="str">
        <f>VLOOKUP($B544,R_DG!$A$7:$G$1305,4,0)</f>
        <v>cái</v>
      </c>
      <c r="F544" s="11">
        <v>2</v>
      </c>
      <c r="G544" s="214" t="e">
        <f>VLOOKUP($B544,R_DG!$A$7:$G$1305,5,0)</f>
        <v>#REF!</v>
      </c>
      <c r="H544" s="214">
        <f>VLOOKUP($B544,R_DG!$A$7:$G$1305,6,0)</f>
        <v>0</v>
      </c>
      <c r="I544" s="214">
        <f>VLOOKUP($B544,R_DG!$A$7:$G$1305,7,0)</f>
        <v>0</v>
      </c>
      <c r="J544" s="214" t="e">
        <f t="shared" si="157"/>
        <v>#REF!</v>
      </c>
      <c r="K544" s="214">
        <f t="shared" si="157"/>
        <v>0</v>
      </c>
      <c r="L544" s="220">
        <f t="shared" si="157"/>
        <v>0</v>
      </c>
      <c r="M544" s="93">
        <f t="shared" ref="M544:M551" si="164">IF(F544&gt;0,M$543,0)</f>
        <v>0</v>
      </c>
      <c r="N544" s="328">
        <f t="shared" ref="N544:N551" ca="1" si="165">$F544*N$543</f>
        <v>0</v>
      </c>
    </row>
    <row r="545" spans="1:14" ht="20.100000000000001" customHeight="1">
      <c r="A545" s="87"/>
      <c r="B545" s="7" t="s">
        <v>4051</v>
      </c>
      <c r="C545" s="32">
        <f>VLOOKUP($B545,R_DG!$A$7:$G$1305,2,0)</f>
        <v>0</v>
      </c>
      <c r="D545" s="8" t="str">
        <f>VLOOKUP($B545,R_DG!$A$7:$G$1305,3,0)</f>
        <v>Thanh chống L50x50x5x1990 (6,07kg/cái)</v>
      </c>
      <c r="E545" s="9" t="str">
        <f>VLOOKUP($B545,R_DG!$A$7:$G$1305,4,0)</f>
        <v>cái</v>
      </c>
      <c r="F545" s="11">
        <v>2</v>
      </c>
      <c r="G545" s="214">
        <f>VLOOKUP($B545,R_DG!$A$7:$G$1305,5,0)</f>
        <v>175778.78949999998</v>
      </c>
      <c r="H545" s="214">
        <f>VLOOKUP($B545,R_DG!$A$7:$G$1305,6,0)</f>
        <v>0</v>
      </c>
      <c r="I545" s="214">
        <f>VLOOKUP($B545,R_DG!$A$7:$G$1305,7,0)</f>
        <v>0</v>
      </c>
      <c r="J545" s="214">
        <f t="shared" si="157"/>
        <v>351557.57899999997</v>
      </c>
      <c r="K545" s="214">
        <f t="shared" si="157"/>
        <v>0</v>
      </c>
      <c r="L545" s="220">
        <f t="shared" si="157"/>
        <v>0</v>
      </c>
      <c r="M545" s="93">
        <f t="shared" si="164"/>
        <v>0</v>
      </c>
      <c r="N545" s="328">
        <f t="shared" ca="1" si="165"/>
        <v>0</v>
      </c>
    </row>
    <row r="546" spans="1:14" ht="20.100000000000001" customHeight="1">
      <c r="A546" s="87"/>
      <c r="B546" s="7" t="s">
        <v>647</v>
      </c>
      <c r="C546" s="32">
        <f>VLOOKUP($B546,R_DG!$A$7:$G$1305,2,0)</f>
        <v>0</v>
      </c>
      <c r="D546" s="8" t="str">
        <f>VLOOKUP($B546,R_DG!$A$7:$G$1305,3,0)</f>
        <v>Sắt dẹt 50 x 5</v>
      </c>
      <c r="E546" s="9" t="str">
        <f>VLOOKUP($B546,R_DG!$A$7:$G$1305,4,0)</f>
        <v>kg</v>
      </c>
      <c r="F546" s="11"/>
      <c r="G546" s="214">
        <f>VLOOKUP($B546,R_DG!$A$7:$G$1305,5,0)</f>
        <v>28941</v>
      </c>
      <c r="H546" s="214">
        <f>VLOOKUP($B546,R_DG!$A$7:$G$1305,6,0)</f>
        <v>0</v>
      </c>
      <c r="I546" s="214">
        <f>VLOOKUP($B546,R_DG!$A$7:$G$1305,7,0)</f>
        <v>0</v>
      </c>
      <c r="J546" s="214">
        <f t="shared" si="157"/>
        <v>0</v>
      </c>
      <c r="K546" s="214">
        <f t="shared" si="157"/>
        <v>0</v>
      </c>
      <c r="L546" s="220">
        <f t="shared" si="157"/>
        <v>0</v>
      </c>
      <c r="M546" s="93">
        <f t="shared" si="164"/>
        <v>0</v>
      </c>
      <c r="N546" s="328">
        <f t="shared" ca="1" si="165"/>
        <v>0</v>
      </c>
    </row>
    <row r="547" spans="1:14" ht="20.100000000000001" customHeight="1">
      <c r="A547" s="87"/>
      <c r="B547" s="7" t="s">
        <v>2237</v>
      </c>
      <c r="C547" s="32">
        <f>VLOOKUP($B547,R_DG!$A$7:$G$1305,2,0)</f>
        <v>0</v>
      </c>
      <c r="D547" s="8" t="str">
        <f>VLOOKUP($B547,R_DG!$A$7:$G$1305,3,0)</f>
        <v>Boulon 16x300VRS+ 4 long đền vuông D18-50x50x3/Zn</v>
      </c>
      <c r="E547" s="9" t="str">
        <f>VLOOKUP($B547,R_DG!$A$7:$G$1305,4,0)</f>
        <v>bộ</v>
      </c>
      <c r="F547" s="11">
        <v>3</v>
      </c>
      <c r="G547" s="214" t="e">
        <f>VLOOKUP($B547,R_DG!$A$7:$G$1305,5,0)</f>
        <v>#REF!</v>
      </c>
      <c r="H547" s="214">
        <f>VLOOKUP($B547,R_DG!$A$7:$G$1305,6,0)</f>
        <v>0</v>
      </c>
      <c r="I547" s="214">
        <f>VLOOKUP($B547,R_DG!$A$7:$G$1305,7,0)</f>
        <v>0</v>
      </c>
      <c r="J547" s="214" t="e">
        <f t="shared" si="157"/>
        <v>#REF!</v>
      </c>
      <c r="K547" s="214">
        <f t="shared" si="157"/>
        <v>0</v>
      </c>
      <c r="L547" s="220">
        <f t="shared" si="157"/>
        <v>0</v>
      </c>
      <c r="M547" s="93">
        <f t="shared" si="164"/>
        <v>0</v>
      </c>
      <c r="N547" s="328">
        <f t="shared" ca="1" si="165"/>
        <v>0</v>
      </c>
    </row>
    <row r="548" spans="1:14" ht="20.100000000000001" customHeight="1">
      <c r="A548" s="87"/>
      <c r="B548" s="7" t="s">
        <v>86</v>
      </c>
      <c r="C548" s="32">
        <f>VLOOKUP($B548,R_DG!$A$7:$G$1305,2,0)</f>
        <v>0</v>
      </c>
      <c r="D548" s="8" t="str">
        <f>VLOOKUP($B548,R_DG!$A$7:$G$1305,3,0)</f>
        <v>Boulon 16x300+ 2 long đền vuông D18-50x50x3/Zn</v>
      </c>
      <c r="E548" s="9" t="str">
        <f>VLOOKUP($B548,R_DG!$A$7:$G$1305,4,0)</f>
        <v>bộ</v>
      </c>
      <c r="F548" s="11">
        <v>1</v>
      </c>
      <c r="G548" s="214" t="e">
        <f>VLOOKUP($B548,R_DG!$A$7:$G$1305,5,0)</f>
        <v>#REF!</v>
      </c>
      <c r="H548" s="214">
        <f>VLOOKUP($B548,R_DG!$A$7:$G$1305,6,0)</f>
        <v>0</v>
      </c>
      <c r="I548" s="214">
        <f>VLOOKUP($B548,R_DG!$A$7:$G$1305,7,0)</f>
        <v>0</v>
      </c>
      <c r="J548" s="214" t="e">
        <f t="shared" si="157"/>
        <v>#REF!</v>
      </c>
      <c r="K548" s="214">
        <f t="shared" si="157"/>
        <v>0</v>
      </c>
      <c r="L548" s="220">
        <f t="shared" si="157"/>
        <v>0</v>
      </c>
      <c r="M548" s="93">
        <f t="shared" si="164"/>
        <v>0</v>
      </c>
      <c r="N548" s="328">
        <f t="shared" ca="1" si="165"/>
        <v>0</v>
      </c>
    </row>
    <row r="549" spans="1:14" ht="20.100000000000001" customHeight="1">
      <c r="A549" s="87"/>
      <c r="B549" s="7" t="s">
        <v>84</v>
      </c>
      <c r="C549" s="32">
        <f>VLOOKUP($B549,R_DG!$A$7:$G$1305,2,0)</f>
        <v>0</v>
      </c>
      <c r="D549" s="8" t="str">
        <f>VLOOKUP($B549,R_DG!$A$7:$G$1305,3,0)</f>
        <v>Boulon 16x250+ 2 long đền vuông D18-50x50x3/Zn</v>
      </c>
      <c r="E549" s="9" t="str">
        <f>VLOOKUP($B549,R_DG!$A$7:$G$1305,4,0)</f>
        <v>bộ</v>
      </c>
      <c r="F549" s="11">
        <v>1</v>
      </c>
      <c r="G549" s="214" t="e">
        <f>VLOOKUP($B549,R_DG!$A$7:$G$1305,5,0)</f>
        <v>#REF!</v>
      </c>
      <c r="H549" s="214">
        <f>VLOOKUP($B549,R_DG!$A$7:$G$1305,6,0)</f>
        <v>0</v>
      </c>
      <c r="I549" s="214">
        <f>VLOOKUP($B549,R_DG!$A$7:$G$1305,7,0)</f>
        <v>0</v>
      </c>
      <c r="J549" s="214" t="e">
        <f t="shared" si="157"/>
        <v>#REF!</v>
      </c>
      <c r="K549" s="214">
        <f t="shared" si="157"/>
        <v>0</v>
      </c>
      <c r="L549" s="220">
        <f t="shared" si="157"/>
        <v>0</v>
      </c>
      <c r="M549" s="93">
        <f t="shared" si="164"/>
        <v>0</v>
      </c>
      <c r="N549" s="328">
        <f t="shared" ca="1" si="165"/>
        <v>0</v>
      </c>
    </row>
    <row r="550" spans="1:14" ht="20.100000000000001" customHeight="1">
      <c r="A550" s="87"/>
      <c r="B550" s="12" t="s">
        <v>1187</v>
      </c>
      <c r="C550" s="32" t="str">
        <f>VLOOKUP($B550,R_DG!$A$7:$G$1305,2,0)</f>
        <v>D2.6042</v>
      </c>
      <c r="D550" s="8" t="str">
        <f>VLOOKUP($B550,R_DG!$A$7:$G$1305,3,0)</f>
        <v>Lắp xà néo ≤ 100kg</v>
      </c>
      <c r="E550" s="9" t="str">
        <f>VLOOKUP($B550,R_DG!$A$7:$G$1305,4,0)</f>
        <v>bộ</v>
      </c>
      <c r="F550" s="11">
        <v>1</v>
      </c>
      <c r="G550" s="214">
        <f>VLOOKUP($B550,R_DG!$A$7:$G$1305,5,0)</f>
        <v>0</v>
      </c>
      <c r="H550" s="214">
        <f>VLOOKUP($B550,R_DG!$A$7:$G$1305,6,0)</f>
        <v>505503.4</v>
      </c>
      <c r="I550" s="214">
        <f>VLOOKUP($B550,R_DG!$A$7:$G$1305,7,0)</f>
        <v>0</v>
      </c>
      <c r="J550" s="214">
        <f t="shared" si="157"/>
        <v>0</v>
      </c>
      <c r="K550" s="214">
        <f t="shared" si="157"/>
        <v>505503.4</v>
      </c>
      <c r="L550" s="220">
        <f t="shared" si="157"/>
        <v>0</v>
      </c>
      <c r="M550" s="93">
        <f t="shared" si="164"/>
        <v>0</v>
      </c>
      <c r="N550" s="328">
        <f t="shared" ca="1" si="165"/>
        <v>0</v>
      </c>
    </row>
    <row r="551" spans="1:14" ht="20.100000000000001" customHeight="1">
      <c r="A551" s="87"/>
      <c r="B551" s="7" t="s">
        <v>2228</v>
      </c>
      <c r="C551" s="32" t="str">
        <f>VLOOKUP($B551,R_DG!$A$7:$G$1305,2,0)</f>
        <v>02.1115</v>
      </c>
      <c r="D551" s="8" t="str">
        <f>VLOOKUP($B551,R_DG!$A$7:$G$1305,3,0)</f>
        <v>Bốc dỡ xà, thép thanh</v>
      </c>
      <c r="E551" s="9" t="str">
        <f>VLOOKUP($B551,R_DG!$A$7:$G$1305,4,0)</f>
        <v>tấn</v>
      </c>
      <c r="F551" s="11"/>
      <c r="G551" s="214">
        <f>VLOOKUP($B551,R_DG!$A$7:$G$1305,5,0)</f>
        <v>0</v>
      </c>
      <c r="H551" s="214">
        <f>VLOOKUP($B551,R_DG!$A$7:$G$1305,6,0)</f>
        <v>0</v>
      </c>
      <c r="I551" s="214">
        <f>VLOOKUP($B551,R_DG!$A$7:$G$1305,7,0)</f>
        <v>0</v>
      </c>
      <c r="J551" s="214">
        <f t="shared" si="157"/>
        <v>0</v>
      </c>
      <c r="K551" s="214">
        <f t="shared" si="157"/>
        <v>0</v>
      </c>
      <c r="L551" s="220">
        <f t="shared" si="157"/>
        <v>0</v>
      </c>
      <c r="M551" s="93">
        <f t="shared" si="164"/>
        <v>0</v>
      </c>
      <c r="N551" s="328">
        <f t="shared" ca="1" si="165"/>
        <v>0</v>
      </c>
    </row>
    <row r="552" spans="1:14" ht="20.100000000000001" customHeight="1">
      <c r="A552" s="89" t="s">
        <v>2263</v>
      </c>
      <c r="B552" s="24"/>
      <c r="C552" s="34"/>
      <c r="D552" s="25" t="s">
        <v>2264</v>
      </c>
      <c r="E552" s="25" t="s">
        <v>163</v>
      </c>
      <c r="F552" s="26"/>
      <c r="G552" s="213"/>
      <c r="H552" s="213"/>
      <c r="I552" s="213"/>
      <c r="J552" s="213" t="e">
        <f>SUM(J553:J557)</f>
        <v>#REF!</v>
      </c>
      <c r="K552" s="213">
        <f>SUM(K553:K557)</f>
        <v>208581.5</v>
      </c>
      <c r="L552" s="219">
        <f>SUM(L553:L557)</f>
        <v>0</v>
      </c>
      <c r="M552" s="92">
        <f>IF(ERROR.TYPE(IF(HLOOKUP(A552,maBK,1,0)&lt;&gt;"",#NULL!,"ABC"))&lt;&gt;7,1,0)</f>
        <v>0</v>
      </c>
      <c r="N552" s="327">
        <f ca="1">SUMIF(maBK,$A552,tongBK1)</f>
        <v>0</v>
      </c>
    </row>
    <row r="553" spans="1:14" ht="20.100000000000001" customHeight="1">
      <c r="A553" s="87"/>
      <c r="B553" s="7" t="s">
        <v>3311</v>
      </c>
      <c r="C553" s="32">
        <f>VLOOKUP($B553,R_DG!$A$7:$G$1305,2,0)</f>
        <v>0</v>
      </c>
      <c r="D553" s="8" t="str">
        <f>VLOOKUP($B553,R_DG!$A$7:$G$1305,3,0)</f>
        <v>Đà sắt L75x75x8x2000 lệch 2/3 3 ốp (19,93kg/cái)</v>
      </c>
      <c r="E553" s="9" t="str">
        <f>VLOOKUP($B553,R_DG!$A$7:$G$1305,4,0)</f>
        <v>cái</v>
      </c>
      <c r="F553" s="11">
        <v>1</v>
      </c>
      <c r="G553" s="214" t="e">
        <f>VLOOKUP($B553,R_DG!$A$7:$G$1305,5,0)</f>
        <v>#REF!</v>
      </c>
      <c r="H553" s="214">
        <f>VLOOKUP($B553,R_DG!$A$7:$G$1305,6,0)</f>
        <v>0</v>
      </c>
      <c r="I553" s="214">
        <f>VLOOKUP($B553,R_DG!$A$7:$G$1305,7,0)</f>
        <v>0</v>
      </c>
      <c r="J553" s="214" t="e">
        <f t="shared" si="157"/>
        <v>#REF!</v>
      </c>
      <c r="K553" s="214">
        <f t="shared" si="157"/>
        <v>0</v>
      </c>
      <c r="L553" s="220">
        <f t="shared" si="157"/>
        <v>0</v>
      </c>
      <c r="M553" s="93">
        <f t="shared" ref="M553:M558" si="166">IF(F553&gt;0,M$552,0)</f>
        <v>0</v>
      </c>
      <c r="N553" s="329">
        <f t="shared" ref="N553:N558" ca="1" si="167">$F553*N$552</f>
        <v>0</v>
      </c>
    </row>
    <row r="554" spans="1:14" ht="20.100000000000001" customHeight="1">
      <c r="A554" s="87"/>
      <c r="B554" s="7" t="s">
        <v>4052</v>
      </c>
      <c r="C554" s="32">
        <f>VLOOKUP($B554,R_DG!$A$7:$G$1305,2,0)</f>
        <v>0</v>
      </c>
      <c r="D554" s="8" t="str">
        <f>VLOOKUP($B554,R_DG!$A$7:$G$1305,3,0)</f>
        <v>Thanh chống L50x50x5x1150 (3,51kg/cái)</v>
      </c>
      <c r="E554" s="9" t="str">
        <f>VLOOKUP($B554,R_DG!$A$7:$G$1305,4,0)</f>
        <v>cái</v>
      </c>
      <c r="F554" s="11">
        <v>1</v>
      </c>
      <c r="G554" s="214">
        <f>VLOOKUP($B554,R_DG!$A$7:$G$1305,5,0)</f>
        <v>101653.11</v>
      </c>
      <c r="H554" s="214">
        <f>VLOOKUP($B554,R_DG!$A$7:$G$1305,6,0)</f>
        <v>0</v>
      </c>
      <c r="I554" s="214">
        <f>VLOOKUP($B554,R_DG!$A$7:$G$1305,7,0)</f>
        <v>0</v>
      </c>
      <c r="J554" s="214">
        <f t="shared" si="157"/>
        <v>101653.11</v>
      </c>
      <c r="K554" s="214">
        <f t="shared" si="157"/>
        <v>0</v>
      </c>
      <c r="L554" s="220">
        <f t="shared" si="157"/>
        <v>0</v>
      </c>
      <c r="M554" s="93">
        <f t="shared" si="166"/>
        <v>0</v>
      </c>
      <c r="N554" s="328">
        <f t="shared" ca="1" si="167"/>
        <v>0</v>
      </c>
    </row>
    <row r="555" spans="1:14" ht="20.100000000000001" customHeight="1">
      <c r="A555" s="87"/>
      <c r="B555" s="7" t="s">
        <v>84</v>
      </c>
      <c r="C555" s="32">
        <f>VLOOKUP($B555,R_DG!$A$7:$G$1305,2,0)</f>
        <v>0</v>
      </c>
      <c r="D555" s="8" t="str">
        <f>VLOOKUP($B555,R_DG!$A$7:$G$1305,3,0)</f>
        <v>Boulon 16x250+ 2 long đền vuông D18-50x50x3/Zn</v>
      </c>
      <c r="E555" s="9" t="str">
        <f>VLOOKUP($B555,R_DG!$A$7:$G$1305,4,0)</f>
        <v>bộ</v>
      </c>
      <c r="F555" s="11">
        <v>2</v>
      </c>
      <c r="G555" s="214" t="e">
        <f>VLOOKUP($B555,R_DG!$A$7:$G$1305,5,0)</f>
        <v>#REF!</v>
      </c>
      <c r="H555" s="214">
        <f>VLOOKUP($B555,R_DG!$A$7:$G$1305,6,0)</f>
        <v>0</v>
      </c>
      <c r="I555" s="214">
        <f>VLOOKUP($B555,R_DG!$A$7:$G$1305,7,0)</f>
        <v>0</v>
      </c>
      <c r="J555" s="214" t="e">
        <f t="shared" si="157"/>
        <v>#REF!</v>
      </c>
      <c r="K555" s="214">
        <f t="shared" si="157"/>
        <v>0</v>
      </c>
      <c r="L555" s="220">
        <f t="shared" si="157"/>
        <v>0</v>
      </c>
      <c r="M555" s="93">
        <f t="shared" si="166"/>
        <v>0</v>
      </c>
      <c r="N555" s="328">
        <f t="shared" ca="1" si="167"/>
        <v>0</v>
      </c>
    </row>
    <row r="556" spans="1:14" ht="20.100000000000001" customHeight="1">
      <c r="A556" s="87"/>
      <c r="B556" s="7" t="s">
        <v>76</v>
      </c>
      <c r="C556" s="32">
        <f>VLOOKUP($B556,R_DG!$A$7:$G$1305,2,0)</f>
        <v>0</v>
      </c>
      <c r="D556" s="8" t="str">
        <f>VLOOKUP($B556,R_DG!$A$7:$G$1305,3,0)</f>
        <v>Boulon 16x50+ 2 long đền vuông D18-50x50x3/Zn</v>
      </c>
      <c r="E556" s="9" t="str">
        <f>VLOOKUP($B556,R_DG!$A$7:$G$1305,4,0)</f>
        <v>bộ</v>
      </c>
      <c r="F556" s="11">
        <v>1</v>
      </c>
      <c r="G556" s="214" t="e">
        <f>VLOOKUP($B556,R_DG!$A$7:$G$1305,5,0)</f>
        <v>#REF!</v>
      </c>
      <c r="H556" s="214">
        <f>VLOOKUP($B556,R_DG!$A$7:$G$1305,6,0)</f>
        <v>0</v>
      </c>
      <c r="I556" s="214">
        <f>VLOOKUP($B556,R_DG!$A$7:$G$1305,7,0)</f>
        <v>0</v>
      </c>
      <c r="J556" s="214" t="e">
        <f t="shared" si="157"/>
        <v>#REF!</v>
      </c>
      <c r="K556" s="214">
        <f t="shared" si="157"/>
        <v>0</v>
      </c>
      <c r="L556" s="220">
        <f t="shared" si="157"/>
        <v>0</v>
      </c>
      <c r="M556" s="93">
        <f t="shared" si="166"/>
        <v>0</v>
      </c>
      <c r="N556" s="328">
        <f t="shared" ca="1" si="167"/>
        <v>0</v>
      </c>
    </row>
    <row r="557" spans="1:14" ht="20.100000000000001" customHeight="1">
      <c r="A557" s="87"/>
      <c r="B557" s="7" t="s">
        <v>1179</v>
      </c>
      <c r="C557" s="32" t="str">
        <f>VLOOKUP($B557,R_DG!$A$7:$G$1305,2,0)</f>
        <v>D2.6021</v>
      </c>
      <c r="D557" s="8" t="str">
        <f>VLOOKUP($B557,R_DG!$A$7:$G$1305,3,0)</f>
        <v>Lắp xà đỡ ≤ 25kg</v>
      </c>
      <c r="E557" s="9" t="str">
        <f>VLOOKUP($B557,R_DG!$A$7:$G$1305,4,0)</f>
        <v>bộ</v>
      </c>
      <c r="F557" s="11">
        <v>1</v>
      </c>
      <c r="G557" s="214">
        <f>VLOOKUP($B557,R_DG!$A$7:$G$1305,5,0)</f>
        <v>0</v>
      </c>
      <c r="H557" s="214">
        <f>VLOOKUP($B557,R_DG!$A$7:$G$1305,6,0)</f>
        <v>208581.5</v>
      </c>
      <c r="I557" s="214">
        <f>VLOOKUP($B557,R_DG!$A$7:$G$1305,7,0)</f>
        <v>0</v>
      </c>
      <c r="J557" s="214">
        <f t="shared" si="157"/>
        <v>0</v>
      </c>
      <c r="K557" s="214">
        <f t="shared" si="157"/>
        <v>208581.5</v>
      </c>
      <c r="L557" s="220">
        <f t="shared" si="157"/>
        <v>0</v>
      </c>
      <c r="M557" s="93">
        <f t="shared" si="166"/>
        <v>0</v>
      </c>
      <c r="N557" s="328">
        <f t="shared" ca="1" si="167"/>
        <v>0</v>
      </c>
    </row>
    <row r="558" spans="1:14" ht="20.100000000000001" customHeight="1">
      <c r="A558" s="87"/>
      <c r="B558" s="7" t="s">
        <v>2228</v>
      </c>
      <c r="C558" s="32" t="str">
        <f>VLOOKUP($B558,R_DG!$A$7:$G$1305,2,0)</f>
        <v>02.1115</v>
      </c>
      <c r="D558" s="8" t="str">
        <f>VLOOKUP($B558,R_DG!$A$7:$G$1305,3,0)</f>
        <v>Bốc dỡ xà, thép thanh</v>
      </c>
      <c r="E558" s="9" t="str">
        <f>VLOOKUP($B558,R_DG!$A$7:$G$1305,4,0)</f>
        <v>tấn</v>
      </c>
      <c r="F558" s="11"/>
      <c r="G558" s="214">
        <f>VLOOKUP($B558,R_DG!$A$7:$G$1305,5,0)</f>
        <v>0</v>
      </c>
      <c r="H558" s="214">
        <f>VLOOKUP($B558,R_DG!$A$7:$G$1305,6,0)</f>
        <v>0</v>
      </c>
      <c r="I558" s="214">
        <f>VLOOKUP($B558,R_DG!$A$7:$G$1305,7,0)</f>
        <v>0</v>
      </c>
      <c r="J558" s="214">
        <f t="shared" si="157"/>
        <v>0</v>
      </c>
      <c r="K558" s="214">
        <f t="shared" si="157"/>
        <v>0</v>
      </c>
      <c r="L558" s="220">
        <f t="shared" si="157"/>
        <v>0</v>
      </c>
      <c r="M558" s="93">
        <f t="shared" si="166"/>
        <v>0</v>
      </c>
      <c r="N558" s="328">
        <f t="shared" ca="1" si="167"/>
        <v>0</v>
      </c>
    </row>
    <row r="559" spans="1:14" ht="20.100000000000001" customHeight="1">
      <c r="A559" s="89" t="s">
        <v>2265</v>
      </c>
      <c r="B559" s="24"/>
      <c r="C559" s="34"/>
      <c r="D559" s="25" t="s">
        <v>2266</v>
      </c>
      <c r="E559" s="25" t="s">
        <v>163</v>
      </c>
      <c r="F559" s="26"/>
      <c r="G559" s="213"/>
      <c r="H559" s="213"/>
      <c r="I559" s="213"/>
      <c r="J559" s="213" t="e">
        <f>SUM(J560:J564)</f>
        <v>#REF!</v>
      </c>
      <c r="K559" s="213">
        <f>SUM(K560:K564)</f>
        <v>0</v>
      </c>
      <c r="L559" s="219">
        <f>SUM(L560:L564)</f>
        <v>0</v>
      </c>
      <c r="M559" s="92">
        <f>IF(ERROR.TYPE(IF(HLOOKUP(A559,maBK,1,0)&lt;&gt;"",#NULL!,"ABC"))&lt;&gt;7,1,0)</f>
        <v>0</v>
      </c>
      <c r="N559" s="327">
        <f ca="1">SUMIF(maBK,$A559,tongBK1)</f>
        <v>0</v>
      </c>
    </row>
    <row r="560" spans="1:14" ht="20.100000000000001" customHeight="1">
      <c r="A560" s="87"/>
      <c r="B560" s="7" t="s">
        <v>3311</v>
      </c>
      <c r="C560" s="32">
        <f>VLOOKUP($B560,R_DG!$A$7:$G$1305,2,0)</f>
        <v>0</v>
      </c>
      <c r="D560" s="8" t="str">
        <f>VLOOKUP($B560,R_DG!$A$7:$G$1305,3,0)</f>
        <v>Đà sắt L75x75x8x2000 lệch 2/3 3 ốp (19,93kg/cái)</v>
      </c>
      <c r="E560" s="9" t="str">
        <f>VLOOKUP($B560,R_DG!$A$7:$G$1305,4,0)</f>
        <v>cái</v>
      </c>
      <c r="F560" s="11">
        <v>2</v>
      </c>
      <c r="G560" s="214" t="e">
        <f>VLOOKUP($B560,R_DG!$A$7:$G$1305,5,0)</f>
        <v>#REF!</v>
      </c>
      <c r="H560" s="214">
        <f>VLOOKUP($B560,R_DG!$A$7:$G$1305,6,0)</f>
        <v>0</v>
      </c>
      <c r="I560" s="214">
        <f>VLOOKUP($B560,R_DG!$A$7:$G$1305,7,0)</f>
        <v>0</v>
      </c>
      <c r="J560" s="214" t="e">
        <f t="shared" si="157"/>
        <v>#REF!</v>
      </c>
      <c r="K560" s="214">
        <f t="shared" si="157"/>
        <v>0</v>
      </c>
      <c r="L560" s="220">
        <f t="shared" si="157"/>
        <v>0</v>
      </c>
      <c r="M560" s="93">
        <f t="shared" ref="M560:M567" si="168">IF(F560&gt;0,M$559,0)</f>
        <v>0</v>
      </c>
      <c r="N560" s="328">
        <f t="shared" ref="N560:N567" ca="1" si="169">$F560*N$559</f>
        <v>0</v>
      </c>
    </row>
    <row r="561" spans="1:14" ht="20.100000000000001" customHeight="1">
      <c r="A561" s="87"/>
      <c r="B561" s="7" t="s">
        <v>4052</v>
      </c>
      <c r="C561" s="32">
        <f>VLOOKUP($B561,R_DG!$A$7:$G$1305,2,0)</f>
        <v>0</v>
      </c>
      <c r="D561" s="8" t="str">
        <f>VLOOKUP($B561,R_DG!$A$7:$G$1305,3,0)</f>
        <v>Thanh chống L50x50x5x1150 (3,51kg/cái)</v>
      </c>
      <c r="E561" s="9" t="str">
        <f>VLOOKUP($B561,R_DG!$A$7:$G$1305,4,0)</f>
        <v>cái</v>
      </c>
      <c r="F561" s="11">
        <v>2</v>
      </c>
      <c r="G561" s="214">
        <f>VLOOKUP($B561,R_DG!$A$7:$G$1305,5,0)</f>
        <v>101653.11</v>
      </c>
      <c r="H561" s="214">
        <f>VLOOKUP($B561,R_DG!$A$7:$G$1305,6,0)</f>
        <v>0</v>
      </c>
      <c r="I561" s="214">
        <f>VLOOKUP($B561,R_DG!$A$7:$G$1305,7,0)</f>
        <v>0</v>
      </c>
      <c r="J561" s="214">
        <f t="shared" si="157"/>
        <v>203306.22</v>
      </c>
      <c r="K561" s="214">
        <f t="shared" si="157"/>
        <v>0</v>
      </c>
      <c r="L561" s="220">
        <f t="shared" si="157"/>
        <v>0</v>
      </c>
      <c r="M561" s="93">
        <f t="shared" si="168"/>
        <v>0</v>
      </c>
      <c r="N561" s="328">
        <f t="shared" ca="1" si="169"/>
        <v>0</v>
      </c>
    </row>
    <row r="562" spans="1:14" ht="20.100000000000001" customHeight="1">
      <c r="A562" s="87"/>
      <c r="B562" s="7" t="s">
        <v>2237</v>
      </c>
      <c r="C562" s="32">
        <f>VLOOKUP($B562,R_DG!$A$7:$G$1305,2,0)</f>
        <v>0</v>
      </c>
      <c r="D562" s="8" t="str">
        <f>VLOOKUP($B562,R_DG!$A$7:$G$1305,3,0)</f>
        <v>Boulon 16x300VRS+ 4 long đền vuông D18-50x50x3/Zn</v>
      </c>
      <c r="E562" s="9" t="str">
        <f>VLOOKUP($B562,R_DG!$A$7:$G$1305,4,0)</f>
        <v>bộ</v>
      </c>
      <c r="F562" s="11">
        <v>3</v>
      </c>
      <c r="G562" s="214" t="e">
        <f>VLOOKUP($B562,R_DG!$A$7:$G$1305,5,0)</f>
        <v>#REF!</v>
      </c>
      <c r="H562" s="214">
        <f>VLOOKUP($B562,R_DG!$A$7:$G$1305,6,0)</f>
        <v>0</v>
      </c>
      <c r="I562" s="214">
        <f>VLOOKUP($B562,R_DG!$A$7:$G$1305,7,0)</f>
        <v>0</v>
      </c>
      <c r="J562" s="214" t="e">
        <f t="shared" si="157"/>
        <v>#REF!</v>
      </c>
      <c r="K562" s="214">
        <f t="shared" si="157"/>
        <v>0</v>
      </c>
      <c r="L562" s="220">
        <f t="shared" si="157"/>
        <v>0</v>
      </c>
      <c r="M562" s="93">
        <f t="shared" si="168"/>
        <v>0</v>
      </c>
      <c r="N562" s="328">
        <f t="shared" ca="1" si="169"/>
        <v>0</v>
      </c>
    </row>
    <row r="563" spans="1:14" ht="20.100000000000001" customHeight="1">
      <c r="A563" s="87"/>
      <c r="B563" s="7" t="s">
        <v>86</v>
      </c>
      <c r="C563" s="32">
        <f>VLOOKUP($B563,R_DG!$A$7:$G$1305,2,0)</f>
        <v>0</v>
      </c>
      <c r="D563" s="8" t="str">
        <f>VLOOKUP($B563,R_DG!$A$7:$G$1305,3,0)</f>
        <v>Boulon 16x300+ 2 long đền vuông D18-50x50x3/Zn</v>
      </c>
      <c r="E563" s="9" t="str">
        <f>VLOOKUP($B563,R_DG!$A$7:$G$1305,4,0)</f>
        <v>bộ</v>
      </c>
      <c r="F563" s="11">
        <v>1</v>
      </c>
      <c r="G563" s="214" t="e">
        <f>VLOOKUP($B563,R_DG!$A$7:$G$1305,5,0)</f>
        <v>#REF!</v>
      </c>
      <c r="H563" s="214">
        <f>VLOOKUP($B563,R_DG!$A$7:$G$1305,6,0)</f>
        <v>0</v>
      </c>
      <c r="I563" s="214">
        <f>VLOOKUP($B563,R_DG!$A$7:$G$1305,7,0)</f>
        <v>0</v>
      </c>
      <c r="J563" s="214" t="e">
        <f t="shared" si="157"/>
        <v>#REF!</v>
      </c>
      <c r="K563" s="214">
        <f t="shared" si="157"/>
        <v>0</v>
      </c>
      <c r="L563" s="220">
        <f t="shared" si="157"/>
        <v>0</v>
      </c>
      <c r="M563" s="93">
        <f t="shared" si="168"/>
        <v>0</v>
      </c>
      <c r="N563" s="328">
        <f t="shared" ca="1" si="169"/>
        <v>0</v>
      </c>
    </row>
    <row r="564" spans="1:14" ht="20.100000000000001" customHeight="1">
      <c r="A564" s="87"/>
      <c r="B564" s="7" t="s">
        <v>84</v>
      </c>
      <c r="C564" s="32">
        <f>VLOOKUP($B564,R_DG!$A$7:$G$1305,2,0)</f>
        <v>0</v>
      </c>
      <c r="D564" s="8" t="str">
        <f>VLOOKUP($B564,R_DG!$A$7:$G$1305,3,0)</f>
        <v>Boulon 16x250+ 2 long đền vuông D18-50x50x3/Zn</v>
      </c>
      <c r="E564" s="9" t="str">
        <f>VLOOKUP($B564,R_DG!$A$7:$G$1305,4,0)</f>
        <v>bộ</v>
      </c>
      <c r="F564" s="11">
        <v>1</v>
      </c>
      <c r="G564" s="214" t="e">
        <f>VLOOKUP($B564,R_DG!$A$7:$G$1305,5,0)</f>
        <v>#REF!</v>
      </c>
      <c r="H564" s="214">
        <f>VLOOKUP($B564,R_DG!$A$7:$G$1305,6,0)</f>
        <v>0</v>
      </c>
      <c r="I564" s="214">
        <f>VLOOKUP($B564,R_DG!$A$7:$G$1305,7,0)</f>
        <v>0</v>
      </c>
      <c r="J564" s="214" t="e">
        <f t="shared" si="157"/>
        <v>#REF!</v>
      </c>
      <c r="K564" s="214">
        <f t="shared" si="157"/>
        <v>0</v>
      </c>
      <c r="L564" s="220">
        <f t="shared" si="157"/>
        <v>0</v>
      </c>
      <c r="M564" s="93">
        <f t="shared" si="168"/>
        <v>0</v>
      </c>
      <c r="N564" s="328">
        <f t="shared" ca="1" si="169"/>
        <v>0</v>
      </c>
    </row>
    <row r="565" spans="1:14" ht="20.100000000000001" customHeight="1">
      <c r="A565" s="87"/>
      <c r="B565" s="7" t="s">
        <v>76</v>
      </c>
      <c r="C565" s="32">
        <f>VLOOKUP($B565,R_DG!$A$7:$G$1305,2,0)</f>
        <v>0</v>
      </c>
      <c r="D565" s="8" t="str">
        <f>VLOOKUP($B565,R_DG!$A$7:$G$1305,3,0)</f>
        <v>Boulon 16x50+ 2 long đền vuông D18-50x50x3/Zn</v>
      </c>
      <c r="E565" s="9" t="str">
        <f>VLOOKUP($B565,R_DG!$A$7:$G$1305,4,0)</f>
        <v>bộ</v>
      </c>
      <c r="F565" s="11">
        <v>2</v>
      </c>
      <c r="G565" s="214" t="e">
        <f>VLOOKUP($B565,R_DG!$A$7:$G$1305,5,0)</f>
        <v>#REF!</v>
      </c>
      <c r="H565" s="214">
        <f>VLOOKUP($B565,R_DG!$A$7:$G$1305,6,0)</f>
        <v>0</v>
      </c>
      <c r="I565" s="214">
        <f>VLOOKUP($B565,R_DG!$A$7:$G$1305,7,0)</f>
        <v>0</v>
      </c>
      <c r="J565" s="214" t="e">
        <f t="shared" si="157"/>
        <v>#REF!</v>
      </c>
      <c r="K565" s="214">
        <f t="shared" si="157"/>
        <v>0</v>
      </c>
      <c r="L565" s="220">
        <f t="shared" si="157"/>
        <v>0</v>
      </c>
      <c r="M565" s="93">
        <f t="shared" si="168"/>
        <v>0</v>
      </c>
      <c r="N565" s="328">
        <f t="shared" ca="1" si="169"/>
        <v>0</v>
      </c>
    </row>
    <row r="566" spans="1:14" ht="20.100000000000001" customHeight="1">
      <c r="A566" s="87"/>
      <c r="B566" s="7" t="s">
        <v>1185</v>
      </c>
      <c r="C566" s="32" t="str">
        <f>VLOOKUP($B566,R_DG!$A$7:$G$1305,2,0)</f>
        <v>D2.6032</v>
      </c>
      <c r="D566" s="8" t="str">
        <f>VLOOKUP($B566,R_DG!$A$7:$G$1305,3,0)</f>
        <v>Lắp xà néo ≤ 50kg</v>
      </c>
      <c r="E566" s="9" t="str">
        <f>VLOOKUP($B566,R_DG!$A$7:$G$1305,4,0)</f>
        <v>bộ</v>
      </c>
      <c r="F566" s="11">
        <v>1</v>
      </c>
      <c r="G566" s="214">
        <f>VLOOKUP($B566,R_DG!$A$7:$G$1305,5,0)</f>
        <v>0</v>
      </c>
      <c r="H566" s="214">
        <f>VLOOKUP($B566,R_DG!$A$7:$G$1305,6,0)</f>
        <v>375446.7</v>
      </c>
      <c r="I566" s="214">
        <f>VLOOKUP($B566,R_DG!$A$7:$G$1305,7,0)</f>
        <v>0</v>
      </c>
      <c r="J566" s="214">
        <f t="shared" si="157"/>
        <v>0</v>
      </c>
      <c r="K566" s="214">
        <f t="shared" si="157"/>
        <v>375446.7</v>
      </c>
      <c r="L566" s="220">
        <f t="shared" si="157"/>
        <v>0</v>
      </c>
      <c r="M566" s="93">
        <f t="shared" si="168"/>
        <v>0</v>
      </c>
      <c r="N566" s="328">
        <f t="shared" ca="1" si="169"/>
        <v>0</v>
      </c>
    </row>
    <row r="567" spans="1:14" ht="20.100000000000001" customHeight="1">
      <c r="A567" s="87"/>
      <c r="B567" s="7" t="s">
        <v>2228</v>
      </c>
      <c r="C567" s="32" t="str">
        <f>VLOOKUP($B567,R_DG!$A$7:$G$1305,2,0)</f>
        <v>02.1115</v>
      </c>
      <c r="D567" s="8" t="str">
        <f>VLOOKUP($B567,R_DG!$A$7:$G$1305,3,0)</f>
        <v>Bốc dỡ xà, thép thanh</v>
      </c>
      <c r="E567" s="9" t="str">
        <f>VLOOKUP($B567,R_DG!$A$7:$G$1305,4,0)</f>
        <v>tấn</v>
      </c>
      <c r="F567" s="11"/>
      <c r="G567" s="214">
        <f>VLOOKUP($B567,R_DG!$A$7:$G$1305,5,0)</f>
        <v>0</v>
      </c>
      <c r="H567" s="214">
        <f>VLOOKUP($B567,R_DG!$A$7:$G$1305,6,0)</f>
        <v>0</v>
      </c>
      <c r="I567" s="214">
        <f>VLOOKUP($B567,R_DG!$A$7:$G$1305,7,0)</f>
        <v>0</v>
      </c>
      <c r="J567" s="214">
        <f t="shared" si="157"/>
        <v>0</v>
      </c>
      <c r="K567" s="214">
        <f t="shared" si="157"/>
        <v>0</v>
      </c>
      <c r="L567" s="220">
        <f t="shared" si="157"/>
        <v>0</v>
      </c>
      <c r="M567" s="93">
        <f t="shared" si="168"/>
        <v>0</v>
      </c>
      <c r="N567" s="328">
        <f t="shared" ca="1" si="169"/>
        <v>0</v>
      </c>
    </row>
    <row r="568" spans="1:14" ht="20.100000000000001" customHeight="1">
      <c r="A568" s="89" t="s">
        <v>2267</v>
      </c>
      <c r="B568" s="24"/>
      <c r="C568" s="34"/>
      <c r="D568" s="25" t="s">
        <v>2268</v>
      </c>
      <c r="E568" s="25" t="s">
        <v>163</v>
      </c>
      <c r="F568" s="26"/>
      <c r="G568" s="213"/>
      <c r="H568" s="213"/>
      <c r="I568" s="213"/>
      <c r="J568" s="213" t="e">
        <f>SUM(J569:J573)</f>
        <v>#REF!</v>
      </c>
      <c r="K568" s="213">
        <f>SUM(K569:K573)</f>
        <v>1143517.4000000001</v>
      </c>
      <c r="L568" s="219">
        <f>SUM(L569:L573)</f>
        <v>0</v>
      </c>
      <c r="M568" s="92">
        <f>IF(ERROR.TYPE(IF(HLOOKUP(A568,maBK,1,0)&lt;&gt;"",#NULL!,"ABC"))&lt;&gt;7,1,0)</f>
        <v>0</v>
      </c>
      <c r="N568" s="327">
        <f ca="1">SUMIF(maBK,$A568,tongBK1)</f>
        <v>0</v>
      </c>
    </row>
    <row r="569" spans="1:14" ht="20.100000000000001" customHeight="1">
      <c r="A569" s="87"/>
      <c r="B569" s="7" t="s">
        <v>669</v>
      </c>
      <c r="C569" s="32">
        <f>VLOOKUP($B569,R_DG!$A$7:$G$1305,2,0)</f>
        <v>0</v>
      </c>
      <c r="D569" s="8" t="str">
        <f>VLOOKUP($B569,R_DG!$A$7:$G$1305,3,0)</f>
        <v>Thép hình L75 x75 x8</v>
      </c>
      <c r="E569" s="9" t="str">
        <f>VLOOKUP($B569,R_DG!$A$7:$G$1305,4,0)</f>
        <v>kg</v>
      </c>
      <c r="F569" s="11">
        <f>9.02*(2.4+3*0.07)</f>
        <v>23.542199999999998</v>
      </c>
      <c r="G569" s="214">
        <f>VLOOKUP($B569,R_DG!$A$7:$G$1305,5,0)</f>
        <v>28961</v>
      </c>
      <c r="H569" s="214">
        <f>VLOOKUP($B569,R_DG!$A$7:$G$1305,6,0)</f>
        <v>0</v>
      </c>
      <c r="I569" s="214">
        <f>VLOOKUP($B569,R_DG!$A$7:$G$1305,7,0)</f>
        <v>0</v>
      </c>
      <c r="J569" s="214">
        <f t="shared" si="157"/>
        <v>681805.65419999987</v>
      </c>
      <c r="K569" s="214">
        <f t="shared" si="157"/>
        <v>0</v>
      </c>
      <c r="L569" s="220">
        <f t="shared" si="157"/>
        <v>0</v>
      </c>
      <c r="M569" s="93">
        <f>IF(F569&gt;0,M$568,0)</f>
        <v>0</v>
      </c>
      <c r="N569" s="328">
        <f ca="1">$F569*N$568</f>
        <v>0</v>
      </c>
    </row>
    <row r="570" spans="1:14" ht="20.100000000000001" customHeight="1">
      <c r="A570" s="87"/>
      <c r="B570" s="7" t="s">
        <v>86</v>
      </c>
      <c r="C570" s="32">
        <f>VLOOKUP($B570,R_DG!$A$7:$G$1305,2,0)</f>
        <v>0</v>
      </c>
      <c r="D570" s="8" t="str">
        <f>VLOOKUP($B570,R_DG!$A$7:$G$1305,3,0)</f>
        <v>Boulon 16x300+ 2 long đền vuông D18-50x50x3/Zn</v>
      </c>
      <c r="E570" s="9" t="str">
        <f>VLOOKUP($B570,R_DG!$A$7:$G$1305,4,0)</f>
        <v>bộ</v>
      </c>
      <c r="F570" s="11">
        <v>2</v>
      </c>
      <c r="G570" s="214" t="e">
        <f>VLOOKUP($B570,R_DG!$A$7:$G$1305,5,0)</f>
        <v>#REF!</v>
      </c>
      <c r="H570" s="214">
        <f>VLOOKUP($B570,R_DG!$A$7:$G$1305,6,0)</f>
        <v>0</v>
      </c>
      <c r="I570" s="214">
        <f>VLOOKUP($B570,R_DG!$A$7:$G$1305,7,0)</f>
        <v>0</v>
      </c>
      <c r="J570" s="214" t="e">
        <f t="shared" si="157"/>
        <v>#REF!</v>
      </c>
      <c r="K570" s="214">
        <f t="shared" si="157"/>
        <v>0</v>
      </c>
      <c r="L570" s="220">
        <f t="shared" si="157"/>
        <v>0</v>
      </c>
      <c r="M570" s="93">
        <f>IF(F570&gt;0,M$568,0)</f>
        <v>0</v>
      </c>
      <c r="N570" s="328">
        <f ca="1">$F570*N$568</f>
        <v>0</v>
      </c>
    </row>
    <row r="571" spans="1:14" ht="20.100000000000001" customHeight="1">
      <c r="A571" s="87"/>
      <c r="B571" s="7" t="s">
        <v>1193</v>
      </c>
      <c r="C571" s="32" t="str">
        <f>VLOOKUP($B571,R_DG!$A$7:$G$1305,2,0)</f>
        <v>D2.6054</v>
      </c>
      <c r="D571" s="8" t="str">
        <f>VLOOKUP($B571,R_DG!$A$7:$G$1305,3,0)</f>
        <v>Lắp xà cột Pi loại ≤140kg/xà</v>
      </c>
      <c r="E571" s="9" t="str">
        <f>VLOOKUP($B571,R_DG!$A$7:$G$1305,4,0)</f>
        <v>bộ</v>
      </c>
      <c r="F571" s="11">
        <v>1</v>
      </c>
      <c r="G571" s="214">
        <f>VLOOKUP($B571,R_DG!$A$7:$G$1305,5,0)</f>
        <v>0</v>
      </c>
      <c r="H571" s="214">
        <f>VLOOKUP($B571,R_DG!$A$7:$G$1305,6,0)</f>
        <v>571758.70000000007</v>
      </c>
      <c r="I571" s="214">
        <f>VLOOKUP($B571,R_DG!$A$7:$G$1305,7,0)</f>
        <v>0</v>
      </c>
      <c r="J571" s="214">
        <f t="shared" si="157"/>
        <v>0</v>
      </c>
      <c r="K571" s="214">
        <f t="shared" si="157"/>
        <v>571758.70000000007</v>
      </c>
      <c r="L571" s="220">
        <f t="shared" si="157"/>
        <v>0</v>
      </c>
      <c r="M571" s="93">
        <f>IF(F571&gt;0,M$568,0)</f>
        <v>0</v>
      </c>
      <c r="N571" s="328">
        <f ca="1">$F571*N$568</f>
        <v>0</v>
      </c>
    </row>
    <row r="572" spans="1:14" ht="20.100000000000001" customHeight="1">
      <c r="A572" s="87"/>
      <c r="B572" s="7" t="s">
        <v>2228</v>
      </c>
      <c r="C572" s="32" t="str">
        <f>VLOOKUP($B572,R_DG!$A$7:$G$1305,2,0)</f>
        <v>02.1115</v>
      </c>
      <c r="D572" s="8" t="str">
        <f>VLOOKUP($B572,R_DG!$A$7:$G$1305,3,0)</f>
        <v>Bốc dỡ xà, thép thanh</v>
      </c>
      <c r="E572" s="9" t="str">
        <f>VLOOKUP($B572,R_DG!$A$7:$G$1305,4,0)</f>
        <v>tấn</v>
      </c>
      <c r="F572" s="11"/>
      <c r="G572" s="214">
        <f>VLOOKUP($B572,R_DG!$A$7:$G$1305,5,0)</f>
        <v>0</v>
      </c>
      <c r="H572" s="214">
        <f>VLOOKUP($B572,R_DG!$A$7:$G$1305,6,0)</f>
        <v>0</v>
      </c>
      <c r="I572" s="214">
        <f>VLOOKUP($B572,R_DG!$A$7:$G$1305,7,0)</f>
        <v>0</v>
      </c>
      <c r="J572" s="214">
        <f t="shared" si="157"/>
        <v>0</v>
      </c>
      <c r="K572" s="214">
        <f t="shared" si="157"/>
        <v>0</v>
      </c>
      <c r="L572" s="220">
        <f t="shared" si="157"/>
        <v>0</v>
      </c>
      <c r="M572" s="93">
        <f>IF(F572&gt;0,M$568,0)</f>
        <v>0</v>
      </c>
      <c r="N572" s="328">
        <f ca="1">$F572*N$568</f>
        <v>0</v>
      </c>
    </row>
    <row r="573" spans="1:14" ht="20.100000000000001" customHeight="1">
      <c r="A573" s="89" t="s">
        <v>2269</v>
      </c>
      <c r="B573" s="24"/>
      <c r="C573" s="34"/>
      <c r="D573" s="25" t="s">
        <v>2270</v>
      </c>
      <c r="E573" s="25" t="s">
        <v>163</v>
      </c>
      <c r="F573" s="26"/>
      <c r="G573" s="213"/>
      <c r="H573" s="213"/>
      <c r="I573" s="213"/>
      <c r="J573" s="213" t="e">
        <f>SUM(J574:J578)</f>
        <v>#REF!</v>
      </c>
      <c r="K573" s="213">
        <f>SUM(K574:K578)</f>
        <v>571758.70000000007</v>
      </c>
      <c r="L573" s="219">
        <f>SUM(L574:L578)</f>
        <v>0</v>
      </c>
      <c r="M573" s="92">
        <f>IF(ERROR.TYPE(IF(HLOOKUP(A573,maBK,1,0)&lt;&gt;"",#NULL!,"ABC"))&lt;&gt;7,1,0)</f>
        <v>0</v>
      </c>
      <c r="N573" s="327">
        <f ca="1">SUMIF(maBK,$A573,tongBK1)</f>
        <v>0</v>
      </c>
    </row>
    <row r="574" spans="1:14" ht="20.100000000000001" customHeight="1">
      <c r="A574" s="87"/>
      <c r="B574" s="7" t="s">
        <v>669</v>
      </c>
      <c r="C574" s="32">
        <f>VLOOKUP($B574,R_DG!$A$7:$G$1305,2,0)</f>
        <v>0</v>
      </c>
      <c r="D574" s="8" t="str">
        <f>VLOOKUP($B574,R_DG!$A$7:$G$1305,3,0)</f>
        <v>Thép hình L75 x75 x8</v>
      </c>
      <c r="E574" s="9" t="str">
        <f>VLOOKUP($B574,R_DG!$A$7:$G$1305,4,0)</f>
        <v>kg</v>
      </c>
      <c r="F574" s="11">
        <f>9.02*(2.4+3*0.1)*2</f>
        <v>48.707999999999998</v>
      </c>
      <c r="G574" s="214">
        <f>VLOOKUP($B574,R_DG!$A$7:$G$1305,5,0)</f>
        <v>28961</v>
      </c>
      <c r="H574" s="214">
        <f>VLOOKUP($B574,R_DG!$A$7:$G$1305,6,0)</f>
        <v>0</v>
      </c>
      <c r="I574" s="214">
        <f>VLOOKUP($B574,R_DG!$A$7:$G$1305,7,0)</f>
        <v>0</v>
      </c>
      <c r="J574" s="214">
        <f t="shared" si="157"/>
        <v>1410632.388</v>
      </c>
      <c r="K574" s="214">
        <f t="shared" si="157"/>
        <v>0</v>
      </c>
      <c r="L574" s="220">
        <f t="shared" si="157"/>
        <v>0</v>
      </c>
      <c r="M574" s="93">
        <f>IF(F574&gt;0,M$573,0)</f>
        <v>0</v>
      </c>
      <c r="N574" s="328">
        <f ca="1">$F574*N$573</f>
        <v>0</v>
      </c>
    </row>
    <row r="575" spans="1:14" ht="20.100000000000001" customHeight="1">
      <c r="A575" s="87"/>
      <c r="B575" s="7" t="s">
        <v>86</v>
      </c>
      <c r="C575" s="32">
        <f>VLOOKUP($B575,R_DG!$A$7:$G$1305,2,0)</f>
        <v>0</v>
      </c>
      <c r="D575" s="8" t="str">
        <f>VLOOKUP($B575,R_DG!$A$7:$G$1305,3,0)</f>
        <v>Boulon 16x300+ 2 long đền vuông D18-50x50x3/Zn</v>
      </c>
      <c r="E575" s="9" t="str">
        <f>VLOOKUP($B575,R_DG!$A$7:$G$1305,4,0)</f>
        <v>bộ</v>
      </c>
      <c r="F575" s="11">
        <v>2</v>
      </c>
      <c r="G575" s="214" t="e">
        <f>VLOOKUP($B575,R_DG!$A$7:$G$1305,5,0)</f>
        <v>#REF!</v>
      </c>
      <c r="H575" s="214">
        <f>VLOOKUP($B575,R_DG!$A$7:$G$1305,6,0)</f>
        <v>0</v>
      </c>
      <c r="I575" s="214">
        <f>VLOOKUP($B575,R_DG!$A$7:$G$1305,7,0)</f>
        <v>0</v>
      </c>
      <c r="J575" s="214" t="e">
        <f t="shared" si="157"/>
        <v>#REF!</v>
      </c>
      <c r="K575" s="214">
        <f t="shared" si="157"/>
        <v>0</v>
      </c>
      <c r="L575" s="220">
        <f t="shared" si="157"/>
        <v>0</v>
      </c>
      <c r="M575" s="93">
        <f>IF(F575&gt;0,M$573,0)</f>
        <v>0</v>
      </c>
      <c r="N575" s="328">
        <f ca="1">$F575*N$573</f>
        <v>0</v>
      </c>
    </row>
    <row r="576" spans="1:14" ht="20.100000000000001" customHeight="1">
      <c r="A576" s="87"/>
      <c r="B576" s="7" t="s">
        <v>106</v>
      </c>
      <c r="C576" s="32">
        <f>VLOOKUP($B576,R_DG!$A$7:$G$1305,2,0)</f>
        <v>0</v>
      </c>
      <c r="D576" s="8" t="str">
        <f>VLOOKUP($B576,R_DG!$A$7:$G$1305,3,0)</f>
        <v>Boulon 16x300VRS+ 4 long đền vuông D18-50x50x3/Zn</v>
      </c>
      <c r="E576" s="9" t="str">
        <f>VLOOKUP($B576,R_DG!$A$7:$G$1305,4,0)</f>
        <v>bộ</v>
      </c>
      <c r="F576" s="11">
        <v>4</v>
      </c>
      <c r="G576" s="214" t="e">
        <f>VLOOKUP($B576,R_DG!$A$7:$G$1305,5,0)</f>
        <v>#REF!</v>
      </c>
      <c r="H576" s="214">
        <f>VLOOKUP($B576,R_DG!$A$7:$G$1305,6,0)</f>
        <v>0</v>
      </c>
      <c r="I576" s="214">
        <f>VLOOKUP($B576,R_DG!$A$7:$G$1305,7,0)</f>
        <v>0</v>
      </c>
      <c r="J576" s="214" t="e">
        <f t="shared" si="157"/>
        <v>#REF!</v>
      </c>
      <c r="K576" s="214">
        <f t="shared" si="157"/>
        <v>0</v>
      </c>
      <c r="L576" s="220">
        <f t="shared" si="157"/>
        <v>0</v>
      </c>
      <c r="M576" s="93">
        <f>IF(F576&gt;0,M$573,0)</f>
        <v>0</v>
      </c>
      <c r="N576" s="328">
        <f ca="1">$F576*N$573</f>
        <v>0</v>
      </c>
    </row>
    <row r="577" spans="1:14" ht="20.100000000000001" customHeight="1">
      <c r="A577" s="87"/>
      <c r="B577" s="7" t="s">
        <v>1193</v>
      </c>
      <c r="C577" s="32" t="str">
        <f>VLOOKUP($B577,R_DG!$A$7:$G$1305,2,0)</f>
        <v>D2.6054</v>
      </c>
      <c r="D577" s="8" t="str">
        <f>VLOOKUP($B577,R_DG!$A$7:$G$1305,3,0)</f>
        <v>Lắp xà cột Pi loại ≤140kg/xà</v>
      </c>
      <c r="E577" s="9" t="str">
        <f>VLOOKUP($B577,R_DG!$A$7:$G$1305,4,0)</f>
        <v>bộ</v>
      </c>
      <c r="F577" s="11">
        <v>1</v>
      </c>
      <c r="G577" s="214">
        <f>VLOOKUP($B577,R_DG!$A$7:$G$1305,5,0)</f>
        <v>0</v>
      </c>
      <c r="H577" s="214">
        <f>VLOOKUP($B577,R_DG!$A$7:$G$1305,6,0)</f>
        <v>571758.70000000007</v>
      </c>
      <c r="I577" s="214">
        <f>VLOOKUP($B577,R_DG!$A$7:$G$1305,7,0)</f>
        <v>0</v>
      </c>
      <c r="J577" s="214">
        <f t="shared" ref="J577:L578" si="170">G577*$F577</f>
        <v>0</v>
      </c>
      <c r="K577" s="214">
        <f t="shared" si="170"/>
        <v>571758.70000000007</v>
      </c>
      <c r="L577" s="220">
        <f t="shared" si="170"/>
        <v>0</v>
      </c>
      <c r="M577" s="93">
        <f>IF(F577&gt;0,M$573,0)</f>
        <v>0</v>
      </c>
      <c r="N577" s="328">
        <f ca="1">$F577*N$573</f>
        <v>0</v>
      </c>
    </row>
    <row r="578" spans="1:14" ht="20.100000000000001" customHeight="1">
      <c r="A578" s="87"/>
      <c r="B578" s="7" t="s">
        <v>2228</v>
      </c>
      <c r="C578" s="32" t="str">
        <f>VLOOKUP($B578,R_DG!$A$7:$G$1305,2,0)</f>
        <v>02.1115</v>
      </c>
      <c r="D578" s="8" t="str">
        <f>VLOOKUP($B578,R_DG!$A$7:$G$1305,3,0)</f>
        <v>Bốc dỡ xà, thép thanh</v>
      </c>
      <c r="E578" s="9" t="str">
        <f>VLOOKUP($B578,R_DG!$A$7:$G$1305,4,0)</f>
        <v>tấn</v>
      </c>
      <c r="F578" s="11"/>
      <c r="G578" s="214">
        <f>VLOOKUP($B578,R_DG!$A$7:$G$1305,5,0)</f>
        <v>0</v>
      </c>
      <c r="H578" s="214">
        <f>VLOOKUP($B578,R_DG!$A$7:$G$1305,6,0)</f>
        <v>0</v>
      </c>
      <c r="I578" s="214">
        <f>VLOOKUP($B578,R_DG!$A$7:$G$1305,7,0)</f>
        <v>0</v>
      </c>
      <c r="J578" s="214">
        <f t="shared" si="170"/>
        <v>0</v>
      </c>
      <c r="K578" s="214">
        <f t="shared" si="170"/>
        <v>0</v>
      </c>
      <c r="L578" s="220">
        <f t="shared" si="170"/>
        <v>0</v>
      </c>
      <c r="M578" s="93">
        <f>IF(F578&gt;0,M$573,0)</f>
        <v>0</v>
      </c>
      <c r="N578" s="328">
        <f ca="1">$F578*N$573</f>
        <v>0</v>
      </c>
    </row>
    <row r="579" spans="1:14" ht="20.100000000000001" customHeight="1">
      <c r="A579" s="91" t="s">
        <v>2271</v>
      </c>
      <c r="B579" s="24"/>
      <c r="C579" s="34"/>
      <c r="D579" s="25" t="s">
        <v>2272</v>
      </c>
      <c r="E579" s="25" t="s">
        <v>163</v>
      </c>
      <c r="F579" s="26"/>
      <c r="G579" s="213"/>
      <c r="H579" s="213"/>
      <c r="I579" s="213"/>
      <c r="J579" s="213">
        <f>SUM(J580:J586)</f>
        <v>482852</v>
      </c>
      <c r="K579" s="213">
        <f>SUM(K580:K586)</f>
        <v>106623</v>
      </c>
      <c r="L579" s="219">
        <f>SUM(L580:L586)</f>
        <v>0</v>
      </c>
      <c r="M579" s="92">
        <f>IF(ERROR.TYPE(IF(HLOOKUP(A579,maBK,1,0)&lt;&gt;"",#NULL!,"ABC"))&lt;&gt;7,1,0)</f>
        <v>1</v>
      </c>
      <c r="N579" s="327">
        <f ca="1">SUMIF(maBK,$A579,tongBK1)</f>
        <v>0</v>
      </c>
    </row>
    <row r="580" spans="1:14" ht="20.100000000000001" customHeight="1">
      <c r="A580" s="87"/>
      <c r="B580" s="7" t="s">
        <v>142</v>
      </c>
      <c r="C580" s="32">
        <f>VLOOKUP($B580,R_DG!$A$7:$G$1305,2,0)</f>
        <v>0</v>
      </c>
      <c r="D580" s="8" t="str">
        <f>VLOOKUP($B580,R_DG!$A$7:$G$1305,3,0)</f>
        <v>Boulon mắt 16x250+ 2 long đền vuông D18-50x50x3/Zn</v>
      </c>
      <c r="E580" s="9" t="str">
        <f>VLOOKUP($B580,R_DG!$A$7:$G$1305,4,0)</f>
        <v>bộ</v>
      </c>
      <c r="F580" s="11">
        <v>1</v>
      </c>
      <c r="G580" s="214">
        <f>VLOOKUP($B580,R_DG!$A$7:$G$1305,5,0)</f>
        <v>27300</v>
      </c>
      <c r="H580" s="214">
        <f>VLOOKUP($B580,R_DG!$A$7:$G$1305,6,0)</f>
        <v>0</v>
      </c>
      <c r="I580" s="214">
        <f>VLOOKUP($B580,R_DG!$A$7:$G$1305,7,0)</f>
        <v>0</v>
      </c>
      <c r="J580" s="214">
        <f t="shared" ref="J580:L622" si="171">G580*$F580</f>
        <v>27300</v>
      </c>
      <c r="K580" s="214">
        <f t="shared" si="171"/>
        <v>0</v>
      </c>
      <c r="L580" s="220">
        <f t="shared" si="171"/>
        <v>0</v>
      </c>
      <c r="M580" s="93">
        <f t="shared" ref="M580:M586" si="172">IF(F580&gt;0,M$579,0)</f>
        <v>1</v>
      </c>
      <c r="N580" s="328">
        <f t="shared" ref="N580:N586" ca="1" si="173">$F580*N$579</f>
        <v>0</v>
      </c>
    </row>
    <row r="581" spans="1:14" ht="20.100000000000001" customHeight="1">
      <c r="A581" s="87"/>
      <c r="B581" s="7" t="s">
        <v>634</v>
      </c>
      <c r="C581" s="32">
        <f>VLOOKUP($B581,R_DG!$A$7:$G$1305,2,0)</f>
        <v>0</v>
      </c>
      <c r="D581" s="8" t="str">
        <f>VLOOKUP($B581,R_DG!$A$7:$G$1305,3,0)</f>
        <v>Sứ chằng nhỏ</v>
      </c>
      <c r="E581" s="9" t="str">
        <f>VLOOKUP($B581,R_DG!$A$7:$G$1305,4,0)</f>
        <v>cái</v>
      </c>
      <c r="F581" s="11">
        <v>1</v>
      </c>
      <c r="G581" s="214">
        <f>VLOOKUP($B581,R_DG!$A$7:$G$1305,5,0)</f>
        <v>47000</v>
      </c>
      <c r="H581" s="214">
        <f>VLOOKUP($B581,R_DG!$A$7:$G$1305,6,0)</f>
        <v>0</v>
      </c>
      <c r="I581" s="214">
        <f>VLOOKUP($B581,R_DG!$A$7:$G$1305,7,0)</f>
        <v>0</v>
      </c>
      <c r="J581" s="214">
        <f t="shared" si="171"/>
        <v>47000</v>
      </c>
      <c r="K581" s="214">
        <f t="shared" si="171"/>
        <v>0</v>
      </c>
      <c r="L581" s="220">
        <f t="shared" si="171"/>
        <v>0</v>
      </c>
      <c r="M581" s="93">
        <f t="shared" si="172"/>
        <v>1</v>
      </c>
      <c r="N581" s="328">
        <f t="shared" ca="1" si="173"/>
        <v>0</v>
      </c>
    </row>
    <row r="582" spans="1:14" ht="20.100000000000001" customHeight="1">
      <c r="A582" s="87"/>
      <c r="B582" s="7" t="s">
        <v>401</v>
      </c>
      <c r="C582" s="32">
        <f>VLOOKUP($B582,R_DG!$A$7:$G$1305,2,0)</f>
        <v>0</v>
      </c>
      <c r="D582" s="8" t="str">
        <f>VLOOKUP($B582,R_DG!$A$7:$G$1305,3,0)</f>
        <v>Kẹp cáp chằng 3 boulon (B46x130)</v>
      </c>
      <c r="E582" s="9" t="str">
        <f>VLOOKUP($B582,R_DG!$A$7:$G$1305,4,0)</f>
        <v>cái</v>
      </c>
      <c r="F582" s="11">
        <v>4</v>
      </c>
      <c r="G582" s="214">
        <f>VLOOKUP($B582,R_DG!$A$7:$G$1305,5,0)</f>
        <v>40000</v>
      </c>
      <c r="H582" s="214">
        <f>VLOOKUP($B582,R_DG!$A$7:$G$1305,6,0)</f>
        <v>0</v>
      </c>
      <c r="I582" s="214">
        <f>VLOOKUP($B582,R_DG!$A$7:$G$1305,7,0)</f>
        <v>0</v>
      </c>
      <c r="J582" s="214">
        <f t="shared" si="171"/>
        <v>160000</v>
      </c>
      <c r="K582" s="214">
        <f t="shared" si="171"/>
        <v>0</v>
      </c>
      <c r="L582" s="220">
        <f t="shared" si="171"/>
        <v>0</v>
      </c>
      <c r="M582" s="93">
        <f t="shared" si="172"/>
        <v>1</v>
      </c>
      <c r="N582" s="328">
        <f t="shared" ca="1" si="173"/>
        <v>0</v>
      </c>
    </row>
    <row r="583" spans="1:14" ht="20.100000000000001" customHeight="1">
      <c r="A583" s="87"/>
      <c r="B583" s="7" t="s">
        <v>379</v>
      </c>
      <c r="C583" s="32">
        <f>VLOOKUP($B583,R_DG!$A$7:$G$1305,2,0)</f>
        <v>0</v>
      </c>
      <c r="D583" s="8" t="str">
        <f>VLOOKUP($B583,R_DG!$A$7:$G$1305,3,0)</f>
        <v>Cáp thép 3/8"</v>
      </c>
      <c r="E583" s="9" t="str">
        <f>VLOOKUP($B583,R_DG!$A$7:$G$1305,4,0)</f>
        <v>kg</v>
      </c>
      <c r="F583" s="11">
        <f>(11)*0.396</f>
        <v>4.3559999999999999</v>
      </c>
      <c r="G583" s="214">
        <f>VLOOKUP($B583,R_DG!$A$7:$G$1305,5,0)</f>
        <v>42000</v>
      </c>
      <c r="H583" s="214">
        <f>VLOOKUP($B583,R_DG!$A$7:$G$1305,6,0)</f>
        <v>0</v>
      </c>
      <c r="I583" s="214">
        <f>VLOOKUP($B583,R_DG!$A$7:$G$1305,7,0)</f>
        <v>0</v>
      </c>
      <c r="J583" s="214">
        <f t="shared" si="171"/>
        <v>182952</v>
      </c>
      <c r="K583" s="214">
        <f t="shared" si="171"/>
        <v>0</v>
      </c>
      <c r="L583" s="220">
        <f t="shared" si="171"/>
        <v>0</v>
      </c>
      <c r="M583" s="93">
        <f t="shared" si="172"/>
        <v>1</v>
      </c>
      <c r="N583" s="329">
        <f t="shared" ca="1" si="173"/>
        <v>0</v>
      </c>
    </row>
    <row r="584" spans="1:14" ht="20.100000000000001" customHeight="1">
      <c r="A584" s="87"/>
      <c r="B584" s="7" t="s">
        <v>796</v>
      </c>
      <c r="C584" s="32">
        <f>VLOOKUP($B584,R_DG!$A$7:$G$1305,2,0)</f>
        <v>0</v>
      </c>
      <c r="D584" s="8" t="str">
        <f>VLOOKUP($B584,R_DG!$A$7:$G$1305,3,0)</f>
        <v>Yếm cáp dày 2mm</v>
      </c>
      <c r="E584" s="9" t="str">
        <f>VLOOKUP($B584,R_DG!$A$7:$G$1305,4,0)</f>
        <v>cái</v>
      </c>
      <c r="F584" s="11">
        <v>2</v>
      </c>
      <c r="G584" s="214">
        <f>VLOOKUP($B584,R_DG!$A$7:$G$1305,5,0)</f>
        <v>5300</v>
      </c>
      <c r="H584" s="214">
        <f>VLOOKUP($B584,R_DG!$A$7:$G$1305,6,0)</f>
        <v>0</v>
      </c>
      <c r="I584" s="214">
        <f>VLOOKUP($B584,R_DG!$A$7:$G$1305,7,0)</f>
        <v>0</v>
      </c>
      <c r="J584" s="214">
        <f t="shared" si="171"/>
        <v>10600</v>
      </c>
      <c r="K584" s="214">
        <f t="shared" si="171"/>
        <v>0</v>
      </c>
      <c r="L584" s="220">
        <f t="shared" si="171"/>
        <v>0</v>
      </c>
      <c r="M584" s="93">
        <f t="shared" si="172"/>
        <v>1</v>
      </c>
      <c r="N584" s="328">
        <f t="shared" ca="1" si="173"/>
        <v>0</v>
      </c>
    </row>
    <row r="585" spans="1:14" ht="20.100000000000001" customHeight="1">
      <c r="A585" s="87"/>
      <c r="B585" s="7" t="s">
        <v>577</v>
      </c>
      <c r="C585" s="32">
        <f>VLOOKUP($B585,R_DG!$A$7:$G$1305,2,0)</f>
        <v>0</v>
      </c>
      <c r="D585" s="8" t="str">
        <f>VLOOKUP($B585,R_DG!$A$7:$G$1305,3,0)</f>
        <v>Máng che dây chằng dày 1,6x40x2000mm</v>
      </c>
      <c r="E585" s="9" t="str">
        <f>VLOOKUP($B585,R_DG!$A$7:$G$1305,4,0)</f>
        <v>cái</v>
      </c>
      <c r="F585" s="11">
        <v>1</v>
      </c>
      <c r="G585" s="214">
        <f>VLOOKUP($B585,R_DG!$A$7:$G$1305,5,0)</f>
        <v>55000</v>
      </c>
      <c r="H585" s="214">
        <f>VLOOKUP($B585,R_DG!$A$7:$G$1305,6,0)</f>
        <v>0</v>
      </c>
      <c r="I585" s="214">
        <f>VLOOKUP($B585,R_DG!$A$7:$G$1305,7,0)</f>
        <v>0</v>
      </c>
      <c r="J585" s="214">
        <f t="shared" si="171"/>
        <v>55000</v>
      </c>
      <c r="K585" s="214">
        <f t="shared" si="171"/>
        <v>0</v>
      </c>
      <c r="L585" s="220">
        <f t="shared" si="171"/>
        <v>0</v>
      </c>
      <c r="M585" s="93">
        <f t="shared" si="172"/>
        <v>1</v>
      </c>
      <c r="N585" s="328">
        <f t="shared" ca="1" si="173"/>
        <v>0</v>
      </c>
    </row>
    <row r="586" spans="1:14" ht="20.100000000000001" customHeight="1">
      <c r="A586" s="87"/>
      <c r="B586" s="7" t="s">
        <v>1226</v>
      </c>
      <c r="C586" s="32" t="str">
        <f>VLOOKUP($B586,R_DG!$A$7:$G$1305,2,0)</f>
        <v>D3.3251</v>
      </c>
      <c r="D586" s="8" t="str">
        <f>VLOOKUP($B586,R_DG!$A$7:$G$1305,3,0)</f>
        <v>Lắp bộ dây néo</v>
      </c>
      <c r="E586" s="9" t="str">
        <f>VLOOKUP($B586,R_DG!$A$7:$G$1305,4,0)</f>
        <v>bộ</v>
      </c>
      <c r="F586" s="11">
        <f>F580</f>
        <v>1</v>
      </c>
      <c r="G586" s="214">
        <f>VLOOKUP($B586,R_DG!$A$7:$G$1305,5,0)</f>
        <v>0</v>
      </c>
      <c r="H586" s="214">
        <f>VLOOKUP($B586,R_DG!$A$7:$G$1305,6,0)</f>
        <v>106623</v>
      </c>
      <c r="I586" s="214">
        <f>VLOOKUP($B586,R_DG!$A$7:$G$1305,7,0)</f>
        <v>0</v>
      </c>
      <c r="J586" s="214">
        <f t="shared" si="171"/>
        <v>0</v>
      </c>
      <c r="K586" s="214">
        <f t="shared" si="171"/>
        <v>106623</v>
      </c>
      <c r="L586" s="220">
        <f t="shared" si="171"/>
        <v>0</v>
      </c>
      <c r="M586" s="93">
        <f t="shared" si="172"/>
        <v>1</v>
      </c>
      <c r="N586" s="328">
        <f t="shared" ca="1" si="173"/>
        <v>0</v>
      </c>
    </row>
    <row r="587" spans="1:14" ht="15">
      <c r="A587" s="91" t="s">
        <v>2273</v>
      </c>
      <c r="B587" s="24"/>
      <c r="C587" s="34"/>
      <c r="D587" s="25" t="s">
        <v>2274</v>
      </c>
      <c r="E587" s="25" t="s">
        <v>163</v>
      </c>
      <c r="F587" s="26"/>
      <c r="G587" s="213"/>
      <c r="H587" s="213"/>
      <c r="I587" s="213"/>
      <c r="J587" s="213">
        <f>SUM(J588:J596)</f>
        <v>701588</v>
      </c>
      <c r="K587" s="213">
        <f>SUM(K588:K596)</f>
        <v>294346.34999999998</v>
      </c>
      <c r="L587" s="219">
        <f>SUM(L588:L596)</f>
        <v>0</v>
      </c>
      <c r="M587" s="92">
        <f>IF(ERROR.TYPE(IF(HLOOKUP(A587,maBK,1,0)&lt;&gt;"",#NULL!,"ABC"))&lt;&gt;7,1,0)</f>
        <v>1</v>
      </c>
      <c r="N587" s="327">
        <f ca="1">SUMIF(maBK,$A587,tongBK1)</f>
        <v>0</v>
      </c>
    </row>
    <row r="588" spans="1:14" ht="20.100000000000001" customHeight="1">
      <c r="A588" s="87"/>
      <c r="B588" s="7" t="s">
        <v>142</v>
      </c>
      <c r="C588" s="32">
        <f>VLOOKUP($B588,R_DG!$A$7:$G$1305,2,0)</f>
        <v>0</v>
      </c>
      <c r="D588" s="8" t="str">
        <f>VLOOKUP($B588,R_DG!$A$7:$G$1305,3,0)</f>
        <v>Boulon mắt 16x250+ 2 long đền vuông D18-50x50x3/Zn</v>
      </c>
      <c r="E588" s="9" t="str">
        <f>VLOOKUP($B588,R_DG!$A$7:$G$1305,4,0)</f>
        <v>bộ</v>
      </c>
      <c r="F588" s="11">
        <v>1</v>
      </c>
      <c r="G588" s="214">
        <f>VLOOKUP($B588,R_DG!$A$7:$G$1305,5,0)</f>
        <v>27300</v>
      </c>
      <c r="H588" s="214">
        <f>VLOOKUP($B588,R_DG!$A$7:$G$1305,6,0)</f>
        <v>0</v>
      </c>
      <c r="I588" s="214">
        <f>VLOOKUP($B588,R_DG!$A$7:$G$1305,7,0)</f>
        <v>0</v>
      </c>
      <c r="J588" s="214">
        <f t="shared" si="171"/>
        <v>27300</v>
      </c>
      <c r="K588" s="214">
        <f t="shared" si="171"/>
        <v>0</v>
      </c>
      <c r="L588" s="220">
        <f t="shared" si="171"/>
        <v>0</v>
      </c>
      <c r="M588" s="93">
        <f t="shared" ref="M588:M596" si="174">IF(F588&gt;0,M$587,0)</f>
        <v>1</v>
      </c>
      <c r="N588" s="328">
        <f t="shared" ref="N588:N596" ca="1" si="175">$F588*N$587</f>
        <v>0</v>
      </c>
    </row>
    <row r="589" spans="1:14" ht="20.100000000000001" customHeight="1">
      <c r="A589" s="87"/>
      <c r="B589" s="7" t="s">
        <v>634</v>
      </c>
      <c r="C589" s="32">
        <f>VLOOKUP($B589,R_DG!$A$7:$G$1305,2,0)</f>
        <v>0</v>
      </c>
      <c r="D589" s="8" t="str">
        <f>VLOOKUP($B589,R_DG!$A$7:$G$1305,3,0)</f>
        <v>Sứ chằng nhỏ</v>
      </c>
      <c r="E589" s="9" t="str">
        <f>VLOOKUP($B589,R_DG!$A$7:$G$1305,4,0)</f>
        <v>cái</v>
      </c>
      <c r="F589" s="11">
        <v>1</v>
      </c>
      <c r="G589" s="214">
        <f>VLOOKUP($B589,R_DG!$A$7:$G$1305,5,0)</f>
        <v>47000</v>
      </c>
      <c r="H589" s="214">
        <f>VLOOKUP($B589,R_DG!$A$7:$G$1305,6,0)</f>
        <v>0</v>
      </c>
      <c r="I589" s="214">
        <f>VLOOKUP($B589,R_DG!$A$7:$G$1305,7,0)</f>
        <v>0</v>
      </c>
      <c r="J589" s="214">
        <f t="shared" si="171"/>
        <v>47000</v>
      </c>
      <c r="K589" s="214">
        <f t="shared" si="171"/>
        <v>0</v>
      </c>
      <c r="L589" s="220">
        <f t="shared" si="171"/>
        <v>0</v>
      </c>
      <c r="M589" s="93">
        <f t="shared" si="174"/>
        <v>1</v>
      </c>
      <c r="N589" s="328">
        <f t="shared" ca="1" si="175"/>
        <v>0</v>
      </c>
    </row>
    <row r="590" spans="1:14" ht="20.100000000000001" customHeight="1">
      <c r="A590" s="87"/>
      <c r="B590" s="7" t="s">
        <v>401</v>
      </c>
      <c r="C590" s="32">
        <f>VLOOKUP($B590,R_DG!$A$7:$G$1305,2,0)</f>
        <v>0</v>
      </c>
      <c r="D590" s="8" t="str">
        <f>VLOOKUP($B590,R_DG!$A$7:$G$1305,3,0)</f>
        <v>Kẹp cáp chằng 3 boulon (B46x130)</v>
      </c>
      <c r="E590" s="9" t="str">
        <f>VLOOKUP($B590,R_DG!$A$7:$G$1305,4,0)</f>
        <v>cái</v>
      </c>
      <c r="F590" s="11">
        <v>4</v>
      </c>
      <c r="G590" s="214">
        <f>VLOOKUP($B590,R_DG!$A$7:$G$1305,5,0)</f>
        <v>40000</v>
      </c>
      <c r="H590" s="214">
        <f>VLOOKUP($B590,R_DG!$A$7:$G$1305,6,0)</f>
        <v>0</v>
      </c>
      <c r="I590" s="214">
        <f>VLOOKUP($B590,R_DG!$A$7:$G$1305,7,0)</f>
        <v>0</v>
      </c>
      <c r="J590" s="214">
        <f t="shared" si="171"/>
        <v>160000</v>
      </c>
      <c r="K590" s="214">
        <f t="shared" si="171"/>
        <v>0</v>
      </c>
      <c r="L590" s="220">
        <f t="shared" si="171"/>
        <v>0</v>
      </c>
      <c r="M590" s="93">
        <f t="shared" si="174"/>
        <v>1</v>
      </c>
      <c r="N590" s="328">
        <f t="shared" ca="1" si="175"/>
        <v>0</v>
      </c>
    </row>
    <row r="591" spans="1:14" ht="20.100000000000001" customHeight="1">
      <c r="A591" s="87"/>
      <c r="B591" s="7" t="s">
        <v>379</v>
      </c>
      <c r="C591" s="32">
        <f>VLOOKUP($B591,R_DG!$A$7:$G$1305,2,0)</f>
        <v>0</v>
      </c>
      <c r="D591" s="8" t="str">
        <f>VLOOKUP($B591,R_DG!$A$7:$G$1305,3,0)</f>
        <v>Cáp thép 3/8"</v>
      </c>
      <c r="E591" s="9" t="str">
        <f>VLOOKUP($B591,R_DG!$A$7:$G$1305,4,0)</f>
        <v>kg</v>
      </c>
      <c r="F591" s="11">
        <f>9*0.396</f>
        <v>3.5640000000000001</v>
      </c>
      <c r="G591" s="214">
        <f>VLOOKUP($B591,R_DG!$A$7:$G$1305,5,0)</f>
        <v>42000</v>
      </c>
      <c r="H591" s="214">
        <f>VLOOKUP($B591,R_DG!$A$7:$G$1305,6,0)</f>
        <v>0</v>
      </c>
      <c r="I591" s="214">
        <f>VLOOKUP($B591,R_DG!$A$7:$G$1305,7,0)</f>
        <v>0</v>
      </c>
      <c r="J591" s="214">
        <f t="shared" si="171"/>
        <v>149688</v>
      </c>
      <c r="K591" s="214">
        <f t="shared" si="171"/>
        <v>0</v>
      </c>
      <c r="L591" s="220">
        <f t="shared" si="171"/>
        <v>0</v>
      </c>
      <c r="M591" s="93">
        <f t="shared" si="174"/>
        <v>1</v>
      </c>
      <c r="N591" s="328">
        <f t="shared" ca="1" si="175"/>
        <v>0</v>
      </c>
    </row>
    <row r="592" spans="1:14" ht="20.100000000000001" customHeight="1">
      <c r="A592" s="87"/>
      <c r="B592" s="7" t="s">
        <v>683</v>
      </c>
      <c r="C592" s="32">
        <f>VLOOKUP($B592,R_DG!$A$7:$G$1305,2,0)</f>
        <v>0</v>
      </c>
      <c r="D592" s="8" t="str">
        <f>VLOOKUP($B592,R_DG!$A$7:$G$1305,3,0)</f>
        <v>Bộ chống chằng hẹp φ60/56x1200+2BL12x40+BL16x200/50</v>
      </c>
      <c r="E592" s="9" t="str">
        <f>VLOOKUP($B592,R_DG!$A$7:$G$1305,4,0)</f>
        <v>bộ</v>
      </c>
      <c r="F592" s="11">
        <v>1</v>
      </c>
      <c r="G592" s="214">
        <f>VLOOKUP($B592,R_DG!$A$7:$G$1305,5,0)</f>
        <v>252000</v>
      </c>
      <c r="H592" s="214">
        <f>VLOOKUP($B592,R_DG!$A$7:$G$1305,6,0)</f>
        <v>0</v>
      </c>
      <c r="I592" s="214">
        <f>VLOOKUP($B592,R_DG!$A$7:$G$1305,7,0)</f>
        <v>0</v>
      </c>
      <c r="J592" s="214">
        <f t="shared" si="171"/>
        <v>252000</v>
      </c>
      <c r="K592" s="214">
        <f t="shared" si="171"/>
        <v>0</v>
      </c>
      <c r="L592" s="220">
        <f t="shared" si="171"/>
        <v>0</v>
      </c>
      <c r="M592" s="93">
        <f t="shared" si="174"/>
        <v>1</v>
      </c>
      <c r="N592" s="328">
        <f t="shared" ca="1" si="175"/>
        <v>0</v>
      </c>
    </row>
    <row r="593" spans="1:14" ht="20.100000000000001" customHeight="1">
      <c r="A593" s="87"/>
      <c r="B593" s="7" t="s">
        <v>796</v>
      </c>
      <c r="C593" s="32">
        <f>VLOOKUP($B593,R_DG!$A$7:$G$1305,2,0)</f>
        <v>0</v>
      </c>
      <c r="D593" s="8" t="str">
        <f>VLOOKUP($B593,R_DG!$A$7:$G$1305,3,0)</f>
        <v>Yếm cáp dày 2mm</v>
      </c>
      <c r="E593" s="9" t="str">
        <f>VLOOKUP($B593,R_DG!$A$7:$G$1305,4,0)</f>
        <v>cái</v>
      </c>
      <c r="F593" s="11">
        <v>2</v>
      </c>
      <c r="G593" s="214">
        <f>VLOOKUP($B593,R_DG!$A$7:$G$1305,5,0)</f>
        <v>5300</v>
      </c>
      <c r="H593" s="214">
        <f>VLOOKUP($B593,R_DG!$A$7:$G$1305,6,0)</f>
        <v>0</v>
      </c>
      <c r="I593" s="214">
        <f>VLOOKUP($B593,R_DG!$A$7:$G$1305,7,0)</f>
        <v>0</v>
      </c>
      <c r="J593" s="214">
        <f t="shared" si="171"/>
        <v>10600</v>
      </c>
      <c r="K593" s="214">
        <f t="shared" si="171"/>
        <v>0</v>
      </c>
      <c r="L593" s="220">
        <f t="shared" si="171"/>
        <v>0</v>
      </c>
      <c r="M593" s="93">
        <f t="shared" si="174"/>
        <v>1</v>
      </c>
      <c r="N593" s="328">
        <f t="shared" ca="1" si="175"/>
        <v>0</v>
      </c>
    </row>
    <row r="594" spans="1:14" ht="20.100000000000001" customHeight="1">
      <c r="A594" s="87"/>
      <c r="B594" s="7" t="s">
        <v>577</v>
      </c>
      <c r="C594" s="32">
        <f>VLOOKUP($B594,R_DG!$A$7:$G$1305,2,0)</f>
        <v>0</v>
      </c>
      <c r="D594" s="8" t="str">
        <f>VLOOKUP($B594,R_DG!$A$7:$G$1305,3,0)</f>
        <v>Máng che dây chằng dày 1,6x40x2000mm</v>
      </c>
      <c r="E594" s="9" t="str">
        <f>VLOOKUP($B594,R_DG!$A$7:$G$1305,4,0)</f>
        <v>cái</v>
      </c>
      <c r="F594" s="11">
        <v>1</v>
      </c>
      <c r="G594" s="214">
        <f>VLOOKUP($B594,R_DG!$A$7:$G$1305,5,0)</f>
        <v>55000</v>
      </c>
      <c r="H594" s="214">
        <f>VLOOKUP($B594,R_DG!$A$7:$G$1305,6,0)</f>
        <v>0</v>
      </c>
      <c r="I594" s="214">
        <f>VLOOKUP($B594,R_DG!$A$7:$G$1305,7,0)</f>
        <v>0</v>
      </c>
      <c r="J594" s="214">
        <f t="shared" si="171"/>
        <v>55000</v>
      </c>
      <c r="K594" s="214">
        <f t="shared" si="171"/>
        <v>0</v>
      </c>
      <c r="L594" s="220">
        <f t="shared" si="171"/>
        <v>0</v>
      </c>
      <c r="M594" s="93">
        <f t="shared" si="174"/>
        <v>1</v>
      </c>
      <c r="N594" s="328">
        <f t="shared" ca="1" si="175"/>
        <v>0</v>
      </c>
    </row>
    <row r="595" spans="1:14" ht="20.100000000000001" customHeight="1">
      <c r="A595" s="87"/>
      <c r="B595" s="7" t="s">
        <v>1226</v>
      </c>
      <c r="C595" s="32" t="str">
        <f>VLOOKUP($B595,R_DG!$A$7:$G$1305,2,0)</f>
        <v>D3.3251</v>
      </c>
      <c r="D595" s="8" t="str">
        <f>VLOOKUP($B595,R_DG!$A$7:$G$1305,3,0)</f>
        <v>Lắp bộ dây néo</v>
      </c>
      <c r="E595" s="9" t="str">
        <f>VLOOKUP($B595,R_DG!$A$7:$G$1305,4,0)</f>
        <v>bộ</v>
      </c>
      <c r="F595" s="11">
        <f>F588</f>
        <v>1</v>
      </c>
      <c r="G595" s="214">
        <f>VLOOKUP($B595,R_DG!$A$7:$G$1305,5,0)</f>
        <v>0</v>
      </c>
      <c r="H595" s="214">
        <f>VLOOKUP($B595,R_DG!$A$7:$G$1305,6,0)</f>
        <v>106623</v>
      </c>
      <c r="I595" s="214">
        <f>VLOOKUP($B595,R_DG!$A$7:$G$1305,7,0)</f>
        <v>0</v>
      </c>
      <c r="J595" s="214">
        <f t="shared" si="171"/>
        <v>0</v>
      </c>
      <c r="K595" s="214">
        <f t="shared" si="171"/>
        <v>106623</v>
      </c>
      <c r="L595" s="220">
        <f t="shared" si="171"/>
        <v>0</v>
      </c>
      <c r="M595" s="93">
        <f t="shared" si="174"/>
        <v>1</v>
      </c>
      <c r="N595" s="328">
        <f t="shared" ca="1" si="175"/>
        <v>0</v>
      </c>
    </row>
    <row r="596" spans="1:14" ht="20.100000000000001" customHeight="1">
      <c r="A596" s="87"/>
      <c r="B596" s="7" t="s">
        <v>1224</v>
      </c>
      <c r="C596" s="32" t="str">
        <f>VLOOKUP($B596,R_DG!$A$7:$G$1305,2,0)</f>
        <v>D2.6011</v>
      </c>
      <c r="D596" s="8" t="str">
        <f>VLOOKUP($B596,R_DG!$A$7:$G$1305,3,0)</f>
        <v>Lắp bộ chống lệch</v>
      </c>
      <c r="E596" s="9" t="str">
        <f>VLOOKUP($B596,R_DG!$A$7:$G$1305,4,0)</f>
        <v>bộ</v>
      </c>
      <c r="F596" s="11">
        <f>F586</f>
        <v>1</v>
      </c>
      <c r="G596" s="214">
        <f>VLOOKUP($B596,R_DG!$A$7:$G$1305,5,0)</f>
        <v>0</v>
      </c>
      <c r="H596" s="214">
        <f>VLOOKUP($B596,R_DG!$A$7:$G$1305,6,0)</f>
        <v>187723.35</v>
      </c>
      <c r="I596" s="214">
        <f>VLOOKUP($B596,R_DG!$A$7:$G$1305,7,0)</f>
        <v>0</v>
      </c>
      <c r="J596" s="214">
        <f t="shared" si="171"/>
        <v>0</v>
      </c>
      <c r="K596" s="214">
        <f t="shared" si="171"/>
        <v>187723.35</v>
      </c>
      <c r="L596" s="220">
        <f t="shared" si="171"/>
        <v>0</v>
      </c>
      <c r="M596" s="93">
        <f t="shared" si="174"/>
        <v>1</v>
      </c>
      <c r="N596" s="328">
        <f t="shared" ca="1" si="175"/>
        <v>0</v>
      </c>
    </row>
    <row r="597" spans="1:14" ht="20.100000000000001" customHeight="1">
      <c r="A597" s="89" t="s">
        <v>2572</v>
      </c>
      <c r="B597" s="24"/>
      <c r="C597" s="34"/>
      <c r="D597" s="25" t="s">
        <v>2573</v>
      </c>
      <c r="E597" s="25" t="s">
        <v>163</v>
      </c>
      <c r="F597" s="26"/>
      <c r="G597" s="213"/>
      <c r="H597" s="213"/>
      <c r="I597" s="213"/>
      <c r="J597" s="213">
        <f>SUM(J598:J604)</f>
        <v>727650</v>
      </c>
      <c r="K597" s="213">
        <f>SUM(K598:K604)</f>
        <v>106623</v>
      </c>
      <c r="L597" s="219">
        <f>SUM(L598:L604)</f>
        <v>0</v>
      </c>
      <c r="M597" s="92">
        <f>IF(ERROR.TYPE(IF(HLOOKUP(A597,maBK,1,0)&lt;&gt;"",#NULL!,"ABC"))&lt;&gt;7,1,0)</f>
        <v>0</v>
      </c>
      <c r="N597" s="327">
        <f ca="1">SUMIF(maBK,$A597,tongBK1)</f>
        <v>0</v>
      </c>
    </row>
    <row r="598" spans="1:14" ht="20.100000000000001" customHeight="1">
      <c r="A598" s="87"/>
      <c r="B598" s="7" t="s">
        <v>142</v>
      </c>
      <c r="C598" s="32">
        <f>VLOOKUP($B598,R_DG!$A$7:$G$1305,2,0)</f>
        <v>0</v>
      </c>
      <c r="D598" s="8" t="str">
        <f>VLOOKUP($B598,R_DG!$A$7:$G$1305,3,0)</f>
        <v>Boulon mắt 16x250+ 2 long đền vuông D18-50x50x3/Zn</v>
      </c>
      <c r="E598" s="9" t="str">
        <f>VLOOKUP($B598,R_DG!$A$7:$G$1305,4,0)</f>
        <v>bộ</v>
      </c>
      <c r="F598" s="11">
        <v>1</v>
      </c>
      <c r="G598" s="214">
        <f>VLOOKUP($B598,R_DG!$A$7:$G$1305,5,0)</f>
        <v>27300</v>
      </c>
      <c r="H598" s="214">
        <f>VLOOKUP($B598,R_DG!$A$7:$G$1305,6,0)</f>
        <v>0</v>
      </c>
      <c r="I598" s="214">
        <f>VLOOKUP($B598,R_DG!$A$7:$G$1305,7,0)</f>
        <v>0</v>
      </c>
      <c r="J598" s="214">
        <f t="shared" si="171"/>
        <v>27300</v>
      </c>
      <c r="K598" s="214">
        <f t="shared" si="171"/>
        <v>0</v>
      </c>
      <c r="L598" s="220">
        <f t="shared" si="171"/>
        <v>0</v>
      </c>
      <c r="M598" s="93">
        <f t="shared" ref="M598:M604" si="176">IF(F598&gt;0,M$597,0)</f>
        <v>0</v>
      </c>
      <c r="N598" s="328">
        <f t="shared" ref="N598:N604" ca="1" si="177">$F598*N$597</f>
        <v>0</v>
      </c>
    </row>
    <row r="599" spans="1:14" ht="20.100000000000001" customHeight="1">
      <c r="A599" s="87"/>
      <c r="B599" s="7" t="s">
        <v>634</v>
      </c>
      <c r="C599" s="32">
        <f>VLOOKUP($B599,R_DG!$A$7:$G$1305,2,0)</f>
        <v>0</v>
      </c>
      <c r="D599" s="8" t="str">
        <f>VLOOKUP($B599,R_DG!$A$7:$G$1305,3,0)</f>
        <v>Sứ chằng nhỏ</v>
      </c>
      <c r="E599" s="9" t="str">
        <f>VLOOKUP($B599,R_DG!$A$7:$G$1305,4,0)</f>
        <v>cái</v>
      </c>
      <c r="F599" s="11">
        <v>1</v>
      </c>
      <c r="G599" s="214">
        <f>VLOOKUP($B599,R_DG!$A$7:$G$1305,5,0)</f>
        <v>47000</v>
      </c>
      <c r="H599" s="214">
        <f>VLOOKUP($B599,R_DG!$A$7:$G$1305,6,0)</f>
        <v>0</v>
      </c>
      <c r="I599" s="214">
        <f>VLOOKUP($B599,R_DG!$A$7:$G$1305,7,0)</f>
        <v>0</v>
      </c>
      <c r="J599" s="214">
        <f t="shared" si="171"/>
        <v>47000</v>
      </c>
      <c r="K599" s="214">
        <f t="shared" si="171"/>
        <v>0</v>
      </c>
      <c r="L599" s="220">
        <f t="shared" si="171"/>
        <v>0</v>
      </c>
      <c r="M599" s="93">
        <f t="shared" si="176"/>
        <v>0</v>
      </c>
      <c r="N599" s="328">
        <f t="shared" ca="1" si="177"/>
        <v>0</v>
      </c>
    </row>
    <row r="600" spans="1:14" ht="20.100000000000001" customHeight="1">
      <c r="A600" s="87"/>
      <c r="B600" s="7" t="s">
        <v>401</v>
      </c>
      <c r="C600" s="32">
        <f>VLOOKUP($B600,R_DG!$A$7:$G$1305,2,0)</f>
        <v>0</v>
      </c>
      <c r="D600" s="8" t="str">
        <f>VLOOKUP($B600,R_DG!$A$7:$G$1305,3,0)</f>
        <v>Kẹp cáp chằng 3 boulon (B46x130)</v>
      </c>
      <c r="E600" s="9" t="str">
        <f>VLOOKUP($B600,R_DG!$A$7:$G$1305,4,0)</f>
        <v>cái</v>
      </c>
      <c r="F600" s="11">
        <v>8</v>
      </c>
      <c r="G600" s="214">
        <f>VLOOKUP($B600,R_DG!$A$7:$G$1305,5,0)</f>
        <v>40000</v>
      </c>
      <c r="H600" s="214">
        <f>VLOOKUP($B600,R_DG!$A$7:$G$1305,6,0)</f>
        <v>0</v>
      </c>
      <c r="I600" s="214">
        <f>VLOOKUP($B600,R_DG!$A$7:$G$1305,7,0)</f>
        <v>0</v>
      </c>
      <c r="J600" s="214">
        <f t="shared" si="171"/>
        <v>320000</v>
      </c>
      <c r="K600" s="214">
        <f t="shared" si="171"/>
        <v>0</v>
      </c>
      <c r="L600" s="220">
        <f t="shared" si="171"/>
        <v>0</v>
      </c>
      <c r="M600" s="93">
        <f t="shared" si="176"/>
        <v>0</v>
      </c>
      <c r="N600" s="328">
        <f t="shared" ca="1" si="177"/>
        <v>0</v>
      </c>
    </row>
    <row r="601" spans="1:14" ht="20.100000000000001" customHeight="1">
      <c r="A601" s="87"/>
      <c r="B601" s="7" t="s">
        <v>379</v>
      </c>
      <c r="C601" s="32">
        <f>VLOOKUP($B601,R_DG!$A$7:$G$1305,2,0)</f>
        <v>0</v>
      </c>
      <c r="D601" s="8" t="str">
        <f>VLOOKUP($B601,R_DG!$A$7:$G$1305,3,0)</f>
        <v>Cáp thép 3/8"</v>
      </c>
      <c r="E601" s="9" t="str">
        <f>VLOOKUP($B601,R_DG!$A$7:$G$1305,4,0)</f>
        <v>kg</v>
      </c>
      <c r="F601" s="10">
        <f>15*0.425</f>
        <v>6.375</v>
      </c>
      <c r="G601" s="214">
        <f>VLOOKUP($B601,R_DG!$A$7:$G$1305,5,0)</f>
        <v>42000</v>
      </c>
      <c r="H601" s="214">
        <f>VLOOKUP($B601,R_DG!$A$7:$G$1305,6,0)</f>
        <v>0</v>
      </c>
      <c r="I601" s="214">
        <f>VLOOKUP($B601,R_DG!$A$7:$G$1305,7,0)</f>
        <v>0</v>
      </c>
      <c r="J601" s="214">
        <f t="shared" si="171"/>
        <v>267750</v>
      </c>
      <c r="K601" s="214">
        <f t="shared" si="171"/>
        <v>0</v>
      </c>
      <c r="L601" s="220">
        <f t="shared" si="171"/>
        <v>0</v>
      </c>
      <c r="M601" s="93">
        <f t="shared" si="176"/>
        <v>0</v>
      </c>
      <c r="N601" s="328">
        <f t="shared" ca="1" si="177"/>
        <v>0</v>
      </c>
    </row>
    <row r="602" spans="1:14" ht="20.100000000000001" customHeight="1">
      <c r="A602" s="87"/>
      <c r="B602" s="7" t="s">
        <v>796</v>
      </c>
      <c r="C602" s="32">
        <f>VLOOKUP($B602,R_DG!$A$7:$G$1305,2,0)</f>
        <v>0</v>
      </c>
      <c r="D602" s="8" t="str">
        <f>VLOOKUP($B602,R_DG!$A$7:$G$1305,3,0)</f>
        <v>Yếm cáp dày 2mm</v>
      </c>
      <c r="E602" s="9" t="str">
        <f>VLOOKUP($B602,R_DG!$A$7:$G$1305,4,0)</f>
        <v>cái</v>
      </c>
      <c r="F602" s="11">
        <v>2</v>
      </c>
      <c r="G602" s="214">
        <f>VLOOKUP($B602,R_DG!$A$7:$G$1305,5,0)</f>
        <v>5300</v>
      </c>
      <c r="H602" s="214">
        <f>VLOOKUP($B602,R_DG!$A$7:$G$1305,6,0)</f>
        <v>0</v>
      </c>
      <c r="I602" s="214">
        <f>VLOOKUP($B602,R_DG!$A$7:$G$1305,7,0)</f>
        <v>0</v>
      </c>
      <c r="J602" s="214">
        <f t="shared" si="171"/>
        <v>10600</v>
      </c>
      <c r="K602" s="214">
        <f t="shared" si="171"/>
        <v>0</v>
      </c>
      <c r="L602" s="220">
        <f t="shared" si="171"/>
        <v>0</v>
      </c>
      <c r="M602" s="93">
        <f t="shared" si="176"/>
        <v>0</v>
      </c>
      <c r="N602" s="328">
        <f t="shared" ca="1" si="177"/>
        <v>0</v>
      </c>
    </row>
    <row r="603" spans="1:14" ht="20.100000000000001" customHeight="1">
      <c r="A603" s="87"/>
      <c r="B603" s="7" t="s">
        <v>577</v>
      </c>
      <c r="C603" s="32">
        <f>VLOOKUP($B603,R_DG!$A$7:$G$1305,2,0)</f>
        <v>0</v>
      </c>
      <c r="D603" s="8" t="str">
        <f>VLOOKUP($B603,R_DG!$A$7:$G$1305,3,0)</f>
        <v>Máng che dây chằng dày 1,6x40x2000mm</v>
      </c>
      <c r="E603" s="9" t="str">
        <f>VLOOKUP($B603,R_DG!$A$7:$G$1305,4,0)</f>
        <v>cái</v>
      </c>
      <c r="F603" s="11">
        <v>1</v>
      </c>
      <c r="G603" s="214">
        <f>VLOOKUP($B603,R_DG!$A$7:$G$1305,5,0)</f>
        <v>55000</v>
      </c>
      <c r="H603" s="214">
        <f>VLOOKUP($B603,R_DG!$A$7:$G$1305,6,0)</f>
        <v>0</v>
      </c>
      <c r="I603" s="214">
        <f>VLOOKUP($B603,R_DG!$A$7:$G$1305,7,0)</f>
        <v>0</v>
      </c>
      <c r="J603" s="214">
        <f t="shared" si="171"/>
        <v>55000</v>
      </c>
      <c r="K603" s="214">
        <f t="shared" si="171"/>
        <v>0</v>
      </c>
      <c r="L603" s="220">
        <f t="shared" si="171"/>
        <v>0</v>
      </c>
      <c r="M603" s="93">
        <f t="shared" si="176"/>
        <v>0</v>
      </c>
      <c r="N603" s="328">
        <f t="shared" ca="1" si="177"/>
        <v>0</v>
      </c>
    </row>
    <row r="604" spans="1:14" ht="20.100000000000001" customHeight="1">
      <c r="A604" s="87"/>
      <c r="B604" s="7" t="s">
        <v>1226</v>
      </c>
      <c r="C604" s="32" t="str">
        <f>VLOOKUP($B604,R_DG!$A$7:$G$1305,2,0)</f>
        <v>D3.3251</v>
      </c>
      <c r="D604" s="8" t="str">
        <f>VLOOKUP($B604,R_DG!$A$7:$G$1305,3,0)</f>
        <v>Lắp bộ dây néo</v>
      </c>
      <c r="E604" s="9" t="str">
        <f>VLOOKUP($B604,R_DG!$A$7:$G$1305,4,0)</f>
        <v>bộ</v>
      </c>
      <c r="F604" s="11">
        <f>F598</f>
        <v>1</v>
      </c>
      <c r="G604" s="214">
        <f>VLOOKUP($B604,R_DG!$A$7:$G$1305,5,0)</f>
        <v>0</v>
      </c>
      <c r="H604" s="214">
        <f>VLOOKUP($B604,R_DG!$A$7:$G$1305,6,0)</f>
        <v>106623</v>
      </c>
      <c r="I604" s="214">
        <f>VLOOKUP($B604,R_DG!$A$7:$G$1305,7,0)</f>
        <v>0</v>
      </c>
      <c r="J604" s="214">
        <f t="shared" si="171"/>
        <v>0</v>
      </c>
      <c r="K604" s="214">
        <f t="shared" si="171"/>
        <v>106623</v>
      </c>
      <c r="L604" s="220">
        <f t="shared" si="171"/>
        <v>0</v>
      </c>
      <c r="M604" s="93">
        <f t="shared" si="176"/>
        <v>0</v>
      </c>
      <c r="N604" s="328">
        <f t="shared" ca="1" si="177"/>
        <v>0</v>
      </c>
    </row>
    <row r="605" spans="1:14" ht="20.100000000000001" customHeight="1">
      <c r="A605" s="89" t="s">
        <v>2575</v>
      </c>
      <c r="B605" s="24"/>
      <c r="C605" s="34"/>
      <c r="D605" s="25" t="s">
        <v>2574</v>
      </c>
      <c r="E605" s="25" t="s">
        <v>163</v>
      </c>
      <c r="F605" s="26"/>
      <c r="G605" s="213"/>
      <c r="H605" s="213"/>
      <c r="I605" s="213"/>
      <c r="J605" s="213">
        <f>SUM(J606:J614)</f>
        <v>1003700</v>
      </c>
      <c r="K605" s="213">
        <f>SUM(K606:K614)</f>
        <v>294346.34999999998</v>
      </c>
      <c r="L605" s="219">
        <f>SUM(L606:L614)</f>
        <v>0</v>
      </c>
      <c r="M605" s="92">
        <f>IF(ERROR.TYPE(IF(HLOOKUP(A605,maBK,1,0)&lt;&gt;"",#NULL!,"ABC"))&lt;&gt;7,1,0)</f>
        <v>0</v>
      </c>
      <c r="N605" s="327">
        <f ca="1">SUMIF(maBK,$A605,tongBK1)</f>
        <v>0</v>
      </c>
    </row>
    <row r="606" spans="1:14" ht="20.100000000000001" customHeight="1">
      <c r="A606" s="87"/>
      <c r="B606" s="7" t="s">
        <v>144</v>
      </c>
      <c r="C606" s="32">
        <f>VLOOKUP($B606,R_DG!$A$7:$G$1305,2,0)</f>
        <v>0</v>
      </c>
      <c r="D606" s="8" t="str">
        <f>VLOOKUP($B606,R_DG!$A$7:$G$1305,3,0)</f>
        <v>Boulon mắt 16x300+ 2 long đền vuông D18-50x50x3/Zn</v>
      </c>
      <c r="E606" s="9" t="str">
        <f>VLOOKUP($B606,R_DG!$A$7:$G$1305,4,0)</f>
        <v>bộ</v>
      </c>
      <c r="F606" s="11">
        <v>1</v>
      </c>
      <c r="G606" s="214">
        <f>VLOOKUP($B606,R_DG!$A$7:$G$1305,5,0)</f>
        <v>30200</v>
      </c>
      <c r="H606" s="214">
        <f>VLOOKUP($B606,R_DG!$A$7:$G$1305,6,0)</f>
        <v>0</v>
      </c>
      <c r="I606" s="214">
        <f>VLOOKUP($B606,R_DG!$A$7:$G$1305,7,0)</f>
        <v>0</v>
      </c>
      <c r="J606" s="214">
        <f t="shared" si="171"/>
        <v>30200</v>
      </c>
      <c r="K606" s="214">
        <f t="shared" si="171"/>
        <v>0</v>
      </c>
      <c r="L606" s="220">
        <f t="shared" si="171"/>
        <v>0</v>
      </c>
      <c r="M606" s="93">
        <f t="shared" ref="M606:M614" si="178">IF(F606&gt;0,M$605,0)</f>
        <v>0</v>
      </c>
      <c r="N606" s="328">
        <f t="shared" ref="N606:N614" ca="1" si="179">$F606*N$605</f>
        <v>0</v>
      </c>
    </row>
    <row r="607" spans="1:14" ht="20.100000000000001" customHeight="1">
      <c r="A607" s="87"/>
      <c r="B607" s="7" t="s">
        <v>634</v>
      </c>
      <c r="C607" s="32">
        <f>VLOOKUP($B607,R_DG!$A$7:$G$1305,2,0)</f>
        <v>0</v>
      </c>
      <c r="D607" s="8" t="str">
        <f>VLOOKUP($B607,R_DG!$A$7:$G$1305,3,0)</f>
        <v>Sứ chằng nhỏ</v>
      </c>
      <c r="E607" s="9" t="str">
        <f>VLOOKUP($B607,R_DG!$A$7:$G$1305,4,0)</f>
        <v>cái</v>
      </c>
      <c r="F607" s="11">
        <v>1</v>
      </c>
      <c r="G607" s="214">
        <f>VLOOKUP($B607,R_DG!$A$7:$G$1305,5,0)</f>
        <v>47000</v>
      </c>
      <c r="H607" s="214">
        <f>VLOOKUP($B607,R_DG!$A$7:$G$1305,6,0)</f>
        <v>0</v>
      </c>
      <c r="I607" s="214">
        <f>VLOOKUP($B607,R_DG!$A$7:$G$1305,7,0)</f>
        <v>0</v>
      </c>
      <c r="J607" s="214">
        <f t="shared" si="171"/>
        <v>47000</v>
      </c>
      <c r="K607" s="214">
        <f t="shared" si="171"/>
        <v>0</v>
      </c>
      <c r="L607" s="220">
        <f t="shared" si="171"/>
        <v>0</v>
      </c>
      <c r="M607" s="93">
        <f t="shared" si="178"/>
        <v>0</v>
      </c>
      <c r="N607" s="328">
        <f t="shared" ca="1" si="179"/>
        <v>0</v>
      </c>
    </row>
    <row r="608" spans="1:14" ht="20.100000000000001" customHeight="1">
      <c r="A608" s="87"/>
      <c r="B608" s="7" t="s">
        <v>401</v>
      </c>
      <c r="C608" s="32">
        <f>VLOOKUP($B608,R_DG!$A$7:$G$1305,2,0)</f>
        <v>0</v>
      </c>
      <c r="D608" s="8" t="str">
        <f>VLOOKUP($B608,R_DG!$A$7:$G$1305,3,0)</f>
        <v>Kẹp cáp chằng 3 boulon (B46x130)</v>
      </c>
      <c r="E608" s="9" t="str">
        <f>VLOOKUP($B608,R_DG!$A$7:$G$1305,4,0)</f>
        <v>cái</v>
      </c>
      <c r="F608" s="11">
        <v>8</v>
      </c>
      <c r="G608" s="214">
        <f>VLOOKUP($B608,R_DG!$A$7:$G$1305,5,0)</f>
        <v>40000</v>
      </c>
      <c r="H608" s="214">
        <f>VLOOKUP($B608,R_DG!$A$7:$G$1305,6,0)</f>
        <v>0</v>
      </c>
      <c r="I608" s="214">
        <f>VLOOKUP($B608,R_DG!$A$7:$G$1305,7,0)</f>
        <v>0</v>
      </c>
      <c r="J608" s="214">
        <f t="shared" si="171"/>
        <v>320000</v>
      </c>
      <c r="K608" s="214">
        <f t="shared" si="171"/>
        <v>0</v>
      </c>
      <c r="L608" s="220">
        <f t="shared" si="171"/>
        <v>0</v>
      </c>
      <c r="M608" s="93">
        <f t="shared" si="178"/>
        <v>0</v>
      </c>
      <c r="N608" s="328">
        <f t="shared" ca="1" si="179"/>
        <v>0</v>
      </c>
    </row>
    <row r="609" spans="1:14" ht="20.100000000000001" customHeight="1">
      <c r="A609" s="87"/>
      <c r="B609" s="7" t="s">
        <v>379</v>
      </c>
      <c r="C609" s="32">
        <f>VLOOKUP($B609,R_DG!$A$7:$G$1305,2,0)</f>
        <v>0</v>
      </c>
      <c r="D609" s="8" t="str">
        <f>VLOOKUP($B609,R_DG!$A$7:$G$1305,3,0)</f>
        <v>Cáp thép 3/8"</v>
      </c>
      <c r="E609" s="9" t="str">
        <f>VLOOKUP($B609,R_DG!$A$7:$G$1305,4,0)</f>
        <v>kg</v>
      </c>
      <c r="F609" s="10">
        <f>14*0.425</f>
        <v>5.95</v>
      </c>
      <c r="G609" s="214">
        <f>VLOOKUP($B609,R_DG!$A$7:$G$1305,5,0)</f>
        <v>42000</v>
      </c>
      <c r="H609" s="214">
        <f>VLOOKUP($B609,R_DG!$A$7:$G$1305,6,0)</f>
        <v>0</v>
      </c>
      <c r="I609" s="214">
        <f>VLOOKUP($B609,R_DG!$A$7:$G$1305,7,0)</f>
        <v>0</v>
      </c>
      <c r="J609" s="214">
        <f t="shared" si="171"/>
        <v>249900</v>
      </c>
      <c r="K609" s="214">
        <f t="shared" si="171"/>
        <v>0</v>
      </c>
      <c r="L609" s="220">
        <f t="shared" si="171"/>
        <v>0</v>
      </c>
      <c r="M609" s="93">
        <f t="shared" si="178"/>
        <v>0</v>
      </c>
      <c r="N609" s="328">
        <f t="shared" ca="1" si="179"/>
        <v>0</v>
      </c>
    </row>
    <row r="610" spans="1:14" ht="20.100000000000001" customHeight="1">
      <c r="A610" s="87"/>
      <c r="B610" s="7" t="s">
        <v>682</v>
      </c>
      <c r="C610" s="32">
        <f>VLOOKUP($B610,R_DG!$A$7:$G$1305,2,0)</f>
        <v>0</v>
      </c>
      <c r="D610" s="8" t="str">
        <f>VLOOKUP($B610,R_DG!$A$7:$G$1305,3,0)</f>
        <v>Bộ chống chằng hẹp φ60/56x1500+2BL12x40+BL16x250/80</v>
      </c>
      <c r="E610" s="9" t="str">
        <f>VLOOKUP($B610,R_DG!$A$7:$G$1305,4,0)</f>
        <v>bộ</v>
      </c>
      <c r="F610" s="11">
        <v>1</v>
      </c>
      <c r="G610" s="214">
        <f>VLOOKUP($B610,R_DG!$A$7:$G$1305,5,0)</f>
        <v>291000</v>
      </c>
      <c r="H610" s="214">
        <f>VLOOKUP($B610,R_DG!$A$7:$G$1305,6,0)</f>
        <v>0</v>
      </c>
      <c r="I610" s="214">
        <f>VLOOKUP($B610,R_DG!$A$7:$G$1305,7,0)</f>
        <v>0</v>
      </c>
      <c r="J610" s="214">
        <f t="shared" si="171"/>
        <v>291000</v>
      </c>
      <c r="K610" s="214">
        <f t="shared" si="171"/>
        <v>0</v>
      </c>
      <c r="L610" s="220">
        <f t="shared" si="171"/>
        <v>0</v>
      </c>
      <c r="M610" s="93">
        <f t="shared" si="178"/>
        <v>0</v>
      </c>
      <c r="N610" s="328">
        <f t="shared" ca="1" si="179"/>
        <v>0</v>
      </c>
    </row>
    <row r="611" spans="1:14" ht="20.100000000000001" customHeight="1">
      <c r="A611" s="87"/>
      <c r="B611" s="7" t="s">
        <v>796</v>
      </c>
      <c r="C611" s="32">
        <f>VLOOKUP($B611,R_DG!$A$7:$G$1305,2,0)</f>
        <v>0</v>
      </c>
      <c r="D611" s="8" t="str">
        <f>VLOOKUP($B611,R_DG!$A$7:$G$1305,3,0)</f>
        <v>Yếm cáp dày 2mm</v>
      </c>
      <c r="E611" s="9" t="str">
        <f>VLOOKUP($B611,R_DG!$A$7:$G$1305,4,0)</f>
        <v>cái</v>
      </c>
      <c r="F611" s="11">
        <v>2</v>
      </c>
      <c r="G611" s="214">
        <f>VLOOKUP($B611,R_DG!$A$7:$G$1305,5,0)</f>
        <v>5300</v>
      </c>
      <c r="H611" s="214">
        <f>VLOOKUP($B611,R_DG!$A$7:$G$1305,6,0)</f>
        <v>0</v>
      </c>
      <c r="I611" s="214">
        <f>VLOOKUP($B611,R_DG!$A$7:$G$1305,7,0)</f>
        <v>0</v>
      </c>
      <c r="J611" s="214">
        <f t="shared" si="171"/>
        <v>10600</v>
      </c>
      <c r="K611" s="214">
        <f t="shared" si="171"/>
        <v>0</v>
      </c>
      <c r="L611" s="220">
        <f t="shared" si="171"/>
        <v>0</v>
      </c>
      <c r="M611" s="93">
        <f t="shared" si="178"/>
        <v>0</v>
      </c>
      <c r="N611" s="328">
        <f t="shared" ca="1" si="179"/>
        <v>0</v>
      </c>
    </row>
    <row r="612" spans="1:14" ht="20.100000000000001" customHeight="1">
      <c r="A612" s="87"/>
      <c r="B612" s="7" t="s">
        <v>577</v>
      </c>
      <c r="C612" s="32">
        <f>VLOOKUP($B612,R_DG!$A$7:$G$1305,2,0)</f>
        <v>0</v>
      </c>
      <c r="D612" s="8" t="str">
        <f>VLOOKUP($B612,R_DG!$A$7:$G$1305,3,0)</f>
        <v>Máng che dây chằng dày 1,6x40x2000mm</v>
      </c>
      <c r="E612" s="9" t="str">
        <f>VLOOKUP($B612,R_DG!$A$7:$G$1305,4,0)</f>
        <v>cái</v>
      </c>
      <c r="F612" s="11">
        <v>1</v>
      </c>
      <c r="G612" s="214">
        <f>VLOOKUP($B612,R_DG!$A$7:$G$1305,5,0)</f>
        <v>55000</v>
      </c>
      <c r="H612" s="214">
        <f>VLOOKUP($B612,R_DG!$A$7:$G$1305,6,0)</f>
        <v>0</v>
      </c>
      <c r="I612" s="214">
        <f>VLOOKUP($B612,R_DG!$A$7:$G$1305,7,0)</f>
        <v>0</v>
      </c>
      <c r="J612" s="214">
        <f t="shared" si="171"/>
        <v>55000</v>
      </c>
      <c r="K612" s="214">
        <f t="shared" si="171"/>
        <v>0</v>
      </c>
      <c r="L612" s="220">
        <f t="shared" si="171"/>
        <v>0</v>
      </c>
      <c r="M612" s="93">
        <f t="shared" si="178"/>
        <v>0</v>
      </c>
      <c r="N612" s="328">
        <f t="shared" ca="1" si="179"/>
        <v>0</v>
      </c>
    </row>
    <row r="613" spans="1:14" ht="20.100000000000001" customHeight="1">
      <c r="A613" s="87"/>
      <c r="B613" s="7" t="s">
        <v>1226</v>
      </c>
      <c r="C613" s="32" t="str">
        <f>VLOOKUP($B613,R_DG!$A$7:$G$1305,2,0)</f>
        <v>D3.3251</v>
      </c>
      <c r="D613" s="8" t="str">
        <f>VLOOKUP($B613,R_DG!$A$7:$G$1305,3,0)</f>
        <v>Lắp bộ dây néo</v>
      </c>
      <c r="E613" s="9" t="str">
        <f>VLOOKUP($B613,R_DG!$A$7:$G$1305,4,0)</f>
        <v>bộ</v>
      </c>
      <c r="F613" s="11">
        <f>F606</f>
        <v>1</v>
      </c>
      <c r="G613" s="214">
        <f>VLOOKUP($B613,R_DG!$A$7:$G$1305,5,0)</f>
        <v>0</v>
      </c>
      <c r="H613" s="214">
        <f>VLOOKUP($B613,R_DG!$A$7:$G$1305,6,0)</f>
        <v>106623</v>
      </c>
      <c r="I613" s="214">
        <f>VLOOKUP($B613,R_DG!$A$7:$G$1305,7,0)</f>
        <v>0</v>
      </c>
      <c r="J613" s="214">
        <f t="shared" si="171"/>
        <v>0</v>
      </c>
      <c r="K613" s="214">
        <f t="shared" si="171"/>
        <v>106623</v>
      </c>
      <c r="L613" s="220">
        <f t="shared" si="171"/>
        <v>0</v>
      </c>
      <c r="M613" s="93">
        <f t="shared" si="178"/>
        <v>0</v>
      </c>
      <c r="N613" s="328">
        <f t="shared" ca="1" si="179"/>
        <v>0</v>
      </c>
    </row>
    <row r="614" spans="1:14" ht="20.100000000000001" customHeight="1">
      <c r="A614" s="87"/>
      <c r="B614" s="7" t="s">
        <v>1224</v>
      </c>
      <c r="C614" s="32" t="str">
        <f>VLOOKUP($B614,R_DG!$A$7:$G$1305,2,0)</f>
        <v>D2.6011</v>
      </c>
      <c r="D614" s="8" t="str">
        <f>VLOOKUP($B614,R_DG!$A$7:$G$1305,3,0)</f>
        <v>Lắp bộ chống lệch</v>
      </c>
      <c r="E614" s="9" t="str">
        <f>VLOOKUP($B614,R_DG!$A$7:$G$1305,4,0)</f>
        <v>bộ</v>
      </c>
      <c r="F614" s="11">
        <f>F604</f>
        <v>1</v>
      </c>
      <c r="G614" s="214">
        <f>VLOOKUP($B614,R_DG!$A$7:$G$1305,5,0)</f>
        <v>0</v>
      </c>
      <c r="H614" s="214">
        <f>VLOOKUP($B614,R_DG!$A$7:$G$1305,6,0)</f>
        <v>187723.35</v>
      </c>
      <c r="I614" s="214">
        <f>VLOOKUP($B614,R_DG!$A$7:$G$1305,7,0)</f>
        <v>0</v>
      </c>
      <c r="J614" s="214">
        <f t="shared" si="171"/>
        <v>0</v>
      </c>
      <c r="K614" s="214">
        <f t="shared" si="171"/>
        <v>187723.35</v>
      </c>
      <c r="L614" s="220">
        <f t="shared" si="171"/>
        <v>0</v>
      </c>
      <c r="M614" s="93">
        <f t="shared" si="178"/>
        <v>0</v>
      </c>
      <c r="N614" s="328">
        <f t="shared" ca="1" si="179"/>
        <v>0</v>
      </c>
    </row>
    <row r="615" spans="1:14" ht="20.100000000000001" customHeight="1">
      <c r="A615" s="89" t="s">
        <v>2577</v>
      </c>
      <c r="B615" s="24"/>
      <c r="C615" s="34"/>
      <c r="D615" s="25" t="s">
        <v>2576</v>
      </c>
      <c r="E615" s="25" t="s">
        <v>163</v>
      </c>
      <c r="F615" s="26"/>
      <c r="G615" s="213"/>
      <c r="H615" s="213"/>
      <c r="I615" s="213"/>
      <c r="J615" s="213">
        <f>SUM(J616:J622)</f>
        <v>2221800</v>
      </c>
      <c r="K615" s="213">
        <f>SUM(K616:K622)</f>
        <v>213246</v>
      </c>
      <c r="L615" s="219">
        <f>SUM(L616:L622)</f>
        <v>0</v>
      </c>
      <c r="M615" s="92">
        <f>IF(ERROR.TYPE(IF(HLOOKUP(A615,maBK,1,0)&lt;&gt;"",#NULL!,"ABC"))&lt;&gt;7,1,0)</f>
        <v>0</v>
      </c>
      <c r="N615" s="327">
        <f ca="1">SUMIF(maBK,$A615,tongBK1)</f>
        <v>0</v>
      </c>
    </row>
    <row r="616" spans="1:14" ht="20.100000000000001" customHeight="1">
      <c r="A616" s="87"/>
      <c r="B616" s="7" t="s">
        <v>142</v>
      </c>
      <c r="C616" s="32">
        <f>VLOOKUP($B616,R_DG!$A$7:$G$1305,2,0)</f>
        <v>0</v>
      </c>
      <c r="D616" s="8" t="str">
        <f>VLOOKUP($B616,R_DG!$A$7:$G$1305,3,0)</f>
        <v>Boulon mắt 16x250+ 2 long đền vuông D18-50x50x3/Zn</v>
      </c>
      <c r="E616" s="9" t="str">
        <f>VLOOKUP($B616,R_DG!$A$7:$G$1305,4,0)</f>
        <v>bộ</v>
      </c>
      <c r="F616" s="11">
        <v>2</v>
      </c>
      <c r="G616" s="214">
        <f>VLOOKUP($B616,R_DG!$A$7:$G$1305,5,0)</f>
        <v>27300</v>
      </c>
      <c r="H616" s="214">
        <f>VLOOKUP($B616,R_DG!$A$7:$G$1305,6,0)</f>
        <v>0</v>
      </c>
      <c r="I616" s="214">
        <f>VLOOKUP($B616,R_DG!$A$7:$G$1305,7,0)</f>
        <v>0</v>
      </c>
      <c r="J616" s="214">
        <f t="shared" si="171"/>
        <v>54600</v>
      </c>
      <c r="K616" s="214">
        <f t="shared" si="171"/>
        <v>0</v>
      </c>
      <c r="L616" s="220">
        <f t="shared" si="171"/>
        <v>0</v>
      </c>
      <c r="M616" s="93">
        <f t="shared" ref="M616:M622" si="180">IF(F616&gt;0,M$615,0)</f>
        <v>0</v>
      </c>
      <c r="N616" s="328">
        <f t="shared" ref="N616:N622" ca="1" si="181">$F616*N$615</f>
        <v>0</v>
      </c>
    </row>
    <row r="617" spans="1:14" ht="20.100000000000001" customHeight="1">
      <c r="A617" s="87"/>
      <c r="B617" s="7" t="s">
        <v>634</v>
      </c>
      <c r="C617" s="32">
        <f>VLOOKUP($B617,R_DG!$A$7:$G$1305,2,0)</f>
        <v>0</v>
      </c>
      <c r="D617" s="8" t="str">
        <f>VLOOKUP($B617,R_DG!$A$7:$G$1305,3,0)</f>
        <v>Sứ chằng nhỏ</v>
      </c>
      <c r="E617" s="9" t="str">
        <f>VLOOKUP($B617,R_DG!$A$7:$G$1305,4,0)</f>
        <v>cái</v>
      </c>
      <c r="F617" s="11">
        <v>2</v>
      </c>
      <c r="G617" s="214">
        <f>VLOOKUP($B617,R_DG!$A$7:$G$1305,5,0)</f>
        <v>47000</v>
      </c>
      <c r="H617" s="214">
        <f>VLOOKUP($B617,R_DG!$A$7:$G$1305,6,0)</f>
        <v>0</v>
      </c>
      <c r="I617" s="214">
        <f>VLOOKUP($B617,R_DG!$A$7:$G$1305,7,0)</f>
        <v>0</v>
      </c>
      <c r="J617" s="214">
        <f t="shared" si="171"/>
        <v>94000</v>
      </c>
      <c r="K617" s="214">
        <f t="shared" si="171"/>
        <v>0</v>
      </c>
      <c r="L617" s="220">
        <f t="shared" si="171"/>
        <v>0</v>
      </c>
      <c r="M617" s="93">
        <f t="shared" si="180"/>
        <v>0</v>
      </c>
      <c r="N617" s="328">
        <f t="shared" ca="1" si="181"/>
        <v>0</v>
      </c>
    </row>
    <row r="618" spans="1:14" ht="20.100000000000001" customHeight="1">
      <c r="A618" s="87"/>
      <c r="B618" s="7" t="s">
        <v>401</v>
      </c>
      <c r="C618" s="32">
        <f>VLOOKUP($B618,R_DG!$A$7:$G$1305,2,0)</f>
        <v>0</v>
      </c>
      <c r="D618" s="8" t="str">
        <f>VLOOKUP($B618,R_DG!$A$7:$G$1305,3,0)</f>
        <v>Kẹp cáp chằng 3 boulon (B46x130)</v>
      </c>
      <c r="E618" s="9" t="str">
        <f>VLOOKUP($B618,R_DG!$A$7:$G$1305,4,0)</f>
        <v>cái</v>
      </c>
      <c r="F618" s="11">
        <v>16</v>
      </c>
      <c r="G618" s="214">
        <f>VLOOKUP($B618,R_DG!$A$7:$G$1305,5,0)</f>
        <v>40000</v>
      </c>
      <c r="H618" s="214">
        <f>VLOOKUP($B618,R_DG!$A$7:$G$1305,6,0)</f>
        <v>0</v>
      </c>
      <c r="I618" s="214">
        <f>VLOOKUP($B618,R_DG!$A$7:$G$1305,7,0)</f>
        <v>0</v>
      </c>
      <c r="J618" s="214">
        <f t="shared" si="171"/>
        <v>640000</v>
      </c>
      <c r="K618" s="214">
        <f t="shared" si="171"/>
        <v>0</v>
      </c>
      <c r="L618" s="220">
        <f t="shared" si="171"/>
        <v>0</v>
      </c>
      <c r="M618" s="93">
        <f t="shared" si="180"/>
        <v>0</v>
      </c>
      <c r="N618" s="328">
        <f t="shared" ca="1" si="181"/>
        <v>0</v>
      </c>
    </row>
    <row r="619" spans="1:14" ht="20.100000000000001" customHeight="1">
      <c r="A619" s="87"/>
      <c r="B619" s="7" t="s">
        <v>379</v>
      </c>
      <c r="C619" s="32">
        <f>VLOOKUP($B619,R_DG!$A$7:$G$1305,2,0)</f>
        <v>0</v>
      </c>
      <c r="D619" s="8" t="str">
        <f>VLOOKUP($B619,R_DG!$A$7:$G$1305,3,0)</f>
        <v>Cáp thép 3/8"</v>
      </c>
      <c r="E619" s="9" t="str">
        <f>VLOOKUP($B619,R_DG!$A$7:$G$1305,4,0)</f>
        <v>kg</v>
      </c>
      <c r="F619" s="10">
        <v>31</v>
      </c>
      <c r="G619" s="214">
        <f>VLOOKUP($B619,R_DG!$A$7:$G$1305,5,0)</f>
        <v>42000</v>
      </c>
      <c r="H619" s="214">
        <f>VLOOKUP($B619,R_DG!$A$7:$G$1305,6,0)</f>
        <v>0</v>
      </c>
      <c r="I619" s="214">
        <f>VLOOKUP($B619,R_DG!$A$7:$G$1305,7,0)</f>
        <v>0</v>
      </c>
      <c r="J619" s="214">
        <f t="shared" si="171"/>
        <v>1302000</v>
      </c>
      <c r="K619" s="214">
        <f t="shared" si="171"/>
        <v>0</v>
      </c>
      <c r="L619" s="220">
        <f t="shared" si="171"/>
        <v>0</v>
      </c>
      <c r="M619" s="93">
        <f t="shared" si="180"/>
        <v>0</v>
      </c>
      <c r="N619" s="328">
        <f t="shared" ca="1" si="181"/>
        <v>0</v>
      </c>
    </row>
    <row r="620" spans="1:14" ht="20.100000000000001" customHeight="1">
      <c r="A620" s="87"/>
      <c r="B620" s="7" t="s">
        <v>796</v>
      </c>
      <c r="C620" s="32">
        <f>VLOOKUP($B620,R_DG!$A$7:$G$1305,2,0)</f>
        <v>0</v>
      </c>
      <c r="D620" s="8" t="str">
        <f>VLOOKUP($B620,R_DG!$A$7:$G$1305,3,0)</f>
        <v>Yếm cáp dày 2mm</v>
      </c>
      <c r="E620" s="9" t="str">
        <f>VLOOKUP($B620,R_DG!$A$7:$G$1305,4,0)</f>
        <v>cái</v>
      </c>
      <c r="F620" s="11">
        <v>4</v>
      </c>
      <c r="G620" s="214">
        <f>VLOOKUP($B620,R_DG!$A$7:$G$1305,5,0)</f>
        <v>5300</v>
      </c>
      <c r="H620" s="214">
        <f>VLOOKUP($B620,R_DG!$A$7:$G$1305,6,0)</f>
        <v>0</v>
      </c>
      <c r="I620" s="214">
        <f>VLOOKUP($B620,R_DG!$A$7:$G$1305,7,0)</f>
        <v>0</v>
      </c>
      <c r="J620" s="214">
        <f t="shared" si="171"/>
        <v>21200</v>
      </c>
      <c r="K620" s="214">
        <f t="shared" si="171"/>
        <v>0</v>
      </c>
      <c r="L620" s="220">
        <f t="shared" si="171"/>
        <v>0</v>
      </c>
      <c r="M620" s="93">
        <f t="shared" si="180"/>
        <v>0</v>
      </c>
      <c r="N620" s="328">
        <f t="shared" ca="1" si="181"/>
        <v>0</v>
      </c>
    </row>
    <row r="621" spans="1:14" ht="20.100000000000001" customHeight="1">
      <c r="A621" s="87"/>
      <c r="B621" s="7" t="s">
        <v>577</v>
      </c>
      <c r="C621" s="32">
        <f>VLOOKUP($B621,R_DG!$A$7:$G$1305,2,0)</f>
        <v>0</v>
      </c>
      <c r="D621" s="8" t="str">
        <f>VLOOKUP($B621,R_DG!$A$7:$G$1305,3,0)</f>
        <v>Máng che dây chằng dày 1,6x40x2000mm</v>
      </c>
      <c r="E621" s="9" t="str">
        <f>VLOOKUP($B621,R_DG!$A$7:$G$1305,4,0)</f>
        <v>cái</v>
      </c>
      <c r="F621" s="11">
        <v>2</v>
      </c>
      <c r="G621" s="214">
        <f>VLOOKUP($B621,R_DG!$A$7:$G$1305,5,0)</f>
        <v>55000</v>
      </c>
      <c r="H621" s="214">
        <f>VLOOKUP($B621,R_DG!$A$7:$G$1305,6,0)</f>
        <v>0</v>
      </c>
      <c r="I621" s="214">
        <f>VLOOKUP($B621,R_DG!$A$7:$G$1305,7,0)</f>
        <v>0</v>
      </c>
      <c r="J621" s="214">
        <f t="shared" si="171"/>
        <v>110000</v>
      </c>
      <c r="K621" s="214">
        <f t="shared" si="171"/>
        <v>0</v>
      </c>
      <c r="L621" s="220">
        <f t="shared" si="171"/>
        <v>0</v>
      </c>
      <c r="M621" s="93">
        <f t="shared" si="180"/>
        <v>0</v>
      </c>
      <c r="N621" s="328">
        <f t="shared" ca="1" si="181"/>
        <v>0</v>
      </c>
    </row>
    <row r="622" spans="1:14" ht="20.100000000000001" customHeight="1">
      <c r="A622" s="87"/>
      <c r="B622" s="7" t="s">
        <v>1226</v>
      </c>
      <c r="C622" s="32" t="str">
        <f>VLOOKUP($B622,R_DG!$A$7:$G$1305,2,0)</f>
        <v>D3.3251</v>
      </c>
      <c r="D622" s="8" t="str">
        <f>VLOOKUP($B622,R_DG!$A$7:$G$1305,3,0)</f>
        <v>Lắp bộ dây néo</v>
      </c>
      <c r="E622" s="9" t="str">
        <f>VLOOKUP($B622,R_DG!$A$7:$G$1305,4,0)</f>
        <v>bộ</v>
      </c>
      <c r="F622" s="11">
        <f>F616</f>
        <v>2</v>
      </c>
      <c r="G622" s="214">
        <f>VLOOKUP($B622,R_DG!$A$7:$G$1305,5,0)</f>
        <v>0</v>
      </c>
      <c r="H622" s="214">
        <f>VLOOKUP($B622,R_DG!$A$7:$G$1305,6,0)</f>
        <v>106623</v>
      </c>
      <c r="I622" s="214">
        <f>VLOOKUP($B622,R_DG!$A$7:$G$1305,7,0)</f>
        <v>0</v>
      </c>
      <c r="J622" s="214">
        <f t="shared" si="171"/>
        <v>0</v>
      </c>
      <c r="K622" s="214">
        <f t="shared" si="171"/>
        <v>213246</v>
      </c>
      <c r="L622" s="220">
        <f t="shared" si="171"/>
        <v>0</v>
      </c>
      <c r="M622" s="93">
        <f t="shared" si="180"/>
        <v>0</v>
      </c>
      <c r="N622" s="328">
        <f t="shared" ca="1" si="181"/>
        <v>0</v>
      </c>
    </row>
    <row r="623" spans="1:14" ht="20.100000000000001" customHeight="1">
      <c r="A623" s="89" t="s">
        <v>2579</v>
      </c>
      <c r="B623" s="24"/>
      <c r="C623" s="34"/>
      <c r="D623" s="25" t="s">
        <v>2578</v>
      </c>
      <c r="E623" s="25" t="s">
        <v>163</v>
      </c>
      <c r="F623" s="26"/>
      <c r="G623" s="213"/>
      <c r="H623" s="213"/>
      <c r="I623" s="213"/>
      <c r="J623" s="213">
        <f>SUM(J624:J631)</f>
        <v>738740</v>
      </c>
      <c r="K623" s="213">
        <f>SUM(K624:K631)</f>
        <v>106623</v>
      </c>
      <c r="L623" s="219">
        <f>SUM(L624:L631)</f>
        <v>0</v>
      </c>
      <c r="M623" s="92">
        <f>IF(ERROR.TYPE(IF(HLOOKUP(A623,maBK,1,0)&lt;&gt;"",#NULL!,"ABC"))&lt;&gt;7,1,0)</f>
        <v>1</v>
      </c>
      <c r="N623" s="327">
        <f ca="1">SUMIF(maBK,$A623,tongBK1)</f>
        <v>0</v>
      </c>
    </row>
    <row r="624" spans="1:14" ht="20.100000000000001" customHeight="1">
      <c r="A624" s="87"/>
      <c r="B624" s="7" t="s">
        <v>144</v>
      </c>
      <c r="C624" s="32">
        <f>VLOOKUP($B624,R_DG!$A$7:$G$1305,2,0)</f>
        <v>0</v>
      </c>
      <c r="D624" s="8" t="str">
        <f>VLOOKUP($B624,R_DG!$A$7:$G$1305,3,0)</f>
        <v>Boulon mắt 16x300+ 2 long đền vuông D18-50x50x3/Zn</v>
      </c>
      <c r="E624" s="9" t="str">
        <f>VLOOKUP($B624,R_DG!$A$7:$G$1305,4,0)</f>
        <v>bộ</v>
      </c>
      <c r="F624" s="11">
        <v>1</v>
      </c>
      <c r="G624" s="214">
        <f>VLOOKUP($B624,R_DG!$A$7:$G$1305,5,0)</f>
        <v>30200</v>
      </c>
      <c r="H624" s="214">
        <f>VLOOKUP($B624,R_DG!$A$7:$G$1305,6,0)</f>
        <v>0</v>
      </c>
      <c r="I624" s="214">
        <f>VLOOKUP($B624,R_DG!$A$7:$G$1305,7,0)</f>
        <v>0</v>
      </c>
      <c r="J624" s="214">
        <f t="shared" ref="J624:L682" si="182">G624*$F624</f>
        <v>30200</v>
      </c>
      <c r="K624" s="214">
        <f t="shared" si="182"/>
        <v>0</v>
      </c>
      <c r="L624" s="220">
        <f t="shared" si="182"/>
        <v>0</v>
      </c>
      <c r="M624" s="93">
        <f t="shared" ref="M624:M631" si="183">IF(F624&gt;0,M$623,0)</f>
        <v>1</v>
      </c>
      <c r="N624" s="328">
        <f t="shared" ref="N624:N631" ca="1" si="184">$F624*N$623</f>
        <v>0</v>
      </c>
    </row>
    <row r="625" spans="1:14" ht="20.100000000000001" customHeight="1">
      <c r="A625" s="87"/>
      <c r="B625" s="7" t="s">
        <v>634</v>
      </c>
      <c r="C625" s="32">
        <f>VLOOKUP($B625,R_DG!$A$7:$G$1305,2,0)</f>
        <v>0</v>
      </c>
      <c r="D625" s="8" t="str">
        <f>VLOOKUP($B625,R_DG!$A$7:$G$1305,3,0)</f>
        <v>Sứ chằng nhỏ</v>
      </c>
      <c r="E625" s="9" t="str">
        <f>VLOOKUP($B625,R_DG!$A$7:$G$1305,4,0)</f>
        <v>cái</v>
      </c>
      <c r="F625" s="11">
        <v>1</v>
      </c>
      <c r="G625" s="214">
        <f>VLOOKUP($B625,R_DG!$A$7:$G$1305,5,0)</f>
        <v>47000</v>
      </c>
      <c r="H625" s="214">
        <f>VLOOKUP($B625,R_DG!$A$7:$G$1305,6,0)</f>
        <v>0</v>
      </c>
      <c r="I625" s="214">
        <f>VLOOKUP($B625,R_DG!$A$7:$G$1305,7,0)</f>
        <v>0</v>
      </c>
      <c r="J625" s="214">
        <f t="shared" si="182"/>
        <v>47000</v>
      </c>
      <c r="K625" s="214">
        <f t="shared" si="182"/>
        <v>0</v>
      </c>
      <c r="L625" s="220">
        <f t="shared" si="182"/>
        <v>0</v>
      </c>
      <c r="M625" s="93">
        <f t="shared" si="183"/>
        <v>1</v>
      </c>
      <c r="N625" s="328">
        <f t="shared" ca="1" si="184"/>
        <v>0</v>
      </c>
    </row>
    <row r="626" spans="1:14" ht="20.100000000000001" customHeight="1">
      <c r="A626" s="87"/>
      <c r="B626" s="7" t="s">
        <v>401</v>
      </c>
      <c r="C626" s="32">
        <f>VLOOKUP($B626,R_DG!$A$7:$G$1305,2,0)</f>
        <v>0</v>
      </c>
      <c r="D626" s="8" t="str">
        <f>VLOOKUP($B626,R_DG!$A$7:$G$1305,3,0)</f>
        <v>Kẹp cáp chằng 3 boulon (B46x130)</v>
      </c>
      <c r="E626" s="9" t="str">
        <f>VLOOKUP($B626,R_DG!$A$7:$G$1305,4,0)</f>
        <v>cái</v>
      </c>
      <c r="F626" s="11">
        <v>8</v>
      </c>
      <c r="G626" s="214">
        <f>VLOOKUP($B626,R_DG!$A$7:$G$1305,5,0)</f>
        <v>40000</v>
      </c>
      <c r="H626" s="214">
        <f>VLOOKUP($B626,R_DG!$A$7:$G$1305,6,0)</f>
        <v>0</v>
      </c>
      <c r="I626" s="214">
        <f>VLOOKUP($B626,R_DG!$A$7:$G$1305,7,0)</f>
        <v>0</v>
      </c>
      <c r="J626" s="214">
        <f t="shared" si="182"/>
        <v>320000</v>
      </c>
      <c r="K626" s="214">
        <f t="shared" si="182"/>
        <v>0</v>
      </c>
      <c r="L626" s="220">
        <f t="shared" si="182"/>
        <v>0</v>
      </c>
      <c r="M626" s="93">
        <f t="shared" si="183"/>
        <v>1</v>
      </c>
      <c r="N626" s="328">
        <f t="shared" ca="1" si="184"/>
        <v>0</v>
      </c>
    </row>
    <row r="627" spans="1:14" ht="20.100000000000001" customHeight="1">
      <c r="A627" s="87"/>
      <c r="B627" s="7" t="s">
        <v>381</v>
      </c>
      <c r="C627" s="32">
        <f>VLOOKUP($B627,R_DG!$A$7:$G$1305,2,0)</f>
        <v>0</v>
      </c>
      <c r="D627" s="8" t="str">
        <f>VLOOKUP($B627,R_DG!$A$7:$G$1305,3,0)&amp;" (15m/bộ)"</f>
        <v>Cáp thép 5/8" (15m/bộ) (15m/bộ)</v>
      </c>
      <c r="E627" s="9" t="str">
        <f>VLOOKUP($B627,R_DG!$A$7:$G$1305,4,0)</f>
        <v>kg</v>
      </c>
      <c r="F627" s="10">
        <f>15*0.438</f>
        <v>6.57</v>
      </c>
      <c r="G627" s="214">
        <f>VLOOKUP($B627,R_DG!$A$7:$G$1305,5,0)</f>
        <v>42000</v>
      </c>
      <c r="H627" s="214">
        <f>VLOOKUP($B627,R_DG!$A$7:$G$1305,6,0)</f>
        <v>0</v>
      </c>
      <c r="I627" s="214">
        <f>VLOOKUP($B627,R_DG!$A$7:$G$1305,7,0)</f>
        <v>0</v>
      </c>
      <c r="J627" s="214">
        <f t="shared" si="182"/>
        <v>275940</v>
      </c>
      <c r="K627" s="214">
        <f t="shared" si="182"/>
        <v>0</v>
      </c>
      <c r="L627" s="220">
        <f t="shared" si="182"/>
        <v>0</v>
      </c>
      <c r="M627" s="93">
        <f t="shared" si="183"/>
        <v>1</v>
      </c>
      <c r="N627" s="328">
        <f t="shared" ca="1" si="184"/>
        <v>0</v>
      </c>
    </row>
    <row r="628" spans="1:14" ht="20.100000000000001" customHeight="1">
      <c r="A628" s="87"/>
      <c r="B628" s="7" t="s">
        <v>796</v>
      </c>
      <c r="C628" s="32">
        <f>VLOOKUP($B628,R_DG!$A$7:$G$1305,2,0)</f>
        <v>0</v>
      </c>
      <c r="D628" s="8" t="str">
        <f>VLOOKUP($B628,R_DG!$A$7:$G$1305,3,0)</f>
        <v>Yếm cáp dày 2mm</v>
      </c>
      <c r="E628" s="9" t="str">
        <f>VLOOKUP($B628,R_DG!$A$7:$G$1305,4,0)</f>
        <v>cái</v>
      </c>
      <c r="F628" s="11">
        <v>2</v>
      </c>
      <c r="G628" s="214">
        <f>VLOOKUP($B628,R_DG!$A$7:$G$1305,5,0)</f>
        <v>5300</v>
      </c>
      <c r="H628" s="214">
        <f>VLOOKUP($B628,R_DG!$A$7:$G$1305,6,0)</f>
        <v>0</v>
      </c>
      <c r="I628" s="214">
        <f>VLOOKUP($B628,R_DG!$A$7:$G$1305,7,0)</f>
        <v>0</v>
      </c>
      <c r="J628" s="214">
        <f t="shared" si="182"/>
        <v>10600</v>
      </c>
      <c r="K628" s="214">
        <f t="shared" si="182"/>
        <v>0</v>
      </c>
      <c r="L628" s="220">
        <f t="shared" si="182"/>
        <v>0</v>
      </c>
      <c r="M628" s="93">
        <f t="shared" si="183"/>
        <v>1</v>
      </c>
      <c r="N628" s="328">
        <f t="shared" ca="1" si="184"/>
        <v>0</v>
      </c>
    </row>
    <row r="629" spans="1:14" ht="20.100000000000001" customHeight="1">
      <c r="A629" s="87"/>
      <c r="B629" s="7" t="s">
        <v>577</v>
      </c>
      <c r="C629" s="32">
        <f>VLOOKUP($B629,R_DG!$A$7:$G$1305,2,0)</f>
        <v>0</v>
      </c>
      <c r="D629" s="8" t="str">
        <f>VLOOKUP($B629,R_DG!$A$7:$G$1305,3,0)</f>
        <v>Máng che dây chằng dày 1,6x40x2000mm</v>
      </c>
      <c r="E629" s="9" t="str">
        <f>VLOOKUP($B629,R_DG!$A$7:$G$1305,4,0)</f>
        <v>cái</v>
      </c>
      <c r="F629" s="11">
        <v>1</v>
      </c>
      <c r="G629" s="214">
        <f>VLOOKUP($B629,R_DG!$A$7:$G$1305,5,0)</f>
        <v>55000</v>
      </c>
      <c r="H629" s="214">
        <f>VLOOKUP($B629,R_DG!$A$7:$G$1305,6,0)</f>
        <v>0</v>
      </c>
      <c r="I629" s="214">
        <f>VLOOKUP($B629,R_DG!$A$7:$G$1305,7,0)</f>
        <v>0</v>
      </c>
      <c r="J629" s="214">
        <f t="shared" si="182"/>
        <v>55000</v>
      </c>
      <c r="K629" s="214">
        <f t="shared" si="182"/>
        <v>0</v>
      </c>
      <c r="L629" s="220">
        <f t="shared" si="182"/>
        <v>0</v>
      </c>
      <c r="M629" s="93">
        <f t="shared" si="183"/>
        <v>1</v>
      </c>
      <c r="N629" s="328">
        <f t="shared" ca="1" si="184"/>
        <v>0</v>
      </c>
    </row>
    <row r="630" spans="1:14" ht="20.100000000000001" customHeight="1">
      <c r="A630" s="87"/>
      <c r="B630" s="7" t="s">
        <v>1226</v>
      </c>
      <c r="C630" s="32" t="str">
        <f>VLOOKUP($B630,R_DG!$A$7:$G$1305,2,0)</f>
        <v>D3.3251</v>
      </c>
      <c r="D630" s="8" t="str">
        <f>VLOOKUP($B630,R_DG!$A$7:$G$1305,3,0)</f>
        <v>Lắp bộ dây néo</v>
      </c>
      <c r="E630" s="9" t="str">
        <f>VLOOKUP($B630,R_DG!$A$7:$G$1305,4,0)</f>
        <v>bộ</v>
      </c>
      <c r="F630" s="11">
        <f>F624</f>
        <v>1</v>
      </c>
      <c r="G630" s="214">
        <f>VLOOKUP($B630,R_DG!$A$7:$G$1305,5,0)</f>
        <v>0</v>
      </c>
      <c r="H630" s="214">
        <f>VLOOKUP($B630,R_DG!$A$7:$G$1305,6,0)</f>
        <v>106623</v>
      </c>
      <c r="I630" s="214">
        <f>VLOOKUP($B630,R_DG!$A$7:$G$1305,7,0)</f>
        <v>0</v>
      </c>
      <c r="J630" s="214">
        <f t="shared" si="182"/>
        <v>0</v>
      </c>
      <c r="K630" s="214">
        <f t="shared" si="182"/>
        <v>106623</v>
      </c>
      <c r="L630" s="220">
        <f t="shared" si="182"/>
        <v>0</v>
      </c>
      <c r="M630" s="93">
        <f t="shared" si="183"/>
        <v>1</v>
      </c>
      <c r="N630" s="328">
        <f t="shared" ca="1" si="184"/>
        <v>0</v>
      </c>
    </row>
    <row r="631" spans="1:14" ht="20.100000000000001" customHeight="1">
      <c r="A631" s="87"/>
      <c r="B631" s="7" t="s">
        <v>1226</v>
      </c>
      <c r="C631" s="32" t="str">
        <f>VLOOKUP($B631,R_DG!$A$7:$G$1305,2,0)</f>
        <v>D3.3251</v>
      </c>
      <c r="D631" s="8" t="str">
        <f>VLOOKUP($B631,R_DG!$A$7:$G$1305,3,0)</f>
        <v>Lắp bộ dây néo</v>
      </c>
      <c r="E631" s="9" t="str">
        <f>VLOOKUP($B631,R_DG!$A$7:$G$1305,4,0)</f>
        <v>bộ</v>
      </c>
      <c r="F631" s="11"/>
      <c r="G631" s="214">
        <f>VLOOKUP($B631,R_DG!$A$7:$G$1305,5,0)</f>
        <v>0</v>
      </c>
      <c r="H631" s="214">
        <f>VLOOKUP($B631,R_DG!$A$7:$G$1305,6,0)</f>
        <v>106623</v>
      </c>
      <c r="I631" s="214">
        <f>VLOOKUP($B631,R_DG!$A$7:$G$1305,7,0)</f>
        <v>0</v>
      </c>
      <c r="J631" s="214">
        <f t="shared" si="182"/>
        <v>0</v>
      </c>
      <c r="K631" s="214">
        <f t="shared" si="182"/>
        <v>0</v>
      </c>
      <c r="L631" s="220">
        <f t="shared" si="182"/>
        <v>0</v>
      </c>
      <c r="M631" s="93">
        <f t="shared" si="183"/>
        <v>0</v>
      </c>
      <c r="N631" s="328">
        <f t="shared" ca="1" si="184"/>
        <v>0</v>
      </c>
    </row>
    <row r="632" spans="1:14" ht="20.100000000000001" customHeight="1">
      <c r="A632" s="89" t="s">
        <v>2581</v>
      </c>
      <c r="B632" s="24"/>
      <c r="C632" s="34"/>
      <c r="D632" s="25" t="s">
        <v>2580</v>
      </c>
      <c r="E632" s="25" t="s">
        <v>163</v>
      </c>
      <c r="F632" s="26"/>
      <c r="G632" s="213"/>
      <c r="H632" s="213"/>
      <c r="I632" s="213"/>
      <c r="J632" s="213">
        <f>SUM(J633:J641)</f>
        <v>992948</v>
      </c>
      <c r="K632" s="213">
        <f>SUM(K633:K641)</f>
        <v>294346.34999999998</v>
      </c>
      <c r="L632" s="219">
        <f>SUM(L633:L641)</f>
        <v>0</v>
      </c>
      <c r="M632" s="92">
        <f>IF(ERROR.TYPE(IF(HLOOKUP(A632,maBK,1,0)&lt;&gt;"",#NULL!,"ABC"))&lt;&gt;7,1,0)</f>
        <v>1</v>
      </c>
      <c r="N632" s="327">
        <f ca="1">SUMIF(maBK,$A632,tongBK1)</f>
        <v>0</v>
      </c>
    </row>
    <row r="633" spans="1:14" ht="20.100000000000001" customHeight="1">
      <c r="A633" s="87"/>
      <c r="B633" s="7" t="s">
        <v>144</v>
      </c>
      <c r="C633" s="32">
        <f>VLOOKUP($B633,R_DG!$A$7:$G$1305,2,0)</f>
        <v>0</v>
      </c>
      <c r="D633" s="8" t="str">
        <f>VLOOKUP($B633,R_DG!$A$7:$G$1305,3,0)</f>
        <v>Boulon mắt 16x300+ 2 long đền vuông D18-50x50x3/Zn</v>
      </c>
      <c r="E633" s="9" t="str">
        <f>VLOOKUP($B633,R_DG!$A$7:$G$1305,4,0)</f>
        <v>bộ</v>
      </c>
      <c r="F633" s="11">
        <v>1</v>
      </c>
      <c r="G633" s="214">
        <f>VLOOKUP($B633,R_DG!$A$7:$G$1305,5,0)</f>
        <v>30200</v>
      </c>
      <c r="H633" s="214">
        <f>VLOOKUP($B633,R_DG!$A$7:$G$1305,6,0)</f>
        <v>0</v>
      </c>
      <c r="I633" s="214">
        <f>VLOOKUP($B633,R_DG!$A$7:$G$1305,7,0)</f>
        <v>0</v>
      </c>
      <c r="J633" s="214">
        <f t="shared" si="182"/>
        <v>30200</v>
      </c>
      <c r="K633" s="214">
        <f t="shared" si="182"/>
        <v>0</v>
      </c>
      <c r="L633" s="220">
        <f t="shared" si="182"/>
        <v>0</v>
      </c>
      <c r="M633" s="93">
        <f t="shared" ref="M633:M641" si="185">IF(F633&gt;0,M$632,0)</f>
        <v>1</v>
      </c>
      <c r="N633" s="328">
        <f t="shared" ref="N633:N641" ca="1" si="186">$F633*N$632</f>
        <v>0</v>
      </c>
    </row>
    <row r="634" spans="1:14" ht="20.100000000000001" customHeight="1">
      <c r="A634" s="87"/>
      <c r="B634" s="7" t="s">
        <v>634</v>
      </c>
      <c r="C634" s="32">
        <f>VLOOKUP($B634,R_DG!$A$7:$G$1305,2,0)</f>
        <v>0</v>
      </c>
      <c r="D634" s="8" t="str">
        <f>VLOOKUP($B634,R_DG!$A$7:$G$1305,3,0)</f>
        <v>Sứ chằng nhỏ</v>
      </c>
      <c r="E634" s="9" t="str">
        <f>VLOOKUP($B634,R_DG!$A$7:$G$1305,4,0)</f>
        <v>cái</v>
      </c>
      <c r="F634" s="11">
        <v>1</v>
      </c>
      <c r="G634" s="214">
        <f>VLOOKUP($B634,R_DG!$A$7:$G$1305,5,0)</f>
        <v>47000</v>
      </c>
      <c r="H634" s="214">
        <f>VLOOKUP($B634,R_DG!$A$7:$G$1305,6,0)</f>
        <v>0</v>
      </c>
      <c r="I634" s="214">
        <f>VLOOKUP($B634,R_DG!$A$7:$G$1305,7,0)</f>
        <v>0</v>
      </c>
      <c r="J634" s="214">
        <f t="shared" si="182"/>
        <v>47000</v>
      </c>
      <c r="K634" s="214">
        <f t="shared" si="182"/>
        <v>0</v>
      </c>
      <c r="L634" s="220">
        <f t="shared" si="182"/>
        <v>0</v>
      </c>
      <c r="M634" s="93">
        <f t="shared" si="185"/>
        <v>1</v>
      </c>
      <c r="N634" s="328">
        <f t="shared" ca="1" si="186"/>
        <v>0</v>
      </c>
    </row>
    <row r="635" spans="1:14" ht="20.100000000000001" customHeight="1">
      <c r="A635" s="87"/>
      <c r="B635" s="7" t="s">
        <v>401</v>
      </c>
      <c r="C635" s="32">
        <f>VLOOKUP($B635,R_DG!$A$7:$G$1305,2,0)</f>
        <v>0</v>
      </c>
      <c r="D635" s="8" t="str">
        <f>VLOOKUP($B635,R_DG!$A$7:$G$1305,3,0)</f>
        <v>Kẹp cáp chằng 3 boulon (B46x130)</v>
      </c>
      <c r="E635" s="9" t="str">
        <f>VLOOKUP($B635,R_DG!$A$7:$G$1305,4,0)</f>
        <v>cái</v>
      </c>
      <c r="F635" s="11">
        <v>8</v>
      </c>
      <c r="G635" s="214">
        <f>VLOOKUP($B635,R_DG!$A$7:$G$1305,5,0)</f>
        <v>40000</v>
      </c>
      <c r="H635" s="214">
        <f>VLOOKUP($B635,R_DG!$A$7:$G$1305,6,0)</f>
        <v>0</v>
      </c>
      <c r="I635" s="214">
        <f>VLOOKUP($B635,R_DG!$A$7:$G$1305,7,0)</f>
        <v>0</v>
      </c>
      <c r="J635" s="214">
        <f t="shared" si="182"/>
        <v>320000</v>
      </c>
      <c r="K635" s="214">
        <f t="shared" si="182"/>
        <v>0</v>
      </c>
      <c r="L635" s="220">
        <f t="shared" si="182"/>
        <v>0</v>
      </c>
      <c r="M635" s="93">
        <f t="shared" si="185"/>
        <v>1</v>
      </c>
      <c r="N635" s="328">
        <f t="shared" ca="1" si="186"/>
        <v>0</v>
      </c>
    </row>
    <row r="636" spans="1:14" ht="20.100000000000001" customHeight="1">
      <c r="A636" s="87"/>
      <c r="B636" s="7" t="s">
        <v>381</v>
      </c>
      <c r="C636" s="32">
        <f>VLOOKUP($B636,R_DG!$A$7:$G$1305,2,0)</f>
        <v>0</v>
      </c>
      <c r="D636" s="8" t="str">
        <f>VLOOKUP($B636,R_DG!$A$7:$G$1305,3,0)&amp;" (13m/bộ)"</f>
        <v>Cáp thép 5/8" (15m/bộ) (13m/bộ)</v>
      </c>
      <c r="E636" s="9" t="str">
        <f>VLOOKUP($B636,R_DG!$A$7:$G$1305,4,0)</f>
        <v>kg</v>
      </c>
      <c r="F636" s="10">
        <f>13*0.438</f>
        <v>5.694</v>
      </c>
      <c r="G636" s="214">
        <f>VLOOKUP($B636,R_DG!$A$7:$G$1305,5,0)</f>
        <v>42000</v>
      </c>
      <c r="H636" s="214">
        <f>VLOOKUP($B636,R_DG!$A$7:$G$1305,6,0)</f>
        <v>0</v>
      </c>
      <c r="I636" s="214">
        <f>VLOOKUP($B636,R_DG!$A$7:$G$1305,7,0)</f>
        <v>0</v>
      </c>
      <c r="J636" s="214">
        <f t="shared" si="182"/>
        <v>239148</v>
      </c>
      <c r="K636" s="214">
        <f t="shared" si="182"/>
        <v>0</v>
      </c>
      <c r="L636" s="220">
        <f t="shared" si="182"/>
        <v>0</v>
      </c>
      <c r="M636" s="93">
        <f t="shared" si="185"/>
        <v>1</v>
      </c>
      <c r="N636" s="328">
        <f t="shared" ca="1" si="186"/>
        <v>0</v>
      </c>
    </row>
    <row r="637" spans="1:14" ht="20.100000000000001" customHeight="1">
      <c r="A637" s="87"/>
      <c r="B637" s="7" t="s">
        <v>682</v>
      </c>
      <c r="C637" s="32">
        <f>VLOOKUP($B637,R_DG!$A$7:$G$1305,2,0)</f>
        <v>0</v>
      </c>
      <c r="D637" s="8" t="str">
        <f>VLOOKUP($B637,R_DG!$A$7:$G$1305,3,0)</f>
        <v>Bộ chống chằng hẹp φ60/56x1500+2BL12x40+BL16x250/80</v>
      </c>
      <c r="E637" s="9" t="str">
        <f>VLOOKUP($B637,R_DG!$A$7:$G$1305,4,0)</f>
        <v>bộ</v>
      </c>
      <c r="F637" s="11">
        <v>1</v>
      </c>
      <c r="G637" s="214">
        <f>VLOOKUP($B637,R_DG!$A$7:$G$1305,5,0)</f>
        <v>291000</v>
      </c>
      <c r="H637" s="214">
        <f>VLOOKUP($B637,R_DG!$A$7:$G$1305,6,0)</f>
        <v>0</v>
      </c>
      <c r="I637" s="214">
        <f>VLOOKUP($B637,R_DG!$A$7:$G$1305,7,0)</f>
        <v>0</v>
      </c>
      <c r="J637" s="214">
        <f t="shared" si="182"/>
        <v>291000</v>
      </c>
      <c r="K637" s="214">
        <f t="shared" si="182"/>
        <v>0</v>
      </c>
      <c r="L637" s="220">
        <f t="shared" si="182"/>
        <v>0</v>
      </c>
      <c r="M637" s="93">
        <f t="shared" si="185"/>
        <v>1</v>
      </c>
      <c r="N637" s="328">
        <f t="shared" ca="1" si="186"/>
        <v>0</v>
      </c>
    </row>
    <row r="638" spans="1:14" ht="20.100000000000001" customHeight="1">
      <c r="A638" s="87"/>
      <c r="B638" s="7" t="s">
        <v>796</v>
      </c>
      <c r="C638" s="32">
        <f>VLOOKUP($B638,R_DG!$A$7:$G$1305,2,0)</f>
        <v>0</v>
      </c>
      <c r="D638" s="8" t="str">
        <f>VLOOKUP($B638,R_DG!$A$7:$G$1305,3,0)</f>
        <v>Yếm cáp dày 2mm</v>
      </c>
      <c r="E638" s="9" t="str">
        <f>VLOOKUP($B638,R_DG!$A$7:$G$1305,4,0)</f>
        <v>cái</v>
      </c>
      <c r="F638" s="11">
        <v>2</v>
      </c>
      <c r="G638" s="214">
        <f>VLOOKUP($B638,R_DG!$A$7:$G$1305,5,0)</f>
        <v>5300</v>
      </c>
      <c r="H638" s="214">
        <f>VLOOKUP($B638,R_DG!$A$7:$G$1305,6,0)</f>
        <v>0</v>
      </c>
      <c r="I638" s="214">
        <f>VLOOKUP($B638,R_DG!$A$7:$G$1305,7,0)</f>
        <v>0</v>
      </c>
      <c r="J638" s="214">
        <f t="shared" si="182"/>
        <v>10600</v>
      </c>
      <c r="K638" s="214">
        <f t="shared" si="182"/>
        <v>0</v>
      </c>
      <c r="L638" s="220">
        <f t="shared" si="182"/>
        <v>0</v>
      </c>
      <c r="M638" s="93">
        <f t="shared" si="185"/>
        <v>1</v>
      </c>
      <c r="N638" s="328">
        <f t="shared" ca="1" si="186"/>
        <v>0</v>
      </c>
    </row>
    <row r="639" spans="1:14" ht="20.100000000000001" customHeight="1">
      <c r="A639" s="87"/>
      <c r="B639" s="7" t="s">
        <v>577</v>
      </c>
      <c r="C639" s="32">
        <f>VLOOKUP($B639,R_DG!$A$7:$G$1305,2,0)</f>
        <v>0</v>
      </c>
      <c r="D639" s="8" t="str">
        <f>VLOOKUP($B639,R_DG!$A$7:$G$1305,3,0)</f>
        <v>Máng che dây chằng dày 1,6x40x2000mm</v>
      </c>
      <c r="E639" s="9" t="str">
        <f>VLOOKUP($B639,R_DG!$A$7:$G$1305,4,0)</f>
        <v>cái</v>
      </c>
      <c r="F639" s="11">
        <v>1</v>
      </c>
      <c r="G639" s="214">
        <f>VLOOKUP($B639,R_DG!$A$7:$G$1305,5,0)</f>
        <v>55000</v>
      </c>
      <c r="H639" s="214">
        <f>VLOOKUP($B639,R_DG!$A$7:$G$1305,6,0)</f>
        <v>0</v>
      </c>
      <c r="I639" s="214">
        <f>VLOOKUP($B639,R_DG!$A$7:$G$1305,7,0)</f>
        <v>0</v>
      </c>
      <c r="J639" s="214">
        <f t="shared" si="182"/>
        <v>55000</v>
      </c>
      <c r="K639" s="214">
        <f t="shared" si="182"/>
        <v>0</v>
      </c>
      <c r="L639" s="220">
        <f t="shared" si="182"/>
        <v>0</v>
      </c>
      <c r="M639" s="93">
        <f t="shared" si="185"/>
        <v>1</v>
      </c>
      <c r="N639" s="328">
        <f t="shared" ca="1" si="186"/>
        <v>0</v>
      </c>
    </row>
    <row r="640" spans="1:14" ht="20.100000000000001" customHeight="1">
      <c r="A640" s="87"/>
      <c r="B640" s="7" t="s">
        <v>1226</v>
      </c>
      <c r="C640" s="32" t="str">
        <f>VLOOKUP($B640,R_DG!$A$7:$G$1305,2,0)</f>
        <v>D3.3251</v>
      </c>
      <c r="D640" s="8" t="str">
        <f>VLOOKUP($B640,R_DG!$A$7:$G$1305,3,0)</f>
        <v>Lắp bộ dây néo</v>
      </c>
      <c r="E640" s="9" t="str">
        <f>VLOOKUP($B640,R_DG!$A$7:$G$1305,4,0)</f>
        <v>bộ</v>
      </c>
      <c r="F640" s="11">
        <v>1</v>
      </c>
      <c r="G640" s="214">
        <f>VLOOKUP($B640,R_DG!$A$7:$G$1305,5,0)</f>
        <v>0</v>
      </c>
      <c r="H640" s="214">
        <f>VLOOKUP($B640,R_DG!$A$7:$G$1305,6,0)</f>
        <v>106623</v>
      </c>
      <c r="I640" s="214">
        <f>VLOOKUP($B640,R_DG!$A$7:$G$1305,7,0)</f>
        <v>0</v>
      </c>
      <c r="J640" s="214">
        <f t="shared" si="182"/>
        <v>0</v>
      </c>
      <c r="K640" s="214">
        <f t="shared" si="182"/>
        <v>106623</v>
      </c>
      <c r="L640" s="220">
        <f t="shared" si="182"/>
        <v>0</v>
      </c>
      <c r="M640" s="93">
        <f t="shared" si="185"/>
        <v>1</v>
      </c>
      <c r="N640" s="328">
        <f t="shared" ca="1" si="186"/>
        <v>0</v>
      </c>
    </row>
    <row r="641" spans="1:14" ht="20.100000000000001" customHeight="1">
      <c r="A641" s="87"/>
      <c r="B641" s="7" t="s">
        <v>1224</v>
      </c>
      <c r="C641" s="32" t="str">
        <f>VLOOKUP($B641,R_DG!$A$7:$G$1305,2,0)</f>
        <v>D2.6011</v>
      </c>
      <c r="D641" s="8" t="str">
        <f>VLOOKUP($B641,R_DG!$A$7:$G$1305,3,0)</f>
        <v>Lắp bộ chống lệch</v>
      </c>
      <c r="E641" s="9" t="str">
        <f>VLOOKUP($B641,R_DG!$A$7:$G$1305,4,0)</f>
        <v>bộ</v>
      </c>
      <c r="F641" s="11">
        <v>1</v>
      </c>
      <c r="G641" s="214">
        <f>VLOOKUP($B641,R_DG!$A$7:$G$1305,5,0)</f>
        <v>0</v>
      </c>
      <c r="H641" s="214">
        <f>VLOOKUP($B641,R_DG!$A$7:$G$1305,6,0)</f>
        <v>187723.35</v>
      </c>
      <c r="I641" s="214">
        <f>VLOOKUP($B641,R_DG!$A$7:$G$1305,7,0)</f>
        <v>0</v>
      </c>
      <c r="J641" s="214">
        <f t="shared" si="182"/>
        <v>0</v>
      </c>
      <c r="K641" s="214">
        <f t="shared" si="182"/>
        <v>187723.35</v>
      </c>
      <c r="L641" s="220">
        <f t="shared" si="182"/>
        <v>0</v>
      </c>
      <c r="M641" s="93">
        <f t="shared" si="185"/>
        <v>1</v>
      </c>
      <c r="N641" s="328">
        <f t="shared" ca="1" si="186"/>
        <v>0</v>
      </c>
    </row>
    <row r="642" spans="1:14" ht="20.100000000000001" customHeight="1">
      <c r="A642" s="89" t="s">
        <v>2583</v>
      </c>
      <c r="B642" s="24"/>
      <c r="C642" s="34"/>
      <c r="D642" s="25" t="s">
        <v>2582</v>
      </c>
      <c r="E642" s="25" t="s">
        <v>163</v>
      </c>
      <c r="F642" s="26"/>
      <c r="G642" s="213"/>
      <c r="H642" s="213"/>
      <c r="I642" s="213"/>
      <c r="J642" s="213">
        <f>SUM(J643:J649)</f>
        <v>2389800</v>
      </c>
      <c r="K642" s="213">
        <f>SUM(K643:K649)</f>
        <v>213246</v>
      </c>
      <c r="L642" s="219">
        <f>SUM(L643:L649)</f>
        <v>0</v>
      </c>
      <c r="M642" s="92">
        <f>IF(ERROR.TYPE(IF(HLOOKUP(A642,maBK,1,0)&lt;&gt;"",#NULL!,"ABC"))&lt;&gt;7,1,0)</f>
        <v>0</v>
      </c>
      <c r="N642" s="327">
        <f ca="1">SUMIF(maBK,$A642,tongBK1)</f>
        <v>0</v>
      </c>
    </row>
    <row r="643" spans="1:14" ht="20.100000000000001" customHeight="1">
      <c r="A643" s="87"/>
      <c r="B643" s="7" t="s">
        <v>142</v>
      </c>
      <c r="C643" s="32">
        <f>VLOOKUP($B643,R_DG!$A$7:$G$1305,2,0)</f>
        <v>0</v>
      </c>
      <c r="D643" s="8" t="str">
        <f>VLOOKUP($B643,R_DG!$A$7:$G$1305,3,0)</f>
        <v>Boulon mắt 16x250+ 2 long đền vuông D18-50x50x3/Zn</v>
      </c>
      <c r="E643" s="9" t="str">
        <f>VLOOKUP($B643,R_DG!$A$7:$G$1305,4,0)</f>
        <v>bộ</v>
      </c>
      <c r="F643" s="11">
        <v>2</v>
      </c>
      <c r="G643" s="214">
        <f>VLOOKUP($B643,R_DG!$A$7:$G$1305,5,0)</f>
        <v>27300</v>
      </c>
      <c r="H643" s="214">
        <f>VLOOKUP($B643,R_DG!$A$7:$G$1305,6,0)</f>
        <v>0</v>
      </c>
      <c r="I643" s="214">
        <f>VLOOKUP($B643,R_DG!$A$7:$G$1305,7,0)</f>
        <v>0</v>
      </c>
      <c r="J643" s="214">
        <f t="shared" si="182"/>
        <v>54600</v>
      </c>
      <c r="K643" s="214">
        <f t="shared" si="182"/>
        <v>0</v>
      </c>
      <c r="L643" s="220">
        <f t="shared" si="182"/>
        <v>0</v>
      </c>
      <c r="M643" s="93">
        <f t="shared" ref="M643:M649" si="187">IF(F643&gt;0,M$642,0)</f>
        <v>0</v>
      </c>
      <c r="N643" s="328">
        <f t="shared" ref="N643:N649" ca="1" si="188">$F643*N$642</f>
        <v>0</v>
      </c>
    </row>
    <row r="644" spans="1:14" ht="20.100000000000001" customHeight="1">
      <c r="A644" s="87"/>
      <c r="B644" s="7" t="s">
        <v>634</v>
      </c>
      <c r="C644" s="32">
        <f>VLOOKUP($B644,R_DG!$A$7:$G$1305,2,0)</f>
        <v>0</v>
      </c>
      <c r="D644" s="8" t="str">
        <f>VLOOKUP($B644,R_DG!$A$7:$G$1305,3,0)</f>
        <v>Sứ chằng nhỏ</v>
      </c>
      <c r="E644" s="9" t="str">
        <f>VLOOKUP($B644,R_DG!$A$7:$G$1305,4,0)</f>
        <v>cái</v>
      </c>
      <c r="F644" s="11">
        <v>2</v>
      </c>
      <c r="G644" s="214">
        <f>VLOOKUP($B644,R_DG!$A$7:$G$1305,5,0)</f>
        <v>47000</v>
      </c>
      <c r="H644" s="214">
        <f>VLOOKUP($B644,R_DG!$A$7:$G$1305,6,0)</f>
        <v>0</v>
      </c>
      <c r="I644" s="214">
        <f>VLOOKUP($B644,R_DG!$A$7:$G$1305,7,0)</f>
        <v>0</v>
      </c>
      <c r="J644" s="214">
        <f t="shared" si="182"/>
        <v>94000</v>
      </c>
      <c r="K644" s="214">
        <f t="shared" si="182"/>
        <v>0</v>
      </c>
      <c r="L644" s="220">
        <f t="shared" si="182"/>
        <v>0</v>
      </c>
      <c r="M644" s="93">
        <f t="shared" si="187"/>
        <v>0</v>
      </c>
      <c r="N644" s="328">
        <f t="shared" ca="1" si="188"/>
        <v>0</v>
      </c>
    </row>
    <row r="645" spans="1:14" ht="20.100000000000001" customHeight="1">
      <c r="A645" s="87"/>
      <c r="B645" s="7" t="s">
        <v>401</v>
      </c>
      <c r="C645" s="32">
        <f>VLOOKUP($B645,R_DG!$A$7:$G$1305,2,0)</f>
        <v>0</v>
      </c>
      <c r="D645" s="8" t="str">
        <f>VLOOKUP($B645,R_DG!$A$7:$G$1305,3,0)</f>
        <v>Kẹp cáp chằng 3 boulon (B46x130)</v>
      </c>
      <c r="E645" s="9" t="str">
        <f>VLOOKUP($B645,R_DG!$A$7:$G$1305,4,0)</f>
        <v>cái</v>
      </c>
      <c r="F645" s="11">
        <v>16</v>
      </c>
      <c r="G645" s="214">
        <f>VLOOKUP($B645,R_DG!$A$7:$G$1305,5,0)</f>
        <v>40000</v>
      </c>
      <c r="H645" s="214">
        <f>VLOOKUP($B645,R_DG!$A$7:$G$1305,6,0)</f>
        <v>0</v>
      </c>
      <c r="I645" s="214">
        <f>VLOOKUP($B645,R_DG!$A$7:$G$1305,7,0)</f>
        <v>0</v>
      </c>
      <c r="J645" s="214">
        <f t="shared" si="182"/>
        <v>640000</v>
      </c>
      <c r="K645" s="214">
        <f t="shared" si="182"/>
        <v>0</v>
      </c>
      <c r="L645" s="220">
        <f t="shared" si="182"/>
        <v>0</v>
      </c>
      <c r="M645" s="93">
        <f t="shared" si="187"/>
        <v>0</v>
      </c>
      <c r="N645" s="328">
        <f t="shared" ca="1" si="188"/>
        <v>0</v>
      </c>
    </row>
    <row r="646" spans="1:14" ht="20.100000000000001" customHeight="1">
      <c r="A646" s="87"/>
      <c r="B646" s="7" t="s">
        <v>381</v>
      </c>
      <c r="C646" s="32">
        <f>VLOOKUP($B646,R_DG!$A$7:$G$1305,2,0)</f>
        <v>0</v>
      </c>
      <c r="D646" s="8" t="str">
        <f>VLOOKUP($B646,R_DG!$A$7:$G$1305,3,0)</f>
        <v>Cáp thép 5/8" (15m/bộ)</v>
      </c>
      <c r="E646" s="9" t="str">
        <f>VLOOKUP($B646,R_DG!$A$7:$G$1305,4,0)</f>
        <v>kg</v>
      </c>
      <c r="F646" s="10">
        <v>35</v>
      </c>
      <c r="G646" s="214">
        <f>VLOOKUP($B646,R_DG!$A$7:$G$1305,5,0)</f>
        <v>42000</v>
      </c>
      <c r="H646" s="214">
        <f>VLOOKUP($B646,R_DG!$A$7:$G$1305,6,0)</f>
        <v>0</v>
      </c>
      <c r="I646" s="214">
        <f>VLOOKUP($B646,R_DG!$A$7:$G$1305,7,0)</f>
        <v>0</v>
      </c>
      <c r="J646" s="214">
        <f t="shared" si="182"/>
        <v>1470000</v>
      </c>
      <c r="K646" s="214">
        <f t="shared" si="182"/>
        <v>0</v>
      </c>
      <c r="L646" s="220">
        <f t="shared" si="182"/>
        <v>0</v>
      </c>
      <c r="M646" s="93">
        <f t="shared" si="187"/>
        <v>0</v>
      </c>
      <c r="N646" s="328">
        <f t="shared" ca="1" si="188"/>
        <v>0</v>
      </c>
    </row>
    <row r="647" spans="1:14" ht="20.100000000000001" customHeight="1">
      <c r="A647" s="87"/>
      <c r="B647" s="7" t="s">
        <v>796</v>
      </c>
      <c r="C647" s="32">
        <f>VLOOKUP($B647,R_DG!$A$7:$G$1305,2,0)</f>
        <v>0</v>
      </c>
      <c r="D647" s="8" t="str">
        <f>VLOOKUP($B647,R_DG!$A$7:$G$1305,3,0)</f>
        <v>Yếm cáp dày 2mm</v>
      </c>
      <c r="E647" s="9" t="str">
        <f>VLOOKUP($B647,R_DG!$A$7:$G$1305,4,0)</f>
        <v>cái</v>
      </c>
      <c r="F647" s="11">
        <v>4</v>
      </c>
      <c r="G647" s="214">
        <f>VLOOKUP($B647,R_DG!$A$7:$G$1305,5,0)</f>
        <v>5300</v>
      </c>
      <c r="H647" s="214">
        <f>VLOOKUP($B647,R_DG!$A$7:$G$1305,6,0)</f>
        <v>0</v>
      </c>
      <c r="I647" s="214">
        <f>VLOOKUP($B647,R_DG!$A$7:$G$1305,7,0)</f>
        <v>0</v>
      </c>
      <c r="J647" s="214">
        <f t="shared" si="182"/>
        <v>21200</v>
      </c>
      <c r="K647" s="214">
        <f t="shared" si="182"/>
        <v>0</v>
      </c>
      <c r="L647" s="220">
        <f t="shared" si="182"/>
        <v>0</v>
      </c>
      <c r="M647" s="93">
        <f t="shared" si="187"/>
        <v>0</v>
      </c>
      <c r="N647" s="328">
        <f t="shared" ca="1" si="188"/>
        <v>0</v>
      </c>
    </row>
    <row r="648" spans="1:14" ht="20.100000000000001" customHeight="1">
      <c r="A648" s="87"/>
      <c r="B648" s="7" t="s">
        <v>577</v>
      </c>
      <c r="C648" s="32">
        <f>VLOOKUP($B648,R_DG!$A$7:$G$1305,2,0)</f>
        <v>0</v>
      </c>
      <c r="D648" s="8" t="str">
        <f>VLOOKUP($B648,R_DG!$A$7:$G$1305,3,0)</f>
        <v>Máng che dây chằng dày 1,6x40x2000mm</v>
      </c>
      <c r="E648" s="9" t="str">
        <f>VLOOKUP($B648,R_DG!$A$7:$G$1305,4,0)</f>
        <v>cái</v>
      </c>
      <c r="F648" s="11">
        <v>2</v>
      </c>
      <c r="G648" s="214">
        <f>VLOOKUP($B648,R_DG!$A$7:$G$1305,5,0)</f>
        <v>55000</v>
      </c>
      <c r="H648" s="214">
        <f>VLOOKUP($B648,R_DG!$A$7:$G$1305,6,0)</f>
        <v>0</v>
      </c>
      <c r="I648" s="214">
        <f>VLOOKUP($B648,R_DG!$A$7:$G$1305,7,0)</f>
        <v>0</v>
      </c>
      <c r="J648" s="214">
        <f t="shared" si="182"/>
        <v>110000</v>
      </c>
      <c r="K648" s="214">
        <f t="shared" si="182"/>
        <v>0</v>
      </c>
      <c r="L648" s="220">
        <f t="shared" si="182"/>
        <v>0</v>
      </c>
      <c r="M648" s="93">
        <f t="shared" si="187"/>
        <v>0</v>
      </c>
      <c r="N648" s="328">
        <f t="shared" ca="1" si="188"/>
        <v>0</v>
      </c>
    </row>
    <row r="649" spans="1:14" ht="20.100000000000001" customHeight="1">
      <c r="A649" s="87"/>
      <c r="B649" s="7" t="s">
        <v>1226</v>
      </c>
      <c r="C649" s="32" t="str">
        <f>VLOOKUP($B649,R_DG!$A$7:$G$1305,2,0)</f>
        <v>D3.3251</v>
      </c>
      <c r="D649" s="8" t="str">
        <f>VLOOKUP($B649,R_DG!$A$7:$G$1305,3,0)</f>
        <v>Lắp bộ dây néo</v>
      </c>
      <c r="E649" s="9" t="str">
        <f>VLOOKUP($B649,R_DG!$A$7:$G$1305,4,0)</f>
        <v>bộ</v>
      </c>
      <c r="F649" s="11">
        <v>2</v>
      </c>
      <c r="G649" s="214">
        <f>VLOOKUP($B649,R_DG!$A$7:$G$1305,5,0)</f>
        <v>0</v>
      </c>
      <c r="H649" s="214">
        <f>VLOOKUP($B649,R_DG!$A$7:$G$1305,6,0)</f>
        <v>106623</v>
      </c>
      <c r="I649" s="214">
        <f>VLOOKUP($B649,R_DG!$A$7:$G$1305,7,0)</f>
        <v>0</v>
      </c>
      <c r="J649" s="214">
        <f t="shared" si="182"/>
        <v>0</v>
      </c>
      <c r="K649" s="214">
        <f t="shared" si="182"/>
        <v>213246</v>
      </c>
      <c r="L649" s="220">
        <f t="shared" si="182"/>
        <v>0</v>
      </c>
      <c r="M649" s="93">
        <f t="shared" si="187"/>
        <v>0</v>
      </c>
      <c r="N649" s="328">
        <f t="shared" ca="1" si="188"/>
        <v>0</v>
      </c>
    </row>
    <row r="650" spans="1:14" ht="20.100000000000001" customHeight="1">
      <c r="A650" s="89" t="s">
        <v>2585</v>
      </c>
      <c r="B650" s="24"/>
      <c r="C650" s="34"/>
      <c r="D650" s="25" t="s">
        <v>2584</v>
      </c>
      <c r="E650" s="25" t="s">
        <v>163</v>
      </c>
      <c r="F650" s="26"/>
      <c r="G650" s="213"/>
      <c r="H650" s="213"/>
      <c r="I650" s="213"/>
      <c r="J650" s="213">
        <f>SUM(J651:J657)</f>
        <v>1299900</v>
      </c>
      <c r="K650" s="213">
        <f>SUM(K651:K657)</f>
        <v>106623</v>
      </c>
      <c r="L650" s="219">
        <f>SUM(L651:L657)</f>
        <v>0</v>
      </c>
      <c r="M650" s="92">
        <f>IF(ERROR.TYPE(IF(HLOOKUP(A650,maBK,1,0)&lt;&gt;"",#NULL!,"ABC"))&lt;&gt;7,1,0)</f>
        <v>0</v>
      </c>
      <c r="N650" s="327">
        <f ca="1">SUMIF(maBK,$A650,tongBK1)</f>
        <v>0</v>
      </c>
    </row>
    <row r="651" spans="1:14" ht="20.100000000000001" customHeight="1">
      <c r="A651" s="87"/>
      <c r="B651" s="7" t="s">
        <v>142</v>
      </c>
      <c r="C651" s="32">
        <f>VLOOKUP($B651,R_DG!$A$7:$G$1305,2,0)</f>
        <v>0</v>
      </c>
      <c r="D651" s="8" t="str">
        <f>VLOOKUP($B651,R_DG!$A$7:$G$1305,3,0)</f>
        <v>Boulon mắt 16x250+ 2 long đền vuông D18-50x50x3/Zn</v>
      </c>
      <c r="E651" s="9" t="str">
        <f>VLOOKUP($B651,R_DG!$A$7:$G$1305,4,0)</f>
        <v>bộ</v>
      </c>
      <c r="F651" s="11">
        <v>1</v>
      </c>
      <c r="G651" s="214">
        <f>VLOOKUP($B651,R_DG!$A$7:$G$1305,5,0)</f>
        <v>27300</v>
      </c>
      <c r="H651" s="214">
        <f>VLOOKUP($B651,R_DG!$A$7:$G$1305,6,0)</f>
        <v>0</v>
      </c>
      <c r="I651" s="214">
        <f>VLOOKUP($B651,R_DG!$A$7:$G$1305,7,0)</f>
        <v>0</v>
      </c>
      <c r="J651" s="214">
        <f t="shared" si="182"/>
        <v>27300</v>
      </c>
      <c r="K651" s="214">
        <f t="shared" si="182"/>
        <v>0</v>
      </c>
      <c r="L651" s="220">
        <f t="shared" si="182"/>
        <v>0</v>
      </c>
      <c r="M651" s="93">
        <f t="shared" ref="M651:M657" si="189">IF(F651&gt;0,M$650,0)</f>
        <v>0</v>
      </c>
      <c r="N651" s="328">
        <f t="shared" ref="N651:N657" ca="1" si="190">$F651*N$650</f>
        <v>0</v>
      </c>
    </row>
    <row r="652" spans="1:14" ht="20.100000000000001" customHeight="1">
      <c r="A652" s="87"/>
      <c r="B652" s="7" t="s">
        <v>634</v>
      </c>
      <c r="C652" s="32">
        <f>VLOOKUP($B652,R_DG!$A$7:$G$1305,2,0)</f>
        <v>0</v>
      </c>
      <c r="D652" s="8" t="str">
        <f>VLOOKUP($B652,R_DG!$A$7:$G$1305,3,0)</f>
        <v>Sứ chằng nhỏ</v>
      </c>
      <c r="E652" s="9" t="str">
        <f>VLOOKUP($B652,R_DG!$A$7:$G$1305,4,0)</f>
        <v>cái</v>
      </c>
      <c r="F652" s="11">
        <v>1</v>
      </c>
      <c r="G652" s="214">
        <f>VLOOKUP($B652,R_DG!$A$7:$G$1305,5,0)</f>
        <v>47000</v>
      </c>
      <c r="H652" s="214">
        <f>VLOOKUP($B652,R_DG!$A$7:$G$1305,6,0)</f>
        <v>0</v>
      </c>
      <c r="I652" s="214">
        <f>VLOOKUP($B652,R_DG!$A$7:$G$1305,7,0)</f>
        <v>0</v>
      </c>
      <c r="J652" s="214">
        <f t="shared" si="182"/>
        <v>47000</v>
      </c>
      <c r="K652" s="214">
        <f t="shared" si="182"/>
        <v>0</v>
      </c>
      <c r="L652" s="220">
        <f t="shared" si="182"/>
        <v>0</v>
      </c>
      <c r="M652" s="93">
        <f t="shared" si="189"/>
        <v>0</v>
      </c>
      <c r="N652" s="328">
        <f t="shared" ca="1" si="190"/>
        <v>0</v>
      </c>
    </row>
    <row r="653" spans="1:14" ht="20.100000000000001" customHeight="1">
      <c r="A653" s="87"/>
      <c r="B653" s="7" t="s">
        <v>401</v>
      </c>
      <c r="C653" s="32">
        <f>VLOOKUP($B653,R_DG!$A$7:$G$1305,2,0)</f>
        <v>0</v>
      </c>
      <c r="D653" s="8" t="str">
        <f>VLOOKUP($B653,R_DG!$A$7:$G$1305,3,0)</f>
        <v>Kẹp cáp chằng 3 boulon (B46x130)</v>
      </c>
      <c r="E653" s="9" t="str">
        <f>VLOOKUP($B653,R_DG!$A$7:$G$1305,4,0)</f>
        <v>cái</v>
      </c>
      <c r="F653" s="11">
        <v>8</v>
      </c>
      <c r="G653" s="214">
        <f>VLOOKUP($B653,R_DG!$A$7:$G$1305,5,0)</f>
        <v>40000</v>
      </c>
      <c r="H653" s="214">
        <f>VLOOKUP($B653,R_DG!$A$7:$G$1305,6,0)</f>
        <v>0</v>
      </c>
      <c r="I653" s="214">
        <f>VLOOKUP($B653,R_DG!$A$7:$G$1305,7,0)</f>
        <v>0</v>
      </c>
      <c r="J653" s="214">
        <f t="shared" si="182"/>
        <v>320000</v>
      </c>
      <c r="K653" s="214">
        <f t="shared" si="182"/>
        <v>0</v>
      </c>
      <c r="L653" s="220">
        <f t="shared" si="182"/>
        <v>0</v>
      </c>
      <c r="M653" s="93">
        <f t="shared" si="189"/>
        <v>0</v>
      </c>
      <c r="N653" s="328">
        <f t="shared" ca="1" si="190"/>
        <v>0</v>
      </c>
    </row>
    <row r="654" spans="1:14" ht="20.100000000000001" customHeight="1">
      <c r="A654" s="87"/>
      <c r="B654" s="7" t="s">
        <v>379</v>
      </c>
      <c r="C654" s="32">
        <f>VLOOKUP($B654,R_DG!$A$7:$G$1305,2,0)</f>
        <v>0</v>
      </c>
      <c r="D654" s="8" t="str">
        <f>VLOOKUP($B654,R_DG!$A$7:$G$1305,3,0)</f>
        <v>Cáp thép 3/8"</v>
      </c>
      <c r="E654" s="9" t="str">
        <f>VLOOKUP($B654,R_DG!$A$7:$G$1305,4,0)</f>
        <v>kg</v>
      </c>
      <c r="F654" s="10">
        <v>20</v>
      </c>
      <c r="G654" s="214">
        <f>VLOOKUP($B654,R_DG!$A$7:$G$1305,5,0)</f>
        <v>42000</v>
      </c>
      <c r="H654" s="214">
        <f>VLOOKUP($B654,R_DG!$A$7:$G$1305,6,0)</f>
        <v>0</v>
      </c>
      <c r="I654" s="214">
        <f>VLOOKUP($B654,R_DG!$A$7:$G$1305,7,0)</f>
        <v>0</v>
      </c>
      <c r="J654" s="214">
        <f t="shared" si="182"/>
        <v>840000</v>
      </c>
      <c r="K654" s="214">
        <f t="shared" si="182"/>
        <v>0</v>
      </c>
      <c r="L654" s="220">
        <f t="shared" si="182"/>
        <v>0</v>
      </c>
      <c r="M654" s="93">
        <f t="shared" si="189"/>
        <v>0</v>
      </c>
      <c r="N654" s="328">
        <f t="shared" ca="1" si="190"/>
        <v>0</v>
      </c>
    </row>
    <row r="655" spans="1:14" ht="20.100000000000001" customHeight="1">
      <c r="A655" s="87"/>
      <c r="B655" s="7" t="s">
        <v>796</v>
      </c>
      <c r="C655" s="32">
        <f>VLOOKUP($B655,R_DG!$A$7:$G$1305,2,0)</f>
        <v>0</v>
      </c>
      <c r="D655" s="8" t="str">
        <f>VLOOKUP($B655,R_DG!$A$7:$G$1305,3,0)</f>
        <v>Yếm cáp dày 2mm</v>
      </c>
      <c r="E655" s="9" t="str">
        <f>VLOOKUP($B655,R_DG!$A$7:$G$1305,4,0)</f>
        <v>cái</v>
      </c>
      <c r="F655" s="11">
        <v>2</v>
      </c>
      <c r="G655" s="214">
        <f>VLOOKUP($B655,R_DG!$A$7:$G$1305,5,0)</f>
        <v>5300</v>
      </c>
      <c r="H655" s="214">
        <f>VLOOKUP($B655,R_DG!$A$7:$G$1305,6,0)</f>
        <v>0</v>
      </c>
      <c r="I655" s="214">
        <f>VLOOKUP($B655,R_DG!$A$7:$G$1305,7,0)</f>
        <v>0</v>
      </c>
      <c r="J655" s="214">
        <f t="shared" si="182"/>
        <v>10600</v>
      </c>
      <c r="K655" s="214">
        <f t="shared" si="182"/>
        <v>0</v>
      </c>
      <c r="L655" s="220">
        <f t="shared" si="182"/>
        <v>0</v>
      </c>
      <c r="M655" s="93">
        <f t="shared" si="189"/>
        <v>0</v>
      </c>
      <c r="N655" s="328">
        <f t="shared" ca="1" si="190"/>
        <v>0</v>
      </c>
    </row>
    <row r="656" spans="1:14" ht="20.100000000000001" customHeight="1">
      <c r="A656" s="87"/>
      <c r="B656" s="7" t="s">
        <v>577</v>
      </c>
      <c r="C656" s="32">
        <f>VLOOKUP($B656,R_DG!$A$7:$G$1305,2,0)</f>
        <v>0</v>
      </c>
      <c r="D656" s="8" t="str">
        <f>VLOOKUP($B656,R_DG!$A$7:$G$1305,3,0)</f>
        <v>Máng che dây chằng dày 1,6x40x2000mm</v>
      </c>
      <c r="E656" s="9" t="str">
        <f>VLOOKUP($B656,R_DG!$A$7:$G$1305,4,0)</f>
        <v>cái</v>
      </c>
      <c r="F656" s="11">
        <v>1</v>
      </c>
      <c r="G656" s="214">
        <f>VLOOKUP($B656,R_DG!$A$7:$G$1305,5,0)</f>
        <v>55000</v>
      </c>
      <c r="H656" s="214">
        <f>VLOOKUP($B656,R_DG!$A$7:$G$1305,6,0)</f>
        <v>0</v>
      </c>
      <c r="I656" s="214">
        <f>VLOOKUP($B656,R_DG!$A$7:$G$1305,7,0)</f>
        <v>0</v>
      </c>
      <c r="J656" s="214">
        <f t="shared" si="182"/>
        <v>55000</v>
      </c>
      <c r="K656" s="214">
        <f t="shared" si="182"/>
        <v>0</v>
      </c>
      <c r="L656" s="220">
        <f t="shared" si="182"/>
        <v>0</v>
      </c>
      <c r="M656" s="93">
        <f t="shared" si="189"/>
        <v>0</v>
      </c>
      <c r="N656" s="328">
        <f t="shared" ca="1" si="190"/>
        <v>0</v>
      </c>
    </row>
    <row r="657" spans="1:14" ht="20.100000000000001" customHeight="1">
      <c r="A657" s="87"/>
      <c r="B657" s="7" t="s">
        <v>1226</v>
      </c>
      <c r="C657" s="32" t="str">
        <f>VLOOKUP($B657,R_DG!$A$7:$G$1305,2,0)</f>
        <v>D3.3251</v>
      </c>
      <c r="D657" s="8" t="str">
        <f>VLOOKUP($B657,R_DG!$A$7:$G$1305,3,0)</f>
        <v>Lắp bộ dây néo</v>
      </c>
      <c r="E657" s="9" t="str">
        <f>VLOOKUP($B657,R_DG!$A$7:$G$1305,4,0)</f>
        <v>bộ</v>
      </c>
      <c r="F657" s="11">
        <f>F651</f>
        <v>1</v>
      </c>
      <c r="G657" s="214">
        <f>VLOOKUP($B657,R_DG!$A$7:$G$1305,5,0)</f>
        <v>0</v>
      </c>
      <c r="H657" s="214">
        <f>VLOOKUP($B657,R_DG!$A$7:$G$1305,6,0)</f>
        <v>106623</v>
      </c>
      <c r="I657" s="214">
        <f>VLOOKUP($B657,R_DG!$A$7:$G$1305,7,0)</f>
        <v>0</v>
      </c>
      <c r="J657" s="214">
        <f t="shared" si="182"/>
        <v>0</v>
      </c>
      <c r="K657" s="214">
        <f t="shared" si="182"/>
        <v>106623</v>
      </c>
      <c r="L657" s="220">
        <f t="shared" si="182"/>
        <v>0</v>
      </c>
      <c r="M657" s="93">
        <f t="shared" si="189"/>
        <v>0</v>
      </c>
      <c r="N657" s="328">
        <f t="shared" ca="1" si="190"/>
        <v>0</v>
      </c>
    </row>
    <row r="658" spans="1:14" ht="20.100000000000001" customHeight="1">
      <c r="A658" s="89" t="s">
        <v>2587</v>
      </c>
      <c r="B658" s="24"/>
      <c r="C658" s="34"/>
      <c r="D658" s="25" t="s">
        <v>2586</v>
      </c>
      <c r="E658" s="25" t="s">
        <v>163</v>
      </c>
      <c r="F658" s="26"/>
      <c r="G658" s="213"/>
      <c r="H658" s="213"/>
      <c r="I658" s="213"/>
      <c r="J658" s="213">
        <f>SUM(J659:J667)</f>
        <v>1380900</v>
      </c>
      <c r="K658" s="213">
        <f>SUM(K659:K667)</f>
        <v>294346.34999999998</v>
      </c>
      <c r="L658" s="219">
        <f>SUM(L659:L667)</f>
        <v>0</v>
      </c>
      <c r="M658" s="92">
        <f>IF(ERROR.TYPE(IF(HLOOKUP(A658,maBK,1,0)&lt;&gt;"",#NULL!,"ABC"))&lt;&gt;7,1,0)</f>
        <v>0</v>
      </c>
      <c r="N658" s="327">
        <f ca="1">SUMIF(maBK,$A658,tongBK1)</f>
        <v>0</v>
      </c>
    </row>
    <row r="659" spans="1:14" ht="20.100000000000001" customHeight="1">
      <c r="A659" s="87"/>
      <c r="B659" s="7" t="s">
        <v>142</v>
      </c>
      <c r="C659" s="32">
        <f>VLOOKUP($B659,R_DG!$A$7:$G$1305,2,0)</f>
        <v>0</v>
      </c>
      <c r="D659" s="8" t="str">
        <f>VLOOKUP($B659,R_DG!$A$7:$G$1305,3,0)</f>
        <v>Boulon mắt 16x250+ 2 long đền vuông D18-50x50x3/Zn</v>
      </c>
      <c r="E659" s="9" t="str">
        <f>VLOOKUP($B659,R_DG!$A$7:$G$1305,4,0)</f>
        <v>bộ</v>
      </c>
      <c r="F659" s="11">
        <v>1</v>
      </c>
      <c r="G659" s="214">
        <f>VLOOKUP($B659,R_DG!$A$7:$G$1305,5,0)</f>
        <v>27300</v>
      </c>
      <c r="H659" s="214">
        <f>VLOOKUP($B659,R_DG!$A$7:$G$1305,6,0)</f>
        <v>0</v>
      </c>
      <c r="I659" s="214">
        <f>VLOOKUP($B659,R_DG!$A$7:$G$1305,7,0)</f>
        <v>0</v>
      </c>
      <c r="J659" s="214">
        <f t="shared" si="182"/>
        <v>27300</v>
      </c>
      <c r="K659" s="214">
        <f t="shared" si="182"/>
        <v>0</v>
      </c>
      <c r="L659" s="220">
        <f t="shared" si="182"/>
        <v>0</v>
      </c>
      <c r="M659" s="93">
        <f t="shared" ref="M659:M667" si="191">IF(F659&gt;0,M$658,0)</f>
        <v>0</v>
      </c>
      <c r="N659" s="328">
        <f t="shared" ref="N659:N667" ca="1" si="192">$F659*N$658</f>
        <v>0</v>
      </c>
    </row>
    <row r="660" spans="1:14" ht="20.100000000000001" customHeight="1">
      <c r="A660" s="87"/>
      <c r="B660" s="7" t="s">
        <v>634</v>
      </c>
      <c r="C660" s="32">
        <f>VLOOKUP($B660,R_DG!$A$7:$G$1305,2,0)</f>
        <v>0</v>
      </c>
      <c r="D660" s="8" t="str">
        <f>VLOOKUP($B660,R_DG!$A$7:$G$1305,3,0)</f>
        <v>Sứ chằng nhỏ</v>
      </c>
      <c r="E660" s="9" t="str">
        <f>VLOOKUP($B660,R_DG!$A$7:$G$1305,4,0)</f>
        <v>cái</v>
      </c>
      <c r="F660" s="11">
        <v>1</v>
      </c>
      <c r="G660" s="214">
        <f>VLOOKUP($B660,R_DG!$A$7:$G$1305,5,0)</f>
        <v>47000</v>
      </c>
      <c r="H660" s="214">
        <f>VLOOKUP($B660,R_DG!$A$7:$G$1305,6,0)</f>
        <v>0</v>
      </c>
      <c r="I660" s="214">
        <f>VLOOKUP($B660,R_DG!$A$7:$G$1305,7,0)</f>
        <v>0</v>
      </c>
      <c r="J660" s="214">
        <f t="shared" si="182"/>
        <v>47000</v>
      </c>
      <c r="K660" s="214">
        <f t="shared" si="182"/>
        <v>0</v>
      </c>
      <c r="L660" s="220">
        <f t="shared" si="182"/>
        <v>0</v>
      </c>
      <c r="M660" s="93">
        <f t="shared" si="191"/>
        <v>0</v>
      </c>
      <c r="N660" s="328">
        <f t="shared" ca="1" si="192"/>
        <v>0</v>
      </c>
    </row>
    <row r="661" spans="1:14" ht="20.100000000000001" customHeight="1">
      <c r="A661" s="87"/>
      <c r="B661" s="7" t="s">
        <v>401</v>
      </c>
      <c r="C661" s="32">
        <f>VLOOKUP($B661,R_DG!$A$7:$G$1305,2,0)</f>
        <v>0</v>
      </c>
      <c r="D661" s="8" t="str">
        <f>VLOOKUP($B661,R_DG!$A$7:$G$1305,3,0)</f>
        <v>Kẹp cáp chằng 3 boulon (B46x130)</v>
      </c>
      <c r="E661" s="9" t="str">
        <f>VLOOKUP($B661,R_DG!$A$7:$G$1305,4,0)</f>
        <v>cái</v>
      </c>
      <c r="F661" s="11">
        <v>8</v>
      </c>
      <c r="G661" s="214">
        <f>VLOOKUP($B661,R_DG!$A$7:$G$1305,5,0)</f>
        <v>40000</v>
      </c>
      <c r="H661" s="214">
        <f>VLOOKUP($B661,R_DG!$A$7:$G$1305,6,0)</f>
        <v>0</v>
      </c>
      <c r="I661" s="214">
        <f>VLOOKUP($B661,R_DG!$A$7:$G$1305,7,0)</f>
        <v>0</v>
      </c>
      <c r="J661" s="214">
        <f t="shared" si="182"/>
        <v>320000</v>
      </c>
      <c r="K661" s="214">
        <f t="shared" si="182"/>
        <v>0</v>
      </c>
      <c r="L661" s="220">
        <f t="shared" si="182"/>
        <v>0</v>
      </c>
      <c r="M661" s="93">
        <f t="shared" si="191"/>
        <v>0</v>
      </c>
      <c r="N661" s="328">
        <f t="shared" ca="1" si="192"/>
        <v>0</v>
      </c>
    </row>
    <row r="662" spans="1:14" ht="20.100000000000001" customHeight="1">
      <c r="A662" s="87"/>
      <c r="B662" s="7" t="s">
        <v>379</v>
      </c>
      <c r="C662" s="32">
        <f>VLOOKUP($B662,R_DG!$A$7:$G$1305,2,0)</f>
        <v>0</v>
      </c>
      <c r="D662" s="8" t="str">
        <f>VLOOKUP($B662,R_DG!$A$7:$G$1305,3,0)</f>
        <v>Cáp thép 3/8"</v>
      </c>
      <c r="E662" s="9" t="str">
        <f>VLOOKUP($B662,R_DG!$A$7:$G$1305,4,0)</f>
        <v>kg</v>
      </c>
      <c r="F662" s="10">
        <v>15</v>
      </c>
      <c r="G662" s="214">
        <f>VLOOKUP($B662,R_DG!$A$7:$G$1305,5,0)</f>
        <v>42000</v>
      </c>
      <c r="H662" s="214">
        <f>VLOOKUP($B662,R_DG!$A$7:$G$1305,6,0)</f>
        <v>0</v>
      </c>
      <c r="I662" s="214">
        <f>VLOOKUP($B662,R_DG!$A$7:$G$1305,7,0)</f>
        <v>0</v>
      </c>
      <c r="J662" s="214">
        <f t="shared" si="182"/>
        <v>630000</v>
      </c>
      <c r="K662" s="214">
        <f t="shared" si="182"/>
        <v>0</v>
      </c>
      <c r="L662" s="220">
        <f t="shared" si="182"/>
        <v>0</v>
      </c>
      <c r="M662" s="93">
        <f t="shared" si="191"/>
        <v>0</v>
      </c>
      <c r="N662" s="328">
        <f t="shared" ca="1" si="192"/>
        <v>0</v>
      </c>
    </row>
    <row r="663" spans="1:14" ht="20.100000000000001" customHeight="1">
      <c r="A663" s="87"/>
      <c r="B663" s="7" t="s">
        <v>682</v>
      </c>
      <c r="C663" s="32">
        <f>VLOOKUP($B663,R_DG!$A$7:$G$1305,2,0)</f>
        <v>0</v>
      </c>
      <c r="D663" s="8" t="str">
        <f>VLOOKUP($B663,R_DG!$A$7:$G$1305,3,0)</f>
        <v>Bộ chống chằng hẹp φ60/56x1500+2BL12x40+BL16x250/80</v>
      </c>
      <c r="E663" s="9" t="str">
        <f>VLOOKUP($B663,R_DG!$A$7:$G$1305,4,0)</f>
        <v>bộ</v>
      </c>
      <c r="F663" s="11">
        <v>1</v>
      </c>
      <c r="G663" s="214">
        <f>VLOOKUP($B663,R_DG!$A$7:$G$1305,5,0)</f>
        <v>291000</v>
      </c>
      <c r="H663" s="214">
        <f>VLOOKUP($B663,R_DG!$A$7:$G$1305,6,0)</f>
        <v>0</v>
      </c>
      <c r="I663" s="214">
        <f>VLOOKUP($B663,R_DG!$A$7:$G$1305,7,0)</f>
        <v>0</v>
      </c>
      <c r="J663" s="214">
        <f t="shared" si="182"/>
        <v>291000</v>
      </c>
      <c r="K663" s="214">
        <f t="shared" si="182"/>
        <v>0</v>
      </c>
      <c r="L663" s="220">
        <f t="shared" si="182"/>
        <v>0</v>
      </c>
      <c r="M663" s="93">
        <f t="shared" si="191"/>
        <v>0</v>
      </c>
      <c r="N663" s="328">
        <f t="shared" ca="1" si="192"/>
        <v>0</v>
      </c>
    </row>
    <row r="664" spans="1:14" ht="20.100000000000001" customHeight="1">
      <c r="A664" s="87"/>
      <c r="B664" s="7" t="s">
        <v>796</v>
      </c>
      <c r="C664" s="32">
        <f>VLOOKUP($B664,R_DG!$A$7:$G$1305,2,0)</f>
        <v>0</v>
      </c>
      <c r="D664" s="8" t="str">
        <f>VLOOKUP($B664,R_DG!$A$7:$G$1305,3,0)</f>
        <v>Yếm cáp dày 2mm</v>
      </c>
      <c r="E664" s="9" t="str">
        <f>VLOOKUP($B664,R_DG!$A$7:$G$1305,4,0)</f>
        <v>cái</v>
      </c>
      <c r="F664" s="11">
        <v>2</v>
      </c>
      <c r="G664" s="214">
        <f>VLOOKUP($B664,R_DG!$A$7:$G$1305,5,0)</f>
        <v>5300</v>
      </c>
      <c r="H664" s="214">
        <f>VLOOKUP($B664,R_DG!$A$7:$G$1305,6,0)</f>
        <v>0</v>
      </c>
      <c r="I664" s="214">
        <f>VLOOKUP($B664,R_DG!$A$7:$G$1305,7,0)</f>
        <v>0</v>
      </c>
      <c r="J664" s="214">
        <f t="shared" si="182"/>
        <v>10600</v>
      </c>
      <c r="K664" s="214">
        <f t="shared" si="182"/>
        <v>0</v>
      </c>
      <c r="L664" s="220">
        <f t="shared" si="182"/>
        <v>0</v>
      </c>
      <c r="M664" s="93">
        <f t="shared" si="191"/>
        <v>0</v>
      </c>
      <c r="N664" s="328">
        <f t="shared" ca="1" si="192"/>
        <v>0</v>
      </c>
    </row>
    <row r="665" spans="1:14" ht="20.100000000000001" customHeight="1">
      <c r="A665" s="87"/>
      <c r="B665" s="7" t="s">
        <v>577</v>
      </c>
      <c r="C665" s="32">
        <f>VLOOKUP($B665,R_DG!$A$7:$G$1305,2,0)</f>
        <v>0</v>
      </c>
      <c r="D665" s="8" t="str">
        <f>VLOOKUP($B665,R_DG!$A$7:$G$1305,3,0)</f>
        <v>Máng che dây chằng dày 1,6x40x2000mm</v>
      </c>
      <c r="E665" s="9" t="str">
        <f>VLOOKUP($B665,R_DG!$A$7:$G$1305,4,0)</f>
        <v>cái</v>
      </c>
      <c r="F665" s="11">
        <v>1</v>
      </c>
      <c r="G665" s="214">
        <f>VLOOKUP($B665,R_DG!$A$7:$G$1305,5,0)</f>
        <v>55000</v>
      </c>
      <c r="H665" s="214">
        <f>VLOOKUP($B665,R_DG!$A$7:$G$1305,6,0)</f>
        <v>0</v>
      </c>
      <c r="I665" s="214">
        <f>VLOOKUP($B665,R_DG!$A$7:$G$1305,7,0)</f>
        <v>0</v>
      </c>
      <c r="J665" s="214">
        <f t="shared" si="182"/>
        <v>55000</v>
      </c>
      <c r="K665" s="214">
        <f t="shared" si="182"/>
        <v>0</v>
      </c>
      <c r="L665" s="220">
        <f t="shared" si="182"/>
        <v>0</v>
      </c>
      <c r="M665" s="93">
        <f t="shared" si="191"/>
        <v>0</v>
      </c>
      <c r="N665" s="328">
        <f t="shared" ca="1" si="192"/>
        <v>0</v>
      </c>
    </row>
    <row r="666" spans="1:14" ht="20.100000000000001" customHeight="1">
      <c r="A666" s="87"/>
      <c r="B666" s="7" t="s">
        <v>1226</v>
      </c>
      <c r="C666" s="32" t="str">
        <f>VLOOKUP($B666,R_DG!$A$7:$G$1305,2,0)</f>
        <v>D3.3251</v>
      </c>
      <c r="D666" s="8" t="str">
        <f>VLOOKUP($B666,R_DG!$A$7:$G$1305,3,0)</f>
        <v>Lắp bộ dây néo</v>
      </c>
      <c r="E666" s="9" t="str">
        <f>VLOOKUP($B666,R_DG!$A$7:$G$1305,4,0)</f>
        <v>bộ</v>
      </c>
      <c r="F666" s="11">
        <v>1</v>
      </c>
      <c r="G666" s="214">
        <f>VLOOKUP($B666,R_DG!$A$7:$G$1305,5,0)</f>
        <v>0</v>
      </c>
      <c r="H666" s="214">
        <f>VLOOKUP($B666,R_DG!$A$7:$G$1305,6,0)</f>
        <v>106623</v>
      </c>
      <c r="I666" s="214">
        <f>VLOOKUP($B666,R_DG!$A$7:$G$1305,7,0)</f>
        <v>0</v>
      </c>
      <c r="J666" s="214">
        <f t="shared" si="182"/>
        <v>0</v>
      </c>
      <c r="K666" s="214">
        <f t="shared" si="182"/>
        <v>106623</v>
      </c>
      <c r="L666" s="220">
        <f t="shared" si="182"/>
        <v>0</v>
      </c>
      <c r="M666" s="93">
        <f t="shared" si="191"/>
        <v>0</v>
      </c>
      <c r="N666" s="328">
        <f t="shared" ca="1" si="192"/>
        <v>0</v>
      </c>
    </row>
    <row r="667" spans="1:14" ht="20.100000000000001" customHeight="1">
      <c r="A667" s="87"/>
      <c r="B667" s="7" t="s">
        <v>1224</v>
      </c>
      <c r="C667" s="32" t="str">
        <f>VLOOKUP($B667,R_DG!$A$7:$G$1305,2,0)</f>
        <v>D2.6011</v>
      </c>
      <c r="D667" s="8" t="str">
        <f>VLOOKUP($B667,R_DG!$A$7:$G$1305,3,0)</f>
        <v>Lắp bộ chống lệch</v>
      </c>
      <c r="E667" s="9" t="str">
        <f>VLOOKUP($B667,R_DG!$A$7:$G$1305,4,0)</f>
        <v>bộ</v>
      </c>
      <c r="F667" s="11">
        <v>1</v>
      </c>
      <c r="G667" s="214">
        <f>VLOOKUP($B667,R_DG!$A$7:$G$1305,5,0)</f>
        <v>0</v>
      </c>
      <c r="H667" s="214">
        <f>VLOOKUP($B667,R_DG!$A$7:$G$1305,6,0)</f>
        <v>187723.35</v>
      </c>
      <c r="I667" s="214">
        <f>VLOOKUP($B667,R_DG!$A$7:$G$1305,7,0)</f>
        <v>0</v>
      </c>
      <c r="J667" s="214">
        <f t="shared" si="182"/>
        <v>0</v>
      </c>
      <c r="K667" s="214">
        <f t="shared" si="182"/>
        <v>187723.35</v>
      </c>
      <c r="L667" s="220">
        <f t="shared" si="182"/>
        <v>0</v>
      </c>
      <c r="M667" s="93">
        <f t="shared" si="191"/>
        <v>0</v>
      </c>
      <c r="N667" s="328">
        <f t="shared" ca="1" si="192"/>
        <v>0</v>
      </c>
    </row>
    <row r="668" spans="1:14" ht="20.100000000000001" customHeight="1">
      <c r="A668" s="89" t="s">
        <v>2589</v>
      </c>
      <c r="B668" s="24"/>
      <c r="C668" s="34"/>
      <c r="D668" s="25" t="s">
        <v>2588</v>
      </c>
      <c r="E668" s="25" t="s">
        <v>163</v>
      </c>
      <c r="F668" s="26"/>
      <c r="G668" s="213"/>
      <c r="H668" s="213"/>
      <c r="I668" s="213"/>
      <c r="J668" s="213">
        <f>SUM(J669:J675)</f>
        <v>1545264</v>
      </c>
      <c r="K668" s="213">
        <f>SUM(K669:K675)</f>
        <v>213246</v>
      </c>
      <c r="L668" s="219">
        <f>SUM(L669:L675)</f>
        <v>0</v>
      </c>
      <c r="M668" s="92">
        <f>IF(ERROR.TYPE(IF(HLOOKUP(A668,maBK,1,0)&lt;&gt;"",#NULL!,"ABC"))&lt;&gt;7,1,0)</f>
        <v>0</v>
      </c>
      <c r="N668" s="327">
        <f ca="1">SUMIF(maBK,$A668,tongBK1)</f>
        <v>0</v>
      </c>
    </row>
    <row r="669" spans="1:14" ht="20.100000000000001" customHeight="1">
      <c r="A669" s="87"/>
      <c r="B669" s="7" t="s">
        <v>142</v>
      </c>
      <c r="C669" s="32">
        <f>VLOOKUP($B669,R_DG!$A$7:$G$1305,2,0)</f>
        <v>0</v>
      </c>
      <c r="D669" s="8" t="str">
        <f>VLOOKUP($B669,R_DG!$A$7:$G$1305,3,0)</f>
        <v>Boulon mắt 16x250+ 2 long đền vuông D18-50x50x3/Zn</v>
      </c>
      <c r="E669" s="9" t="str">
        <f>VLOOKUP($B669,R_DG!$A$7:$G$1305,4,0)</f>
        <v>bộ</v>
      </c>
      <c r="F669" s="11">
        <v>2</v>
      </c>
      <c r="G669" s="214">
        <f>VLOOKUP($B669,R_DG!$A$7:$G$1305,5,0)</f>
        <v>27300</v>
      </c>
      <c r="H669" s="214">
        <f>VLOOKUP($B669,R_DG!$A$7:$G$1305,6,0)</f>
        <v>0</v>
      </c>
      <c r="I669" s="214">
        <f>VLOOKUP($B669,R_DG!$A$7:$G$1305,7,0)</f>
        <v>0</v>
      </c>
      <c r="J669" s="214">
        <f t="shared" si="182"/>
        <v>54600</v>
      </c>
      <c r="K669" s="214">
        <f t="shared" si="182"/>
        <v>0</v>
      </c>
      <c r="L669" s="220">
        <f t="shared" si="182"/>
        <v>0</v>
      </c>
      <c r="M669" s="93">
        <f t="shared" ref="M669:M675" si="193">IF(F669&gt;0,M$668,0)</f>
        <v>0</v>
      </c>
      <c r="N669" s="328">
        <f t="shared" ref="N669:N675" ca="1" si="194">$F669*N$668</f>
        <v>0</v>
      </c>
    </row>
    <row r="670" spans="1:14" ht="20.100000000000001" customHeight="1">
      <c r="A670" s="87"/>
      <c r="B670" s="7" t="s">
        <v>634</v>
      </c>
      <c r="C670" s="32">
        <f>VLOOKUP($B670,R_DG!$A$7:$G$1305,2,0)</f>
        <v>0</v>
      </c>
      <c r="D670" s="8" t="str">
        <f>VLOOKUP($B670,R_DG!$A$7:$G$1305,3,0)</f>
        <v>Sứ chằng nhỏ</v>
      </c>
      <c r="E670" s="9" t="str">
        <f>VLOOKUP($B670,R_DG!$A$7:$G$1305,4,0)</f>
        <v>cái</v>
      </c>
      <c r="F670" s="11">
        <v>2</v>
      </c>
      <c r="G670" s="214">
        <f>VLOOKUP($B670,R_DG!$A$7:$G$1305,5,0)</f>
        <v>47000</v>
      </c>
      <c r="H670" s="214">
        <f>VLOOKUP($B670,R_DG!$A$7:$G$1305,6,0)</f>
        <v>0</v>
      </c>
      <c r="I670" s="214">
        <f>VLOOKUP($B670,R_DG!$A$7:$G$1305,7,0)</f>
        <v>0</v>
      </c>
      <c r="J670" s="214">
        <f t="shared" si="182"/>
        <v>94000</v>
      </c>
      <c r="K670" s="214">
        <f t="shared" si="182"/>
        <v>0</v>
      </c>
      <c r="L670" s="220">
        <f t="shared" si="182"/>
        <v>0</v>
      </c>
      <c r="M670" s="93">
        <f t="shared" si="193"/>
        <v>0</v>
      </c>
      <c r="N670" s="328">
        <f t="shared" ca="1" si="194"/>
        <v>0</v>
      </c>
    </row>
    <row r="671" spans="1:14" ht="20.100000000000001" customHeight="1">
      <c r="A671" s="87"/>
      <c r="B671" s="7" t="s">
        <v>401</v>
      </c>
      <c r="C671" s="32">
        <f>VLOOKUP($B671,R_DG!$A$7:$G$1305,2,0)</f>
        <v>0</v>
      </c>
      <c r="D671" s="8" t="str">
        <f>VLOOKUP($B671,R_DG!$A$7:$G$1305,3,0)</f>
        <v>Kẹp cáp chằng 3 boulon (B46x130)</v>
      </c>
      <c r="E671" s="9" t="str">
        <f>VLOOKUP($B671,R_DG!$A$7:$G$1305,4,0)</f>
        <v>cái</v>
      </c>
      <c r="F671" s="11">
        <v>16</v>
      </c>
      <c r="G671" s="214">
        <f>VLOOKUP($B671,R_DG!$A$7:$G$1305,5,0)</f>
        <v>40000</v>
      </c>
      <c r="H671" s="214">
        <f>VLOOKUP($B671,R_DG!$A$7:$G$1305,6,0)</f>
        <v>0</v>
      </c>
      <c r="I671" s="214">
        <f>VLOOKUP($B671,R_DG!$A$7:$G$1305,7,0)</f>
        <v>0</v>
      </c>
      <c r="J671" s="214">
        <f t="shared" si="182"/>
        <v>640000</v>
      </c>
      <c r="K671" s="214">
        <f t="shared" si="182"/>
        <v>0</v>
      </c>
      <c r="L671" s="220">
        <f t="shared" si="182"/>
        <v>0</v>
      </c>
      <c r="M671" s="93">
        <f t="shared" si="193"/>
        <v>0</v>
      </c>
      <c r="N671" s="328">
        <f t="shared" ca="1" si="194"/>
        <v>0</v>
      </c>
    </row>
    <row r="672" spans="1:14" ht="20.100000000000001" customHeight="1">
      <c r="A672" s="87"/>
      <c r="B672" s="7" t="s">
        <v>381</v>
      </c>
      <c r="C672" s="32">
        <f>VLOOKUP($B672,R_DG!$A$7:$G$1305,2,0)</f>
        <v>0</v>
      </c>
      <c r="D672" s="8" t="str">
        <f>VLOOKUP($B672,R_DG!$A$7:$G$1305,3,0)</f>
        <v>Cáp thép 5/8" (15m/bộ)</v>
      </c>
      <c r="E672" s="9" t="str">
        <f>VLOOKUP($B672,R_DG!$A$7:$G$1305,4,0)</f>
        <v>kg</v>
      </c>
      <c r="F672" s="10">
        <f>34*0.438</f>
        <v>14.891999999999999</v>
      </c>
      <c r="G672" s="214">
        <f>VLOOKUP($B672,R_DG!$A$7:$G$1305,5,0)</f>
        <v>42000</v>
      </c>
      <c r="H672" s="214">
        <f>VLOOKUP($B672,R_DG!$A$7:$G$1305,6,0)</f>
        <v>0</v>
      </c>
      <c r="I672" s="214">
        <f>VLOOKUP($B672,R_DG!$A$7:$G$1305,7,0)</f>
        <v>0</v>
      </c>
      <c r="J672" s="214">
        <f t="shared" si="182"/>
        <v>625464</v>
      </c>
      <c r="K672" s="214">
        <f t="shared" si="182"/>
        <v>0</v>
      </c>
      <c r="L672" s="220">
        <f t="shared" si="182"/>
        <v>0</v>
      </c>
      <c r="M672" s="93">
        <f t="shared" si="193"/>
        <v>0</v>
      </c>
      <c r="N672" s="328">
        <f t="shared" ca="1" si="194"/>
        <v>0</v>
      </c>
    </row>
    <row r="673" spans="1:14" ht="20.100000000000001" customHeight="1">
      <c r="A673" s="87"/>
      <c r="B673" s="7" t="s">
        <v>796</v>
      </c>
      <c r="C673" s="32">
        <f>VLOOKUP($B673,R_DG!$A$7:$G$1305,2,0)</f>
        <v>0</v>
      </c>
      <c r="D673" s="8" t="str">
        <f>VLOOKUP($B673,R_DG!$A$7:$G$1305,3,0)</f>
        <v>Yếm cáp dày 2mm</v>
      </c>
      <c r="E673" s="9" t="str">
        <f>VLOOKUP($B673,R_DG!$A$7:$G$1305,4,0)</f>
        <v>cái</v>
      </c>
      <c r="F673" s="11">
        <v>4</v>
      </c>
      <c r="G673" s="214">
        <f>VLOOKUP($B673,R_DG!$A$7:$G$1305,5,0)</f>
        <v>5300</v>
      </c>
      <c r="H673" s="214">
        <f>VLOOKUP($B673,R_DG!$A$7:$G$1305,6,0)</f>
        <v>0</v>
      </c>
      <c r="I673" s="214">
        <f>VLOOKUP($B673,R_DG!$A$7:$G$1305,7,0)</f>
        <v>0</v>
      </c>
      <c r="J673" s="214">
        <f t="shared" si="182"/>
        <v>21200</v>
      </c>
      <c r="K673" s="214">
        <f t="shared" si="182"/>
        <v>0</v>
      </c>
      <c r="L673" s="220">
        <f t="shared" si="182"/>
        <v>0</v>
      </c>
      <c r="M673" s="93">
        <f t="shared" si="193"/>
        <v>0</v>
      </c>
      <c r="N673" s="328">
        <f t="shared" ca="1" si="194"/>
        <v>0</v>
      </c>
    </row>
    <row r="674" spans="1:14" ht="20.100000000000001" customHeight="1">
      <c r="A674" s="87"/>
      <c r="B674" s="7" t="s">
        <v>577</v>
      </c>
      <c r="C674" s="32">
        <f>VLOOKUP($B674,R_DG!$A$7:$G$1305,2,0)</f>
        <v>0</v>
      </c>
      <c r="D674" s="8" t="str">
        <f>VLOOKUP($B674,R_DG!$A$7:$G$1305,3,0)</f>
        <v>Máng che dây chằng dày 1,6x40x2000mm</v>
      </c>
      <c r="E674" s="9" t="str">
        <f>VLOOKUP($B674,R_DG!$A$7:$G$1305,4,0)</f>
        <v>cái</v>
      </c>
      <c r="F674" s="11">
        <v>2</v>
      </c>
      <c r="G674" s="214">
        <f>VLOOKUP($B674,R_DG!$A$7:$G$1305,5,0)</f>
        <v>55000</v>
      </c>
      <c r="H674" s="214">
        <f>VLOOKUP($B674,R_DG!$A$7:$G$1305,6,0)</f>
        <v>0</v>
      </c>
      <c r="I674" s="214">
        <f>VLOOKUP($B674,R_DG!$A$7:$G$1305,7,0)</f>
        <v>0</v>
      </c>
      <c r="J674" s="214">
        <f t="shared" si="182"/>
        <v>110000</v>
      </c>
      <c r="K674" s="214">
        <f t="shared" si="182"/>
        <v>0</v>
      </c>
      <c r="L674" s="220">
        <f t="shared" si="182"/>
        <v>0</v>
      </c>
      <c r="M674" s="93">
        <f t="shared" si="193"/>
        <v>0</v>
      </c>
      <c r="N674" s="328">
        <f t="shared" ca="1" si="194"/>
        <v>0</v>
      </c>
    </row>
    <row r="675" spans="1:14" ht="20.100000000000001" customHeight="1">
      <c r="A675" s="87"/>
      <c r="B675" s="7" t="s">
        <v>1226</v>
      </c>
      <c r="C675" s="32" t="str">
        <f>VLOOKUP($B675,R_DG!$A$7:$G$1305,2,0)</f>
        <v>D3.3251</v>
      </c>
      <c r="D675" s="8" t="str">
        <f>VLOOKUP($B675,R_DG!$A$7:$G$1305,3,0)</f>
        <v>Lắp bộ dây néo</v>
      </c>
      <c r="E675" s="9" t="str">
        <f>VLOOKUP($B675,R_DG!$A$7:$G$1305,4,0)</f>
        <v>bộ</v>
      </c>
      <c r="F675" s="11">
        <v>2</v>
      </c>
      <c r="G675" s="214">
        <f>VLOOKUP($B675,R_DG!$A$7:$G$1305,5,0)</f>
        <v>0</v>
      </c>
      <c r="H675" s="214">
        <f>VLOOKUP($B675,R_DG!$A$7:$G$1305,6,0)</f>
        <v>106623</v>
      </c>
      <c r="I675" s="214">
        <f>VLOOKUP($B675,R_DG!$A$7:$G$1305,7,0)</f>
        <v>0</v>
      </c>
      <c r="J675" s="214">
        <f t="shared" si="182"/>
        <v>0</v>
      </c>
      <c r="K675" s="214">
        <f t="shared" si="182"/>
        <v>213246</v>
      </c>
      <c r="L675" s="220">
        <f t="shared" si="182"/>
        <v>0</v>
      </c>
      <c r="M675" s="93">
        <f t="shared" si="193"/>
        <v>0</v>
      </c>
      <c r="N675" s="328">
        <f t="shared" ca="1" si="194"/>
        <v>0</v>
      </c>
    </row>
    <row r="676" spans="1:14" ht="20.100000000000001" customHeight="1">
      <c r="A676" s="89" t="s">
        <v>2275</v>
      </c>
      <c r="B676" s="24"/>
      <c r="C676" s="34"/>
      <c r="D676" s="25" t="s">
        <v>2276</v>
      </c>
      <c r="E676" s="25" t="s">
        <v>163</v>
      </c>
      <c r="F676" s="26"/>
      <c r="G676" s="213"/>
      <c r="H676" s="213"/>
      <c r="I676" s="213"/>
      <c r="J676" s="213">
        <f>SUM(J677:J682)</f>
        <v>1143200</v>
      </c>
      <c r="K676" s="213">
        <f>SUM(K677:K682)</f>
        <v>213246</v>
      </c>
      <c r="L676" s="219">
        <f>SUM(L677:L682)</f>
        <v>0</v>
      </c>
      <c r="M676" s="92">
        <f>IF(ERROR.TYPE(IF(HLOOKUP(A676,maBK,1,0)&lt;&gt;"",#NULL!,"ABC"))&lt;&gt;7,1,0)</f>
        <v>0</v>
      </c>
      <c r="N676" s="327">
        <f ca="1">SUMIF(maBK,$A676,tongBK1)</f>
        <v>0</v>
      </c>
    </row>
    <row r="677" spans="1:14" ht="20.100000000000001" customHeight="1">
      <c r="A677" s="87"/>
      <c r="B677" s="7" t="s">
        <v>142</v>
      </c>
      <c r="C677" s="32">
        <f>VLOOKUP($B677,R_DG!$A$7:$G$1305,2,0)</f>
        <v>0</v>
      </c>
      <c r="D677" s="8" t="str">
        <f>VLOOKUP($B677,R_DG!$A$7:$G$1305,3,0)</f>
        <v>Boulon mắt 16x250+ 2 long đền vuông D18-50x50x3/Zn</v>
      </c>
      <c r="E677" s="9" t="str">
        <f>VLOOKUP($B677,R_DG!$A$7:$G$1305,4,0)</f>
        <v>bộ</v>
      </c>
      <c r="F677" s="11">
        <v>2</v>
      </c>
      <c r="G677" s="214">
        <f>VLOOKUP($B677,R_DG!$A$7:$G$1305,5,0)</f>
        <v>27300</v>
      </c>
      <c r="H677" s="214">
        <f>VLOOKUP($B677,R_DG!$A$7:$G$1305,6,0)</f>
        <v>0</v>
      </c>
      <c r="I677" s="214">
        <f>VLOOKUP($B677,R_DG!$A$7:$G$1305,7,0)</f>
        <v>0</v>
      </c>
      <c r="J677" s="214">
        <f t="shared" si="182"/>
        <v>54600</v>
      </c>
      <c r="K677" s="214">
        <f t="shared" si="182"/>
        <v>0</v>
      </c>
      <c r="L677" s="220">
        <f t="shared" si="182"/>
        <v>0</v>
      </c>
      <c r="M677" s="93">
        <f t="shared" ref="M677:M682" si="195">IF(F677&gt;0,M$676,0)</f>
        <v>0</v>
      </c>
      <c r="N677" s="328">
        <f t="shared" ref="N677:N682" ca="1" si="196">$F677*N$676</f>
        <v>0</v>
      </c>
    </row>
    <row r="678" spans="1:14" ht="20.100000000000001" customHeight="1">
      <c r="A678" s="87"/>
      <c r="B678" s="7" t="s">
        <v>634</v>
      </c>
      <c r="C678" s="32">
        <f>VLOOKUP($B678,R_DG!$A$7:$G$1305,2,0)</f>
        <v>0</v>
      </c>
      <c r="D678" s="8" t="str">
        <f>VLOOKUP($B678,R_DG!$A$7:$G$1305,3,0)</f>
        <v>Sứ chằng nhỏ</v>
      </c>
      <c r="E678" s="9" t="str">
        <f>VLOOKUP($B678,R_DG!$A$7:$G$1305,4,0)</f>
        <v>cái</v>
      </c>
      <c r="F678" s="11">
        <v>2</v>
      </c>
      <c r="G678" s="214">
        <f>VLOOKUP($B678,R_DG!$A$7:$G$1305,5,0)</f>
        <v>47000</v>
      </c>
      <c r="H678" s="214">
        <f>VLOOKUP($B678,R_DG!$A$7:$G$1305,6,0)</f>
        <v>0</v>
      </c>
      <c r="I678" s="214">
        <f>VLOOKUP($B678,R_DG!$A$7:$G$1305,7,0)</f>
        <v>0</v>
      </c>
      <c r="J678" s="214">
        <f t="shared" si="182"/>
        <v>94000</v>
      </c>
      <c r="K678" s="214">
        <f t="shared" si="182"/>
        <v>0</v>
      </c>
      <c r="L678" s="220">
        <f t="shared" si="182"/>
        <v>0</v>
      </c>
      <c r="M678" s="93">
        <f t="shared" si="195"/>
        <v>0</v>
      </c>
      <c r="N678" s="328">
        <f t="shared" ca="1" si="196"/>
        <v>0</v>
      </c>
    </row>
    <row r="679" spans="1:14" ht="20.100000000000001" customHeight="1">
      <c r="A679" s="87"/>
      <c r="B679" s="7" t="s">
        <v>401</v>
      </c>
      <c r="C679" s="32">
        <f>VLOOKUP($B679,R_DG!$A$7:$G$1305,2,0)</f>
        <v>0</v>
      </c>
      <c r="D679" s="8" t="str">
        <f>VLOOKUP($B679,R_DG!$A$7:$G$1305,3,0)</f>
        <v>Kẹp cáp chằng 3 boulon (B46x130)</v>
      </c>
      <c r="E679" s="9" t="str">
        <f>VLOOKUP($B679,R_DG!$A$7:$G$1305,4,0)</f>
        <v>cái</v>
      </c>
      <c r="F679" s="11">
        <v>12</v>
      </c>
      <c r="G679" s="214">
        <f>VLOOKUP($B679,R_DG!$A$7:$G$1305,5,0)</f>
        <v>40000</v>
      </c>
      <c r="H679" s="214">
        <f>VLOOKUP($B679,R_DG!$A$7:$G$1305,6,0)</f>
        <v>0</v>
      </c>
      <c r="I679" s="214">
        <f>VLOOKUP($B679,R_DG!$A$7:$G$1305,7,0)</f>
        <v>0</v>
      </c>
      <c r="J679" s="214">
        <f t="shared" si="182"/>
        <v>480000</v>
      </c>
      <c r="K679" s="214">
        <f t="shared" si="182"/>
        <v>0</v>
      </c>
      <c r="L679" s="220">
        <f t="shared" si="182"/>
        <v>0</v>
      </c>
      <c r="M679" s="93">
        <f t="shared" si="195"/>
        <v>0</v>
      </c>
      <c r="N679" s="328">
        <f t="shared" ca="1" si="196"/>
        <v>0</v>
      </c>
    </row>
    <row r="680" spans="1:14" ht="20.100000000000001" customHeight="1">
      <c r="A680" s="87"/>
      <c r="B680" s="7" t="s">
        <v>381</v>
      </c>
      <c r="C680" s="32">
        <f>VLOOKUP($B680,R_DG!$A$7:$G$1305,2,0)</f>
        <v>0</v>
      </c>
      <c r="D680" s="8" t="str">
        <f>VLOOKUP($B680,R_DG!$A$7:$G$1305,3,0)</f>
        <v>Cáp thép 5/8" (15m/bộ)</v>
      </c>
      <c r="E680" s="9" t="str">
        <f>VLOOKUP($B680,R_DG!$A$7:$G$1305,4,0)</f>
        <v>kg</v>
      </c>
      <c r="F680" s="11">
        <v>12</v>
      </c>
      <c r="G680" s="214">
        <f>VLOOKUP($B680,R_DG!$A$7:$G$1305,5,0)</f>
        <v>42000</v>
      </c>
      <c r="H680" s="214">
        <f>VLOOKUP($B680,R_DG!$A$7:$G$1305,6,0)</f>
        <v>0</v>
      </c>
      <c r="I680" s="214">
        <f>VLOOKUP($B680,R_DG!$A$7:$G$1305,7,0)</f>
        <v>0</v>
      </c>
      <c r="J680" s="214">
        <f t="shared" si="182"/>
        <v>504000</v>
      </c>
      <c r="K680" s="214">
        <f t="shared" si="182"/>
        <v>0</v>
      </c>
      <c r="L680" s="220">
        <f t="shared" si="182"/>
        <v>0</v>
      </c>
      <c r="M680" s="93">
        <f t="shared" si="195"/>
        <v>0</v>
      </c>
      <c r="N680" s="328">
        <f t="shared" ca="1" si="196"/>
        <v>0</v>
      </c>
    </row>
    <row r="681" spans="1:14" ht="20.100000000000001" customHeight="1">
      <c r="A681" s="87"/>
      <c r="B681" s="7" t="s">
        <v>796</v>
      </c>
      <c r="C681" s="32">
        <f>VLOOKUP($B681,R_DG!$A$7:$G$1305,2,0)</f>
        <v>0</v>
      </c>
      <c r="D681" s="8" t="str">
        <f>VLOOKUP($B681,R_DG!$A$7:$G$1305,3,0)</f>
        <v>Yếm cáp dày 2mm</v>
      </c>
      <c r="E681" s="9" t="str">
        <f>VLOOKUP($B681,R_DG!$A$7:$G$1305,4,0)</f>
        <v>cái</v>
      </c>
      <c r="F681" s="11">
        <v>2</v>
      </c>
      <c r="G681" s="214">
        <f>VLOOKUP($B681,R_DG!$A$7:$G$1305,5,0)</f>
        <v>5300</v>
      </c>
      <c r="H681" s="214">
        <f>VLOOKUP($B681,R_DG!$A$7:$G$1305,6,0)</f>
        <v>0</v>
      </c>
      <c r="I681" s="214">
        <f>VLOOKUP($B681,R_DG!$A$7:$G$1305,7,0)</f>
        <v>0</v>
      </c>
      <c r="J681" s="214">
        <f t="shared" si="182"/>
        <v>10600</v>
      </c>
      <c r="K681" s="214">
        <f t="shared" si="182"/>
        <v>0</v>
      </c>
      <c r="L681" s="220">
        <f t="shared" si="182"/>
        <v>0</v>
      </c>
      <c r="M681" s="93">
        <f t="shared" si="195"/>
        <v>0</v>
      </c>
      <c r="N681" s="328">
        <f t="shared" ca="1" si="196"/>
        <v>0</v>
      </c>
    </row>
    <row r="682" spans="1:14" ht="20.100000000000001" customHeight="1">
      <c r="A682" s="87"/>
      <c r="B682" s="7" t="s">
        <v>1226</v>
      </c>
      <c r="C682" s="32" t="str">
        <f>VLOOKUP($B682,R_DG!$A$7:$G$1305,2,0)</f>
        <v>D3.3251</v>
      </c>
      <c r="D682" s="8" t="str">
        <f>VLOOKUP($B682,R_DG!$A$7:$G$1305,3,0)</f>
        <v>Lắp bộ dây néo</v>
      </c>
      <c r="E682" s="9" t="str">
        <f>VLOOKUP($B682,R_DG!$A$7:$G$1305,4,0)</f>
        <v>bộ</v>
      </c>
      <c r="F682" s="11">
        <v>2</v>
      </c>
      <c r="G682" s="214">
        <f>VLOOKUP($B682,R_DG!$A$7:$G$1305,5,0)</f>
        <v>0</v>
      </c>
      <c r="H682" s="214">
        <f>VLOOKUP($B682,R_DG!$A$7:$G$1305,6,0)</f>
        <v>106623</v>
      </c>
      <c r="I682" s="214">
        <f>VLOOKUP($B682,R_DG!$A$7:$G$1305,7,0)</f>
        <v>0</v>
      </c>
      <c r="J682" s="214">
        <f t="shared" si="182"/>
        <v>0</v>
      </c>
      <c r="K682" s="214">
        <f t="shared" si="182"/>
        <v>213246</v>
      </c>
      <c r="L682" s="220">
        <f t="shared" si="182"/>
        <v>0</v>
      </c>
      <c r="M682" s="93">
        <f t="shared" si="195"/>
        <v>0</v>
      </c>
      <c r="N682" s="328">
        <f t="shared" ca="1" si="196"/>
        <v>0</v>
      </c>
    </row>
    <row r="683" spans="1:14" ht="20.100000000000001" customHeight="1">
      <c r="A683" s="89" t="s">
        <v>2596</v>
      </c>
      <c r="B683" s="24"/>
      <c r="C683" s="34"/>
      <c r="D683" s="25" t="s">
        <v>2595</v>
      </c>
      <c r="E683" s="25" t="s">
        <v>163</v>
      </c>
      <c r="F683" s="26"/>
      <c r="G683" s="213"/>
      <c r="H683" s="213"/>
      <c r="I683" s="213"/>
      <c r="J683" s="213">
        <f>SUM(J684:J689)</f>
        <v>1782400</v>
      </c>
      <c r="K683" s="213">
        <f>SUM(K684:K689)</f>
        <v>213246</v>
      </c>
      <c r="L683" s="219">
        <f>SUM(L684:L689)</f>
        <v>0</v>
      </c>
      <c r="M683" s="92">
        <f>IF(ERROR.TYPE(IF(HLOOKUP(A683,maBK,1,0)&lt;&gt;"",#NULL!,"ABC"))&lt;&gt;7,1,0)</f>
        <v>0</v>
      </c>
      <c r="N683" s="327">
        <f ca="1">SUMIF(maBK,$A683,tongBK1)</f>
        <v>0</v>
      </c>
    </row>
    <row r="684" spans="1:14" ht="20.100000000000001" customHeight="1">
      <c r="A684" s="87"/>
      <c r="B684" s="7" t="s">
        <v>142</v>
      </c>
      <c r="C684" s="32">
        <f>VLOOKUP($B684,R_DG!$A$7:$G$1305,2,0)</f>
        <v>0</v>
      </c>
      <c r="D684" s="8" t="str">
        <f>VLOOKUP($B684,R_DG!$A$7:$G$1305,3,0)</f>
        <v>Boulon mắt 16x250+ 2 long đền vuông D18-50x50x3/Zn</v>
      </c>
      <c r="E684" s="9" t="str">
        <f>VLOOKUP($B684,R_DG!$A$7:$G$1305,4,0)</f>
        <v>bộ</v>
      </c>
      <c r="F684" s="11">
        <v>4</v>
      </c>
      <c r="G684" s="214">
        <f>VLOOKUP($B684,R_DG!$A$7:$G$1305,5,0)</f>
        <v>27300</v>
      </c>
      <c r="H684" s="214">
        <f>VLOOKUP($B684,R_DG!$A$7:$G$1305,6,0)</f>
        <v>0</v>
      </c>
      <c r="I684" s="214">
        <f>VLOOKUP($B684,R_DG!$A$7:$G$1305,7,0)</f>
        <v>0</v>
      </c>
      <c r="J684" s="214">
        <f t="shared" ref="J684:L689" si="197">G684*$F684</f>
        <v>109200</v>
      </c>
      <c r="K684" s="214">
        <f t="shared" si="197"/>
        <v>0</v>
      </c>
      <c r="L684" s="220">
        <f t="shared" si="197"/>
        <v>0</v>
      </c>
      <c r="M684" s="93">
        <f t="shared" ref="M684:M689" si="198">IF(F684&gt;0,M$683,0)</f>
        <v>0</v>
      </c>
      <c r="N684" s="328">
        <f t="shared" ref="N684:N689" ca="1" si="199">$F684*N$683</f>
        <v>0</v>
      </c>
    </row>
    <row r="685" spans="1:14" ht="20.100000000000001" customHeight="1">
      <c r="A685" s="87"/>
      <c r="B685" s="7" t="s">
        <v>634</v>
      </c>
      <c r="C685" s="32">
        <f>VLOOKUP($B685,R_DG!$A$7:$G$1305,2,0)</f>
        <v>0</v>
      </c>
      <c r="D685" s="8" t="str">
        <f>VLOOKUP($B685,R_DG!$A$7:$G$1305,3,0)</f>
        <v>Sứ chằng nhỏ</v>
      </c>
      <c r="E685" s="9" t="str">
        <f>VLOOKUP($B685,R_DG!$A$7:$G$1305,4,0)</f>
        <v>cái</v>
      </c>
      <c r="F685" s="11">
        <v>4</v>
      </c>
      <c r="G685" s="214">
        <f>VLOOKUP($B685,R_DG!$A$7:$G$1305,5,0)</f>
        <v>47000</v>
      </c>
      <c r="H685" s="214">
        <f>VLOOKUP($B685,R_DG!$A$7:$G$1305,6,0)</f>
        <v>0</v>
      </c>
      <c r="I685" s="214">
        <f>VLOOKUP($B685,R_DG!$A$7:$G$1305,7,0)</f>
        <v>0</v>
      </c>
      <c r="J685" s="214">
        <f t="shared" si="197"/>
        <v>188000</v>
      </c>
      <c r="K685" s="214">
        <f t="shared" si="197"/>
        <v>0</v>
      </c>
      <c r="L685" s="220">
        <f t="shared" si="197"/>
        <v>0</v>
      </c>
      <c r="M685" s="93">
        <f t="shared" si="198"/>
        <v>0</v>
      </c>
      <c r="N685" s="328">
        <f t="shared" ca="1" si="199"/>
        <v>0</v>
      </c>
    </row>
    <row r="686" spans="1:14" ht="20.100000000000001" customHeight="1">
      <c r="A686" s="87"/>
      <c r="B686" s="7" t="s">
        <v>401</v>
      </c>
      <c r="C686" s="32">
        <f>VLOOKUP($B686,R_DG!$A$7:$G$1305,2,0)</f>
        <v>0</v>
      </c>
      <c r="D686" s="8" t="str">
        <f>VLOOKUP($B686,R_DG!$A$7:$G$1305,3,0)</f>
        <v>Kẹp cáp chằng 3 boulon (B46x130)</v>
      </c>
      <c r="E686" s="9" t="str">
        <f>VLOOKUP($B686,R_DG!$A$7:$G$1305,4,0)</f>
        <v>cái</v>
      </c>
      <c r="F686" s="11">
        <v>24</v>
      </c>
      <c r="G686" s="214">
        <f>VLOOKUP($B686,R_DG!$A$7:$G$1305,5,0)</f>
        <v>40000</v>
      </c>
      <c r="H686" s="214">
        <f>VLOOKUP($B686,R_DG!$A$7:$G$1305,6,0)</f>
        <v>0</v>
      </c>
      <c r="I686" s="214">
        <f>VLOOKUP($B686,R_DG!$A$7:$G$1305,7,0)</f>
        <v>0</v>
      </c>
      <c r="J686" s="214">
        <f t="shared" si="197"/>
        <v>960000</v>
      </c>
      <c r="K686" s="214">
        <f t="shared" si="197"/>
        <v>0</v>
      </c>
      <c r="L686" s="220">
        <f t="shared" si="197"/>
        <v>0</v>
      </c>
      <c r="M686" s="93">
        <f t="shared" si="198"/>
        <v>0</v>
      </c>
      <c r="N686" s="328">
        <f t="shared" ca="1" si="199"/>
        <v>0</v>
      </c>
    </row>
    <row r="687" spans="1:14" ht="20.100000000000001" customHeight="1">
      <c r="A687" s="87"/>
      <c r="B687" s="7" t="s">
        <v>381</v>
      </c>
      <c r="C687" s="32">
        <f>VLOOKUP($B687,R_DG!$A$7:$G$1305,2,0)</f>
        <v>0</v>
      </c>
      <c r="D687" s="8" t="str">
        <f>VLOOKUP($B687,R_DG!$A$7:$G$1305,3,0)</f>
        <v>Cáp thép 5/8" (15m/bộ)</v>
      </c>
      <c r="E687" s="9" t="str">
        <f>VLOOKUP($B687,R_DG!$A$7:$G$1305,4,0)</f>
        <v>kg</v>
      </c>
      <c r="F687" s="11">
        <v>12</v>
      </c>
      <c r="G687" s="214">
        <f>VLOOKUP($B687,R_DG!$A$7:$G$1305,5,0)</f>
        <v>42000</v>
      </c>
      <c r="H687" s="214">
        <f>VLOOKUP($B687,R_DG!$A$7:$G$1305,6,0)</f>
        <v>0</v>
      </c>
      <c r="I687" s="214">
        <f>VLOOKUP($B687,R_DG!$A$7:$G$1305,7,0)</f>
        <v>0</v>
      </c>
      <c r="J687" s="214">
        <f t="shared" si="197"/>
        <v>504000</v>
      </c>
      <c r="K687" s="214">
        <f t="shared" si="197"/>
        <v>0</v>
      </c>
      <c r="L687" s="220">
        <f t="shared" si="197"/>
        <v>0</v>
      </c>
      <c r="M687" s="93">
        <f t="shared" si="198"/>
        <v>0</v>
      </c>
      <c r="N687" s="328">
        <f t="shared" ca="1" si="199"/>
        <v>0</v>
      </c>
    </row>
    <row r="688" spans="1:14" ht="20.100000000000001" customHeight="1">
      <c r="A688" s="87"/>
      <c r="B688" s="7" t="s">
        <v>796</v>
      </c>
      <c r="C688" s="32">
        <f>VLOOKUP($B688,R_DG!$A$7:$G$1305,2,0)</f>
        <v>0</v>
      </c>
      <c r="D688" s="8" t="str">
        <f>VLOOKUP($B688,R_DG!$A$7:$G$1305,3,0)</f>
        <v>Yếm cáp dày 2mm</v>
      </c>
      <c r="E688" s="9" t="str">
        <f>VLOOKUP($B688,R_DG!$A$7:$G$1305,4,0)</f>
        <v>cái</v>
      </c>
      <c r="F688" s="11">
        <v>4</v>
      </c>
      <c r="G688" s="214">
        <f>VLOOKUP($B688,R_DG!$A$7:$G$1305,5,0)</f>
        <v>5300</v>
      </c>
      <c r="H688" s="214">
        <f>VLOOKUP($B688,R_DG!$A$7:$G$1305,6,0)</f>
        <v>0</v>
      </c>
      <c r="I688" s="214">
        <f>VLOOKUP($B688,R_DG!$A$7:$G$1305,7,0)</f>
        <v>0</v>
      </c>
      <c r="J688" s="214">
        <f t="shared" si="197"/>
        <v>21200</v>
      </c>
      <c r="K688" s="214">
        <f t="shared" si="197"/>
        <v>0</v>
      </c>
      <c r="L688" s="220">
        <f t="shared" si="197"/>
        <v>0</v>
      </c>
      <c r="M688" s="93">
        <f t="shared" si="198"/>
        <v>0</v>
      </c>
      <c r="N688" s="328">
        <f t="shared" ca="1" si="199"/>
        <v>0</v>
      </c>
    </row>
    <row r="689" spans="1:14" ht="20.100000000000001" customHeight="1">
      <c r="A689" s="87"/>
      <c r="B689" s="7" t="s">
        <v>1226</v>
      </c>
      <c r="C689" s="32" t="str">
        <f>VLOOKUP($B689,R_DG!$A$7:$G$1305,2,0)</f>
        <v>D3.3251</v>
      </c>
      <c r="D689" s="8" t="str">
        <f>VLOOKUP($B689,R_DG!$A$7:$G$1305,3,0)</f>
        <v>Lắp bộ dây néo</v>
      </c>
      <c r="E689" s="9" t="str">
        <f>VLOOKUP($B689,R_DG!$A$7:$G$1305,4,0)</f>
        <v>bộ</v>
      </c>
      <c r="F689" s="11">
        <v>2</v>
      </c>
      <c r="G689" s="214">
        <f>VLOOKUP($B689,R_DG!$A$7:$G$1305,5,0)</f>
        <v>0</v>
      </c>
      <c r="H689" s="214">
        <f>VLOOKUP($B689,R_DG!$A$7:$G$1305,6,0)</f>
        <v>106623</v>
      </c>
      <c r="I689" s="214">
        <f>VLOOKUP($B689,R_DG!$A$7:$G$1305,7,0)</f>
        <v>0</v>
      </c>
      <c r="J689" s="214">
        <f t="shared" si="197"/>
        <v>0</v>
      </c>
      <c r="K689" s="214">
        <f t="shared" si="197"/>
        <v>213246</v>
      </c>
      <c r="L689" s="220">
        <f t="shared" si="197"/>
        <v>0</v>
      </c>
      <c r="M689" s="93">
        <f t="shared" si="198"/>
        <v>0</v>
      </c>
      <c r="N689" s="328">
        <f t="shared" ca="1" si="199"/>
        <v>0</v>
      </c>
    </row>
    <row r="690" spans="1:14" ht="20.100000000000001" customHeight="1">
      <c r="A690" s="28" t="s">
        <v>2277</v>
      </c>
      <c r="B690" s="24"/>
      <c r="C690" s="34"/>
      <c r="D690" s="25" t="s">
        <v>2278</v>
      </c>
      <c r="E690" s="25" t="s">
        <v>163</v>
      </c>
      <c r="F690" s="26"/>
      <c r="G690" s="213"/>
      <c r="H690" s="213"/>
      <c r="I690" s="213"/>
      <c r="J690" s="213">
        <f>SUM(J691:J696)</f>
        <v>268000</v>
      </c>
      <c r="K690" s="213">
        <f>SUM(K691:K696)</f>
        <v>234046.08919999999</v>
      </c>
      <c r="L690" s="219">
        <f>SUM(L691:L696)</f>
        <v>0</v>
      </c>
      <c r="M690" s="92">
        <f>IF(ERROR.TYPE(IF(HLOOKUP(A690,maBK,1,0)&lt;&gt;"",#NULL!,"ABC"))&lt;&gt;7,1,0)</f>
        <v>1</v>
      </c>
      <c r="N690" s="327">
        <f ca="1">SUMIF(maBK,$A690,tongBK1)</f>
        <v>0</v>
      </c>
    </row>
    <row r="691" spans="1:14" ht="20.100000000000001" customHeight="1">
      <c r="A691" s="87"/>
      <c r="B691" s="7" t="s">
        <v>686</v>
      </c>
      <c r="C691" s="32">
        <f>VLOOKUP($B691,R_DG!$A$7:$G$1305,2,0)</f>
        <v>0</v>
      </c>
      <c r="D691" s="8" t="str">
        <f>VLOOKUP($B691,R_DG!$A$7:$G$1305,3,0)</f>
        <v>Ty neo φ16x2400</v>
      </c>
      <c r="E691" s="9" t="str">
        <f>VLOOKUP($B691,R_DG!$A$7:$G$1305,4,0)</f>
        <v>cái</v>
      </c>
      <c r="F691" s="11">
        <v>1</v>
      </c>
      <c r="G691" s="214">
        <f>VLOOKUP($B691,R_DG!$A$7:$G$1305,5,0)</f>
        <v>185000</v>
      </c>
      <c r="H691" s="214">
        <f>VLOOKUP($B691,R_DG!$A$7:$G$1305,6,0)</f>
        <v>0</v>
      </c>
      <c r="I691" s="214">
        <f>VLOOKUP($B691,R_DG!$A$7:$G$1305,7,0)</f>
        <v>0</v>
      </c>
      <c r="J691" s="214">
        <f t="shared" ref="J691:L717" si="200">G691*$F691</f>
        <v>185000</v>
      </c>
      <c r="K691" s="214">
        <f t="shared" si="200"/>
        <v>0</v>
      </c>
      <c r="L691" s="220">
        <f t="shared" si="200"/>
        <v>0</v>
      </c>
      <c r="M691" s="93">
        <f t="shared" ref="M691:M696" si="201">IF(F691&gt;0,M$690,0)</f>
        <v>1</v>
      </c>
      <c r="N691" s="328">
        <f t="shared" ref="N691:N696" ca="1" si="202">$F691*N$690</f>
        <v>0</v>
      </c>
    </row>
    <row r="692" spans="1:14" ht="20.100000000000001" customHeight="1">
      <c r="A692" s="87"/>
      <c r="B692" s="7" t="s">
        <v>696</v>
      </c>
      <c r="C692" s="32">
        <f>VLOOKUP($B692,R_DG!$A$7:$G$1305,2,0)</f>
        <v>0</v>
      </c>
      <c r="D692" s="8" t="str">
        <f>VLOOKUP($B692,R_DG!$A$7:$G$1305,3,0)</f>
        <v>Neo xòe 8 hướng (dày 3,2mm)</v>
      </c>
      <c r="E692" s="9" t="str">
        <f>VLOOKUP($B692,R_DG!$A$7:$G$1305,4,0)</f>
        <v>cái</v>
      </c>
      <c r="F692" s="11">
        <v>1</v>
      </c>
      <c r="G692" s="214">
        <f>VLOOKUP($B692,R_DG!$A$7:$G$1305,5,0)</f>
        <v>83000</v>
      </c>
      <c r="H692" s="214">
        <f>VLOOKUP($B692,R_DG!$A$7:$G$1305,6,0)</f>
        <v>0</v>
      </c>
      <c r="I692" s="214">
        <f>VLOOKUP($B692,R_DG!$A$7:$G$1305,7,0)</f>
        <v>0</v>
      </c>
      <c r="J692" s="214">
        <f t="shared" si="200"/>
        <v>83000</v>
      </c>
      <c r="K692" s="214">
        <f t="shared" si="200"/>
        <v>0</v>
      </c>
      <c r="L692" s="220">
        <f t="shared" si="200"/>
        <v>0</v>
      </c>
      <c r="M692" s="93">
        <f t="shared" si="201"/>
        <v>1</v>
      </c>
      <c r="N692" s="328">
        <f t="shared" ca="1" si="202"/>
        <v>0</v>
      </c>
    </row>
    <row r="693" spans="1:14" ht="20.100000000000001" customHeight="1">
      <c r="A693" s="87"/>
      <c r="B693" s="7" t="str">
        <f>IF(CAPDAT=1,"MDD1",IF(CAPDAT=2,"MDD2",IF(CAPDAT=3,"MDD3",IF(CAPDAT=4,"MDD4"))))</f>
        <v>MDD3</v>
      </c>
      <c r="C693" s="32" t="str">
        <f>VLOOKUP($B693,R_DG!$A$7:$G$1305,2,0)</f>
        <v>AB.11400</v>
      </c>
      <c r="D693" s="8" t="str">
        <f>VLOOKUP($B693,R_DG!$A$7:$G$1305,3,0)</f>
        <v>Đào hố móng đất cấp 3 sâu &gt;1m, rộng &lt;1m</v>
      </c>
      <c r="E693" s="9" t="str">
        <f>VLOOKUP($B693,R_DG!$A$7:$G$1305,4,0)</f>
        <v>m3</v>
      </c>
      <c r="F693" s="11">
        <v>0.45100000000000001</v>
      </c>
      <c r="G693" s="214">
        <f>VLOOKUP($B693,R_DG!$A$7:$G$1305,5,0)</f>
        <v>0</v>
      </c>
      <c r="H693" s="214">
        <f>VLOOKUP($B693,R_DG!$A$7:$G$1305,6,0)</f>
        <v>418738.31999999995</v>
      </c>
      <c r="I693" s="214">
        <f>VLOOKUP($B693,R_DG!$A$7:$G$1305,7,0)</f>
        <v>0</v>
      </c>
      <c r="J693" s="214">
        <f t="shared" si="200"/>
        <v>0</v>
      </c>
      <c r="K693" s="214">
        <f t="shared" si="200"/>
        <v>188850.98231999998</v>
      </c>
      <c r="L693" s="220">
        <f t="shared" si="200"/>
        <v>0</v>
      </c>
      <c r="M693" s="93">
        <f t="shared" si="201"/>
        <v>1</v>
      </c>
      <c r="N693" s="328">
        <f t="shared" ca="1" si="202"/>
        <v>0</v>
      </c>
    </row>
    <row r="694" spans="1:14" ht="20.100000000000001" customHeight="1">
      <c r="A694" s="87"/>
      <c r="B694" s="7" t="str">
        <f>IF(CAPDAT=1,"MDAP1",IF(CAPDAT=2,"MDAP2",IF(CAPDAT=3,"MDAP3",IF(CAPDAT=4,"MDAP4"))))</f>
        <v>MDAP3</v>
      </c>
      <c r="C694" s="32" t="str">
        <f>VLOOKUP($B694,R_DG!$A$7:$G$1305,2,0)</f>
        <v>AB.13000</v>
      </c>
      <c r="D694" s="8" t="str">
        <f>VLOOKUP($B694,R_DG!$A$7:$G$1305,3,0)</f>
        <v>Đắp đất hố móng, đất cấp 3, k = 0,85</v>
      </c>
      <c r="E694" s="9" t="str">
        <f>VLOOKUP($B694,R_DG!$A$7:$G$1305,4,0)</f>
        <v>m3</v>
      </c>
      <c r="F694" s="11">
        <v>0.45100000000000001</v>
      </c>
      <c r="G694" s="214">
        <f>VLOOKUP($B694,R_DG!$A$7:$G$1305,5,0)</f>
        <v>0</v>
      </c>
      <c r="H694" s="214">
        <f>VLOOKUP($B694,R_DG!$A$7:$G$1305,6,0)</f>
        <v>100210.88</v>
      </c>
      <c r="I694" s="214">
        <f>VLOOKUP($B694,R_DG!$A$7:$G$1305,7,0)</f>
        <v>0</v>
      </c>
      <c r="J694" s="214">
        <f t="shared" si="200"/>
        <v>0</v>
      </c>
      <c r="K694" s="214">
        <f t="shared" si="200"/>
        <v>45195.106880000007</v>
      </c>
      <c r="L694" s="220">
        <f t="shared" si="200"/>
        <v>0</v>
      </c>
      <c r="M694" s="93">
        <f t="shared" si="201"/>
        <v>1</v>
      </c>
      <c r="N694" s="328">
        <f t="shared" ca="1" si="202"/>
        <v>0</v>
      </c>
    </row>
    <row r="695" spans="1:14" ht="20.100000000000001" customHeight="1">
      <c r="A695" s="87"/>
      <c r="B695" s="7" t="s">
        <v>2279</v>
      </c>
      <c r="C695" s="32" t="str">
        <f>VLOOKUP($B695,R_DG!$A$7:$G$1305,2,0)</f>
        <v>02.3111</v>
      </c>
      <c r="D695" s="8" t="str">
        <f>VLOOKUP($B695,R_DG!$A$7:$G$1305,3,0)</f>
        <v>Bốc dỡ neo xèo</v>
      </c>
      <c r="E695" s="9" t="str">
        <f>VLOOKUP($B695,R_DG!$A$7:$G$1305,4,0)</f>
        <v>tấn</v>
      </c>
      <c r="F695" s="11"/>
      <c r="G695" s="214">
        <f>VLOOKUP($B695,R_DG!$A$7:$G$1305,5,0)</f>
        <v>0</v>
      </c>
      <c r="H695" s="214">
        <f>VLOOKUP($B695,R_DG!$A$7:$G$1305,6,0)</f>
        <v>0</v>
      </c>
      <c r="I695" s="214">
        <f>VLOOKUP($B695,R_DG!$A$7:$G$1305,7,0)</f>
        <v>0</v>
      </c>
      <c r="J695" s="214">
        <f t="shared" si="200"/>
        <v>0</v>
      </c>
      <c r="K695" s="214">
        <f t="shared" si="200"/>
        <v>0</v>
      </c>
      <c r="L695" s="220">
        <f t="shared" si="200"/>
        <v>0</v>
      </c>
      <c r="M695" s="93">
        <f t="shared" si="201"/>
        <v>0</v>
      </c>
      <c r="N695" s="328">
        <f t="shared" ca="1" si="202"/>
        <v>0</v>
      </c>
    </row>
    <row r="696" spans="1:14" ht="20.100000000000001" customHeight="1">
      <c r="A696" s="87"/>
      <c r="B696" s="7" t="s">
        <v>696</v>
      </c>
      <c r="C696" s="32">
        <f>VLOOKUP($B696,R_DG!$A$7:$G$1305,2,0)</f>
        <v>0</v>
      </c>
      <c r="D696" s="8" t="str">
        <f>VLOOKUP($B696,R_DG!$A$7:$G$1305,3,0)</f>
        <v>Neo xòe 8 hướng (dày 3,2mm)</v>
      </c>
      <c r="E696" s="9" t="str">
        <f>VLOOKUP($B696,R_DG!$A$7:$G$1305,4,0)</f>
        <v>cái</v>
      </c>
      <c r="F696" s="11"/>
      <c r="G696" s="214">
        <f>VLOOKUP($B696,R_DG!$A$7:$G$1305,5,0)</f>
        <v>83000</v>
      </c>
      <c r="H696" s="214">
        <f>VLOOKUP($B696,R_DG!$A$7:$G$1305,6,0)</f>
        <v>0</v>
      </c>
      <c r="I696" s="214">
        <f>VLOOKUP($B696,R_DG!$A$7:$G$1305,7,0)</f>
        <v>0</v>
      </c>
      <c r="J696" s="214">
        <f t="shared" si="200"/>
        <v>0</v>
      </c>
      <c r="K696" s="214">
        <f t="shared" si="200"/>
        <v>0</v>
      </c>
      <c r="L696" s="220">
        <f t="shared" si="200"/>
        <v>0</v>
      </c>
      <c r="M696" s="93">
        <f t="shared" si="201"/>
        <v>0</v>
      </c>
      <c r="N696" s="328">
        <f t="shared" ca="1" si="202"/>
        <v>0</v>
      </c>
    </row>
    <row r="697" spans="1:14" ht="20.100000000000001" customHeight="1">
      <c r="A697" s="28" t="s">
        <v>2280</v>
      </c>
      <c r="B697" s="24"/>
      <c r="C697" s="34"/>
      <c r="D697" s="25" t="s">
        <v>2281</v>
      </c>
      <c r="E697" s="25" t="s">
        <v>163</v>
      </c>
      <c r="F697" s="26"/>
      <c r="G697" s="213"/>
      <c r="H697" s="213"/>
      <c r="I697" s="213"/>
      <c r="J697" s="213">
        <f>SUM(J698:J703)</f>
        <v>268000</v>
      </c>
      <c r="K697" s="213">
        <f>SUM(K698:K703)</f>
        <v>130256.24919999999</v>
      </c>
      <c r="L697" s="219">
        <f>SUM(L698:L703)</f>
        <v>0</v>
      </c>
      <c r="M697" s="92">
        <f>IF(ERROR.TYPE(IF(HLOOKUP(A697,maBK,1,0)&lt;&gt;"",#NULL!,"ABC"))&lt;&gt;7,1,0)</f>
        <v>1</v>
      </c>
      <c r="N697" s="327">
        <f ca="1">SUMIF(maBK,$A697,tongBK1)</f>
        <v>0</v>
      </c>
    </row>
    <row r="698" spans="1:14" ht="20.100000000000001" customHeight="1">
      <c r="A698" s="87"/>
      <c r="B698" s="7" t="s">
        <v>686</v>
      </c>
      <c r="C698" s="32">
        <f>VLOOKUP($B698,R_DG!$A$7:$G$1305,2,0)</f>
        <v>0</v>
      </c>
      <c r="D698" s="8" t="str">
        <f>VLOOKUP($B698,R_DG!$A$7:$G$1305,3,0)</f>
        <v>Ty neo φ16x2400</v>
      </c>
      <c r="E698" s="9" t="str">
        <f>VLOOKUP($B698,R_DG!$A$7:$G$1305,4,0)</f>
        <v>cái</v>
      </c>
      <c r="F698" s="11">
        <v>1</v>
      </c>
      <c r="G698" s="214">
        <f>VLOOKUP($B698,R_DG!$A$7:$G$1305,5,0)</f>
        <v>185000</v>
      </c>
      <c r="H698" s="214">
        <f>VLOOKUP($B698,R_DG!$A$7:$G$1305,6,0)</f>
        <v>0</v>
      </c>
      <c r="I698" s="214">
        <f>VLOOKUP($B698,R_DG!$A$7:$G$1305,7,0)</f>
        <v>0</v>
      </c>
      <c r="J698" s="214">
        <f t="shared" si="200"/>
        <v>185000</v>
      </c>
      <c r="K698" s="214">
        <f t="shared" si="200"/>
        <v>0</v>
      </c>
      <c r="L698" s="220">
        <f t="shared" si="200"/>
        <v>0</v>
      </c>
      <c r="M698" s="93">
        <f t="shared" ref="M698:M703" si="203">IF(F698&gt;0,M$697,0)</f>
        <v>1</v>
      </c>
      <c r="N698" s="328">
        <f t="shared" ref="N698:N703" ca="1" si="204">$F698*N$697</f>
        <v>0</v>
      </c>
    </row>
    <row r="699" spans="1:14" ht="20.100000000000001" customHeight="1">
      <c r="A699" s="87"/>
      <c r="B699" s="7" t="s">
        <v>696</v>
      </c>
      <c r="C699" s="32">
        <f>VLOOKUP($B699,R_DG!$A$7:$G$1305,2,0)</f>
        <v>0</v>
      </c>
      <c r="D699" s="8" t="str">
        <f>VLOOKUP($B699,R_DG!$A$7:$G$1305,3,0)</f>
        <v>Neo xòe 8 hướng (dày 3,2mm)</v>
      </c>
      <c r="E699" s="9" t="str">
        <f>VLOOKUP($B699,R_DG!$A$7:$G$1305,4,0)</f>
        <v>cái</v>
      </c>
      <c r="F699" s="11">
        <v>1</v>
      </c>
      <c r="G699" s="214">
        <f>VLOOKUP($B699,R_DG!$A$7:$G$1305,5,0)</f>
        <v>83000</v>
      </c>
      <c r="H699" s="214">
        <f>VLOOKUP($B699,R_DG!$A$7:$G$1305,6,0)</f>
        <v>0</v>
      </c>
      <c r="I699" s="214">
        <f>VLOOKUP($B699,R_DG!$A$7:$G$1305,7,0)</f>
        <v>0</v>
      </c>
      <c r="J699" s="214">
        <f t="shared" si="200"/>
        <v>83000</v>
      </c>
      <c r="K699" s="214">
        <f t="shared" si="200"/>
        <v>0</v>
      </c>
      <c r="L699" s="220">
        <f t="shared" si="200"/>
        <v>0</v>
      </c>
      <c r="M699" s="93">
        <f t="shared" si="203"/>
        <v>1</v>
      </c>
      <c r="N699" s="328">
        <f t="shared" ca="1" si="204"/>
        <v>0</v>
      </c>
    </row>
    <row r="700" spans="1:14" ht="20.100000000000001" customHeight="1">
      <c r="A700" s="87"/>
      <c r="B700" s="7" t="str">
        <f>IF(CAPDAT=1,"MDD1",IF(CAPDAT=2,"MDD2",IF(CAPDAT=3,"MDD3",IF(CAPDAT=4,"MDD4"))))</f>
        <v>MDD3</v>
      </c>
      <c r="C700" s="32" t="str">
        <f>VLOOKUP($B700,R_DG!$A$7:$G$1305,2,0)</f>
        <v>AB.11400</v>
      </c>
      <c r="D700" s="8" t="str">
        <f>VLOOKUP($B700,R_DG!$A$7:$G$1305,3,0)</f>
        <v>Đào hố móng đất cấp 3 sâu &gt;1m, rộng &lt;1m</v>
      </c>
      <c r="E700" s="9" t="str">
        <f>VLOOKUP($B700,R_DG!$A$7:$G$1305,4,0)</f>
        <v>m3</v>
      </c>
      <c r="F700" s="11">
        <v>0.251</v>
      </c>
      <c r="G700" s="214">
        <f>VLOOKUP($B700,R_DG!$A$7:$G$1305,5,0)</f>
        <v>0</v>
      </c>
      <c r="H700" s="214">
        <f>VLOOKUP($B700,R_DG!$A$7:$G$1305,6,0)</f>
        <v>418738.31999999995</v>
      </c>
      <c r="I700" s="214">
        <f>VLOOKUP($B700,R_DG!$A$7:$G$1305,7,0)</f>
        <v>0</v>
      </c>
      <c r="J700" s="214">
        <f t="shared" si="200"/>
        <v>0</v>
      </c>
      <c r="K700" s="214">
        <f t="shared" si="200"/>
        <v>105103.31831999999</v>
      </c>
      <c r="L700" s="220">
        <f t="shared" si="200"/>
        <v>0</v>
      </c>
      <c r="M700" s="93">
        <f t="shared" si="203"/>
        <v>1</v>
      </c>
      <c r="N700" s="328">
        <f t="shared" ca="1" si="204"/>
        <v>0</v>
      </c>
    </row>
    <row r="701" spans="1:14" ht="15">
      <c r="A701" s="87"/>
      <c r="B701" s="7" t="str">
        <f>IF(CAPDAT=1,"MDAP1",IF(CAPDAT=2,"MDAP2",IF(CAPDAT=3,"MDAP3",IF(CAPDAT=4,"MDAP4"))))</f>
        <v>MDAP3</v>
      </c>
      <c r="C701" s="32" t="str">
        <f>VLOOKUP($B701,R_DG!$A$7:$G$1305,2,0)</f>
        <v>AB.13000</v>
      </c>
      <c r="D701" s="8" t="str">
        <f>VLOOKUP($B701,R_DG!$A$7:$G$1305,3,0)</f>
        <v>Đắp đất hố móng, đất cấp 3, k = 0,85</v>
      </c>
      <c r="E701" s="9" t="str">
        <f>VLOOKUP($B701,R_DG!$A$7:$G$1305,4,0)</f>
        <v>m3</v>
      </c>
      <c r="F701" s="11">
        <v>0.251</v>
      </c>
      <c r="G701" s="214">
        <f>VLOOKUP($B701,R_DG!$A$7:$G$1305,5,0)</f>
        <v>0</v>
      </c>
      <c r="H701" s="214">
        <f>VLOOKUP($B701,R_DG!$A$7:$G$1305,6,0)</f>
        <v>100210.88</v>
      </c>
      <c r="I701" s="214">
        <f>VLOOKUP($B701,R_DG!$A$7:$G$1305,7,0)</f>
        <v>0</v>
      </c>
      <c r="J701" s="214">
        <f t="shared" si="200"/>
        <v>0</v>
      </c>
      <c r="K701" s="214">
        <f t="shared" si="200"/>
        <v>25152.93088</v>
      </c>
      <c r="L701" s="220">
        <f t="shared" si="200"/>
        <v>0</v>
      </c>
      <c r="M701" s="93">
        <f t="shared" si="203"/>
        <v>1</v>
      </c>
      <c r="N701" s="328">
        <f t="shared" ca="1" si="204"/>
        <v>0</v>
      </c>
    </row>
    <row r="702" spans="1:14" ht="15">
      <c r="A702" s="87"/>
      <c r="B702" s="7" t="s">
        <v>2279</v>
      </c>
      <c r="C702" s="32" t="str">
        <f>VLOOKUP($B702,R_DG!$A$7:$G$1305,2,0)</f>
        <v>02.3111</v>
      </c>
      <c r="D702" s="8" t="str">
        <f>VLOOKUP($B702,R_DG!$A$7:$G$1305,3,0)</f>
        <v>Bốc dỡ neo xèo</v>
      </c>
      <c r="E702" s="9" t="str">
        <f>VLOOKUP($B702,R_DG!$A$7:$G$1305,4,0)</f>
        <v>tấn</v>
      </c>
      <c r="F702" s="11"/>
      <c r="G702" s="214">
        <f>VLOOKUP($B702,R_DG!$A$7:$G$1305,5,0)</f>
        <v>0</v>
      </c>
      <c r="H702" s="214">
        <f>VLOOKUP($B702,R_DG!$A$7:$G$1305,6,0)</f>
        <v>0</v>
      </c>
      <c r="I702" s="214">
        <f>VLOOKUP($B702,R_DG!$A$7:$G$1305,7,0)</f>
        <v>0</v>
      </c>
      <c r="J702" s="214">
        <f t="shared" si="200"/>
        <v>0</v>
      </c>
      <c r="K702" s="214">
        <f t="shared" si="200"/>
        <v>0</v>
      </c>
      <c r="L702" s="220">
        <f t="shared" si="200"/>
        <v>0</v>
      </c>
      <c r="M702" s="93">
        <f t="shared" si="203"/>
        <v>0</v>
      </c>
      <c r="N702" s="328">
        <f t="shared" ca="1" si="204"/>
        <v>0</v>
      </c>
    </row>
    <row r="703" spans="1:14" ht="15">
      <c r="A703" s="87"/>
      <c r="B703" s="7" t="s">
        <v>696</v>
      </c>
      <c r="C703" s="32">
        <f>VLOOKUP($B703,R_DG!$A$7:$G$1305,2,0)</f>
        <v>0</v>
      </c>
      <c r="D703" s="8" t="str">
        <f>VLOOKUP($B703,R_DG!$A$7:$G$1305,3,0)</f>
        <v>Neo xòe 8 hướng (dày 3,2mm)</v>
      </c>
      <c r="E703" s="9" t="str">
        <f>VLOOKUP($B703,R_DG!$A$7:$G$1305,4,0)</f>
        <v>cái</v>
      </c>
      <c r="F703" s="11"/>
      <c r="G703" s="214">
        <f>VLOOKUP($B703,R_DG!$A$7:$G$1305,5,0)</f>
        <v>83000</v>
      </c>
      <c r="H703" s="214">
        <f>VLOOKUP($B703,R_DG!$A$7:$G$1305,6,0)</f>
        <v>0</v>
      </c>
      <c r="I703" s="214">
        <f>VLOOKUP($B703,R_DG!$A$7:$G$1305,7,0)</f>
        <v>0</v>
      </c>
      <c r="J703" s="214">
        <f t="shared" si="200"/>
        <v>0</v>
      </c>
      <c r="K703" s="214">
        <f t="shared" si="200"/>
        <v>0</v>
      </c>
      <c r="L703" s="220">
        <f t="shared" si="200"/>
        <v>0</v>
      </c>
      <c r="M703" s="93">
        <f t="shared" si="203"/>
        <v>0</v>
      </c>
      <c r="N703" s="328">
        <f t="shared" ca="1" si="204"/>
        <v>0</v>
      </c>
    </row>
    <row r="704" spans="1:14" ht="15">
      <c r="A704" s="28" t="s">
        <v>2591</v>
      </c>
      <c r="B704" s="24"/>
      <c r="C704" s="34"/>
      <c r="D704" s="25" t="s">
        <v>2590</v>
      </c>
      <c r="E704" s="25" t="s">
        <v>163</v>
      </c>
      <c r="F704" s="26"/>
      <c r="G704" s="213"/>
      <c r="H704" s="213"/>
      <c r="I704" s="213"/>
      <c r="J704" s="213">
        <f>SUM(J705:J710)</f>
        <v>445000</v>
      </c>
      <c r="K704" s="213">
        <f>SUM(K705:K710)</f>
        <v>234046.08919999999</v>
      </c>
      <c r="L704" s="219">
        <f>SUM(L705:L710)</f>
        <v>0</v>
      </c>
      <c r="M704" s="92">
        <f>IF(ERROR.TYPE(IF(HLOOKUP(A704,maBK,1,0)&lt;&gt;"",#NULL!,"ABC"))&lt;&gt;7,1,0)</f>
        <v>1</v>
      </c>
      <c r="N704" s="327">
        <f ca="1">SUMIF(maBK,$A704,tongBK1)</f>
        <v>0</v>
      </c>
    </row>
    <row r="705" spans="1:14" ht="15">
      <c r="A705" s="87"/>
      <c r="B705" s="7" t="s">
        <v>690</v>
      </c>
      <c r="C705" s="32">
        <f>VLOOKUP($B705,R_DG!$A$7:$G$1305,2,0)</f>
        <v>0</v>
      </c>
      <c r="D705" s="8" t="str">
        <f>VLOOKUP($B705,R_DG!$A$7:$G$1305,3,0)</f>
        <v>Ty neo φ22x2400</v>
      </c>
      <c r="E705" s="9" t="str">
        <f>VLOOKUP($B705,R_DG!$A$7:$G$1305,4,0)</f>
        <v>cái</v>
      </c>
      <c r="F705" s="11">
        <v>1</v>
      </c>
      <c r="G705" s="214">
        <f>VLOOKUP($B705,R_DG!$A$7:$G$1305,5,0)</f>
        <v>362000</v>
      </c>
      <c r="H705" s="214">
        <f>VLOOKUP($B705,R_DG!$A$7:$G$1305,6,0)</f>
        <v>0</v>
      </c>
      <c r="I705" s="214">
        <f>VLOOKUP($B705,R_DG!$A$7:$G$1305,7,0)</f>
        <v>0</v>
      </c>
      <c r="J705" s="214">
        <f t="shared" si="200"/>
        <v>362000</v>
      </c>
      <c r="K705" s="214">
        <f t="shared" si="200"/>
        <v>0</v>
      </c>
      <c r="L705" s="220">
        <f t="shared" si="200"/>
        <v>0</v>
      </c>
      <c r="M705" s="93">
        <f t="shared" ref="M705:M710" si="205">IF(F705&gt;0,M$704,0)</f>
        <v>1</v>
      </c>
      <c r="N705" s="328">
        <f t="shared" ref="N705:N710" ca="1" si="206">$F705*N$704</f>
        <v>0</v>
      </c>
    </row>
    <row r="706" spans="1:14" ht="15">
      <c r="A706" s="87"/>
      <c r="B706" s="7" t="s">
        <v>696</v>
      </c>
      <c r="C706" s="32">
        <f>VLOOKUP($B706,R_DG!$A$7:$G$1305,2,0)</f>
        <v>0</v>
      </c>
      <c r="D706" s="8" t="str">
        <f>VLOOKUP($B706,R_DG!$A$7:$G$1305,3,0)</f>
        <v>Neo xòe 8 hướng (dày 3,2mm)</v>
      </c>
      <c r="E706" s="9" t="str">
        <f>VLOOKUP($B706,R_DG!$A$7:$G$1305,4,0)</f>
        <v>cái</v>
      </c>
      <c r="F706" s="11">
        <v>1</v>
      </c>
      <c r="G706" s="214">
        <f>VLOOKUP($B706,R_DG!$A$7:$G$1305,5,0)</f>
        <v>83000</v>
      </c>
      <c r="H706" s="214">
        <f>VLOOKUP($B706,R_DG!$A$7:$G$1305,6,0)</f>
        <v>0</v>
      </c>
      <c r="I706" s="214">
        <f>VLOOKUP($B706,R_DG!$A$7:$G$1305,7,0)</f>
        <v>0</v>
      </c>
      <c r="J706" s="214">
        <f t="shared" si="200"/>
        <v>83000</v>
      </c>
      <c r="K706" s="214">
        <f t="shared" si="200"/>
        <v>0</v>
      </c>
      <c r="L706" s="220">
        <f t="shared" si="200"/>
        <v>0</v>
      </c>
      <c r="M706" s="93">
        <f t="shared" si="205"/>
        <v>1</v>
      </c>
      <c r="N706" s="328">
        <f t="shared" ca="1" si="206"/>
        <v>0</v>
      </c>
    </row>
    <row r="707" spans="1:14" ht="15">
      <c r="A707" s="87"/>
      <c r="B707" s="7" t="s">
        <v>484</v>
      </c>
      <c r="C707" s="32" t="str">
        <f>VLOOKUP($B707,R_DG!$A$7:$G$1305,2,0)</f>
        <v>04.9001</v>
      </c>
      <c r="D707" s="8" t="str">
        <f>VLOOKUP($B707,R_DG!$A$7:$G$1305,3,0)</f>
        <v>Bitum</v>
      </c>
      <c r="E707" s="9" t="str">
        <f>VLOOKUP($B707,R_DG!$A$7:$G$1305,4,0)</f>
        <v>m2</v>
      </c>
      <c r="F707" s="11"/>
      <c r="G707" s="214">
        <f>VLOOKUP($B707,R_DG!$A$7:$G$1305,5,0)</f>
        <v>5849</v>
      </c>
      <c r="H707" s="214">
        <f>VLOOKUP($B707,R_DG!$A$7:$G$1305,6,0)</f>
        <v>0</v>
      </c>
      <c r="I707" s="214">
        <f>VLOOKUP($B707,R_DG!$A$7:$G$1305,7,0)</f>
        <v>0</v>
      </c>
      <c r="J707" s="214">
        <f t="shared" si="200"/>
        <v>0</v>
      </c>
      <c r="K707" s="214">
        <f t="shared" si="200"/>
        <v>0</v>
      </c>
      <c r="L707" s="220">
        <f t="shared" si="200"/>
        <v>0</v>
      </c>
      <c r="M707" s="93">
        <f t="shared" si="205"/>
        <v>0</v>
      </c>
      <c r="N707" s="328">
        <f t="shared" ca="1" si="206"/>
        <v>0</v>
      </c>
    </row>
    <row r="708" spans="1:14" ht="15">
      <c r="A708" s="87"/>
      <c r="B708" s="7" t="str">
        <f>IF(CAPDAT=1,"MDD1",IF(CAPDAT=2,"MDD2",IF(CAPDAT=3,"MDD3",IF(CAPDAT=4,"MDD4"))))</f>
        <v>MDD3</v>
      </c>
      <c r="C708" s="32" t="str">
        <f>VLOOKUP($B708,R_DG!$A$7:$G$1305,2,0)</f>
        <v>AB.11400</v>
      </c>
      <c r="D708" s="8" t="str">
        <f>VLOOKUP($B708,R_DG!$A$7:$G$1305,3,0)</f>
        <v>Đào hố móng đất cấp 3 sâu &gt;1m, rộng &lt;1m</v>
      </c>
      <c r="E708" s="9" t="str">
        <f>VLOOKUP($B708,R_DG!$A$7:$G$1305,4,0)</f>
        <v>m3</v>
      </c>
      <c r="F708" s="10">
        <v>0.45100000000000001</v>
      </c>
      <c r="G708" s="214">
        <f>VLOOKUP($B708,R_DG!$A$7:$G$1305,5,0)</f>
        <v>0</v>
      </c>
      <c r="H708" s="214">
        <f>VLOOKUP($B708,R_DG!$A$7:$G$1305,6,0)</f>
        <v>418738.31999999995</v>
      </c>
      <c r="I708" s="214">
        <f>VLOOKUP($B708,R_DG!$A$7:$G$1305,7,0)</f>
        <v>0</v>
      </c>
      <c r="J708" s="214">
        <f t="shared" si="200"/>
        <v>0</v>
      </c>
      <c r="K708" s="214">
        <f t="shared" si="200"/>
        <v>188850.98231999998</v>
      </c>
      <c r="L708" s="220">
        <f t="shared" si="200"/>
        <v>0</v>
      </c>
      <c r="M708" s="93">
        <f t="shared" si="205"/>
        <v>1</v>
      </c>
      <c r="N708" s="328">
        <f t="shared" ca="1" si="206"/>
        <v>0</v>
      </c>
    </row>
    <row r="709" spans="1:14" ht="15">
      <c r="A709" s="87"/>
      <c r="B709" s="7" t="str">
        <f>IF(CAPDAT=1,"MDAP1",IF(CAPDAT=2,"MDAP2",IF(CAPDAT=3,"MDAP3",IF(CAPDAT=4,"MDAP4"))))</f>
        <v>MDAP3</v>
      </c>
      <c r="C709" s="32" t="str">
        <f>VLOOKUP($B709,R_DG!$A$7:$G$1305,2,0)</f>
        <v>AB.13000</v>
      </c>
      <c r="D709" s="8" t="str">
        <f>VLOOKUP($B709,R_DG!$A$7:$G$1305,3,0)</f>
        <v>Đắp đất hố móng, đất cấp 3, k = 0,85</v>
      </c>
      <c r="E709" s="9" t="str">
        <f>VLOOKUP($B709,R_DG!$A$7:$G$1305,4,0)</f>
        <v>m3</v>
      </c>
      <c r="F709" s="10">
        <v>0.45100000000000001</v>
      </c>
      <c r="G709" s="214">
        <f>VLOOKUP($B709,R_DG!$A$7:$G$1305,5,0)</f>
        <v>0</v>
      </c>
      <c r="H709" s="214">
        <f>VLOOKUP($B709,R_DG!$A$7:$G$1305,6,0)</f>
        <v>100210.88</v>
      </c>
      <c r="I709" s="214">
        <f>VLOOKUP($B709,R_DG!$A$7:$G$1305,7,0)</f>
        <v>0</v>
      </c>
      <c r="J709" s="214">
        <f t="shared" si="200"/>
        <v>0</v>
      </c>
      <c r="K709" s="214">
        <f t="shared" si="200"/>
        <v>45195.106880000007</v>
      </c>
      <c r="L709" s="220">
        <f t="shared" si="200"/>
        <v>0</v>
      </c>
      <c r="M709" s="93">
        <f t="shared" si="205"/>
        <v>1</v>
      </c>
      <c r="N709" s="328">
        <f t="shared" ca="1" si="206"/>
        <v>0</v>
      </c>
    </row>
    <row r="710" spans="1:14" ht="15">
      <c r="A710" s="87"/>
      <c r="B710" s="7" t="s">
        <v>2152</v>
      </c>
      <c r="C710" s="32" t="str">
        <f>VLOOKUP($B710,R_DG!$A$7:$G$1305,2,0)</f>
        <v>02.1123</v>
      </c>
      <c r="D710" s="8" t="str">
        <f>VLOOKUP($B710,R_DG!$A$7:$G$1305,3,0)</f>
        <v>Bốc dỡ đà cản, đế néo</v>
      </c>
      <c r="E710" s="9" t="str">
        <f>VLOOKUP($B710,R_DG!$A$7:$G$1305,4,0)</f>
        <v>tấn</v>
      </c>
      <c r="F710" s="11"/>
      <c r="G710" s="214">
        <f>VLOOKUP($B710,R_DG!$A$7:$G$1305,5,0)</f>
        <v>0</v>
      </c>
      <c r="H710" s="214">
        <f>VLOOKUP($B710,R_DG!$A$7:$G$1305,6,0)</f>
        <v>0</v>
      </c>
      <c r="I710" s="214">
        <f>VLOOKUP($B710,R_DG!$A$7:$G$1305,7,0)</f>
        <v>0</v>
      </c>
      <c r="J710" s="214">
        <f t="shared" si="200"/>
        <v>0</v>
      </c>
      <c r="K710" s="214">
        <f t="shared" si="200"/>
        <v>0</v>
      </c>
      <c r="L710" s="220">
        <f t="shared" si="200"/>
        <v>0</v>
      </c>
      <c r="M710" s="93">
        <f t="shared" si="205"/>
        <v>0</v>
      </c>
      <c r="N710" s="328">
        <f t="shared" ca="1" si="206"/>
        <v>0</v>
      </c>
    </row>
    <row r="711" spans="1:14" ht="15">
      <c r="A711" s="89" t="s">
        <v>2592</v>
      </c>
      <c r="B711" s="24"/>
      <c r="C711" s="34"/>
      <c r="D711" s="25" t="s">
        <v>2597</v>
      </c>
      <c r="E711" s="25" t="s">
        <v>163</v>
      </c>
      <c r="F711" s="26"/>
      <c r="G711" s="213"/>
      <c r="H711" s="213"/>
      <c r="I711" s="213"/>
      <c r="J711" s="213">
        <f>SUM(J712:J717)</f>
        <v>445000</v>
      </c>
      <c r="K711" s="213">
        <f>SUM(K712:K717)</f>
        <v>130256.24919999999</v>
      </c>
      <c r="L711" s="219">
        <f>SUM(L712:L717)</f>
        <v>0</v>
      </c>
      <c r="M711" s="92">
        <f>IF(ERROR.TYPE(IF(HLOOKUP(A711,maBK,1,0)&lt;&gt;"",#NULL!,"ABC"))&lt;&gt;7,1,0)</f>
        <v>1</v>
      </c>
      <c r="N711" s="327">
        <f ca="1">SUMIF(maBK,$A711,tongBK1)</f>
        <v>0</v>
      </c>
    </row>
    <row r="712" spans="1:14" ht="15">
      <c r="A712" s="87"/>
      <c r="B712" s="7" t="s">
        <v>690</v>
      </c>
      <c r="C712" s="32">
        <f>VLOOKUP($B712,R_DG!$A$7:$G$1305,2,0)</f>
        <v>0</v>
      </c>
      <c r="D712" s="8" t="str">
        <f>VLOOKUP($B712,R_DG!$A$7:$G$1305,3,0)</f>
        <v>Ty neo φ22x2400</v>
      </c>
      <c r="E712" s="9" t="str">
        <f>VLOOKUP($B712,R_DG!$A$7:$G$1305,4,0)</f>
        <v>cái</v>
      </c>
      <c r="F712" s="11">
        <v>1</v>
      </c>
      <c r="G712" s="214">
        <f>VLOOKUP($B712,R_DG!$A$7:$G$1305,5,0)</f>
        <v>362000</v>
      </c>
      <c r="H712" s="214">
        <f>VLOOKUP($B712,R_DG!$A$7:$G$1305,6,0)</f>
        <v>0</v>
      </c>
      <c r="I712" s="214">
        <f>VLOOKUP($B712,R_DG!$A$7:$G$1305,7,0)</f>
        <v>0</v>
      </c>
      <c r="J712" s="214">
        <f t="shared" si="200"/>
        <v>362000</v>
      </c>
      <c r="K712" s="214">
        <f t="shared" si="200"/>
        <v>0</v>
      </c>
      <c r="L712" s="220">
        <f t="shared" si="200"/>
        <v>0</v>
      </c>
      <c r="M712" s="93">
        <f t="shared" ref="M712:M717" si="207">IF(F712&gt;0,M$711,0)</f>
        <v>1</v>
      </c>
      <c r="N712" s="328">
        <f t="shared" ref="N712:N717" ca="1" si="208">$F712*N$711</f>
        <v>0</v>
      </c>
    </row>
    <row r="713" spans="1:14" ht="15">
      <c r="A713" s="87"/>
      <c r="B713" s="7" t="s">
        <v>696</v>
      </c>
      <c r="C713" s="32">
        <f>VLOOKUP($B713,R_DG!$A$7:$G$1305,2,0)</f>
        <v>0</v>
      </c>
      <c r="D713" s="8" t="str">
        <f>VLOOKUP($B713,R_DG!$A$7:$G$1305,3,0)</f>
        <v>Neo xòe 8 hướng (dày 3,2mm)</v>
      </c>
      <c r="E713" s="9" t="str">
        <f>VLOOKUP($B713,R_DG!$A$7:$G$1305,4,0)</f>
        <v>cái</v>
      </c>
      <c r="F713" s="11">
        <v>1</v>
      </c>
      <c r="G713" s="214">
        <f>VLOOKUP($B713,R_DG!$A$7:$G$1305,5,0)</f>
        <v>83000</v>
      </c>
      <c r="H713" s="214">
        <f>VLOOKUP($B713,R_DG!$A$7:$G$1305,6,0)</f>
        <v>0</v>
      </c>
      <c r="I713" s="214">
        <f>VLOOKUP($B713,R_DG!$A$7:$G$1305,7,0)</f>
        <v>0</v>
      </c>
      <c r="J713" s="214">
        <f t="shared" si="200"/>
        <v>83000</v>
      </c>
      <c r="K713" s="214">
        <f t="shared" si="200"/>
        <v>0</v>
      </c>
      <c r="L713" s="220">
        <f t="shared" si="200"/>
        <v>0</v>
      </c>
      <c r="M713" s="93">
        <f t="shared" si="207"/>
        <v>1</v>
      </c>
      <c r="N713" s="328">
        <f t="shared" ca="1" si="208"/>
        <v>0</v>
      </c>
    </row>
    <row r="714" spans="1:14" ht="15">
      <c r="A714" s="87"/>
      <c r="B714" s="7" t="s">
        <v>484</v>
      </c>
      <c r="C714" s="32" t="str">
        <f>VLOOKUP($B714,R_DG!$A$7:$G$1305,2,0)</f>
        <v>04.9001</v>
      </c>
      <c r="D714" s="8" t="str">
        <f>VLOOKUP($B714,R_DG!$A$7:$G$1305,3,0)</f>
        <v>Bitum</v>
      </c>
      <c r="E714" s="9" t="str">
        <f>VLOOKUP($B714,R_DG!$A$7:$G$1305,4,0)</f>
        <v>m2</v>
      </c>
      <c r="F714" s="11"/>
      <c r="G714" s="214">
        <f>VLOOKUP($B714,R_DG!$A$7:$G$1305,5,0)</f>
        <v>5849</v>
      </c>
      <c r="H714" s="214">
        <f>VLOOKUP($B714,R_DG!$A$7:$G$1305,6,0)</f>
        <v>0</v>
      </c>
      <c r="I714" s="214">
        <f>VLOOKUP($B714,R_DG!$A$7:$G$1305,7,0)</f>
        <v>0</v>
      </c>
      <c r="J714" s="214">
        <f t="shared" si="200"/>
        <v>0</v>
      </c>
      <c r="K714" s="214">
        <f t="shared" si="200"/>
        <v>0</v>
      </c>
      <c r="L714" s="220">
        <f t="shared" si="200"/>
        <v>0</v>
      </c>
      <c r="M714" s="93">
        <f t="shared" si="207"/>
        <v>0</v>
      </c>
      <c r="N714" s="328">
        <f t="shared" ca="1" si="208"/>
        <v>0</v>
      </c>
    </row>
    <row r="715" spans="1:14" ht="15">
      <c r="A715" s="87"/>
      <c r="B715" s="7" t="str">
        <f>IF(CAPDAT=1,"MDD1",IF(CAPDAT=2,"MDD2",IF(CAPDAT=3,"MDD3",IF(CAPDAT=4,"MDD4"))))</f>
        <v>MDD3</v>
      </c>
      <c r="C715" s="32" t="str">
        <f>VLOOKUP($B715,R_DG!$A$7:$G$1305,2,0)</f>
        <v>AB.11400</v>
      </c>
      <c r="D715" s="8" t="str">
        <f>VLOOKUP($B715,R_DG!$A$7:$G$1305,3,0)</f>
        <v>Đào hố móng đất cấp 3 sâu &gt;1m, rộng &lt;1m</v>
      </c>
      <c r="E715" s="9" t="str">
        <f>VLOOKUP($B715,R_DG!$A$7:$G$1305,4,0)</f>
        <v>m3</v>
      </c>
      <c r="F715" s="11">
        <v>0.251</v>
      </c>
      <c r="G715" s="214">
        <f>VLOOKUP($B715,R_DG!$A$7:$G$1305,5,0)</f>
        <v>0</v>
      </c>
      <c r="H715" s="214">
        <f>VLOOKUP($B715,R_DG!$A$7:$G$1305,6,0)</f>
        <v>418738.31999999995</v>
      </c>
      <c r="I715" s="214">
        <f>VLOOKUP($B715,R_DG!$A$7:$G$1305,7,0)</f>
        <v>0</v>
      </c>
      <c r="J715" s="214">
        <f t="shared" si="200"/>
        <v>0</v>
      </c>
      <c r="K715" s="214">
        <f t="shared" si="200"/>
        <v>105103.31831999999</v>
      </c>
      <c r="L715" s="220">
        <f t="shared" si="200"/>
        <v>0</v>
      </c>
      <c r="M715" s="93">
        <f t="shared" si="207"/>
        <v>1</v>
      </c>
      <c r="N715" s="328">
        <f t="shared" ca="1" si="208"/>
        <v>0</v>
      </c>
    </row>
    <row r="716" spans="1:14" ht="15">
      <c r="A716" s="87"/>
      <c r="B716" s="7" t="str">
        <f>IF(CAPDAT=1,"MDAP1",IF(CAPDAT=2,"MDAP2",IF(CAPDAT=3,"MDAP3",IF(CAPDAT=4,"MDAP4"))))</f>
        <v>MDAP3</v>
      </c>
      <c r="C716" s="32" t="str">
        <f>VLOOKUP($B716,R_DG!$A$7:$G$1305,2,0)</f>
        <v>AB.13000</v>
      </c>
      <c r="D716" s="8" t="str">
        <f>VLOOKUP($B716,R_DG!$A$7:$G$1305,3,0)</f>
        <v>Đắp đất hố móng, đất cấp 3, k = 0,85</v>
      </c>
      <c r="E716" s="9" t="str">
        <f>VLOOKUP($B716,R_DG!$A$7:$G$1305,4,0)</f>
        <v>m3</v>
      </c>
      <c r="F716" s="11">
        <v>0.251</v>
      </c>
      <c r="G716" s="214">
        <f>VLOOKUP($B716,R_DG!$A$7:$G$1305,5,0)</f>
        <v>0</v>
      </c>
      <c r="H716" s="214">
        <f>VLOOKUP($B716,R_DG!$A$7:$G$1305,6,0)</f>
        <v>100210.88</v>
      </c>
      <c r="I716" s="214">
        <f>VLOOKUP($B716,R_DG!$A$7:$G$1305,7,0)</f>
        <v>0</v>
      </c>
      <c r="J716" s="214">
        <f t="shared" si="200"/>
        <v>0</v>
      </c>
      <c r="K716" s="214">
        <f t="shared" si="200"/>
        <v>25152.93088</v>
      </c>
      <c r="L716" s="220">
        <f t="shared" si="200"/>
        <v>0</v>
      </c>
      <c r="M716" s="93">
        <f t="shared" si="207"/>
        <v>1</v>
      </c>
      <c r="N716" s="328">
        <f t="shared" ca="1" si="208"/>
        <v>0</v>
      </c>
    </row>
    <row r="717" spans="1:14" ht="15">
      <c r="A717" s="87"/>
      <c r="B717" s="7" t="s">
        <v>2152</v>
      </c>
      <c r="C717" s="32" t="str">
        <f>VLOOKUP($B717,R_DG!$A$7:$G$1305,2,0)</f>
        <v>02.1123</v>
      </c>
      <c r="D717" s="8" t="str">
        <f>VLOOKUP($B717,R_DG!$A$7:$G$1305,3,0)</f>
        <v>Bốc dỡ đà cản, đế néo</v>
      </c>
      <c r="E717" s="9" t="str">
        <f>VLOOKUP($B717,R_DG!$A$7:$G$1305,4,0)</f>
        <v>tấn</v>
      </c>
      <c r="F717" s="11"/>
      <c r="G717" s="214">
        <f>VLOOKUP($B717,R_DG!$A$7:$G$1305,5,0)</f>
        <v>0</v>
      </c>
      <c r="H717" s="214">
        <f>VLOOKUP($B717,R_DG!$A$7:$G$1305,6,0)</f>
        <v>0</v>
      </c>
      <c r="I717" s="214">
        <f>VLOOKUP($B717,R_DG!$A$7:$G$1305,7,0)</f>
        <v>0</v>
      </c>
      <c r="J717" s="214">
        <f t="shared" si="200"/>
        <v>0</v>
      </c>
      <c r="K717" s="214">
        <f t="shared" si="200"/>
        <v>0</v>
      </c>
      <c r="L717" s="220">
        <f t="shared" si="200"/>
        <v>0</v>
      </c>
      <c r="M717" s="93">
        <f t="shared" si="207"/>
        <v>0</v>
      </c>
      <c r="N717" s="328">
        <f t="shared" ca="1" si="208"/>
        <v>0</v>
      </c>
    </row>
    <row r="718" spans="1:14" ht="15">
      <c r="A718" s="29" t="s">
        <v>2333</v>
      </c>
      <c r="B718" s="30"/>
      <c r="C718" s="34"/>
      <c r="D718" s="25" t="s">
        <v>2332</v>
      </c>
      <c r="E718" s="25" t="s">
        <v>163</v>
      </c>
      <c r="F718" s="31"/>
      <c r="G718" s="213"/>
      <c r="H718" s="213"/>
      <c r="I718" s="213"/>
      <c r="J718" s="213" t="e">
        <f>SUM(J719:J720)</f>
        <v>#REF!</v>
      </c>
      <c r="K718" s="213">
        <f>SUM(K719:K720)</f>
        <v>0</v>
      </c>
      <c r="L718" s="219">
        <f>SUM(L719:L720)</f>
        <v>0</v>
      </c>
      <c r="M718" s="92">
        <f>IF(ERROR.TYPE(IF(HLOOKUP(A718,maBK,1,0)&lt;&gt;"",#NULL!,"ABC"))&lt;&gt;7,1,0)</f>
        <v>0</v>
      </c>
      <c r="N718" s="327">
        <f ca="1">SUMIF(maBK,$A718,tongBK1)</f>
        <v>0</v>
      </c>
    </row>
    <row r="719" spans="1:14" ht="15">
      <c r="A719" s="87"/>
      <c r="B719" s="7" t="s">
        <v>622</v>
      </c>
      <c r="C719" s="32">
        <f>VLOOKUP($B719,R_DG!$A$7:$G$1305,2,0)</f>
        <v>0</v>
      </c>
      <c r="D719" s="8" t="str">
        <f>VLOOKUP($B719,R_DG!$A$7:$G$1305,3,0)</f>
        <v>Uclevis</v>
      </c>
      <c r="E719" s="9" t="str">
        <f>VLOOKUP($B719,R_DG!$A$7:$G$1305,4,0)</f>
        <v>bộ</v>
      </c>
      <c r="F719" s="11">
        <v>1</v>
      </c>
      <c r="G719" s="214">
        <f>VLOOKUP($B719,R_DG!$A$7:$G$1305,5,0)</f>
        <v>17000</v>
      </c>
      <c r="H719" s="214">
        <f>VLOOKUP($B719,R_DG!$A$7:$G$1305,6,0)</f>
        <v>0</v>
      </c>
      <c r="I719" s="214">
        <f>VLOOKUP($B719,R_DG!$A$7:$G$1305,7,0)</f>
        <v>0</v>
      </c>
      <c r="J719" s="214">
        <f t="shared" ref="J719:L720" si="209">G719*$F719</f>
        <v>17000</v>
      </c>
      <c r="K719" s="214">
        <f t="shared" si="209"/>
        <v>0</v>
      </c>
      <c r="L719" s="220">
        <f t="shared" si="209"/>
        <v>0</v>
      </c>
      <c r="M719" s="93">
        <f>IF(F719&gt;0,M$718,0)</f>
        <v>0</v>
      </c>
      <c r="N719" s="328">
        <f ca="1">$F719*N$718</f>
        <v>0</v>
      </c>
    </row>
    <row r="720" spans="1:14" ht="15">
      <c r="A720" s="87"/>
      <c r="B720" s="7" t="s">
        <v>86</v>
      </c>
      <c r="C720" s="32">
        <f>VLOOKUP($B720,R_DG!$A$7:$G$1305,2,0)</f>
        <v>0</v>
      </c>
      <c r="D720" s="8" t="str">
        <f>VLOOKUP($B720,R_DG!$A$7:$G$1305,3,0)</f>
        <v>Boulon 16x300+ 2 long đền vuông D18-50x50x3/Zn</v>
      </c>
      <c r="E720" s="9" t="str">
        <f>VLOOKUP($B720,R_DG!$A$7:$G$1305,4,0)</f>
        <v>bộ</v>
      </c>
      <c r="F720" s="11">
        <v>1</v>
      </c>
      <c r="G720" s="214" t="e">
        <f>VLOOKUP($B720,R_DG!$A$7:$G$1305,5,0)</f>
        <v>#REF!</v>
      </c>
      <c r="H720" s="214">
        <f>VLOOKUP($B720,R_DG!$A$7:$G$1305,6,0)</f>
        <v>0</v>
      </c>
      <c r="I720" s="214">
        <f>VLOOKUP($B720,R_DG!$A$7:$G$1305,7,0)</f>
        <v>0</v>
      </c>
      <c r="J720" s="214" t="e">
        <f t="shared" si="209"/>
        <v>#REF!</v>
      </c>
      <c r="K720" s="214">
        <f t="shared" si="209"/>
        <v>0</v>
      </c>
      <c r="L720" s="220">
        <f t="shared" si="209"/>
        <v>0</v>
      </c>
      <c r="M720" s="93">
        <f>IF(F720&gt;0,M$718,0)</f>
        <v>0</v>
      </c>
      <c r="N720" s="328">
        <f ca="1">$F720*N$718</f>
        <v>0</v>
      </c>
    </row>
    <row r="721" spans="1:14" ht="15">
      <c r="A721" s="29" t="s">
        <v>2283</v>
      </c>
      <c r="B721" s="30"/>
      <c r="C721" s="34"/>
      <c r="D721" s="25" t="s">
        <v>2334</v>
      </c>
      <c r="E721" s="25" t="s">
        <v>163</v>
      </c>
      <c r="F721" s="26"/>
      <c r="G721" s="213"/>
      <c r="H721" s="213"/>
      <c r="I721" s="213"/>
      <c r="J721" s="213">
        <f>SUM(J722:J725)</f>
        <v>161900</v>
      </c>
      <c r="K721" s="213">
        <f>SUM(K722:K725)</f>
        <v>259648.56000000003</v>
      </c>
      <c r="L721" s="219">
        <f>SUM(L722:L725)</f>
        <v>4712.5600000000004</v>
      </c>
      <c r="M721" s="92">
        <f>IF(ERROR.TYPE(IF(HLOOKUP(A721,maBK,1,0)&lt;&gt;"",#NULL!,"ABC"))&lt;&gt;7,1,0)</f>
        <v>0</v>
      </c>
      <c r="N721" s="327">
        <f ca="1">SUMIF(maBK,$A721,tongBK1)</f>
        <v>0</v>
      </c>
    </row>
    <row r="722" spans="1:14" ht="15">
      <c r="A722" s="87"/>
      <c r="B722" s="19" t="s">
        <v>2284</v>
      </c>
      <c r="C722" s="32">
        <f>VLOOKUP($B722,R_DG!$A$7:$G$1305,2,0)</f>
        <v>0</v>
      </c>
      <c r="D722" s="8" t="str">
        <f>VLOOKUP($B722,R_DG!$A$7:$G$1305,3,0)</f>
        <v>Khóa néo dây cỡ dây 50 (5U)</v>
      </c>
      <c r="E722" s="9" t="str">
        <f>VLOOKUP($B722,R_DG!$A$7:$G$1305,4,0)</f>
        <v>cái</v>
      </c>
      <c r="F722" s="11">
        <v>1</v>
      </c>
      <c r="G722" s="214">
        <f>VLOOKUP($B722,R_DG!$A$7:$G$1305,5,0)</f>
        <v>62700</v>
      </c>
      <c r="H722" s="214">
        <f>VLOOKUP($B722,R_DG!$A$7:$G$1305,6,0)</f>
        <v>0</v>
      </c>
      <c r="I722" s="214">
        <f>VLOOKUP($B722,R_DG!$A$7:$G$1305,7,0)</f>
        <v>0</v>
      </c>
      <c r="J722" s="214">
        <f t="shared" ref="J722:L725" si="210">G722*$F722</f>
        <v>62700</v>
      </c>
      <c r="K722" s="214">
        <f t="shared" si="210"/>
        <v>0</v>
      </c>
      <c r="L722" s="220">
        <f t="shared" si="210"/>
        <v>0</v>
      </c>
      <c r="M722" s="93">
        <f>IF(F722&gt;0,M$721,0)</f>
        <v>0</v>
      </c>
      <c r="N722" s="328">
        <f ca="1">$F722*N$721</f>
        <v>0</v>
      </c>
    </row>
    <row r="723" spans="1:14" ht="15">
      <c r="A723" s="87"/>
      <c r="B723" s="7" t="s">
        <v>582</v>
      </c>
      <c r="C723" s="32">
        <f>VLOOKUP($B723,R_DG!$A$7:$G$1305,2,0)</f>
        <v>0</v>
      </c>
      <c r="D723" s="8" t="str">
        <f>VLOOKUP($B723,R_DG!$A$7:$G$1305,3,0)</f>
        <v xml:space="preserve">Móc treo chữ U </v>
      </c>
      <c r="E723" s="9" t="str">
        <f>VLOOKUP($B723,R_DG!$A$7:$G$1305,4,0)</f>
        <v>cái</v>
      </c>
      <c r="F723" s="11">
        <v>2</v>
      </c>
      <c r="G723" s="214">
        <f>VLOOKUP($B723,R_DG!$A$7:$G$1305,5,0)</f>
        <v>28000</v>
      </c>
      <c r="H723" s="214">
        <f>VLOOKUP($B723,R_DG!$A$7:$G$1305,6,0)</f>
        <v>0</v>
      </c>
      <c r="I723" s="214">
        <f>VLOOKUP($B723,R_DG!$A$7:$G$1305,7,0)</f>
        <v>0</v>
      </c>
      <c r="J723" s="214">
        <f t="shared" si="210"/>
        <v>56000</v>
      </c>
      <c r="K723" s="214">
        <f t="shared" si="210"/>
        <v>0</v>
      </c>
      <c r="L723" s="220">
        <f t="shared" si="210"/>
        <v>0</v>
      </c>
      <c r="M723" s="93">
        <f>IF(F723&gt;0,M$721,0)</f>
        <v>0</v>
      </c>
      <c r="N723" s="328">
        <f ca="1">$F723*N$721</f>
        <v>0</v>
      </c>
    </row>
    <row r="724" spans="1:14" ht="15">
      <c r="A724" s="87"/>
      <c r="B724" s="7" t="s">
        <v>144</v>
      </c>
      <c r="C724" s="32">
        <f>VLOOKUP($B724,R_DG!$A$7:$G$1305,2,0)</f>
        <v>0</v>
      </c>
      <c r="D724" s="8" t="str">
        <f>VLOOKUP($B724,R_DG!$A$7:$G$1305,3,0)</f>
        <v>Boulon mắt 16x300+ 2 long đền vuông D18-50x50x3/Zn</v>
      </c>
      <c r="E724" s="9" t="str">
        <f>VLOOKUP($B724,R_DG!$A$7:$G$1305,4,0)</f>
        <v>bộ</v>
      </c>
      <c r="F724" s="11">
        <v>1</v>
      </c>
      <c r="G724" s="214">
        <f>VLOOKUP($B724,R_DG!$A$7:$G$1305,5,0)</f>
        <v>30200</v>
      </c>
      <c r="H724" s="214">
        <f>VLOOKUP($B724,R_DG!$A$7:$G$1305,6,0)</f>
        <v>0</v>
      </c>
      <c r="I724" s="214">
        <f>VLOOKUP($B724,R_DG!$A$7:$G$1305,7,0)</f>
        <v>0</v>
      </c>
      <c r="J724" s="214">
        <f t="shared" si="210"/>
        <v>30200</v>
      </c>
      <c r="K724" s="214">
        <f t="shared" si="210"/>
        <v>0</v>
      </c>
      <c r="L724" s="220">
        <f t="shared" si="210"/>
        <v>0</v>
      </c>
      <c r="M724" s="93">
        <f>IF(F724&gt;0,M$721,0)</f>
        <v>0</v>
      </c>
      <c r="N724" s="328">
        <f ca="1">$F724*N$721</f>
        <v>0</v>
      </c>
    </row>
    <row r="725" spans="1:14" ht="15">
      <c r="A725" s="87"/>
      <c r="B725" s="7" t="s">
        <v>500</v>
      </c>
      <c r="C725" s="32" t="str">
        <f>VLOOKUP($B725,R_DG!$A$7:$G$1305,2,0)</f>
        <v>D3.4011</v>
      </c>
      <c r="D725" s="8" t="str">
        <f>VLOOKUP($B725,R_DG!$A$7:$G$1305,3,0)</f>
        <v>Kẹp ép WR cỡ dây 50mm2</v>
      </c>
      <c r="E725" s="9" t="str">
        <f>VLOOKUP($B725,R_DG!$A$7:$G$1305,4,0)</f>
        <v>cái</v>
      </c>
      <c r="F725" s="11">
        <v>1</v>
      </c>
      <c r="G725" s="214">
        <f>VLOOKUP($B725,R_DG!$A$7:$G$1305,5,0)</f>
        <v>13000</v>
      </c>
      <c r="H725" s="214">
        <f>VLOOKUP($B725,R_DG!$A$7:$G$1305,6,0)</f>
        <v>259648.56000000003</v>
      </c>
      <c r="I725" s="214">
        <f>VLOOKUP($B725,R_DG!$A$7:$G$1305,7,0)</f>
        <v>4712.5600000000004</v>
      </c>
      <c r="J725" s="214">
        <f t="shared" si="210"/>
        <v>13000</v>
      </c>
      <c r="K725" s="214">
        <f t="shared" si="210"/>
        <v>259648.56000000003</v>
      </c>
      <c r="L725" s="220">
        <f t="shared" si="210"/>
        <v>4712.5600000000004</v>
      </c>
      <c r="M725" s="93">
        <f>IF(F725&gt;0,M$721,0)</f>
        <v>0</v>
      </c>
      <c r="N725" s="328">
        <f ca="1">$F725*N$721</f>
        <v>0</v>
      </c>
    </row>
    <row r="726" spans="1:14" ht="15">
      <c r="A726" s="29" t="s">
        <v>2285</v>
      </c>
      <c r="B726" s="216"/>
      <c r="C726" s="34"/>
      <c r="D726" s="25" t="s">
        <v>2337</v>
      </c>
      <c r="E726" s="25" t="s">
        <v>163</v>
      </c>
      <c r="F726" s="31"/>
      <c r="G726" s="213"/>
      <c r="H726" s="213"/>
      <c r="I726" s="213"/>
      <c r="J726" s="213">
        <f>SUM(J727:J728)</f>
        <v>241000</v>
      </c>
      <c r="K726" s="213">
        <f>SUM(K727:K728)</f>
        <v>55458.14</v>
      </c>
      <c r="L726" s="219">
        <f>SUM(L727:L728)</f>
        <v>0</v>
      </c>
      <c r="M726" s="92">
        <f>IF(ERROR.TYPE(IF(HLOOKUP(A726,maBK,1,0)&lt;&gt;"",#NULL!,"ABC"))&lt;&gt;7,1,0)</f>
        <v>0</v>
      </c>
      <c r="N726" s="327">
        <f ca="1">SUMIF(maBK,$A726,tongBK1)</f>
        <v>0</v>
      </c>
    </row>
    <row r="727" spans="1:14" ht="15">
      <c r="A727" s="87"/>
      <c r="B727" s="7" t="s">
        <v>626</v>
      </c>
      <c r="C727" s="32" t="str">
        <f>VLOOKUP($B727,R_DG!$A$7:$G$1305,2,0)</f>
        <v>D3.1122</v>
      </c>
      <c r="D727" s="8" t="str">
        <f>VLOOKUP($B727,R_DG!$A$7:$G$1305,3,0)</f>
        <v xml:space="preserve">Sứ đứng 24KV </v>
      </c>
      <c r="E727" s="9" t="str">
        <f>VLOOKUP($B727,R_DG!$A$7:$G$1305,4,0)</f>
        <v>cái</v>
      </c>
      <c r="F727" s="11">
        <v>1</v>
      </c>
      <c r="G727" s="214">
        <f>VLOOKUP($B727,R_DG!$A$7:$G$1305,5,0)</f>
        <v>185000</v>
      </c>
      <c r="H727" s="214">
        <f>VLOOKUP($B727,R_DG!$A$7:$G$1305,6,0)</f>
        <v>55458.14</v>
      </c>
      <c r="I727" s="214">
        <f>VLOOKUP($B727,R_DG!$A$7:$G$1305,7,0)</f>
        <v>0</v>
      </c>
      <c r="J727" s="214">
        <f t="shared" ref="J727:L728" si="211">G727*$F727</f>
        <v>185000</v>
      </c>
      <c r="K727" s="214">
        <f t="shared" si="211"/>
        <v>55458.14</v>
      </c>
      <c r="L727" s="220">
        <f t="shared" si="211"/>
        <v>0</v>
      </c>
      <c r="M727" s="93">
        <f>IF(F727&gt;0,M$726,0)</f>
        <v>0</v>
      </c>
      <c r="N727" s="328">
        <f ca="1">$F727*N$726</f>
        <v>0</v>
      </c>
    </row>
    <row r="728" spans="1:14" ht="15">
      <c r="A728" s="87"/>
      <c r="B728" s="7" t="s">
        <v>384</v>
      </c>
      <c r="C728" s="32">
        <f>VLOOKUP($B728,R_DG!$A$7:$G$1305,2,0)</f>
        <v>0</v>
      </c>
      <c r="D728" s="8" t="str">
        <f>VLOOKUP($B728,R_DG!$A$7:$G$1305,3,0)</f>
        <v>Chân sứ đứng D20</v>
      </c>
      <c r="E728" s="9" t="str">
        <f>VLOOKUP($B728,R_DG!$A$7:$G$1305,4,0)</f>
        <v>cái</v>
      </c>
      <c r="F728" s="11">
        <v>1</v>
      </c>
      <c r="G728" s="214">
        <f>VLOOKUP($B728,R_DG!$A$7:$G$1305,5,0)</f>
        <v>56000</v>
      </c>
      <c r="H728" s="214">
        <f>VLOOKUP($B728,R_DG!$A$7:$G$1305,6,0)</f>
        <v>0</v>
      </c>
      <c r="I728" s="214">
        <f>VLOOKUP($B728,R_DG!$A$7:$G$1305,7,0)</f>
        <v>0</v>
      </c>
      <c r="J728" s="214">
        <f t="shared" si="211"/>
        <v>56000</v>
      </c>
      <c r="K728" s="214">
        <f t="shared" si="211"/>
        <v>0</v>
      </c>
      <c r="L728" s="220">
        <f t="shared" si="211"/>
        <v>0</v>
      </c>
      <c r="M728" s="93">
        <f>IF(F728&gt;0,M$726,0)</f>
        <v>0</v>
      </c>
      <c r="N728" s="328">
        <f ca="1">$F728*N$726</f>
        <v>0</v>
      </c>
    </row>
    <row r="729" spans="1:14" ht="15">
      <c r="A729" s="29" t="s">
        <v>2286</v>
      </c>
      <c r="B729" s="216"/>
      <c r="C729" s="34"/>
      <c r="D729" s="25" t="s">
        <v>2336</v>
      </c>
      <c r="E729" s="25" t="s">
        <v>163</v>
      </c>
      <c r="F729" s="31"/>
      <c r="G729" s="213"/>
      <c r="H729" s="213"/>
      <c r="I729" s="213"/>
      <c r="J729" s="213" t="e">
        <f>SUM(J730:J732)</f>
        <v>#REF!</v>
      </c>
      <c r="K729" s="213">
        <f>SUM(K730:K732)</f>
        <v>55458.14</v>
      </c>
      <c r="L729" s="219">
        <f>SUM(L730:L732)</f>
        <v>0</v>
      </c>
      <c r="M729" s="92">
        <f>IF(ERROR.TYPE(IF(HLOOKUP(A729,maBK,1,0)&lt;&gt;"",#NULL!,"ABC"))&lt;&gt;7,1,0)</f>
        <v>0</v>
      </c>
      <c r="N729" s="327">
        <f ca="1">SUMIF(maBK,$A729,tongBK1)</f>
        <v>0</v>
      </c>
    </row>
    <row r="730" spans="1:14" ht="15">
      <c r="A730" s="87"/>
      <c r="B730" s="7" t="s">
        <v>626</v>
      </c>
      <c r="C730" s="32" t="str">
        <f>VLOOKUP($B730,R_DG!$A$7:$G$1305,2,0)</f>
        <v>D3.1122</v>
      </c>
      <c r="D730" s="8" t="str">
        <f>VLOOKUP($B730,R_DG!$A$7:$G$1305,3,0)</f>
        <v xml:space="preserve">Sứ đứng 24KV </v>
      </c>
      <c r="E730" s="9" t="str">
        <f>VLOOKUP($B730,R_DG!$A$7:$G$1305,4,0)</f>
        <v>cái</v>
      </c>
      <c r="F730" s="11">
        <v>1</v>
      </c>
      <c r="G730" s="214">
        <f>VLOOKUP($B730,R_DG!$A$7:$G$1305,5,0)</f>
        <v>185000</v>
      </c>
      <c r="H730" s="214">
        <f>VLOOKUP($B730,R_DG!$A$7:$G$1305,6,0)</f>
        <v>55458.14</v>
      </c>
      <c r="I730" s="214">
        <f>VLOOKUP($B730,R_DG!$A$7:$G$1305,7,0)</f>
        <v>0</v>
      </c>
      <c r="J730" s="214">
        <f t="shared" ref="J730:L732" si="212">G730*$F730</f>
        <v>185000</v>
      </c>
      <c r="K730" s="214">
        <f t="shared" si="212"/>
        <v>55458.14</v>
      </c>
      <c r="L730" s="220">
        <f t="shared" si="212"/>
        <v>0</v>
      </c>
      <c r="M730" s="93">
        <f>IF(F730&gt;0,M$729,0)</f>
        <v>0</v>
      </c>
      <c r="N730" s="328">
        <f ca="1">$F730*N$729</f>
        <v>0</v>
      </c>
    </row>
    <row r="731" spans="1:14" ht="15">
      <c r="A731" s="87"/>
      <c r="B731" s="7" t="s">
        <v>382</v>
      </c>
      <c r="C731" s="32">
        <f>VLOOKUP($B731,R_DG!$A$7:$G$1305,2,0)</f>
        <v>0</v>
      </c>
      <c r="D731" s="8" t="str">
        <f>VLOOKUP($B731,R_DG!$A$7:$G$1305,3,0)</f>
        <v>Chân sứ đỉnh thẳng dài 870x4mm</v>
      </c>
      <c r="E731" s="9" t="str">
        <f>VLOOKUP($B731,R_DG!$A$7:$G$1305,4,0)</f>
        <v>cái</v>
      </c>
      <c r="F731" s="11">
        <v>1</v>
      </c>
      <c r="G731" s="214">
        <f>VLOOKUP($B731,R_DG!$A$7:$G$1305,5,0)</f>
        <v>118000</v>
      </c>
      <c r="H731" s="214">
        <f>VLOOKUP($B731,R_DG!$A$7:$G$1305,6,0)</f>
        <v>0</v>
      </c>
      <c r="I731" s="214">
        <f>VLOOKUP($B731,R_DG!$A$7:$G$1305,7,0)</f>
        <v>0</v>
      </c>
      <c r="J731" s="214">
        <f t="shared" si="212"/>
        <v>118000</v>
      </c>
      <c r="K731" s="214">
        <f t="shared" si="212"/>
        <v>0</v>
      </c>
      <c r="L731" s="220">
        <f t="shared" si="212"/>
        <v>0</v>
      </c>
      <c r="M731" s="93">
        <f>IF(F731&gt;0,M$729,0)</f>
        <v>0</v>
      </c>
      <c r="N731" s="328">
        <f ca="1">$F731*N$729</f>
        <v>0</v>
      </c>
    </row>
    <row r="732" spans="1:14" ht="15">
      <c r="A732" s="87"/>
      <c r="B732" s="7" t="s">
        <v>86</v>
      </c>
      <c r="C732" s="32">
        <f>VLOOKUP($B732,R_DG!$A$7:$G$1305,2,0)</f>
        <v>0</v>
      </c>
      <c r="D732" s="8" t="str">
        <f>VLOOKUP($B732,R_DG!$A$7:$G$1305,3,0)</f>
        <v>Boulon 16x300+ 2 long đền vuông D18-50x50x3/Zn</v>
      </c>
      <c r="E732" s="9" t="str">
        <f>VLOOKUP($B732,R_DG!$A$7:$G$1305,4,0)</f>
        <v>bộ</v>
      </c>
      <c r="F732" s="11">
        <v>2</v>
      </c>
      <c r="G732" s="214" t="e">
        <f>VLOOKUP($B732,R_DG!$A$7:$G$1305,5,0)</f>
        <v>#REF!</v>
      </c>
      <c r="H732" s="214">
        <f>VLOOKUP($B732,R_DG!$A$7:$G$1305,6,0)</f>
        <v>0</v>
      </c>
      <c r="I732" s="214">
        <f>VLOOKUP($B732,R_DG!$A$7:$G$1305,7,0)</f>
        <v>0</v>
      </c>
      <c r="J732" s="214" t="e">
        <f t="shared" si="212"/>
        <v>#REF!</v>
      </c>
      <c r="K732" s="214">
        <f t="shared" si="212"/>
        <v>0</v>
      </c>
      <c r="L732" s="220">
        <f t="shared" si="212"/>
        <v>0</v>
      </c>
      <c r="M732" s="93">
        <f>IF(F732&gt;0,M$729,0)</f>
        <v>0</v>
      </c>
      <c r="N732" s="328">
        <f ca="1">$F732*N$729</f>
        <v>0</v>
      </c>
    </row>
    <row r="733" spans="1:14" ht="15">
      <c r="A733" s="29" t="s">
        <v>2287</v>
      </c>
      <c r="B733" s="216"/>
      <c r="C733" s="34"/>
      <c r="D733" s="25" t="s">
        <v>2335</v>
      </c>
      <c r="E733" s="25" t="s">
        <v>163</v>
      </c>
      <c r="F733" s="31"/>
      <c r="G733" s="213"/>
      <c r="H733" s="213"/>
      <c r="I733" s="213"/>
      <c r="J733" s="213" t="e">
        <f>SUM(J734:J736)</f>
        <v>#REF!</v>
      </c>
      <c r="K733" s="213">
        <f>SUM(K734:K736)</f>
        <v>110916.28</v>
      </c>
      <c r="L733" s="219">
        <f>SUM(L734:L736)</f>
        <v>0</v>
      </c>
      <c r="M733" s="92">
        <f>IF(ERROR.TYPE(IF(HLOOKUP(A733,maBK,1,0)&lt;&gt;"",#NULL!,"ABC"))&lt;&gt;7,1,0)</f>
        <v>0</v>
      </c>
      <c r="N733" s="327">
        <f ca="1">SUMIF(maBK,$A733,tongBK1)</f>
        <v>0</v>
      </c>
    </row>
    <row r="734" spans="1:14" ht="15">
      <c r="A734" s="90"/>
      <c r="B734" s="7" t="s">
        <v>626</v>
      </c>
      <c r="C734" s="32" t="str">
        <f>VLOOKUP($B734,R_DG!$A$7:$G$1305,2,0)</f>
        <v>D3.1122</v>
      </c>
      <c r="D734" s="8" t="str">
        <f>VLOOKUP($B734,R_DG!$A$7:$G$1305,3,0)</f>
        <v xml:space="preserve">Sứ đứng 24KV </v>
      </c>
      <c r="E734" s="9" t="str">
        <f>VLOOKUP($B734,R_DG!$A$7:$G$1305,4,0)</f>
        <v>cái</v>
      </c>
      <c r="F734" s="14">
        <v>2</v>
      </c>
      <c r="G734" s="214">
        <f>VLOOKUP($B734,R_DG!$A$7:$G$1305,5,0)</f>
        <v>185000</v>
      </c>
      <c r="H734" s="214">
        <f>VLOOKUP($B734,R_DG!$A$7:$G$1305,6,0)</f>
        <v>55458.14</v>
      </c>
      <c r="I734" s="214">
        <f>VLOOKUP($B734,R_DG!$A$7:$G$1305,7,0)</f>
        <v>0</v>
      </c>
      <c r="J734" s="214">
        <f t="shared" ref="J734:L736" si="213">G734*$F734</f>
        <v>370000</v>
      </c>
      <c r="K734" s="214">
        <f t="shared" si="213"/>
        <v>110916.28</v>
      </c>
      <c r="L734" s="220">
        <f t="shared" si="213"/>
        <v>0</v>
      </c>
      <c r="M734" s="93">
        <f>IF(F734&gt;0,M$733,0)</f>
        <v>0</v>
      </c>
      <c r="N734" s="328">
        <f ca="1">$F734*N$733</f>
        <v>0</v>
      </c>
    </row>
    <row r="735" spans="1:14" ht="15">
      <c r="A735" s="90"/>
      <c r="B735" s="7" t="s">
        <v>383</v>
      </c>
      <c r="C735" s="32">
        <f>VLOOKUP($B735,R_DG!$A$7:$G$1305,2,0)</f>
        <v>0</v>
      </c>
      <c r="D735" s="8" t="str">
        <f>VLOOKUP($B735,R_DG!$A$7:$G$1305,3,0)</f>
        <v>Chân sứ đỉnh đỡ góc dài 870x4mm</v>
      </c>
      <c r="E735" s="9" t="str">
        <f>VLOOKUP($B735,R_DG!$A$7:$G$1305,4,0)</f>
        <v>cái</v>
      </c>
      <c r="F735" s="14">
        <v>2</v>
      </c>
      <c r="G735" s="214">
        <f>VLOOKUP($B735,R_DG!$A$7:$G$1305,5,0)</f>
        <v>120000</v>
      </c>
      <c r="H735" s="214">
        <f>VLOOKUP($B735,R_DG!$A$7:$G$1305,6,0)</f>
        <v>0</v>
      </c>
      <c r="I735" s="214">
        <f>VLOOKUP($B735,R_DG!$A$7:$G$1305,7,0)</f>
        <v>0</v>
      </c>
      <c r="J735" s="214">
        <f t="shared" si="213"/>
        <v>240000</v>
      </c>
      <c r="K735" s="214">
        <f t="shared" si="213"/>
        <v>0</v>
      </c>
      <c r="L735" s="220">
        <f t="shared" si="213"/>
        <v>0</v>
      </c>
      <c r="M735" s="93">
        <f>IF(F735&gt;0,M$733,0)</f>
        <v>0</v>
      </c>
      <c r="N735" s="328">
        <f ca="1">$F735*N$733</f>
        <v>0</v>
      </c>
    </row>
    <row r="736" spans="1:14" ht="15">
      <c r="A736" s="90"/>
      <c r="B736" s="7" t="s">
        <v>86</v>
      </c>
      <c r="C736" s="32">
        <f>VLOOKUP($B736,R_DG!$A$7:$G$1305,2,0)</f>
        <v>0</v>
      </c>
      <c r="D736" s="8" t="str">
        <f>VLOOKUP($B736,R_DG!$A$7:$G$1305,3,0)</f>
        <v>Boulon 16x300+ 2 long đền vuông D18-50x50x3/Zn</v>
      </c>
      <c r="E736" s="9" t="str">
        <f>VLOOKUP($B736,R_DG!$A$7:$G$1305,4,0)</f>
        <v>bộ</v>
      </c>
      <c r="F736" s="14">
        <v>2</v>
      </c>
      <c r="G736" s="214" t="e">
        <f>VLOOKUP($B736,R_DG!$A$7:$G$1305,5,0)</f>
        <v>#REF!</v>
      </c>
      <c r="H736" s="214">
        <f>VLOOKUP($B736,R_DG!$A$7:$G$1305,6,0)</f>
        <v>0</v>
      </c>
      <c r="I736" s="214">
        <f>VLOOKUP($B736,R_DG!$A$7:$G$1305,7,0)</f>
        <v>0</v>
      </c>
      <c r="J736" s="214" t="e">
        <f t="shared" si="213"/>
        <v>#REF!</v>
      </c>
      <c r="K736" s="214">
        <f t="shared" si="213"/>
        <v>0</v>
      </c>
      <c r="L736" s="220">
        <f t="shared" si="213"/>
        <v>0</v>
      </c>
      <c r="M736" s="93">
        <f>IF(F736&gt;0,M$733,0)</f>
        <v>0</v>
      </c>
      <c r="N736" s="328">
        <f ca="1">$F736*N$733</f>
        <v>0</v>
      </c>
    </row>
    <row r="737" spans="1:14" ht="15">
      <c r="A737" s="29" t="s">
        <v>2288</v>
      </c>
      <c r="B737" s="216"/>
      <c r="C737" s="34"/>
      <c r="D737" s="25" t="s">
        <v>2345</v>
      </c>
      <c r="E737" s="25" t="s">
        <v>163</v>
      </c>
      <c r="F737" s="31"/>
      <c r="G737" s="213"/>
      <c r="H737" s="213"/>
      <c r="I737" s="213"/>
      <c r="J737" s="213">
        <f>SUM(J738:J742)</f>
        <v>278900</v>
      </c>
      <c r="K737" s="213">
        <f>SUM(K738:K742)</f>
        <v>0</v>
      </c>
      <c r="L737" s="219">
        <f>SUM(L738:L742)</f>
        <v>0</v>
      </c>
      <c r="M737" s="92">
        <f>IF(ERROR.TYPE(IF(HLOOKUP(A737,maBK,1,0)&lt;&gt;"",#NULL!,"ABC"))&lt;&gt;7,1,0)</f>
        <v>0</v>
      </c>
      <c r="N737" s="327">
        <f ca="1">SUMIF(maBK,$A737,tongBK1)</f>
        <v>0</v>
      </c>
    </row>
    <row r="738" spans="1:14" ht="15">
      <c r="A738" s="87"/>
      <c r="B738" s="7" t="s">
        <v>2289</v>
      </c>
      <c r="C738" s="32">
        <f>VLOOKUP($B738,R_DG!$A$7:$G$1305,2,0)</f>
        <v>0</v>
      </c>
      <c r="D738" s="8" t="str">
        <f>VLOOKUP($B738,R_DG!$A$7:$G$1305,3,0)</f>
        <v>Sứ treo loại 70kN</v>
      </c>
      <c r="E738" s="9" t="str">
        <f>VLOOKUP($B738,R_DG!$A$7:$G$1305,4,0)</f>
        <v>bát</v>
      </c>
      <c r="F738" s="11">
        <v>2</v>
      </c>
      <c r="G738" s="214">
        <f>VLOOKUP($B738,R_DG!$A$7:$G$1305,5,0)</f>
        <v>73500</v>
      </c>
      <c r="H738" s="214">
        <f>VLOOKUP($B738,R_DG!$A$7:$G$1305,6,0)</f>
        <v>0</v>
      </c>
      <c r="I738" s="214">
        <f>VLOOKUP($B738,R_DG!$A$7:$G$1305,7,0)</f>
        <v>0</v>
      </c>
      <c r="J738" s="214">
        <f t="shared" ref="J738:L742" si="214">G738*$F738</f>
        <v>147000</v>
      </c>
      <c r="K738" s="214">
        <f t="shared" si="214"/>
        <v>0</v>
      </c>
      <c r="L738" s="220">
        <f t="shared" si="214"/>
        <v>0</v>
      </c>
      <c r="M738" s="93">
        <f>IF(F738&gt;0,M$737,0)</f>
        <v>0</v>
      </c>
      <c r="N738" s="328">
        <f ca="1">$F738*N$737</f>
        <v>0</v>
      </c>
    </row>
    <row r="739" spans="1:14" ht="15">
      <c r="A739" s="87"/>
      <c r="B739" s="7" t="s">
        <v>582</v>
      </c>
      <c r="C739" s="32">
        <f>VLOOKUP($B739,R_DG!$A$7:$G$1305,2,0)</f>
        <v>0</v>
      </c>
      <c r="D739" s="8" t="str">
        <f>VLOOKUP($B739,R_DG!$A$7:$G$1305,3,0)</f>
        <v xml:space="preserve">Móc treo chữ U </v>
      </c>
      <c r="E739" s="9" t="str">
        <f>VLOOKUP($B739,R_DG!$A$7:$G$1305,4,0)</f>
        <v>cái</v>
      </c>
      <c r="F739" s="11">
        <v>2</v>
      </c>
      <c r="G739" s="214">
        <f>VLOOKUP($B739,R_DG!$A$7:$G$1305,5,0)</f>
        <v>28000</v>
      </c>
      <c r="H739" s="214">
        <f>VLOOKUP($B739,R_DG!$A$7:$G$1305,6,0)</f>
        <v>0</v>
      </c>
      <c r="I739" s="214">
        <f>VLOOKUP($B739,R_DG!$A$7:$G$1305,7,0)</f>
        <v>0</v>
      </c>
      <c r="J739" s="214">
        <f t="shared" si="214"/>
        <v>56000</v>
      </c>
      <c r="K739" s="214">
        <f t="shared" si="214"/>
        <v>0</v>
      </c>
      <c r="L739" s="220">
        <f t="shared" si="214"/>
        <v>0</v>
      </c>
      <c r="M739" s="93">
        <f>IF(F739&gt;0,M$737,0)</f>
        <v>0</v>
      </c>
      <c r="N739" s="328">
        <f ca="1">$F739*N$737</f>
        <v>0</v>
      </c>
    </row>
    <row r="740" spans="1:14" ht="15">
      <c r="A740" s="87"/>
      <c r="B740" s="7" t="s">
        <v>586</v>
      </c>
      <c r="C740" s="32">
        <f>VLOOKUP($B740,R_DG!$A$7:$G$1305,2,0)</f>
        <v>0</v>
      </c>
      <c r="D740" s="8" t="str">
        <f>VLOOKUP($B740,R_DG!$A$7:$G$1305,3,0)</f>
        <v>Vòng treo đầu tròn</v>
      </c>
      <c r="E740" s="9" t="str">
        <f>VLOOKUP($B740,R_DG!$A$7:$G$1305,4,0)</f>
        <v>cái</v>
      </c>
      <c r="F740" s="11">
        <v>1</v>
      </c>
      <c r="G740" s="214">
        <f>VLOOKUP($B740,R_DG!$A$7:$G$1305,5,0)</f>
        <v>4700</v>
      </c>
      <c r="H740" s="214">
        <f>VLOOKUP($B740,R_DG!$A$7:$G$1305,6,0)</f>
        <v>0</v>
      </c>
      <c r="I740" s="214">
        <f>VLOOKUP($B740,R_DG!$A$7:$G$1305,7,0)</f>
        <v>0</v>
      </c>
      <c r="J740" s="214">
        <f t="shared" si="214"/>
        <v>4700</v>
      </c>
      <c r="K740" s="214">
        <f t="shared" si="214"/>
        <v>0</v>
      </c>
      <c r="L740" s="220">
        <f t="shared" si="214"/>
        <v>0</v>
      </c>
      <c r="M740" s="93">
        <f>IF(F740&gt;0,M$737,0)</f>
        <v>0</v>
      </c>
      <c r="N740" s="328">
        <f ca="1">$F740*N$737</f>
        <v>0</v>
      </c>
    </row>
    <row r="741" spans="1:14" ht="15">
      <c r="A741" s="87"/>
      <c r="B741" s="7" t="s">
        <v>578</v>
      </c>
      <c r="C741" s="32">
        <f>VLOOKUP($B741,R_DG!$A$7:$G$1305,2,0)</f>
        <v>0</v>
      </c>
      <c r="D741" s="8" t="str">
        <f>VLOOKUP($B741,R_DG!$A$7:$G$1305,3,0)</f>
        <v>Mắt nối đơn</v>
      </c>
      <c r="E741" s="9" t="str">
        <f>VLOOKUP($B741,R_DG!$A$7:$G$1305,4,0)</f>
        <v>cái</v>
      </c>
      <c r="F741" s="11">
        <v>1</v>
      </c>
      <c r="G741" s="214">
        <f>VLOOKUP($B741,R_DG!$A$7:$G$1305,5,0)</f>
        <v>41000</v>
      </c>
      <c r="H741" s="214">
        <f>VLOOKUP($B741,R_DG!$A$7:$G$1305,6,0)</f>
        <v>0</v>
      </c>
      <c r="I741" s="214">
        <f>VLOOKUP($B741,R_DG!$A$7:$G$1305,7,0)</f>
        <v>0</v>
      </c>
      <c r="J741" s="214">
        <f t="shared" si="214"/>
        <v>41000</v>
      </c>
      <c r="K741" s="214">
        <f t="shared" si="214"/>
        <v>0</v>
      </c>
      <c r="L741" s="220">
        <f t="shared" si="214"/>
        <v>0</v>
      </c>
      <c r="M741" s="93">
        <f>IF(F741&gt;0,M$737,0)</f>
        <v>0</v>
      </c>
      <c r="N741" s="328">
        <f ca="1">$F741*N$737</f>
        <v>0</v>
      </c>
    </row>
    <row r="742" spans="1:14" ht="15">
      <c r="A742" s="87"/>
      <c r="B742" s="7" t="s">
        <v>2290</v>
      </c>
      <c r="C742" s="32">
        <f>VLOOKUP($B742,R_DG!$A$7:$G$1305,2,0)</f>
        <v>0</v>
      </c>
      <c r="D742" s="8" t="str">
        <f>VLOOKUP($B742,R_DG!$A$7:$G$1305,3,0)</f>
        <v>Boulon mắt 16x300+ 2 long đền vuông D18-50x50x3/Zn</v>
      </c>
      <c r="E742" s="9" t="str">
        <f>VLOOKUP($B742,R_DG!$A$7:$G$1305,4,0)</f>
        <v>bộ</v>
      </c>
      <c r="F742" s="11">
        <v>1</v>
      </c>
      <c r="G742" s="214">
        <f>VLOOKUP($B742,R_DG!$A$7:$G$1305,5,0)</f>
        <v>30200</v>
      </c>
      <c r="H742" s="214">
        <f>VLOOKUP($B742,R_DG!$A$7:$G$1305,6,0)</f>
        <v>0</v>
      </c>
      <c r="I742" s="214">
        <f>VLOOKUP($B742,R_DG!$A$7:$G$1305,7,0)</f>
        <v>0</v>
      </c>
      <c r="J742" s="214">
        <f t="shared" si="214"/>
        <v>30200</v>
      </c>
      <c r="K742" s="214">
        <f t="shared" si="214"/>
        <v>0</v>
      </c>
      <c r="L742" s="220">
        <f t="shared" si="214"/>
        <v>0</v>
      </c>
      <c r="M742" s="93">
        <f>IF(F742&gt;0,M$737,0)</f>
        <v>0</v>
      </c>
      <c r="N742" s="328">
        <f ca="1">$F742*N$737</f>
        <v>0</v>
      </c>
    </row>
    <row r="743" spans="1:14" ht="15">
      <c r="A743" s="29" t="s">
        <v>2291</v>
      </c>
      <c r="B743" s="216"/>
      <c r="C743" s="34"/>
      <c r="D743" s="25" t="s">
        <v>2346</v>
      </c>
      <c r="E743" s="25" t="s">
        <v>163</v>
      </c>
      <c r="F743" s="31"/>
      <c r="G743" s="213"/>
      <c r="H743" s="213"/>
      <c r="I743" s="213"/>
      <c r="J743" s="213">
        <f>SUM(J744:J747)</f>
        <v>134200</v>
      </c>
      <c r="K743" s="213">
        <f>SUM(K744:K747)</f>
        <v>0</v>
      </c>
      <c r="L743" s="219">
        <f>SUM(L744:L747)</f>
        <v>0</v>
      </c>
      <c r="M743" s="92">
        <f>IF(ERROR.TYPE(IF(HLOOKUP(A743,maBK,1,0)&lt;&gt;"",#NULL!,"ABC"))&lt;&gt;7,1,0)</f>
        <v>0</v>
      </c>
      <c r="N743" s="327">
        <f ca="1">SUMIF(maBK,$A743,tongBK1)</f>
        <v>0</v>
      </c>
    </row>
    <row r="744" spans="1:14" ht="15">
      <c r="A744" s="87"/>
      <c r="B744" s="7" t="s">
        <v>637</v>
      </c>
      <c r="C744" s="32">
        <f>VLOOKUP($B744,R_DG!$A$7:$G$1305,2,0)</f>
        <v>0</v>
      </c>
      <c r="D744" s="8" t="str">
        <f>VLOOKUP($B744,R_DG!$A$7:$G$1305,3,0)</f>
        <v>Sứ treo loại 70kN</v>
      </c>
      <c r="E744" s="9" t="str">
        <f>VLOOKUP($B744,R_DG!$A$7:$G$1305,4,0)</f>
        <v>bát</v>
      </c>
      <c r="F744" s="11">
        <v>1</v>
      </c>
      <c r="G744" s="214">
        <f>VLOOKUP($B744,R_DG!$A$7:$G$1305,5,0)</f>
        <v>73500</v>
      </c>
      <c r="H744" s="214">
        <f>VLOOKUP($B744,R_DG!$A$7:$G$1305,6,0)</f>
        <v>0</v>
      </c>
      <c r="I744" s="214">
        <f>VLOOKUP($B744,R_DG!$A$7:$G$1305,7,0)</f>
        <v>0</v>
      </c>
      <c r="J744" s="214">
        <f t="shared" ref="J744:L747" si="215">G744*$F744</f>
        <v>73500</v>
      </c>
      <c r="K744" s="214">
        <f t="shared" si="215"/>
        <v>0</v>
      </c>
      <c r="L744" s="220">
        <f t="shared" si="215"/>
        <v>0</v>
      </c>
      <c r="M744" s="93">
        <f>IF(F744&gt;0,M$743,0)</f>
        <v>0</v>
      </c>
      <c r="N744" s="328">
        <f ca="1">$F744*N$743</f>
        <v>0</v>
      </c>
    </row>
    <row r="745" spans="1:14" ht="15">
      <c r="A745" s="87"/>
      <c r="B745" s="7" t="s">
        <v>582</v>
      </c>
      <c r="C745" s="32">
        <f>VLOOKUP($B745,R_DG!$A$7:$G$1305,2,0)</f>
        <v>0</v>
      </c>
      <c r="D745" s="8" t="str">
        <f>VLOOKUP($B745,R_DG!$A$7:$G$1305,3,0)</f>
        <v xml:space="preserve">Móc treo chữ U </v>
      </c>
      <c r="E745" s="9" t="str">
        <f>VLOOKUP($B745,R_DG!$A$7:$G$1305,4,0)</f>
        <v>cái</v>
      </c>
      <c r="F745" s="11">
        <v>2</v>
      </c>
      <c r="G745" s="214">
        <f>VLOOKUP($B745,R_DG!$A$7:$G$1305,5,0)</f>
        <v>28000</v>
      </c>
      <c r="H745" s="214">
        <f>VLOOKUP($B745,R_DG!$A$7:$G$1305,6,0)</f>
        <v>0</v>
      </c>
      <c r="I745" s="214">
        <f>VLOOKUP($B745,R_DG!$A$7:$G$1305,7,0)</f>
        <v>0</v>
      </c>
      <c r="J745" s="214">
        <f t="shared" si="215"/>
        <v>56000</v>
      </c>
      <c r="K745" s="214">
        <f t="shared" si="215"/>
        <v>0</v>
      </c>
      <c r="L745" s="220">
        <f t="shared" si="215"/>
        <v>0</v>
      </c>
      <c r="M745" s="93">
        <f>IF(F745&gt;0,M$743,0)</f>
        <v>0</v>
      </c>
      <c r="N745" s="328">
        <f ca="1">$F745*N$743</f>
        <v>0</v>
      </c>
    </row>
    <row r="746" spans="1:14" ht="15">
      <c r="A746" s="87"/>
      <c r="B746" s="7" t="s">
        <v>586</v>
      </c>
      <c r="C746" s="32">
        <f>VLOOKUP($B746,R_DG!$A$7:$G$1305,2,0)</f>
        <v>0</v>
      </c>
      <c r="D746" s="8" t="str">
        <f>VLOOKUP($B746,R_DG!$A$7:$G$1305,3,0)</f>
        <v>Vòng treo đầu tròn</v>
      </c>
      <c r="E746" s="9" t="str">
        <f>VLOOKUP($B746,R_DG!$A$7:$G$1305,4,0)</f>
        <v>cái</v>
      </c>
      <c r="F746" s="11">
        <v>1</v>
      </c>
      <c r="G746" s="214">
        <f>VLOOKUP($B746,R_DG!$A$7:$G$1305,5,0)</f>
        <v>4700</v>
      </c>
      <c r="H746" s="214">
        <f>VLOOKUP($B746,R_DG!$A$7:$G$1305,6,0)</f>
        <v>0</v>
      </c>
      <c r="I746" s="214">
        <f>VLOOKUP($B746,R_DG!$A$7:$G$1305,7,0)</f>
        <v>0</v>
      </c>
      <c r="J746" s="214">
        <f t="shared" si="215"/>
        <v>4700</v>
      </c>
      <c r="K746" s="214">
        <f t="shared" si="215"/>
        <v>0</v>
      </c>
      <c r="L746" s="220">
        <f t="shared" si="215"/>
        <v>0</v>
      </c>
      <c r="M746" s="93">
        <f>IF(F746&gt;0,M$743,0)</f>
        <v>0</v>
      </c>
      <c r="N746" s="328">
        <f ca="1">$F746*N$743</f>
        <v>0</v>
      </c>
    </row>
    <row r="747" spans="1:14" ht="15">
      <c r="A747" s="87"/>
      <c r="B747" s="7" t="s">
        <v>578</v>
      </c>
      <c r="C747" s="32">
        <f>VLOOKUP($B747,R_DG!$A$7:$G$1305,2,0)</f>
        <v>0</v>
      </c>
      <c r="D747" s="8" t="str">
        <f>VLOOKUP($B747,R_DG!$A$7:$G$1305,3,0)</f>
        <v>Mắt nối đơn</v>
      </c>
      <c r="E747" s="9" t="str">
        <f>VLOOKUP($B747,R_DG!$A$7:$G$1305,4,0)</f>
        <v>cái</v>
      </c>
      <c r="F747" s="11"/>
      <c r="G747" s="214">
        <f>VLOOKUP($B747,R_DG!$A$7:$G$1305,5,0)</f>
        <v>41000</v>
      </c>
      <c r="H747" s="214">
        <f>VLOOKUP($B747,R_DG!$A$7:$G$1305,6,0)</f>
        <v>0</v>
      </c>
      <c r="I747" s="214">
        <f>VLOOKUP($B747,R_DG!$A$7:$G$1305,7,0)</f>
        <v>0</v>
      </c>
      <c r="J747" s="214">
        <f t="shared" si="215"/>
        <v>0</v>
      </c>
      <c r="K747" s="214">
        <f t="shared" si="215"/>
        <v>0</v>
      </c>
      <c r="L747" s="220">
        <f t="shared" si="215"/>
        <v>0</v>
      </c>
      <c r="M747" s="93">
        <f>IF(F747&gt;0,M$743,0)</f>
        <v>0</v>
      </c>
      <c r="N747" s="328">
        <f ca="1">$F747*N$743</f>
        <v>0</v>
      </c>
    </row>
    <row r="748" spans="1:14" ht="15">
      <c r="A748" s="29" t="s">
        <v>2292</v>
      </c>
      <c r="B748" s="216"/>
      <c r="C748" s="34"/>
      <c r="D748" s="25" t="s">
        <v>4740</v>
      </c>
      <c r="E748" s="25" t="s">
        <v>163</v>
      </c>
      <c r="F748" s="31"/>
      <c r="G748" s="213"/>
      <c r="H748" s="213"/>
      <c r="I748" s="213"/>
      <c r="J748" s="213">
        <f>SUM(J749:J753)</f>
        <v>379700</v>
      </c>
      <c r="K748" s="213">
        <f>SUM(K749:K753)</f>
        <v>59708.88</v>
      </c>
      <c r="L748" s="219">
        <f>SUM(L749:L753)</f>
        <v>0</v>
      </c>
      <c r="M748" s="92">
        <f>IF(ERROR.TYPE(IF(HLOOKUP(A748,maBK,1,0)&lt;&gt;"",#NULL!,"ABC"))&lt;&gt;7,1,0)</f>
        <v>0</v>
      </c>
      <c r="N748" s="327">
        <f ca="1">SUMIF(maBK,$A748,tongBK1)</f>
        <v>0</v>
      </c>
    </row>
    <row r="749" spans="1:14" ht="15">
      <c r="A749" s="87"/>
      <c r="B749" s="7" t="s">
        <v>2293</v>
      </c>
      <c r="C749" s="32" t="str">
        <f>VLOOKUP($B749,R_DG!$A$7:$G$1305,2,0)</f>
        <v>D3.2125</v>
      </c>
      <c r="D749" s="8" t="str">
        <f>VLOOKUP($B749,R_DG!$A$7:$G$1305,3,0)</f>
        <v>Sứ treo polymer</v>
      </c>
      <c r="E749" s="9" t="str">
        <f>VLOOKUP($B749,R_DG!$A$7:$G$1305,4,0)</f>
        <v>chuỗi</v>
      </c>
      <c r="F749" s="11">
        <v>1</v>
      </c>
      <c r="G749" s="214">
        <f>VLOOKUP($B749,R_DG!$A$7:$G$1305,5,0)</f>
        <v>220000</v>
      </c>
      <c r="H749" s="214">
        <f>VLOOKUP($B749,R_DG!$A$7:$G$1305,6,0)</f>
        <v>59708.88</v>
      </c>
      <c r="I749" s="214">
        <f>VLOOKUP($B749,R_DG!$A$7:$G$1305,7,0)</f>
        <v>0</v>
      </c>
      <c r="J749" s="214">
        <f t="shared" ref="J749:L753" si="216">G749*$F749</f>
        <v>220000</v>
      </c>
      <c r="K749" s="214">
        <f t="shared" si="216"/>
        <v>59708.88</v>
      </c>
      <c r="L749" s="220">
        <f t="shared" si="216"/>
        <v>0</v>
      </c>
      <c r="M749" s="93">
        <f>IF(F749&gt;0,M$748,0)</f>
        <v>0</v>
      </c>
      <c r="N749" s="328">
        <f ca="1">$F749*N$748</f>
        <v>0</v>
      </c>
    </row>
    <row r="750" spans="1:14" ht="15">
      <c r="A750" s="87"/>
      <c r="B750" s="7" t="s">
        <v>582</v>
      </c>
      <c r="C750" s="32">
        <f>VLOOKUP($B750,R_DG!$A$7:$G$1305,2,0)</f>
        <v>0</v>
      </c>
      <c r="D750" s="8" t="str">
        <f>VLOOKUP($B750,R_DG!$A$7:$G$1305,3,0)</f>
        <v xml:space="preserve">Móc treo chữ U </v>
      </c>
      <c r="E750" s="9" t="str">
        <f>VLOOKUP($B750,R_DG!$A$7:$G$1305,4,0)</f>
        <v>cái</v>
      </c>
      <c r="F750" s="11">
        <v>2</v>
      </c>
      <c r="G750" s="214">
        <f>VLOOKUP($B750,R_DG!$A$7:$G$1305,5,0)</f>
        <v>28000</v>
      </c>
      <c r="H750" s="214">
        <f>VLOOKUP($B750,R_DG!$A$7:$G$1305,6,0)</f>
        <v>0</v>
      </c>
      <c r="I750" s="214">
        <f>VLOOKUP($B750,R_DG!$A$7:$G$1305,7,0)</f>
        <v>0</v>
      </c>
      <c r="J750" s="214">
        <f t="shared" si="216"/>
        <v>56000</v>
      </c>
      <c r="K750" s="214">
        <f t="shared" si="216"/>
        <v>0</v>
      </c>
      <c r="L750" s="220">
        <f t="shared" si="216"/>
        <v>0</v>
      </c>
      <c r="M750" s="93">
        <f>IF(F750&gt;0,M$748,0)</f>
        <v>0</v>
      </c>
      <c r="N750" s="328">
        <f ca="1">$F750*N$748</f>
        <v>0</v>
      </c>
    </row>
    <row r="751" spans="1:14" ht="15">
      <c r="A751" s="87"/>
      <c r="B751" s="7" t="s">
        <v>2284</v>
      </c>
      <c r="C751" s="32">
        <f>VLOOKUP($B751,R_DG!$A$7:$G$1305,2,0)</f>
        <v>0</v>
      </c>
      <c r="D751" s="8" t="str">
        <f>VLOOKUP($B751,R_DG!$A$7:$G$1305,3,0)</f>
        <v>Khóa néo dây cỡ dây 50 (5U)</v>
      </c>
      <c r="E751" s="9" t="str">
        <f>VLOOKUP($B751,R_DG!$A$7:$G$1305,4,0)</f>
        <v>cái</v>
      </c>
      <c r="F751" s="11">
        <v>1</v>
      </c>
      <c r="G751" s="214">
        <f>VLOOKUP($B751,R_DG!$A$7:$G$1305,5,0)</f>
        <v>62700</v>
      </c>
      <c r="H751" s="214">
        <f>VLOOKUP($B751,R_DG!$A$7:$G$1305,6,0)</f>
        <v>0</v>
      </c>
      <c r="I751" s="214">
        <f>VLOOKUP($B751,R_DG!$A$7:$G$1305,7,0)</f>
        <v>0</v>
      </c>
      <c r="J751" s="214">
        <f t="shared" si="216"/>
        <v>62700</v>
      </c>
      <c r="K751" s="214">
        <f t="shared" si="216"/>
        <v>0</v>
      </c>
      <c r="L751" s="220">
        <f t="shared" si="216"/>
        <v>0</v>
      </c>
      <c r="M751" s="93">
        <f>IF(F751&gt;0,M$748,0)</f>
        <v>0</v>
      </c>
      <c r="N751" s="328">
        <f ca="1">$F751*N$748</f>
        <v>0</v>
      </c>
    </row>
    <row r="752" spans="1:14" ht="15">
      <c r="A752" s="87"/>
      <c r="B752" s="7" t="s">
        <v>575</v>
      </c>
      <c r="C752" s="32">
        <f>VLOOKUP($B752,R_DG!$A$7:$G$1305,2,0)</f>
        <v>0</v>
      </c>
      <c r="D752" s="8" t="str">
        <f>VLOOKUP($B752,R_DG!$A$7:$G$1305,3,0)</f>
        <v>Giáp níu dừng dây bọc 70</v>
      </c>
      <c r="E752" s="9" t="str">
        <f>VLOOKUP($B752,R_DG!$A$7:$G$1305,4,0)</f>
        <v>cái</v>
      </c>
      <c r="F752" s="11">
        <v>0</v>
      </c>
      <c r="G752" s="214">
        <f>VLOOKUP($B752,R_DG!$A$7:$G$1305,5,0)</f>
        <v>200000</v>
      </c>
      <c r="H752" s="214">
        <f>VLOOKUP($B752,R_DG!$A$7:$G$1305,6,0)</f>
        <v>0</v>
      </c>
      <c r="I752" s="214">
        <f>VLOOKUP($B752,R_DG!$A$7:$G$1305,7,0)</f>
        <v>0</v>
      </c>
      <c r="J752" s="214">
        <f t="shared" si="216"/>
        <v>0</v>
      </c>
      <c r="K752" s="214">
        <f t="shared" si="216"/>
        <v>0</v>
      </c>
      <c r="L752" s="220">
        <f t="shared" si="216"/>
        <v>0</v>
      </c>
      <c r="M752" s="93">
        <f>IF(F752&gt;0,M$748,0)</f>
        <v>0</v>
      </c>
      <c r="N752" s="328">
        <f ca="1">$F752*N$748</f>
        <v>0</v>
      </c>
    </row>
    <row r="753" spans="1:14" ht="15">
      <c r="A753" s="87"/>
      <c r="B753" s="7" t="s">
        <v>578</v>
      </c>
      <c r="C753" s="32">
        <f>VLOOKUP($B753,R_DG!$A$7:$G$1305,2,0)</f>
        <v>0</v>
      </c>
      <c r="D753" s="8" t="str">
        <f>VLOOKUP($B753,R_DG!$A$7:$G$1305,3,0)</f>
        <v>Mắt nối đơn</v>
      </c>
      <c r="E753" s="9" t="str">
        <f>VLOOKUP($B753,R_DG!$A$7:$G$1305,4,0)</f>
        <v>cái</v>
      </c>
      <c r="F753" s="11">
        <v>1</v>
      </c>
      <c r="G753" s="214">
        <f>VLOOKUP($B753,R_DG!$A$7:$G$1305,5,0)</f>
        <v>41000</v>
      </c>
      <c r="H753" s="214">
        <f>VLOOKUP($B753,R_DG!$A$7:$G$1305,6,0)</f>
        <v>0</v>
      </c>
      <c r="I753" s="214">
        <f>VLOOKUP($B753,R_DG!$A$7:$G$1305,7,0)</f>
        <v>0</v>
      </c>
      <c r="J753" s="214">
        <f t="shared" si="216"/>
        <v>41000</v>
      </c>
      <c r="K753" s="214">
        <f t="shared" si="216"/>
        <v>0</v>
      </c>
      <c r="L753" s="220">
        <f t="shared" si="216"/>
        <v>0</v>
      </c>
      <c r="M753" s="93">
        <f>IF(F753&gt;0,M$748,0)</f>
        <v>0</v>
      </c>
      <c r="N753" s="328">
        <f ca="1">$F753*N$748</f>
        <v>0</v>
      </c>
    </row>
    <row r="754" spans="1:14" ht="15">
      <c r="A754" s="29" t="s">
        <v>2593</v>
      </c>
      <c r="B754" s="216"/>
      <c r="C754" s="34"/>
      <c r="D754" s="25" t="s">
        <v>4741</v>
      </c>
      <c r="E754" s="25" t="s">
        <v>163</v>
      </c>
      <c r="F754" s="31"/>
      <c r="G754" s="213"/>
      <c r="H754" s="213"/>
      <c r="I754" s="213"/>
      <c r="J754" s="213">
        <f>SUM(J755:J760)</f>
        <v>537200</v>
      </c>
      <c r="K754" s="213">
        <f>SUM(K755:K760)</f>
        <v>59708.88</v>
      </c>
      <c r="L754" s="219">
        <f>SUM(L755:L760)</f>
        <v>0</v>
      </c>
      <c r="M754" s="92">
        <f>IF(ERROR.TYPE(IF(HLOOKUP(A754,maBK,1,0)&lt;&gt;"",#NULL!,"ABC"))&lt;&gt;7,1,0)</f>
        <v>0</v>
      </c>
      <c r="N754" s="327">
        <f ca="1">SUMIF(maBK,$A754,tongBK1)</f>
        <v>0</v>
      </c>
    </row>
    <row r="755" spans="1:14" ht="15">
      <c r="A755" s="87"/>
      <c r="B755" s="7" t="s">
        <v>2293</v>
      </c>
      <c r="C755" s="32" t="str">
        <f>VLOOKUP($B755,R_DG!$A$7:$G$1305,2,0)</f>
        <v>D3.2125</v>
      </c>
      <c r="D755" s="8" t="str">
        <f>VLOOKUP($B755,R_DG!$A$7:$G$1305,3,0)</f>
        <v>Sứ treo polymer</v>
      </c>
      <c r="E755" s="9" t="str">
        <f>VLOOKUP($B755,R_DG!$A$7:$G$1305,4,0)</f>
        <v>chuỗi</v>
      </c>
      <c r="F755" s="11">
        <v>1</v>
      </c>
      <c r="G755" s="214">
        <f>VLOOKUP($B755,R_DG!$A$7:$G$1305,5,0)</f>
        <v>220000</v>
      </c>
      <c r="H755" s="214">
        <f>VLOOKUP($B755,R_DG!$A$7:$G$1305,6,0)</f>
        <v>59708.88</v>
      </c>
      <c r="I755" s="214">
        <f>VLOOKUP($B755,R_DG!$A$7:$G$1305,7,0)</f>
        <v>0</v>
      </c>
      <c r="J755" s="214">
        <f t="shared" ref="J755:L760" si="217">G755*$F755</f>
        <v>220000</v>
      </c>
      <c r="K755" s="214">
        <f t="shared" si="217"/>
        <v>59708.88</v>
      </c>
      <c r="L755" s="220">
        <f t="shared" si="217"/>
        <v>0</v>
      </c>
      <c r="M755" s="93">
        <f t="shared" ref="M755:M760" si="218">IF(F755&gt;0,M$754,0)</f>
        <v>0</v>
      </c>
      <c r="N755" s="328">
        <f t="shared" ref="N755:N760" ca="1" si="219">$F755*N$754</f>
        <v>0</v>
      </c>
    </row>
    <row r="756" spans="1:14" ht="15">
      <c r="A756" s="87"/>
      <c r="B756" s="7" t="s">
        <v>582</v>
      </c>
      <c r="C756" s="32">
        <f>VLOOKUP($B756,R_DG!$A$7:$G$1305,2,0)</f>
        <v>0</v>
      </c>
      <c r="D756" s="8" t="str">
        <f>VLOOKUP($B756,R_DG!$A$7:$G$1305,3,0)</f>
        <v xml:space="preserve">Móc treo chữ U </v>
      </c>
      <c r="E756" s="9" t="str">
        <f>VLOOKUP($B756,R_DG!$A$7:$G$1305,4,0)</f>
        <v>cái</v>
      </c>
      <c r="F756" s="11">
        <v>2</v>
      </c>
      <c r="G756" s="214">
        <f>VLOOKUP($B756,R_DG!$A$7:$G$1305,5,0)</f>
        <v>28000</v>
      </c>
      <c r="H756" s="214">
        <f>VLOOKUP($B756,R_DG!$A$7:$G$1305,6,0)</f>
        <v>0</v>
      </c>
      <c r="I756" s="214">
        <f>VLOOKUP($B756,R_DG!$A$7:$G$1305,7,0)</f>
        <v>0</v>
      </c>
      <c r="J756" s="214">
        <f t="shared" si="217"/>
        <v>56000</v>
      </c>
      <c r="K756" s="214">
        <f t="shared" si="217"/>
        <v>0</v>
      </c>
      <c r="L756" s="220">
        <f t="shared" si="217"/>
        <v>0</v>
      </c>
      <c r="M756" s="93">
        <f t="shared" si="218"/>
        <v>0</v>
      </c>
      <c r="N756" s="328">
        <f t="shared" ca="1" si="219"/>
        <v>0</v>
      </c>
    </row>
    <row r="757" spans="1:14" ht="15">
      <c r="A757" s="87"/>
      <c r="B757" s="7" t="s">
        <v>2850</v>
      </c>
      <c r="C757" s="32">
        <f>VLOOKUP($B757,R_DG!$A$7:$G$1305,2,0)</f>
        <v>0</v>
      </c>
      <c r="D757" s="8" t="str">
        <f>VLOOKUP($B757,R_DG!$A$7:$G$1305,3,0)</f>
        <v>Giáp níu dừng dây bọc 50</v>
      </c>
      <c r="E757" s="9" t="str">
        <f>VLOOKUP($B757,R_DG!$A$7:$G$1305,4,0)</f>
        <v>cái</v>
      </c>
      <c r="F757" s="11">
        <v>1</v>
      </c>
      <c r="G757" s="214">
        <f>VLOOKUP($B757,R_DG!$A$7:$G$1305,5,0)</f>
        <v>190000</v>
      </c>
      <c r="H757" s="214">
        <f>VLOOKUP($B757,R_DG!$A$7:$G$1305,6,0)</f>
        <v>0</v>
      </c>
      <c r="I757" s="214">
        <f>VLOOKUP($B757,R_DG!$A$7:$G$1305,7,0)</f>
        <v>0</v>
      </c>
      <c r="J757" s="214">
        <f t="shared" si="217"/>
        <v>190000</v>
      </c>
      <c r="K757" s="214">
        <f t="shared" si="217"/>
        <v>0</v>
      </c>
      <c r="L757" s="220">
        <f t="shared" si="217"/>
        <v>0</v>
      </c>
      <c r="M757" s="93">
        <f t="shared" si="218"/>
        <v>0</v>
      </c>
      <c r="N757" s="328">
        <f t="shared" ca="1" si="219"/>
        <v>0</v>
      </c>
    </row>
    <row r="758" spans="1:14" ht="15">
      <c r="A758" s="87"/>
      <c r="B758" s="7" t="s">
        <v>575</v>
      </c>
      <c r="C758" s="32">
        <f>VLOOKUP($B758,R_DG!$A$7:$G$1305,2,0)</f>
        <v>0</v>
      </c>
      <c r="D758" s="8" t="str">
        <f>VLOOKUP($B758,R_DG!$A$7:$G$1305,3,0)</f>
        <v>Giáp níu dừng dây bọc 70</v>
      </c>
      <c r="E758" s="9" t="str">
        <f>VLOOKUP($B758,R_DG!$A$7:$G$1305,4,0)</f>
        <v>cái</v>
      </c>
      <c r="F758" s="11">
        <v>0</v>
      </c>
      <c r="G758" s="214">
        <f>VLOOKUP($B758,R_DG!$A$7:$G$1305,5,0)</f>
        <v>200000</v>
      </c>
      <c r="H758" s="214">
        <f>VLOOKUP($B758,R_DG!$A$7:$G$1305,6,0)</f>
        <v>0</v>
      </c>
      <c r="I758" s="214">
        <f>VLOOKUP($B758,R_DG!$A$7:$G$1305,7,0)</f>
        <v>0</v>
      </c>
      <c r="J758" s="214">
        <f t="shared" si="217"/>
        <v>0</v>
      </c>
      <c r="K758" s="214">
        <f t="shared" si="217"/>
        <v>0</v>
      </c>
      <c r="L758" s="220">
        <f t="shared" si="217"/>
        <v>0</v>
      </c>
      <c r="M758" s="93">
        <f t="shared" si="218"/>
        <v>0</v>
      </c>
      <c r="N758" s="328">
        <f t="shared" ca="1" si="219"/>
        <v>0</v>
      </c>
    </row>
    <row r="759" spans="1:14" ht="15">
      <c r="A759" s="87"/>
      <c r="B759" s="7" t="s">
        <v>2594</v>
      </c>
      <c r="C759" s="32">
        <f>VLOOKUP($B759,R_DG!$A$7:$G$1305,2,0)</f>
        <v>0</v>
      </c>
      <c r="D759" s="8" t="str">
        <f>VLOOKUP($B759,R_DG!$A$7:$G$1305,3,0)</f>
        <v>Boulon mắt 16x300+ 2 long đền vuông D18-50x50x3/Zn</v>
      </c>
      <c r="E759" s="9" t="str">
        <f>VLOOKUP($B759,R_DG!$A$7:$G$1305,4,0)</f>
        <v>bộ</v>
      </c>
      <c r="F759" s="11">
        <v>1</v>
      </c>
      <c r="G759" s="214">
        <f>VLOOKUP($B759,R_DG!$A$7:$G$1305,5,0)</f>
        <v>30200</v>
      </c>
      <c r="H759" s="214">
        <f>VLOOKUP($B759,R_DG!$A$7:$G$1305,6,0)</f>
        <v>0</v>
      </c>
      <c r="I759" s="214">
        <f>VLOOKUP($B759,R_DG!$A$7:$G$1305,7,0)</f>
        <v>0</v>
      </c>
      <c r="J759" s="214">
        <f>G759*$F759</f>
        <v>30200</v>
      </c>
      <c r="K759" s="214">
        <f>H759*$F759</f>
        <v>0</v>
      </c>
      <c r="L759" s="220">
        <f>I759*$F759</f>
        <v>0</v>
      </c>
      <c r="M759" s="93">
        <f t="shared" si="218"/>
        <v>0</v>
      </c>
      <c r="N759" s="328">
        <f t="shared" ca="1" si="219"/>
        <v>0</v>
      </c>
    </row>
    <row r="760" spans="1:14" ht="15">
      <c r="A760" s="87"/>
      <c r="B760" s="7" t="s">
        <v>578</v>
      </c>
      <c r="C760" s="32">
        <f>VLOOKUP($B760,R_DG!$A$7:$G$1305,2,0)</f>
        <v>0</v>
      </c>
      <c r="D760" s="8" t="str">
        <f>VLOOKUP($B760,R_DG!$A$7:$G$1305,3,0)</f>
        <v>Mắt nối đơn</v>
      </c>
      <c r="E760" s="9" t="str">
        <f>VLOOKUP($B760,R_DG!$A$7:$G$1305,4,0)</f>
        <v>cái</v>
      </c>
      <c r="F760" s="11">
        <v>1</v>
      </c>
      <c r="G760" s="214">
        <f>VLOOKUP($B760,R_DG!$A$7:$G$1305,5,0)</f>
        <v>41000</v>
      </c>
      <c r="H760" s="214">
        <f>VLOOKUP($B760,R_DG!$A$7:$G$1305,6,0)</f>
        <v>0</v>
      </c>
      <c r="I760" s="214">
        <f>VLOOKUP($B760,R_DG!$A$7:$G$1305,7,0)</f>
        <v>0</v>
      </c>
      <c r="J760" s="214">
        <f t="shared" si="217"/>
        <v>41000</v>
      </c>
      <c r="K760" s="214">
        <f t="shared" si="217"/>
        <v>0</v>
      </c>
      <c r="L760" s="220">
        <f t="shared" si="217"/>
        <v>0</v>
      </c>
      <c r="M760" s="93">
        <f t="shared" si="218"/>
        <v>0</v>
      </c>
      <c r="N760" s="328">
        <f t="shared" ca="1" si="219"/>
        <v>0</v>
      </c>
    </row>
    <row r="761" spans="1:14" ht="15">
      <c r="A761" s="29" t="s">
        <v>2795</v>
      </c>
      <c r="B761" s="216"/>
      <c r="C761" s="34"/>
      <c r="D761" s="25" t="s">
        <v>2796</v>
      </c>
      <c r="E761" s="25" t="s">
        <v>163</v>
      </c>
      <c r="F761" s="31"/>
      <c r="G761" s="213"/>
      <c r="H761" s="213"/>
      <c r="I761" s="213"/>
      <c r="J761" s="213" t="e">
        <f>SUM(J762:J765)</f>
        <v>#REF!</v>
      </c>
      <c r="K761" s="213">
        <f>SUM(K762:K765)</f>
        <v>138988.89599999998</v>
      </c>
      <c r="L761" s="219">
        <f>SUM(L762:L765)</f>
        <v>0</v>
      </c>
      <c r="M761" s="92">
        <f>IF(ERROR.TYPE(IF(HLOOKUP(A761,maBK,1,0)&lt;&gt;"",#NULL!,"ABC"))&lt;&gt;7,1,0)</f>
        <v>0</v>
      </c>
      <c r="N761" s="327">
        <f ca="1">SUMIF(maBK,$A761,tongBK1)</f>
        <v>0</v>
      </c>
    </row>
    <row r="762" spans="1:14" ht="15">
      <c r="A762" s="87"/>
      <c r="B762" s="7" t="s">
        <v>473</v>
      </c>
      <c r="C762" s="32" t="str">
        <f>VLOOKUP($B762,R_DG!$A$7:$G$1305,2,0)</f>
        <v>11.03.204</v>
      </c>
      <c r="D762" s="8" t="str">
        <f>VLOOKUP($B762,R_DG!$A$7:$G$1305,3,0)</f>
        <v>Hộp phân phối trực tiếp 6KH</v>
      </c>
      <c r="E762" s="9" t="str">
        <f>VLOOKUP($B762,R_DG!$A$7:$G$1305,4,0)</f>
        <v>cái</v>
      </c>
      <c r="F762" s="11">
        <v>1</v>
      </c>
      <c r="G762" s="214">
        <f>VLOOKUP($B762,R_DG!$A$7:$G$1305,5,0)</f>
        <v>305000</v>
      </c>
      <c r="H762" s="214">
        <f>VLOOKUP($B762,R_DG!$A$7:$G$1305,6,0)</f>
        <v>138988.89599999998</v>
      </c>
      <c r="I762" s="214">
        <f>VLOOKUP($B762,R_DG!$A$7:$G$1305,7,0)</f>
        <v>0</v>
      </c>
      <c r="J762" s="214">
        <f t="shared" ref="J762:L765" si="220">G762*$F762</f>
        <v>305000</v>
      </c>
      <c r="K762" s="214">
        <f t="shared" si="220"/>
        <v>138988.89599999998</v>
      </c>
      <c r="L762" s="220">
        <f t="shared" si="220"/>
        <v>0</v>
      </c>
      <c r="M762" s="93">
        <f>IF(F762&gt;0,M$761,0)</f>
        <v>0</v>
      </c>
      <c r="N762" s="328">
        <f ca="1">$F762*N$761</f>
        <v>0</v>
      </c>
    </row>
    <row r="763" spans="1:14" ht="15">
      <c r="A763" s="87"/>
      <c r="B763" s="7" t="s">
        <v>84</v>
      </c>
      <c r="C763" s="32">
        <f>VLOOKUP($B763,R_DG!$A$7:$G$1305,2,0)</f>
        <v>0</v>
      </c>
      <c r="D763" s="8" t="str">
        <f>VLOOKUP($B763,R_DG!$A$7:$G$1305,3,0)</f>
        <v>Boulon 16x250+ 2 long đền vuông D18-50x50x3/Zn</v>
      </c>
      <c r="E763" s="9" t="str">
        <f>VLOOKUP($B763,R_DG!$A$7:$G$1305,4,0)</f>
        <v>bộ</v>
      </c>
      <c r="F763" s="11">
        <v>1</v>
      </c>
      <c r="G763" s="214" t="e">
        <f>VLOOKUP($B763,R_DG!$A$7:$G$1305,5,0)</f>
        <v>#REF!</v>
      </c>
      <c r="H763" s="214">
        <f>VLOOKUP($B763,R_DG!$A$7:$G$1305,6,0)</f>
        <v>0</v>
      </c>
      <c r="I763" s="214">
        <f>VLOOKUP($B763,R_DG!$A$7:$G$1305,7,0)</f>
        <v>0</v>
      </c>
      <c r="J763" s="214" t="e">
        <f t="shared" si="220"/>
        <v>#REF!</v>
      </c>
      <c r="K763" s="214">
        <f t="shared" si="220"/>
        <v>0</v>
      </c>
      <c r="L763" s="220">
        <f t="shared" si="220"/>
        <v>0</v>
      </c>
      <c r="M763" s="93">
        <f>IF(F763&gt;0,M$761,0)</f>
        <v>0</v>
      </c>
      <c r="N763" s="328">
        <f ca="1">$F763*N$761</f>
        <v>0</v>
      </c>
    </row>
    <row r="764" spans="1:14" ht="15">
      <c r="A764" s="87"/>
      <c r="B764" s="7" t="s">
        <v>2315</v>
      </c>
      <c r="C764" s="32">
        <f>VLOOKUP($B764,R_DG!$A$7:$G$1305,2,0)</f>
        <v>0</v>
      </c>
      <c r="D764" s="8" t="str">
        <f>VLOOKUP($B764,R_DG!$A$7:$G$1305,3,0)</f>
        <v>Cáp đồng bọc CV25</v>
      </c>
      <c r="E764" s="9" t="str">
        <f>VLOOKUP($B764,R_DG!$A$7:$G$1305,4,0)</f>
        <v>mét</v>
      </c>
      <c r="F764" s="11">
        <v>3</v>
      </c>
      <c r="G764" s="214">
        <f>VLOOKUP($B764,R_DG!$A$7:$G$1305,5,0)</f>
        <v>48800</v>
      </c>
      <c r="H764" s="214">
        <f>VLOOKUP($B764,R_DG!$A$7:$G$1305,6,0)</f>
        <v>0</v>
      </c>
      <c r="I764" s="214">
        <f>VLOOKUP($B764,R_DG!$A$7:$G$1305,7,0)</f>
        <v>0</v>
      </c>
      <c r="J764" s="214">
        <f t="shared" si="220"/>
        <v>146400</v>
      </c>
      <c r="K764" s="214">
        <f t="shared" si="220"/>
        <v>0</v>
      </c>
      <c r="L764" s="220">
        <f t="shared" si="220"/>
        <v>0</v>
      </c>
      <c r="M764" s="93">
        <f>IF(F764&gt;0,M$761,0)</f>
        <v>0</v>
      </c>
      <c r="N764" s="328">
        <f ca="1">$F764*N$761</f>
        <v>0</v>
      </c>
    </row>
    <row r="765" spans="1:14" ht="15">
      <c r="A765" s="87"/>
      <c r="B765" s="7" t="s">
        <v>4837</v>
      </c>
      <c r="C765" s="32">
        <f>VLOOKUP($B765,R_DG!$A$7:$G$1305,2,0)</f>
        <v>0</v>
      </c>
      <c r="D765" s="8" t="str">
        <f>VLOOKUP($B765,R_DG!$A$7:$G$1305,3,0)</f>
        <v>Ghíp nối IPC 95-25 2BL</v>
      </c>
      <c r="E765" s="9" t="str">
        <f>VLOOKUP($B765,R_DG!$A$7:$G$1305,4,0)</f>
        <v>cái</v>
      </c>
      <c r="F765" s="11">
        <v>6</v>
      </c>
      <c r="G765" s="214">
        <f>VLOOKUP($B765,R_DG!$A$7:$G$1305,5,0)</f>
        <v>40000</v>
      </c>
      <c r="H765" s="214">
        <f>VLOOKUP($B765,R_DG!$A$7:$G$1305,6,0)</f>
        <v>0</v>
      </c>
      <c r="I765" s="214">
        <f>VLOOKUP($B765,R_DG!$A$7:$G$1305,7,0)</f>
        <v>0</v>
      </c>
      <c r="J765" s="214">
        <f t="shared" si="220"/>
        <v>240000</v>
      </c>
      <c r="K765" s="214">
        <f t="shared" si="220"/>
        <v>0</v>
      </c>
      <c r="L765" s="220">
        <f t="shared" si="220"/>
        <v>0</v>
      </c>
      <c r="M765" s="93">
        <f>IF(F765&gt;0,M$761,0)</f>
        <v>0</v>
      </c>
      <c r="N765" s="328">
        <f ca="1">$F765*N$761</f>
        <v>0</v>
      </c>
    </row>
    <row r="766" spans="1:14" ht="15">
      <c r="A766" s="29" t="s">
        <v>2797</v>
      </c>
      <c r="B766" s="216"/>
      <c r="C766" s="34"/>
      <c r="D766" s="25" t="s">
        <v>3061</v>
      </c>
      <c r="E766" s="25" t="s">
        <v>163</v>
      </c>
      <c r="F766" s="31"/>
      <c r="G766" s="213"/>
      <c r="H766" s="213"/>
      <c r="I766" s="213"/>
      <c r="J766" s="213" t="e">
        <f>SUM(J767:J770)</f>
        <v>#REF!</v>
      </c>
      <c r="K766" s="213">
        <f>SUM(K767:K770)</f>
        <v>138988.89599999998</v>
      </c>
      <c r="L766" s="219">
        <f>SUM(L767:L770)</f>
        <v>0</v>
      </c>
      <c r="M766" s="92">
        <f>IF(ERROR.TYPE(IF(HLOOKUP(A766,maBK,1,0)&lt;&gt;"",#NULL!,"ABC"))&lt;&gt;7,1,0)</f>
        <v>0</v>
      </c>
      <c r="N766" s="327">
        <f ca="1">SUMIF(maBK,$A766,tongBK1)</f>
        <v>0</v>
      </c>
    </row>
    <row r="767" spans="1:14" ht="15">
      <c r="A767" s="87"/>
      <c r="B767" s="7" t="s">
        <v>473</v>
      </c>
      <c r="C767" s="32" t="str">
        <f>VLOOKUP($B767,R_DG!$A$7:$G$1305,2,0)</f>
        <v>11.03.204</v>
      </c>
      <c r="D767" s="8" t="str">
        <f>VLOOKUP($B767,R_DG!$A$7:$G$1305,3,0)</f>
        <v>Hộp phân phối trực tiếp 6KH</v>
      </c>
      <c r="E767" s="9" t="str">
        <f>VLOOKUP($B767,R_DG!$A$7:$G$1305,4,0)</f>
        <v>cái</v>
      </c>
      <c r="F767" s="11">
        <v>1</v>
      </c>
      <c r="G767" s="214">
        <f>VLOOKUP($B767,R_DG!$A$7:$G$1305,5,0)</f>
        <v>305000</v>
      </c>
      <c r="H767" s="214">
        <f>VLOOKUP($B767,R_DG!$A$7:$G$1305,6,0)</f>
        <v>138988.89599999998</v>
      </c>
      <c r="I767" s="214">
        <f>VLOOKUP($B767,R_DG!$A$7:$G$1305,7,0)</f>
        <v>0</v>
      </c>
      <c r="J767" s="214">
        <f t="shared" ref="J767:L770" si="221">G767*$F767</f>
        <v>305000</v>
      </c>
      <c r="K767" s="214">
        <f t="shared" si="221"/>
        <v>138988.89599999998</v>
      </c>
      <c r="L767" s="220">
        <f t="shared" si="221"/>
        <v>0</v>
      </c>
      <c r="M767" s="93">
        <f>IF(F767&gt;0,M$766,0)</f>
        <v>0</v>
      </c>
      <c r="N767" s="328">
        <f ca="1">$F767*N$766</f>
        <v>0</v>
      </c>
    </row>
    <row r="768" spans="1:14" ht="15">
      <c r="A768" s="87"/>
      <c r="B768" s="7" t="s">
        <v>84</v>
      </c>
      <c r="C768" s="32">
        <f>VLOOKUP($B768,R_DG!$A$7:$G$1305,2,0)</f>
        <v>0</v>
      </c>
      <c r="D768" s="8" t="str">
        <f>VLOOKUP($B768,R_DG!$A$7:$G$1305,3,0)</f>
        <v>Boulon 16x250+ 2 long đền vuông D18-50x50x3/Zn</v>
      </c>
      <c r="E768" s="9" t="str">
        <f>VLOOKUP($B768,R_DG!$A$7:$G$1305,4,0)</f>
        <v>bộ</v>
      </c>
      <c r="F768" s="11">
        <v>1</v>
      </c>
      <c r="G768" s="214" t="e">
        <f>VLOOKUP($B768,R_DG!$A$7:$G$1305,5,0)</f>
        <v>#REF!</v>
      </c>
      <c r="H768" s="214">
        <f>VLOOKUP($B768,R_DG!$A$7:$G$1305,6,0)</f>
        <v>0</v>
      </c>
      <c r="I768" s="214">
        <f>VLOOKUP($B768,R_DG!$A$7:$G$1305,7,0)</f>
        <v>0</v>
      </c>
      <c r="J768" s="214" t="e">
        <f t="shared" si="221"/>
        <v>#REF!</v>
      </c>
      <c r="K768" s="214">
        <f t="shared" si="221"/>
        <v>0</v>
      </c>
      <c r="L768" s="220">
        <f t="shared" si="221"/>
        <v>0</v>
      </c>
      <c r="M768" s="93">
        <f>IF(F768&gt;0,M$766,0)</f>
        <v>0</v>
      </c>
      <c r="N768" s="328">
        <f ca="1">$F768*N$766</f>
        <v>0</v>
      </c>
    </row>
    <row r="769" spans="1:14" ht="15">
      <c r="A769" s="87"/>
      <c r="B769" s="7" t="s">
        <v>2315</v>
      </c>
      <c r="C769" s="32">
        <f>VLOOKUP($B769,R_DG!$A$7:$G$1305,2,0)</f>
        <v>0</v>
      </c>
      <c r="D769" s="8" t="str">
        <f>VLOOKUP($B769,R_DG!$A$7:$G$1305,3,0)</f>
        <v>Cáp đồng bọc CV25</v>
      </c>
      <c r="E769" s="9" t="str">
        <f>VLOOKUP($B769,R_DG!$A$7:$G$1305,4,0)</f>
        <v>mét</v>
      </c>
      <c r="F769" s="11">
        <v>4</v>
      </c>
      <c r="G769" s="214">
        <f>VLOOKUP($B769,R_DG!$A$7:$G$1305,5,0)</f>
        <v>48800</v>
      </c>
      <c r="H769" s="214">
        <f>VLOOKUP($B769,R_DG!$A$7:$G$1305,6,0)</f>
        <v>0</v>
      </c>
      <c r="I769" s="214">
        <f>VLOOKUP($B769,R_DG!$A$7:$G$1305,7,0)</f>
        <v>0</v>
      </c>
      <c r="J769" s="214">
        <f t="shared" si="221"/>
        <v>195200</v>
      </c>
      <c r="K769" s="214">
        <f t="shared" si="221"/>
        <v>0</v>
      </c>
      <c r="L769" s="220">
        <f t="shared" si="221"/>
        <v>0</v>
      </c>
      <c r="M769" s="93">
        <f>IF(F769&gt;0,M$766,0)</f>
        <v>0</v>
      </c>
      <c r="N769" s="328">
        <f ca="1">$F769*N$766</f>
        <v>0</v>
      </c>
    </row>
    <row r="770" spans="1:14" ht="15">
      <c r="A770" s="87"/>
      <c r="B770" s="7" t="s">
        <v>4837</v>
      </c>
      <c r="C770" s="32">
        <f>VLOOKUP($B770,R_DG!$A$7:$G$1305,2,0)</f>
        <v>0</v>
      </c>
      <c r="D770" s="8" t="str">
        <f>VLOOKUP($B770,R_DG!$A$7:$G$1305,3,0)</f>
        <v>Ghíp nối IPC 95-25 2BL</v>
      </c>
      <c r="E770" s="9" t="str">
        <f>VLOOKUP($B770,R_DG!$A$7:$G$1305,4,0)</f>
        <v>cái</v>
      </c>
      <c r="F770" s="11">
        <v>8</v>
      </c>
      <c r="G770" s="214">
        <f>VLOOKUP($B770,R_DG!$A$7:$G$1305,5,0)</f>
        <v>40000</v>
      </c>
      <c r="H770" s="214">
        <f>VLOOKUP($B770,R_DG!$A$7:$G$1305,6,0)</f>
        <v>0</v>
      </c>
      <c r="I770" s="214">
        <f>VLOOKUP($B770,R_DG!$A$7:$G$1305,7,0)</f>
        <v>0</v>
      </c>
      <c r="J770" s="214">
        <f t="shared" si="221"/>
        <v>320000</v>
      </c>
      <c r="K770" s="214">
        <f t="shared" si="221"/>
        <v>0</v>
      </c>
      <c r="L770" s="220">
        <f t="shared" si="221"/>
        <v>0</v>
      </c>
      <c r="M770" s="93">
        <f>IF(F770&gt;0,M$766,0)</f>
        <v>0</v>
      </c>
      <c r="N770" s="328">
        <f ca="1">$F770*N$766</f>
        <v>0</v>
      </c>
    </row>
    <row r="771" spans="1:14" ht="15">
      <c r="A771" s="29" t="s">
        <v>3038</v>
      </c>
      <c r="B771" s="216"/>
      <c r="C771" s="34"/>
      <c r="D771" s="25" t="s">
        <v>4141</v>
      </c>
      <c r="E771" s="25" t="s">
        <v>163</v>
      </c>
      <c r="F771" s="31"/>
      <c r="G771" s="213"/>
      <c r="H771" s="213"/>
      <c r="I771" s="213"/>
      <c r="J771" s="213" t="e">
        <f>SUM(J772:J775)</f>
        <v>#REF!</v>
      </c>
      <c r="K771" s="213">
        <f>SUM(K772:K775)</f>
        <v>347472.24</v>
      </c>
      <c r="L771" s="219">
        <f>SUM(L772:L775)</f>
        <v>0</v>
      </c>
      <c r="M771" s="92">
        <f>IF(ERROR.TYPE(IF(HLOOKUP(A771,maBK,1,0)&lt;&gt;"",#NULL!,"ABC"))&lt;&gt;7,1,0)</f>
        <v>0</v>
      </c>
      <c r="N771" s="327">
        <f ca="1">SUMIF(maBK,$A771,tongBK1)</f>
        <v>0</v>
      </c>
    </row>
    <row r="772" spans="1:14" ht="15">
      <c r="A772" s="87"/>
      <c r="B772" s="7" t="s">
        <v>3038</v>
      </c>
      <c r="C772" s="32" t="str">
        <f>VLOOKUP($B772,R_DG!$A$7:$G$1305,2,0)</f>
        <v>11.03.204</v>
      </c>
      <c r="D772" s="8" t="str">
        <f>VLOOKUP($B772,R_DG!$A$7:$G$1305,3,0)</f>
        <v>Hộp MCCB phân đoạn</v>
      </c>
      <c r="E772" s="9" t="str">
        <f>VLOOKUP($B772,R_DG!$A$7:$G$1305,4,0)</f>
        <v>cái</v>
      </c>
      <c r="F772" s="11">
        <v>1</v>
      </c>
      <c r="G772" s="214">
        <f>VLOOKUP($B772,R_DG!$A$7:$G$1305,5,0)</f>
        <v>390000</v>
      </c>
      <c r="H772" s="214">
        <f>VLOOKUP($B772,R_DG!$A$7:$G$1305,6,0)</f>
        <v>347472.24</v>
      </c>
      <c r="I772" s="214">
        <f>VLOOKUP($B772,R_DG!$A$7:$G$1305,7,0)</f>
        <v>0</v>
      </c>
      <c r="J772" s="214">
        <f t="shared" ref="J772:L776" si="222">G772*$F772</f>
        <v>390000</v>
      </c>
      <c r="K772" s="214">
        <f t="shared" si="222"/>
        <v>347472.24</v>
      </c>
      <c r="L772" s="220">
        <f t="shared" si="222"/>
        <v>0</v>
      </c>
      <c r="M772" s="93">
        <f>IF(F772&gt;0,M$771,0)</f>
        <v>0</v>
      </c>
      <c r="N772" s="328">
        <f ca="1">$F772*N$771</f>
        <v>0</v>
      </c>
    </row>
    <row r="773" spans="1:14" ht="15">
      <c r="A773" s="87"/>
      <c r="B773" s="7" t="s">
        <v>84</v>
      </c>
      <c r="C773" s="32">
        <f>VLOOKUP($B773,R_DG!$A$7:$G$1305,2,0)</f>
        <v>0</v>
      </c>
      <c r="D773" s="8" t="str">
        <f>VLOOKUP($B773,R_DG!$A$7:$G$1305,3,0)</f>
        <v>Boulon 16x250+ 2 long đền vuông D18-50x50x3/Zn</v>
      </c>
      <c r="E773" s="9" t="str">
        <f>VLOOKUP($B773,R_DG!$A$7:$G$1305,4,0)</f>
        <v>bộ</v>
      </c>
      <c r="F773" s="11">
        <v>2</v>
      </c>
      <c r="G773" s="214" t="e">
        <f>VLOOKUP($B773,R_DG!$A$7:$G$1305,5,0)</f>
        <v>#REF!</v>
      </c>
      <c r="H773" s="214">
        <f>VLOOKUP($B773,R_DG!$A$7:$G$1305,6,0)</f>
        <v>0</v>
      </c>
      <c r="I773" s="214">
        <f>VLOOKUP($B773,R_DG!$A$7:$G$1305,7,0)</f>
        <v>0</v>
      </c>
      <c r="J773" s="214" t="e">
        <f t="shared" si="222"/>
        <v>#REF!</v>
      </c>
      <c r="K773" s="214">
        <f t="shared" si="222"/>
        <v>0</v>
      </c>
      <c r="L773" s="220">
        <f t="shared" si="222"/>
        <v>0</v>
      </c>
      <c r="M773" s="93">
        <f t="shared" ref="M773:M776" si="223">IF(F773&gt;0,M$771,0)</f>
        <v>0</v>
      </c>
      <c r="N773" s="328">
        <f t="shared" ref="N773:N776" ca="1" si="224">$F773*N$771</f>
        <v>0</v>
      </c>
    </row>
    <row r="774" spans="1:14" ht="15">
      <c r="A774" s="87"/>
      <c r="B774" s="7" t="s">
        <v>2462</v>
      </c>
      <c r="C774" s="32">
        <f>VLOOKUP($B774,R_DG!$A$7:$G$1305,2,0)</f>
        <v>0</v>
      </c>
      <c r="D774" s="8" t="str">
        <f>VLOOKUP($B774,R_DG!$A$7:$G$1305,3,0)</f>
        <v>Cáp đồng bọc CV50</v>
      </c>
      <c r="E774" s="9" t="str">
        <f>VLOOKUP($B774,R_DG!$A$7:$G$1305,4,0)</f>
        <v>mét</v>
      </c>
      <c r="F774" s="11">
        <v>6</v>
      </c>
      <c r="G774" s="214">
        <f>VLOOKUP($B774,R_DG!$A$7:$G$1305,5,0)</f>
        <v>91800</v>
      </c>
      <c r="H774" s="214">
        <f>VLOOKUP($B774,R_DG!$A$7:$G$1305,6,0)</f>
        <v>0</v>
      </c>
      <c r="I774" s="214">
        <f>VLOOKUP($B774,R_DG!$A$7:$G$1305,7,0)</f>
        <v>0</v>
      </c>
      <c r="J774" s="214">
        <f t="shared" si="222"/>
        <v>550800</v>
      </c>
      <c r="K774" s="214">
        <f t="shared" si="222"/>
        <v>0</v>
      </c>
      <c r="L774" s="220">
        <f t="shared" si="222"/>
        <v>0</v>
      </c>
      <c r="M774" s="93">
        <f t="shared" si="223"/>
        <v>0</v>
      </c>
      <c r="N774" s="328">
        <f t="shared" ca="1" si="224"/>
        <v>0</v>
      </c>
    </row>
    <row r="775" spans="1:14" ht="15">
      <c r="A775" s="87"/>
      <c r="B775" s="7" t="s">
        <v>2993</v>
      </c>
      <c r="C775" s="32">
        <f>VLOOKUP($B775,R_DG!$A$7:$G$1305,2,0)</f>
        <v>0</v>
      </c>
      <c r="D775" s="8" t="str">
        <f>VLOOKUP($B775,R_DG!$A$7:$G$1305,3,0)</f>
        <v>Đầu cosse ép Cu 50mm2</v>
      </c>
      <c r="E775" s="9" t="str">
        <f>VLOOKUP($B775,R_DG!$A$7:$G$1305,4,0)</f>
        <v>cái</v>
      </c>
      <c r="F775" s="11">
        <v>8</v>
      </c>
      <c r="G775" s="214">
        <f>VLOOKUP($B775,R_DG!$A$7:$G$1305,5,0)</f>
        <v>9100</v>
      </c>
      <c r="H775" s="214">
        <f>VLOOKUP($B775,R_DG!$A$7:$G$1305,6,0)</f>
        <v>0</v>
      </c>
      <c r="I775" s="214">
        <f>VLOOKUP($B775,R_DG!$A$7:$G$1305,7,0)</f>
        <v>0</v>
      </c>
      <c r="J775" s="214">
        <f t="shared" si="222"/>
        <v>72800</v>
      </c>
      <c r="K775" s="214">
        <f t="shared" si="222"/>
        <v>0</v>
      </c>
      <c r="L775" s="220">
        <f t="shared" si="222"/>
        <v>0</v>
      </c>
      <c r="M775" s="93">
        <f t="shared" si="223"/>
        <v>0</v>
      </c>
      <c r="N775" s="328">
        <f t="shared" ca="1" si="224"/>
        <v>0</v>
      </c>
    </row>
    <row r="776" spans="1:14" ht="15">
      <c r="A776" s="87"/>
      <c r="B776" s="7" t="s">
        <v>3040</v>
      </c>
      <c r="C776" s="32">
        <f>VLOOKUP($B776,R_DG!$A$7:$G$1305,2,0)</f>
        <v>0</v>
      </c>
      <c r="D776" s="8" t="str">
        <f>VLOOKUP($B776,R_DG!$A$7:$G$1305,3,0)</f>
        <v>Ống nối dây cỡ 120mm2</v>
      </c>
      <c r="E776" s="9" t="str">
        <f>VLOOKUP($B776,R_DG!$A$7:$G$1305,4,0)</f>
        <v>cái</v>
      </c>
      <c r="F776" s="11">
        <v>4</v>
      </c>
      <c r="G776" s="214">
        <f>VLOOKUP($B776,R_DG!$A$7:$G$1305,5,0)</f>
        <v>122000</v>
      </c>
      <c r="H776" s="214">
        <f>VLOOKUP($B776,R_DG!$A$7:$G$1305,6,0)</f>
        <v>259648.56000000003</v>
      </c>
      <c r="I776" s="214">
        <f>VLOOKUP($B776,R_DG!$A$7:$G$1305,7,0)</f>
        <v>0</v>
      </c>
      <c r="J776" s="214">
        <f t="shared" si="222"/>
        <v>488000</v>
      </c>
      <c r="K776" s="214">
        <f t="shared" si="222"/>
        <v>1038594.2400000001</v>
      </c>
      <c r="L776" s="220">
        <f t="shared" si="222"/>
        <v>0</v>
      </c>
      <c r="M776" s="93">
        <f t="shared" si="223"/>
        <v>0</v>
      </c>
      <c r="N776" s="328">
        <f t="shared" ca="1" si="224"/>
        <v>0</v>
      </c>
    </row>
    <row r="777" spans="1:14" ht="15">
      <c r="A777" s="29" t="s">
        <v>4142</v>
      </c>
      <c r="B777" s="216"/>
      <c r="C777" s="34"/>
      <c r="D777" s="25" t="s">
        <v>4143</v>
      </c>
      <c r="E777" s="25" t="s">
        <v>163</v>
      </c>
      <c r="F777" s="31"/>
      <c r="G777" s="213"/>
      <c r="H777" s="213"/>
      <c r="I777" s="213"/>
      <c r="J777" s="213" t="e">
        <f>SUM(J778:J781)</f>
        <v>#REF!</v>
      </c>
      <c r="K777" s="213">
        <f>SUM(K778:K781)</f>
        <v>347472.24</v>
      </c>
      <c r="L777" s="219">
        <f>SUM(L778:L781)</f>
        <v>0</v>
      </c>
      <c r="M777" s="92">
        <f>IF(ERROR.TYPE(IF(HLOOKUP(A777,maBK,1,0)&lt;&gt;"",#NULL!,"ABC"))&lt;&gt;7,1,0)</f>
        <v>0</v>
      </c>
      <c r="N777" s="327">
        <f ca="1">SUMIF(maBK,$A777,tongBK1)</f>
        <v>0</v>
      </c>
    </row>
    <row r="778" spans="1:14" ht="15">
      <c r="A778" s="87"/>
      <c r="B778" s="7" t="s">
        <v>3038</v>
      </c>
      <c r="C778" s="32" t="str">
        <f>VLOOKUP($B778,R_DG!$A$7:$G$1305,2,0)</f>
        <v>11.03.204</v>
      </c>
      <c r="D778" s="8" t="str">
        <f>VLOOKUP($B778,R_DG!$A$7:$G$1305,3,0)</f>
        <v>Hộp MCCB phân đoạn</v>
      </c>
      <c r="E778" s="9" t="str">
        <f>VLOOKUP($B778,R_DG!$A$7:$G$1305,4,0)</f>
        <v>cái</v>
      </c>
      <c r="F778" s="11">
        <v>1</v>
      </c>
      <c r="G778" s="214">
        <f>VLOOKUP($B778,R_DG!$A$7:$G$1305,5,0)</f>
        <v>390000</v>
      </c>
      <c r="H778" s="214">
        <f>VLOOKUP($B778,R_DG!$A$7:$G$1305,6,0)</f>
        <v>347472.24</v>
      </c>
      <c r="I778" s="214">
        <f>VLOOKUP($B778,R_DG!$A$7:$G$1305,7,0)</f>
        <v>0</v>
      </c>
      <c r="J778" s="214">
        <f t="shared" ref="J778:J782" si="225">G778*$F778</f>
        <v>390000</v>
      </c>
      <c r="K778" s="214">
        <f t="shared" ref="K778:K782" si="226">H778*$F778</f>
        <v>347472.24</v>
      </c>
      <c r="L778" s="220">
        <f t="shared" ref="L778:L782" si="227">I778*$F778</f>
        <v>0</v>
      </c>
      <c r="M778" s="93">
        <f>IF(F778&gt;0,M$766,0)</f>
        <v>0</v>
      </c>
      <c r="N778" s="328">
        <f ca="1">$F778*N$771</f>
        <v>0</v>
      </c>
    </row>
    <row r="779" spans="1:14" ht="15">
      <c r="A779" s="87"/>
      <c r="B779" s="7" t="s">
        <v>84</v>
      </c>
      <c r="C779" s="32">
        <f>VLOOKUP($B779,R_DG!$A$7:$G$1305,2,0)</f>
        <v>0</v>
      </c>
      <c r="D779" s="8" t="str">
        <f>VLOOKUP($B779,R_DG!$A$7:$G$1305,3,0)</f>
        <v>Boulon 16x250+ 2 long đền vuông D18-50x50x3/Zn</v>
      </c>
      <c r="E779" s="9" t="str">
        <f>VLOOKUP($B779,R_DG!$A$7:$G$1305,4,0)</f>
        <v>bộ</v>
      </c>
      <c r="F779" s="11">
        <v>2</v>
      </c>
      <c r="G779" s="214" t="e">
        <f>VLOOKUP($B779,R_DG!$A$7:$G$1305,5,0)</f>
        <v>#REF!</v>
      </c>
      <c r="H779" s="214">
        <f>VLOOKUP($B779,R_DG!$A$7:$G$1305,6,0)</f>
        <v>0</v>
      </c>
      <c r="I779" s="214">
        <f>VLOOKUP($B779,R_DG!$A$7:$G$1305,7,0)</f>
        <v>0</v>
      </c>
      <c r="J779" s="214" t="e">
        <f t="shared" si="225"/>
        <v>#REF!</v>
      </c>
      <c r="K779" s="214">
        <f t="shared" si="226"/>
        <v>0</v>
      </c>
      <c r="L779" s="220">
        <f t="shared" si="227"/>
        <v>0</v>
      </c>
      <c r="M779" s="93">
        <f>IF(F779&gt;0,M$766,0)</f>
        <v>0</v>
      </c>
      <c r="N779" s="328">
        <f t="shared" ref="N779:N782" ca="1" si="228">$F779*N$771</f>
        <v>0</v>
      </c>
    </row>
    <row r="780" spans="1:14" ht="15">
      <c r="A780" s="87"/>
      <c r="B780" s="7" t="s">
        <v>2462</v>
      </c>
      <c r="C780" s="32">
        <f>VLOOKUP($B780,R_DG!$A$7:$G$1305,2,0)</f>
        <v>0</v>
      </c>
      <c r="D780" s="8" t="str">
        <f>VLOOKUP($B780,R_DG!$A$7:$G$1305,3,0)</f>
        <v>Cáp đồng bọc CV50</v>
      </c>
      <c r="E780" s="9" t="str">
        <f>VLOOKUP($B780,R_DG!$A$7:$G$1305,4,0)</f>
        <v>mét</v>
      </c>
      <c r="F780" s="11">
        <v>6</v>
      </c>
      <c r="G780" s="214">
        <f>VLOOKUP($B780,R_DG!$A$7:$G$1305,5,0)</f>
        <v>91800</v>
      </c>
      <c r="H780" s="214">
        <f>VLOOKUP($B780,R_DG!$A$7:$G$1305,6,0)</f>
        <v>0</v>
      </c>
      <c r="I780" s="214">
        <f>VLOOKUP($B780,R_DG!$A$7:$G$1305,7,0)</f>
        <v>0</v>
      </c>
      <c r="J780" s="214">
        <f t="shared" si="225"/>
        <v>550800</v>
      </c>
      <c r="K780" s="214">
        <f t="shared" si="226"/>
        <v>0</v>
      </c>
      <c r="L780" s="220">
        <f t="shared" si="227"/>
        <v>0</v>
      </c>
      <c r="M780" s="93">
        <f>IF(F780&gt;0,M$766,0)</f>
        <v>0</v>
      </c>
      <c r="N780" s="328">
        <f t="shared" ca="1" si="228"/>
        <v>0</v>
      </c>
    </row>
    <row r="781" spans="1:14" ht="15">
      <c r="A781" s="87"/>
      <c r="B781" s="7" t="s">
        <v>2993</v>
      </c>
      <c r="C781" s="32">
        <f>VLOOKUP($B781,R_DG!$A$7:$G$1305,2,0)</f>
        <v>0</v>
      </c>
      <c r="D781" s="8" t="str">
        <f>VLOOKUP($B781,R_DG!$A$7:$G$1305,3,0)</f>
        <v>Đầu cosse ép Cu 50mm2</v>
      </c>
      <c r="E781" s="9" t="str">
        <f>VLOOKUP($B781,R_DG!$A$7:$G$1305,4,0)</f>
        <v>cái</v>
      </c>
      <c r="F781" s="11">
        <v>8</v>
      </c>
      <c r="G781" s="214">
        <f>VLOOKUP($B781,R_DG!$A$7:$G$1305,5,0)</f>
        <v>9100</v>
      </c>
      <c r="H781" s="214">
        <f>VLOOKUP($B781,R_DG!$A$7:$G$1305,6,0)</f>
        <v>0</v>
      </c>
      <c r="I781" s="214">
        <f>VLOOKUP($B781,R_DG!$A$7:$G$1305,7,0)</f>
        <v>0</v>
      </c>
      <c r="J781" s="214">
        <f t="shared" si="225"/>
        <v>72800</v>
      </c>
      <c r="K781" s="214">
        <f t="shared" si="226"/>
        <v>0</v>
      </c>
      <c r="L781" s="220">
        <f t="shared" si="227"/>
        <v>0</v>
      </c>
      <c r="M781" s="93">
        <f>IF(F781&gt;0,M$766,0)</f>
        <v>0</v>
      </c>
      <c r="N781" s="328">
        <f t="shared" ca="1" si="228"/>
        <v>0</v>
      </c>
    </row>
    <row r="782" spans="1:14" ht="15">
      <c r="A782" s="87"/>
      <c r="B782" s="7" t="s">
        <v>3040</v>
      </c>
      <c r="C782" s="32">
        <f>VLOOKUP($B782,R_DG!$A$7:$G$1305,2,0)</f>
        <v>0</v>
      </c>
      <c r="D782" s="8" t="str">
        <f>VLOOKUP($B782,R_DG!$A$7:$G$1305,3,0)</f>
        <v>Ống nối dây cỡ 120mm2</v>
      </c>
      <c r="E782" s="9" t="str">
        <f>VLOOKUP($B782,R_DG!$A$7:$G$1305,4,0)</f>
        <v>cái</v>
      </c>
      <c r="F782" s="11">
        <v>4</v>
      </c>
      <c r="G782" s="214">
        <f>VLOOKUP($B782,R_DG!$A$7:$G$1305,5,0)</f>
        <v>122000</v>
      </c>
      <c r="H782" s="214">
        <f>VLOOKUP($B782,R_DG!$A$7:$G$1305,6,0)</f>
        <v>259648.56000000003</v>
      </c>
      <c r="I782" s="214">
        <f>VLOOKUP($B782,R_DG!$A$7:$G$1305,7,0)</f>
        <v>0</v>
      </c>
      <c r="J782" s="214">
        <f t="shared" si="225"/>
        <v>488000</v>
      </c>
      <c r="K782" s="214">
        <f t="shared" si="226"/>
        <v>1038594.2400000001</v>
      </c>
      <c r="L782" s="220">
        <f t="shared" si="227"/>
        <v>0</v>
      </c>
      <c r="M782" s="93">
        <f>IF(F782&gt;0,M$766,0)</f>
        <v>0</v>
      </c>
      <c r="N782" s="328">
        <f t="shared" ca="1" si="228"/>
        <v>0</v>
      </c>
    </row>
    <row r="783" spans="1:14" ht="15">
      <c r="A783" s="29" t="s">
        <v>3035</v>
      </c>
      <c r="B783" s="216"/>
      <c r="C783" s="34"/>
      <c r="D783" s="25" t="s">
        <v>3043</v>
      </c>
      <c r="E783" s="25" t="s">
        <v>163</v>
      </c>
      <c r="F783" s="31"/>
      <c r="G783" s="213"/>
      <c r="H783" s="213"/>
      <c r="I783" s="213"/>
      <c r="J783" s="213">
        <f>SUM(J784:J785)</f>
        <v>63400</v>
      </c>
      <c r="K783" s="213">
        <f>SUM(K784:K785)</f>
        <v>0</v>
      </c>
      <c r="L783" s="219">
        <f>SUM(L784:L785)</f>
        <v>0</v>
      </c>
      <c r="M783" s="92">
        <f>IF(ERROR.TYPE(IF(HLOOKUP(A783,maBK,1,0)&lt;&gt;"",#NULL!,"ABC"))&lt;&gt;7,1,0)</f>
        <v>0</v>
      </c>
      <c r="N783" s="327">
        <f ca="1">SUMIF(maBK,$A783,tongBK1)</f>
        <v>0</v>
      </c>
    </row>
    <row r="784" spans="1:14" ht="15">
      <c r="A784" s="87"/>
      <c r="B784" s="7" t="s">
        <v>2799</v>
      </c>
      <c r="C784" s="32">
        <f>VLOOKUP($B784,R_DG!$A$7:$G$1305,2,0)</f>
        <v>0</v>
      </c>
      <c r="D784" s="8" t="str">
        <f>VLOOKUP($B784,R_DG!$A$7:$G$1305,3,0)</f>
        <v xml:space="preserve">Móc đơn treo cáp </v>
      </c>
      <c r="E784" s="9" t="str">
        <f>VLOOKUP($B784,R_DG!$A$7:$G$1305,4,0)</f>
        <v>cái</v>
      </c>
      <c r="F784" s="11">
        <v>1</v>
      </c>
      <c r="G784" s="214">
        <f>VLOOKUP($B784,R_DG!$A$7:$G$1305,5,0)</f>
        <v>34000</v>
      </c>
      <c r="H784" s="214">
        <f>VLOOKUP($B784,R_DG!$A$7:$G$1305,6,0)</f>
        <v>0</v>
      </c>
      <c r="I784" s="214">
        <f>VLOOKUP($B784,R_DG!$A$7:$G$1305,7,0)</f>
        <v>0</v>
      </c>
      <c r="J784" s="214">
        <f t="shared" ref="J784:L785" si="229">G784*$F784</f>
        <v>34000</v>
      </c>
      <c r="K784" s="214">
        <f t="shared" si="229"/>
        <v>0</v>
      </c>
      <c r="L784" s="220">
        <f t="shared" si="229"/>
        <v>0</v>
      </c>
      <c r="M784" s="93">
        <f>IF(F784&gt;0,M$783,0)</f>
        <v>0</v>
      </c>
      <c r="N784" s="328">
        <f ca="1">$F784*N$783</f>
        <v>0</v>
      </c>
    </row>
    <row r="785" spans="1:14" ht="15">
      <c r="A785" s="87"/>
      <c r="B785" s="7" t="s">
        <v>2798</v>
      </c>
      <c r="C785" s="32">
        <f>VLOOKUP($B785,R_DG!$A$7:$G$1305,2,0)</f>
        <v>0</v>
      </c>
      <c r="D785" s="8" t="str">
        <f>VLOOKUP($B785,R_DG!$A$7:$G$1305,3,0)</f>
        <v>Boulon móc 16x250+ 2 long đền vuông D18-50x50x3/Zn</v>
      </c>
      <c r="E785" s="9" t="str">
        <f>VLOOKUP($B785,R_DG!$A$7:$G$1305,4,0)</f>
        <v>bộ</v>
      </c>
      <c r="F785" s="11">
        <v>1</v>
      </c>
      <c r="G785" s="214">
        <f>VLOOKUP($B785,R_DG!$A$7:$G$1305,5,0)</f>
        <v>29400</v>
      </c>
      <c r="H785" s="214">
        <f>VLOOKUP($B785,R_DG!$A$7:$G$1305,6,0)</f>
        <v>0</v>
      </c>
      <c r="I785" s="214">
        <f>VLOOKUP($B785,R_DG!$A$7:$G$1305,7,0)</f>
        <v>0</v>
      </c>
      <c r="J785" s="214">
        <f t="shared" si="229"/>
        <v>29400</v>
      </c>
      <c r="K785" s="214">
        <f t="shared" si="229"/>
        <v>0</v>
      </c>
      <c r="L785" s="220">
        <f t="shared" si="229"/>
        <v>0</v>
      </c>
      <c r="M785" s="93">
        <f>IF(F785&gt;0,M$783,0)</f>
        <v>0</v>
      </c>
      <c r="N785" s="328">
        <f ca="1">$F785*N$783</f>
        <v>0</v>
      </c>
    </row>
    <row r="786" spans="1:14" ht="15">
      <c r="A786" s="29" t="s">
        <v>3036</v>
      </c>
      <c r="B786" s="216"/>
      <c r="C786" s="34"/>
      <c r="D786" s="25" t="s">
        <v>3042</v>
      </c>
      <c r="E786" s="25" t="s">
        <v>163</v>
      </c>
      <c r="F786" s="31"/>
      <c r="G786" s="213"/>
      <c r="H786" s="213"/>
      <c r="I786" s="213"/>
      <c r="J786" s="213">
        <f>SUM(J787:J789)</f>
        <v>134400</v>
      </c>
      <c r="K786" s="213">
        <f>SUM(K787:K789)</f>
        <v>0</v>
      </c>
      <c r="L786" s="219">
        <f>SUM(L787:L789)</f>
        <v>0</v>
      </c>
      <c r="M786" s="92">
        <f>IF(ERROR.TYPE(IF(HLOOKUP(A786,maBK,1,0)&lt;&gt;"",#NULL!,"ABC"))&lt;&gt;7,1,0)</f>
        <v>0</v>
      </c>
      <c r="N786" s="327">
        <f ca="1">SUMIF(maBK,$A786,tongBK1)</f>
        <v>0</v>
      </c>
    </row>
    <row r="787" spans="1:14" ht="15">
      <c r="A787" s="87"/>
      <c r="B787" s="7" t="s">
        <v>2799</v>
      </c>
      <c r="C787" s="32">
        <f>VLOOKUP($B787,R_DG!$A$7:$G$1305,2,0)</f>
        <v>0</v>
      </c>
      <c r="D787" s="8" t="str">
        <f>VLOOKUP($B787,R_DG!$A$7:$G$1305,3,0)</f>
        <v xml:space="preserve">Móc đơn treo cáp </v>
      </c>
      <c r="E787" s="9" t="str">
        <f>VLOOKUP($B787,R_DG!$A$7:$G$1305,4,0)</f>
        <v>cái</v>
      </c>
      <c r="F787" s="11">
        <v>2</v>
      </c>
      <c r="G787" s="214">
        <f>VLOOKUP($B787,R_DG!$A$7:$G$1305,5,0)</f>
        <v>34000</v>
      </c>
      <c r="H787" s="214">
        <f>VLOOKUP($B787,R_DG!$A$7:$G$1305,6,0)</f>
        <v>0</v>
      </c>
      <c r="I787" s="214">
        <f>VLOOKUP($B787,R_DG!$A$7:$G$1305,7,0)</f>
        <v>0</v>
      </c>
      <c r="J787" s="214">
        <f t="shared" ref="J787:L789" si="230">G787*$F787</f>
        <v>68000</v>
      </c>
      <c r="K787" s="214">
        <f t="shared" si="230"/>
        <v>0</v>
      </c>
      <c r="L787" s="220">
        <f t="shared" si="230"/>
        <v>0</v>
      </c>
      <c r="M787" s="93">
        <f>IF(F787&gt;0,M$786,0)</f>
        <v>0</v>
      </c>
      <c r="N787" s="328">
        <f ca="1">$F787*N$786</f>
        <v>0</v>
      </c>
    </row>
    <row r="788" spans="1:14" ht="15">
      <c r="A788" s="87"/>
      <c r="B788" s="7" t="s">
        <v>2801</v>
      </c>
      <c r="C788" s="32">
        <f>VLOOKUP($B788,R_DG!$A$7:$G$1305,2,0)</f>
        <v>0</v>
      </c>
      <c r="D788" s="8" t="str">
        <f>VLOOKUP($B788,R_DG!$A$7:$G$1305,3,0)</f>
        <v>Móc treo chữ A</v>
      </c>
      <c r="E788" s="9" t="str">
        <f>VLOOKUP($B788,R_DG!$A$7:$G$1305,4,0)</f>
        <v>cái</v>
      </c>
      <c r="F788" s="11">
        <v>1</v>
      </c>
      <c r="G788" s="214">
        <f>VLOOKUP($B788,R_DG!$A$7:$G$1305,5,0)</f>
        <v>37000</v>
      </c>
      <c r="H788" s="214">
        <f>VLOOKUP($B788,R_DG!$A$7:$G$1305,6,0)</f>
        <v>0</v>
      </c>
      <c r="I788" s="214">
        <f>VLOOKUP($B788,R_DG!$A$7:$G$1305,7,0)</f>
        <v>0</v>
      </c>
      <c r="J788" s="214">
        <f t="shared" si="230"/>
        <v>37000</v>
      </c>
      <c r="K788" s="214">
        <f t="shared" si="230"/>
        <v>0</v>
      </c>
      <c r="L788" s="220">
        <f t="shared" si="230"/>
        <v>0</v>
      </c>
      <c r="M788" s="93">
        <f>IF(F788&gt;0,M$786,0)</f>
        <v>0</v>
      </c>
      <c r="N788" s="328">
        <f ca="1">$F788*N$786</f>
        <v>0</v>
      </c>
    </row>
    <row r="789" spans="1:14" ht="15">
      <c r="A789" s="87"/>
      <c r="B789" s="7" t="s">
        <v>2798</v>
      </c>
      <c r="C789" s="32">
        <f>VLOOKUP($B789,R_DG!$A$7:$G$1305,2,0)</f>
        <v>0</v>
      </c>
      <c r="D789" s="8" t="str">
        <f>VLOOKUP($B789,R_DG!$A$7:$G$1305,3,0)</f>
        <v>Boulon móc 16x250+ 2 long đền vuông D18-50x50x3/Zn</v>
      </c>
      <c r="E789" s="9" t="str">
        <f>VLOOKUP($B789,R_DG!$A$7:$G$1305,4,0)</f>
        <v>bộ</v>
      </c>
      <c r="F789" s="11">
        <v>1</v>
      </c>
      <c r="G789" s="214">
        <f>VLOOKUP($B789,R_DG!$A$7:$G$1305,5,0)</f>
        <v>29400</v>
      </c>
      <c r="H789" s="214">
        <f>VLOOKUP($B789,R_DG!$A$7:$G$1305,6,0)</f>
        <v>0</v>
      </c>
      <c r="I789" s="214">
        <f>VLOOKUP($B789,R_DG!$A$7:$G$1305,7,0)</f>
        <v>0</v>
      </c>
      <c r="J789" s="214">
        <f t="shared" si="230"/>
        <v>29400</v>
      </c>
      <c r="K789" s="214">
        <f t="shared" si="230"/>
        <v>0</v>
      </c>
      <c r="L789" s="220">
        <f t="shared" si="230"/>
        <v>0</v>
      </c>
      <c r="M789" s="93">
        <f>IF(F789&gt;0,M$786,0)</f>
        <v>0</v>
      </c>
      <c r="N789" s="328">
        <f ca="1">$F789*N$786</f>
        <v>0</v>
      </c>
    </row>
    <row r="790" spans="1:14" ht="15">
      <c r="A790" s="29" t="s">
        <v>3037</v>
      </c>
      <c r="B790" s="216"/>
      <c r="C790" s="34"/>
      <c r="D790" s="25" t="s">
        <v>3041</v>
      </c>
      <c r="E790" s="25" t="s">
        <v>163</v>
      </c>
      <c r="F790" s="31"/>
      <c r="G790" s="213"/>
      <c r="H790" s="213"/>
      <c r="I790" s="213"/>
      <c r="J790" s="213">
        <f>SUM(J791:J794)</f>
        <v>112300</v>
      </c>
      <c r="K790" s="213">
        <f>SUM(K791:K794)</f>
        <v>176680.8</v>
      </c>
      <c r="L790" s="219">
        <f>SUM(L791:L794)</f>
        <v>0</v>
      </c>
      <c r="M790" s="92">
        <f>IF(ERROR.TYPE(IF(HLOOKUP(A790,maBK,1,0)&lt;&gt;"",#NULL!,"ABC"))&lt;&gt;7,1,0)</f>
        <v>0</v>
      </c>
      <c r="N790" s="327">
        <f ca="1">SUMIF(maBK,$A790,tongBK1)</f>
        <v>0</v>
      </c>
    </row>
    <row r="791" spans="1:14" ht="15">
      <c r="A791" s="87"/>
      <c r="B791" s="7" t="s">
        <v>2325</v>
      </c>
      <c r="C791" s="32">
        <f>VLOOKUP($B791,R_DG!$A$7:$G$1305,2,0)</f>
        <v>0</v>
      </c>
      <c r="D791" s="8" t="str">
        <f>VLOOKUP($B791,R_DG!$A$7:$G$1305,3,0)</f>
        <v xml:space="preserve">Móc dừng </v>
      </c>
      <c r="E791" s="9" t="str">
        <f>VLOOKUP($B791,R_DG!$A$7:$G$1305,4,0)</f>
        <v>cái</v>
      </c>
      <c r="F791" s="11"/>
      <c r="G791" s="214">
        <f>VLOOKUP($B791,R_DG!$A$7:$G$1305,5,0)</f>
        <v>11400</v>
      </c>
      <c r="H791" s="214">
        <f>VLOOKUP($B791,R_DG!$A$7:$G$1305,6,0)</f>
        <v>0</v>
      </c>
      <c r="I791" s="214">
        <f>VLOOKUP($B791,R_DG!$A$7:$G$1305,7,0)</f>
        <v>0</v>
      </c>
      <c r="J791" s="214">
        <f t="shared" ref="J791:L794" si="231">G791*$F791</f>
        <v>0</v>
      </c>
      <c r="K791" s="214">
        <f t="shared" si="231"/>
        <v>0</v>
      </c>
      <c r="L791" s="220">
        <f t="shared" si="231"/>
        <v>0</v>
      </c>
      <c r="M791" s="93">
        <f>IF(F791&gt;0,M$790,0)</f>
        <v>0</v>
      </c>
      <c r="N791" s="328">
        <f ca="1">$F791*N$790</f>
        <v>0</v>
      </c>
    </row>
    <row r="792" spans="1:14" ht="15">
      <c r="A792" s="87"/>
      <c r="B792" s="7" t="s">
        <v>461</v>
      </c>
      <c r="C792" s="32" t="str">
        <f>VLOOKUP($B792,R_DG!$A$7:$G$1305,2,0)</f>
        <v>D4.6205</v>
      </c>
      <c r="D792" s="8" t="str">
        <f>VLOOKUP($B792,R_DG!$A$7:$G$1305,3,0)</f>
        <v>Kẹp ngừng cáp ABC4x120mm2</v>
      </c>
      <c r="E792" s="9" t="str">
        <f>VLOOKUP($B792,R_DG!$A$7:$G$1305,4,0)</f>
        <v>cái</v>
      </c>
      <c r="F792" s="11">
        <v>1</v>
      </c>
      <c r="G792" s="214">
        <f>VLOOKUP($B792,R_DG!$A$7:$G$1305,5,0)</f>
        <v>79000</v>
      </c>
      <c r="H792" s="214">
        <f>VLOOKUP($B792,R_DG!$A$7:$G$1305,6,0)</f>
        <v>176680.8</v>
      </c>
      <c r="I792" s="214">
        <f>VLOOKUP($B792,R_DG!$A$7:$G$1305,7,0)</f>
        <v>0</v>
      </c>
      <c r="J792" s="214">
        <f t="shared" si="231"/>
        <v>79000</v>
      </c>
      <c r="K792" s="214">
        <f t="shared" si="231"/>
        <v>176680.8</v>
      </c>
      <c r="L792" s="220">
        <f t="shared" si="231"/>
        <v>0</v>
      </c>
      <c r="M792" s="93">
        <f>IF(F792&gt;0,M$790,0)</f>
        <v>0</v>
      </c>
      <c r="N792" s="328">
        <f ca="1">$F792*N$790</f>
        <v>0</v>
      </c>
    </row>
    <row r="793" spans="1:14" ht="15">
      <c r="A793" s="87"/>
      <c r="B793" s="7" t="s">
        <v>2802</v>
      </c>
      <c r="C793" s="32">
        <f>VLOOKUP($B793,R_DG!$A$7:$G$1305,2,0)</f>
        <v>0</v>
      </c>
      <c r="D793" s="8" t="str">
        <f>VLOOKUP($B793,R_DG!$A$7:$G$1305,3,0)</f>
        <v>Nắp bịt đầu cáp ABC95mm2</v>
      </c>
      <c r="E793" s="9" t="str">
        <f>VLOOKUP($B793,R_DG!$A$7:$G$1305,4,0)</f>
        <v>cái</v>
      </c>
      <c r="F793" s="11">
        <v>1</v>
      </c>
      <c r="G793" s="214">
        <f>VLOOKUP($B793,R_DG!$A$7:$G$1305,5,0)</f>
        <v>3900</v>
      </c>
      <c r="H793" s="214">
        <f>VLOOKUP($B793,R_DG!$A$7:$G$1305,6,0)</f>
        <v>0</v>
      </c>
      <c r="I793" s="214">
        <f>VLOOKUP($B793,R_DG!$A$7:$G$1305,7,0)</f>
        <v>0</v>
      </c>
      <c r="J793" s="214">
        <f t="shared" si="231"/>
        <v>3900</v>
      </c>
      <c r="K793" s="214">
        <f t="shared" si="231"/>
        <v>0</v>
      </c>
      <c r="L793" s="220">
        <f t="shared" si="231"/>
        <v>0</v>
      </c>
      <c r="M793" s="93">
        <f>IF(F793&gt;0,M$790,0)</f>
        <v>0</v>
      </c>
      <c r="N793" s="328">
        <f ca="1">$F793*N$790</f>
        <v>0</v>
      </c>
    </row>
    <row r="794" spans="1:14" ht="15">
      <c r="A794" s="87"/>
      <c r="B794" s="7" t="s">
        <v>2798</v>
      </c>
      <c r="C794" s="32">
        <f>VLOOKUP($B794,R_DG!$A$7:$G$1305,2,0)</f>
        <v>0</v>
      </c>
      <c r="D794" s="8" t="str">
        <f>VLOOKUP($B794,R_DG!$A$7:$G$1305,3,0)</f>
        <v>Boulon móc 16x250+ 2 long đền vuông D18-50x50x3/Zn</v>
      </c>
      <c r="E794" s="9" t="str">
        <f>VLOOKUP($B794,R_DG!$A$7:$G$1305,4,0)</f>
        <v>bộ</v>
      </c>
      <c r="F794" s="11">
        <v>1</v>
      </c>
      <c r="G794" s="214">
        <f>VLOOKUP($B794,R_DG!$A$7:$G$1305,5,0)</f>
        <v>29400</v>
      </c>
      <c r="H794" s="214">
        <f>VLOOKUP($B794,R_DG!$A$7:$G$1305,6,0)</f>
        <v>0</v>
      </c>
      <c r="I794" s="214">
        <f>VLOOKUP($B794,R_DG!$A$7:$G$1305,7,0)</f>
        <v>0</v>
      </c>
      <c r="J794" s="214">
        <f t="shared" si="231"/>
        <v>29400</v>
      </c>
      <c r="K794" s="214">
        <f t="shared" si="231"/>
        <v>0</v>
      </c>
      <c r="L794" s="220">
        <f t="shared" si="231"/>
        <v>0</v>
      </c>
      <c r="M794" s="93">
        <f>IF(F794&gt;0,M$790,0)</f>
        <v>0</v>
      </c>
      <c r="N794" s="328">
        <f ca="1">$F794*N$790</f>
        <v>0</v>
      </c>
    </row>
    <row r="795" spans="1:14" ht="15">
      <c r="A795" s="29" t="s">
        <v>3044</v>
      </c>
      <c r="B795" s="216"/>
      <c r="C795" s="34"/>
      <c r="D795" s="25" t="s">
        <v>3047</v>
      </c>
      <c r="E795" s="25" t="s">
        <v>163</v>
      </c>
      <c r="F795" s="31"/>
      <c r="G795" s="213"/>
      <c r="H795" s="213"/>
      <c r="I795" s="213"/>
      <c r="J795" s="213">
        <f>SUM(J796:J797)</f>
        <v>61500</v>
      </c>
      <c r="K795" s="213">
        <f>SUM(K796:K797)</f>
        <v>0</v>
      </c>
      <c r="L795" s="219">
        <f>SUM(L796:L797)</f>
        <v>0</v>
      </c>
      <c r="M795" s="92">
        <f>IF(ERROR.TYPE(IF(HLOOKUP(A795,maBK,1,0)&lt;&gt;"",#NULL!,"ABC"))&lt;&gt;7,1,0)</f>
        <v>0</v>
      </c>
      <c r="N795" s="327">
        <f ca="1">SUMIF(maBK,$A795,tongBK1)</f>
        <v>0</v>
      </c>
    </row>
    <row r="796" spans="1:14" ht="15">
      <c r="A796" s="87"/>
      <c r="B796" s="7" t="s">
        <v>2799</v>
      </c>
      <c r="C796" s="32">
        <f>VLOOKUP($B796,R_DG!$A$7:$G$1305,2,0)</f>
        <v>0</v>
      </c>
      <c r="D796" s="8" t="str">
        <f>VLOOKUP($B796,R_DG!$A$7:$G$1305,3,0)</f>
        <v xml:space="preserve">Móc đơn treo cáp </v>
      </c>
      <c r="E796" s="9" t="str">
        <f>VLOOKUP($B796,R_DG!$A$7:$G$1305,4,0)</f>
        <v>cái</v>
      </c>
      <c r="F796" s="11">
        <v>1</v>
      </c>
      <c r="G796" s="214">
        <f>VLOOKUP($B796,R_DG!$A$7:$G$1305,5,0)</f>
        <v>34000</v>
      </c>
      <c r="H796" s="214">
        <f>VLOOKUP($B796,R_DG!$A$7:$G$1305,6,0)</f>
        <v>0</v>
      </c>
      <c r="I796" s="214">
        <f>VLOOKUP($B796,R_DG!$A$7:$G$1305,7,0)</f>
        <v>0</v>
      </c>
      <c r="J796" s="214">
        <f t="shared" ref="J796:L797" si="232">G796*$F796</f>
        <v>34000</v>
      </c>
      <c r="K796" s="214">
        <f t="shared" si="232"/>
        <v>0</v>
      </c>
      <c r="L796" s="220">
        <f t="shared" si="232"/>
        <v>0</v>
      </c>
      <c r="M796" s="93">
        <f>IF(F796&gt;0,M$795,0)</f>
        <v>0</v>
      </c>
      <c r="N796" s="328">
        <f ca="1">$F796*N$795</f>
        <v>0</v>
      </c>
    </row>
    <row r="797" spans="1:14" ht="15">
      <c r="A797" s="87"/>
      <c r="B797" s="7" t="s">
        <v>3050</v>
      </c>
      <c r="C797" s="32">
        <f>VLOOKUP($B797,R_DG!$A$7:$G$1305,2,0)</f>
        <v>0</v>
      </c>
      <c r="D797" s="8" t="str">
        <f>VLOOKUP($B797,R_DG!$A$7:$G$1305,3,0)</f>
        <v>Boulon móc 16x200+ 2 long đền vuông D18-50x50x3/Zn</v>
      </c>
      <c r="E797" s="9" t="str">
        <f>VLOOKUP($B797,R_DG!$A$7:$G$1305,4,0)</f>
        <v>bộ</v>
      </c>
      <c r="F797" s="11">
        <v>1</v>
      </c>
      <c r="G797" s="214">
        <f>VLOOKUP($B797,R_DG!$A$7:$G$1305,5,0)</f>
        <v>27500</v>
      </c>
      <c r="H797" s="214">
        <f>VLOOKUP($B797,R_DG!$A$7:$G$1305,6,0)</f>
        <v>0</v>
      </c>
      <c r="I797" s="214">
        <f>VLOOKUP($B797,R_DG!$A$7:$G$1305,7,0)</f>
        <v>0</v>
      </c>
      <c r="J797" s="214">
        <f t="shared" si="232"/>
        <v>27500</v>
      </c>
      <c r="K797" s="214">
        <f t="shared" si="232"/>
        <v>0</v>
      </c>
      <c r="L797" s="220">
        <f t="shared" si="232"/>
        <v>0</v>
      </c>
      <c r="M797" s="93">
        <f>IF(F797&gt;0,M$795,0)</f>
        <v>0</v>
      </c>
      <c r="N797" s="328">
        <f ca="1">$F797*N$795</f>
        <v>0</v>
      </c>
    </row>
    <row r="798" spans="1:14" ht="15">
      <c r="A798" s="29" t="s">
        <v>3045</v>
      </c>
      <c r="B798" s="216"/>
      <c r="C798" s="34"/>
      <c r="D798" s="25" t="s">
        <v>3048</v>
      </c>
      <c r="E798" s="25" t="s">
        <v>163</v>
      </c>
      <c r="F798" s="31"/>
      <c r="G798" s="213"/>
      <c r="H798" s="213"/>
      <c r="I798" s="213"/>
      <c r="J798" s="213">
        <f>SUM(J799:J801)</f>
        <v>132500</v>
      </c>
      <c r="K798" s="213">
        <f>SUM(K799:K801)</f>
        <v>0</v>
      </c>
      <c r="L798" s="219">
        <f>SUM(L799:L801)</f>
        <v>0</v>
      </c>
      <c r="M798" s="92">
        <f>IF(ERROR.TYPE(IF(HLOOKUP(A798,maBK,1,0)&lt;&gt;"",#NULL!,"ABC"))&lt;&gt;7,1,0)</f>
        <v>0</v>
      </c>
      <c r="N798" s="327">
        <f ca="1">SUMIF(maBK,$A798,tongBK1)</f>
        <v>0</v>
      </c>
    </row>
    <row r="799" spans="1:14" ht="15">
      <c r="A799" s="87"/>
      <c r="B799" s="7" t="s">
        <v>2799</v>
      </c>
      <c r="C799" s="32">
        <f>VLOOKUP($B799,R_DG!$A$7:$G$1305,2,0)</f>
        <v>0</v>
      </c>
      <c r="D799" s="8" t="str">
        <f>VLOOKUP($B799,R_DG!$A$7:$G$1305,3,0)</f>
        <v xml:space="preserve">Móc đơn treo cáp </v>
      </c>
      <c r="E799" s="9" t="str">
        <f>VLOOKUP($B799,R_DG!$A$7:$G$1305,4,0)</f>
        <v>cái</v>
      </c>
      <c r="F799" s="11">
        <v>2</v>
      </c>
      <c r="G799" s="214">
        <f>VLOOKUP($B799,R_DG!$A$7:$G$1305,5,0)</f>
        <v>34000</v>
      </c>
      <c r="H799" s="214">
        <f>VLOOKUP($B799,R_DG!$A$7:$G$1305,6,0)</f>
        <v>0</v>
      </c>
      <c r="I799" s="214">
        <f>VLOOKUP($B799,R_DG!$A$7:$G$1305,7,0)</f>
        <v>0</v>
      </c>
      <c r="J799" s="214">
        <f t="shared" ref="J799:L801" si="233">G799*$F799</f>
        <v>68000</v>
      </c>
      <c r="K799" s="214">
        <f t="shared" si="233"/>
        <v>0</v>
      </c>
      <c r="L799" s="220">
        <f t="shared" si="233"/>
        <v>0</v>
      </c>
      <c r="M799" s="93">
        <f>IF(F799&gt;0,M$798,0)</f>
        <v>0</v>
      </c>
      <c r="N799" s="328">
        <f ca="1">$F799*N$798</f>
        <v>0</v>
      </c>
    </row>
    <row r="800" spans="1:14" ht="15">
      <c r="A800" s="87"/>
      <c r="B800" s="7" t="s">
        <v>2801</v>
      </c>
      <c r="C800" s="32">
        <f>VLOOKUP($B800,R_DG!$A$7:$G$1305,2,0)</f>
        <v>0</v>
      </c>
      <c r="D800" s="8" t="str">
        <f>VLOOKUP($B800,R_DG!$A$7:$G$1305,3,0)</f>
        <v>Móc treo chữ A</v>
      </c>
      <c r="E800" s="9" t="str">
        <f>VLOOKUP($B800,R_DG!$A$7:$G$1305,4,0)</f>
        <v>cái</v>
      </c>
      <c r="F800" s="11">
        <v>1</v>
      </c>
      <c r="G800" s="214">
        <f>VLOOKUP($B800,R_DG!$A$7:$G$1305,5,0)</f>
        <v>37000</v>
      </c>
      <c r="H800" s="214">
        <f>VLOOKUP($B800,R_DG!$A$7:$G$1305,6,0)</f>
        <v>0</v>
      </c>
      <c r="I800" s="214">
        <f>VLOOKUP($B800,R_DG!$A$7:$G$1305,7,0)</f>
        <v>0</v>
      </c>
      <c r="J800" s="214">
        <f t="shared" si="233"/>
        <v>37000</v>
      </c>
      <c r="K800" s="214">
        <f t="shared" si="233"/>
        <v>0</v>
      </c>
      <c r="L800" s="220">
        <f t="shared" si="233"/>
        <v>0</v>
      </c>
      <c r="M800" s="93">
        <f>IF(F800&gt;0,M$798,0)</f>
        <v>0</v>
      </c>
      <c r="N800" s="328">
        <f t="shared" ref="N800:N801" ca="1" si="234">$F800*N$798</f>
        <v>0</v>
      </c>
    </row>
    <row r="801" spans="1:14" ht="15">
      <c r="A801" s="87"/>
      <c r="B801" s="7" t="s">
        <v>3050</v>
      </c>
      <c r="C801" s="32">
        <f>VLOOKUP($B801,R_DG!$A$7:$G$1305,2,0)</f>
        <v>0</v>
      </c>
      <c r="D801" s="8" t="str">
        <f>VLOOKUP($B801,R_DG!$A$7:$G$1305,3,0)</f>
        <v>Boulon móc 16x200+ 2 long đền vuông D18-50x50x3/Zn</v>
      </c>
      <c r="E801" s="9" t="str">
        <f>VLOOKUP($B801,R_DG!$A$7:$G$1305,4,0)</f>
        <v>bộ</v>
      </c>
      <c r="F801" s="11">
        <v>1</v>
      </c>
      <c r="G801" s="214">
        <f>VLOOKUP($B801,R_DG!$A$7:$G$1305,5,0)</f>
        <v>27500</v>
      </c>
      <c r="H801" s="214">
        <f>VLOOKUP($B801,R_DG!$A$7:$G$1305,6,0)</f>
        <v>0</v>
      </c>
      <c r="I801" s="214">
        <f>VLOOKUP($B801,R_DG!$A$7:$G$1305,7,0)</f>
        <v>0</v>
      </c>
      <c r="J801" s="214">
        <f t="shared" si="233"/>
        <v>27500</v>
      </c>
      <c r="K801" s="214">
        <f t="shared" si="233"/>
        <v>0</v>
      </c>
      <c r="L801" s="220">
        <f t="shared" si="233"/>
        <v>0</v>
      </c>
      <c r="M801" s="93">
        <f>IF(F801&gt;0,M$798,0)</f>
        <v>0</v>
      </c>
      <c r="N801" s="328">
        <f t="shared" ca="1" si="234"/>
        <v>0</v>
      </c>
    </row>
    <row r="802" spans="1:14" ht="15">
      <c r="A802" s="29" t="s">
        <v>3046</v>
      </c>
      <c r="B802" s="216"/>
      <c r="C802" s="34"/>
      <c r="D802" s="25" t="s">
        <v>3049</v>
      </c>
      <c r="E802" s="25" t="s">
        <v>163</v>
      </c>
      <c r="F802" s="31"/>
      <c r="G802" s="213"/>
      <c r="H802" s="213"/>
      <c r="I802" s="213"/>
      <c r="J802" s="213">
        <f>SUM(J803:J806)</f>
        <v>110400</v>
      </c>
      <c r="K802" s="213">
        <f>SUM(K803:K806)</f>
        <v>176680.8</v>
      </c>
      <c r="L802" s="219">
        <f>SUM(L803:L806)</f>
        <v>0</v>
      </c>
      <c r="M802" s="92">
        <f>IF(ERROR.TYPE(IF(HLOOKUP(A802,maBK,1,0)&lt;&gt;"",#NULL!,"ABC"))&lt;&gt;7,1,0)</f>
        <v>0</v>
      </c>
      <c r="N802" s="327">
        <f ca="1">SUMIF(maBK,$A802,tongBK1)</f>
        <v>0</v>
      </c>
    </row>
    <row r="803" spans="1:14" ht="15">
      <c r="A803" s="87"/>
      <c r="B803" s="7" t="s">
        <v>2325</v>
      </c>
      <c r="C803" s="32">
        <f>VLOOKUP($B803,R_DG!$A$7:$G$1305,2,0)</f>
        <v>0</v>
      </c>
      <c r="D803" s="8" t="str">
        <f>VLOOKUP($B803,R_DG!$A$7:$G$1305,3,0)</f>
        <v xml:space="preserve">Móc dừng </v>
      </c>
      <c r="E803" s="9" t="str">
        <f>VLOOKUP($B803,R_DG!$A$7:$G$1305,4,0)</f>
        <v>cái</v>
      </c>
      <c r="F803" s="11"/>
      <c r="G803" s="214">
        <f>VLOOKUP($B803,R_DG!$A$7:$G$1305,5,0)</f>
        <v>11400</v>
      </c>
      <c r="H803" s="214">
        <f>VLOOKUP($B803,R_DG!$A$7:$G$1305,6,0)</f>
        <v>0</v>
      </c>
      <c r="I803" s="214">
        <f>VLOOKUP($B803,R_DG!$A$7:$G$1305,7,0)</f>
        <v>0</v>
      </c>
      <c r="J803" s="214">
        <f t="shared" ref="J803:L806" si="235">G803*$F803</f>
        <v>0</v>
      </c>
      <c r="K803" s="214">
        <f t="shared" si="235"/>
        <v>0</v>
      </c>
      <c r="L803" s="220">
        <f t="shared" si="235"/>
        <v>0</v>
      </c>
      <c r="M803" s="93">
        <f>IF(F803&gt;0,M$802,0)</f>
        <v>0</v>
      </c>
      <c r="N803" s="328">
        <f ca="1">$F803*N$802</f>
        <v>0</v>
      </c>
    </row>
    <row r="804" spans="1:14" ht="15">
      <c r="A804" s="87"/>
      <c r="B804" s="7" t="s">
        <v>461</v>
      </c>
      <c r="C804" s="32" t="str">
        <f>VLOOKUP($B804,R_DG!$A$7:$G$1305,2,0)</f>
        <v>D4.6205</v>
      </c>
      <c r="D804" s="8" t="str">
        <f>VLOOKUP($B804,R_DG!$A$7:$G$1305,3,0)</f>
        <v>Kẹp ngừng cáp ABC4x120mm2</v>
      </c>
      <c r="E804" s="9" t="str">
        <f>VLOOKUP($B804,R_DG!$A$7:$G$1305,4,0)</f>
        <v>cái</v>
      </c>
      <c r="F804" s="11">
        <v>1</v>
      </c>
      <c r="G804" s="214">
        <f>VLOOKUP($B804,R_DG!$A$7:$G$1305,5,0)</f>
        <v>79000</v>
      </c>
      <c r="H804" s="214">
        <f>VLOOKUP($B804,R_DG!$A$7:$G$1305,6,0)</f>
        <v>176680.8</v>
      </c>
      <c r="I804" s="214">
        <f>VLOOKUP($B804,R_DG!$A$7:$G$1305,7,0)</f>
        <v>0</v>
      </c>
      <c r="J804" s="214">
        <f t="shared" si="235"/>
        <v>79000</v>
      </c>
      <c r="K804" s="214">
        <f t="shared" si="235"/>
        <v>176680.8</v>
      </c>
      <c r="L804" s="220">
        <f t="shared" si="235"/>
        <v>0</v>
      </c>
      <c r="M804" s="93">
        <f>IF(F804&gt;0,M$802,0)</f>
        <v>0</v>
      </c>
      <c r="N804" s="328">
        <f t="shared" ref="N804:N806" ca="1" si="236">$F804*N$802</f>
        <v>0</v>
      </c>
    </row>
    <row r="805" spans="1:14" ht="15">
      <c r="A805" s="87"/>
      <c r="B805" s="7" t="s">
        <v>2802</v>
      </c>
      <c r="C805" s="32">
        <f>VLOOKUP($B805,R_DG!$A$7:$G$1305,2,0)</f>
        <v>0</v>
      </c>
      <c r="D805" s="8" t="str">
        <f>VLOOKUP($B805,R_DG!$A$7:$G$1305,3,0)</f>
        <v>Nắp bịt đầu cáp ABC95mm2</v>
      </c>
      <c r="E805" s="9" t="str">
        <f>VLOOKUP($B805,R_DG!$A$7:$G$1305,4,0)</f>
        <v>cái</v>
      </c>
      <c r="F805" s="11">
        <v>1</v>
      </c>
      <c r="G805" s="214">
        <f>VLOOKUP($B805,R_DG!$A$7:$G$1305,5,0)</f>
        <v>3900</v>
      </c>
      <c r="H805" s="214">
        <f>VLOOKUP($B805,R_DG!$A$7:$G$1305,6,0)</f>
        <v>0</v>
      </c>
      <c r="I805" s="214">
        <f>VLOOKUP($B805,R_DG!$A$7:$G$1305,7,0)</f>
        <v>0</v>
      </c>
      <c r="J805" s="214">
        <f t="shared" si="235"/>
        <v>3900</v>
      </c>
      <c r="K805" s="214">
        <f t="shared" si="235"/>
        <v>0</v>
      </c>
      <c r="L805" s="220">
        <f t="shared" si="235"/>
        <v>0</v>
      </c>
      <c r="M805" s="93">
        <f>IF(F805&gt;0,M$802,0)</f>
        <v>0</v>
      </c>
      <c r="N805" s="328">
        <f t="shared" ca="1" si="236"/>
        <v>0</v>
      </c>
    </row>
    <row r="806" spans="1:14" ht="15">
      <c r="A806" s="87"/>
      <c r="B806" s="7" t="s">
        <v>3050</v>
      </c>
      <c r="C806" s="32">
        <f>VLOOKUP($B806,R_DG!$A$7:$G$1305,2,0)</f>
        <v>0</v>
      </c>
      <c r="D806" s="8" t="str">
        <f>VLOOKUP($B806,R_DG!$A$7:$G$1305,3,0)</f>
        <v>Boulon móc 16x200+ 2 long đền vuông D18-50x50x3/Zn</v>
      </c>
      <c r="E806" s="9" t="str">
        <f>VLOOKUP($B806,R_DG!$A$7:$G$1305,4,0)</f>
        <v>bộ</v>
      </c>
      <c r="F806" s="11">
        <v>1</v>
      </c>
      <c r="G806" s="214">
        <f>VLOOKUP($B806,R_DG!$A$7:$G$1305,5,0)</f>
        <v>27500</v>
      </c>
      <c r="H806" s="214">
        <f>VLOOKUP($B806,R_DG!$A$7:$G$1305,6,0)</f>
        <v>0</v>
      </c>
      <c r="I806" s="214">
        <f>VLOOKUP($B806,R_DG!$A$7:$G$1305,7,0)</f>
        <v>0</v>
      </c>
      <c r="J806" s="214">
        <f t="shared" si="235"/>
        <v>27500</v>
      </c>
      <c r="K806" s="214">
        <f t="shared" si="235"/>
        <v>0</v>
      </c>
      <c r="L806" s="220">
        <f t="shared" si="235"/>
        <v>0</v>
      </c>
      <c r="M806" s="93">
        <f>IF(F806&gt;0,M$802,0)</f>
        <v>0</v>
      </c>
      <c r="N806" s="328">
        <f t="shared" ca="1" si="236"/>
        <v>0</v>
      </c>
    </row>
    <row r="807" spans="1:14" ht="15">
      <c r="A807" s="29" t="s">
        <v>3057</v>
      </c>
      <c r="B807" s="216"/>
      <c r="C807" s="34"/>
      <c r="D807" s="25" t="s">
        <v>3059</v>
      </c>
      <c r="E807" s="25" t="s">
        <v>163</v>
      </c>
      <c r="F807" s="31"/>
      <c r="G807" s="213"/>
      <c r="H807" s="213"/>
      <c r="I807" s="213"/>
      <c r="J807" s="213">
        <f>SUM(J808:J825)</f>
        <v>8736900</v>
      </c>
      <c r="K807" s="213">
        <f>SUM(K808:K825)</f>
        <v>1104140.4000000001</v>
      </c>
      <c r="L807" s="219">
        <f>SUM(L808:L825)</f>
        <v>0</v>
      </c>
      <c r="M807" s="92">
        <f>IF(ERROR.TYPE(IF(HLOOKUP(A807,maBK,1,0)&lt;&gt;"",#NULL!,"ABC"))&lt;&gt;7,1,0)</f>
        <v>0</v>
      </c>
      <c r="N807" s="327">
        <f ca="1">SUMIF(maBK,$A807,tongBK1)</f>
        <v>0</v>
      </c>
    </row>
    <row r="808" spans="1:14" ht="15">
      <c r="A808" s="87"/>
      <c r="B808" s="7" t="s">
        <v>3054</v>
      </c>
      <c r="C808" s="32">
        <f>VLOOKUP($B808,R_DG!$A$7:$G$1305,2,0)</f>
        <v>0</v>
      </c>
      <c r="D808" s="8" t="str">
        <f>VLOOKUP($B808,R_DG!$A$7:$G$1305,3,0)</f>
        <v>Cáp đồng bọc CV120</v>
      </c>
      <c r="E808" s="9" t="str">
        <f>VLOOKUP($B808,R_DG!$A$7:$G$1305,4,0)</f>
        <v>mét</v>
      </c>
      <c r="F808" s="11">
        <v>27</v>
      </c>
      <c r="G808" s="214">
        <f>VLOOKUP($B808,R_DG!$A$7:$G$1305,5,0)</f>
        <v>236300</v>
      </c>
      <c r="H808" s="214">
        <f>VLOOKUP($B808,R_DG!$A$7:$G$1305,6,0)</f>
        <v>0</v>
      </c>
      <c r="I808" s="214">
        <f>VLOOKUP($B808,R_DG!$A$7:$G$1305,7,0)</f>
        <v>0</v>
      </c>
      <c r="J808" s="214">
        <f t="shared" ref="J808:J816" si="237">G808*$F808</f>
        <v>6380100</v>
      </c>
      <c r="K808" s="214">
        <f t="shared" ref="K808:K816" si="238">H808*$F808</f>
        <v>0</v>
      </c>
      <c r="L808" s="220">
        <f t="shared" ref="L808:L816" si="239">I808*$F808</f>
        <v>0</v>
      </c>
      <c r="M808" s="93">
        <f>IF(F808&gt;0,M$807,0)</f>
        <v>0</v>
      </c>
      <c r="N808" s="328">
        <f ca="1">$F808*N$807</f>
        <v>0</v>
      </c>
    </row>
    <row r="809" spans="1:14" ht="15">
      <c r="A809" s="87"/>
      <c r="B809" s="7" t="s">
        <v>2928</v>
      </c>
      <c r="C809" s="32">
        <f>VLOOKUP($B809,R_DG!$A$7:$G$1305,2,0)</f>
        <v>0</v>
      </c>
      <c r="D809" s="8" t="str">
        <f>VLOOKUP($B809,R_DG!$A$7:$G$1305,3,0)</f>
        <v>Cáp đồng bọc CV70</v>
      </c>
      <c r="E809" s="9" t="str">
        <f>VLOOKUP($B809,R_DG!$A$7:$G$1305,4,0)</f>
        <v>mét</v>
      </c>
      <c r="F809" s="11">
        <v>10</v>
      </c>
      <c r="G809" s="214">
        <f>VLOOKUP($B809,R_DG!$A$7:$G$1305,5,0)</f>
        <v>131100</v>
      </c>
      <c r="H809" s="214">
        <f>VLOOKUP($B809,R_DG!$A$7:$G$1305,6,0)</f>
        <v>0</v>
      </c>
      <c r="I809" s="214">
        <f>VLOOKUP($B809,R_DG!$A$7:$G$1305,7,0)</f>
        <v>0</v>
      </c>
      <c r="J809" s="214">
        <f t="shared" si="237"/>
        <v>1311000</v>
      </c>
      <c r="K809" s="214">
        <f t="shared" si="238"/>
        <v>0</v>
      </c>
      <c r="L809" s="220">
        <f t="shared" si="239"/>
        <v>0</v>
      </c>
      <c r="M809" s="93">
        <f t="shared" ref="M809:M825" si="240">IF(F809&gt;0,M$807,0)</f>
        <v>0</v>
      </c>
      <c r="N809" s="328">
        <f t="shared" ref="N809:N825" ca="1" si="241">$F809*N$807</f>
        <v>0</v>
      </c>
    </row>
    <row r="810" spans="1:14" ht="15">
      <c r="A810" s="87"/>
      <c r="B810" s="7" t="s">
        <v>2812</v>
      </c>
      <c r="C810" s="32">
        <f>VLOOKUP($B810,R_DG!$A$7:$G$1305,2,0)</f>
        <v>0</v>
      </c>
      <c r="D810" s="8" t="str">
        <f>VLOOKUP($B810,R_DG!$A$7:$G$1305,3,0)</f>
        <v>Đầu cosse ép Cu 70mm2</v>
      </c>
      <c r="E810" s="9" t="str">
        <f>VLOOKUP($B810,R_DG!$A$7:$G$1305,4,0)</f>
        <v>cái</v>
      </c>
      <c r="F810" s="11">
        <v>1</v>
      </c>
      <c r="G810" s="214">
        <f>VLOOKUP($B810,R_DG!$A$7:$G$1305,5,0)</f>
        <v>14000</v>
      </c>
      <c r="H810" s="214">
        <f>VLOOKUP($B810,R_DG!$A$7:$G$1305,6,0)</f>
        <v>0</v>
      </c>
      <c r="I810" s="214">
        <f>VLOOKUP($B810,R_DG!$A$7:$G$1305,7,0)</f>
        <v>0</v>
      </c>
      <c r="J810" s="214">
        <f t="shared" si="237"/>
        <v>14000</v>
      </c>
      <c r="K810" s="214">
        <f t="shared" si="238"/>
        <v>0</v>
      </c>
      <c r="L810" s="220">
        <f t="shared" si="239"/>
        <v>0</v>
      </c>
      <c r="M810" s="93">
        <f t="shared" si="240"/>
        <v>0</v>
      </c>
      <c r="N810" s="328">
        <f t="shared" ca="1" si="241"/>
        <v>0</v>
      </c>
    </row>
    <row r="811" spans="1:14" ht="15">
      <c r="A811" s="87"/>
      <c r="B811" s="7" t="s">
        <v>3055</v>
      </c>
      <c r="C811" s="32">
        <f>VLOOKUP($B811,R_DG!$A$7:$G$1305,2,0)</f>
        <v>0</v>
      </c>
      <c r="D811" s="8" t="str">
        <f>VLOOKUP($B811,R_DG!$A$7:$G$1305,3,0)</f>
        <v>Đầu cosse ép Cu 120mm2</v>
      </c>
      <c r="E811" s="9" t="str">
        <f>VLOOKUP($B811,R_DG!$A$7:$G$1305,4,0)</f>
        <v>cái</v>
      </c>
      <c r="F811" s="11">
        <v>3</v>
      </c>
      <c r="G811" s="214">
        <f>VLOOKUP($B811,R_DG!$A$7:$G$1305,5,0)</f>
        <v>27000</v>
      </c>
      <c r="H811" s="214">
        <f>VLOOKUP($B811,R_DG!$A$7:$G$1305,6,0)</f>
        <v>0</v>
      </c>
      <c r="I811" s="214">
        <f>VLOOKUP($B811,R_DG!$A$7:$G$1305,7,0)</f>
        <v>0</v>
      </c>
      <c r="J811" s="214">
        <f>G811*$F811</f>
        <v>81000</v>
      </c>
      <c r="K811" s="214">
        <f>H811*$F811</f>
        <v>0</v>
      </c>
      <c r="L811" s="220">
        <f>I811*$F811</f>
        <v>0</v>
      </c>
      <c r="M811" s="93">
        <f>IF(F811&gt;0,M$807,0)</f>
        <v>0</v>
      </c>
      <c r="N811" s="328">
        <f t="shared" ca="1" si="241"/>
        <v>0</v>
      </c>
    </row>
    <row r="812" spans="1:14" ht="15">
      <c r="A812" s="87"/>
      <c r="B812" s="7" t="s">
        <v>3056</v>
      </c>
      <c r="C812" s="32">
        <f>VLOOKUP($B812,R_DG!$A$7:$G$1305,2,0)</f>
        <v>0</v>
      </c>
      <c r="D812" s="8" t="str">
        <f>VLOOKUP($B812,R_DG!$A$7:$G$1305,3,0)</f>
        <v>Chụp đầu cosse 120mm2</v>
      </c>
      <c r="E812" s="9" t="str">
        <f>VLOOKUP($B812,R_DG!$A$7:$G$1305,4,0)</f>
        <v>cái</v>
      </c>
      <c r="F812" s="11">
        <f>F811</f>
        <v>3</v>
      </c>
      <c r="G812" s="214">
        <f>VLOOKUP($B812,R_DG!$A$7:$G$1305,5,0)</f>
        <v>3900</v>
      </c>
      <c r="H812" s="214">
        <f>VLOOKUP($B812,R_DG!$A$7:$G$1305,6,0)</f>
        <v>0</v>
      </c>
      <c r="I812" s="214">
        <f>VLOOKUP($B812,R_DG!$A$7:$G$1305,7,0)</f>
        <v>0</v>
      </c>
      <c r="J812" s="214">
        <f t="shared" si="237"/>
        <v>11700</v>
      </c>
      <c r="K812" s="214">
        <f t="shared" si="238"/>
        <v>0</v>
      </c>
      <c r="L812" s="220">
        <f t="shared" si="239"/>
        <v>0</v>
      </c>
      <c r="M812" s="93">
        <f t="shared" si="240"/>
        <v>0</v>
      </c>
      <c r="N812" s="328">
        <f t="shared" ca="1" si="241"/>
        <v>0</v>
      </c>
    </row>
    <row r="813" spans="1:14" ht="15">
      <c r="A813" s="87"/>
      <c r="B813" s="7" t="s">
        <v>2929</v>
      </c>
      <c r="C813" s="32">
        <f>VLOOKUP($B813,R_DG!$A$7:$G$1305,2,0)</f>
        <v>0</v>
      </c>
      <c r="D813" s="8" t="str">
        <f>VLOOKUP($B813,R_DG!$A$7:$G$1305,3,0)</f>
        <v>Chụp đầu cosse 70mm2</v>
      </c>
      <c r="E813" s="9" t="str">
        <f>VLOOKUP($B813,R_DG!$A$7:$G$1305,4,0)</f>
        <v>cái</v>
      </c>
      <c r="F813" s="11">
        <f>F810</f>
        <v>1</v>
      </c>
      <c r="G813" s="214">
        <f>VLOOKUP($B813,R_DG!$A$7:$G$1305,5,0)</f>
        <v>2300</v>
      </c>
      <c r="H813" s="214">
        <f>VLOOKUP($B813,R_DG!$A$7:$G$1305,6,0)</f>
        <v>0</v>
      </c>
      <c r="I813" s="214">
        <f>VLOOKUP($B813,R_DG!$A$7:$G$1305,7,0)</f>
        <v>0</v>
      </c>
      <c r="J813" s="214">
        <f t="shared" si="237"/>
        <v>2300</v>
      </c>
      <c r="K813" s="214">
        <f t="shared" si="238"/>
        <v>0</v>
      </c>
      <c r="L813" s="220">
        <f t="shared" si="239"/>
        <v>0</v>
      </c>
      <c r="M813" s="93">
        <f t="shared" si="240"/>
        <v>0</v>
      </c>
      <c r="N813" s="328">
        <f t="shared" ca="1" si="241"/>
        <v>0</v>
      </c>
    </row>
    <row r="814" spans="1:14" ht="15">
      <c r="A814" s="87"/>
      <c r="B814" s="7" t="s">
        <v>1904</v>
      </c>
      <c r="C814" s="32">
        <f>VLOOKUP($B814,R_DG!$A$7:$G$1305,2,0)</f>
        <v>0</v>
      </c>
      <c r="D814" s="8" t="str">
        <f>VLOOKUP($B814,R_DG!$A$7:$G$1305,3,0)</f>
        <v xml:space="preserve">Ống PVC D90x3,8mm </v>
      </c>
      <c r="E814" s="9" t="str">
        <f>VLOOKUP($B814,R_DG!$A$7:$G$1305,4,0)</f>
        <v>m</v>
      </c>
      <c r="F814" s="11">
        <v>8</v>
      </c>
      <c r="G814" s="214">
        <f>VLOOKUP($B814,R_DG!$A$7:$G$1305,5,0)</f>
        <v>63100</v>
      </c>
      <c r="H814" s="214">
        <f>VLOOKUP($B814,R_DG!$A$7:$G$1305,6,0)</f>
        <v>0</v>
      </c>
      <c r="I814" s="214">
        <f>VLOOKUP($B814,R_DG!$A$7:$G$1305,7,0)</f>
        <v>0</v>
      </c>
      <c r="J814" s="214">
        <f t="shared" si="237"/>
        <v>504800</v>
      </c>
      <c r="K814" s="214">
        <f t="shared" si="238"/>
        <v>0</v>
      </c>
      <c r="L814" s="220">
        <f t="shared" si="239"/>
        <v>0</v>
      </c>
      <c r="M814" s="93">
        <f t="shared" si="240"/>
        <v>0</v>
      </c>
      <c r="N814" s="328">
        <f t="shared" ca="1" si="241"/>
        <v>0</v>
      </c>
    </row>
    <row r="815" spans="1:14" ht="15">
      <c r="A815" s="87"/>
      <c r="B815" s="7" t="s">
        <v>2464</v>
      </c>
      <c r="C815" s="32">
        <f>VLOOKUP($B815,R_DG!$A$7:$G$1305,2,0)</f>
        <v>0</v>
      </c>
      <c r="D815" s="8" t="str">
        <f>VLOOKUP($B815,R_DG!$A$7:$G$1305,3,0)</f>
        <v>Collier kẹp ống PVC φ 90</v>
      </c>
      <c r="E815" s="9" t="str">
        <f>VLOOKUP($B815,R_DG!$A$7:$G$1305,4,0)</f>
        <v>bộ</v>
      </c>
      <c r="F815" s="11">
        <v>3</v>
      </c>
      <c r="G815" s="214">
        <f>VLOOKUP($B815,R_DG!$A$7:$G$1305,5,0)</f>
        <v>56000</v>
      </c>
      <c r="H815" s="214">
        <f>VLOOKUP($B815,R_DG!$A$7:$G$1305,6,0)</f>
        <v>0</v>
      </c>
      <c r="I815" s="214">
        <f>VLOOKUP($B815,R_DG!$A$7:$G$1305,7,0)</f>
        <v>0</v>
      </c>
      <c r="J815" s="214">
        <f t="shared" si="237"/>
        <v>168000</v>
      </c>
      <c r="K815" s="214">
        <f t="shared" si="238"/>
        <v>0</v>
      </c>
      <c r="L815" s="220">
        <f t="shared" si="239"/>
        <v>0</v>
      </c>
      <c r="M815" s="93">
        <f t="shared" si="240"/>
        <v>0</v>
      </c>
      <c r="N815" s="328">
        <f t="shared" ca="1" si="241"/>
        <v>0</v>
      </c>
    </row>
    <row r="816" spans="1:14" ht="15">
      <c r="A816" s="87"/>
      <c r="B816" s="7" t="s">
        <v>2465</v>
      </c>
      <c r="C816" s="32" t="str">
        <f>VLOOKUP($B816,R_DG!$A$7:$G$1305,2,0)</f>
        <v>D2.3241</v>
      </c>
      <c r="D816" s="8" t="str">
        <f>VLOOKUP($B816,R_DG!$A$7:$G$1305,3,0)</f>
        <v>Lắp cổ dề</v>
      </c>
      <c r="E816" s="9" t="str">
        <f>VLOOKUP($B816,R_DG!$A$7:$G$1305,4,0)</f>
        <v>bộ</v>
      </c>
      <c r="F816" s="11">
        <v>3</v>
      </c>
      <c r="G816" s="214">
        <f>VLOOKUP($B816,R_DG!$A$7:$G$1305,5,0)</f>
        <v>0</v>
      </c>
      <c r="H816" s="214">
        <f>VLOOKUP($B816,R_DG!$A$7:$G$1305,6,0)</f>
        <v>82929</v>
      </c>
      <c r="I816" s="214">
        <f>VLOOKUP($B816,R_DG!$A$7:$G$1305,7,0)</f>
        <v>0</v>
      </c>
      <c r="J816" s="214">
        <f t="shared" si="237"/>
        <v>0</v>
      </c>
      <c r="K816" s="214">
        <f t="shared" si="238"/>
        <v>248787</v>
      </c>
      <c r="L816" s="220">
        <f t="shared" si="239"/>
        <v>0</v>
      </c>
      <c r="M816" s="93">
        <f t="shared" si="240"/>
        <v>0</v>
      </c>
      <c r="N816" s="328">
        <f t="shared" ca="1" si="241"/>
        <v>0</v>
      </c>
    </row>
    <row r="817" spans="1:14" ht="15">
      <c r="A817" s="87"/>
      <c r="B817" s="7" t="s">
        <v>2466</v>
      </c>
      <c r="C817" s="32">
        <f>VLOOKUP($B817,R_DG!$A$7:$G$1305,2,0)</f>
        <v>0</v>
      </c>
      <c r="D817" s="8" t="str">
        <f>VLOOKUP($B817,R_DG!$A$7:$G$1305,3,0)</f>
        <v>Co 90 độ PVC 90</v>
      </c>
      <c r="E817" s="9" t="str">
        <f>VLOOKUP($B817,R_DG!$A$7:$G$1305,4,0)</f>
        <v>cái</v>
      </c>
      <c r="F817" s="11">
        <v>3</v>
      </c>
      <c r="G817" s="214">
        <f>VLOOKUP($B817,R_DG!$A$7:$G$1305,5,0)</f>
        <v>45400</v>
      </c>
      <c r="H817" s="214">
        <f>VLOOKUP($B817,R_DG!$A$7:$G$1305,6,0)</f>
        <v>0</v>
      </c>
      <c r="I817" s="214">
        <f>VLOOKUP($B817,R_DG!$A$7:$G$1305,7,0)</f>
        <v>0</v>
      </c>
      <c r="J817" s="214">
        <f t="shared" ref="J817:J825" si="242">G817*$F817</f>
        <v>136200</v>
      </c>
      <c r="K817" s="214">
        <f t="shared" ref="K817:K825" si="243">H817*$F817</f>
        <v>0</v>
      </c>
      <c r="L817" s="220">
        <f t="shared" ref="L817:L825" si="244">I817*$F817</f>
        <v>0</v>
      </c>
      <c r="M817" s="93">
        <f t="shared" si="240"/>
        <v>0</v>
      </c>
      <c r="N817" s="328">
        <f t="shared" ca="1" si="241"/>
        <v>0</v>
      </c>
    </row>
    <row r="818" spans="1:14" ht="15">
      <c r="A818" s="87"/>
      <c r="B818" s="7" t="s">
        <v>1936</v>
      </c>
      <c r="C818" s="32">
        <f>VLOOKUP($B818,R_DG!$A$7:$G$1305,2,0)</f>
        <v>0</v>
      </c>
      <c r="D818" s="8" t="str">
        <f>VLOOKUP($B818,R_DG!$A$7:$G$1305,3,0)</f>
        <v>Co 135 độ PVC 90</v>
      </c>
      <c r="E818" s="9" t="str">
        <f>VLOOKUP($B818,R_DG!$A$7:$G$1305,4,0)</f>
        <v>cái</v>
      </c>
      <c r="F818" s="11">
        <v>1</v>
      </c>
      <c r="G818" s="214">
        <f>VLOOKUP($B818,R_DG!$A$7:$G$1305,5,0)</f>
        <v>33900</v>
      </c>
      <c r="H818" s="214">
        <f>VLOOKUP($B818,R_DG!$A$7:$G$1305,6,0)</f>
        <v>0</v>
      </c>
      <c r="I818" s="214">
        <f>VLOOKUP($B818,R_DG!$A$7:$G$1305,7,0)</f>
        <v>0</v>
      </c>
      <c r="J818" s="214">
        <f t="shared" si="242"/>
        <v>33900</v>
      </c>
      <c r="K818" s="214">
        <f t="shared" si="243"/>
        <v>0</v>
      </c>
      <c r="L818" s="220">
        <f t="shared" si="244"/>
        <v>0</v>
      </c>
      <c r="M818" s="93">
        <f t="shared" si="240"/>
        <v>0</v>
      </c>
      <c r="N818" s="328">
        <f ca="1">$F818*N$807</f>
        <v>0</v>
      </c>
    </row>
    <row r="819" spans="1:14" ht="15">
      <c r="A819" s="87"/>
      <c r="B819" s="7" t="s">
        <v>1951</v>
      </c>
      <c r="C819" s="32">
        <f>VLOOKUP($B819,R_DG!$A$7:$G$1305,2,0)</f>
        <v>0</v>
      </c>
      <c r="D819" s="8" t="str">
        <f>VLOOKUP($B819,R_DG!$A$7:$G$1305,3,0)</f>
        <v xml:space="preserve">Nối thẳng ống PVC 90 </v>
      </c>
      <c r="E819" s="9" t="str">
        <f>VLOOKUP($B819,R_DG!$A$7:$G$1305,4,0)</f>
        <v>cái</v>
      </c>
      <c r="F819" s="11">
        <v>1</v>
      </c>
      <c r="G819" s="214">
        <f>VLOOKUP($B819,R_DG!$A$7:$G$1305,5,0)</f>
        <v>12400</v>
      </c>
      <c r="H819" s="214">
        <f>VLOOKUP($B819,R_DG!$A$7:$G$1305,6,0)</f>
        <v>0</v>
      </c>
      <c r="I819" s="214">
        <f>VLOOKUP($B819,R_DG!$A$7:$G$1305,7,0)</f>
        <v>0</v>
      </c>
      <c r="J819" s="214">
        <f t="shared" si="242"/>
        <v>12400</v>
      </c>
      <c r="K819" s="214">
        <f t="shared" si="243"/>
        <v>0</v>
      </c>
      <c r="L819" s="220">
        <f t="shared" si="244"/>
        <v>0</v>
      </c>
      <c r="M819" s="93">
        <f t="shared" si="240"/>
        <v>0</v>
      </c>
      <c r="N819" s="328">
        <f t="shared" ca="1" si="241"/>
        <v>0</v>
      </c>
    </row>
    <row r="820" spans="1:14" ht="15">
      <c r="A820" s="87"/>
      <c r="B820" s="7" t="s">
        <v>2467</v>
      </c>
      <c r="C820" s="32">
        <f>VLOOKUP($B820,R_DG!$A$7:$G$1305,2,0)</f>
        <v>0</v>
      </c>
      <c r="D820" s="8" t="str">
        <f>VLOOKUP($B820,R_DG!$A$7:$G$1305,3,0)</f>
        <v>Keo dán ống PVC (100gr)</v>
      </c>
      <c r="E820" s="9" t="str">
        <f>VLOOKUP($B820,R_DG!$A$7:$G$1305,4,0)</f>
        <v>tuýp</v>
      </c>
      <c r="F820" s="11">
        <v>1</v>
      </c>
      <c r="G820" s="214">
        <f>VLOOKUP($B820,R_DG!$A$7:$G$1305,5,0)</f>
        <v>11500</v>
      </c>
      <c r="H820" s="214">
        <f>VLOOKUP($B820,R_DG!$A$7:$G$1305,6,0)</f>
        <v>0</v>
      </c>
      <c r="I820" s="214">
        <f>VLOOKUP($B820,R_DG!$A$7:$G$1305,7,0)</f>
        <v>0</v>
      </c>
      <c r="J820" s="214">
        <f t="shared" si="242"/>
        <v>11500</v>
      </c>
      <c r="K820" s="214">
        <f t="shared" si="243"/>
        <v>0</v>
      </c>
      <c r="L820" s="220">
        <f t="shared" si="244"/>
        <v>0</v>
      </c>
      <c r="M820" s="93">
        <f t="shared" si="240"/>
        <v>0</v>
      </c>
      <c r="N820" s="328">
        <f t="shared" ca="1" si="241"/>
        <v>0</v>
      </c>
    </row>
    <row r="821" spans="1:14" ht="15">
      <c r="A821" s="87"/>
      <c r="B821" s="7" t="s">
        <v>2468</v>
      </c>
      <c r="C821" s="32">
        <f>VLOOKUP($B821,R_DG!$A$7:$G$1305,2,0)</f>
        <v>0</v>
      </c>
      <c r="D821" s="8" t="str">
        <f>VLOOKUP($B821,R_DG!$A$7:$G$1305,3,0)</f>
        <v>Keo silicon bít miệng ống</v>
      </c>
      <c r="E821" s="9" t="str">
        <f>VLOOKUP($B821,R_DG!$A$7:$G$1305,4,0)</f>
        <v>ống</v>
      </c>
      <c r="F821" s="11">
        <v>1</v>
      </c>
      <c r="G821" s="214">
        <f>VLOOKUP($B821,R_DG!$A$7:$G$1305,5,0)</f>
        <v>30000</v>
      </c>
      <c r="H821" s="214">
        <f>VLOOKUP($B821,R_DG!$A$7:$G$1305,6,0)</f>
        <v>0</v>
      </c>
      <c r="I821" s="214">
        <f>VLOOKUP($B821,R_DG!$A$7:$G$1305,7,0)</f>
        <v>0</v>
      </c>
      <c r="J821" s="214">
        <f t="shared" si="242"/>
        <v>30000</v>
      </c>
      <c r="K821" s="214">
        <f t="shared" si="243"/>
        <v>0</v>
      </c>
      <c r="L821" s="220">
        <f t="shared" si="244"/>
        <v>0</v>
      </c>
      <c r="M821" s="93">
        <f t="shared" si="240"/>
        <v>0</v>
      </c>
      <c r="N821" s="328">
        <f t="shared" ca="1" si="241"/>
        <v>0</v>
      </c>
    </row>
    <row r="822" spans="1:14" ht="15">
      <c r="A822" s="87"/>
      <c r="B822" s="7" t="s">
        <v>1969</v>
      </c>
      <c r="C822" s="32">
        <f>VLOOKUP($B822,R_DG!$A$7:$G$1305,2,0)</f>
        <v>0</v>
      </c>
      <c r="D822" s="8" t="str">
        <f>VLOOKUP($B822,R_DG!$A$7:$G$1305,3,0)</f>
        <v>Băng keo cách điện (5m/cuộn)</v>
      </c>
      <c r="E822" s="9" t="str">
        <f>VLOOKUP($B822,R_DG!$A$7:$G$1305,4,0)</f>
        <v>cuộn</v>
      </c>
      <c r="F822" s="11">
        <v>5</v>
      </c>
      <c r="G822" s="214">
        <f>VLOOKUP($B822,R_DG!$A$7:$G$1305,5,0)</f>
        <v>8000</v>
      </c>
      <c r="H822" s="214">
        <f>VLOOKUP($B822,R_DG!$A$7:$G$1305,6,0)</f>
        <v>0</v>
      </c>
      <c r="I822" s="214">
        <f>VLOOKUP($B822,R_DG!$A$7:$G$1305,7,0)</f>
        <v>0</v>
      </c>
      <c r="J822" s="214">
        <f t="shared" si="242"/>
        <v>40000</v>
      </c>
      <c r="K822" s="214">
        <f t="shared" si="243"/>
        <v>0</v>
      </c>
      <c r="L822" s="220">
        <f t="shared" si="244"/>
        <v>0</v>
      </c>
      <c r="M822" s="93">
        <f t="shared" si="240"/>
        <v>0</v>
      </c>
      <c r="N822" s="328">
        <f t="shared" ca="1" si="241"/>
        <v>0</v>
      </c>
    </row>
    <row r="823" spans="1:14" ht="15">
      <c r="A823" s="87"/>
      <c r="B823" s="7" t="s">
        <v>2469</v>
      </c>
      <c r="C823" s="32" t="str">
        <f>VLOOKUP($B823,R_DG!$A$7:$G$1305,2,0)</f>
        <v>T4.5202</v>
      </c>
      <c r="D823" s="8" t="str">
        <f>VLOOKUP($B823,R_DG!$A$7:$G$1305,3,0)</f>
        <v>Lắp ống nhựa PVC D90</v>
      </c>
      <c r="E823" s="9" t="str">
        <f>VLOOKUP($B823,R_DG!$A$7:$G$1305,4,0)</f>
        <v>mét</v>
      </c>
      <c r="F823" s="11">
        <v>8</v>
      </c>
      <c r="G823" s="214">
        <f>VLOOKUP($B823,R_DG!$A$7:$G$1305,5,0)</f>
        <v>0</v>
      </c>
      <c r="H823" s="214">
        <f>VLOOKUP($B823,R_DG!$A$7:$G$1305,6,0)</f>
        <v>52126.80000000001</v>
      </c>
      <c r="I823" s="214">
        <f>VLOOKUP($B823,R_DG!$A$7:$G$1305,7,0)</f>
        <v>0</v>
      </c>
      <c r="J823" s="214">
        <f t="shared" si="242"/>
        <v>0</v>
      </c>
      <c r="K823" s="214">
        <f t="shared" si="243"/>
        <v>417014.40000000008</v>
      </c>
      <c r="L823" s="220">
        <f t="shared" si="244"/>
        <v>0</v>
      </c>
      <c r="M823" s="93">
        <f t="shared" si="240"/>
        <v>0</v>
      </c>
      <c r="N823" s="328">
        <f t="shared" ca="1" si="241"/>
        <v>0</v>
      </c>
    </row>
    <row r="824" spans="1:14" ht="15">
      <c r="A824" s="87"/>
      <c r="B824" s="7" t="s">
        <v>2461</v>
      </c>
      <c r="C824" s="32" t="str">
        <f>VLOOKUP($B824,R_DG!$A$7:$G$1305,2,0)</f>
        <v>T4.4201</v>
      </c>
      <c r="D824" s="8" t="str">
        <f>VLOOKUP($B824,R_DG!$A$7:$G$1305,3,0)</f>
        <v>Lắp cáp đồng xuống thiết bị D ≤ 95mm2</v>
      </c>
      <c r="E824" s="9" t="str">
        <f>VLOOKUP($B824,R_DG!$A$7:$G$1305,4,0)</f>
        <v>m</v>
      </c>
      <c r="F824" s="11">
        <f>F808+F809</f>
        <v>37</v>
      </c>
      <c r="G824" s="214">
        <f>VLOOKUP($B824,R_DG!$A$7:$G$1305,5,0)</f>
        <v>0</v>
      </c>
      <c r="H824" s="214">
        <f>VLOOKUP($B824,R_DG!$A$7:$G$1305,6,0)</f>
        <v>11847</v>
      </c>
      <c r="I824" s="214">
        <f>VLOOKUP($B824,R_DG!$A$7:$G$1305,7,0)</f>
        <v>0</v>
      </c>
      <c r="J824" s="214">
        <f t="shared" si="242"/>
        <v>0</v>
      </c>
      <c r="K824" s="214">
        <f t="shared" si="243"/>
        <v>438339</v>
      </c>
      <c r="L824" s="220">
        <f t="shared" si="244"/>
        <v>0</v>
      </c>
      <c r="M824" s="93">
        <f t="shared" si="240"/>
        <v>0</v>
      </c>
      <c r="N824" s="328">
        <f t="shared" ca="1" si="241"/>
        <v>0</v>
      </c>
    </row>
    <row r="825" spans="1:14" ht="15">
      <c r="A825" s="87"/>
      <c r="B825" s="7" t="s">
        <v>2793</v>
      </c>
      <c r="C825" s="32">
        <f>VLOOKUP($B825,R_DG!$A$7:$G$1305,2,0)</f>
        <v>0</v>
      </c>
      <c r="D825" s="8">
        <f>VLOOKUP($B825,R_DG!$A$7:$G$1305,3,0)</f>
        <v>0</v>
      </c>
      <c r="E825" s="9">
        <f>VLOOKUP($B825,R_DG!$A$7:$G$1305,4,0)</f>
        <v>0</v>
      </c>
      <c r="F825" s="11"/>
      <c r="G825" s="214">
        <f>VLOOKUP($B825,R_DG!$A$7:$G$1305,5,0)</f>
        <v>0</v>
      </c>
      <c r="H825" s="214">
        <f>VLOOKUP($B825,R_DG!$A$7:$G$1305,6,0)</f>
        <v>0</v>
      </c>
      <c r="I825" s="214">
        <f>VLOOKUP($B825,R_DG!$A$7:$G$1305,7,0)</f>
        <v>0</v>
      </c>
      <c r="J825" s="214">
        <f t="shared" si="242"/>
        <v>0</v>
      </c>
      <c r="K825" s="214">
        <f t="shared" si="243"/>
        <v>0</v>
      </c>
      <c r="L825" s="220">
        <f t="shared" si="244"/>
        <v>0</v>
      </c>
      <c r="M825" s="93">
        <f t="shared" si="240"/>
        <v>0</v>
      </c>
      <c r="N825" s="328">
        <f t="shared" ca="1" si="241"/>
        <v>0</v>
      </c>
    </row>
    <row r="826" spans="1:14" ht="15">
      <c r="A826" s="29" t="s">
        <v>3058</v>
      </c>
      <c r="B826" s="216"/>
      <c r="C826" s="34"/>
      <c r="D826" s="25" t="s">
        <v>3060</v>
      </c>
      <c r="E826" s="25" t="s">
        <v>163</v>
      </c>
      <c r="F826" s="31"/>
      <c r="G826" s="213"/>
      <c r="H826" s="213"/>
      <c r="I826" s="213"/>
      <c r="J826" s="213">
        <f>SUM(J827:J843)</f>
        <v>6579300</v>
      </c>
      <c r="K826" s="213">
        <f>SUM(K827:K843)</f>
        <v>997517.40000000014</v>
      </c>
      <c r="L826" s="219">
        <f>SUM(L827:L843)</f>
        <v>0</v>
      </c>
      <c r="M826" s="92">
        <f>IF(ERROR.TYPE(IF(HLOOKUP(A826,maBK,1,0)&lt;&gt;"",#NULL!,"ABC"))&lt;&gt;7,1,0)</f>
        <v>0</v>
      </c>
      <c r="N826" s="327">
        <f ca="1">SUMIF(maBK,$A826,tongBK1)</f>
        <v>0</v>
      </c>
    </row>
    <row r="827" spans="1:14" ht="15">
      <c r="A827" s="87"/>
      <c r="B827" s="7" t="s">
        <v>3054</v>
      </c>
      <c r="C827" s="32">
        <f>VLOOKUP($B827,R_DG!$A$7:$G$1305,2,0)</f>
        <v>0</v>
      </c>
      <c r="D827" s="8" t="str">
        <f>VLOOKUP($B827,R_DG!$A$7:$G$1305,3,0)</f>
        <v>Cáp đồng bọc CV120</v>
      </c>
      <c r="E827" s="9" t="str">
        <f>VLOOKUP($B827,R_DG!$A$7:$G$1305,4,0)</f>
        <v>mét</v>
      </c>
      <c r="F827" s="11">
        <v>18</v>
      </c>
      <c r="G827" s="214">
        <f>VLOOKUP($B827,R_DG!$A$7:$G$1305,5,0)</f>
        <v>236300</v>
      </c>
      <c r="H827" s="214">
        <f>VLOOKUP($B827,R_DG!$A$7:$G$1305,6,0)</f>
        <v>0</v>
      </c>
      <c r="I827" s="214">
        <f>VLOOKUP($B827,R_DG!$A$7:$G$1305,7,0)</f>
        <v>0</v>
      </c>
      <c r="J827" s="214">
        <f t="shared" ref="J827:J843" si="245">G827*$F827</f>
        <v>4253400</v>
      </c>
      <c r="K827" s="214">
        <f t="shared" ref="K827:K843" si="246">H827*$F827</f>
        <v>0</v>
      </c>
      <c r="L827" s="220">
        <f t="shared" ref="L827:L843" si="247">I827*$F827</f>
        <v>0</v>
      </c>
      <c r="M827" s="93">
        <f>IF(F827&gt;0,M$826,0)</f>
        <v>0</v>
      </c>
      <c r="N827" s="328">
        <f ca="1">$F827*N$826</f>
        <v>0</v>
      </c>
    </row>
    <row r="828" spans="1:14" ht="15">
      <c r="A828" s="87"/>
      <c r="B828" s="7" t="s">
        <v>2928</v>
      </c>
      <c r="C828" s="32">
        <f>VLOOKUP($B828,R_DG!$A$7:$G$1305,2,0)</f>
        <v>0</v>
      </c>
      <c r="D828" s="8" t="str">
        <f>VLOOKUP($B828,R_DG!$A$7:$G$1305,3,0)</f>
        <v>Cáp đồng bọc CV70</v>
      </c>
      <c r="E828" s="9" t="str">
        <f>VLOOKUP($B828,R_DG!$A$7:$G$1305,4,0)</f>
        <v>mét</v>
      </c>
      <c r="F828" s="11">
        <v>10</v>
      </c>
      <c r="G828" s="214">
        <f>VLOOKUP($B828,R_DG!$A$7:$G$1305,5,0)</f>
        <v>131100</v>
      </c>
      <c r="H828" s="214">
        <f>VLOOKUP($B828,R_DG!$A$7:$G$1305,6,0)</f>
        <v>0</v>
      </c>
      <c r="I828" s="214">
        <f>VLOOKUP($B828,R_DG!$A$7:$G$1305,7,0)</f>
        <v>0</v>
      </c>
      <c r="J828" s="214">
        <f t="shared" si="245"/>
        <v>1311000</v>
      </c>
      <c r="K828" s="214">
        <f t="shared" si="246"/>
        <v>0</v>
      </c>
      <c r="L828" s="220">
        <f t="shared" si="247"/>
        <v>0</v>
      </c>
      <c r="M828" s="93">
        <f t="shared" ref="M828:M843" si="248">IF(F828&gt;0,M$826,0)</f>
        <v>0</v>
      </c>
      <c r="N828" s="328">
        <f t="shared" ref="N828:N843" ca="1" si="249">$F828*N$826</f>
        <v>0</v>
      </c>
    </row>
    <row r="829" spans="1:14" ht="15">
      <c r="A829" s="87"/>
      <c r="B829" s="7" t="s">
        <v>2812</v>
      </c>
      <c r="C829" s="32">
        <f>VLOOKUP($B829,R_DG!$A$7:$G$1305,2,0)</f>
        <v>0</v>
      </c>
      <c r="D829" s="8" t="str">
        <f>VLOOKUP($B829,R_DG!$A$7:$G$1305,3,0)</f>
        <v>Đầu cosse ép Cu 70mm2</v>
      </c>
      <c r="E829" s="9" t="str">
        <f>VLOOKUP($B829,R_DG!$A$7:$G$1305,4,0)</f>
        <v>cái</v>
      </c>
      <c r="F829" s="11">
        <v>1</v>
      </c>
      <c r="G829" s="214">
        <f>VLOOKUP($B829,R_DG!$A$7:$G$1305,5,0)</f>
        <v>14000</v>
      </c>
      <c r="H829" s="214">
        <f>VLOOKUP($B829,R_DG!$A$7:$G$1305,6,0)</f>
        <v>0</v>
      </c>
      <c r="I829" s="214">
        <f>VLOOKUP($B829,R_DG!$A$7:$G$1305,7,0)</f>
        <v>0</v>
      </c>
      <c r="J829" s="214">
        <f t="shared" si="245"/>
        <v>14000</v>
      </c>
      <c r="K829" s="214">
        <f t="shared" si="246"/>
        <v>0</v>
      </c>
      <c r="L829" s="220">
        <f t="shared" si="247"/>
        <v>0</v>
      </c>
      <c r="M829" s="93">
        <f t="shared" si="248"/>
        <v>0</v>
      </c>
      <c r="N829" s="328">
        <f t="shared" ca="1" si="249"/>
        <v>0</v>
      </c>
    </row>
    <row r="830" spans="1:14" ht="15">
      <c r="A830" s="87"/>
      <c r="B830" s="7" t="s">
        <v>3055</v>
      </c>
      <c r="C830" s="32">
        <f>VLOOKUP($B830,R_DG!$A$7:$G$1305,2,0)</f>
        <v>0</v>
      </c>
      <c r="D830" s="8" t="str">
        <f>VLOOKUP($B830,R_DG!$A$7:$G$1305,3,0)</f>
        <v>Đầu cosse ép Cu 120mm2</v>
      </c>
      <c r="E830" s="9" t="str">
        <f>VLOOKUP($B830,R_DG!$A$7:$G$1305,4,0)</f>
        <v>cái</v>
      </c>
      <c r="F830" s="11">
        <v>2</v>
      </c>
      <c r="G830" s="214">
        <f>VLOOKUP($B830,R_DG!$A$7:$G$1305,5,0)</f>
        <v>27000</v>
      </c>
      <c r="H830" s="214">
        <f>VLOOKUP($B830,R_DG!$A$7:$G$1305,6,0)</f>
        <v>0</v>
      </c>
      <c r="I830" s="214">
        <f>VLOOKUP($B830,R_DG!$A$7:$G$1305,7,0)</f>
        <v>0</v>
      </c>
      <c r="J830" s="214">
        <f t="shared" si="245"/>
        <v>54000</v>
      </c>
      <c r="K830" s="214">
        <f t="shared" si="246"/>
        <v>0</v>
      </c>
      <c r="L830" s="220">
        <f t="shared" si="247"/>
        <v>0</v>
      </c>
      <c r="M830" s="93">
        <f t="shared" si="248"/>
        <v>0</v>
      </c>
      <c r="N830" s="328">
        <f t="shared" ca="1" si="249"/>
        <v>0</v>
      </c>
    </row>
    <row r="831" spans="1:14" ht="15">
      <c r="A831" s="87"/>
      <c r="B831" s="7" t="s">
        <v>3056</v>
      </c>
      <c r="C831" s="32">
        <f>VLOOKUP($B831,R_DG!$A$7:$G$1305,2,0)</f>
        <v>0</v>
      </c>
      <c r="D831" s="8" t="str">
        <f>VLOOKUP($B831,R_DG!$A$7:$G$1305,3,0)</f>
        <v>Chụp đầu cosse 120mm2</v>
      </c>
      <c r="E831" s="9" t="str">
        <f>VLOOKUP($B831,R_DG!$A$7:$G$1305,4,0)</f>
        <v>cái</v>
      </c>
      <c r="F831" s="11">
        <f>F830</f>
        <v>2</v>
      </c>
      <c r="G831" s="214">
        <f>VLOOKUP($B831,R_DG!$A$7:$G$1305,5,0)</f>
        <v>3900</v>
      </c>
      <c r="H831" s="214">
        <f>VLOOKUP($B831,R_DG!$A$7:$G$1305,6,0)</f>
        <v>0</v>
      </c>
      <c r="I831" s="214">
        <f>VLOOKUP($B831,R_DG!$A$7:$G$1305,7,0)</f>
        <v>0</v>
      </c>
      <c r="J831" s="214">
        <f t="shared" si="245"/>
        <v>7800</v>
      </c>
      <c r="K831" s="214">
        <f t="shared" si="246"/>
        <v>0</v>
      </c>
      <c r="L831" s="220">
        <f t="shared" si="247"/>
        <v>0</v>
      </c>
      <c r="M831" s="93">
        <f t="shared" si="248"/>
        <v>0</v>
      </c>
      <c r="N831" s="328">
        <f t="shared" ca="1" si="249"/>
        <v>0</v>
      </c>
    </row>
    <row r="832" spans="1:14" ht="15">
      <c r="A832" s="87"/>
      <c r="B832" s="7" t="s">
        <v>2929</v>
      </c>
      <c r="C832" s="32">
        <f>VLOOKUP($B832,R_DG!$A$7:$G$1305,2,0)</f>
        <v>0</v>
      </c>
      <c r="D832" s="8" t="str">
        <f>VLOOKUP($B832,R_DG!$A$7:$G$1305,3,0)</f>
        <v>Chụp đầu cosse 70mm2</v>
      </c>
      <c r="E832" s="9" t="str">
        <f>VLOOKUP($B832,R_DG!$A$7:$G$1305,4,0)</f>
        <v>cái</v>
      </c>
      <c r="F832" s="11">
        <f>F829</f>
        <v>1</v>
      </c>
      <c r="G832" s="214">
        <f>VLOOKUP($B832,R_DG!$A$7:$G$1305,5,0)</f>
        <v>2300</v>
      </c>
      <c r="H832" s="214">
        <f>VLOOKUP($B832,R_DG!$A$7:$G$1305,6,0)</f>
        <v>0</v>
      </c>
      <c r="I832" s="214">
        <f>VLOOKUP($B832,R_DG!$A$7:$G$1305,7,0)</f>
        <v>0</v>
      </c>
      <c r="J832" s="214">
        <f t="shared" si="245"/>
        <v>2300</v>
      </c>
      <c r="K832" s="214">
        <f t="shared" si="246"/>
        <v>0</v>
      </c>
      <c r="L832" s="220">
        <f t="shared" si="247"/>
        <v>0</v>
      </c>
      <c r="M832" s="93">
        <f t="shared" si="248"/>
        <v>0</v>
      </c>
      <c r="N832" s="328">
        <f t="shared" ca="1" si="249"/>
        <v>0</v>
      </c>
    </row>
    <row r="833" spans="1:14" ht="15">
      <c r="A833" s="87"/>
      <c r="B833" s="7" t="s">
        <v>1904</v>
      </c>
      <c r="C833" s="32">
        <f>VLOOKUP($B833,R_DG!$A$7:$G$1305,2,0)</f>
        <v>0</v>
      </c>
      <c r="D833" s="8" t="str">
        <f>VLOOKUP($B833,R_DG!$A$7:$G$1305,3,0)</f>
        <v xml:space="preserve">Ống PVC D90x3,8mm </v>
      </c>
      <c r="E833" s="9" t="str">
        <f>VLOOKUP($B833,R_DG!$A$7:$G$1305,4,0)</f>
        <v>m</v>
      </c>
      <c r="F833" s="11">
        <v>8</v>
      </c>
      <c r="G833" s="214">
        <f>VLOOKUP($B833,R_DG!$A$7:$G$1305,5,0)</f>
        <v>63100</v>
      </c>
      <c r="H833" s="214">
        <f>VLOOKUP($B833,R_DG!$A$7:$G$1305,6,0)</f>
        <v>0</v>
      </c>
      <c r="I833" s="214">
        <f>VLOOKUP($B833,R_DG!$A$7:$G$1305,7,0)</f>
        <v>0</v>
      </c>
      <c r="J833" s="214">
        <f t="shared" si="245"/>
        <v>504800</v>
      </c>
      <c r="K833" s="214">
        <f t="shared" si="246"/>
        <v>0</v>
      </c>
      <c r="L833" s="220">
        <f t="shared" si="247"/>
        <v>0</v>
      </c>
      <c r="M833" s="93">
        <f t="shared" si="248"/>
        <v>0</v>
      </c>
      <c r="N833" s="328">
        <f t="shared" ca="1" si="249"/>
        <v>0</v>
      </c>
    </row>
    <row r="834" spans="1:14" ht="15">
      <c r="A834" s="87"/>
      <c r="B834" s="7" t="s">
        <v>2464</v>
      </c>
      <c r="C834" s="32">
        <f>VLOOKUP($B834,R_DG!$A$7:$G$1305,2,0)</f>
        <v>0</v>
      </c>
      <c r="D834" s="8" t="str">
        <f>VLOOKUP($B834,R_DG!$A$7:$G$1305,3,0)</f>
        <v>Collier kẹp ống PVC φ 90</v>
      </c>
      <c r="E834" s="9" t="str">
        <f>VLOOKUP($B834,R_DG!$A$7:$G$1305,4,0)</f>
        <v>bộ</v>
      </c>
      <c r="F834" s="11">
        <v>3</v>
      </c>
      <c r="G834" s="214">
        <f>VLOOKUP($B834,R_DG!$A$7:$G$1305,5,0)</f>
        <v>56000</v>
      </c>
      <c r="H834" s="214">
        <f>VLOOKUP($B834,R_DG!$A$7:$G$1305,6,0)</f>
        <v>0</v>
      </c>
      <c r="I834" s="214">
        <f>VLOOKUP($B834,R_DG!$A$7:$G$1305,7,0)</f>
        <v>0</v>
      </c>
      <c r="J834" s="214">
        <f t="shared" si="245"/>
        <v>168000</v>
      </c>
      <c r="K834" s="214">
        <f t="shared" si="246"/>
        <v>0</v>
      </c>
      <c r="L834" s="220">
        <f t="shared" si="247"/>
        <v>0</v>
      </c>
      <c r="M834" s="93">
        <f t="shared" si="248"/>
        <v>0</v>
      </c>
      <c r="N834" s="328">
        <f t="shared" ca="1" si="249"/>
        <v>0</v>
      </c>
    </row>
    <row r="835" spans="1:14" ht="15">
      <c r="A835" s="87"/>
      <c r="B835" s="7" t="s">
        <v>2465</v>
      </c>
      <c r="C835" s="32" t="str">
        <f>VLOOKUP($B835,R_DG!$A$7:$G$1305,2,0)</f>
        <v>D2.3241</v>
      </c>
      <c r="D835" s="8" t="str">
        <f>VLOOKUP($B835,R_DG!$A$7:$G$1305,3,0)</f>
        <v>Lắp cổ dề</v>
      </c>
      <c r="E835" s="9" t="str">
        <f>VLOOKUP($B835,R_DG!$A$7:$G$1305,4,0)</f>
        <v>bộ</v>
      </c>
      <c r="F835" s="11">
        <v>3</v>
      </c>
      <c r="G835" s="214">
        <f>VLOOKUP($B835,R_DG!$A$7:$G$1305,5,0)</f>
        <v>0</v>
      </c>
      <c r="H835" s="214">
        <f>VLOOKUP($B835,R_DG!$A$7:$G$1305,6,0)</f>
        <v>82929</v>
      </c>
      <c r="I835" s="214">
        <f>VLOOKUP($B835,R_DG!$A$7:$G$1305,7,0)</f>
        <v>0</v>
      </c>
      <c r="J835" s="214">
        <f t="shared" si="245"/>
        <v>0</v>
      </c>
      <c r="K835" s="214">
        <f t="shared" si="246"/>
        <v>248787</v>
      </c>
      <c r="L835" s="220">
        <f t="shared" si="247"/>
        <v>0</v>
      </c>
      <c r="M835" s="93">
        <f t="shared" si="248"/>
        <v>0</v>
      </c>
      <c r="N835" s="328">
        <f t="shared" ca="1" si="249"/>
        <v>0</v>
      </c>
    </row>
    <row r="836" spans="1:14" ht="15">
      <c r="A836" s="87"/>
      <c r="B836" s="7" t="s">
        <v>2466</v>
      </c>
      <c r="C836" s="32">
        <f>VLOOKUP($B836,R_DG!$A$7:$G$1305,2,0)</f>
        <v>0</v>
      </c>
      <c r="D836" s="8" t="str">
        <f>VLOOKUP($B836,R_DG!$A$7:$G$1305,3,0)</f>
        <v>Co 90 độ PVC 90</v>
      </c>
      <c r="E836" s="9" t="str">
        <f>VLOOKUP($B836,R_DG!$A$7:$G$1305,4,0)</f>
        <v>cái</v>
      </c>
      <c r="F836" s="11">
        <v>3</v>
      </c>
      <c r="G836" s="214">
        <f>VLOOKUP($B836,R_DG!$A$7:$G$1305,5,0)</f>
        <v>45400</v>
      </c>
      <c r="H836" s="214">
        <f>VLOOKUP($B836,R_DG!$A$7:$G$1305,6,0)</f>
        <v>0</v>
      </c>
      <c r="I836" s="214">
        <f>VLOOKUP($B836,R_DG!$A$7:$G$1305,7,0)</f>
        <v>0</v>
      </c>
      <c r="J836" s="214">
        <f t="shared" si="245"/>
        <v>136200</v>
      </c>
      <c r="K836" s="214">
        <f t="shared" si="246"/>
        <v>0</v>
      </c>
      <c r="L836" s="220">
        <f t="shared" si="247"/>
        <v>0</v>
      </c>
      <c r="M836" s="93">
        <f t="shared" si="248"/>
        <v>0</v>
      </c>
      <c r="N836" s="328">
        <f t="shared" ca="1" si="249"/>
        <v>0</v>
      </c>
    </row>
    <row r="837" spans="1:14" ht="15">
      <c r="A837" s="87"/>
      <c r="B837" s="7" t="s">
        <v>1936</v>
      </c>
      <c r="C837" s="32">
        <f>VLOOKUP($B837,R_DG!$A$7:$G$1305,2,0)</f>
        <v>0</v>
      </c>
      <c r="D837" s="8" t="str">
        <f>VLOOKUP($B837,R_DG!$A$7:$G$1305,3,0)</f>
        <v>Co 135 độ PVC 90</v>
      </c>
      <c r="E837" s="9" t="str">
        <f>VLOOKUP($B837,R_DG!$A$7:$G$1305,4,0)</f>
        <v>cái</v>
      </c>
      <c r="F837" s="11">
        <v>1</v>
      </c>
      <c r="G837" s="214">
        <f>VLOOKUP($B837,R_DG!$A$7:$G$1305,5,0)</f>
        <v>33900</v>
      </c>
      <c r="H837" s="214">
        <f>VLOOKUP($B837,R_DG!$A$7:$G$1305,6,0)</f>
        <v>0</v>
      </c>
      <c r="I837" s="214">
        <f>VLOOKUP($B837,R_DG!$A$7:$G$1305,7,0)</f>
        <v>0</v>
      </c>
      <c r="J837" s="214">
        <f t="shared" si="245"/>
        <v>33900</v>
      </c>
      <c r="K837" s="214">
        <f t="shared" si="246"/>
        <v>0</v>
      </c>
      <c r="L837" s="220">
        <f t="shared" si="247"/>
        <v>0</v>
      </c>
      <c r="M837" s="93">
        <f t="shared" si="248"/>
        <v>0</v>
      </c>
      <c r="N837" s="328">
        <f t="shared" ca="1" si="249"/>
        <v>0</v>
      </c>
    </row>
    <row r="838" spans="1:14" ht="15">
      <c r="A838" s="87"/>
      <c r="B838" s="7" t="s">
        <v>1951</v>
      </c>
      <c r="C838" s="32">
        <f>VLOOKUP($B838,R_DG!$A$7:$G$1305,2,0)</f>
        <v>0</v>
      </c>
      <c r="D838" s="8" t="str">
        <f>VLOOKUP($B838,R_DG!$A$7:$G$1305,3,0)</f>
        <v xml:space="preserve">Nối thẳng ống PVC 90 </v>
      </c>
      <c r="E838" s="9" t="str">
        <f>VLOOKUP($B838,R_DG!$A$7:$G$1305,4,0)</f>
        <v>cái</v>
      </c>
      <c r="F838" s="11">
        <v>1</v>
      </c>
      <c r="G838" s="214">
        <f>VLOOKUP($B838,R_DG!$A$7:$G$1305,5,0)</f>
        <v>12400</v>
      </c>
      <c r="H838" s="214">
        <f>VLOOKUP($B838,R_DG!$A$7:$G$1305,6,0)</f>
        <v>0</v>
      </c>
      <c r="I838" s="214">
        <f>VLOOKUP($B838,R_DG!$A$7:$G$1305,7,0)</f>
        <v>0</v>
      </c>
      <c r="J838" s="214">
        <f t="shared" si="245"/>
        <v>12400</v>
      </c>
      <c r="K838" s="214">
        <f t="shared" si="246"/>
        <v>0</v>
      </c>
      <c r="L838" s="220">
        <f t="shared" si="247"/>
        <v>0</v>
      </c>
      <c r="M838" s="93">
        <f t="shared" si="248"/>
        <v>0</v>
      </c>
      <c r="N838" s="328">
        <f t="shared" ca="1" si="249"/>
        <v>0</v>
      </c>
    </row>
    <row r="839" spans="1:14" ht="15">
      <c r="A839" s="87"/>
      <c r="B839" s="7" t="s">
        <v>2467</v>
      </c>
      <c r="C839" s="32">
        <f>VLOOKUP($B839,R_DG!$A$7:$G$1305,2,0)</f>
        <v>0</v>
      </c>
      <c r="D839" s="8" t="str">
        <f>VLOOKUP($B839,R_DG!$A$7:$G$1305,3,0)</f>
        <v>Keo dán ống PVC (100gr)</v>
      </c>
      <c r="E839" s="9" t="str">
        <f>VLOOKUP($B839,R_DG!$A$7:$G$1305,4,0)</f>
        <v>tuýp</v>
      </c>
      <c r="F839" s="11">
        <v>1</v>
      </c>
      <c r="G839" s="214">
        <f>VLOOKUP($B839,R_DG!$A$7:$G$1305,5,0)</f>
        <v>11500</v>
      </c>
      <c r="H839" s="214">
        <f>VLOOKUP($B839,R_DG!$A$7:$G$1305,6,0)</f>
        <v>0</v>
      </c>
      <c r="I839" s="214">
        <f>VLOOKUP($B839,R_DG!$A$7:$G$1305,7,0)</f>
        <v>0</v>
      </c>
      <c r="J839" s="214">
        <f t="shared" si="245"/>
        <v>11500</v>
      </c>
      <c r="K839" s="214">
        <f t="shared" si="246"/>
        <v>0</v>
      </c>
      <c r="L839" s="220">
        <f t="shared" si="247"/>
        <v>0</v>
      </c>
      <c r="M839" s="93">
        <f t="shared" si="248"/>
        <v>0</v>
      </c>
      <c r="N839" s="328">
        <f t="shared" ca="1" si="249"/>
        <v>0</v>
      </c>
    </row>
    <row r="840" spans="1:14" ht="15">
      <c r="A840" s="87"/>
      <c r="B840" s="7" t="s">
        <v>2468</v>
      </c>
      <c r="C840" s="32">
        <f>VLOOKUP($B840,R_DG!$A$7:$G$1305,2,0)</f>
        <v>0</v>
      </c>
      <c r="D840" s="8" t="str">
        <f>VLOOKUP($B840,R_DG!$A$7:$G$1305,3,0)</f>
        <v>Keo silicon bít miệng ống</v>
      </c>
      <c r="E840" s="9" t="str">
        <f>VLOOKUP($B840,R_DG!$A$7:$G$1305,4,0)</f>
        <v>ống</v>
      </c>
      <c r="F840" s="11">
        <v>1</v>
      </c>
      <c r="G840" s="214">
        <f>VLOOKUP($B840,R_DG!$A$7:$G$1305,5,0)</f>
        <v>30000</v>
      </c>
      <c r="H840" s="214">
        <f>VLOOKUP($B840,R_DG!$A$7:$G$1305,6,0)</f>
        <v>0</v>
      </c>
      <c r="I840" s="214">
        <f>VLOOKUP($B840,R_DG!$A$7:$G$1305,7,0)</f>
        <v>0</v>
      </c>
      <c r="J840" s="214">
        <f t="shared" si="245"/>
        <v>30000</v>
      </c>
      <c r="K840" s="214">
        <f t="shared" si="246"/>
        <v>0</v>
      </c>
      <c r="L840" s="220">
        <f t="shared" si="247"/>
        <v>0</v>
      </c>
      <c r="M840" s="93">
        <f t="shared" si="248"/>
        <v>0</v>
      </c>
      <c r="N840" s="328">
        <f t="shared" ca="1" si="249"/>
        <v>0</v>
      </c>
    </row>
    <row r="841" spans="1:14" ht="15">
      <c r="A841" s="87"/>
      <c r="B841" s="7" t="s">
        <v>1969</v>
      </c>
      <c r="C841" s="32">
        <f>VLOOKUP($B841,R_DG!$A$7:$G$1305,2,0)</f>
        <v>0</v>
      </c>
      <c r="D841" s="8" t="str">
        <f>VLOOKUP($B841,R_DG!$A$7:$G$1305,3,0)</f>
        <v>Băng keo cách điện (5m/cuộn)</v>
      </c>
      <c r="E841" s="9" t="str">
        <f>VLOOKUP($B841,R_DG!$A$7:$G$1305,4,0)</f>
        <v>cuộn</v>
      </c>
      <c r="F841" s="11">
        <v>5</v>
      </c>
      <c r="G841" s="214">
        <f>VLOOKUP($B841,R_DG!$A$7:$G$1305,5,0)</f>
        <v>8000</v>
      </c>
      <c r="H841" s="214">
        <f>VLOOKUP($B841,R_DG!$A$7:$G$1305,6,0)</f>
        <v>0</v>
      </c>
      <c r="I841" s="214">
        <f>VLOOKUP($B841,R_DG!$A$7:$G$1305,7,0)</f>
        <v>0</v>
      </c>
      <c r="J841" s="214">
        <f t="shared" si="245"/>
        <v>40000</v>
      </c>
      <c r="K841" s="214">
        <f t="shared" si="246"/>
        <v>0</v>
      </c>
      <c r="L841" s="220">
        <f t="shared" si="247"/>
        <v>0</v>
      </c>
      <c r="M841" s="93">
        <f t="shared" si="248"/>
        <v>0</v>
      </c>
      <c r="N841" s="328">
        <f t="shared" ca="1" si="249"/>
        <v>0</v>
      </c>
    </row>
    <row r="842" spans="1:14" ht="15">
      <c r="A842" s="87"/>
      <c r="B842" s="7" t="s">
        <v>2469</v>
      </c>
      <c r="C842" s="32" t="str">
        <f>VLOOKUP($B842,R_DG!$A$7:$G$1305,2,0)</f>
        <v>T4.5202</v>
      </c>
      <c r="D842" s="8" t="str">
        <f>VLOOKUP($B842,R_DG!$A$7:$G$1305,3,0)</f>
        <v>Lắp ống nhựa PVC D90</v>
      </c>
      <c r="E842" s="9" t="str">
        <f>VLOOKUP($B842,R_DG!$A$7:$G$1305,4,0)</f>
        <v>mét</v>
      </c>
      <c r="F842" s="11">
        <v>8</v>
      </c>
      <c r="G842" s="214">
        <f>VLOOKUP($B842,R_DG!$A$7:$G$1305,5,0)</f>
        <v>0</v>
      </c>
      <c r="H842" s="214">
        <f>VLOOKUP($B842,R_DG!$A$7:$G$1305,6,0)</f>
        <v>52126.80000000001</v>
      </c>
      <c r="I842" s="214">
        <f>VLOOKUP($B842,R_DG!$A$7:$G$1305,7,0)</f>
        <v>0</v>
      </c>
      <c r="J842" s="214">
        <f t="shared" si="245"/>
        <v>0</v>
      </c>
      <c r="K842" s="214">
        <f t="shared" si="246"/>
        <v>417014.40000000008</v>
      </c>
      <c r="L842" s="220">
        <f t="shared" si="247"/>
        <v>0</v>
      </c>
      <c r="M842" s="93">
        <f t="shared" si="248"/>
        <v>0</v>
      </c>
      <c r="N842" s="328">
        <f t="shared" ca="1" si="249"/>
        <v>0</v>
      </c>
    </row>
    <row r="843" spans="1:14" ht="15">
      <c r="A843" s="87"/>
      <c r="B843" s="7" t="s">
        <v>2461</v>
      </c>
      <c r="C843" s="32" t="str">
        <f>VLOOKUP($B843,R_DG!$A$7:$G$1305,2,0)</f>
        <v>T4.4201</v>
      </c>
      <c r="D843" s="8" t="str">
        <f>VLOOKUP($B843,R_DG!$A$7:$G$1305,3,0)</f>
        <v>Lắp cáp đồng xuống thiết bị D ≤ 95mm2</v>
      </c>
      <c r="E843" s="9" t="str">
        <f>VLOOKUP($B843,R_DG!$A$7:$G$1305,4,0)</f>
        <v>m</v>
      </c>
      <c r="F843" s="11">
        <f>F827+F828</f>
        <v>28</v>
      </c>
      <c r="G843" s="214">
        <f>VLOOKUP($B843,R_DG!$A$7:$G$1305,5,0)</f>
        <v>0</v>
      </c>
      <c r="H843" s="214">
        <f>VLOOKUP($B843,R_DG!$A$7:$G$1305,6,0)</f>
        <v>11847</v>
      </c>
      <c r="I843" s="214">
        <f>VLOOKUP($B843,R_DG!$A$7:$G$1305,7,0)</f>
        <v>0</v>
      </c>
      <c r="J843" s="214">
        <f t="shared" si="245"/>
        <v>0</v>
      </c>
      <c r="K843" s="214">
        <f t="shared" si="246"/>
        <v>331716</v>
      </c>
      <c r="L843" s="220">
        <f t="shared" si="247"/>
        <v>0</v>
      </c>
      <c r="M843" s="93">
        <f t="shared" si="248"/>
        <v>0</v>
      </c>
      <c r="N843" s="328">
        <f t="shared" ca="1" si="249"/>
        <v>0</v>
      </c>
    </row>
    <row r="844" spans="1:14" ht="15">
      <c r="A844" s="29" t="s">
        <v>4956</v>
      </c>
      <c r="B844" s="216"/>
      <c r="C844" s="34"/>
      <c r="D844" s="25" t="s">
        <v>4957</v>
      </c>
      <c r="E844" s="25" t="s">
        <v>163</v>
      </c>
      <c r="F844" s="31"/>
      <c r="G844" s="213"/>
      <c r="H844" s="213"/>
      <c r="I844" s="213"/>
      <c r="J844" s="213">
        <f>SUM(J845:J861)</f>
        <v>114652304.00000001</v>
      </c>
      <c r="K844" s="213">
        <f>SUM(K845:K861)</f>
        <v>38304858.575999998</v>
      </c>
      <c r="L844" s="219">
        <f>SUM(L845:L861)</f>
        <v>18850.240000000002</v>
      </c>
      <c r="M844" s="92">
        <f>IF(ERROR.TYPE(IF(HLOOKUP(A844,maBK,1,0)&lt;&gt;"",#NULL!,"ABC"))&lt;&gt;7,1,0)</f>
        <v>1</v>
      </c>
      <c r="N844" s="327">
        <f ca="1">SUMIF(maBK,$A844,tongBK1)</f>
        <v>0</v>
      </c>
    </row>
    <row r="845" spans="1:14" ht="15.75">
      <c r="A845" s="87"/>
      <c r="B845" s="401" t="s">
        <v>185</v>
      </c>
      <c r="C845" s="32">
        <f>VLOOKUP($B845,R_DG!$A$7:$G$1305,2,0)</f>
        <v>0</v>
      </c>
      <c r="D845" s="8" t="str">
        <f>VLOOKUP($B845,R_DG!$A$7:$G$1305,3,0)</f>
        <v>Cáp đồng trần M25mm2</v>
      </c>
      <c r="E845" s="402" t="str">
        <f>VLOOKUP(B845,R_DG!$A$7:$G$1305,4,0)</f>
        <v>kg</v>
      </c>
      <c r="F845" s="11">
        <f>(8*3+10+2+0.5+10+0.5+2)*0.224*F843</f>
        <v>307.32800000000003</v>
      </c>
      <c r="G845" s="214">
        <f>VLOOKUP($B845,R_DG!$A$7:$G$1305,5,0)</f>
        <v>255500</v>
      </c>
      <c r="H845" s="214">
        <f>VLOOKUP($B845,R_DG!$A$7:$G$1305,6,0)</f>
        <v>0</v>
      </c>
      <c r="I845" s="214">
        <f>VLOOKUP($B845,R_DG!$A$7:$G$1305,7,0)</f>
        <v>0</v>
      </c>
      <c r="J845" s="214">
        <f t="shared" ref="J845:J861" si="250">G845*$F845</f>
        <v>78522304.000000015</v>
      </c>
      <c r="K845" s="214">
        <f t="shared" ref="K845:K861" si="251">H845*$F845</f>
        <v>0</v>
      </c>
      <c r="L845" s="220">
        <f t="shared" ref="L845:L861" si="252">I845*$F845</f>
        <v>0</v>
      </c>
      <c r="M845" s="93">
        <f>IF(F845&gt;0,M$844,0)</f>
        <v>1</v>
      </c>
      <c r="N845" s="328">
        <f ca="1">$F845*N$826</f>
        <v>0</v>
      </c>
    </row>
    <row r="846" spans="1:14" ht="15.75">
      <c r="A846" s="87"/>
      <c r="B846" s="226" t="s">
        <v>405</v>
      </c>
      <c r="C846" s="32">
        <f>VLOOKUP($B846,R_DG!$A$7:$G$1305,2,0)</f>
        <v>0</v>
      </c>
      <c r="D846" s="8" t="str">
        <f>VLOOKUP($B846,R_DG!$A$7:$G$1305,3,0)</f>
        <v>Cọc tiếp đất φ 16- 2,4m + kẹp cọc</v>
      </c>
      <c r="E846" s="402" t="str">
        <f>VLOOKUP(B846,R_DG!$A$7:$G$1305,4,0)</f>
        <v>bộ</v>
      </c>
      <c r="F846" s="11">
        <f>F843*9</f>
        <v>252</v>
      </c>
      <c r="G846" s="214">
        <f>VLOOKUP($B846,R_DG!$A$7:$G$1305,5,0)</f>
        <v>135000</v>
      </c>
      <c r="H846" s="214">
        <f>VLOOKUP($B846,R_DG!$A$7:$G$1305,6,0)</f>
        <v>0</v>
      </c>
      <c r="I846" s="214">
        <f>VLOOKUP($B846,R_DG!$A$7:$G$1305,7,0)</f>
        <v>0</v>
      </c>
      <c r="J846" s="214">
        <f t="shared" si="250"/>
        <v>34020000</v>
      </c>
      <c r="K846" s="214">
        <f t="shared" si="251"/>
        <v>0</v>
      </c>
      <c r="L846" s="220">
        <f t="shared" si="252"/>
        <v>0</v>
      </c>
      <c r="M846" s="93">
        <f t="shared" ref="M846:M861" si="253">IF(F846&gt;0,M$844,0)</f>
        <v>1</v>
      </c>
      <c r="N846" s="328">
        <f t="shared" ref="N846:N861" ca="1" si="254">$F846*N$826</f>
        <v>0</v>
      </c>
    </row>
    <row r="847" spans="1:14" ht="15.75">
      <c r="A847" s="87"/>
      <c r="B847" s="226" t="s">
        <v>2197</v>
      </c>
      <c r="C847" s="32">
        <f>VLOOKUP($B847,R_DG!$A$7:$G$1305,2,0)</f>
        <v>0</v>
      </c>
      <c r="D847" s="8" t="str">
        <f>VLOOKUP($B847,R_DG!$A$7:$G$1305,3,0)</f>
        <v xml:space="preserve">Ống PVC D21x1,6mm </v>
      </c>
      <c r="E847" s="402" t="str">
        <f>VLOOKUP(B847,R_DG!$A$7:$G$1305,4,0)</f>
        <v>m</v>
      </c>
      <c r="F847" s="11"/>
      <c r="G847" s="214">
        <f>VLOOKUP($B847,R_DG!$A$7:$G$1305,5,0)</f>
        <v>3700</v>
      </c>
      <c r="H847" s="214">
        <f>VLOOKUP($B847,R_DG!$A$7:$G$1305,6,0)</f>
        <v>0</v>
      </c>
      <c r="I847" s="214">
        <f>VLOOKUP($B847,R_DG!$A$7:$G$1305,7,0)</f>
        <v>0</v>
      </c>
      <c r="J847" s="214">
        <f t="shared" si="250"/>
        <v>0</v>
      </c>
      <c r="K847" s="214">
        <f t="shared" si="251"/>
        <v>0</v>
      </c>
      <c r="L847" s="220">
        <f t="shared" si="252"/>
        <v>0</v>
      </c>
      <c r="M847" s="93">
        <f t="shared" si="253"/>
        <v>0</v>
      </c>
      <c r="N847" s="328">
        <f t="shared" ca="1" si="254"/>
        <v>0</v>
      </c>
    </row>
    <row r="848" spans="1:14" ht="15.75">
      <c r="A848" s="87"/>
      <c r="B848" s="232" t="s">
        <v>2208</v>
      </c>
      <c r="C848" s="32" t="str">
        <f>VLOOKUP($B848,R_DG!$A$7:$G$1305,2,0)</f>
        <v>D3.4011</v>
      </c>
      <c r="D848" s="8" t="str">
        <f>VLOOKUP($B848,R_DG!$A$7:$G$1305,3,0)</f>
        <v>Kẹp ép WR cỡ dây 50mm2</v>
      </c>
      <c r="E848" s="402" t="str">
        <f>VLOOKUP(B848,R_DG!$A$7:$G$1305,4,0)</f>
        <v>cái</v>
      </c>
      <c r="F848" s="11">
        <f>F$246*2</f>
        <v>2</v>
      </c>
      <c r="G848" s="214">
        <f>VLOOKUP($B848,R_DG!$A$7:$G$1305,5,0)</f>
        <v>13000</v>
      </c>
      <c r="H848" s="214">
        <f>VLOOKUP($B848,R_DG!$A$7:$G$1305,6,0)</f>
        <v>259648.56000000003</v>
      </c>
      <c r="I848" s="214">
        <f>VLOOKUP($B848,R_DG!$A$7:$G$1305,7,0)</f>
        <v>4712.5600000000004</v>
      </c>
      <c r="J848" s="214">
        <f t="shared" si="250"/>
        <v>26000</v>
      </c>
      <c r="K848" s="214">
        <f t="shared" si="251"/>
        <v>519297.12000000005</v>
      </c>
      <c r="L848" s="220">
        <f t="shared" si="252"/>
        <v>9425.1200000000008</v>
      </c>
      <c r="M848" s="93">
        <f t="shared" si="253"/>
        <v>1</v>
      </c>
      <c r="N848" s="328">
        <f t="shared" ca="1" si="254"/>
        <v>0</v>
      </c>
    </row>
    <row r="849" spans="1:14" ht="15.75">
      <c r="A849" s="87"/>
      <c r="B849" s="232" t="s">
        <v>2004</v>
      </c>
      <c r="C849" s="32">
        <f>VLOOKUP($B849,R_DG!$A$7:$G$1305,2,0)</f>
        <v>0</v>
      </c>
      <c r="D849" s="8" t="str">
        <f>VLOOKUP($B849,R_DG!$A$7:$G$1305,3,0)</f>
        <v>Ốc xiết cáp cỡ 25mm2</v>
      </c>
      <c r="E849" s="402" t="str">
        <f>VLOOKUP(B849,R_DG!$A$7:$G$1305,4,0)</f>
        <v>cái</v>
      </c>
      <c r="F849" s="11">
        <f>F843*2</f>
        <v>56</v>
      </c>
      <c r="G849" s="214">
        <f>VLOOKUP($B849,R_DG!$A$7:$G$1305,5,0)</f>
        <v>36000</v>
      </c>
      <c r="H849" s="214">
        <f>VLOOKUP($B849,R_DG!$A$7:$G$1305,6,0)</f>
        <v>0</v>
      </c>
      <c r="I849" s="214">
        <f>VLOOKUP($B849,R_DG!$A$7:$G$1305,7,0)</f>
        <v>0</v>
      </c>
      <c r="J849" s="214">
        <f t="shared" si="250"/>
        <v>2016000</v>
      </c>
      <c r="K849" s="214">
        <f t="shared" si="251"/>
        <v>0</v>
      </c>
      <c r="L849" s="220">
        <f t="shared" si="252"/>
        <v>0</v>
      </c>
      <c r="M849" s="93">
        <f t="shared" si="253"/>
        <v>1</v>
      </c>
      <c r="N849" s="328">
        <f t="shared" ca="1" si="254"/>
        <v>0</v>
      </c>
    </row>
    <row r="850" spans="1:14" ht="15.75">
      <c r="A850" s="87"/>
      <c r="B850" s="232" t="s">
        <v>2190</v>
      </c>
      <c r="C850" s="32">
        <f>VLOOKUP($B850,R_DG!$A$7:$G$1305,2,0)</f>
        <v>0</v>
      </c>
      <c r="D850" s="8" t="str">
        <f>VLOOKUP($B850,R_DG!$A$7:$G$1305,3,0)</f>
        <v>Boulon 12x40+ 2 long đền vuông D14-50x50x3/Zn</v>
      </c>
      <c r="E850" s="402" t="str">
        <f>VLOOKUP(B850,R_DG!$A$7:$G$1305,4,0)</f>
        <v>bộ</v>
      </c>
      <c r="F850" s="11"/>
      <c r="G850" s="214">
        <f>VLOOKUP($B850,R_DG!$A$7:$G$1305,5,0)</f>
        <v>3000</v>
      </c>
      <c r="H850" s="214">
        <f>VLOOKUP($B850,R_DG!$A$7:$G$1305,6,0)</f>
        <v>0</v>
      </c>
      <c r="I850" s="214">
        <f>VLOOKUP($B850,R_DG!$A$7:$G$1305,7,0)</f>
        <v>0</v>
      </c>
      <c r="J850" s="214">
        <f t="shared" si="250"/>
        <v>0</v>
      </c>
      <c r="K850" s="214">
        <f t="shared" si="251"/>
        <v>0</v>
      </c>
      <c r="L850" s="220">
        <f t="shared" si="252"/>
        <v>0</v>
      </c>
      <c r="M850" s="93">
        <f t="shared" si="253"/>
        <v>0</v>
      </c>
      <c r="N850" s="328">
        <f t="shared" ca="1" si="254"/>
        <v>0</v>
      </c>
    </row>
    <row r="851" spans="1:14" ht="15.75">
      <c r="A851" s="87"/>
      <c r="B851" s="232" t="s">
        <v>2209</v>
      </c>
      <c r="C851" s="32" t="str">
        <f>VLOOKUP($B851,R_DG!$A$7:$G$1305,2,0)</f>
        <v>D3.4011</v>
      </c>
      <c r="D851" s="8" t="str">
        <f>VLOOKUP($B851,R_DG!$A$7:$G$1305,3,0)</f>
        <v>Kẹp ép cỡ dây 25mm2</v>
      </c>
      <c r="E851" s="402" t="str">
        <f>VLOOKUP(B851,R_DG!$A$7:$G$1305,4,0)</f>
        <v>cái</v>
      </c>
      <c r="F851" s="11">
        <f t="shared" ref="F851" si="255">F$246*2</f>
        <v>2</v>
      </c>
      <c r="G851" s="214">
        <f>VLOOKUP($B851,R_DG!$A$7:$G$1305,5,0)</f>
        <v>14000</v>
      </c>
      <c r="H851" s="214">
        <f>VLOOKUP($B851,R_DG!$A$7:$G$1305,6,0)</f>
        <v>259648.56000000003</v>
      </c>
      <c r="I851" s="214">
        <f>VLOOKUP($B851,R_DG!$A$7:$G$1305,7,0)</f>
        <v>4712.5600000000004</v>
      </c>
      <c r="J851" s="214">
        <f t="shared" si="250"/>
        <v>28000</v>
      </c>
      <c r="K851" s="214">
        <f t="shared" si="251"/>
        <v>519297.12000000005</v>
      </c>
      <c r="L851" s="220">
        <f t="shared" si="252"/>
        <v>9425.1200000000008</v>
      </c>
      <c r="M851" s="93">
        <f t="shared" si="253"/>
        <v>1</v>
      </c>
      <c r="N851" s="328">
        <f t="shared" ca="1" si="254"/>
        <v>0</v>
      </c>
    </row>
    <row r="852" spans="1:14" ht="15.75">
      <c r="A852" s="87"/>
      <c r="B852" s="226" t="s">
        <v>2210</v>
      </c>
      <c r="C852" s="32">
        <f>VLOOKUP($B852,R_DG!$A$7:$G$1305,2,0)</f>
        <v>0</v>
      </c>
      <c r="D852" s="8" t="str">
        <f>VLOOKUP($B852,R_DG!$A$7:$G$1305,3,0)</f>
        <v>Cổ dê kẹp ống PVC φ 21</v>
      </c>
      <c r="E852" s="402" t="str">
        <f>VLOOKUP(B852,R_DG!$A$7:$G$1305,4,0)</f>
        <v>bộ</v>
      </c>
      <c r="F852" s="11"/>
      <c r="G852" s="214">
        <f>VLOOKUP($B852,R_DG!$A$7:$G$1305,5,0)</f>
        <v>43000</v>
      </c>
      <c r="H852" s="214">
        <f>VLOOKUP($B852,R_DG!$A$7:$G$1305,6,0)</f>
        <v>0</v>
      </c>
      <c r="I852" s="214">
        <f>VLOOKUP($B852,R_DG!$A$7:$G$1305,7,0)</f>
        <v>0</v>
      </c>
      <c r="J852" s="214">
        <f t="shared" si="250"/>
        <v>0</v>
      </c>
      <c r="K852" s="214">
        <f t="shared" si="251"/>
        <v>0</v>
      </c>
      <c r="L852" s="220">
        <f t="shared" si="252"/>
        <v>0</v>
      </c>
      <c r="M852" s="93">
        <f t="shared" si="253"/>
        <v>0</v>
      </c>
      <c r="N852" s="328">
        <f t="shared" ca="1" si="254"/>
        <v>0</v>
      </c>
    </row>
    <row r="853" spans="1:14" ht="15.75">
      <c r="A853" s="87"/>
      <c r="B853" s="226" t="s">
        <v>707</v>
      </c>
      <c r="C853" s="32" t="str">
        <f>VLOOKUP($B853,R_DG!$A$7:$G$1305,2,0)</f>
        <v>D2.3241</v>
      </c>
      <c r="D853" s="8" t="str">
        <f>VLOOKUP($B853,R_DG!$A$7:$G$1305,3,0)</f>
        <v>Lắp cổ dề</v>
      </c>
      <c r="E853" s="402" t="str">
        <f>VLOOKUP(B853,R_DG!$A$7:$G$1305,4,0)</f>
        <v>bộ</v>
      </c>
      <c r="F853" s="11"/>
      <c r="G853" s="214">
        <f>VLOOKUP($B853,R_DG!$A$7:$G$1305,5,0)</f>
        <v>0</v>
      </c>
      <c r="H853" s="214">
        <f>VLOOKUP($B853,R_DG!$A$7:$G$1305,6,0)</f>
        <v>82929</v>
      </c>
      <c r="I853" s="214">
        <f>VLOOKUP($B853,R_DG!$A$7:$G$1305,7,0)</f>
        <v>0</v>
      </c>
      <c r="J853" s="214">
        <f t="shared" si="250"/>
        <v>0</v>
      </c>
      <c r="K853" s="214">
        <f t="shared" si="251"/>
        <v>0</v>
      </c>
      <c r="L853" s="220">
        <f t="shared" si="252"/>
        <v>0</v>
      </c>
      <c r="M853" s="93">
        <f t="shared" si="253"/>
        <v>0</v>
      </c>
      <c r="N853" s="328">
        <f t="shared" ca="1" si="254"/>
        <v>0</v>
      </c>
    </row>
    <row r="854" spans="1:14" ht="15.75">
      <c r="A854" s="87"/>
      <c r="B854" s="226" t="s">
        <v>2190</v>
      </c>
      <c r="C854" s="32">
        <f>VLOOKUP($B854,R_DG!$A$7:$G$1305,2,0)</f>
        <v>0</v>
      </c>
      <c r="D854" s="8" t="str">
        <f>VLOOKUP($B854,R_DG!$A$7:$G$1305,3,0)</f>
        <v>Boulon 12x40+ 2 long đền vuông D14-50x50x3/Zn</v>
      </c>
      <c r="E854" s="402" t="str">
        <f>VLOOKUP(B854,R_DG!$A$7:$G$1305,4,0)</f>
        <v>bộ</v>
      </c>
      <c r="F854" s="11">
        <f>F$246*0</f>
        <v>0</v>
      </c>
      <c r="G854" s="214">
        <f>VLOOKUP($B854,R_DG!$A$7:$G$1305,5,0)</f>
        <v>3000</v>
      </c>
      <c r="H854" s="214">
        <f>VLOOKUP($B854,R_DG!$A$7:$G$1305,6,0)</f>
        <v>0</v>
      </c>
      <c r="I854" s="214">
        <f>VLOOKUP($B854,R_DG!$A$7:$G$1305,7,0)</f>
        <v>0</v>
      </c>
      <c r="J854" s="214">
        <f t="shared" si="250"/>
        <v>0</v>
      </c>
      <c r="K854" s="214">
        <f t="shared" si="251"/>
        <v>0</v>
      </c>
      <c r="L854" s="220">
        <f t="shared" si="252"/>
        <v>0</v>
      </c>
      <c r="M854" s="93">
        <f t="shared" si="253"/>
        <v>0</v>
      </c>
      <c r="N854" s="328">
        <f t="shared" ca="1" si="254"/>
        <v>0</v>
      </c>
    </row>
    <row r="855" spans="1:14" ht="15.75">
      <c r="A855" s="87"/>
      <c r="B855" s="226" t="s">
        <v>2457</v>
      </c>
      <c r="C855" s="32" t="str">
        <f>VLOOKUP($B855,R_DG!$A$7:$G$1305,2,0)</f>
        <v>D2.8103</v>
      </c>
      <c r="D855" s="8" t="str">
        <f>VLOOKUP($B855,R_DG!$A$7:$G$1305,3,0)</f>
        <v>Đóng cọc tiếp địa trong TBA</v>
      </c>
      <c r="E855" s="402" t="str">
        <f>VLOOKUP(B855,R_DG!$A$7:$G$1305,4,0)</f>
        <v>cọc</v>
      </c>
      <c r="F855" s="11">
        <f>F846</f>
        <v>252</v>
      </c>
      <c r="G855" s="214">
        <f>VLOOKUP($B855,R_DG!$A$7:$G$1305,5,0)</f>
        <v>0</v>
      </c>
      <c r="H855" s="214">
        <f>VLOOKUP($B855,R_DG!$A$7:$G$1305,6,0)</f>
        <v>107480.82</v>
      </c>
      <c r="I855" s="214">
        <f>VLOOKUP($B855,R_DG!$A$7:$G$1305,7,0)</f>
        <v>0</v>
      </c>
      <c r="J855" s="214">
        <f t="shared" si="250"/>
        <v>0</v>
      </c>
      <c r="K855" s="214">
        <f t="shared" si="251"/>
        <v>27085166.640000001</v>
      </c>
      <c r="L855" s="220">
        <f t="shared" si="252"/>
        <v>0</v>
      </c>
      <c r="M855" s="93">
        <f t="shared" si="253"/>
        <v>1</v>
      </c>
      <c r="N855" s="328">
        <f t="shared" ca="1" si="254"/>
        <v>0</v>
      </c>
    </row>
    <row r="856" spans="1:14" ht="15.75">
      <c r="A856" s="87"/>
      <c r="B856" s="226" t="s">
        <v>2458</v>
      </c>
      <c r="C856" s="32" t="str">
        <f>VLOOKUP($B856,R_DG!$A$7:$G$1305,2,0)</f>
        <v>T4.7001</v>
      </c>
      <c r="D856" s="8" t="str">
        <f>VLOOKUP($B856,R_DG!$A$7:$G$1305,3,0)</f>
        <v>Kéo dây tiếp địa trong TBA</v>
      </c>
      <c r="E856" s="402" t="str">
        <f>VLOOKUP(B856,R_DG!$A$7:$G$1305,4,0)</f>
        <v>mét</v>
      </c>
      <c r="F856" s="11">
        <f>F845/0.224</f>
        <v>1372</v>
      </c>
      <c r="G856" s="214">
        <f>VLOOKUP($B856,R_DG!$A$7:$G$1305,5,0)</f>
        <v>0</v>
      </c>
      <c r="H856" s="214">
        <f>VLOOKUP($B856,R_DG!$A$7:$G$1305,6,0)</f>
        <v>6871.2599999999993</v>
      </c>
      <c r="I856" s="214">
        <f>VLOOKUP($B856,R_DG!$A$7:$G$1305,7,0)</f>
        <v>0</v>
      </c>
      <c r="J856" s="214">
        <f t="shared" si="250"/>
        <v>0</v>
      </c>
      <c r="K856" s="214">
        <f t="shared" si="251"/>
        <v>9427368.7199999988</v>
      </c>
      <c r="L856" s="220">
        <f t="shared" si="252"/>
        <v>0</v>
      </c>
      <c r="M856" s="93">
        <f t="shared" si="253"/>
        <v>1</v>
      </c>
      <c r="N856" s="328">
        <f t="shared" ca="1" si="254"/>
        <v>0</v>
      </c>
    </row>
    <row r="857" spans="1:14" ht="15.75">
      <c r="A857" s="87"/>
      <c r="B857" s="232" t="s">
        <v>2211</v>
      </c>
      <c r="C857" s="32" t="str">
        <f>VLOOKUP($B857,R_DG!$A$7:$G$1305,2,0)</f>
        <v>AB.1151</v>
      </c>
      <c r="D857" s="8" t="str">
        <f>VLOOKUP($B857,R_DG!$A$7:$G$1305,3,0)</f>
        <v>Đào rãnh tiếp địa đất cấp 3</v>
      </c>
      <c r="E857" s="402" t="str">
        <f>VLOOKUP(B857,R_DG!$A$7:$G$1305,4,0)</f>
        <v>m3</v>
      </c>
      <c r="F857" s="11">
        <f>F$246*8*3*0.3*0.3</f>
        <v>2.1599999999999997</v>
      </c>
      <c r="G857" s="214">
        <f>VLOOKUP($B857,R_DG!$A$7:$G$1305,5,0)</f>
        <v>0</v>
      </c>
      <c r="H857" s="214">
        <f>VLOOKUP($B857,R_DG!$A$7:$G$1305,6,0)</f>
        <v>241579.80000000002</v>
      </c>
      <c r="I857" s="214">
        <f>VLOOKUP($B857,R_DG!$A$7:$G$1305,7,0)</f>
        <v>0</v>
      </c>
      <c r="J857" s="214">
        <f t="shared" si="250"/>
        <v>0</v>
      </c>
      <c r="K857" s="214">
        <f t="shared" si="251"/>
        <v>521812.36799999996</v>
      </c>
      <c r="L857" s="220">
        <f t="shared" si="252"/>
        <v>0</v>
      </c>
      <c r="M857" s="93">
        <f t="shared" si="253"/>
        <v>1</v>
      </c>
      <c r="N857" s="328">
        <f t="shared" ca="1" si="254"/>
        <v>0</v>
      </c>
    </row>
    <row r="858" spans="1:14" ht="15.75">
      <c r="A858" s="87"/>
      <c r="B858" s="226" t="s">
        <v>2212</v>
      </c>
      <c r="C858" s="32" t="str">
        <f>VLOOKUP($B858,R_DG!$A$7:$G$1305,2,0)</f>
        <v>AB.1312</v>
      </c>
      <c r="D858" s="8" t="str">
        <f>VLOOKUP($B858,R_DG!$A$7:$G$1305,3,0)</f>
        <v>Đắp đất rãnh tiếp địa cấp 3, k=0,9</v>
      </c>
      <c r="E858" s="402" t="str">
        <f>VLOOKUP(B858,R_DG!$A$7:$G$1305,4,0)</f>
        <v>m3</v>
      </c>
      <c r="F858" s="11">
        <f>F857</f>
        <v>2.1599999999999997</v>
      </c>
      <c r="G858" s="214">
        <f>VLOOKUP($B858,R_DG!$A$7:$G$1305,5,0)</f>
        <v>0</v>
      </c>
      <c r="H858" s="214">
        <f>VLOOKUP($B858,R_DG!$A$7:$G$1305,6,0)</f>
        <v>107368.8</v>
      </c>
      <c r="I858" s="214">
        <f>VLOOKUP($B858,R_DG!$A$7:$G$1305,7,0)</f>
        <v>0</v>
      </c>
      <c r="J858" s="214">
        <f t="shared" si="250"/>
        <v>0</v>
      </c>
      <c r="K858" s="214">
        <f t="shared" si="251"/>
        <v>231916.60799999998</v>
      </c>
      <c r="L858" s="220">
        <f t="shared" si="252"/>
        <v>0</v>
      </c>
      <c r="M858" s="93">
        <f t="shared" si="253"/>
        <v>1</v>
      </c>
      <c r="N858" s="328">
        <f t="shared" ca="1" si="254"/>
        <v>0</v>
      </c>
    </row>
    <row r="859" spans="1:14" ht="15.75">
      <c r="A859" s="87"/>
      <c r="B859" s="7" t="s">
        <v>1969</v>
      </c>
      <c r="C859" s="32">
        <f>VLOOKUP($B859,R_DG!$A$7:$G$1305,2,0)</f>
        <v>0</v>
      </c>
      <c r="D859" s="8" t="str">
        <f>VLOOKUP($B859,R_DG!$A$7:$G$1305,3,0)</f>
        <v>Băng keo cách điện (5m/cuộn)</v>
      </c>
      <c r="E859" s="402" t="str">
        <f>VLOOKUP(B859,R_DG!$A$7:$G$1305,4,0)</f>
        <v>cuộn</v>
      </c>
      <c r="F859" s="11">
        <v>5</v>
      </c>
      <c r="G859" s="214">
        <f>VLOOKUP($B859,R_DG!$A$7:$G$1305,5,0)</f>
        <v>8000</v>
      </c>
      <c r="H859" s="214">
        <f>VLOOKUP($B859,R_DG!$A$7:$G$1305,6,0)</f>
        <v>0</v>
      </c>
      <c r="I859" s="214">
        <f>VLOOKUP($B859,R_DG!$A$7:$G$1305,7,0)</f>
        <v>0</v>
      </c>
      <c r="J859" s="214">
        <f t="shared" si="250"/>
        <v>40000</v>
      </c>
      <c r="K859" s="214">
        <f t="shared" si="251"/>
        <v>0</v>
      </c>
      <c r="L859" s="220">
        <f t="shared" si="252"/>
        <v>0</v>
      </c>
      <c r="M859" s="93">
        <f t="shared" si="253"/>
        <v>1</v>
      </c>
      <c r="N859" s="328">
        <f t="shared" ca="1" si="254"/>
        <v>0</v>
      </c>
    </row>
    <row r="860" spans="1:14" ht="15.75">
      <c r="A860" s="87"/>
      <c r="B860" s="7" t="s">
        <v>2469</v>
      </c>
      <c r="C860" s="32" t="str">
        <f>VLOOKUP($B860,R_DG!$A$7:$G$1305,2,0)</f>
        <v>T4.5202</v>
      </c>
      <c r="D860" s="8" t="str">
        <f>VLOOKUP($B860,R_DG!$A$7:$G$1305,3,0)</f>
        <v>Lắp ống nhựa PVC D90</v>
      </c>
      <c r="E860" s="402" t="str">
        <f>VLOOKUP(B860,R_DG!$A$7:$G$1305,4,0)</f>
        <v>mét</v>
      </c>
      <c r="F860" s="11"/>
      <c r="G860" s="214">
        <f>VLOOKUP($B860,R_DG!$A$7:$G$1305,5,0)</f>
        <v>0</v>
      </c>
      <c r="H860" s="214">
        <f>VLOOKUP($B860,R_DG!$A$7:$G$1305,6,0)</f>
        <v>52126.80000000001</v>
      </c>
      <c r="I860" s="214">
        <f>VLOOKUP($B860,R_DG!$A$7:$G$1305,7,0)</f>
        <v>0</v>
      </c>
      <c r="J860" s="214">
        <f t="shared" si="250"/>
        <v>0</v>
      </c>
      <c r="K860" s="214">
        <f t="shared" si="251"/>
        <v>0</v>
      </c>
      <c r="L860" s="220">
        <f t="shared" si="252"/>
        <v>0</v>
      </c>
      <c r="M860" s="93">
        <f t="shared" si="253"/>
        <v>0</v>
      </c>
      <c r="N860" s="328">
        <f t="shared" ca="1" si="254"/>
        <v>0</v>
      </c>
    </row>
    <row r="861" spans="1:14" ht="15.75">
      <c r="A861" s="87"/>
      <c r="B861" s="7" t="s">
        <v>2461</v>
      </c>
      <c r="C861" s="32" t="str">
        <f>VLOOKUP($B861,R_DG!$A$7:$G$1305,2,0)</f>
        <v>T4.4201</v>
      </c>
      <c r="D861" s="8" t="str">
        <f>VLOOKUP($B861,R_DG!$A$7:$G$1305,3,0)</f>
        <v>Lắp cáp đồng xuống thiết bị D ≤ 95mm2</v>
      </c>
      <c r="E861" s="402" t="str">
        <f>VLOOKUP(B861,R_DG!$A$7:$G$1305,4,0)</f>
        <v>m</v>
      </c>
      <c r="F861" s="11"/>
      <c r="G861" s="214">
        <f>VLOOKUP($B861,R_DG!$A$7:$G$1305,5,0)</f>
        <v>0</v>
      </c>
      <c r="H861" s="214">
        <f>VLOOKUP($B861,R_DG!$A$7:$G$1305,6,0)</f>
        <v>11847</v>
      </c>
      <c r="I861" s="214">
        <f>VLOOKUP($B861,R_DG!$A$7:$G$1305,7,0)</f>
        <v>0</v>
      </c>
      <c r="J861" s="214">
        <f t="shared" si="250"/>
        <v>0</v>
      </c>
      <c r="K861" s="214">
        <f t="shared" si="251"/>
        <v>0</v>
      </c>
      <c r="L861" s="220">
        <f t="shared" si="252"/>
        <v>0</v>
      </c>
      <c r="M861" s="93">
        <f t="shared" si="253"/>
        <v>0</v>
      </c>
      <c r="N861" s="328">
        <f t="shared" ca="1" si="254"/>
        <v>0</v>
      </c>
    </row>
    <row r="862" spans="1:14" ht="15">
      <c r="A862" s="89" t="s">
        <v>2350</v>
      </c>
      <c r="B862" s="24"/>
      <c r="C862" s="110"/>
      <c r="D862" s="25" t="s">
        <v>2351</v>
      </c>
      <c r="E862" s="25" t="s">
        <v>2282</v>
      </c>
      <c r="F862" s="26"/>
      <c r="G862" s="213"/>
      <c r="H862" s="213"/>
      <c r="I862" s="213"/>
      <c r="J862" s="213">
        <f ca="1">SUM(J863:J940)</f>
        <v>28066320</v>
      </c>
      <c r="K862" s="213">
        <f ca="1">SUM(K863:K942)</f>
        <v>0</v>
      </c>
      <c r="L862" s="213">
        <f ca="1">SUM(L863:L942)</f>
        <v>0</v>
      </c>
      <c r="M862" s="92">
        <v>1</v>
      </c>
      <c r="N862" s="327">
        <f ca="1">SUMIF(maBK,$A862,tongBK1)</f>
        <v>0</v>
      </c>
    </row>
    <row r="863" spans="1:14" ht="15">
      <c r="A863" s="87"/>
      <c r="B863" s="7" t="s">
        <v>295</v>
      </c>
      <c r="C863" s="114">
        <f t="shared" ref="C863:C894" ca="1" si="256">SUMIF(maBK,B863,tongBK1)</f>
        <v>0</v>
      </c>
      <c r="D863" s="8" t="str">
        <f>VLOOKUP($B863,R_DG!$A$7:$G$1305,3,0)</f>
        <v>Cáp nhôm lõi thép AC-50/8</v>
      </c>
      <c r="E863" s="9" t="str">
        <f>VLOOKUP($B863,R_DG!$A$7:$G$1305,4,0)</f>
        <v>kg</v>
      </c>
      <c r="F863" s="122">
        <f ca="1">C863*1.02*0.195</f>
        <v>0</v>
      </c>
      <c r="G863" s="214">
        <f>VLOOKUP($B863,R_DG!$A$7:$G$1305,5,0)</f>
        <v>60400</v>
      </c>
      <c r="H863" s="214">
        <f>VLOOKUP($B863,R_DG!$A$7:$G$1305,6,0)</f>
        <v>0</v>
      </c>
      <c r="I863" s="214">
        <f>VLOOKUP($B863,R_DG!$A$7:$G$1305,7,0)</f>
        <v>0</v>
      </c>
      <c r="J863" s="214">
        <f t="shared" ref="J863:L940" ca="1" si="257">G863*$F863</f>
        <v>0</v>
      </c>
      <c r="K863" s="214">
        <f t="shared" ca="1" si="257"/>
        <v>0</v>
      </c>
      <c r="L863" s="220">
        <f t="shared" ca="1" si="257"/>
        <v>0</v>
      </c>
      <c r="M863" s="93">
        <f ca="1">IF(F863&gt;0,M$862,0)</f>
        <v>0</v>
      </c>
      <c r="N863" s="330">
        <f t="shared" ref="N863:N894" ca="1" si="258">$F863</f>
        <v>0</v>
      </c>
    </row>
    <row r="864" spans="1:14" ht="15">
      <c r="A864" s="87"/>
      <c r="B864" s="7" t="s">
        <v>297</v>
      </c>
      <c r="C864" s="114">
        <f t="shared" ca="1" si="256"/>
        <v>0</v>
      </c>
      <c r="D864" s="8" t="str">
        <f>VLOOKUP($B864,R_DG!$A$7:$G$1305,3,0)</f>
        <v>Cáp nhôm lõi thép AC-70/11</v>
      </c>
      <c r="E864" s="9" t="str">
        <f>VLOOKUP($B864,R_DG!$A$7:$G$1305,4,0)</f>
        <v>kg</v>
      </c>
      <c r="F864" s="122">
        <f ca="1">C864*1.02*0.279</f>
        <v>0</v>
      </c>
      <c r="G864" s="214">
        <f>VLOOKUP($B864,R_DG!$A$7:$G$1305,5,0)</f>
        <v>71000</v>
      </c>
      <c r="H864" s="214">
        <f>VLOOKUP($B864,R_DG!$A$7:$G$1305,6,0)</f>
        <v>0</v>
      </c>
      <c r="I864" s="214">
        <f>VLOOKUP($B864,R_DG!$A$7:$G$1305,7,0)</f>
        <v>0</v>
      </c>
      <c r="J864" s="214">
        <f t="shared" ca="1" si="257"/>
        <v>0</v>
      </c>
      <c r="K864" s="214">
        <f t="shared" ca="1" si="257"/>
        <v>0</v>
      </c>
      <c r="L864" s="220">
        <f t="shared" ca="1" si="257"/>
        <v>0</v>
      </c>
      <c r="M864" s="93">
        <f t="shared" ref="M864:M940" ca="1" si="259">IF(F864&gt;0,M$862,0)</f>
        <v>0</v>
      </c>
      <c r="N864" s="330">
        <f t="shared" ca="1" si="258"/>
        <v>0</v>
      </c>
    </row>
    <row r="865" spans="1:14" ht="15">
      <c r="A865" s="87"/>
      <c r="B865" s="7" t="s">
        <v>299</v>
      </c>
      <c r="C865" s="114">
        <f t="shared" ca="1" si="256"/>
        <v>0</v>
      </c>
      <c r="D865" s="8" t="str">
        <f>VLOOKUP($B865,R_DG!$A$7:$G$1305,3,0)</f>
        <v>Cáp nhôm lõi thép AC-95/16</v>
      </c>
      <c r="E865" s="9" t="str">
        <f>VLOOKUP($B865,R_DG!$A$7:$G$1305,4,0)</f>
        <v>kg</v>
      </c>
      <c r="F865" s="122">
        <f ca="1">C865*1.02*0.391</f>
        <v>0</v>
      </c>
      <c r="G865" s="214">
        <f>VLOOKUP($B865,R_DG!$A$7:$G$1305,5,0)</f>
        <v>73200</v>
      </c>
      <c r="H865" s="214">
        <f>VLOOKUP($B865,R_DG!$A$7:$G$1305,6,0)</f>
        <v>0</v>
      </c>
      <c r="I865" s="214">
        <f>VLOOKUP($B865,R_DG!$A$7:$G$1305,7,0)</f>
        <v>0</v>
      </c>
      <c r="J865" s="214">
        <f t="shared" ca="1" si="257"/>
        <v>0</v>
      </c>
      <c r="K865" s="214">
        <f t="shared" ca="1" si="257"/>
        <v>0</v>
      </c>
      <c r="L865" s="220">
        <f t="shared" ca="1" si="257"/>
        <v>0</v>
      </c>
      <c r="M865" s="93">
        <f t="shared" ca="1" si="259"/>
        <v>0</v>
      </c>
      <c r="N865" s="330">
        <f t="shared" ca="1" si="258"/>
        <v>0</v>
      </c>
    </row>
    <row r="866" spans="1:14" ht="15">
      <c r="A866" s="87"/>
      <c r="B866" s="7" t="s">
        <v>301</v>
      </c>
      <c r="C866" s="114">
        <f t="shared" ca="1" si="256"/>
        <v>0</v>
      </c>
      <c r="D866" s="8" t="str">
        <f>VLOOKUP($B866,R_DG!$A$7:$G$1305,3,0)</f>
        <v>Cáp nhôm lõi thép AC-120/19</v>
      </c>
      <c r="E866" s="9" t="str">
        <f>VLOOKUP($B866,R_DG!$A$7:$G$1305,4,0)</f>
        <v>kg</v>
      </c>
      <c r="F866" s="122">
        <f ca="1">C866*1.02*0.53</f>
        <v>0</v>
      </c>
      <c r="G866" s="214">
        <f>VLOOKUP($B866,R_DG!$A$7:$G$1305,5,0)</f>
        <v>73200</v>
      </c>
      <c r="H866" s="214">
        <f>VLOOKUP($B866,R_DG!$A$7:$G$1305,6,0)</f>
        <v>0</v>
      </c>
      <c r="I866" s="214">
        <f>VLOOKUP($B866,R_DG!$A$7:$G$1305,7,0)</f>
        <v>0</v>
      </c>
      <c r="J866" s="214">
        <f t="shared" ca="1" si="257"/>
        <v>0</v>
      </c>
      <c r="K866" s="214">
        <f t="shared" ca="1" si="257"/>
        <v>0</v>
      </c>
      <c r="L866" s="220">
        <f t="shared" ca="1" si="257"/>
        <v>0</v>
      </c>
      <c r="M866" s="93">
        <f t="shared" ca="1" si="259"/>
        <v>0</v>
      </c>
      <c r="N866" s="330">
        <f t="shared" ca="1" si="258"/>
        <v>0</v>
      </c>
    </row>
    <row r="867" spans="1:14" ht="15">
      <c r="A867" s="87"/>
      <c r="B867" s="7" t="s">
        <v>303</v>
      </c>
      <c r="C867" s="114">
        <f t="shared" ca="1" si="256"/>
        <v>0</v>
      </c>
      <c r="D867" s="8" t="str">
        <f>VLOOKUP($B867,R_DG!$A$7:$G$1305,3,0)</f>
        <v>Cáp nhôm lõi thép AC-150/24</v>
      </c>
      <c r="E867" s="9" t="str">
        <f>VLOOKUP($B867,R_DG!$A$7:$G$1305,4,0)</f>
        <v>kg</v>
      </c>
      <c r="F867" s="122">
        <f t="shared" ref="F867:F869" ca="1" si="260">C867*1.02*0.185</f>
        <v>0</v>
      </c>
      <c r="G867" s="214">
        <f>VLOOKUP($B867,R_DG!$A$7:$G$1305,5,0)</f>
        <v>73200</v>
      </c>
      <c r="H867" s="214">
        <f>VLOOKUP($B867,R_DG!$A$7:$G$1305,6,0)</f>
        <v>0</v>
      </c>
      <c r="I867" s="214">
        <f>VLOOKUP($B867,R_DG!$A$7:$G$1305,7,0)</f>
        <v>0</v>
      </c>
      <c r="J867" s="214">
        <f t="shared" ca="1" si="257"/>
        <v>0</v>
      </c>
      <c r="K867" s="214">
        <f t="shared" ca="1" si="257"/>
        <v>0</v>
      </c>
      <c r="L867" s="220">
        <f t="shared" ca="1" si="257"/>
        <v>0</v>
      </c>
      <c r="M867" s="93">
        <f t="shared" ca="1" si="259"/>
        <v>0</v>
      </c>
      <c r="N867" s="330">
        <f t="shared" ca="1" si="258"/>
        <v>0</v>
      </c>
    </row>
    <row r="868" spans="1:14" ht="15">
      <c r="A868" s="87"/>
      <c r="B868" s="7" t="s">
        <v>305</v>
      </c>
      <c r="C868" s="114">
        <f t="shared" ca="1" si="256"/>
        <v>0</v>
      </c>
      <c r="D868" s="8" t="str">
        <f>VLOOKUP($B868,R_DG!$A$7:$G$1305,3,0)</f>
        <v>Cáp nhôm lõi thép AC-185/29</v>
      </c>
      <c r="E868" s="9" t="str">
        <f>VLOOKUP($B868,R_DG!$A$7:$G$1305,4,0)</f>
        <v>kg</v>
      </c>
      <c r="F868" s="122">
        <f t="shared" ca="1" si="260"/>
        <v>0</v>
      </c>
      <c r="G868" s="214">
        <f>VLOOKUP($B868,R_DG!$A$7:$G$1305,5,0)</f>
        <v>73200</v>
      </c>
      <c r="H868" s="214">
        <f>VLOOKUP($B868,R_DG!$A$7:$G$1305,6,0)</f>
        <v>0</v>
      </c>
      <c r="I868" s="214">
        <f>VLOOKUP($B868,R_DG!$A$7:$G$1305,7,0)</f>
        <v>0</v>
      </c>
      <c r="J868" s="214">
        <f t="shared" ca="1" si="257"/>
        <v>0</v>
      </c>
      <c r="K868" s="214">
        <f t="shared" ca="1" si="257"/>
        <v>0</v>
      </c>
      <c r="L868" s="220">
        <f t="shared" ca="1" si="257"/>
        <v>0</v>
      </c>
      <c r="M868" s="93">
        <f t="shared" ca="1" si="259"/>
        <v>0</v>
      </c>
      <c r="N868" s="330">
        <f t="shared" ca="1" si="258"/>
        <v>0</v>
      </c>
    </row>
    <row r="869" spans="1:14" ht="15">
      <c r="A869" s="87"/>
      <c r="B869" s="7" t="s">
        <v>307</v>
      </c>
      <c r="C869" s="114">
        <f t="shared" ca="1" si="256"/>
        <v>0</v>
      </c>
      <c r="D869" s="8" t="str">
        <f>VLOOKUP($B869,R_DG!$A$7:$G$1305,3,0)</f>
        <v>Cáp nhôm lõi thép AC-240/39</v>
      </c>
      <c r="E869" s="9" t="str">
        <f>VLOOKUP($B869,R_DG!$A$7:$G$1305,4,0)</f>
        <v>kg</v>
      </c>
      <c r="F869" s="122">
        <f t="shared" ca="1" si="260"/>
        <v>0</v>
      </c>
      <c r="G869" s="214">
        <f>VLOOKUP($B869,R_DG!$A$7:$G$1305,5,0)</f>
        <v>73200</v>
      </c>
      <c r="H869" s="214">
        <f>VLOOKUP($B869,R_DG!$A$7:$G$1305,6,0)</f>
        <v>0</v>
      </c>
      <c r="I869" s="214">
        <f>VLOOKUP($B869,R_DG!$A$7:$G$1305,7,0)</f>
        <v>0</v>
      </c>
      <c r="J869" s="214">
        <f t="shared" ca="1" si="257"/>
        <v>0</v>
      </c>
      <c r="K869" s="214">
        <f t="shared" ca="1" si="257"/>
        <v>0</v>
      </c>
      <c r="L869" s="220">
        <f t="shared" ca="1" si="257"/>
        <v>0</v>
      </c>
      <c r="M869" s="93">
        <f t="shared" ca="1" si="259"/>
        <v>0</v>
      </c>
      <c r="N869" s="330">
        <f t="shared" ca="1" si="258"/>
        <v>0</v>
      </c>
    </row>
    <row r="870" spans="1:14" ht="15">
      <c r="A870" s="87"/>
      <c r="B870" s="7" t="s">
        <v>221</v>
      </c>
      <c r="C870" s="114">
        <f t="shared" ca="1" si="256"/>
        <v>0</v>
      </c>
      <c r="D870" s="8" t="str">
        <f>VLOOKUP($B870,R_DG!$A$7:$G$1305,3,0)</f>
        <v>Cáp 24KV AC/XLPE/PVC 50mm2</v>
      </c>
      <c r="E870" s="9" t="str">
        <f>VLOOKUP($B870,R_DG!$A$7:$G$1305,4,0)</f>
        <v>mét</v>
      </c>
      <c r="F870" s="123">
        <f ca="1">C870*1.02</f>
        <v>0</v>
      </c>
      <c r="G870" s="214">
        <f>VLOOKUP($B870,R_DG!$A$7:$G$1305,5,0)</f>
        <v>57600</v>
      </c>
      <c r="H870" s="214">
        <f>VLOOKUP($B870,R_DG!$A$7:$G$1305,6,0)</f>
        <v>0</v>
      </c>
      <c r="I870" s="214">
        <f>VLOOKUP($B870,R_DG!$A$7:$G$1305,7,0)</f>
        <v>0</v>
      </c>
      <c r="J870" s="214">
        <f t="shared" ca="1" si="257"/>
        <v>0</v>
      </c>
      <c r="K870" s="214">
        <f t="shared" ca="1" si="257"/>
        <v>0</v>
      </c>
      <c r="L870" s="220">
        <f t="shared" ca="1" si="257"/>
        <v>0</v>
      </c>
      <c r="M870" s="93">
        <f t="shared" ca="1" si="259"/>
        <v>0</v>
      </c>
      <c r="N870" s="331">
        <f t="shared" ca="1" si="258"/>
        <v>0</v>
      </c>
    </row>
    <row r="871" spans="1:14" ht="15">
      <c r="A871" s="87"/>
      <c r="B871" s="7" t="s">
        <v>2541</v>
      </c>
      <c r="C871" s="114">
        <f t="shared" ca="1" si="256"/>
        <v>0</v>
      </c>
      <c r="D871" s="8" t="str">
        <f>VLOOKUP($B871,R_DG!$A$7:$G$1305,3,0)</f>
        <v>Cáp 24KV AC/XLPE/PVC 70mm2</v>
      </c>
      <c r="E871" s="9" t="str">
        <f>VLOOKUP($B871,R_DG!$A$7:$G$1305,4,0)</f>
        <v>mét</v>
      </c>
      <c r="F871" s="123">
        <f t="shared" ref="F871:F919" ca="1" si="261">C871*1.02</f>
        <v>0</v>
      </c>
      <c r="G871" s="214">
        <f>VLOOKUP($B871,R_DG!$A$7:$G$1305,5,0)</f>
        <v>68000</v>
      </c>
      <c r="H871" s="214">
        <f>VLOOKUP($B871,R_DG!$A$7:$G$1305,6,0)</f>
        <v>0</v>
      </c>
      <c r="I871" s="214">
        <f>VLOOKUP($B871,R_DG!$A$7:$G$1305,7,0)</f>
        <v>0</v>
      </c>
      <c r="J871" s="214">
        <f t="shared" ca="1" si="257"/>
        <v>0</v>
      </c>
      <c r="K871" s="214">
        <f t="shared" ca="1" si="257"/>
        <v>0</v>
      </c>
      <c r="L871" s="220">
        <f t="shared" ca="1" si="257"/>
        <v>0</v>
      </c>
      <c r="M871" s="93">
        <f t="shared" ca="1" si="259"/>
        <v>0</v>
      </c>
      <c r="N871" s="331">
        <f t="shared" ca="1" si="258"/>
        <v>0</v>
      </c>
    </row>
    <row r="872" spans="1:14" ht="15">
      <c r="A872" s="87"/>
      <c r="B872" s="7" t="s">
        <v>2542</v>
      </c>
      <c r="C872" s="114">
        <f t="shared" ca="1" si="256"/>
        <v>0</v>
      </c>
      <c r="D872" s="8" t="str">
        <f>VLOOKUP($B872,R_DG!$A$7:$G$1305,3,0)</f>
        <v>Cáp 24KV AC/XLPE/PVC 95mm2</v>
      </c>
      <c r="E872" s="9" t="str">
        <f>VLOOKUP($B872,R_DG!$A$7:$G$1305,4,0)</f>
        <v>mét</v>
      </c>
      <c r="F872" s="123">
        <f t="shared" ca="1" si="261"/>
        <v>0</v>
      </c>
      <c r="G872" s="214">
        <f>VLOOKUP($B872,R_DG!$A$7:$G$1305,5,0)</f>
        <v>83900</v>
      </c>
      <c r="H872" s="214">
        <f>VLOOKUP($B872,R_DG!$A$7:$G$1305,6,0)</f>
        <v>0</v>
      </c>
      <c r="I872" s="214">
        <f>VLOOKUP($B872,R_DG!$A$7:$G$1305,7,0)</f>
        <v>0</v>
      </c>
      <c r="J872" s="214">
        <f t="shared" ca="1" si="257"/>
        <v>0</v>
      </c>
      <c r="K872" s="214">
        <f t="shared" ca="1" si="257"/>
        <v>0</v>
      </c>
      <c r="L872" s="220">
        <f t="shared" ca="1" si="257"/>
        <v>0</v>
      </c>
      <c r="M872" s="93">
        <f t="shared" ca="1" si="259"/>
        <v>0</v>
      </c>
      <c r="N872" s="331">
        <f t="shared" ca="1" si="258"/>
        <v>0</v>
      </c>
    </row>
    <row r="873" spans="1:14" ht="15">
      <c r="A873" s="87"/>
      <c r="B873" s="7" t="s">
        <v>2543</v>
      </c>
      <c r="C873" s="114">
        <f t="shared" ca="1" si="256"/>
        <v>0</v>
      </c>
      <c r="D873" s="8" t="str">
        <f>VLOOKUP($B873,R_DG!$A$7:$G$1305,3,0)</f>
        <v>Cáp 24KV AC/XLPE/PVC 120mm2</v>
      </c>
      <c r="E873" s="9" t="str">
        <f>VLOOKUP($B873,R_DG!$A$7:$G$1305,4,0)</f>
        <v>mét</v>
      </c>
      <c r="F873" s="123">
        <f t="shared" ca="1" si="261"/>
        <v>0</v>
      </c>
      <c r="G873" s="214">
        <f>VLOOKUP($B873,R_DG!$A$7:$G$1305,5,0)</f>
        <v>98300</v>
      </c>
      <c r="H873" s="214">
        <f>VLOOKUP($B873,R_DG!$A$7:$G$1305,6,0)</f>
        <v>0</v>
      </c>
      <c r="I873" s="214">
        <f>VLOOKUP($B873,R_DG!$A$7:$G$1305,7,0)</f>
        <v>0</v>
      </c>
      <c r="J873" s="214">
        <f t="shared" ca="1" si="257"/>
        <v>0</v>
      </c>
      <c r="K873" s="214">
        <f t="shared" ca="1" si="257"/>
        <v>0</v>
      </c>
      <c r="L873" s="220">
        <f t="shared" ca="1" si="257"/>
        <v>0</v>
      </c>
      <c r="M873" s="93">
        <f t="shared" ca="1" si="259"/>
        <v>0</v>
      </c>
      <c r="N873" s="331">
        <f t="shared" ca="1" si="258"/>
        <v>0</v>
      </c>
    </row>
    <row r="874" spans="1:14" ht="15">
      <c r="A874" s="87"/>
      <c r="B874" s="7" t="s">
        <v>2544</v>
      </c>
      <c r="C874" s="114">
        <f t="shared" ca="1" si="256"/>
        <v>0</v>
      </c>
      <c r="D874" s="8" t="str">
        <f>VLOOKUP($B874,R_DG!$A$7:$G$1305,3,0)</f>
        <v>Cáp 24KV AC/XLPE/PVC 150mm2</v>
      </c>
      <c r="E874" s="9" t="str">
        <f>VLOOKUP($B874,R_DG!$A$7:$G$1305,4,0)</f>
        <v>mét</v>
      </c>
      <c r="F874" s="123">
        <f t="shared" ca="1" si="261"/>
        <v>0</v>
      </c>
      <c r="G874" s="214">
        <f>VLOOKUP($B874,R_DG!$A$7:$G$1305,5,0)</f>
        <v>110600</v>
      </c>
      <c r="H874" s="214">
        <f>VLOOKUP($B874,R_DG!$A$7:$G$1305,6,0)</f>
        <v>0</v>
      </c>
      <c r="I874" s="214">
        <f>VLOOKUP($B874,R_DG!$A$7:$G$1305,7,0)</f>
        <v>0</v>
      </c>
      <c r="J874" s="214">
        <f t="shared" ca="1" si="257"/>
        <v>0</v>
      </c>
      <c r="K874" s="214">
        <f t="shared" ca="1" si="257"/>
        <v>0</v>
      </c>
      <c r="L874" s="220">
        <f t="shared" ca="1" si="257"/>
        <v>0</v>
      </c>
      <c r="M874" s="93">
        <f t="shared" ca="1" si="259"/>
        <v>0</v>
      </c>
      <c r="N874" s="331">
        <f t="shared" ca="1" si="258"/>
        <v>0</v>
      </c>
    </row>
    <row r="875" spans="1:14" ht="15">
      <c r="A875" s="87"/>
      <c r="B875" s="7" t="s">
        <v>2545</v>
      </c>
      <c r="C875" s="114">
        <f t="shared" ca="1" si="256"/>
        <v>0</v>
      </c>
      <c r="D875" s="8" t="str">
        <f>VLOOKUP($B875,R_DG!$A$7:$G$1305,3,0)</f>
        <v>Cáp 24KV AC/XLPE/PVC 185mm2</v>
      </c>
      <c r="E875" s="9" t="str">
        <f>VLOOKUP($B875,R_DG!$A$7:$G$1305,4,0)</f>
        <v>mét</v>
      </c>
      <c r="F875" s="123">
        <f t="shared" ca="1" si="261"/>
        <v>0</v>
      </c>
      <c r="G875" s="214">
        <f>VLOOKUP($B875,R_DG!$A$7:$G$1305,5,0)</f>
        <v>129100</v>
      </c>
      <c r="H875" s="214">
        <f>VLOOKUP($B875,R_DG!$A$7:$G$1305,6,0)</f>
        <v>0</v>
      </c>
      <c r="I875" s="214">
        <f>VLOOKUP($B875,R_DG!$A$7:$G$1305,7,0)</f>
        <v>0</v>
      </c>
      <c r="J875" s="214">
        <f t="shared" ca="1" si="257"/>
        <v>0</v>
      </c>
      <c r="K875" s="214">
        <f t="shared" ca="1" si="257"/>
        <v>0</v>
      </c>
      <c r="L875" s="220">
        <f t="shared" ca="1" si="257"/>
        <v>0</v>
      </c>
      <c r="M875" s="93">
        <f t="shared" ca="1" si="259"/>
        <v>0</v>
      </c>
      <c r="N875" s="331">
        <f t="shared" ca="1" si="258"/>
        <v>0</v>
      </c>
    </row>
    <row r="876" spans="1:14" ht="15">
      <c r="A876" s="87"/>
      <c r="B876" s="7" t="s">
        <v>2546</v>
      </c>
      <c r="C876" s="114">
        <f t="shared" ca="1" si="256"/>
        <v>0</v>
      </c>
      <c r="D876" s="8" t="str">
        <f>VLOOKUP($B876,R_DG!$A$7:$G$1305,3,0)</f>
        <v>Cáp 24KV AC/XLPE/PVC 240mm2</v>
      </c>
      <c r="E876" s="9" t="str">
        <f>VLOOKUP($B876,R_DG!$A$7:$G$1305,4,0)</f>
        <v>mét</v>
      </c>
      <c r="F876" s="123">
        <f t="shared" ca="1" si="261"/>
        <v>0</v>
      </c>
      <c r="G876" s="214">
        <f>VLOOKUP($B876,R_DG!$A$7:$G$1305,5,0)</f>
        <v>154900</v>
      </c>
      <c r="H876" s="214">
        <f>VLOOKUP($B876,R_DG!$A$7:$G$1305,6,0)</f>
        <v>0</v>
      </c>
      <c r="I876" s="214">
        <f>VLOOKUP($B876,R_DG!$A$7:$G$1305,7,0)</f>
        <v>0</v>
      </c>
      <c r="J876" s="214">
        <f t="shared" ca="1" si="257"/>
        <v>0</v>
      </c>
      <c r="K876" s="214">
        <f t="shared" ca="1" si="257"/>
        <v>0</v>
      </c>
      <c r="L876" s="220">
        <f t="shared" ca="1" si="257"/>
        <v>0</v>
      </c>
      <c r="M876" s="93">
        <f t="shared" ca="1" si="259"/>
        <v>0</v>
      </c>
      <c r="N876" s="331">
        <f t="shared" ca="1" si="258"/>
        <v>0</v>
      </c>
    </row>
    <row r="877" spans="1:14" ht="15">
      <c r="A877" s="87"/>
      <c r="B877" s="7" t="s">
        <v>201</v>
      </c>
      <c r="C877" s="114">
        <f t="shared" ca="1" si="256"/>
        <v>0</v>
      </c>
      <c r="D877" s="8" t="str">
        <f>VLOOKUP($B877,R_DG!$A$7:$G$1305,3,0)</f>
        <v>Cáp 24KV C/XLPE/PVC 50mm2</v>
      </c>
      <c r="E877" s="9" t="str">
        <f>VLOOKUP($B877,R_DG!$A$7:$G$1305,4,0)</f>
        <v>mét</v>
      </c>
      <c r="F877" s="123">
        <f t="shared" ca="1" si="261"/>
        <v>0</v>
      </c>
      <c r="G877" s="214">
        <f>VLOOKUP($B877,R_DG!$A$7:$G$1305,5,0)</f>
        <v>91500</v>
      </c>
      <c r="H877" s="214">
        <f>VLOOKUP($B877,R_DG!$A$7:$G$1305,6,0)</f>
        <v>0</v>
      </c>
      <c r="I877" s="214">
        <f>VLOOKUP($B877,R_DG!$A$7:$G$1305,7,0)</f>
        <v>0</v>
      </c>
      <c r="J877" s="214">
        <f t="shared" ca="1" si="257"/>
        <v>0</v>
      </c>
      <c r="K877" s="214">
        <f t="shared" ca="1" si="257"/>
        <v>0</v>
      </c>
      <c r="L877" s="220">
        <f t="shared" ca="1" si="257"/>
        <v>0</v>
      </c>
      <c r="M877" s="93">
        <f t="shared" ca="1" si="259"/>
        <v>0</v>
      </c>
      <c r="N877" s="331">
        <f t="shared" ca="1" si="258"/>
        <v>0</v>
      </c>
    </row>
    <row r="878" spans="1:14" ht="15">
      <c r="A878" s="87"/>
      <c r="B878" s="7" t="s">
        <v>203</v>
      </c>
      <c r="C878" s="114">
        <f t="shared" ca="1" si="256"/>
        <v>0</v>
      </c>
      <c r="D878" s="8" t="str">
        <f>VLOOKUP($B878,R_DG!$A$7:$G$1305,3,0)</f>
        <v>Cáp 24KV C/XLPE/PVC 70mm2</v>
      </c>
      <c r="E878" s="9" t="str">
        <f>VLOOKUP($B878,R_DG!$A$7:$G$1305,4,0)</f>
        <v>mét</v>
      </c>
      <c r="F878" s="123">
        <f t="shared" ca="1" si="261"/>
        <v>0</v>
      </c>
      <c r="G878" s="214">
        <f>VLOOKUP($B878,R_DG!$A$7:$G$1305,5,0)</f>
        <v>121900</v>
      </c>
      <c r="H878" s="214">
        <f>VLOOKUP($B878,R_DG!$A$7:$G$1305,6,0)</f>
        <v>0</v>
      </c>
      <c r="I878" s="214">
        <f>VLOOKUP($B878,R_DG!$A$7:$G$1305,7,0)</f>
        <v>0</v>
      </c>
      <c r="J878" s="214">
        <f t="shared" ca="1" si="257"/>
        <v>0</v>
      </c>
      <c r="K878" s="214">
        <f t="shared" ca="1" si="257"/>
        <v>0</v>
      </c>
      <c r="L878" s="220">
        <f t="shared" ca="1" si="257"/>
        <v>0</v>
      </c>
      <c r="M878" s="93">
        <f t="shared" ca="1" si="259"/>
        <v>0</v>
      </c>
      <c r="N878" s="331">
        <f t="shared" ca="1" si="258"/>
        <v>0</v>
      </c>
    </row>
    <row r="879" spans="1:14" ht="15">
      <c r="A879" s="87"/>
      <c r="B879" s="7" t="s">
        <v>205</v>
      </c>
      <c r="C879" s="114">
        <f t="shared" ca="1" si="256"/>
        <v>0</v>
      </c>
      <c r="D879" s="8" t="str">
        <f>VLOOKUP($B879,R_DG!$A$7:$G$1305,3,0)</f>
        <v>Cáp 24KV C/XLPE/PVC 95mm2</v>
      </c>
      <c r="E879" s="9" t="str">
        <f>VLOOKUP($B879,R_DG!$A$7:$G$1305,4,0)</f>
        <v>mét</v>
      </c>
      <c r="F879" s="123">
        <f t="shared" ca="1" si="261"/>
        <v>0</v>
      </c>
      <c r="G879" s="214">
        <f>VLOOKUP($B879,R_DG!$A$7:$G$1305,5,0)</f>
        <v>163800</v>
      </c>
      <c r="H879" s="214">
        <f>VLOOKUP($B879,R_DG!$A$7:$G$1305,6,0)</f>
        <v>0</v>
      </c>
      <c r="I879" s="214">
        <f>VLOOKUP($B879,R_DG!$A$7:$G$1305,7,0)</f>
        <v>0</v>
      </c>
      <c r="J879" s="214">
        <f t="shared" ca="1" si="257"/>
        <v>0</v>
      </c>
      <c r="K879" s="214">
        <f t="shared" ca="1" si="257"/>
        <v>0</v>
      </c>
      <c r="L879" s="220">
        <f t="shared" ca="1" si="257"/>
        <v>0</v>
      </c>
      <c r="M879" s="93">
        <f t="shared" ca="1" si="259"/>
        <v>0</v>
      </c>
      <c r="N879" s="331">
        <f t="shared" ca="1" si="258"/>
        <v>0</v>
      </c>
    </row>
    <row r="880" spans="1:14" ht="15">
      <c r="A880" s="87"/>
      <c r="B880" s="7" t="s">
        <v>207</v>
      </c>
      <c r="C880" s="114">
        <f t="shared" ca="1" si="256"/>
        <v>0</v>
      </c>
      <c r="D880" s="8" t="str">
        <f>VLOOKUP($B880,R_DG!$A$7:$G$1305,3,0)</f>
        <v>Cáp 24KV C/XLPE/PVC 120mm2</v>
      </c>
      <c r="E880" s="9" t="str">
        <f>VLOOKUP($B880,R_DG!$A$7:$G$1305,4,0)</f>
        <v>mét</v>
      </c>
      <c r="F880" s="123">
        <f t="shared" ca="1" si="261"/>
        <v>0</v>
      </c>
      <c r="G880" s="214">
        <f>VLOOKUP($B880,R_DG!$A$7:$G$1305,5,0)</f>
        <v>198900</v>
      </c>
      <c r="H880" s="214">
        <f>VLOOKUP($B880,R_DG!$A$7:$G$1305,6,0)</f>
        <v>0</v>
      </c>
      <c r="I880" s="214">
        <f>VLOOKUP($B880,R_DG!$A$7:$G$1305,7,0)</f>
        <v>0</v>
      </c>
      <c r="J880" s="214">
        <f t="shared" ca="1" si="257"/>
        <v>0</v>
      </c>
      <c r="K880" s="214">
        <f t="shared" ca="1" si="257"/>
        <v>0</v>
      </c>
      <c r="L880" s="220">
        <f t="shared" ca="1" si="257"/>
        <v>0</v>
      </c>
      <c r="M880" s="93">
        <f t="shared" ca="1" si="259"/>
        <v>0</v>
      </c>
      <c r="N880" s="331">
        <f t="shared" ca="1" si="258"/>
        <v>0</v>
      </c>
    </row>
    <row r="881" spans="1:14" ht="15">
      <c r="A881" s="87"/>
      <c r="B881" s="7" t="s">
        <v>209</v>
      </c>
      <c r="C881" s="114">
        <f t="shared" ca="1" si="256"/>
        <v>0</v>
      </c>
      <c r="D881" s="8" t="str">
        <f>VLOOKUP($B881,R_DG!$A$7:$G$1305,3,0)</f>
        <v>Cáp 24KV C/XLPE/PVC 150mm2</v>
      </c>
      <c r="E881" s="9" t="str">
        <f>VLOOKUP($B881,R_DG!$A$7:$G$1305,4,0)</f>
        <v>mét</v>
      </c>
      <c r="F881" s="123">
        <f t="shared" ca="1" si="261"/>
        <v>0</v>
      </c>
      <c r="G881" s="214">
        <f>VLOOKUP($B881,R_DG!$A$7:$G$1305,5,0)</f>
        <v>257400</v>
      </c>
      <c r="H881" s="214">
        <f>VLOOKUP($B881,R_DG!$A$7:$G$1305,6,0)</f>
        <v>0</v>
      </c>
      <c r="I881" s="214">
        <f>VLOOKUP($B881,R_DG!$A$7:$G$1305,7,0)</f>
        <v>0</v>
      </c>
      <c r="J881" s="214">
        <f t="shared" ca="1" si="257"/>
        <v>0</v>
      </c>
      <c r="K881" s="214">
        <f t="shared" ca="1" si="257"/>
        <v>0</v>
      </c>
      <c r="L881" s="220">
        <f t="shared" ca="1" si="257"/>
        <v>0</v>
      </c>
      <c r="M881" s="93">
        <f t="shared" ca="1" si="259"/>
        <v>0</v>
      </c>
      <c r="N881" s="331">
        <f t="shared" ca="1" si="258"/>
        <v>0</v>
      </c>
    </row>
    <row r="882" spans="1:14" ht="15">
      <c r="A882" s="87"/>
      <c r="B882" s="7" t="s">
        <v>211</v>
      </c>
      <c r="C882" s="114">
        <f t="shared" ca="1" si="256"/>
        <v>0</v>
      </c>
      <c r="D882" s="8" t="str">
        <f>VLOOKUP($B882,R_DG!$A$7:$G$1305,3,0)</f>
        <v>Cáp 24KV C/XLPE/PVC 185mm2</v>
      </c>
      <c r="E882" s="9" t="str">
        <f>VLOOKUP($B882,R_DG!$A$7:$G$1305,4,0)</f>
        <v>mét</v>
      </c>
      <c r="F882" s="123">
        <f t="shared" ca="1" si="261"/>
        <v>0</v>
      </c>
      <c r="G882" s="214">
        <f>VLOOKUP($B882,R_DG!$A$7:$G$1305,5,0)</f>
        <v>305700</v>
      </c>
      <c r="H882" s="214">
        <f>VLOOKUP($B882,R_DG!$A$7:$G$1305,6,0)</f>
        <v>0</v>
      </c>
      <c r="I882" s="214">
        <f>VLOOKUP($B882,R_DG!$A$7:$G$1305,7,0)</f>
        <v>0</v>
      </c>
      <c r="J882" s="214">
        <f t="shared" ca="1" si="257"/>
        <v>0</v>
      </c>
      <c r="K882" s="214">
        <f t="shared" ca="1" si="257"/>
        <v>0</v>
      </c>
      <c r="L882" s="220">
        <f t="shared" ca="1" si="257"/>
        <v>0</v>
      </c>
      <c r="M882" s="93">
        <f t="shared" ca="1" si="259"/>
        <v>0</v>
      </c>
      <c r="N882" s="331">
        <f t="shared" ca="1" si="258"/>
        <v>0</v>
      </c>
    </row>
    <row r="883" spans="1:14" ht="15">
      <c r="A883" s="87"/>
      <c r="B883" s="7" t="s">
        <v>213</v>
      </c>
      <c r="C883" s="114">
        <f t="shared" ca="1" si="256"/>
        <v>0</v>
      </c>
      <c r="D883" s="8" t="str">
        <f>VLOOKUP($B883,R_DG!$A$7:$G$1305,3,0)</f>
        <v>Cáp 24KV C/XLPE/PVC 240mm2</v>
      </c>
      <c r="E883" s="9" t="str">
        <f>VLOOKUP($B883,R_DG!$A$7:$G$1305,4,0)</f>
        <v>mét</v>
      </c>
      <c r="F883" s="123">
        <f t="shared" ca="1" si="261"/>
        <v>0</v>
      </c>
      <c r="G883" s="214">
        <f>VLOOKUP($B883,R_DG!$A$7:$G$1305,5,0)</f>
        <v>397300</v>
      </c>
      <c r="H883" s="214">
        <f>VLOOKUP($B883,R_DG!$A$7:$G$1305,6,0)</f>
        <v>0</v>
      </c>
      <c r="I883" s="214">
        <f>VLOOKUP($B883,R_DG!$A$7:$G$1305,7,0)</f>
        <v>0</v>
      </c>
      <c r="J883" s="214">
        <f t="shared" ca="1" si="257"/>
        <v>0</v>
      </c>
      <c r="K883" s="214">
        <f t="shared" ca="1" si="257"/>
        <v>0</v>
      </c>
      <c r="L883" s="220">
        <f t="shared" ca="1" si="257"/>
        <v>0</v>
      </c>
      <c r="M883" s="93">
        <f t="shared" ca="1" si="259"/>
        <v>0</v>
      </c>
      <c r="N883" s="331">
        <f t="shared" ca="1" si="258"/>
        <v>0</v>
      </c>
    </row>
    <row r="884" spans="1:14" ht="15.75">
      <c r="A884" s="87"/>
      <c r="B884" s="2" t="s">
        <v>3247</v>
      </c>
      <c r="C884" s="114">
        <f t="shared" ca="1" si="256"/>
        <v>0</v>
      </c>
      <c r="D884" s="8" t="str">
        <f>VLOOKUP($B884,R_DG!$A$7:$G$1305,3,0)</f>
        <v>Cáp nhôm ABC 2x16mm2</v>
      </c>
      <c r="E884" s="9" t="str">
        <f>VLOOKUP($B884,R_DG!$A$7:$G$1305,4,0)</f>
        <v>mét</v>
      </c>
      <c r="F884" s="123">
        <f ca="1">C884*1.02</f>
        <v>0</v>
      </c>
      <c r="G884" s="214">
        <f>VLOOKUP($B884,R_DG!$A$7:$G$1305,5,0)</f>
        <v>13650</v>
      </c>
      <c r="H884" s="214">
        <f>VLOOKUP($B884,R_DG!$A$7:$G$1305,6,0)</f>
        <v>0</v>
      </c>
      <c r="I884" s="214">
        <f>VLOOKUP($B884,R_DG!$A$7:$G$1305,7,0)</f>
        <v>0</v>
      </c>
      <c r="J884" s="214">
        <f t="shared" ref="J884:L887" ca="1" si="262">G884*$F884</f>
        <v>0</v>
      </c>
      <c r="K884" s="214">
        <f t="shared" ca="1" si="262"/>
        <v>0</v>
      </c>
      <c r="L884" s="220">
        <f t="shared" ca="1" si="262"/>
        <v>0</v>
      </c>
      <c r="M884" s="93">
        <f ca="1">IF(F884&gt;0,M$862,0)</f>
        <v>0</v>
      </c>
      <c r="N884" s="331">
        <f t="shared" ca="1" si="258"/>
        <v>0</v>
      </c>
    </row>
    <row r="885" spans="1:14" ht="15.75">
      <c r="A885" s="87"/>
      <c r="B885" s="2" t="s">
        <v>3249</v>
      </c>
      <c r="C885" s="114">
        <f t="shared" ca="1" si="256"/>
        <v>0</v>
      </c>
      <c r="D885" s="8" t="str">
        <f>VLOOKUP($B885,R_DG!$A$7:$G$1305,3,0)</f>
        <v>Cáp nhôm ABC 2x25mm2</v>
      </c>
      <c r="E885" s="9" t="str">
        <f>VLOOKUP($B885,R_DG!$A$7:$G$1305,4,0)</f>
        <v>mét</v>
      </c>
      <c r="F885" s="123">
        <f ca="1">C885*1.02</f>
        <v>0</v>
      </c>
      <c r="G885" s="214">
        <f>VLOOKUP($B885,R_DG!$A$7:$G$1305,5,0)</f>
        <v>18320</v>
      </c>
      <c r="H885" s="214">
        <f>VLOOKUP($B885,R_DG!$A$7:$G$1305,6,0)</f>
        <v>0</v>
      </c>
      <c r="I885" s="214">
        <f>VLOOKUP($B885,R_DG!$A$7:$G$1305,7,0)</f>
        <v>0</v>
      </c>
      <c r="J885" s="214">
        <f t="shared" ca="1" si="262"/>
        <v>0</v>
      </c>
      <c r="K885" s="214">
        <f t="shared" ca="1" si="262"/>
        <v>0</v>
      </c>
      <c r="L885" s="220">
        <f t="shared" ca="1" si="262"/>
        <v>0</v>
      </c>
      <c r="M885" s="93">
        <f ca="1">IF(F885&gt;0,M$862,0)</f>
        <v>0</v>
      </c>
      <c r="N885" s="331">
        <f t="shared" ca="1" si="258"/>
        <v>0</v>
      </c>
    </row>
    <row r="886" spans="1:14" ht="15.75">
      <c r="A886" s="87"/>
      <c r="B886" s="2" t="s">
        <v>3248</v>
      </c>
      <c r="C886" s="114">
        <f t="shared" ca="1" si="256"/>
        <v>0</v>
      </c>
      <c r="D886" s="8" t="str">
        <f>VLOOKUP($B886,R_DG!$A$7:$G$1305,3,0)</f>
        <v>Cáp nhôm ABC 3x16mm2</v>
      </c>
      <c r="E886" s="9" t="str">
        <f>VLOOKUP($B886,R_DG!$A$7:$G$1305,4,0)</f>
        <v>mét</v>
      </c>
      <c r="F886" s="123">
        <f ca="1">C886*1.02</f>
        <v>0</v>
      </c>
      <c r="G886" s="214">
        <f>VLOOKUP($B886,R_DG!$A$7:$G$1305,5,0)</f>
        <v>19700</v>
      </c>
      <c r="H886" s="214">
        <f>VLOOKUP($B886,R_DG!$A$7:$G$1305,6,0)</f>
        <v>0</v>
      </c>
      <c r="I886" s="214">
        <f>VLOOKUP($B886,R_DG!$A$7:$G$1305,7,0)</f>
        <v>0</v>
      </c>
      <c r="J886" s="214">
        <f t="shared" ca="1" si="262"/>
        <v>0</v>
      </c>
      <c r="K886" s="214">
        <f t="shared" ca="1" si="262"/>
        <v>0</v>
      </c>
      <c r="L886" s="220">
        <f t="shared" ca="1" si="262"/>
        <v>0</v>
      </c>
      <c r="M886" s="93">
        <f ca="1">IF(F886&gt;0,M$862,0)</f>
        <v>0</v>
      </c>
      <c r="N886" s="331">
        <f t="shared" ca="1" si="258"/>
        <v>0</v>
      </c>
    </row>
    <row r="887" spans="1:14" ht="15.75">
      <c r="A887" s="87"/>
      <c r="B887" s="2" t="s">
        <v>3245</v>
      </c>
      <c r="C887" s="114">
        <f t="shared" ca="1" si="256"/>
        <v>0</v>
      </c>
      <c r="D887" s="8" t="str">
        <f>VLOOKUP($B887,R_DG!$A$7:$G$1305,3,0)</f>
        <v>Cáp nhôm ABC 3x25mm2</v>
      </c>
      <c r="E887" s="9" t="str">
        <f>VLOOKUP($B887,R_DG!$A$7:$G$1305,4,0)</f>
        <v>mét</v>
      </c>
      <c r="F887" s="123">
        <f ca="1">C887*1.02</f>
        <v>0</v>
      </c>
      <c r="G887" s="214">
        <f>VLOOKUP($B887,R_DG!$A$7:$G$1305,5,0)</f>
        <v>26700</v>
      </c>
      <c r="H887" s="214">
        <f>VLOOKUP($B887,R_DG!$A$7:$G$1305,6,0)</f>
        <v>0</v>
      </c>
      <c r="I887" s="214">
        <f>VLOOKUP($B887,R_DG!$A$7:$G$1305,7,0)</f>
        <v>0</v>
      </c>
      <c r="J887" s="214">
        <f t="shared" ca="1" si="262"/>
        <v>0</v>
      </c>
      <c r="K887" s="214">
        <f t="shared" ca="1" si="262"/>
        <v>0</v>
      </c>
      <c r="L887" s="220">
        <f t="shared" ca="1" si="262"/>
        <v>0</v>
      </c>
      <c r="M887" s="93">
        <f ca="1">IF(F887&gt;0,M$862,0)</f>
        <v>0</v>
      </c>
      <c r="N887" s="331">
        <f t="shared" ca="1" si="258"/>
        <v>0</v>
      </c>
    </row>
    <row r="888" spans="1:14" ht="15">
      <c r="A888" s="87"/>
      <c r="B888" s="7" t="s">
        <v>320</v>
      </c>
      <c r="C888" s="114">
        <f t="shared" ca="1" si="256"/>
        <v>0</v>
      </c>
      <c r="D888" s="8" t="str">
        <f>VLOOKUP($B888,R_DG!$A$7:$G$1305,3,0)</f>
        <v>Cáp nhôm ABC 4x70mm2</v>
      </c>
      <c r="E888" s="9" t="str">
        <f>VLOOKUP($B888,R_DG!$A$7:$G$1305,4,0)</f>
        <v>mét</v>
      </c>
      <c r="F888" s="123">
        <f t="shared" ca="1" si="261"/>
        <v>0</v>
      </c>
      <c r="G888" s="214">
        <f>VLOOKUP($B888,R_DG!$A$7:$G$1305,5,0)</f>
        <v>94300</v>
      </c>
      <c r="H888" s="214">
        <f>VLOOKUP($B888,R_DG!$A$7:$G$1305,6,0)</f>
        <v>0</v>
      </c>
      <c r="I888" s="214">
        <f>VLOOKUP($B888,R_DG!$A$7:$G$1305,7,0)</f>
        <v>0</v>
      </c>
      <c r="J888" s="214">
        <f t="shared" ca="1" si="257"/>
        <v>0</v>
      </c>
      <c r="K888" s="214">
        <f t="shared" ca="1" si="257"/>
        <v>0</v>
      </c>
      <c r="L888" s="220">
        <f t="shared" ca="1" si="257"/>
        <v>0</v>
      </c>
      <c r="M888" s="93">
        <f t="shared" ca="1" si="259"/>
        <v>0</v>
      </c>
      <c r="N888" s="331">
        <f t="shared" ca="1" si="258"/>
        <v>0</v>
      </c>
    </row>
    <row r="889" spans="1:14" ht="15">
      <c r="A889" s="87"/>
      <c r="B889" s="7" t="s">
        <v>323</v>
      </c>
      <c r="C889" s="114">
        <f t="shared" ca="1" si="256"/>
        <v>50</v>
      </c>
      <c r="D889" s="8" t="str">
        <f>VLOOKUP($B889,R_DG!$A$7:$G$1305,3,0)</f>
        <v>Cáp nhôm ABC 4x95mm2</v>
      </c>
      <c r="E889" s="9" t="str">
        <f>VLOOKUP($B889,R_DG!$A$7:$G$1305,4,0)</f>
        <v>mét</v>
      </c>
      <c r="F889" s="123">
        <f t="shared" ca="1" si="261"/>
        <v>51</v>
      </c>
      <c r="G889" s="214">
        <f>VLOOKUP($B889,R_DG!$A$7:$G$1305,5,0)</f>
        <v>126000</v>
      </c>
      <c r="H889" s="214">
        <f>VLOOKUP($B889,R_DG!$A$7:$G$1305,6,0)</f>
        <v>0</v>
      </c>
      <c r="I889" s="214">
        <f>VLOOKUP($B889,R_DG!$A$7:$G$1305,7,0)</f>
        <v>0</v>
      </c>
      <c r="J889" s="214">
        <f t="shared" ca="1" si="257"/>
        <v>6426000</v>
      </c>
      <c r="K889" s="214">
        <f t="shared" ca="1" si="257"/>
        <v>0</v>
      </c>
      <c r="L889" s="220">
        <f t="shared" ca="1" si="257"/>
        <v>0</v>
      </c>
      <c r="M889" s="93">
        <f t="shared" ca="1" si="259"/>
        <v>1</v>
      </c>
      <c r="N889" s="331">
        <f t="shared" ca="1" si="258"/>
        <v>51</v>
      </c>
    </row>
    <row r="890" spans="1:14" ht="15">
      <c r="A890" s="87"/>
      <c r="B890" s="7" t="s">
        <v>327</v>
      </c>
      <c r="C890" s="114">
        <f t="shared" ca="1" si="256"/>
        <v>0</v>
      </c>
      <c r="D890" s="8" t="str">
        <f>VLOOKUP($B890,R_DG!$A$7:$G$1305,3,0)</f>
        <v>Cáp nhôm ABC 4x120mm2</v>
      </c>
      <c r="E890" s="9" t="str">
        <f>VLOOKUP($B890,R_DG!$A$7:$G$1305,4,0)</f>
        <v>mét</v>
      </c>
      <c r="F890" s="123">
        <f t="shared" ca="1" si="261"/>
        <v>0</v>
      </c>
      <c r="G890" s="214">
        <f>VLOOKUP($B890,R_DG!$A$7:$G$1305,5,0)</f>
        <v>162000</v>
      </c>
      <c r="H890" s="214">
        <f>VLOOKUP($B890,R_DG!$A$7:$G$1305,6,0)</f>
        <v>0</v>
      </c>
      <c r="I890" s="214">
        <f>VLOOKUP($B890,R_DG!$A$7:$G$1305,7,0)</f>
        <v>0</v>
      </c>
      <c r="J890" s="214">
        <f t="shared" ca="1" si="257"/>
        <v>0</v>
      </c>
      <c r="K890" s="214">
        <f t="shared" ca="1" si="257"/>
        <v>0</v>
      </c>
      <c r="L890" s="220">
        <f t="shared" ca="1" si="257"/>
        <v>0</v>
      </c>
      <c r="M890" s="93">
        <f t="shared" ca="1" si="259"/>
        <v>0</v>
      </c>
      <c r="N890" s="331">
        <f t="shared" ca="1" si="258"/>
        <v>0</v>
      </c>
    </row>
    <row r="891" spans="1:14" ht="15">
      <c r="A891" s="87"/>
      <c r="B891" s="7" t="s">
        <v>329</v>
      </c>
      <c r="C891" s="114">
        <f t="shared" ca="1" si="256"/>
        <v>0</v>
      </c>
      <c r="D891" s="8" t="str">
        <f>VLOOKUP($B891,R_DG!$A$7:$G$1305,3,0)</f>
        <v>Cáp nhôm ABC 4x150mm2</v>
      </c>
      <c r="E891" s="9" t="str">
        <f>VLOOKUP($B891,R_DG!$A$7:$G$1305,4,0)</f>
        <v>mét</v>
      </c>
      <c r="F891" s="123">
        <f t="shared" ca="1" si="261"/>
        <v>0</v>
      </c>
      <c r="G891" s="214">
        <f>VLOOKUP($B891,R_DG!$A$7:$G$1305,5,0)</f>
        <v>195300</v>
      </c>
      <c r="H891" s="214">
        <f>VLOOKUP($B891,R_DG!$A$7:$G$1305,6,0)</f>
        <v>0</v>
      </c>
      <c r="I891" s="214">
        <f>VLOOKUP($B891,R_DG!$A$7:$G$1305,7,0)</f>
        <v>0</v>
      </c>
      <c r="J891" s="214">
        <f t="shared" ca="1" si="257"/>
        <v>0</v>
      </c>
      <c r="K891" s="214">
        <f t="shared" ca="1" si="257"/>
        <v>0</v>
      </c>
      <c r="L891" s="220">
        <f t="shared" ca="1" si="257"/>
        <v>0</v>
      </c>
      <c r="M891" s="93">
        <f t="shared" ca="1" si="259"/>
        <v>0</v>
      </c>
      <c r="N891" s="331">
        <f t="shared" ca="1" si="258"/>
        <v>0</v>
      </c>
    </row>
    <row r="892" spans="1:14" ht="15">
      <c r="A892" s="87"/>
      <c r="B892" s="7" t="s">
        <v>325</v>
      </c>
      <c r="C892" s="114">
        <f t="shared" ca="1" si="256"/>
        <v>0</v>
      </c>
      <c r="D892" s="8" t="str">
        <f>VLOOKUP($B892,R_DG!$A$7:$G$1305,3,0)</f>
        <v>Cáp nhôm ABC 3x95mm2</v>
      </c>
      <c r="E892" s="9" t="str">
        <f>VLOOKUP($B892,R_DG!$A$7:$G$1305,4,0)</f>
        <v>mét</v>
      </c>
      <c r="F892" s="123">
        <f t="shared" ca="1" si="261"/>
        <v>0</v>
      </c>
      <c r="G892" s="214">
        <f>VLOOKUP($B892,R_DG!$A$7:$G$1305,5,0)</f>
        <v>95100</v>
      </c>
      <c r="H892" s="214">
        <f>VLOOKUP($B892,R_DG!$A$7:$G$1305,6,0)</f>
        <v>0</v>
      </c>
      <c r="I892" s="214">
        <f>VLOOKUP($B892,R_DG!$A$7:$G$1305,7,0)</f>
        <v>0</v>
      </c>
      <c r="J892" s="214">
        <f t="shared" ca="1" si="257"/>
        <v>0</v>
      </c>
      <c r="K892" s="214">
        <f t="shared" ca="1" si="257"/>
        <v>0</v>
      </c>
      <c r="L892" s="220">
        <f t="shared" ca="1" si="257"/>
        <v>0</v>
      </c>
      <c r="M892" s="93">
        <f t="shared" ca="1" si="259"/>
        <v>0</v>
      </c>
      <c r="N892" s="331">
        <f t="shared" ca="1" si="258"/>
        <v>0</v>
      </c>
    </row>
    <row r="893" spans="1:14" ht="15">
      <c r="A893" s="87"/>
      <c r="B893" s="7" t="s">
        <v>2539</v>
      </c>
      <c r="C893" s="114">
        <f t="shared" ca="1" si="256"/>
        <v>0</v>
      </c>
      <c r="D893" s="8" t="str">
        <f>VLOOKUP($B893,R_DG!$A$7:$G$1305,3,0)</f>
        <v>Cáp nhôm ABC 3x120mm2</v>
      </c>
      <c r="E893" s="9" t="str">
        <f>VLOOKUP($B893,R_DG!$A$7:$G$1305,4,0)</f>
        <v>mét</v>
      </c>
      <c r="F893" s="123">
        <f t="shared" ca="1" si="261"/>
        <v>0</v>
      </c>
      <c r="G893" s="214">
        <f>VLOOKUP($B893,R_DG!$A$7:$G$1305,5,0)</f>
        <v>92000</v>
      </c>
      <c r="H893" s="214">
        <f>VLOOKUP($B893,R_DG!$A$7:$G$1305,6,0)</f>
        <v>0</v>
      </c>
      <c r="I893" s="214">
        <f>VLOOKUP($B893,R_DG!$A$7:$G$1305,7,0)</f>
        <v>0</v>
      </c>
      <c r="J893" s="214">
        <f t="shared" ca="1" si="257"/>
        <v>0</v>
      </c>
      <c r="K893" s="214">
        <f t="shared" ca="1" si="257"/>
        <v>0</v>
      </c>
      <c r="L893" s="220">
        <f t="shared" ca="1" si="257"/>
        <v>0</v>
      </c>
      <c r="M893" s="93">
        <f t="shared" ca="1" si="259"/>
        <v>0</v>
      </c>
      <c r="N893" s="331">
        <f t="shared" ca="1" si="258"/>
        <v>0</v>
      </c>
    </row>
    <row r="894" spans="1:14" ht="15">
      <c r="A894" s="87"/>
      <c r="B894" s="7" t="s">
        <v>2540</v>
      </c>
      <c r="C894" s="114">
        <f t="shared" ca="1" si="256"/>
        <v>0</v>
      </c>
      <c r="D894" s="8" t="str">
        <f>VLOOKUP($B894,R_DG!$A$7:$G$1305,3,0)</f>
        <v>Cáp nhôm ABC 3x150mm2</v>
      </c>
      <c r="E894" s="9" t="str">
        <f>VLOOKUP($B894,R_DG!$A$7:$G$1305,4,0)</f>
        <v>mét</v>
      </c>
      <c r="F894" s="123">
        <f t="shared" ca="1" si="261"/>
        <v>0</v>
      </c>
      <c r="G894" s="214">
        <f>VLOOKUP($B894,R_DG!$A$7:$G$1305,5,0)</f>
        <v>147300</v>
      </c>
      <c r="H894" s="214">
        <f>VLOOKUP($B894,R_DG!$A$7:$G$1305,6,0)</f>
        <v>0</v>
      </c>
      <c r="I894" s="214">
        <f>VLOOKUP($B894,R_DG!$A$7:$G$1305,7,0)</f>
        <v>0</v>
      </c>
      <c r="J894" s="214">
        <f t="shared" ca="1" si="257"/>
        <v>0</v>
      </c>
      <c r="K894" s="214">
        <f t="shared" ca="1" si="257"/>
        <v>0</v>
      </c>
      <c r="L894" s="220">
        <f t="shared" ca="1" si="257"/>
        <v>0</v>
      </c>
      <c r="M894" s="93">
        <f t="shared" ca="1" si="259"/>
        <v>0</v>
      </c>
      <c r="N894" s="331">
        <f t="shared" ca="1" si="258"/>
        <v>0</v>
      </c>
    </row>
    <row r="895" spans="1:14" ht="15">
      <c r="A895" s="87"/>
      <c r="B895" s="7" t="s">
        <v>3095</v>
      </c>
      <c r="C895" s="114">
        <f t="shared" ref="C895:C919" ca="1" si="263">SUMIF(maBK,B895,tongBK1)</f>
        <v>0</v>
      </c>
      <c r="D895" s="8" t="str">
        <f>VLOOKUP($B895,R_DG!$A$7:$G$1305,3,0)</f>
        <v>Cáp nhôm bọc AV50</v>
      </c>
      <c r="E895" s="9" t="str">
        <f>VLOOKUP($B895,R_DG!$A$7:$G$1305,4,0)</f>
        <v>mét</v>
      </c>
      <c r="F895" s="123">
        <f t="shared" ca="1" si="261"/>
        <v>0</v>
      </c>
      <c r="G895" s="214">
        <f>VLOOKUP($B895,R_DG!$A$7:$G$1305,5,0)</f>
        <v>10520</v>
      </c>
      <c r="H895" s="214">
        <f>VLOOKUP($B895,R_DG!$A$7:$G$1305,6,0)</f>
        <v>0</v>
      </c>
      <c r="I895" s="214">
        <f>VLOOKUP($B895,R_DG!$A$7:$G$1305,7,0)</f>
        <v>0</v>
      </c>
      <c r="J895" s="214">
        <f t="shared" ca="1" si="257"/>
        <v>0</v>
      </c>
      <c r="K895" s="214">
        <f t="shared" ca="1" si="257"/>
        <v>0</v>
      </c>
      <c r="L895" s="220">
        <f t="shared" ca="1" si="257"/>
        <v>0</v>
      </c>
      <c r="M895" s="93">
        <f t="shared" ca="1" si="259"/>
        <v>0</v>
      </c>
      <c r="N895" s="331">
        <f t="shared" ref="N895:N926" ca="1" si="264">$F895</f>
        <v>0</v>
      </c>
    </row>
    <row r="896" spans="1:14" ht="15">
      <c r="A896" s="87"/>
      <c r="B896" s="7" t="s">
        <v>3096</v>
      </c>
      <c r="C896" s="114">
        <f t="shared" ca="1" si="263"/>
        <v>0</v>
      </c>
      <c r="D896" s="8" t="str">
        <f>VLOOKUP($B896,R_DG!$A$7:$G$1305,3,0)</f>
        <v>Cáp nhôm bọc AV70</v>
      </c>
      <c r="E896" s="9" t="str">
        <f>VLOOKUP($B896,R_DG!$A$7:$G$1305,4,0)</f>
        <v>mét</v>
      </c>
      <c r="F896" s="123">
        <f t="shared" ca="1" si="261"/>
        <v>0</v>
      </c>
      <c r="G896" s="214">
        <f>VLOOKUP($B896,R_DG!$A$7:$G$1305,5,0)</f>
        <v>14240</v>
      </c>
      <c r="H896" s="214">
        <f>VLOOKUP($B896,R_DG!$A$7:$G$1305,6,0)</f>
        <v>0</v>
      </c>
      <c r="I896" s="214">
        <f>VLOOKUP($B896,R_DG!$A$7:$G$1305,7,0)</f>
        <v>0</v>
      </c>
      <c r="J896" s="214">
        <f t="shared" ca="1" si="257"/>
        <v>0</v>
      </c>
      <c r="K896" s="214">
        <f t="shared" ca="1" si="257"/>
        <v>0</v>
      </c>
      <c r="L896" s="220">
        <f t="shared" ca="1" si="257"/>
        <v>0</v>
      </c>
      <c r="M896" s="93">
        <f t="shared" ca="1" si="259"/>
        <v>0</v>
      </c>
      <c r="N896" s="331">
        <f t="shared" ca="1" si="264"/>
        <v>0</v>
      </c>
    </row>
    <row r="897" spans="1:14" ht="15">
      <c r="A897" s="87"/>
      <c r="B897" s="7" t="s">
        <v>3097</v>
      </c>
      <c r="C897" s="114">
        <f t="shared" ca="1" si="263"/>
        <v>0</v>
      </c>
      <c r="D897" s="8" t="str">
        <f>VLOOKUP($B897,R_DG!$A$7:$G$1305,3,0)</f>
        <v>Cáp nhôm bọc AV95</v>
      </c>
      <c r="E897" s="9" t="str">
        <f>VLOOKUP($B897,R_DG!$A$7:$G$1305,4,0)</f>
        <v>mét</v>
      </c>
      <c r="F897" s="123">
        <f t="shared" ca="1" si="261"/>
        <v>0</v>
      </c>
      <c r="G897" s="214">
        <f>VLOOKUP($B897,R_DG!$A$7:$G$1305,5,0)</f>
        <v>19460</v>
      </c>
      <c r="H897" s="214">
        <f>VLOOKUP($B897,R_DG!$A$7:$G$1305,6,0)</f>
        <v>0</v>
      </c>
      <c r="I897" s="214">
        <f>VLOOKUP($B897,R_DG!$A$7:$G$1305,7,0)</f>
        <v>0</v>
      </c>
      <c r="J897" s="214">
        <f t="shared" ca="1" si="257"/>
        <v>0</v>
      </c>
      <c r="K897" s="214">
        <f t="shared" ca="1" si="257"/>
        <v>0</v>
      </c>
      <c r="L897" s="220">
        <f t="shared" ca="1" si="257"/>
        <v>0</v>
      </c>
      <c r="M897" s="93">
        <f t="shared" ca="1" si="259"/>
        <v>0</v>
      </c>
      <c r="N897" s="331">
        <f t="shared" ca="1" si="264"/>
        <v>0</v>
      </c>
    </row>
    <row r="898" spans="1:14" ht="15">
      <c r="A898" s="87"/>
      <c r="B898" s="7" t="s">
        <v>3098</v>
      </c>
      <c r="C898" s="114">
        <f t="shared" ca="1" si="263"/>
        <v>0</v>
      </c>
      <c r="D898" s="8" t="str">
        <f>VLOOKUP($B898,R_DG!$A$7:$G$1305,3,0)</f>
        <v>Cáp nhôm bọc AV120</v>
      </c>
      <c r="E898" s="9" t="str">
        <f>VLOOKUP($B898,R_DG!$A$7:$G$1305,4,0)</f>
        <v>mét</v>
      </c>
      <c r="F898" s="123">
        <f t="shared" ca="1" si="261"/>
        <v>0</v>
      </c>
      <c r="G898" s="214">
        <f>VLOOKUP($B898,R_DG!$A$7:$G$1305,5,0)</f>
        <v>23400</v>
      </c>
      <c r="H898" s="214">
        <f>VLOOKUP($B898,R_DG!$A$7:$G$1305,6,0)</f>
        <v>0</v>
      </c>
      <c r="I898" s="214">
        <f>VLOOKUP($B898,R_DG!$A$7:$G$1305,7,0)</f>
        <v>0</v>
      </c>
      <c r="J898" s="214">
        <f t="shared" ca="1" si="257"/>
        <v>0</v>
      </c>
      <c r="K898" s="214">
        <f t="shared" ca="1" si="257"/>
        <v>0</v>
      </c>
      <c r="L898" s="220">
        <f t="shared" ca="1" si="257"/>
        <v>0</v>
      </c>
      <c r="M898" s="93">
        <f t="shared" ca="1" si="259"/>
        <v>0</v>
      </c>
      <c r="N898" s="331">
        <f t="shared" ca="1" si="264"/>
        <v>0</v>
      </c>
    </row>
    <row r="899" spans="1:14" ht="15">
      <c r="A899" s="87"/>
      <c r="B899" s="7" t="s">
        <v>3099</v>
      </c>
      <c r="C899" s="114">
        <f t="shared" ca="1" si="263"/>
        <v>0</v>
      </c>
      <c r="D899" s="8" t="str">
        <f>VLOOKUP($B899,R_DG!$A$7:$G$1305,3,0)</f>
        <v>Cáp nhôm bọc AV150</v>
      </c>
      <c r="E899" s="9" t="str">
        <f>VLOOKUP($B899,R_DG!$A$7:$G$1305,4,0)</f>
        <v>mét</v>
      </c>
      <c r="F899" s="123">
        <f t="shared" ca="1" si="261"/>
        <v>0</v>
      </c>
      <c r="G899" s="214">
        <f>VLOOKUP($B899,R_DG!$A$7:$G$1305,5,0)</f>
        <v>31100</v>
      </c>
      <c r="H899" s="214">
        <f>VLOOKUP($B899,R_DG!$A$7:$G$1305,6,0)</f>
        <v>0</v>
      </c>
      <c r="I899" s="214">
        <f>VLOOKUP($B899,R_DG!$A$7:$G$1305,7,0)</f>
        <v>0</v>
      </c>
      <c r="J899" s="214">
        <f t="shared" ca="1" si="257"/>
        <v>0</v>
      </c>
      <c r="K899" s="214">
        <f t="shared" ca="1" si="257"/>
        <v>0</v>
      </c>
      <c r="L899" s="220">
        <f t="shared" ca="1" si="257"/>
        <v>0</v>
      </c>
      <c r="M899" s="93">
        <f t="shared" ca="1" si="259"/>
        <v>0</v>
      </c>
      <c r="N899" s="331">
        <f t="shared" ca="1" si="264"/>
        <v>0</v>
      </c>
    </row>
    <row r="900" spans="1:14" ht="15">
      <c r="A900" s="87"/>
      <c r="B900" s="7" t="s">
        <v>3100</v>
      </c>
      <c r="C900" s="114">
        <f t="shared" ca="1" si="263"/>
        <v>0</v>
      </c>
      <c r="D900" s="8" t="str">
        <f>VLOOKUP($B900,R_DG!$A$7:$G$1305,3,0)</f>
        <v>Cáp nhôm bọc AV185</v>
      </c>
      <c r="E900" s="9" t="str">
        <f>VLOOKUP($B900,R_DG!$A$7:$G$1305,4,0)</f>
        <v>mét</v>
      </c>
      <c r="F900" s="123">
        <f t="shared" ca="1" si="261"/>
        <v>0</v>
      </c>
      <c r="G900" s="214">
        <f>VLOOKUP($B900,R_DG!$A$7:$G$1305,5,0)</f>
        <v>37300</v>
      </c>
      <c r="H900" s="214">
        <f>VLOOKUP($B900,R_DG!$A$7:$G$1305,6,0)</f>
        <v>0</v>
      </c>
      <c r="I900" s="214">
        <f>VLOOKUP($B900,R_DG!$A$7:$G$1305,7,0)</f>
        <v>0</v>
      </c>
      <c r="J900" s="214">
        <f t="shared" ca="1" si="257"/>
        <v>0</v>
      </c>
      <c r="K900" s="214">
        <f t="shared" ca="1" si="257"/>
        <v>0</v>
      </c>
      <c r="L900" s="220">
        <f t="shared" ca="1" si="257"/>
        <v>0</v>
      </c>
      <c r="M900" s="93">
        <f t="shared" ca="1" si="259"/>
        <v>0</v>
      </c>
      <c r="N900" s="331">
        <f t="shared" ca="1" si="264"/>
        <v>0</v>
      </c>
    </row>
    <row r="901" spans="1:14" ht="15">
      <c r="A901" s="87"/>
      <c r="B901" s="7" t="s">
        <v>3101</v>
      </c>
      <c r="C901" s="114">
        <f t="shared" ca="1" si="263"/>
        <v>0</v>
      </c>
      <c r="D901" s="8" t="str">
        <f>VLOOKUP($B901,R_DG!$A$7:$G$1305,3,0)</f>
        <v>Cáp nhôm bọc AV240</v>
      </c>
      <c r="E901" s="9" t="str">
        <f>VLOOKUP($B901,R_DG!$A$7:$G$1305,4,0)</f>
        <v>mét</v>
      </c>
      <c r="F901" s="123">
        <f t="shared" ca="1" si="261"/>
        <v>0</v>
      </c>
      <c r="G901" s="214">
        <f>VLOOKUP($B901,R_DG!$A$7:$G$1305,5,0)</f>
        <v>48600</v>
      </c>
      <c r="H901" s="214">
        <f>VLOOKUP($B901,R_DG!$A$7:$G$1305,6,0)</f>
        <v>0</v>
      </c>
      <c r="I901" s="214">
        <f>VLOOKUP($B901,R_DG!$A$7:$G$1305,7,0)</f>
        <v>0</v>
      </c>
      <c r="J901" s="214">
        <f t="shared" ca="1" si="257"/>
        <v>0</v>
      </c>
      <c r="K901" s="214">
        <f t="shared" ca="1" si="257"/>
        <v>0</v>
      </c>
      <c r="L901" s="220">
        <f t="shared" ca="1" si="257"/>
        <v>0</v>
      </c>
      <c r="M901" s="93">
        <f t="shared" ca="1" si="259"/>
        <v>0</v>
      </c>
      <c r="N901" s="331">
        <f t="shared" ca="1" si="264"/>
        <v>0</v>
      </c>
    </row>
    <row r="902" spans="1:14" ht="15">
      <c r="A902" s="87"/>
      <c r="B902" s="7" t="s">
        <v>365</v>
      </c>
      <c r="C902" s="114">
        <f t="shared" ca="1" si="263"/>
        <v>0</v>
      </c>
      <c r="D902" s="8" t="str">
        <f>VLOOKUP($B902,R_DG!$A$7:$G$1305,3,0)</f>
        <v>Cáp nhôm A-50</v>
      </c>
      <c r="E902" s="9" t="str">
        <f>VLOOKUP($B902,R_DG!$A$7:$G$1305,4,0)</f>
        <v>kg</v>
      </c>
      <c r="F902" s="123">
        <f t="shared" ca="1" si="261"/>
        <v>0</v>
      </c>
      <c r="G902" s="214">
        <f>VLOOKUP($B902,R_DG!$A$7:$G$1305,5,0)</f>
        <v>93900</v>
      </c>
      <c r="H902" s="214">
        <f>VLOOKUP($B902,R_DG!$A$7:$G$1305,6,0)</f>
        <v>0</v>
      </c>
      <c r="I902" s="214">
        <f>VLOOKUP($B902,R_DG!$A$7:$G$1305,7,0)</f>
        <v>0</v>
      </c>
      <c r="J902" s="214">
        <f t="shared" ca="1" si="257"/>
        <v>0</v>
      </c>
      <c r="K902" s="214">
        <f t="shared" ca="1" si="257"/>
        <v>0</v>
      </c>
      <c r="L902" s="220">
        <f t="shared" ca="1" si="257"/>
        <v>0</v>
      </c>
      <c r="M902" s="93">
        <f t="shared" ca="1" si="259"/>
        <v>0</v>
      </c>
      <c r="N902" s="331">
        <f t="shared" ca="1" si="264"/>
        <v>0</v>
      </c>
    </row>
    <row r="903" spans="1:14" ht="15">
      <c r="A903" s="87"/>
      <c r="B903" s="7" t="s">
        <v>367</v>
      </c>
      <c r="C903" s="114">
        <f t="shared" ca="1" si="263"/>
        <v>0</v>
      </c>
      <c r="D903" s="8" t="str">
        <f>VLOOKUP($B903,R_DG!$A$7:$G$1305,3,0)</f>
        <v>Cáp nhôm A-70</v>
      </c>
      <c r="E903" s="9" t="str">
        <f>VLOOKUP($B903,R_DG!$A$7:$G$1305,4,0)</f>
        <v>kg</v>
      </c>
      <c r="F903" s="123">
        <f t="shared" ca="1" si="261"/>
        <v>0</v>
      </c>
      <c r="G903" s="214">
        <f>VLOOKUP($B903,R_DG!$A$7:$G$1305,5,0)</f>
        <v>89300</v>
      </c>
      <c r="H903" s="214">
        <f>VLOOKUP($B903,R_DG!$A$7:$G$1305,6,0)</f>
        <v>0</v>
      </c>
      <c r="I903" s="214">
        <f>VLOOKUP($B903,R_DG!$A$7:$G$1305,7,0)</f>
        <v>0</v>
      </c>
      <c r="J903" s="214">
        <f t="shared" ca="1" si="257"/>
        <v>0</v>
      </c>
      <c r="K903" s="214">
        <f t="shared" ca="1" si="257"/>
        <v>0</v>
      </c>
      <c r="L903" s="220">
        <f t="shared" ca="1" si="257"/>
        <v>0</v>
      </c>
      <c r="M903" s="93">
        <f t="shared" ca="1" si="259"/>
        <v>0</v>
      </c>
      <c r="N903" s="331">
        <f t="shared" ca="1" si="264"/>
        <v>0</v>
      </c>
    </row>
    <row r="904" spans="1:14" ht="15">
      <c r="A904" s="87"/>
      <c r="B904" s="7" t="s">
        <v>369</v>
      </c>
      <c r="C904" s="114">
        <f t="shared" ca="1" si="263"/>
        <v>0</v>
      </c>
      <c r="D904" s="8" t="str">
        <f>VLOOKUP($B904,R_DG!$A$7:$G$1305,3,0)</f>
        <v>Cáp nhôm A-95</v>
      </c>
      <c r="E904" s="9" t="str">
        <f>VLOOKUP($B904,R_DG!$A$7:$G$1305,4,0)</f>
        <v>kg</v>
      </c>
      <c r="F904" s="123">
        <f t="shared" ca="1" si="261"/>
        <v>0</v>
      </c>
      <c r="G904" s="214">
        <f>VLOOKUP($B904,R_DG!$A$7:$G$1305,5,0)</f>
        <v>89300</v>
      </c>
      <c r="H904" s="214">
        <f>VLOOKUP($B904,R_DG!$A$7:$G$1305,6,0)</f>
        <v>0</v>
      </c>
      <c r="I904" s="214">
        <f>VLOOKUP($B904,R_DG!$A$7:$G$1305,7,0)</f>
        <v>0</v>
      </c>
      <c r="J904" s="214">
        <f t="shared" ca="1" si="257"/>
        <v>0</v>
      </c>
      <c r="K904" s="214">
        <f t="shared" ca="1" si="257"/>
        <v>0</v>
      </c>
      <c r="L904" s="220">
        <f t="shared" ca="1" si="257"/>
        <v>0</v>
      </c>
      <c r="M904" s="93">
        <f t="shared" ca="1" si="259"/>
        <v>0</v>
      </c>
      <c r="N904" s="331">
        <f t="shared" ca="1" si="264"/>
        <v>0</v>
      </c>
    </row>
    <row r="905" spans="1:14" ht="15">
      <c r="A905" s="87"/>
      <c r="B905" s="7" t="s">
        <v>371</v>
      </c>
      <c r="C905" s="114">
        <f t="shared" ca="1" si="263"/>
        <v>0</v>
      </c>
      <c r="D905" s="8" t="str">
        <f>VLOOKUP($B905,R_DG!$A$7:$G$1305,3,0)</f>
        <v>Cáp nhôm A-120</v>
      </c>
      <c r="E905" s="9" t="str">
        <f>VLOOKUP($B905,R_DG!$A$7:$G$1305,4,0)</f>
        <v>kg</v>
      </c>
      <c r="F905" s="123">
        <f t="shared" ca="1" si="261"/>
        <v>0</v>
      </c>
      <c r="G905" s="214">
        <f>VLOOKUP($B905,R_DG!$A$7:$G$1305,5,0)</f>
        <v>89300</v>
      </c>
      <c r="H905" s="214">
        <f>VLOOKUP($B905,R_DG!$A$7:$G$1305,6,0)</f>
        <v>0</v>
      </c>
      <c r="I905" s="214">
        <f>VLOOKUP($B905,R_DG!$A$7:$G$1305,7,0)</f>
        <v>0</v>
      </c>
      <c r="J905" s="214">
        <f t="shared" ca="1" si="257"/>
        <v>0</v>
      </c>
      <c r="K905" s="214">
        <f t="shared" ca="1" si="257"/>
        <v>0</v>
      </c>
      <c r="L905" s="220">
        <f t="shared" ca="1" si="257"/>
        <v>0</v>
      </c>
      <c r="M905" s="93">
        <f t="shared" ca="1" si="259"/>
        <v>0</v>
      </c>
      <c r="N905" s="331">
        <f t="shared" ca="1" si="264"/>
        <v>0</v>
      </c>
    </row>
    <row r="906" spans="1:14" ht="15">
      <c r="A906" s="87"/>
      <c r="B906" s="7" t="s">
        <v>373</v>
      </c>
      <c r="C906" s="114">
        <f t="shared" ca="1" si="263"/>
        <v>0</v>
      </c>
      <c r="D906" s="8" t="str">
        <f>VLOOKUP($B906,R_DG!$A$7:$G$1305,3,0)</f>
        <v>Cáp nhôm A-150</v>
      </c>
      <c r="E906" s="9" t="str">
        <f>VLOOKUP($B906,R_DG!$A$7:$G$1305,4,0)</f>
        <v>kg</v>
      </c>
      <c r="F906" s="123">
        <f t="shared" ca="1" si="261"/>
        <v>0</v>
      </c>
      <c r="G906" s="214">
        <f>VLOOKUP($B906,R_DG!$A$7:$G$1305,5,0)</f>
        <v>89300</v>
      </c>
      <c r="H906" s="214">
        <f>VLOOKUP($B906,R_DG!$A$7:$G$1305,6,0)</f>
        <v>0</v>
      </c>
      <c r="I906" s="214">
        <f>VLOOKUP($B906,R_DG!$A$7:$G$1305,7,0)</f>
        <v>0</v>
      </c>
      <c r="J906" s="214">
        <f t="shared" ca="1" si="257"/>
        <v>0</v>
      </c>
      <c r="K906" s="214">
        <f t="shared" ca="1" si="257"/>
        <v>0</v>
      </c>
      <c r="L906" s="220">
        <f t="shared" ca="1" si="257"/>
        <v>0</v>
      </c>
      <c r="M906" s="93">
        <f t="shared" ca="1" si="259"/>
        <v>0</v>
      </c>
      <c r="N906" s="331">
        <f t="shared" ca="1" si="264"/>
        <v>0</v>
      </c>
    </row>
    <row r="907" spans="1:14" ht="15">
      <c r="A907" s="87"/>
      <c r="B907" s="7" t="s">
        <v>375</v>
      </c>
      <c r="C907" s="114">
        <f t="shared" ca="1" si="263"/>
        <v>0</v>
      </c>
      <c r="D907" s="8" t="str">
        <f>VLOOKUP($B907,R_DG!$A$7:$G$1305,3,0)</f>
        <v>Cáp nhôm A-185</v>
      </c>
      <c r="E907" s="9" t="str">
        <f>VLOOKUP($B907,R_DG!$A$7:$G$1305,4,0)</f>
        <v>kg</v>
      </c>
      <c r="F907" s="123">
        <f t="shared" ca="1" si="261"/>
        <v>0</v>
      </c>
      <c r="G907" s="214">
        <f>VLOOKUP($B907,R_DG!$A$7:$G$1305,5,0)</f>
        <v>89300</v>
      </c>
      <c r="H907" s="214">
        <f>VLOOKUP($B907,R_DG!$A$7:$G$1305,6,0)</f>
        <v>0</v>
      </c>
      <c r="I907" s="214">
        <f>VLOOKUP($B907,R_DG!$A$7:$G$1305,7,0)</f>
        <v>0</v>
      </c>
      <c r="J907" s="214">
        <f t="shared" ca="1" si="257"/>
        <v>0</v>
      </c>
      <c r="K907" s="214">
        <f t="shared" ca="1" si="257"/>
        <v>0</v>
      </c>
      <c r="L907" s="220">
        <f t="shared" ca="1" si="257"/>
        <v>0</v>
      </c>
      <c r="M907" s="93">
        <f t="shared" ca="1" si="259"/>
        <v>0</v>
      </c>
      <c r="N907" s="331">
        <f t="shared" ca="1" si="264"/>
        <v>0</v>
      </c>
    </row>
    <row r="908" spans="1:14" ht="15">
      <c r="A908" s="87"/>
      <c r="B908" s="7" t="s">
        <v>377</v>
      </c>
      <c r="C908" s="114">
        <f t="shared" ca="1" si="263"/>
        <v>0</v>
      </c>
      <c r="D908" s="8" t="str">
        <f>VLOOKUP($B908,R_DG!$A$7:$G$1305,3,0)</f>
        <v>Cáp nhôm A-240</v>
      </c>
      <c r="E908" s="9" t="str">
        <f>VLOOKUP($B908,R_DG!$A$7:$G$1305,4,0)</f>
        <v>kg</v>
      </c>
      <c r="F908" s="123">
        <f t="shared" ca="1" si="261"/>
        <v>0</v>
      </c>
      <c r="G908" s="214">
        <f>VLOOKUP($B908,R_DG!$A$7:$G$1305,5,0)</f>
        <v>89300</v>
      </c>
      <c r="H908" s="214">
        <f>VLOOKUP($B908,R_DG!$A$7:$G$1305,6,0)</f>
        <v>0</v>
      </c>
      <c r="I908" s="214">
        <f>VLOOKUP($B908,R_DG!$A$7:$G$1305,7,0)</f>
        <v>0</v>
      </c>
      <c r="J908" s="214">
        <f t="shared" ca="1" si="257"/>
        <v>0</v>
      </c>
      <c r="K908" s="214">
        <f t="shared" ca="1" si="257"/>
        <v>0</v>
      </c>
      <c r="L908" s="220">
        <f t="shared" ca="1" si="257"/>
        <v>0</v>
      </c>
      <c r="M908" s="93">
        <f t="shared" ca="1" si="259"/>
        <v>0</v>
      </c>
      <c r="N908" s="331">
        <f t="shared" ca="1" si="264"/>
        <v>0</v>
      </c>
    </row>
    <row r="909" spans="1:14" ht="15">
      <c r="A909" s="87"/>
      <c r="B909" s="7" t="s">
        <v>251</v>
      </c>
      <c r="C909" s="114">
        <f t="shared" ca="1" si="263"/>
        <v>0</v>
      </c>
      <c r="D909" s="8" t="str">
        <f>VLOOKUP($B909,R_DG!$A$7:$G$1305,3,0)</f>
        <v>Cáp 24kV C/XLPE/DSTA/PVC3x50</v>
      </c>
      <c r="E909" s="9" t="str">
        <f>VLOOKUP($B909,R_DG!$A$7:$G$1305,4,0)</f>
        <v>mét</v>
      </c>
      <c r="F909" s="123">
        <f t="shared" ca="1" si="261"/>
        <v>0</v>
      </c>
      <c r="G909" s="214">
        <f>VLOOKUP($B909,R_DG!$A$7:$G$1305,5,0)</f>
        <v>734700</v>
      </c>
      <c r="H909" s="214">
        <f>VLOOKUP($B909,R_DG!$A$7:$G$1305,6,0)</f>
        <v>0</v>
      </c>
      <c r="I909" s="214">
        <f>VLOOKUP($B909,R_DG!$A$7:$G$1305,7,0)</f>
        <v>0</v>
      </c>
      <c r="J909" s="214">
        <f t="shared" ca="1" si="257"/>
        <v>0</v>
      </c>
      <c r="K909" s="214">
        <f t="shared" ca="1" si="257"/>
        <v>0</v>
      </c>
      <c r="L909" s="220">
        <f t="shared" ca="1" si="257"/>
        <v>0</v>
      </c>
      <c r="M909" s="93">
        <f t="shared" ca="1" si="259"/>
        <v>0</v>
      </c>
      <c r="N909" s="331">
        <f t="shared" ca="1" si="264"/>
        <v>0</v>
      </c>
    </row>
    <row r="910" spans="1:14" ht="15">
      <c r="A910" s="87"/>
      <c r="B910" s="7" t="s">
        <v>253</v>
      </c>
      <c r="C910" s="114">
        <f t="shared" ca="1" si="263"/>
        <v>0</v>
      </c>
      <c r="D910" s="8" t="str">
        <f>VLOOKUP($B910,R_DG!$A$7:$G$1305,3,0)</f>
        <v>Cáp 24kV C/XLPE/DSTA/PVC3x70mm2</v>
      </c>
      <c r="E910" s="9" t="str">
        <f>VLOOKUP($B910,R_DG!$A$7:$G$1305,4,0)</f>
        <v>mét</v>
      </c>
      <c r="F910" s="123">
        <f t="shared" ca="1" si="261"/>
        <v>0</v>
      </c>
      <c r="G910" s="214">
        <f>VLOOKUP($B910,R_DG!$A$7:$G$1305,5,0)</f>
        <v>512600</v>
      </c>
      <c r="H910" s="214">
        <f>VLOOKUP($B910,R_DG!$A$7:$G$1305,6,0)</f>
        <v>0</v>
      </c>
      <c r="I910" s="214">
        <f>VLOOKUP($B910,R_DG!$A$7:$G$1305,7,0)</f>
        <v>0</v>
      </c>
      <c r="J910" s="214">
        <f t="shared" ca="1" si="257"/>
        <v>0</v>
      </c>
      <c r="K910" s="214">
        <f t="shared" ca="1" si="257"/>
        <v>0</v>
      </c>
      <c r="L910" s="220">
        <f t="shared" ca="1" si="257"/>
        <v>0</v>
      </c>
      <c r="M910" s="93">
        <f t="shared" ca="1" si="259"/>
        <v>0</v>
      </c>
      <c r="N910" s="331">
        <f t="shared" ca="1" si="264"/>
        <v>0</v>
      </c>
    </row>
    <row r="911" spans="1:14" ht="15">
      <c r="A911" s="87"/>
      <c r="B911" s="7" t="s">
        <v>255</v>
      </c>
      <c r="C911" s="114">
        <f t="shared" ca="1" si="263"/>
        <v>0</v>
      </c>
      <c r="D911" s="8" t="str">
        <f>VLOOKUP($B911,R_DG!$A$7:$G$1305,3,0)</f>
        <v>Cáp 24kV C/XLPE/DSTA/PVC3x95mm2</v>
      </c>
      <c r="E911" s="9" t="str">
        <f>VLOOKUP($B911,R_DG!$A$7:$G$1305,4,0)</f>
        <v>mét</v>
      </c>
      <c r="F911" s="123">
        <f t="shared" ca="1" si="261"/>
        <v>0</v>
      </c>
      <c r="G911" s="214">
        <f>VLOOKUP($B911,R_DG!$A$7:$G$1305,5,0)</f>
        <v>651200</v>
      </c>
      <c r="H911" s="214">
        <f>VLOOKUP($B911,R_DG!$A$7:$G$1305,6,0)</f>
        <v>0</v>
      </c>
      <c r="I911" s="214">
        <f>VLOOKUP($B911,R_DG!$A$7:$G$1305,7,0)</f>
        <v>0</v>
      </c>
      <c r="J911" s="214">
        <f t="shared" ca="1" si="257"/>
        <v>0</v>
      </c>
      <c r="K911" s="214">
        <f t="shared" ca="1" si="257"/>
        <v>0</v>
      </c>
      <c r="L911" s="220">
        <f t="shared" ca="1" si="257"/>
        <v>0</v>
      </c>
      <c r="M911" s="93">
        <f t="shared" ca="1" si="259"/>
        <v>0</v>
      </c>
      <c r="N911" s="331">
        <f t="shared" ca="1" si="264"/>
        <v>0</v>
      </c>
    </row>
    <row r="912" spans="1:14" ht="15">
      <c r="A912" s="87"/>
      <c r="B912" s="7" t="s">
        <v>257</v>
      </c>
      <c r="C912" s="114">
        <f t="shared" ca="1" si="263"/>
        <v>0</v>
      </c>
      <c r="D912" s="8" t="str">
        <f>VLOOKUP($B912,R_DG!$A$7:$G$1305,3,0)</f>
        <v>Cáp 24kV C/XLPE/DSTA/PVC3x120mm2</v>
      </c>
      <c r="E912" s="9" t="str">
        <f>VLOOKUP($B912,R_DG!$A$7:$G$1305,4,0)</f>
        <v>mét</v>
      </c>
      <c r="F912" s="123">
        <f t="shared" ca="1" si="261"/>
        <v>0</v>
      </c>
      <c r="G912" s="214">
        <f>VLOOKUP($B912,R_DG!$A$7:$G$1305,5,0)</f>
        <v>765800</v>
      </c>
      <c r="H912" s="214">
        <f>VLOOKUP($B912,R_DG!$A$7:$G$1305,6,0)</f>
        <v>0</v>
      </c>
      <c r="I912" s="214">
        <f>VLOOKUP($B912,R_DG!$A$7:$G$1305,7,0)</f>
        <v>0</v>
      </c>
      <c r="J912" s="214">
        <f t="shared" ca="1" si="257"/>
        <v>0</v>
      </c>
      <c r="K912" s="214">
        <f t="shared" ca="1" si="257"/>
        <v>0</v>
      </c>
      <c r="L912" s="220">
        <f t="shared" ca="1" si="257"/>
        <v>0</v>
      </c>
      <c r="M912" s="93">
        <f ca="1">IF(F912&gt;0,M$862,0)</f>
        <v>0</v>
      </c>
      <c r="N912" s="331">
        <f t="shared" ca="1" si="264"/>
        <v>0</v>
      </c>
    </row>
    <row r="913" spans="1:14" ht="15">
      <c r="A913" s="87"/>
      <c r="B913" s="7" t="s">
        <v>259</v>
      </c>
      <c r="C913" s="114">
        <f t="shared" ca="1" si="263"/>
        <v>0</v>
      </c>
      <c r="D913" s="8" t="str">
        <f>VLOOKUP($B913,R_DG!$A$7:$G$1305,3,0)</f>
        <v>Cáp 24kV C/XLPE/DSTA/PVC3x150mm2</v>
      </c>
      <c r="E913" s="9" t="str">
        <f>VLOOKUP($B913,R_DG!$A$7:$G$1305,4,0)</f>
        <v>mét</v>
      </c>
      <c r="F913" s="123">
        <f t="shared" ca="1" si="261"/>
        <v>0</v>
      </c>
      <c r="G913" s="214">
        <f>VLOOKUP($B913,R_DG!$A$7:$G$1305,5,0)</f>
        <v>956600</v>
      </c>
      <c r="H913" s="214">
        <f>VLOOKUP($B913,R_DG!$A$7:$G$1305,6,0)</f>
        <v>0</v>
      </c>
      <c r="I913" s="214">
        <f>VLOOKUP($B913,R_DG!$A$7:$G$1305,7,0)</f>
        <v>0</v>
      </c>
      <c r="J913" s="214">
        <f t="shared" ca="1" si="257"/>
        <v>0</v>
      </c>
      <c r="K913" s="214">
        <f t="shared" ca="1" si="257"/>
        <v>0</v>
      </c>
      <c r="L913" s="220">
        <f t="shared" ca="1" si="257"/>
        <v>0</v>
      </c>
      <c r="M913" s="93">
        <f ca="1">IF(F913&gt;0,M$862,0)</f>
        <v>0</v>
      </c>
      <c r="N913" s="331">
        <f t="shared" ca="1" si="264"/>
        <v>0</v>
      </c>
    </row>
    <row r="914" spans="1:14" ht="15">
      <c r="A914" s="87"/>
      <c r="B914" s="7" t="s">
        <v>261</v>
      </c>
      <c r="C914" s="114">
        <f t="shared" ca="1" si="263"/>
        <v>0</v>
      </c>
      <c r="D914" s="8" t="str">
        <f>VLOOKUP($B914,R_DG!$A$7:$G$1305,3,0)</f>
        <v>Cáp 24kV C/XLPE/DSTA/PVC3x185mm2</v>
      </c>
      <c r="E914" s="9" t="str">
        <f>VLOOKUP($B914,R_DG!$A$7:$G$1305,4,0)</f>
        <v>mét</v>
      </c>
      <c r="F914" s="123">
        <f t="shared" ca="1" si="261"/>
        <v>0</v>
      </c>
      <c r="G914" s="214">
        <f>VLOOKUP($B914,R_DG!$A$7:$G$1305,5,0)</f>
        <v>1134500</v>
      </c>
      <c r="H914" s="214">
        <f>VLOOKUP($B914,R_DG!$A$7:$G$1305,6,0)</f>
        <v>0</v>
      </c>
      <c r="I914" s="214">
        <f>VLOOKUP($B914,R_DG!$A$7:$G$1305,7,0)</f>
        <v>0</v>
      </c>
      <c r="J914" s="214">
        <f t="shared" ca="1" si="257"/>
        <v>0</v>
      </c>
      <c r="K914" s="214">
        <f t="shared" ca="1" si="257"/>
        <v>0</v>
      </c>
      <c r="L914" s="220">
        <f t="shared" ca="1" si="257"/>
        <v>0</v>
      </c>
      <c r="M914" s="93">
        <f ca="1">IF(F914&gt;0,M$862,0)</f>
        <v>0</v>
      </c>
      <c r="N914" s="331">
        <f t="shared" ca="1" si="264"/>
        <v>0</v>
      </c>
    </row>
    <row r="915" spans="1:14" ht="15">
      <c r="A915" s="87"/>
      <c r="B915" s="7" t="s">
        <v>263</v>
      </c>
      <c r="C915" s="114">
        <f t="shared" ca="1" si="263"/>
        <v>0</v>
      </c>
      <c r="D915" s="8" t="str">
        <f>VLOOKUP($B915,R_DG!$A$7:$G$1305,3,0)</f>
        <v>Cáp 24kV C/XLPE/DSTA/PVC3x240mm2</v>
      </c>
      <c r="E915" s="9" t="str">
        <f>VLOOKUP($B915,R_DG!$A$7:$G$1305,4,0)</f>
        <v>mét</v>
      </c>
      <c r="F915" s="123">
        <f t="shared" ca="1" si="261"/>
        <v>0</v>
      </c>
      <c r="G915" s="214">
        <f>VLOOKUP($B915,R_DG!$A$7:$G$1305,5,0)</f>
        <v>1429300</v>
      </c>
      <c r="H915" s="214">
        <f>VLOOKUP($B915,R_DG!$A$7:$G$1305,6,0)</f>
        <v>0</v>
      </c>
      <c r="I915" s="214">
        <f>VLOOKUP($B915,R_DG!$A$7:$G$1305,7,0)</f>
        <v>0</v>
      </c>
      <c r="J915" s="214">
        <f t="shared" ca="1" si="257"/>
        <v>0</v>
      </c>
      <c r="K915" s="214">
        <f t="shared" ca="1" si="257"/>
        <v>0</v>
      </c>
      <c r="L915" s="220">
        <f t="shared" ca="1" si="257"/>
        <v>0</v>
      </c>
      <c r="M915" s="93">
        <f ca="1">IF(F915&gt;0,M$862,0)</f>
        <v>0</v>
      </c>
      <c r="N915" s="331">
        <f t="shared" ca="1" si="264"/>
        <v>0</v>
      </c>
    </row>
    <row r="916" spans="1:14" ht="15">
      <c r="A916" s="87"/>
      <c r="B916" s="7" t="s">
        <v>247</v>
      </c>
      <c r="C916" s="114">
        <f t="shared" ca="1" si="263"/>
        <v>0</v>
      </c>
      <c r="D916" s="8" t="str">
        <f>VLOOKUP($B916,R_DG!$A$7:$G$1305,3,0)</f>
        <v>Cáp C/XLPE/DSTA/PVC -0.6/1kV-3x50+35mm2</v>
      </c>
      <c r="E916" s="9" t="str">
        <f>VLOOKUP($B916,R_DG!$A$7:$G$1305,4,0)</f>
        <v>mét</v>
      </c>
      <c r="F916" s="123">
        <f t="shared" ca="1" si="261"/>
        <v>0</v>
      </c>
      <c r="G916" s="214">
        <f>VLOOKUP($B916,R_DG!$A$7:$G$1305,5,0)</f>
        <v>306300</v>
      </c>
      <c r="H916" s="214">
        <f>VLOOKUP($B916,R_DG!$A$7:$G$1305,6,0)</f>
        <v>0</v>
      </c>
      <c r="I916" s="214">
        <f>VLOOKUP($B916,R_DG!$A$7:$G$1305,7,0)</f>
        <v>0</v>
      </c>
      <c r="J916" s="214">
        <f t="shared" ca="1" si="257"/>
        <v>0</v>
      </c>
      <c r="K916" s="214">
        <f t="shared" ca="1" si="257"/>
        <v>0</v>
      </c>
      <c r="L916" s="220">
        <f t="shared" ca="1" si="257"/>
        <v>0</v>
      </c>
      <c r="M916" s="93">
        <f t="shared" ca="1" si="259"/>
        <v>0</v>
      </c>
      <c r="N916" s="331">
        <f t="shared" ca="1" si="264"/>
        <v>0</v>
      </c>
    </row>
    <row r="917" spans="1:14" ht="15">
      <c r="A917" s="87"/>
      <c r="B917" s="7" t="s">
        <v>4958</v>
      </c>
      <c r="C917" s="114">
        <f t="shared" ca="1" si="263"/>
        <v>272</v>
      </c>
      <c r="D917" s="8" t="str">
        <f>VLOOKUP($B917,R_DG!$A$7:$G$1305,3,0)</f>
        <v>Cáp Duplex Cu 2x16</v>
      </c>
      <c r="E917" s="9" t="str">
        <f>VLOOKUP($B917,R_DG!$A$7:$G$1305,4,0)</f>
        <v>m</v>
      </c>
      <c r="F917" s="123">
        <f t="shared" ca="1" si="261"/>
        <v>277.44</v>
      </c>
      <c r="G917" s="214">
        <f>VLOOKUP($B917,R_DG!$A$7:$G$1305,5,0)</f>
        <v>78000</v>
      </c>
      <c r="H917" s="214">
        <f>VLOOKUP($B917,R_DG!$A$7:$G$1305,6,0)</f>
        <v>0</v>
      </c>
      <c r="I917" s="214">
        <f>VLOOKUP($B917,R_DG!$A$7:$G$1305,7,0)</f>
        <v>0</v>
      </c>
      <c r="J917" s="214">
        <f t="shared" ca="1" si="257"/>
        <v>21640320</v>
      </c>
      <c r="K917" s="214">
        <f t="shared" ca="1" si="257"/>
        <v>0</v>
      </c>
      <c r="L917" s="220">
        <f t="shared" ca="1" si="257"/>
        <v>0</v>
      </c>
      <c r="M917" s="93">
        <f t="shared" ca="1" si="259"/>
        <v>1</v>
      </c>
      <c r="N917" s="331">
        <f t="shared" ca="1" si="264"/>
        <v>277.44</v>
      </c>
    </row>
    <row r="918" spans="1:14" ht="15">
      <c r="A918" s="87"/>
      <c r="B918" s="7" t="s">
        <v>1865</v>
      </c>
      <c r="C918" s="114">
        <f t="shared" ca="1" si="263"/>
        <v>0</v>
      </c>
      <c r="D918" s="8" t="str">
        <f>VLOOKUP($B918,R_DG!$A$7:$G$1305,3,0)</f>
        <v>Cáp Quadruplex 4x11</v>
      </c>
      <c r="E918" s="9" t="str">
        <f>VLOOKUP($B918,R_DG!$A$7:$G$1305,4,0)</f>
        <v>m</v>
      </c>
      <c r="F918" s="123">
        <f t="shared" ca="1" si="261"/>
        <v>0</v>
      </c>
      <c r="G918" s="214">
        <f>VLOOKUP($B918,R_DG!$A$7:$G$1305,5,0)</f>
        <v>65300</v>
      </c>
      <c r="H918" s="214">
        <f>VLOOKUP($B918,R_DG!$A$7:$G$1305,6,0)</f>
        <v>0</v>
      </c>
      <c r="I918" s="214">
        <f>VLOOKUP($B918,R_DG!$A$7:$G$1305,7,0)</f>
        <v>0</v>
      </c>
      <c r="J918" s="214">
        <f t="shared" ca="1" si="257"/>
        <v>0</v>
      </c>
      <c r="K918" s="214">
        <f t="shared" ca="1" si="257"/>
        <v>0</v>
      </c>
      <c r="L918" s="220">
        <f t="shared" ca="1" si="257"/>
        <v>0</v>
      </c>
      <c r="M918" s="93">
        <f t="shared" ca="1" si="259"/>
        <v>0</v>
      </c>
      <c r="N918" s="331">
        <f t="shared" ca="1" si="264"/>
        <v>0</v>
      </c>
    </row>
    <row r="919" spans="1:14" ht="15">
      <c r="A919" s="87"/>
      <c r="B919" s="7" t="s">
        <v>1867</v>
      </c>
      <c r="C919" s="114">
        <f t="shared" ca="1" si="263"/>
        <v>0</v>
      </c>
      <c r="D919" s="8" t="str">
        <f>VLOOKUP($B919,R_DG!$A$7:$G$1305,3,0)</f>
        <v>Cáp Quadruplex 4x16</v>
      </c>
      <c r="E919" s="9" t="str">
        <f>VLOOKUP($B919,R_DG!$A$7:$G$1305,4,0)</f>
        <v>m</v>
      </c>
      <c r="F919" s="123">
        <f t="shared" ca="1" si="261"/>
        <v>0</v>
      </c>
      <c r="G919" s="214">
        <f>VLOOKUP($B919,R_DG!$A$7:$G$1305,5,0)</f>
        <v>96200</v>
      </c>
      <c r="H919" s="214">
        <f>VLOOKUP($B919,R_DG!$A$7:$G$1305,6,0)</f>
        <v>0</v>
      </c>
      <c r="I919" s="214">
        <f>VLOOKUP($B919,R_DG!$A$7:$G$1305,7,0)</f>
        <v>0</v>
      </c>
      <c r="J919" s="214">
        <f t="shared" ca="1" si="257"/>
        <v>0</v>
      </c>
      <c r="K919" s="214">
        <f t="shared" ca="1" si="257"/>
        <v>0</v>
      </c>
      <c r="L919" s="220">
        <f t="shared" ca="1" si="257"/>
        <v>0</v>
      </c>
      <c r="M919" s="93">
        <f t="shared" ca="1" si="259"/>
        <v>0</v>
      </c>
      <c r="N919" s="331">
        <f t="shared" ca="1" si="264"/>
        <v>0</v>
      </c>
    </row>
    <row r="920" spans="1:14" ht="15">
      <c r="A920" s="87"/>
      <c r="B920" s="21" t="s">
        <v>1304</v>
      </c>
      <c r="C920" s="32" t="str">
        <f>VLOOKUP($B920,R_DG!$A$7:$G$1305,2,0)</f>
        <v>D3.621</v>
      </c>
      <c r="D920" s="8" t="str">
        <f>VLOOKUP($B920,R_DG!$A$7:$G$1305,3,0)</f>
        <v>Kéo dây nhôm lõi thép cỡ dây 50mm2</v>
      </c>
      <c r="E920" s="9" t="str">
        <f>VLOOKUP($B920,R_DG!$A$7:$G$1305,4,0)</f>
        <v>km</v>
      </c>
      <c r="F920" s="11">
        <f ca="1">C863/1000</f>
        <v>0</v>
      </c>
      <c r="G920" s="214">
        <f>VLOOKUP($B920,R_DG!$A$7:$G$1305,5,0)</f>
        <v>0</v>
      </c>
      <c r="H920" s="214">
        <f>VLOOKUP($B920,R_DG!$A$7:$G$1305,6,0)</f>
        <v>2252916.1800000002</v>
      </c>
      <c r="I920" s="214">
        <f>VLOOKUP($B920,R_DG!$A$7:$G$1305,7,0)</f>
        <v>99467.866570066893</v>
      </c>
      <c r="J920" s="214">
        <f t="shared" ca="1" si="257"/>
        <v>0</v>
      </c>
      <c r="K920" s="214">
        <f t="shared" ca="1" si="257"/>
        <v>0</v>
      </c>
      <c r="L920" s="220">
        <f t="shared" ca="1" si="257"/>
        <v>0</v>
      </c>
      <c r="M920" s="93">
        <f t="shared" ca="1" si="259"/>
        <v>0</v>
      </c>
      <c r="N920" s="332">
        <f t="shared" ca="1" si="264"/>
        <v>0</v>
      </c>
    </row>
    <row r="921" spans="1:14" ht="15">
      <c r="A921" s="87"/>
      <c r="B921" s="21" t="s">
        <v>1306</v>
      </c>
      <c r="C921" s="32" t="str">
        <f>VLOOKUP($B921,R_DG!$A$7:$G$1305,2,0)</f>
        <v>06.6401</v>
      </c>
      <c r="D921" s="8" t="str">
        <f>VLOOKUP($B921,R_DG!$A$7:$G$1305,3,0)</f>
        <v>Kéo dây nhôm lõi thép cỡ dây 70mm2</v>
      </c>
      <c r="E921" s="9" t="str">
        <f>VLOOKUP($B921,R_DG!$A$7:$G$1305,4,0)</f>
        <v>km</v>
      </c>
      <c r="F921" s="11">
        <f ca="1">C864/1000</f>
        <v>0</v>
      </c>
      <c r="G921" s="214">
        <f>VLOOKUP($B921,R_DG!$A$7:$G$1305,5,0)</f>
        <v>27801</v>
      </c>
      <c r="H921" s="214">
        <f>VLOOKUP($B921,R_DG!$A$7:$G$1305,6,0)</f>
        <v>0</v>
      </c>
      <c r="I921" s="214">
        <f>VLOOKUP($B921,R_DG!$A$7:$G$1305,7,0)</f>
        <v>0</v>
      </c>
      <c r="J921" s="214">
        <f t="shared" ca="1" si="257"/>
        <v>0</v>
      </c>
      <c r="K921" s="214">
        <f t="shared" ca="1" si="257"/>
        <v>0</v>
      </c>
      <c r="L921" s="220">
        <f t="shared" ca="1" si="257"/>
        <v>0</v>
      </c>
      <c r="M921" s="93">
        <f t="shared" ca="1" si="259"/>
        <v>0</v>
      </c>
      <c r="N921" s="332">
        <f t="shared" ca="1" si="264"/>
        <v>0</v>
      </c>
    </row>
    <row r="922" spans="1:14" ht="15">
      <c r="A922" s="87"/>
      <c r="B922" s="21" t="s">
        <v>1308</v>
      </c>
      <c r="C922" s="32" t="str">
        <f>VLOOKUP($B922,R_DG!$A$7:$G$1305,2,0)</f>
        <v>06.6402</v>
      </c>
      <c r="D922" s="8" t="str">
        <f>VLOOKUP($B922,R_DG!$A$7:$G$1305,3,0)</f>
        <v>Kéo dây nhôm lõi thép cỡ dây 95mm2</v>
      </c>
      <c r="E922" s="9" t="str">
        <f>VLOOKUP($B922,R_DG!$A$7:$G$1305,4,0)</f>
        <v>km</v>
      </c>
      <c r="F922" s="11">
        <f ca="1">C865/1000</f>
        <v>0</v>
      </c>
      <c r="G922" s="214">
        <f>VLOOKUP($B922,R_DG!$A$7:$G$1305,5,0)</f>
        <v>0</v>
      </c>
      <c r="H922" s="214">
        <f>VLOOKUP($B922,R_DG!$A$7:$G$1305,6,0)</f>
        <v>3058082.1</v>
      </c>
      <c r="I922" s="214">
        <f>VLOOKUP($B922,R_DG!$A$7:$G$1305,7,0)</f>
        <v>134445.87542675587</v>
      </c>
      <c r="J922" s="214">
        <f t="shared" ca="1" si="257"/>
        <v>0</v>
      </c>
      <c r="K922" s="214">
        <f t="shared" ca="1" si="257"/>
        <v>0</v>
      </c>
      <c r="L922" s="220">
        <f t="shared" ca="1" si="257"/>
        <v>0</v>
      </c>
      <c r="M922" s="93">
        <f t="shared" ca="1" si="259"/>
        <v>0</v>
      </c>
      <c r="N922" s="332">
        <f t="shared" ca="1" si="264"/>
        <v>0</v>
      </c>
    </row>
    <row r="923" spans="1:14" ht="15">
      <c r="A923" s="87"/>
      <c r="B923" s="21" t="s">
        <v>1310</v>
      </c>
      <c r="C923" s="32" t="str">
        <f>VLOOKUP($B923,R_DG!$A$7:$G$1305,2,0)</f>
        <v>06.6403</v>
      </c>
      <c r="D923" s="8" t="str">
        <f>VLOOKUP($B923,R_DG!$A$7:$G$1305,3,0)</f>
        <v>Kéo dây nhôm lõi thép cỡ dây 120mm2</v>
      </c>
      <c r="E923" s="9" t="str">
        <f>VLOOKUP($B923,R_DG!$A$7:$G$1305,4,0)</f>
        <v>km</v>
      </c>
      <c r="F923" s="11">
        <f ca="1">C866/1000</f>
        <v>0</v>
      </c>
      <c r="G923" s="214">
        <f>VLOOKUP($B923,R_DG!$A$7:$G$1305,5,0)</f>
        <v>37730</v>
      </c>
      <c r="H923" s="214">
        <f>VLOOKUP($B923,R_DG!$A$7:$G$1305,6,0)</f>
        <v>4188411.18</v>
      </c>
      <c r="I923" s="214">
        <f>VLOOKUP($B923,R_DG!$A$7:$G$1305,7,0)</f>
        <v>134445.87542675587</v>
      </c>
      <c r="J923" s="214">
        <f t="shared" ca="1" si="257"/>
        <v>0</v>
      </c>
      <c r="K923" s="214">
        <f t="shared" ca="1" si="257"/>
        <v>0</v>
      </c>
      <c r="L923" s="220">
        <f t="shared" ca="1" si="257"/>
        <v>0</v>
      </c>
      <c r="M923" s="93">
        <f t="shared" ca="1" si="259"/>
        <v>0</v>
      </c>
      <c r="N923" s="332">
        <f t="shared" ca="1" si="264"/>
        <v>0</v>
      </c>
    </row>
    <row r="924" spans="1:14" ht="15">
      <c r="A924" s="87"/>
      <c r="B924" s="21" t="s">
        <v>1312</v>
      </c>
      <c r="C924" s="32" t="str">
        <f>VLOOKUP($B924,R_DG!$A$7:$G$1305,2,0)</f>
        <v>06.6404</v>
      </c>
      <c r="D924" s="8" t="str">
        <f>VLOOKUP($B924,R_DG!$A$7:$G$1305,3,0)</f>
        <v>Kéo dây nhôm lõi thép cỡ dây 150mm2</v>
      </c>
      <c r="E924" s="9" t="str">
        <f>VLOOKUP($B924,R_DG!$A$7:$G$1305,4,0)</f>
        <v>km</v>
      </c>
      <c r="F924" s="11">
        <f ca="1">C867/1000</f>
        <v>0</v>
      </c>
      <c r="G924" s="214">
        <f>VLOOKUP($B924,R_DG!$A$7:$G$1305,5,0)</f>
        <v>42730</v>
      </c>
      <c r="H924" s="214">
        <f>VLOOKUP($B924,R_DG!$A$7:$G$1305,6,0)</f>
        <v>0</v>
      </c>
      <c r="I924" s="214">
        <f>VLOOKUP($B924,R_DG!$A$7:$G$1305,7,0)</f>
        <v>0</v>
      </c>
      <c r="J924" s="214">
        <f t="shared" ca="1" si="257"/>
        <v>0</v>
      </c>
      <c r="K924" s="214">
        <f t="shared" ca="1" si="257"/>
        <v>0</v>
      </c>
      <c r="L924" s="220">
        <f t="shared" ca="1" si="257"/>
        <v>0</v>
      </c>
      <c r="M924" s="93">
        <f t="shared" ca="1" si="259"/>
        <v>0</v>
      </c>
      <c r="N924" s="332">
        <f t="shared" ca="1" si="264"/>
        <v>0</v>
      </c>
    </row>
    <row r="925" spans="1:14" ht="15">
      <c r="A925" s="87"/>
      <c r="B925" s="21" t="s">
        <v>1314</v>
      </c>
      <c r="C925" s="32" t="str">
        <f>VLOOKUP($B925,R_DG!$A$7:$G$1305,2,0)</f>
        <v>06.6108</v>
      </c>
      <c r="D925" s="8" t="str">
        <f>VLOOKUP($B925,R_DG!$A$7:$G$1305,3,0)</f>
        <v>Kéo dây nhôm lõi thép bọc XLPE cỡ dây 150mm2</v>
      </c>
      <c r="E925" s="9" t="str">
        <f>VLOOKUP($B925,R_DG!$A$7:$G$1305,4,0)</f>
        <v>km</v>
      </c>
      <c r="F925" s="11"/>
      <c r="G925" s="214">
        <f>VLOOKUP($B925,R_DG!$A$7:$G$1305,5,0)</f>
        <v>42730</v>
      </c>
      <c r="H925" s="214">
        <f>VLOOKUP($B925,R_DG!$A$7:$G$1305,6,0)</f>
        <v>0</v>
      </c>
      <c r="I925" s="214">
        <f>VLOOKUP($B925,R_DG!$A$7:$G$1305,7,0)</f>
        <v>0</v>
      </c>
      <c r="J925" s="214">
        <f t="shared" si="257"/>
        <v>0</v>
      </c>
      <c r="K925" s="214">
        <f t="shared" si="257"/>
        <v>0</v>
      </c>
      <c r="L925" s="220">
        <f t="shared" si="257"/>
        <v>0</v>
      </c>
      <c r="M925" s="93">
        <f t="shared" si="259"/>
        <v>0</v>
      </c>
      <c r="N925" s="332">
        <f t="shared" si="264"/>
        <v>0</v>
      </c>
    </row>
    <row r="926" spans="1:14" ht="15">
      <c r="A926" s="87"/>
      <c r="B926" s="21" t="s">
        <v>1316</v>
      </c>
      <c r="C926" s="32" t="str">
        <f>VLOOKUP($B926,R_DG!$A$7:$G$1305,2,0)</f>
        <v>06.6405</v>
      </c>
      <c r="D926" s="8" t="str">
        <f>VLOOKUP($B926,R_DG!$A$7:$G$1305,3,0)</f>
        <v>Kéo dây nhôm lõi thép cỡ dây 185mm2</v>
      </c>
      <c r="E926" s="9" t="str">
        <f>VLOOKUP($B926,R_DG!$A$7:$G$1305,4,0)</f>
        <v>km</v>
      </c>
      <c r="F926" s="11"/>
      <c r="G926" s="214">
        <f>VLOOKUP($B926,R_DG!$A$7:$G$1305,5,0)</f>
        <v>42730</v>
      </c>
      <c r="H926" s="214">
        <f>VLOOKUP($B926,R_DG!$A$7:$G$1305,6,0)</f>
        <v>0</v>
      </c>
      <c r="I926" s="214">
        <f>VLOOKUP($B926,R_DG!$A$7:$G$1305,7,0)</f>
        <v>0</v>
      </c>
      <c r="J926" s="214">
        <f t="shared" si="257"/>
        <v>0</v>
      </c>
      <c r="K926" s="214">
        <f t="shared" si="257"/>
        <v>0</v>
      </c>
      <c r="L926" s="220">
        <f t="shared" si="257"/>
        <v>0</v>
      </c>
      <c r="M926" s="93">
        <f t="shared" si="259"/>
        <v>0</v>
      </c>
      <c r="N926" s="332">
        <f t="shared" si="264"/>
        <v>0</v>
      </c>
    </row>
    <row r="927" spans="1:14" ht="15">
      <c r="A927" s="87"/>
      <c r="B927" s="21" t="s">
        <v>1318</v>
      </c>
      <c r="C927" s="32" t="str">
        <f>VLOOKUP($B927,R_DG!$A$7:$G$1305,2,0)</f>
        <v>06.6406</v>
      </c>
      <c r="D927" s="8" t="str">
        <f>VLOOKUP($B927,R_DG!$A$7:$G$1305,3,0)</f>
        <v>Kéo dây nhôm lõi thép cỡ dây 240mm2</v>
      </c>
      <c r="E927" s="9" t="str">
        <f>VLOOKUP($B927,R_DG!$A$7:$G$1305,4,0)</f>
        <v>km</v>
      </c>
      <c r="F927" s="11"/>
      <c r="G927" s="214">
        <f>VLOOKUP($B927,R_DG!$A$7:$G$1305,5,0)</f>
        <v>32886</v>
      </c>
      <c r="H927" s="214">
        <f>VLOOKUP($B927,R_DG!$A$7:$G$1305,6,0)</f>
        <v>0</v>
      </c>
      <c r="I927" s="214">
        <f>VLOOKUP($B927,R_DG!$A$7:$G$1305,7,0)</f>
        <v>0</v>
      </c>
      <c r="J927" s="214">
        <f t="shared" si="257"/>
        <v>0</v>
      </c>
      <c r="K927" s="214">
        <f t="shared" si="257"/>
        <v>0</v>
      </c>
      <c r="L927" s="220">
        <f t="shared" si="257"/>
        <v>0</v>
      </c>
      <c r="M927" s="93">
        <f t="shared" si="259"/>
        <v>0</v>
      </c>
      <c r="N927" s="332">
        <f t="shared" ref="N927:N942" si="265">$F927</f>
        <v>0</v>
      </c>
    </row>
    <row r="928" spans="1:14" ht="15">
      <c r="A928" s="87"/>
      <c r="B928" s="21" t="s">
        <v>1277</v>
      </c>
      <c r="C928" s="32" t="str">
        <f>VLOOKUP($B928,R_DG!$A$7:$G$1305,2,0)</f>
        <v>D3.621</v>
      </c>
      <c r="D928" s="8" t="str">
        <f>VLOOKUP($B928,R_DG!$A$7:$G$1305,3,0)</f>
        <v>Kéo dây nhôm bọc 50mm2</v>
      </c>
      <c r="E928" s="9" t="str">
        <f>VLOOKUP($B928,R_DG!$A$7:$G$1305,4,0)</f>
        <v>km</v>
      </c>
      <c r="F928" s="11">
        <f ca="1">C870/1000</f>
        <v>0</v>
      </c>
      <c r="G928" s="214">
        <f>VLOOKUP($B928,R_DG!$A$7:$G$1305,5,0)</f>
        <v>0</v>
      </c>
      <c r="H928" s="214">
        <f>VLOOKUP($B928,R_DG!$A$7:$G$1305,6,0)</f>
        <v>2478207.7980000004</v>
      </c>
      <c r="I928" s="214">
        <f>VLOOKUP($B928,R_DG!$A$7:$G$1305,7,0)</f>
        <v>120255.52000000002</v>
      </c>
      <c r="J928" s="214">
        <f t="shared" ca="1" si="257"/>
        <v>0</v>
      </c>
      <c r="K928" s="214">
        <f t="shared" ca="1" si="257"/>
        <v>0</v>
      </c>
      <c r="L928" s="220">
        <f t="shared" ca="1" si="257"/>
        <v>0</v>
      </c>
      <c r="M928" s="93">
        <f t="shared" ca="1" si="259"/>
        <v>0</v>
      </c>
      <c r="N928" s="332">
        <f t="shared" ca="1" si="265"/>
        <v>0</v>
      </c>
    </row>
    <row r="929" spans="1:14" ht="15">
      <c r="A929" s="87"/>
      <c r="B929" s="21" t="s">
        <v>1281</v>
      </c>
      <c r="C929" s="32" t="str">
        <f>VLOOKUP($B929,R_DG!$A$7:$G$1305,2,0)</f>
        <v>06.6402</v>
      </c>
      <c r="D929" s="8" t="str">
        <f>VLOOKUP($B929,R_DG!$A$7:$G$1305,3,0)</f>
        <v>Kéo dây nhôm bọc 95mm2</v>
      </c>
      <c r="E929" s="9" t="str">
        <f>VLOOKUP($B929,R_DG!$A$7:$G$1305,4,0)</f>
        <v>km</v>
      </c>
      <c r="F929" s="11">
        <f ca="1">C871/1000</f>
        <v>0</v>
      </c>
      <c r="G929" s="214">
        <f>VLOOKUP($B929,R_DG!$A$7:$G$1305,5,0)</f>
        <v>37730</v>
      </c>
      <c r="H929" s="214">
        <f>VLOOKUP($B929,R_DG!$A$7:$G$1305,6,0)</f>
        <v>0</v>
      </c>
      <c r="I929" s="214">
        <f>VLOOKUP($B929,R_DG!$A$7:$G$1305,7,0)</f>
        <v>0</v>
      </c>
      <c r="J929" s="214">
        <f t="shared" ca="1" si="257"/>
        <v>0</v>
      </c>
      <c r="K929" s="214">
        <f t="shared" ca="1" si="257"/>
        <v>0</v>
      </c>
      <c r="L929" s="220">
        <f t="shared" ca="1" si="257"/>
        <v>0</v>
      </c>
      <c r="M929" s="93">
        <f t="shared" ca="1" si="259"/>
        <v>0</v>
      </c>
      <c r="N929" s="332">
        <f t="shared" ca="1" si="265"/>
        <v>0</v>
      </c>
    </row>
    <row r="930" spans="1:14" ht="15">
      <c r="A930" s="87"/>
      <c r="B930" s="21" t="s">
        <v>1283</v>
      </c>
      <c r="C930" s="32" t="str">
        <f>VLOOKUP($B930,R_DG!$A$7:$G$1305,2,0)</f>
        <v>06.6403</v>
      </c>
      <c r="D930" s="8" t="str">
        <f>VLOOKUP($B930,R_DG!$A$7:$G$1305,3,0)</f>
        <v>Kéo dây nhôm bọc 120mm2</v>
      </c>
      <c r="E930" s="9" t="str">
        <f>VLOOKUP($B930,R_DG!$A$7:$G$1305,4,0)</f>
        <v>km</v>
      </c>
      <c r="F930" s="11">
        <f ca="1">C873/1000</f>
        <v>0</v>
      </c>
      <c r="G930" s="214">
        <f>VLOOKUP($B930,R_DG!$A$7:$G$1305,5,0)</f>
        <v>37730</v>
      </c>
      <c r="H930" s="214">
        <f>VLOOKUP($B930,R_DG!$A$7:$G$1305,6,0)</f>
        <v>0</v>
      </c>
      <c r="I930" s="214">
        <f>VLOOKUP($B930,R_DG!$A$7:$G$1305,7,0)</f>
        <v>0</v>
      </c>
      <c r="J930" s="214">
        <f t="shared" ca="1" si="257"/>
        <v>0</v>
      </c>
      <c r="K930" s="214">
        <f t="shared" ca="1" si="257"/>
        <v>0</v>
      </c>
      <c r="L930" s="220">
        <f t="shared" ca="1" si="257"/>
        <v>0</v>
      </c>
      <c r="M930" s="93">
        <f t="shared" ca="1" si="259"/>
        <v>0</v>
      </c>
      <c r="N930" s="332">
        <f t="shared" ca="1" si="265"/>
        <v>0</v>
      </c>
    </row>
    <row r="931" spans="1:14" ht="15">
      <c r="A931" s="87"/>
      <c r="B931" s="21" t="s">
        <v>1285</v>
      </c>
      <c r="C931" s="32" t="str">
        <f>VLOOKUP($B931,R_DG!$A$7:$G$1305,2,0)</f>
        <v>06.6404</v>
      </c>
      <c r="D931" s="8" t="str">
        <f>VLOOKUP($B931,R_DG!$A$7:$G$1305,3,0)</f>
        <v>Kéo dây nhôm bọc 150mm2</v>
      </c>
      <c r="E931" s="9" t="str">
        <f>VLOOKUP($B931,R_DG!$A$7:$G$1305,4,0)</f>
        <v>km</v>
      </c>
      <c r="F931" s="14">
        <f ca="1">C874/1000</f>
        <v>0</v>
      </c>
      <c r="G931" s="214">
        <f>VLOOKUP($B931,R_DG!$A$7:$G$1305,5,0)</f>
        <v>42730</v>
      </c>
      <c r="H931" s="214">
        <f>VLOOKUP($B931,R_DG!$A$7:$G$1305,6,0)</f>
        <v>0</v>
      </c>
      <c r="I931" s="214">
        <f>VLOOKUP($B931,R_DG!$A$7:$G$1305,7,0)</f>
        <v>0</v>
      </c>
      <c r="J931" s="214">
        <f t="shared" ca="1" si="257"/>
        <v>0</v>
      </c>
      <c r="K931" s="214">
        <f t="shared" ca="1" si="257"/>
        <v>0</v>
      </c>
      <c r="L931" s="220">
        <f t="shared" ca="1" si="257"/>
        <v>0</v>
      </c>
      <c r="M931" s="93">
        <f t="shared" ca="1" si="259"/>
        <v>0</v>
      </c>
      <c r="N931" s="332">
        <f t="shared" ca="1" si="265"/>
        <v>0</v>
      </c>
    </row>
    <row r="932" spans="1:14" ht="15">
      <c r="A932" s="87"/>
      <c r="B932" s="21" t="s">
        <v>1288</v>
      </c>
      <c r="C932" s="32" t="str">
        <f>VLOOKUP($B932,R_DG!$A$7:$G$1305,2,0)</f>
        <v>06.6405</v>
      </c>
      <c r="D932" s="8" t="str">
        <f>VLOOKUP($B932,R_DG!$A$7:$G$1305,3,0)</f>
        <v>Kéo dây nhôm bọc 185mm2</v>
      </c>
      <c r="E932" s="9" t="str">
        <f>VLOOKUP($B932,R_DG!$A$7:$G$1305,4,0)</f>
        <v>km</v>
      </c>
      <c r="F932" s="14"/>
      <c r="G932" s="214">
        <f>VLOOKUP($B932,R_DG!$A$7:$G$1305,5,0)</f>
        <v>42730</v>
      </c>
      <c r="H932" s="214">
        <f>VLOOKUP($B932,R_DG!$A$7:$G$1305,6,0)</f>
        <v>0</v>
      </c>
      <c r="I932" s="214">
        <f>VLOOKUP($B932,R_DG!$A$7:$G$1305,7,0)</f>
        <v>0</v>
      </c>
      <c r="J932" s="214">
        <f t="shared" si="257"/>
        <v>0</v>
      </c>
      <c r="K932" s="214">
        <f t="shared" si="257"/>
        <v>0</v>
      </c>
      <c r="L932" s="220">
        <f t="shared" si="257"/>
        <v>0</v>
      </c>
      <c r="M932" s="93">
        <f t="shared" si="259"/>
        <v>0</v>
      </c>
      <c r="N932" s="332">
        <f t="shared" si="265"/>
        <v>0</v>
      </c>
    </row>
    <row r="933" spans="1:14" ht="15">
      <c r="A933" s="87"/>
      <c r="B933" s="21" t="s">
        <v>1349</v>
      </c>
      <c r="C933" s="32" t="str">
        <f>VLOOKUP($B933,R_DG!$A$7:$G$1305,2,0)</f>
        <v>06.5072</v>
      </c>
      <c r="D933" s="8" t="str">
        <f>VLOOKUP($B933,R_DG!$A$7:$G$1305,3,0)</f>
        <v xml:space="preserve">Kéo dây qua vị trí bẻ góc dây </v>
      </c>
      <c r="E933" s="9" t="str">
        <f>VLOOKUP($B933,R_DG!$A$7:$G$1305,4,0)</f>
        <v>vị trí</v>
      </c>
      <c r="F933" s="14"/>
      <c r="G933" s="214">
        <f>VLOOKUP($B933,R_DG!$A$7:$G$1305,5,0)</f>
        <v>0</v>
      </c>
      <c r="H933" s="214">
        <f>VLOOKUP($B933,R_DG!$A$7:$G$1305,6,0)</f>
        <v>0</v>
      </c>
      <c r="I933" s="214">
        <f>VLOOKUP($B933,R_DG!$A$7:$G$1305,7,0)</f>
        <v>0</v>
      </c>
      <c r="J933" s="214">
        <f t="shared" si="257"/>
        <v>0</v>
      </c>
      <c r="K933" s="214">
        <f t="shared" si="257"/>
        <v>0</v>
      </c>
      <c r="L933" s="220">
        <f t="shared" si="257"/>
        <v>0</v>
      </c>
      <c r="M933" s="93">
        <f t="shared" si="259"/>
        <v>0</v>
      </c>
      <c r="N933" s="332">
        <f t="shared" si="265"/>
        <v>0</v>
      </c>
    </row>
    <row r="934" spans="1:14" ht="15">
      <c r="A934" s="87"/>
      <c r="B934" s="21" t="s">
        <v>1352</v>
      </c>
      <c r="C934" s="32" t="str">
        <f>VLOOKUP($B934,R_DG!$A$7:$G$1305,2,0)</f>
        <v>06.5082</v>
      </c>
      <c r="D934" s="8" t="str">
        <f>VLOOKUP($B934,R_DG!$A$7:$G$1305,3,0)</f>
        <v>Kéo dây qua sông ( S&lt;=300)</v>
      </c>
      <c r="E934" s="9" t="str">
        <f>VLOOKUP($B934,R_DG!$A$7:$G$1305,4,0)</f>
        <v>vị trí</v>
      </c>
      <c r="F934" s="13"/>
      <c r="G934" s="214">
        <f>VLOOKUP($B934,R_DG!$A$7:$G$1305,5,0)</f>
        <v>0</v>
      </c>
      <c r="H934" s="214">
        <f>VLOOKUP($B934,R_DG!$A$7:$G$1305,6,0)</f>
        <v>0</v>
      </c>
      <c r="I934" s="214">
        <f>VLOOKUP($B934,R_DG!$A$7:$G$1305,7,0)</f>
        <v>0</v>
      </c>
      <c r="J934" s="214">
        <f t="shared" si="257"/>
        <v>0</v>
      </c>
      <c r="K934" s="214">
        <f t="shared" si="257"/>
        <v>0</v>
      </c>
      <c r="L934" s="220">
        <f t="shared" si="257"/>
        <v>0</v>
      </c>
      <c r="M934" s="93">
        <f t="shared" si="259"/>
        <v>0</v>
      </c>
      <c r="N934" s="332">
        <f t="shared" si="265"/>
        <v>0</v>
      </c>
    </row>
    <row r="935" spans="1:14" ht="15">
      <c r="A935" s="87"/>
      <c r="B935" s="7" t="s">
        <v>1292</v>
      </c>
      <c r="C935" s="32" t="str">
        <f>VLOOKUP($B935,R_DG!$A$7:$G$1305,2,0)</f>
        <v>D3.6308</v>
      </c>
      <c r="D935" s="8" t="str">
        <f>VLOOKUP($B935,R_DG!$A$7:$G$1305,3,0)</f>
        <v>Kéo dây ABC 4x150mm2</v>
      </c>
      <c r="E935" s="9" t="str">
        <f>VLOOKUP($B935,R_DG!$A$7:$G$1305,4,0)</f>
        <v>km</v>
      </c>
      <c r="F935" s="11">
        <f ca="1">(C890+C894+C893+C891)/1000</f>
        <v>0</v>
      </c>
      <c r="G935" s="214">
        <f>VLOOKUP($B935,R_DG!$A$7:$G$1305,5,0)</f>
        <v>0</v>
      </c>
      <c r="H935" s="214">
        <f>VLOOKUP($B935,R_DG!$A$7:$G$1305,6,0)</f>
        <v>14654739</v>
      </c>
      <c r="I935" s="214">
        <f>VLOOKUP($B935,R_DG!$A$7:$G$1305,7,0)</f>
        <v>163984.79999999999</v>
      </c>
      <c r="J935" s="214">
        <f t="shared" ca="1" si="257"/>
        <v>0</v>
      </c>
      <c r="K935" s="214">
        <f t="shared" ca="1" si="257"/>
        <v>0</v>
      </c>
      <c r="L935" s="220">
        <f t="shared" ca="1" si="257"/>
        <v>0</v>
      </c>
      <c r="M935" s="93">
        <f t="shared" ca="1" si="259"/>
        <v>0</v>
      </c>
      <c r="N935" s="332">
        <f t="shared" ca="1" si="265"/>
        <v>0</v>
      </c>
    </row>
    <row r="936" spans="1:14" ht="15">
      <c r="A936" s="87"/>
      <c r="B936" s="7" t="s">
        <v>1296</v>
      </c>
      <c r="C936" s="32" t="str">
        <f>VLOOKUP($B936,R_DG!$A$7:$G$1305,2,0)</f>
        <v>06.6506</v>
      </c>
      <c r="D936" s="8" t="str">
        <f>VLOOKUP($B936,R_DG!$A$7:$G$1305,3,0)</f>
        <v>Kéo dây ABC 4x95mm2</v>
      </c>
      <c r="E936" s="9" t="str">
        <f>VLOOKUP($B936,R_DG!$A$7:$G$1305,4,0)</f>
        <v>km</v>
      </c>
      <c r="F936" s="11">
        <f ca="1">C889/1000</f>
        <v>0.05</v>
      </c>
      <c r="G936" s="214">
        <f>VLOOKUP($B936,R_DG!$A$7:$G$1305,5,0)</f>
        <v>0</v>
      </c>
      <c r="H936" s="214">
        <f>VLOOKUP($B936,R_DG!$A$7:$G$1305,6,0)</f>
        <v>0</v>
      </c>
      <c r="I936" s="214">
        <f>VLOOKUP($B936,R_DG!$A$7:$G$1305,7,0)</f>
        <v>0</v>
      </c>
      <c r="J936" s="214">
        <f t="shared" ca="1" si="257"/>
        <v>0</v>
      </c>
      <c r="K936" s="214">
        <f t="shared" ca="1" si="257"/>
        <v>0</v>
      </c>
      <c r="L936" s="220">
        <f t="shared" ca="1" si="257"/>
        <v>0</v>
      </c>
      <c r="M936" s="93">
        <f t="shared" ca="1" si="259"/>
        <v>1</v>
      </c>
      <c r="N936" s="332">
        <f t="shared" ca="1" si="265"/>
        <v>0.05</v>
      </c>
    </row>
    <row r="937" spans="1:14" ht="15">
      <c r="A937" s="87"/>
      <c r="B937" s="7" t="s">
        <v>1298</v>
      </c>
      <c r="C937" s="32" t="str">
        <f>VLOOKUP($B937,R_DG!$A$7:$G$1305,2,0)</f>
        <v>06.6505</v>
      </c>
      <c r="D937" s="8" t="str">
        <f>VLOOKUP($B937,R_DG!$A$7:$G$1305,3,0)</f>
        <v>Kéo dây ABC 4x70mm2</v>
      </c>
      <c r="E937" s="9" t="str">
        <f>VLOOKUP($B937,R_DG!$A$7:$G$1305,4,0)</f>
        <v>km</v>
      </c>
      <c r="F937" s="11">
        <f ca="1">C888/1000</f>
        <v>0</v>
      </c>
      <c r="G937" s="214">
        <f>VLOOKUP($B937,R_DG!$A$7:$G$1305,5,0)</f>
        <v>0</v>
      </c>
      <c r="H937" s="214">
        <f>VLOOKUP($B937,R_DG!$A$7:$G$1305,6,0)</f>
        <v>0</v>
      </c>
      <c r="I937" s="214">
        <f>VLOOKUP($B937,R_DG!$A$7:$G$1305,7,0)</f>
        <v>0</v>
      </c>
      <c r="J937" s="214">
        <f t="shared" ca="1" si="257"/>
        <v>0</v>
      </c>
      <c r="K937" s="214">
        <f t="shared" ca="1" si="257"/>
        <v>0</v>
      </c>
      <c r="L937" s="220">
        <f t="shared" ca="1" si="257"/>
        <v>0</v>
      </c>
      <c r="M937" s="93">
        <f t="shared" ca="1" si="259"/>
        <v>0</v>
      </c>
      <c r="N937" s="332">
        <f t="shared" ca="1" si="265"/>
        <v>0</v>
      </c>
    </row>
    <row r="938" spans="1:14" ht="15">
      <c r="A938" s="87"/>
      <c r="B938" s="7" t="s">
        <v>1300</v>
      </c>
      <c r="C938" s="32" t="str">
        <f>VLOOKUP($B938,R_DG!$A$7:$G$1305,2,0)</f>
        <v>06.6504</v>
      </c>
      <c r="D938" s="8" t="str">
        <f>VLOOKUP($B938,R_DG!$A$7:$G$1305,3,0)</f>
        <v>Kéo dây ABC 4x50mm2</v>
      </c>
      <c r="E938" s="9" t="str">
        <f>VLOOKUP($B938,R_DG!$A$7:$G$1305,4,0)</f>
        <v>km</v>
      </c>
      <c r="F938" s="11"/>
      <c r="G938" s="214">
        <f>VLOOKUP($B938,R_DG!$A$7:$G$1305,5,0)</f>
        <v>0</v>
      </c>
      <c r="H938" s="214">
        <f>VLOOKUP($B938,R_DG!$A$7:$G$1305,6,0)</f>
        <v>0</v>
      </c>
      <c r="I938" s="214">
        <f>VLOOKUP($B938,R_DG!$A$7:$G$1305,7,0)</f>
        <v>0</v>
      </c>
      <c r="J938" s="214">
        <f t="shared" si="257"/>
        <v>0</v>
      </c>
      <c r="K938" s="214">
        <f t="shared" si="257"/>
        <v>0</v>
      </c>
      <c r="L938" s="220">
        <f t="shared" si="257"/>
        <v>0</v>
      </c>
      <c r="M938" s="93">
        <f t="shared" si="259"/>
        <v>0</v>
      </c>
      <c r="N938" s="332">
        <f t="shared" si="265"/>
        <v>0</v>
      </c>
    </row>
    <row r="939" spans="1:14" ht="15">
      <c r="A939" s="87"/>
      <c r="B939" s="7" t="s">
        <v>1277</v>
      </c>
      <c r="C939" s="32" t="str">
        <f>VLOOKUP($B939,R_DG!$A$7:$G$1305,2,0)</f>
        <v>D3.621</v>
      </c>
      <c r="D939" s="8" t="str">
        <f>VLOOKUP($B939,R_DG!$A$7:$G$1305,3,0)</f>
        <v>Kéo dây nhôm bọc 50mm2</v>
      </c>
      <c r="E939" s="9" t="str">
        <f>VLOOKUP($B939,R_DG!$A$7:$G$1305,4,0)</f>
        <v>km</v>
      </c>
      <c r="F939" s="11"/>
      <c r="G939" s="214">
        <f>VLOOKUP($B939,R_DG!$A$7:$G$1305,5,0)</f>
        <v>0</v>
      </c>
      <c r="H939" s="214">
        <f>VLOOKUP($B939,R_DG!$A$7:$G$1305,6,0)</f>
        <v>2478207.7980000004</v>
      </c>
      <c r="I939" s="214">
        <f>VLOOKUP($B939,R_DG!$A$7:$G$1305,7,0)</f>
        <v>120255.52000000002</v>
      </c>
      <c r="J939" s="214">
        <f t="shared" si="257"/>
        <v>0</v>
      </c>
      <c r="K939" s="214">
        <f t="shared" si="257"/>
        <v>0</v>
      </c>
      <c r="L939" s="220">
        <f t="shared" si="257"/>
        <v>0</v>
      </c>
      <c r="M939" s="93">
        <f t="shared" si="259"/>
        <v>0</v>
      </c>
      <c r="N939" s="332">
        <f t="shared" si="265"/>
        <v>0</v>
      </c>
    </row>
    <row r="940" spans="1:14" ht="15">
      <c r="A940" s="87"/>
      <c r="B940" s="21" t="s">
        <v>1290</v>
      </c>
      <c r="C940" s="32" t="str">
        <f>VLOOKUP($B940,R_DG!$A$7:$G$1305,2,0)</f>
        <v>06.6406</v>
      </c>
      <c r="D940" s="8" t="str">
        <f>VLOOKUP($B940,R_DG!$A$7:$G$1305,3,0)</f>
        <v>Kéo dây nhôm bọc 240mm2</v>
      </c>
      <c r="E940" s="9" t="str">
        <f>VLOOKUP($B940,R_DG!$A$7:$G$1305,4,0)</f>
        <v>km</v>
      </c>
      <c r="F940" s="11"/>
      <c r="G940" s="214">
        <f>VLOOKUP($B940,R_DG!$A$7:$G$1305,5,0)</f>
        <v>32886</v>
      </c>
      <c r="H940" s="214">
        <f>VLOOKUP($B940,R_DG!$A$7:$G$1305,6,0)</f>
        <v>0</v>
      </c>
      <c r="I940" s="214">
        <f>VLOOKUP($B940,R_DG!$A$7:$G$1305,7,0)</f>
        <v>0</v>
      </c>
      <c r="J940" s="214">
        <f t="shared" si="257"/>
        <v>0</v>
      </c>
      <c r="K940" s="214">
        <f t="shared" si="257"/>
        <v>0</v>
      </c>
      <c r="L940" s="220">
        <f t="shared" si="257"/>
        <v>0</v>
      </c>
      <c r="M940" s="93">
        <f t="shared" si="259"/>
        <v>0</v>
      </c>
      <c r="N940" s="332">
        <f t="shared" si="265"/>
        <v>0</v>
      </c>
    </row>
    <row r="941" spans="1:14" ht="15.75">
      <c r="A941" s="87"/>
      <c r="B941" s="1" t="s">
        <v>2100</v>
      </c>
      <c r="C941" s="32" t="str">
        <f>VLOOKUP($B941,R_DG!$A$7:$G$1305,2,0)</f>
        <v>CS.2.01.11</v>
      </c>
      <c r="D941" s="8" t="str">
        <f>VLOOKUP($B941,R_DG!$A$7:$G$1305,3,0)</f>
        <v xml:space="preserve">Kéo dây chiếu sáng tiết diện dây   6 ¸ 25mm² </v>
      </c>
      <c r="E941" s="9" t="str">
        <f>VLOOKUP($B941,R_DG!$A$7:$G$1305,4,0)</f>
        <v>m</v>
      </c>
      <c r="F941" s="11">
        <f ca="1">C884+C885+C886+C887</f>
        <v>0</v>
      </c>
      <c r="G941" s="214">
        <f>VLOOKUP($B941,R_DG!$A$7:$G$1305,5,0)</f>
        <v>0</v>
      </c>
      <c r="H941" s="214">
        <f>VLOOKUP($B941,R_DG!$A$7:$G$1305,6,0)</f>
        <v>0</v>
      </c>
      <c r="I941" s="214">
        <f>VLOOKUP($B941,R_DG!$A$7:$G$1305,7,0)</f>
        <v>0</v>
      </c>
      <c r="J941" s="214">
        <f t="shared" ref="J941:L942" ca="1" si="266">G941*$F941</f>
        <v>0</v>
      </c>
      <c r="K941" s="214">
        <f t="shared" ca="1" si="266"/>
        <v>0</v>
      </c>
      <c r="L941" s="220">
        <f t="shared" ca="1" si="266"/>
        <v>0</v>
      </c>
      <c r="M941" s="93">
        <f ca="1">IF(F941&gt;0,M$862,0)</f>
        <v>0</v>
      </c>
      <c r="N941" s="332">
        <f t="shared" ca="1" si="265"/>
        <v>0</v>
      </c>
    </row>
    <row r="942" spans="1:14" ht="15.75">
      <c r="A942" s="87"/>
      <c r="B942" s="1" t="s">
        <v>3241</v>
      </c>
      <c r="C942" s="32" t="str">
        <f>VLOOKUP($B942,R_DG!$A$7:$G$1305,2,0)</f>
        <v>CS.2.01.12</v>
      </c>
      <c r="D942" s="8" t="str">
        <f>VLOOKUP($B942,R_DG!$A$7:$G$1305,3,0)</f>
        <v>Kéo dây chiếu sáng tiết diện dây 26 ¸ 50mm²</v>
      </c>
      <c r="E942" s="9" t="str">
        <f>VLOOKUP($B942,R_DG!$A$7:$G$1305,4,0)</f>
        <v>m</v>
      </c>
      <c r="F942" s="11"/>
      <c r="G942" s="214">
        <f>VLOOKUP($B942,R_DG!$A$7:$G$1305,5,0)</f>
        <v>0</v>
      </c>
      <c r="H942" s="214">
        <f>VLOOKUP($B942,R_DG!$A$7:$G$1305,6,0)</f>
        <v>0</v>
      </c>
      <c r="I942" s="214">
        <f>VLOOKUP($B942,R_DG!$A$7:$G$1305,7,0)</f>
        <v>0</v>
      </c>
      <c r="J942" s="214">
        <f t="shared" si="266"/>
        <v>0</v>
      </c>
      <c r="K942" s="214">
        <f t="shared" si="266"/>
        <v>0</v>
      </c>
      <c r="L942" s="220">
        <f t="shared" si="266"/>
        <v>0</v>
      </c>
      <c r="M942" s="93">
        <f>IF(F942&gt;0,M$862,0)</f>
        <v>0</v>
      </c>
      <c r="N942" s="332">
        <f t="shared" si="265"/>
        <v>0</v>
      </c>
    </row>
    <row r="943" spans="1:14" ht="15">
      <c r="A943" s="111" t="s">
        <v>3093</v>
      </c>
      <c r="B943" s="24"/>
      <c r="C943" s="34"/>
      <c r="D943" s="25" t="s">
        <v>3102</v>
      </c>
      <c r="E943" s="25" t="s">
        <v>2598</v>
      </c>
      <c r="F943" s="26"/>
      <c r="G943" s="213"/>
      <c r="H943" s="213"/>
      <c r="I943" s="213"/>
      <c r="J943" s="213" t="e">
        <f ca="1">SUM(J944:J1095)</f>
        <v>#REF!</v>
      </c>
      <c r="K943" s="213">
        <f ca="1">SUM(K944:K1095)</f>
        <v>0</v>
      </c>
      <c r="L943" s="219">
        <f ca="1">SUM(L944:L1095)</f>
        <v>0</v>
      </c>
      <c r="M943" s="92">
        <v>1</v>
      </c>
      <c r="N943" s="327">
        <f ca="1">SUMIF(maBK,$A943,tongBK1)</f>
        <v>0</v>
      </c>
    </row>
    <row r="944" spans="1:14" ht="15">
      <c r="A944" s="20"/>
      <c r="B944" s="21" t="s">
        <v>2294</v>
      </c>
      <c r="C944" s="32">
        <f>VLOOKUP($B944,R_DG!$A$7:$G$1305,2,0)</f>
        <v>0</v>
      </c>
      <c r="D944" s="8" t="str">
        <f>VLOOKUP($B944,R_DG!$A$7:$G$1305,3,0)</f>
        <v>Khóa đỡ dây cỡ dây 240</v>
      </c>
      <c r="E944" s="9" t="str">
        <f>VLOOKUP($B944,R_DG!$A$7:$G$1305,4,0)</f>
        <v>cái</v>
      </c>
      <c r="F944" s="11">
        <f t="shared" ref="F944:F975" ca="1" si="267">SUMIF(maBK,B944,tongBK1)</f>
        <v>0</v>
      </c>
      <c r="G944" s="214">
        <f>VLOOKUP($B944,R_DG!$A$7:$G$1305,5,0)</f>
        <v>38091</v>
      </c>
      <c r="H944" s="214">
        <f>VLOOKUP($B944,R_DG!$A$7:$G$1305,6,0)</f>
        <v>0</v>
      </c>
      <c r="I944" s="214">
        <f>VLOOKUP($B944,R_DG!$A$7:$G$1305,7,0)</f>
        <v>0</v>
      </c>
      <c r="J944" s="214">
        <f t="shared" ref="J944:L985" ca="1" si="268">G944*$F944</f>
        <v>0</v>
      </c>
      <c r="K944" s="214">
        <f t="shared" ca="1" si="268"/>
        <v>0</v>
      </c>
      <c r="L944" s="220">
        <f t="shared" ca="1" si="268"/>
        <v>0</v>
      </c>
      <c r="M944" s="93">
        <f t="shared" ref="M944:M1012" ca="1" si="269">IF(F944&gt;0,M$943,0)</f>
        <v>0</v>
      </c>
      <c r="N944" s="332">
        <f t="shared" ref="N944:N975" ca="1" si="270">$F944</f>
        <v>0</v>
      </c>
    </row>
    <row r="945" spans="1:14" ht="15">
      <c r="A945" s="87"/>
      <c r="B945" s="21" t="s">
        <v>2295</v>
      </c>
      <c r="C945" s="32">
        <f>VLOOKUP($B945,R_DG!$A$7:$G$1305,2,0)</f>
        <v>0</v>
      </c>
      <c r="D945" s="8" t="str">
        <f>VLOOKUP($B945,R_DG!$A$7:$G$1305,3,0)</f>
        <v>Khóa đỡ dây cỡ dây 185</v>
      </c>
      <c r="E945" s="9" t="str">
        <f>VLOOKUP($B945,R_DG!$A$7:$G$1305,4,0)</f>
        <v>cái</v>
      </c>
      <c r="F945" s="11">
        <f t="shared" ca="1" si="267"/>
        <v>0</v>
      </c>
      <c r="G945" s="214">
        <f>VLOOKUP($B945,R_DG!$A$7:$G$1305,5,0)</f>
        <v>38091</v>
      </c>
      <c r="H945" s="214">
        <f>VLOOKUP($B945,R_DG!$A$7:$G$1305,6,0)</f>
        <v>0</v>
      </c>
      <c r="I945" s="214">
        <f>VLOOKUP($B945,R_DG!$A$7:$G$1305,7,0)</f>
        <v>0</v>
      </c>
      <c r="J945" s="214">
        <f t="shared" ca="1" si="268"/>
        <v>0</v>
      </c>
      <c r="K945" s="214">
        <f t="shared" ca="1" si="268"/>
        <v>0</v>
      </c>
      <c r="L945" s="220">
        <f t="shared" ca="1" si="268"/>
        <v>0</v>
      </c>
      <c r="M945" s="93">
        <f t="shared" ca="1" si="269"/>
        <v>0</v>
      </c>
      <c r="N945" s="332">
        <f t="shared" ca="1" si="270"/>
        <v>0</v>
      </c>
    </row>
    <row r="946" spans="1:14" ht="15">
      <c r="A946" s="87"/>
      <c r="B946" s="21" t="s">
        <v>2296</v>
      </c>
      <c r="C946" s="32">
        <f>VLOOKUP($B946,R_DG!$A$7:$G$1305,2,0)</f>
        <v>0</v>
      </c>
      <c r="D946" s="8" t="str">
        <f>VLOOKUP($B946,R_DG!$A$7:$G$1305,3,0)</f>
        <v>Khóa đỡ dây cỡ dây 150</v>
      </c>
      <c r="E946" s="9" t="str">
        <f>VLOOKUP($B946,R_DG!$A$7:$G$1305,4,0)</f>
        <v>cái</v>
      </c>
      <c r="F946" s="11">
        <f t="shared" ca="1" si="267"/>
        <v>0</v>
      </c>
      <c r="G946" s="214">
        <f>VLOOKUP($B946,R_DG!$A$7:$G$1305,5,0)</f>
        <v>38091</v>
      </c>
      <c r="H946" s="214">
        <f>VLOOKUP($B946,R_DG!$A$7:$G$1305,6,0)</f>
        <v>0</v>
      </c>
      <c r="I946" s="214">
        <f>VLOOKUP($B946,R_DG!$A$7:$G$1305,7,0)</f>
        <v>0</v>
      </c>
      <c r="J946" s="214">
        <f t="shared" ca="1" si="268"/>
        <v>0</v>
      </c>
      <c r="K946" s="214">
        <f t="shared" ca="1" si="268"/>
        <v>0</v>
      </c>
      <c r="L946" s="220">
        <f t="shared" ca="1" si="268"/>
        <v>0</v>
      </c>
      <c r="M946" s="93">
        <f t="shared" ca="1" si="269"/>
        <v>0</v>
      </c>
      <c r="N946" s="332">
        <f t="shared" ca="1" si="270"/>
        <v>0</v>
      </c>
    </row>
    <row r="947" spans="1:14" ht="15">
      <c r="A947" s="87"/>
      <c r="B947" s="21" t="s">
        <v>2297</v>
      </c>
      <c r="C947" s="32">
        <f>VLOOKUP($B947,R_DG!$A$7:$G$1305,2,0)</f>
        <v>0</v>
      </c>
      <c r="D947" s="8" t="str">
        <f>VLOOKUP($B947,R_DG!$A$7:$G$1305,3,0)</f>
        <v>Khóa đỡ dây cỡ dây 120</v>
      </c>
      <c r="E947" s="9" t="str">
        <f>VLOOKUP($B947,R_DG!$A$7:$G$1305,4,0)</f>
        <v>cái</v>
      </c>
      <c r="F947" s="11">
        <f t="shared" ca="1" si="267"/>
        <v>0</v>
      </c>
      <c r="G947" s="214">
        <f>VLOOKUP($B947,R_DG!$A$7:$G$1305,5,0)</f>
        <v>23545</v>
      </c>
      <c r="H947" s="214">
        <f>VLOOKUP($B947,R_DG!$A$7:$G$1305,6,0)</f>
        <v>0</v>
      </c>
      <c r="I947" s="214">
        <f>VLOOKUP($B947,R_DG!$A$7:$G$1305,7,0)</f>
        <v>0</v>
      </c>
      <c r="J947" s="214">
        <f t="shared" ca="1" si="268"/>
        <v>0</v>
      </c>
      <c r="K947" s="214">
        <f t="shared" ca="1" si="268"/>
        <v>0</v>
      </c>
      <c r="L947" s="220">
        <f t="shared" ca="1" si="268"/>
        <v>0</v>
      </c>
      <c r="M947" s="93">
        <f t="shared" ca="1" si="269"/>
        <v>0</v>
      </c>
      <c r="N947" s="332">
        <f t="shared" ca="1" si="270"/>
        <v>0</v>
      </c>
    </row>
    <row r="948" spans="1:14" ht="15">
      <c r="A948" s="87"/>
      <c r="B948" s="21" t="s">
        <v>2298</v>
      </c>
      <c r="C948" s="32">
        <f>VLOOKUP($B948,R_DG!$A$7:$G$1305,2,0)</f>
        <v>0</v>
      </c>
      <c r="D948" s="8" t="str">
        <f>VLOOKUP($B948,R_DG!$A$7:$G$1305,3,0)</f>
        <v>Khóa đỡ dây cỡ dây 95</v>
      </c>
      <c r="E948" s="9" t="str">
        <f>VLOOKUP($B948,R_DG!$A$7:$G$1305,4,0)</f>
        <v>cái</v>
      </c>
      <c r="F948" s="11">
        <f t="shared" ca="1" si="267"/>
        <v>0</v>
      </c>
      <c r="G948" s="214">
        <f>VLOOKUP($B948,R_DG!$A$7:$G$1305,5,0)</f>
        <v>23545</v>
      </c>
      <c r="H948" s="214">
        <f>VLOOKUP($B948,R_DG!$A$7:$G$1305,6,0)</f>
        <v>0</v>
      </c>
      <c r="I948" s="214">
        <f>VLOOKUP($B948,R_DG!$A$7:$G$1305,7,0)</f>
        <v>0</v>
      </c>
      <c r="J948" s="214">
        <f t="shared" ca="1" si="268"/>
        <v>0</v>
      </c>
      <c r="K948" s="214">
        <f t="shared" ca="1" si="268"/>
        <v>0</v>
      </c>
      <c r="L948" s="220">
        <f t="shared" ca="1" si="268"/>
        <v>0</v>
      </c>
      <c r="M948" s="93">
        <f t="shared" ca="1" si="269"/>
        <v>0</v>
      </c>
      <c r="N948" s="332">
        <f t="shared" ca="1" si="270"/>
        <v>0</v>
      </c>
    </row>
    <row r="949" spans="1:14" ht="15">
      <c r="A949" s="87"/>
      <c r="B949" s="21" t="s">
        <v>2299</v>
      </c>
      <c r="C949" s="32">
        <f>VLOOKUP($B949,R_DG!$A$7:$G$1305,2,0)</f>
        <v>0</v>
      </c>
      <c r="D949" s="8" t="str">
        <f>VLOOKUP($B949,R_DG!$A$7:$G$1305,3,0)</f>
        <v>Khóa đỡ dây cỡ dây 70</v>
      </c>
      <c r="E949" s="9" t="str">
        <f>VLOOKUP($B949,R_DG!$A$7:$G$1305,4,0)</f>
        <v>cái</v>
      </c>
      <c r="F949" s="11">
        <f t="shared" ca="1" si="267"/>
        <v>0</v>
      </c>
      <c r="G949" s="214">
        <f>VLOOKUP($B949,R_DG!$A$7:$G$1305,5,0)</f>
        <v>21727</v>
      </c>
      <c r="H949" s="214">
        <f>VLOOKUP($B949,R_DG!$A$7:$G$1305,6,0)</f>
        <v>0</v>
      </c>
      <c r="I949" s="214">
        <f>VLOOKUP($B949,R_DG!$A$7:$G$1305,7,0)</f>
        <v>0</v>
      </c>
      <c r="J949" s="214">
        <f t="shared" ca="1" si="268"/>
        <v>0</v>
      </c>
      <c r="K949" s="214">
        <f t="shared" ca="1" si="268"/>
        <v>0</v>
      </c>
      <c r="L949" s="220">
        <f t="shared" ca="1" si="268"/>
        <v>0</v>
      </c>
      <c r="M949" s="93">
        <f t="shared" ca="1" si="269"/>
        <v>0</v>
      </c>
      <c r="N949" s="332">
        <f t="shared" ca="1" si="270"/>
        <v>0</v>
      </c>
    </row>
    <row r="950" spans="1:14" ht="15">
      <c r="A950" s="87"/>
      <c r="B950" s="21" t="s">
        <v>2300</v>
      </c>
      <c r="C950" s="32">
        <f>VLOOKUP($B950,R_DG!$A$7:$G$1305,2,0)</f>
        <v>0</v>
      </c>
      <c r="D950" s="8" t="str">
        <f>VLOOKUP($B950,R_DG!$A$7:$G$1305,3,0)</f>
        <v>Khóa đỡ dây cỡ dây 50</v>
      </c>
      <c r="E950" s="9" t="str">
        <f>VLOOKUP($B950,R_DG!$A$7:$G$1305,4,0)</f>
        <v>cái</v>
      </c>
      <c r="F950" s="11">
        <f t="shared" ca="1" si="267"/>
        <v>0</v>
      </c>
      <c r="G950" s="214">
        <f>VLOOKUP($B950,R_DG!$A$7:$G$1305,5,0)</f>
        <v>21727</v>
      </c>
      <c r="H950" s="214">
        <f>VLOOKUP($B950,R_DG!$A$7:$G$1305,6,0)</f>
        <v>0</v>
      </c>
      <c r="I950" s="214">
        <f>VLOOKUP($B950,R_DG!$A$7:$G$1305,7,0)</f>
        <v>0</v>
      </c>
      <c r="J950" s="214">
        <f t="shared" ca="1" si="268"/>
        <v>0</v>
      </c>
      <c r="K950" s="214">
        <f t="shared" ca="1" si="268"/>
        <v>0</v>
      </c>
      <c r="L950" s="220">
        <f t="shared" ca="1" si="268"/>
        <v>0</v>
      </c>
      <c r="M950" s="93">
        <f t="shared" ca="1" si="269"/>
        <v>0</v>
      </c>
      <c r="N950" s="332">
        <f t="shared" ca="1" si="270"/>
        <v>0</v>
      </c>
    </row>
    <row r="951" spans="1:14" ht="15">
      <c r="A951" s="87"/>
      <c r="B951" s="21" t="s">
        <v>563</v>
      </c>
      <c r="C951" s="32">
        <f>VLOOKUP($B951,R_DG!$A$7:$G$1305,2,0)</f>
        <v>0</v>
      </c>
      <c r="D951" s="8" t="str">
        <f>VLOOKUP($B951,R_DG!$A$7:$G$1305,3,0)</f>
        <v>Khóa néo dây cỡ dây 240</v>
      </c>
      <c r="E951" s="9" t="str">
        <f>VLOOKUP($B951,R_DG!$A$7:$G$1305,4,0)</f>
        <v>cái</v>
      </c>
      <c r="F951" s="11">
        <f t="shared" ca="1" si="267"/>
        <v>0</v>
      </c>
      <c r="G951" s="214">
        <f>VLOOKUP($B951,R_DG!$A$7:$G$1305,5,0)</f>
        <v>82000</v>
      </c>
      <c r="H951" s="214">
        <f>VLOOKUP($B951,R_DG!$A$7:$G$1305,6,0)</f>
        <v>0</v>
      </c>
      <c r="I951" s="214">
        <f>VLOOKUP($B951,R_DG!$A$7:$G$1305,7,0)</f>
        <v>0</v>
      </c>
      <c r="J951" s="214">
        <f t="shared" ca="1" si="268"/>
        <v>0</v>
      </c>
      <c r="K951" s="214">
        <f t="shared" ca="1" si="268"/>
        <v>0</v>
      </c>
      <c r="L951" s="220">
        <f t="shared" ca="1" si="268"/>
        <v>0</v>
      </c>
      <c r="M951" s="93">
        <f t="shared" ca="1" si="269"/>
        <v>0</v>
      </c>
      <c r="N951" s="332">
        <f t="shared" ca="1" si="270"/>
        <v>0</v>
      </c>
    </row>
    <row r="952" spans="1:14" ht="15">
      <c r="A952" s="87"/>
      <c r="B952" s="22" t="s">
        <v>561</v>
      </c>
      <c r="C952" s="32">
        <f>VLOOKUP($B952,R_DG!$A$7:$G$1305,2,0)</f>
        <v>0</v>
      </c>
      <c r="D952" s="8" t="str">
        <f>VLOOKUP($B952,R_DG!$A$7:$G$1305,3,0)</f>
        <v>Khóa néo dây cỡ dây 185</v>
      </c>
      <c r="E952" s="9" t="str">
        <f>VLOOKUP($B952,R_DG!$A$7:$G$1305,4,0)</f>
        <v>cái</v>
      </c>
      <c r="F952" s="11">
        <f t="shared" ca="1" si="267"/>
        <v>0</v>
      </c>
      <c r="G952" s="214">
        <f>VLOOKUP($B952,R_DG!$A$7:$G$1305,5,0)</f>
        <v>88000</v>
      </c>
      <c r="H952" s="214">
        <f>VLOOKUP($B952,R_DG!$A$7:$G$1305,6,0)</f>
        <v>0</v>
      </c>
      <c r="I952" s="214">
        <f>VLOOKUP($B952,R_DG!$A$7:$G$1305,7,0)</f>
        <v>0</v>
      </c>
      <c r="J952" s="214">
        <f t="shared" ca="1" si="268"/>
        <v>0</v>
      </c>
      <c r="K952" s="214">
        <f t="shared" ca="1" si="268"/>
        <v>0</v>
      </c>
      <c r="L952" s="220">
        <f t="shared" ca="1" si="268"/>
        <v>0</v>
      </c>
      <c r="M952" s="93">
        <f t="shared" ca="1" si="269"/>
        <v>0</v>
      </c>
      <c r="N952" s="332">
        <f t="shared" ca="1" si="270"/>
        <v>0</v>
      </c>
    </row>
    <row r="953" spans="1:14" ht="15">
      <c r="A953" s="87"/>
      <c r="B953" s="21" t="s">
        <v>559</v>
      </c>
      <c r="C953" s="32">
        <f>VLOOKUP($B953,R_DG!$A$7:$G$1305,2,0)</f>
        <v>0</v>
      </c>
      <c r="D953" s="8" t="str">
        <f>VLOOKUP($B953,R_DG!$A$7:$G$1305,3,0)</f>
        <v>Khóa néo dây cỡ dây 150</v>
      </c>
      <c r="E953" s="9" t="str">
        <f>VLOOKUP($B953,R_DG!$A$7:$G$1305,4,0)</f>
        <v>cái</v>
      </c>
      <c r="F953" s="11">
        <f t="shared" ca="1" si="267"/>
        <v>0</v>
      </c>
      <c r="G953" s="214">
        <f>VLOOKUP($B953,R_DG!$A$7:$G$1305,5,0)</f>
        <v>77500</v>
      </c>
      <c r="H953" s="214">
        <f>VLOOKUP($B953,R_DG!$A$7:$G$1305,6,0)</f>
        <v>0</v>
      </c>
      <c r="I953" s="214">
        <f>VLOOKUP($B953,R_DG!$A$7:$G$1305,7,0)</f>
        <v>0</v>
      </c>
      <c r="J953" s="214">
        <f t="shared" ca="1" si="268"/>
        <v>0</v>
      </c>
      <c r="K953" s="214">
        <f t="shared" ca="1" si="268"/>
        <v>0</v>
      </c>
      <c r="L953" s="220">
        <f t="shared" ca="1" si="268"/>
        <v>0</v>
      </c>
      <c r="M953" s="93">
        <f t="shared" ca="1" si="269"/>
        <v>0</v>
      </c>
      <c r="N953" s="332">
        <f t="shared" ca="1" si="270"/>
        <v>0</v>
      </c>
    </row>
    <row r="954" spans="1:14" ht="15">
      <c r="A954" s="87"/>
      <c r="B954" s="22" t="s">
        <v>557</v>
      </c>
      <c r="C954" s="32">
        <f>VLOOKUP($B954,R_DG!$A$7:$G$1305,2,0)</f>
        <v>0</v>
      </c>
      <c r="D954" s="8" t="str">
        <f>VLOOKUP($B954,R_DG!$A$7:$G$1305,3,0)</f>
        <v>Khóa néo dây cỡ dây 120</v>
      </c>
      <c r="E954" s="9" t="str">
        <f>VLOOKUP($B954,R_DG!$A$7:$G$1305,4,0)</f>
        <v>cái</v>
      </c>
      <c r="F954" s="11">
        <f t="shared" ca="1" si="267"/>
        <v>0</v>
      </c>
      <c r="G954" s="214">
        <f>VLOOKUP($B954,R_DG!$A$7:$G$1305,5,0)</f>
        <v>66000</v>
      </c>
      <c r="H954" s="214">
        <f>VLOOKUP($B954,R_DG!$A$7:$G$1305,6,0)</f>
        <v>0</v>
      </c>
      <c r="I954" s="214">
        <f>VLOOKUP($B954,R_DG!$A$7:$G$1305,7,0)</f>
        <v>0</v>
      </c>
      <c r="J954" s="214">
        <f t="shared" ca="1" si="268"/>
        <v>0</v>
      </c>
      <c r="K954" s="214">
        <f t="shared" ca="1" si="268"/>
        <v>0</v>
      </c>
      <c r="L954" s="220">
        <f t="shared" ca="1" si="268"/>
        <v>0</v>
      </c>
      <c r="M954" s="93">
        <f t="shared" ca="1" si="269"/>
        <v>0</v>
      </c>
      <c r="N954" s="332">
        <f t="shared" ca="1" si="270"/>
        <v>0</v>
      </c>
    </row>
    <row r="955" spans="1:14" ht="15">
      <c r="A955" s="87"/>
      <c r="B955" s="21" t="s">
        <v>555</v>
      </c>
      <c r="C955" s="32">
        <f>VLOOKUP($B955,R_DG!$A$7:$G$1305,2,0)</f>
        <v>0</v>
      </c>
      <c r="D955" s="8" t="str">
        <f>VLOOKUP($B955,R_DG!$A$7:$G$1305,3,0)</f>
        <v>Khóa néo dây cỡ dây 95</v>
      </c>
      <c r="E955" s="9" t="str">
        <f>VLOOKUP($B955,R_DG!$A$7:$G$1305,4,0)</f>
        <v>cái</v>
      </c>
      <c r="F955" s="11">
        <f t="shared" ca="1" si="267"/>
        <v>0</v>
      </c>
      <c r="G955" s="214">
        <f>VLOOKUP($B955,R_DG!$A$7:$G$1305,5,0)</f>
        <v>66000</v>
      </c>
      <c r="H955" s="214">
        <f>VLOOKUP($B955,R_DG!$A$7:$G$1305,6,0)</f>
        <v>0</v>
      </c>
      <c r="I955" s="214">
        <f>VLOOKUP($B955,R_DG!$A$7:$G$1305,7,0)</f>
        <v>0</v>
      </c>
      <c r="J955" s="214">
        <f t="shared" ca="1" si="268"/>
        <v>0</v>
      </c>
      <c r="K955" s="214">
        <f t="shared" ca="1" si="268"/>
        <v>0</v>
      </c>
      <c r="L955" s="220">
        <f t="shared" ca="1" si="268"/>
        <v>0</v>
      </c>
      <c r="M955" s="93">
        <f t="shared" ca="1" si="269"/>
        <v>0</v>
      </c>
      <c r="N955" s="332">
        <f t="shared" ca="1" si="270"/>
        <v>0</v>
      </c>
    </row>
    <row r="956" spans="1:14" ht="15">
      <c r="A956" s="87"/>
      <c r="B956" s="22" t="s">
        <v>553</v>
      </c>
      <c r="C956" s="32">
        <f>VLOOKUP($B956,R_DG!$A$7:$G$1305,2,0)</f>
        <v>0</v>
      </c>
      <c r="D956" s="8" t="str">
        <f>VLOOKUP($B956,R_DG!$A$7:$G$1305,3,0)</f>
        <v>Khóa néo dây cỡ dây 70</v>
      </c>
      <c r="E956" s="9" t="str">
        <f>VLOOKUP($B956,R_DG!$A$7:$G$1305,4,0)</f>
        <v>cái</v>
      </c>
      <c r="F956" s="11">
        <f t="shared" ca="1" si="267"/>
        <v>0</v>
      </c>
      <c r="G956" s="214">
        <f>VLOOKUP($B956,R_DG!$A$7:$G$1305,5,0)</f>
        <v>41300</v>
      </c>
      <c r="H956" s="214">
        <f>VLOOKUP($B956,R_DG!$A$7:$G$1305,6,0)</f>
        <v>0</v>
      </c>
      <c r="I956" s="214">
        <f>VLOOKUP($B956,R_DG!$A$7:$G$1305,7,0)</f>
        <v>0</v>
      </c>
      <c r="J956" s="214">
        <f t="shared" ca="1" si="268"/>
        <v>0</v>
      </c>
      <c r="K956" s="214">
        <f t="shared" ca="1" si="268"/>
        <v>0</v>
      </c>
      <c r="L956" s="220">
        <f t="shared" ca="1" si="268"/>
        <v>0</v>
      </c>
      <c r="M956" s="93">
        <f t="shared" ca="1" si="269"/>
        <v>0</v>
      </c>
      <c r="N956" s="332">
        <f t="shared" ca="1" si="270"/>
        <v>0</v>
      </c>
    </row>
    <row r="957" spans="1:14" ht="15">
      <c r="A957" s="87"/>
      <c r="B957" s="22" t="s">
        <v>552</v>
      </c>
      <c r="C957" s="32">
        <f>VLOOKUP($B957,R_DG!$A$7:$G$1305,2,0)</f>
        <v>0</v>
      </c>
      <c r="D957" s="8" t="str">
        <f>VLOOKUP($B957,R_DG!$A$7:$G$1305,3,0)</f>
        <v>Khóa néo dây cỡ dây 50 (5U)</v>
      </c>
      <c r="E957" s="9" t="str">
        <f>VLOOKUP($B957,R_DG!$A$7:$G$1305,4,0)</f>
        <v>cái</v>
      </c>
      <c r="F957" s="11">
        <f t="shared" ca="1" si="267"/>
        <v>0</v>
      </c>
      <c r="G957" s="214">
        <f>VLOOKUP($B957,R_DG!$A$7:$G$1305,5,0)</f>
        <v>62700</v>
      </c>
      <c r="H957" s="214">
        <f>VLOOKUP($B957,R_DG!$A$7:$G$1305,6,0)</f>
        <v>0</v>
      </c>
      <c r="I957" s="214">
        <f>VLOOKUP($B957,R_DG!$A$7:$G$1305,7,0)</f>
        <v>0</v>
      </c>
      <c r="J957" s="214">
        <f t="shared" ca="1" si="268"/>
        <v>0</v>
      </c>
      <c r="K957" s="214">
        <f t="shared" ca="1" si="268"/>
        <v>0</v>
      </c>
      <c r="L957" s="220">
        <f t="shared" ca="1" si="268"/>
        <v>0</v>
      </c>
      <c r="M957" s="93">
        <f t="shared" ca="1" si="269"/>
        <v>0</v>
      </c>
      <c r="N957" s="332">
        <f t="shared" ca="1" si="270"/>
        <v>0</v>
      </c>
    </row>
    <row r="958" spans="1:14" ht="15">
      <c r="A958" s="87"/>
      <c r="B958" s="21" t="s">
        <v>2301</v>
      </c>
      <c r="C958" s="32">
        <f>VLOOKUP($B958,R_DG!$A$7:$G$1305,2,0)</f>
        <v>0</v>
      </c>
      <c r="D958" s="8" t="str">
        <f>VLOOKUP($B958,R_DG!$A$7:$G$1305,3,0)</f>
        <v>Kẹp 2 rãnh (APC) cỡ dây 50mm2</v>
      </c>
      <c r="E958" s="9" t="str">
        <f>VLOOKUP($B958,R_DG!$A$7:$G$1305,4,0)</f>
        <v>cái</v>
      </c>
      <c r="F958" s="11">
        <f t="shared" ca="1" si="267"/>
        <v>0</v>
      </c>
      <c r="G958" s="214">
        <f>VLOOKUP($B958,R_DG!$A$7:$G$1305,5,0)</f>
        <v>6400</v>
      </c>
      <c r="H958" s="214">
        <f>VLOOKUP($B958,R_DG!$A$7:$G$1305,6,0)</f>
        <v>0</v>
      </c>
      <c r="I958" s="214">
        <f>VLOOKUP($B958,R_DG!$A$7:$G$1305,7,0)</f>
        <v>0</v>
      </c>
      <c r="J958" s="214">
        <f t="shared" ca="1" si="268"/>
        <v>0</v>
      </c>
      <c r="K958" s="214">
        <f t="shared" ca="1" si="268"/>
        <v>0</v>
      </c>
      <c r="L958" s="220">
        <f t="shared" ca="1" si="268"/>
        <v>0</v>
      </c>
      <c r="M958" s="93">
        <f t="shared" ca="1" si="269"/>
        <v>0</v>
      </c>
      <c r="N958" s="332">
        <f t="shared" ca="1" si="270"/>
        <v>0</v>
      </c>
    </row>
    <row r="959" spans="1:14" ht="15">
      <c r="A959" s="87"/>
      <c r="B959" s="21" t="s">
        <v>2302</v>
      </c>
      <c r="C959" s="32">
        <f>VLOOKUP($B959,R_DG!$A$7:$G$1305,2,0)</f>
        <v>0</v>
      </c>
      <c r="D959" s="8" t="str">
        <f>VLOOKUP($B959,R_DG!$A$7:$G$1305,3,0)</f>
        <v>Kẹp 2 rãnh (APC) cỡ dây 70mm2</v>
      </c>
      <c r="E959" s="9" t="str">
        <f>VLOOKUP($B959,R_DG!$A$7:$G$1305,4,0)</f>
        <v>cái</v>
      </c>
      <c r="F959" s="11">
        <f t="shared" ca="1" si="267"/>
        <v>0</v>
      </c>
      <c r="G959" s="214">
        <f>VLOOKUP($B959,R_DG!$A$7:$G$1305,5,0)</f>
        <v>6400</v>
      </c>
      <c r="H959" s="214">
        <f>VLOOKUP($B959,R_DG!$A$7:$G$1305,6,0)</f>
        <v>0</v>
      </c>
      <c r="I959" s="214">
        <f>VLOOKUP($B959,R_DG!$A$7:$G$1305,7,0)</f>
        <v>0</v>
      </c>
      <c r="J959" s="214">
        <f t="shared" ca="1" si="268"/>
        <v>0</v>
      </c>
      <c r="K959" s="214">
        <f t="shared" ca="1" si="268"/>
        <v>0</v>
      </c>
      <c r="L959" s="220">
        <f t="shared" ca="1" si="268"/>
        <v>0</v>
      </c>
      <c r="M959" s="93">
        <f t="shared" ca="1" si="269"/>
        <v>0</v>
      </c>
      <c r="N959" s="332">
        <f t="shared" ca="1" si="270"/>
        <v>0</v>
      </c>
    </row>
    <row r="960" spans="1:14" ht="15">
      <c r="A960" s="87"/>
      <c r="B960" s="21" t="s">
        <v>2303</v>
      </c>
      <c r="C960" s="32">
        <f>VLOOKUP($B960,R_DG!$A$7:$G$1305,2,0)</f>
        <v>0</v>
      </c>
      <c r="D960" s="8" t="str">
        <f>VLOOKUP($B960,R_DG!$A$7:$G$1305,3,0)</f>
        <v>Kẹp 2 rãnh (APC) cỡ dây 95mm2</v>
      </c>
      <c r="E960" s="9" t="str">
        <f>VLOOKUP($B960,R_DG!$A$7:$G$1305,4,0)</f>
        <v>cái</v>
      </c>
      <c r="F960" s="11">
        <f t="shared" ca="1" si="267"/>
        <v>0</v>
      </c>
      <c r="G960" s="214">
        <f>VLOOKUP($B960,R_DG!$A$7:$G$1305,5,0)</f>
        <v>10600</v>
      </c>
      <c r="H960" s="214">
        <f>VLOOKUP($B960,R_DG!$A$7:$G$1305,6,0)</f>
        <v>0</v>
      </c>
      <c r="I960" s="214">
        <f>VLOOKUP($B960,R_DG!$A$7:$G$1305,7,0)</f>
        <v>0</v>
      </c>
      <c r="J960" s="214">
        <f t="shared" ca="1" si="268"/>
        <v>0</v>
      </c>
      <c r="K960" s="214">
        <f t="shared" ca="1" si="268"/>
        <v>0</v>
      </c>
      <c r="L960" s="220">
        <f t="shared" ca="1" si="268"/>
        <v>0</v>
      </c>
      <c r="M960" s="93">
        <f t="shared" ca="1" si="269"/>
        <v>0</v>
      </c>
      <c r="N960" s="332">
        <f t="shared" ca="1" si="270"/>
        <v>0</v>
      </c>
    </row>
    <row r="961" spans="1:14" ht="15">
      <c r="A961" s="87"/>
      <c r="B961" s="21" t="s">
        <v>4834</v>
      </c>
      <c r="C961" s="32">
        <f>VLOOKUP($B961,R_DG!$A$7:$G$1305,2,0)</f>
        <v>0</v>
      </c>
      <c r="D961" s="8" t="str">
        <f>VLOOKUP($B961,R_DG!$A$7:$G$1305,3,0)</f>
        <v>Kẹp 2 rãnh (APC) cỡ dây 120mm2</v>
      </c>
      <c r="E961" s="9" t="str">
        <f>VLOOKUP($B961,R_DG!$A$7:$G$1305,4,0)</f>
        <v>cái</v>
      </c>
      <c r="F961" s="11">
        <f t="shared" ca="1" si="267"/>
        <v>0</v>
      </c>
      <c r="G961" s="214">
        <f>VLOOKUP($B961,R_DG!$A$7:$G$1305,5,0)</f>
        <v>16000</v>
      </c>
      <c r="H961" s="214">
        <f>VLOOKUP($B961,R_DG!$A$7:$G$1305,6,0)</f>
        <v>0</v>
      </c>
      <c r="I961" s="214">
        <f>VLOOKUP($B961,R_DG!$A$7:$G$1305,7,0)</f>
        <v>0</v>
      </c>
      <c r="J961" s="214">
        <f t="shared" ca="1" si="268"/>
        <v>0</v>
      </c>
      <c r="K961" s="214">
        <f t="shared" ca="1" si="268"/>
        <v>0</v>
      </c>
      <c r="L961" s="220">
        <f t="shared" ca="1" si="268"/>
        <v>0</v>
      </c>
      <c r="M961" s="93">
        <f t="shared" ca="1" si="269"/>
        <v>0</v>
      </c>
      <c r="N961" s="332">
        <f t="shared" ca="1" si="270"/>
        <v>0</v>
      </c>
    </row>
    <row r="962" spans="1:14" ht="15">
      <c r="A962" s="87"/>
      <c r="B962" s="21" t="s">
        <v>4835</v>
      </c>
      <c r="C962" s="32">
        <f>VLOOKUP($B962,R_DG!$A$7:$G$1305,2,0)</f>
        <v>0</v>
      </c>
      <c r="D962" s="8" t="str">
        <f>VLOOKUP($B962,R_DG!$A$7:$G$1305,3,0)</f>
        <v>Kẹp 2 rãnh (APC) cỡ dây 150mm2</v>
      </c>
      <c r="E962" s="9" t="str">
        <f>VLOOKUP($B962,R_DG!$A$7:$G$1305,4,0)</f>
        <v>cái</v>
      </c>
      <c r="F962" s="11">
        <f t="shared" ca="1" si="267"/>
        <v>0</v>
      </c>
      <c r="G962" s="214">
        <f>VLOOKUP($B962,R_DG!$A$7:$G$1305,5,0)</f>
        <v>16000</v>
      </c>
      <c r="H962" s="214">
        <f>VLOOKUP($B962,R_DG!$A$7:$G$1305,6,0)</f>
        <v>0</v>
      </c>
      <c r="I962" s="214">
        <f>VLOOKUP($B962,R_DG!$A$7:$G$1305,7,0)</f>
        <v>0</v>
      </c>
      <c r="J962" s="214">
        <f t="shared" ca="1" si="268"/>
        <v>0</v>
      </c>
      <c r="K962" s="214">
        <f t="shared" ca="1" si="268"/>
        <v>0</v>
      </c>
      <c r="L962" s="220">
        <f t="shared" ca="1" si="268"/>
        <v>0</v>
      </c>
      <c r="M962" s="93">
        <f t="shared" ca="1" si="269"/>
        <v>0</v>
      </c>
      <c r="N962" s="332">
        <f t="shared" ca="1" si="270"/>
        <v>0</v>
      </c>
    </row>
    <row r="963" spans="1:14" ht="15">
      <c r="A963" s="87"/>
      <c r="B963" s="21" t="s">
        <v>2208</v>
      </c>
      <c r="C963" s="32" t="str">
        <f>VLOOKUP($B963,R_DG!$A$7:$G$1305,2,0)</f>
        <v>D3.4011</v>
      </c>
      <c r="D963" s="8" t="str">
        <f>VLOOKUP($B963,R_DG!$A$7:$G$1305,3,0)</f>
        <v>Kẹp ép WR cỡ dây 50mm2</v>
      </c>
      <c r="E963" s="9" t="str">
        <f>VLOOKUP($B963,R_DG!$A$7:$G$1305,4,0)</f>
        <v>cái</v>
      </c>
      <c r="F963" s="11">
        <f t="shared" ca="1" si="267"/>
        <v>0</v>
      </c>
      <c r="G963" s="214">
        <f>VLOOKUP($B963,R_DG!$A$7:$G$1305,5,0)</f>
        <v>13000</v>
      </c>
      <c r="H963" s="214">
        <f>VLOOKUP($B963,R_DG!$A$7:$G$1305,6,0)</f>
        <v>259648.56000000003</v>
      </c>
      <c r="I963" s="214">
        <f>VLOOKUP($B963,R_DG!$A$7:$G$1305,7,0)</f>
        <v>4712.5600000000004</v>
      </c>
      <c r="J963" s="214">
        <f t="shared" ca="1" si="268"/>
        <v>0</v>
      </c>
      <c r="K963" s="214">
        <f t="shared" ca="1" si="268"/>
        <v>0</v>
      </c>
      <c r="L963" s="220">
        <f t="shared" ca="1" si="268"/>
        <v>0</v>
      </c>
      <c r="M963" s="93">
        <f t="shared" ca="1" si="269"/>
        <v>0</v>
      </c>
      <c r="N963" s="332">
        <f t="shared" ca="1" si="270"/>
        <v>0</v>
      </c>
    </row>
    <row r="964" spans="1:14" ht="15">
      <c r="A964" s="87"/>
      <c r="B964" s="21" t="s">
        <v>2304</v>
      </c>
      <c r="C964" s="32" t="str">
        <f>VLOOKUP($B964,R_DG!$A$7:$G$1305,2,0)</f>
        <v>D3.4011</v>
      </c>
      <c r="D964" s="8" t="str">
        <f>VLOOKUP($B964,R_DG!$A$7:$G$1305,3,0)</f>
        <v>Kẹp ép WR cỡ dây 70mm2</v>
      </c>
      <c r="E964" s="9" t="str">
        <f>VLOOKUP($B964,R_DG!$A$7:$G$1305,4,0)</f>
        <v>cái</v>
      </c>
      <c r="F964" s="11">
        <f t="shared" ca="1" si="267"/>
        <v>0</v>
      </c>
      <c r="G964" s="214">
        <f>VLOOKUP($B964,R_DG!$A$7:$G$1305,5,0)</f>
        <v>14000</v>
      </c>
      <c r="H964" s="214">
        <f>VLOOKUP($B964,R_DG!$A$7:$G$1305,6,0)</f>
        <v>259648.56000000003</v>
      </c>
      <c r="I964" s="214">
        <f>VLOOKUP($B964,R_DG!$A$7:$G$1305,7,0)</f>
        <v>4712.5600000000004</v>
      </c>
      <c r="J964" s="214">
        <f t="shared" ca="1" si="268"/>
        <v>0</v>
      </c>
      <c r="K964" s="214">
        <f t="shared" ca="1" si="268"/>
        <v>0</v>
      </c>
      <c r="L964" s="220">
        <f t="shared" ca="1" si="268"/>
        <v>0</v>
      </c>
      <c r="M964" s="93">
        <f t="shared" ca="1" si="269"/>
        <v>0</v>
      </c>
      <c r="N964" s="332">
        <f t="shared" ca="1" si="270"/>
        <v>0</v>
      </c>
    </row>
    <row r="965" spans="1:14" ht="15">
      <c r="A965" s="87"/>
      <c r="B965" s="21" t="s">
        <v>2305</v>
      </c>
      <c r="C965" s="32" t="str">
        <f>VLOOKUP($B965,R_DG!$A$7:$G$1305,2,0)</f>
        <v>D3.4012</v>
      </c>
      <c r="D965" s="8" t="str">
        <f>VLOOKUP($B965,R_DG!$A$7:$G$1305,3,0)</f>
        <v>Kẹp ép WR cỡ dây 150mm2</v>
      </c>
      <c r="E965" s="9" t="str">
        <f>VLOOKUP($B965,R_DG!$A$7:$G$1305,4,0)</f>
        <v>cái</v>
      </c>
      <c r="F965" s="11">
        <f t="shared" ca="1" si="267"/>
        <v>0</v>
      </c>
      <c r="G965" s="214">
        <f>VLOOKUP($B965,R_DG!$A$7:$G$1305,5,0)</f>
        <v>16000</v>
      </c>
      <c r="H965" s="214">
        <f>VLOOKUP($B965,R_DG!$A$7:$G$1305,6,0)</f>
        <v>326654.63999999996</v>
      </c>
      <c r="I965" s="214">
        <f>VLOOKUP($B965,R_DG!$A$7:$G$1305,7,0)</f>
        <v>4712.5600000000004</v>
      </c>
      <c r="J965" s="214">
        <f t="shared" ca="1" si="268"/>
        <v>0</v>
      </c>
      <c r="K965" s="214">
        <f t="shared" ca="1" si="268"/>
        <v>0</v>
      </c>
      <c r="L965" s="220">
        <f t="shared" ca="1" si="268"/>
        <v>0</v>
      </c>
      <c r="M965" s="93">
        <f t="shared" ca="1" si="269"/>
        <v>0</v>
      </c>
      <c r="N965" s="332">
        <f t="shared" ca="1" si="270"/>
        <v>0</v>
      </c>
    </row>
    <row r="966" spans="1:14" ht="15">
      <c r="A966" s="87"/>
      <c r="B966" s="21" t="s">
        <v>2306</v>
      </c>
      <c r="C966" s="32" t="str">
        <f>VLOOKUP($B966,R_DG!$A$7:$G$1305,2,0)</f>
        <v>D3.4013</v>
      </c>
      <c r="D966" s="8" t="str">
        <f>VLOOKUP($B966,R_DG!$A$7:$G$1305,3,0)</f>
        <v>Kẹp ép WR cỡ dây 185mm2</v>
      </c>
      <c r="E966" s="9" t="str">
        <f>VLOOKUP($B966,R_DG!$A$7:$G$1305,4,0)</f>
        <v>cái</v>
      </c>
      <c r="F966" s="11">
        <f t="shared" ca="1" si="267"/>
        <v>0</v>
      </c>
      <c r="G966" s="214">
        <f>VLOOKUP($B966,R_DG!$A$7:$G$1305,5,0)</f>
        <v>21200</v>
      </c>
      <c r="H966" s="214">
        <f>VLOOKUP($B966,R_DG!$A$7:$G$1305,6,0)</f>
        <v>402036.47999999998</v>
      </c>
      <c r="I966" s="214">
        <f>VLOOKUP($B966,R_DG!$A$7:$G$1305,7,0)</f>
        <v>4712.5600000000004</v>
      </c>
      <c r="J966" s="214">
        <f t="shared" ca="1" si="268"/>
        <v>0</v>
      </c>
      <c r="K966" s="214">
        <f t="shared" ca="1" si="268"/>
        <v>0</v>
      </c>
      <c r="L966" s="220">
        <f t="shared" ca="1" si="268"/>
        <v>0</v>
      </c>
      <c r="M966" s="93">
        <f t="shared" ca="1" si="269"/>
        <v>0</v>
      </c>
      <c r="N966" s="332">
        <f t="shared" ca="1" si="270"/>
        <v>0</v>
      </c>
    </row>
    <row r="967" spans="1:14" ht="15">
      <c r="A967" s="87"/>
      <c r="B967" s="21" t="s">
        <v>2307</v>
      </c>
      <c r="C967" s="32" t="str">
        <f>VLOOKUP($B967,R_DG!$A$7:$G$1305,2,0)</f>
        <v>D3.4014</v>
      </c>
      <c r="D967" s="8" t="str">
        <f>VLOOKUP($B967,R_DG!$A$7:$G$1305,3,0)</f>
        <v>Kẹp ép WR cỡ dây 240mm2</v>
      </c>
      <c r="E967" s="9" t="str">
        <f>VLOOKUP($B967,R_DG!$A$7:$G$1305,4,0)</f>
        <v>cái</v>
      </c>
      <c r="F967" s="11">
        <f t="shared" ca="1" si="267"/>
        <v>0</v>
      </c>
      <c r="G967" s="214">
        <f>VLOOKUP($B967,R_DG!$A$7:$G$1305,5,0)</f>
        <v>25000</v>
      </c>
      <c r="H967" s="214">
        <f>VLOOKUP($B967,R_DG!$A$7:$G$1305,6,0)</f>
        <v>522089.04000000004</v>
      </c>
      <c r="I967" s="214">
        <f>VLOOKUP($B967,R_DG!$A$7:$G$1305,7,0)</f>
        <v>5890.7000000000007</v>
      </c>
      <c r="J967" s="214">
        <f t="shared" ca="1" si="268"/>
        <v>0</v>
      </c>
      <c r="K967" s="214">
        <f t="shared" ca="1" si="268"/>
        <v>0</v>
      </c>
      <c r="L967" s="220">
        <f t="shared" ca="1" si="268"/>
        <v>0</v>
      </c>
      <c r="M967" s="93">
        <f t="shared" ca="1" si="269"/>
        <v>0</v>
      </c>
      <c r="N967" s="332">
        <f t="shared" ca="1" si="270"/>
        <v>0</v>
      </c>
    </row>
    <row r="968" spans="1:14" ht="15">
      <c r="A968" s="87"/>
      <c r="B968" s="21" t="s">
        <v>2308</v>
      </c>
      <c r="C968" s="32">
        <f>VLOOKUP($B968,R_DG!$A$7:$G$1305,2,0)</f>
        <v>0</v>
      </c>
      <c r="D968" s="8" t="str">
        <f>VLOOKUP($B968,R_DG!$A$7:$G$1305,3,0)</f>
        <v>Đầu cosse ép Cu-Al 70mm2</v>
      </c>
      <c r="E968" s="9" t="str">
        <f>VLOOKUP($B968,R_DG!$A$7:$G$1305,4,0)</f>
        <v>cái</v>
      </c>
      <c r="F968" s="11">
        <f t="shared" ca="1" si="267"/>
        <v>0</v>
      </c>
      <c r="G968" s="214">
        <f>VLOOKUP($B968,R_DG!$A$7:$G$1305,5,0)</f>
        <v>18000</v>
      </c>
      <c r="H968" s="214">
        <f>VLOOKUP($B968,R_DG!$A$7:$G$1305,6,0)</f>
        <v>0</v>
      </c>
      <c r="I968" s="214">
        <f>VLOOKUP($B968,R_DG!$A$7:$G$1305,7,0)</f>
        <v>0</v>
      </c>
      <c r="J968" s="214">
        <f t="shared" ca="1" si="268"/>
        <v>0</v>
      </c>
      <c r="K968" s="214">
        <f t="shared" ca="1" si="268"/>
        <v>0</v>
      </c>
      <c r="L968" s="220">
        <f t="shared" ca="1" si="268"/>
        <v>0</v>
      </c>
      <c r="M968" s="93">
        <f t="shared" ca="1" si="269"/>
        <v>0</v>
      </c>
      <c r="N968" s="332">
        <f t="shared" ca="1" si="270"/>
        <v>0</v>
      </c>
    </row>
    <row r="969" spans="1:14" ht="15">
      <c r="A969" s="87"/>
      <c r="B969" s="21" t="s">
        <v>2308</v>
      </c>
      <c r="C969" s="32">
        <f>VLOOKUP($B969,R_DG!$A$7:$G$1305,2,0)</f>
        <v>0</v>
      </c>
      <c r="D969" s="8" t="str">
        <f>VLOOKUP($B969,R_DG!$A$7:$G$1305,3,0)</f>
        <v>Đầu cosse ép Cu-Al 70mm2</v>
      </c>
      <c r="E969" s="9" t="str">
        <f>VLOOKUP($B969,R_DG!$A$7:$G$1305,4,0)</f>
        <v>cái</v>
      </c>
      <c r="F969" s="11">
        <f t="shared" ca="1" si="267"/>
        <v>0</v>
      </c>
      <c r="G969" s="214">
        <f>VLOOKUP($B969,R_DG!$A$7:$G$1305,5,0)</f>
        <v>18000</v>
      </c>
      <c r="H969" s="214">
        <f>VLOOKUP($B969,R_DG!$A$7:$G$1305,6,0)</f>
        <v>0</v>
      </c>
      <c r="I969" s="214">
        <f>VLOOKUP($B969,R_DG!$A$7:$G$1305,7,0)</f>
        <v>0</v>
      </c>
      <c r="J969" s="214">
        <f t="shared" ca="1" si="268"/>
        <v>0</v>
      </c>
      <c r="K969" s="214">
        <f t="shared" ca="1" si="268"/>
        <v>0</v>
      </c>
      <c r="L969" s="220">
        <f t="shared" ca="1" si="268"/>
        <v>0</v>
      </c>
      <c r="M969" s="93">
        <f t="shared" ca="1" si="269"/>
        <v>0</v>
      </c>
      <c r="N969" s="332">
        <f t="shared" ca="1" si="270"/>
        <v>0</v>
      </c>
    </row>
    <row r="970" spans="1:14" ht="15">
      <c r="A970" s="87"/>
      <c r="B970" s="21" t="s">
        <v>2309</v>
      </c>
      <c r="C970" s="32">
        <f>VLOOKUP($B970,R_DG!$A$7:$G$1305,2,0)</f>
        <v>0</v>
      </c>
      <c r="D970" s="8" t="str">
        <f>VLOOKUP($B970,R_DG!$A$7:$G$1305,3,0)</f>
        <v>Đầu cosse ép Cu-Al 95mm2</v>
      </c>
      <c r="E970" s="9" t="str">
        <f>VLOOKUP($B970,R_DG!$A$7:$G$1305,4,0)</f>
        <v>cái</v>
      </c>
      <c r="F970" s="11">
        <f t="shared" ca="1" si="267"/>
        <v>0</v>
      </c>
      <c r="G970" s="214">
        <f>VLOOKUP($B970,R_DG!$A$7:$G$1305,5,0)</f>
        <v>25000</v>
      </c>
      <c r="H970" s="214">
        <f>VLOOKUP($B970,R_DG!$A$7:$G$1305,6,0)</f>
        <v>0</v>
      </c>
      <c r="I970" s="214">
        <f>VLOOKUP($B970,R_DG!$A$7:$G$1305,7,0)</f>
        <v>0</v>
      </c>
      <c r="J970" s="214">
        <f t="shared" ca="1" si="268"/>
        <v>0</v>
      </c>
      <c r="K970" s="214">
        <f t="shared" ca="1" si="268"/>
        <v>0</v>
      </c>
      <c r="L970" s="220">
        <f t="shared" ca="1" si="268"/>
        <v>0</v>
      </c>
      <c r="M970" s="93">
        <f t="shared" ca="1" si="269"/>
        <v>0</v>
      </c>
      <c r="N970" s="332">
        <f t="shared" ca="1" si="270"/>
        <v>0</v>
      </c>
    </row>
    <row r="971" spans="1:14" ht="15">
      <c r="A971" s="87"/>
      <c r="B971" s="21" t="s">
        <v>2310</v>
      </c>
      <c r="C971" s="32">
        <f>VLOOKUP($B971,R_DG!$A$7:$G$1305,2,0)</f>
        <v>0</v>
      </c>
      <c r="D971" s="8" t="str">
        <f>VLOOKUP($B971,R_DG!$A$7:$G$1305,3,0)</f>
        <v>Đầu cosse ép Cu-Al 120mm2</v>
      </c>
      <c r="E971" s="9" t="str">
        <f>VLOOKUP($B971,R_DG!$A$7:$G$1305,4,0)</f>
        <v>cái</v>
      </c>
      <c r="F971" s="11">
        <f t="shared" ca="1" si="267"/>
        <v>0</v>
      </c>
      <c r="G971" s="214">
        <f>VLOOKUP($B971,R_DG!$A$7:$G$1305,5,0)</f>
        <v>34000</v>
      </c>
      <c r="H971" s="214">
        <f>VLOOKUP($B971,R_DG!$A$7:$G$1305,6,0)</f>
        <v>0</v>
      </c>
      <c r="I971" s="214">
        <f>VLOOKUP($B971,R_DG!$A$7:$G$1305,7,0)</f>
        <v>0</v>
      </c>
      <c r="J971" s="214">
        <f t="shared" ca="1" si="268"/>
        <v>0</v>
      </c>
      <c r="K971" s="214">
        <f t="shared" ca="1" si="268"/>
        <v>0</v>
      </c>
      <c r="L971" s="220">
        <f t="shared" ca="1" si="268"/>
        <v>0</v>
      </c>
      <c r="M971" s="93">
        <f t="shared" ca="1" si="269"/>
        <v>0</v>
      </c>
      <c r="N971" s="332">
        <f t="shared" ca="1" si="270"/>
        <v>0</v>
      </c>
    </row>
    <row r="972" spans="1:14" ht="15">
      <c r="A972" s="87"/>
      <c r="B972" s="21" t="s">
        <v>2311</v>
      </c>
      <c r="C972" s="32">
        <f>VLOOKUP($B972,R_DG!$A$7:$G$1305,2,0)</f>
        <v>0</v>
      </c>
      <c r="D972" s="8" t="str">
        <f>VLOOKUP($B972,R_DG!$A$7:$G$1305,3,0)</f>
        <v>Đầu cosse ép Cu-Al 150mm2</v>
      </c>
      <c r="E972" s="9" t="str">
        <f>VLOOKUP($B972,R_DG!$A$7:$G$1305,4,0)</f>
        <v>cái</v>
      </c>
      <c r="F972" s="11">
        <f t="shared" ca="1" si="267"/>
        <v>0</v>
      </c>
      <c r="G972" s="214">
        <f>VLOOKUP($B972,R_DG!$A$7:$G$1305,5,0)</f>
        <v>39000</v>
      </c>
      <c r="H972" s="214">
        <f>VLOOKUP($B972,R_DG!$A$7:$G$1305,6,0)</f>
        <v>0</v>
      </c>
      <c r="I972" s="214">
        <f>VLOOKUP($B972,R_DG!$A$7:$G$1305,7,0)</f>
        <v>0</v>
      </c>
      <c r="J972" s="214">
        <f t="shared" ca="1" si="268"/>
        <v>0</v>
      </c>
      <c r="K972" s="214">
        <f t="shared" ca="1" si="268"/>
        <v>0</v>
      </c>
      <c r="L972" s="220">
        <f t="shared" ca="1" si="268"/>
        <v>0</v>
      </c>
      <c r="M972" s="93">
        <f t="shared" ca="1" si="269"/>
        <v>0</v>
      </c>
      <c r="N972" s="332">
        <f t="shared" ca="1" si="270"/>
        <v>0</v>
      </c>
    </row>
    <row r="973" spans="1:14" ht="15">
      <c r="A973" s="87"/>
      <c r="B973" s="21" t="s">
        <v>2312</v>
      </c>
      <c r="C973" s="32">
        <f>VLOOKUP($B973,R_DG!$A$7:$G$1305,2,0)</f>
        <v>0</v>
      </c>
      <c r="D973" s="8" t="str">
        <f>VLOOKUP($B973,R_DG!$A$7:$G$1305,3,0)</f>
        <v>Đầu cosse ép Cu-Al 185mm2</v>
      </c>
      <c r="E973" s="9" t="str">
        <f>VLOOKUP($B973,R_DG!$A$7:$G$1305,4,0)</f>
        <v>cái</v>
      </c>
      <c r="F973" s="11">
        <f t="shared" ca="1" si="267"/>
        <v>0</v>
      </c>
      <c r="G973" s="214">
        <f>VLOOKUP($B973,R_DG!$A$7:$G$1305,5,0)</f>
        <v>46000</v>
      </c>
      <c r="H973" s="214">
        <f>VLOOKUP($B973,R_DG!$A$7:$G$1305,6,0)</f>
        <v>0</v>
      </c>
      <c r="I973" s="214">
        <f>VLOOKUP($B973,R_DG!$A$7:$G$1305,7,0)</f>
        <v>0</v>
      </c>
      <c r="J973" s="214">
        <f t="shared" ca="1" si="268"/>
        <v>0</v>
      </c>
      <c r="K973" s="214">
        <f t="shared" ca="1" si="268"/>
        <v>0</v>
      </c>
      <c r="L973" s="220">
        <f t="shared" ca="1" si="268"/>
        <v>0</v>
      </c>
      <c r="M973" s="93">
        <f t="shared" ca="1" si="269"/>
        <v>0</v>
      </c>
      <c r="N973" s="332">
        <f t="shared" ca="1" si="270"/>
        <v>0</v>
      </c>
    </row>
    <row r="974" spans="1:14" ht="15">
      <c r="A974" s="87"/>
      <c r="B974" s="21" t="s">
        <v>2313</v>
      </c>
      <c r="C974" s="32">
        <f>VLOOKUP($B974,R_DG!$A$7:$G$1305,2,0)</f>
        <v>0</v>
      </c>
      <c r="D974" s="8" t="str">
        <f>VLOOKUP($B974,R_DG!$A$7:$G$1305,3,0)</f>
        <v>Đầu cosse ép Cu-Al 240mm2</v>
      </c>
      <c r="E974" s="9" t="str">
        <f>VLOOKUP($B974,R_DG!$A$7:$G$1305,4,0)</f>
        <v>cái</v>
      </c>
      <c r="F974" s="11">
        <f t="shared" ca="1" si="267"/>
        <v>0</v>
      </c>
      <c r="G974" s="214">
        <f>VLOOKUP($B974,R_DG!$A$7:$G$1305,5,0)</f>
        <v>59000</v>
      </c>
      <c r="H974" s="214">
        <f>VLOOKUP($B974,R_DG!$A$7:$G$1305,6,0)</f>
        <v>0</v>
      </c>
      <c r="I974" s="214">
        <f>VLOOKUP($B974,R_DG!$A$7:$G$1305,7,0)</f>
        <v>0</v>
      </c>
      <c r="J974" s="214">
        <f t="shared" ca="1" si="268"/>
        <v>0</v>
      </c>
      <c r="K974" s="214">
        <f t="shared" ca="1" si="268"/>
        <v>0</v>
      </c>
      <c r="L974" s="220">
        <f t="shared" ca="1" si="268"/>
        <v>0</v>
      </c>
      <c r="M974" s="93">
        <f t="shared" ca="1" si="269"/>
        <v>0</v>
      </c>
      <c r="N974" s="332">
        <f t="shared" ca="1" si="270"/>
        <v>0</v>
      </c>
    </row>
    <row r="975" spans="1:14" ht="15">
      <c r="A975" s="87"/>
      <c r="B975" s="21" t="s">
        <v>518</v>
      </c>
      <c r="C975" s="32" t="str">
        <f>VLOOKUP($B975,R_DG!$A$7:$G$1305,2,0)</f>
        <v>D6.6201</v>
      </c>
      <c r="D975" s="8" t="str">
        <f>VLOOKUP($B975,R_DG!$A$7:$G$1305,3,0)</f>
        <v>Kẹp quai 2/0</v>
      </c>
      <c r="E975" s="9" t="str">
        <f>VLOOKUP($B975,R_DG!$A$7:$G$1305,4,0)</f>
        <v>cái</v>
      </c>
      <c r="F975" s="11">
        <f t="shared" ca="1" si="267"/>
        <v>0</v>
      </c>
      <c r="G975" s="214">
        <f>VLOOKUP($B975,R_DG!$A$7:$G$1305,5,0)</f>
        <v>35200</v>
      </c>
      <c r="H975" s="214">
        <f>VLOOKUP($B975,R_DG!$A$7:$G$1305,6,0)</f>
        <v>98156</v>
      </c>
      <c r="I975" s="214">
        <f>VLOOKUP($B975,R_DG!$A$7:$G$1305,7,0)</f>
        <v>0</v>
      </c>
      <c r="J975" s="214">
        <f t="shared" ca="1" si="268"/>
        <v>0</v>
      </c>
      <c r="K975" s="214">
        <f t="shared" ca="1" si="268"/>
        <v>0</v>
      </c>
      <c r="L975" s="220">
        <f t="shared" ca="1" si="268"/>
        <v>0</v>
      </c>
      <c r="M975" s="93">
        <f t="shared" ca="1" si="269"/>
        <v>0</v>
      </c>
      <c r="N975" s="332">
        <f t="shared" ca="1" si="270"/>
        <v>0</v>
      </c>
    </row>
    <row r="976" spans="1:14" ht="15">
      <c r="A976" s="87"/>
      <c r="B976" s="21" t="s">
        <v>523</v>
      </c>
      <c r="C976" s="32" t="str">
        <f>VLOOKUP($B976,R_DG!$A$7:$G$1305,2,0)</f>
        <v>D6.6202</v>
      </c>
      <c r="D976" s="8" t="str">
        <f>VLOOKUP($B976,R_DG!$A$7:$G$1305,3,0)</f>
        <v>Kẹp hotline 2/0</v>
      </c>
      <c r="E976" s="9" t="str">
        <f>VLOOKUP($B976,R_DG!$A$7:$G$1305,4,0)</f>
        <v>cái</v>
      </c>
      <c r="F976" s="11">
        <f t="shared" ref="F976:F1007" ca="1" si="271">SUMIF(maBK,B976,tongBK1)</f>
        <v>0</v>
      </c>
      <c r="G976" s="214">
        <f>VLOOKUP($B976,R_DG!$A$7:$G$1305,5,0)</f>
        <v>77000</v>
      </c>
      <c r="H976" s="214">
        <f>VLOOKUP($B976,R_DG!$A$7:$G$1305,6,0)</f>
        <v>122695</v>
      </c>
      <c r="I976" s="214">
        <f>VLOOKUP($B976,R_DG!$A$7:$G$1305,7,0)</f>
        <v>0</v>
      </c>
      <c r="J976" s="214">
        <f t="shared" ca="1" si="268"/>
        <v>0</v>
      </c>
      <c r="K976" s="214">
        <f t="shared" ca="1" si="268"/>
        <v>0</v>
      </c>
      <c r="L976" s="220">
        <f t="shared" ca="1" si="268"/>
        <v>0</v>
      </c>
      <c r="M976" s="93">
        <f t="shared" ca="1" si="269"/>
        <v>0</v>
      </c>
      <c r="N976" s="332">
        <f t="shared" ref="N976:N1007" ca="1" si="272">$F976</f>
        <v>0</v>
      </c>
    </row>
    <row r="977" spans="1:14" ht="15">
      <c r="A977" s="87"/>
      <c r="B977" s="21" t="s">
        <v>521</v>
      </c>
      <c r="C977" s="32" t="str">
        <f>VLOOKUP($B977,R_DG!$A$7:$G$1305,2,0)</f>
        <v>D6.6201</v>
      </c>
      <c r="D977" s="8" t="str">
        <f>VLOOKUP($B977,R_DG!$A$7:$G$1305,3,0)</f>
        <v>Kẹp quai 4/0</v>
      </c>
      <c r="E977" s="9" t="str">
        <f>VLOOKUP($B977,R_DG!$A$7:$G$1305,4,0)</f>
        <v>cái</v>
      </c>
      <c r="F977" s="11">
        <f t="shared" ca="1" si="271"/>
        <v>0</v>
      </c>
      <c r="G977" s="214">
        <f>VLOOKUP($B977,R_DG!$A$7:$G$1305,5,0)</f>
        <v>81000</v>
      </c>
      <c r="H977" s="214">
        <f>VLOOKUP($B977,R_DG!$A$7:$G$1305,6,0)</f>
        <v>98156</v>
      </c>
      <c r="I977" s="214">
        <f>VLOOKUP($B977,R_DG!$A$7:$G$1305,7,0)</f>
        <v>0</v>
      </c>
      <c r="J977" s="214">
        <f t="shared" ca="1" si="268"/>
        <v>0</v>
      </c>
      <c r="K977" s="214">
        <f t="shared" ca="1" si="268"/>
        <v>0</v>
      </c>
      <c r="L977" s="220">
        <f t="shared" ca="1" si="268"/>
        <v>0</v>
      </c>
      <c r="M977" s="93">
        <f t="shared" ca="1" si="269"/>
        <v>0</v>
      </c>
      <c r="N977" s="332">
        <f t="shared" ca="1" si="272"/>
        <v>0</v>
      </c>
    </row>
    <row r="978" spans="1:14" ht="15">
      <c r="A978" s="87"/>
      <c r="B978" s="23" t="s">
        <v>525</v>
      </c>
      <c r="C978" s="32" t="str">
        <f>VLOOKUP($B978,R_DG!$A$7:$G$1305,2,0)</f>
        <v>D6.6202</v>
      </c>
      <c r="D978" s="8" t="str">
        <f>VLOOKUP($B978,R_DG!$A$7:$G$1305,3,0)</f>
        <v>Kẹp hotline 4/0</v>
      </c>
      <c r="E978" s="9" t="str">
        <f>VLOOKUP($B978,R_DG!$A$7:$G$1305,4,0)</f>
        <v>cái</v>
      </c>
      <c r="F978" s="11">
        <f t="shared" ca="1" si="271"/>
        <v>0</v>
      </c>
      <c r="G978" s="214">
        <f>VLOOKUP($B978,R_DG!$A$7:$G$1305,5,0)</f>
        <v>55000</v>
      </c>
      <c r="H978" s="214">
        <f>VLOOKUP($B978,R_DG!$A$7:$G$1305,6,0)</f>
        <v>122695</v>
      </c>
      <c r="I978" s="214">
        <f>VLOOKUP($B978,R_DG!$A$7:$G$1305,7,0)</f>
        <v>0</v>
      </c>
      <c r="J978" s="214">
        <f t="shared" ca="1" si="268"/>
        <v>0</v>
      </c>
      <c r="K978" s="214">
        <f t="shared" ca="1" si="268"/>
        <v>0</v>
      </c>
      <c r="L978" s="220">
        <f t="shared" ca="1" si="268"/>
        <v>0</v>
      </c>
      <c r="M978" s="93">
        <f t="shared" ca="1" si="269"/>
        <v>0</v>
      </c>
      <c r="N978" s="332">
        <f t="shared" ca="1" si="272"/>
        <v>0</v>
      </c>
    </row>
    <row r="979" spans="1:14" ht="15">
      <c r="A979" s="87"/>
      <c r="B979" s="21" t="s">
        <v>3031</v>
      </c>
      <c r="C979" s="32">
        <f>VLOOKUP($B979,R_DG!$A$7:$G$1305,2,0)</f>
        <v>0</v>
      </c>
      <c r="D979" s="8" t="str">
        <f>VLOOKUP($B979,R_DG!$A$7:$G$1305,3,0)</f>
        <v>Chụp kẹp quai, hotline</v>
      </c>
      <c r="E979" s="9" t="str">
        <f>VLOOKUP($B979,R_DG!$A$7:$G$1305,4,0)</f>
        <v>cái</v>
      </c>
      <c r="F979" s="11">
        <f t="shared" ca="1" si="271"/>
        <v>0</v>
      </c>
      <c r="G979" s="214">
        <f>VLOOKUP($B979,R_DG!$A$7:$G$1305,5,0)</f>
        <v>75000</v>
      </c>
      <c r="H979" s="214">
        <f>VLOOKUP($B979,R_DG!$A$7:$G$1305,6,0)</f>
        <v>0</v>
      </c>
      <c r="I979" s="214">
        <f>VLOOKUP($B979,R_DG!$A$7:$G$1305,7,0)</f>
        <v>0</v>
      </c>
      <c r="J979" s="214">
        <f t="shared" ref="J979:L982" ca="1" si="273">G979*$F979</f>
        <v>0</v>
      </c>
      <c r="K979" s="214">
        <f t="shared" ca="1" si="273"/>
        <v>0</v>
      </c>
      <c r="L979" s="220">
        <f t="shared" ca="1" si="273"/>
        <v>0</v>
      </c>
      <c r="M979" s="93">
        <f ca="1">IF(F979&gt;0,M$943,0)</f>
        <v>0</v>
      </c>
      <c r="N979" s="332">
        <f t="shared" ca="1" si="272"/>
        <v>0</v>
      </c>
    </row>
    <row r="980" spans="1:14" ht="15">
      <c r="A980" s="87"/>
      <c r="B980" s="23" t="s">
        <v>155</v>
      </c>
      <c r="C980" s="32">
        <f>VLOOKUP($B980,R_DG!$A$7:$G$1305,2,0)</f>
        <v>0</v>
      </c>
      <c r="D980" s="8" t="str">
        <f>VLOOKUP($B980,R_DG!$A$7:$G$1305,3,0)</f>
        <v>Chụp đầu FCO</v>
      </c>
      <c r="E980" s="9" t="str">
        <f>VLOOKUP($B980,R_DG!$A$7:$G$1305,4,0)</f>
        <v>bộ</v>
      </c>
      <c r="F980" s="11">
        <f t="shared" ca="1" si="271"/>
        <v>0</v>
      </c>
      <c r="G980" s="214">
        <f>VLOOKUP($B980,R_DG!$A$7:$G$1305,5,0)</f>
        <v>230000</v>
      </c>
      <c r="H980" s="214">
        <f>VLOOKUP($B980,R_DG!$A$7:$G$1305,6,0)</f>
        <v>0</v>
      </c>
      <c r="I980" s="214">
        <f>VLOOKUP($B980,R_DG!$A$7:$G$1305,7,0)</f>
        <v>0</v>
      </c>
      <c r="J980" s="214">
        <f t="shared" ca="1" si="273"/>
        <v>0</v>
      </c>
      <c r="K980" s="214">
        <f t="shared" ca="1" si="273"/>
        <v>0</v>
      </c>
      <c r="L980" s="220">
        <f t="shared" ca="1" si="273"/>
        <v>0</v>
      </c>
      <c r="M980" s="93">
        <f ca="1">IF(F980&gt;0,M$943,0)</f>
        <v>0</v>
      </c>
      <c r="N980" s="332">
        <f t="shared" ca="1" si="272"/>
        <v>0</v>
      </c>
    </row>
    <row r="981" spans="1:14" ht="15">
      <c r="A981" s="87"/>
      <c r="B981" s="23" t="s">
        <v>157</v>
      </c>
      <c r="C981" s="32">
        <f>VLOOKUP($B981,R_DG!$A$7:$G$1305,2,0)</f>
        <v>0</v>
      </c>
      <c r="D981" s="8" t="str">
        <f>VLOOKUP($B981,R_DG!$A$7:$G$1305,3,0)</f>
        <v>Chụp đầu LA</v>
      </c>
      <c r="E981" s="9" t="str">
        <f>VLOOKUP($B981,R_DG!$A$7:$G$1305,4,0)</f>
        <v>cái</v>
      </c>
      <c r="F981" s="11">
        <f t="shared" ca="1" si="271"/>
        <v>0</v>
      </c>
      <c r="G981" s="214">
        <f>VLOOKUP($B981,R_DG!$A$7:$G$1305,5,0)</f>
        <v>75000</v>
      </c>
      <c r="H981" s="214">
        <f>VLOOKUP($B981,R_DG!$A$7:$G$1305,6,0)</f>
        <v>0</v>
      </c>
      <c r="I981" s="214">
        <f>VLOOKUP($B981,R_DG!$A$7:$G$1305,7,0)</f>
        <v>0</v>
      </c>
      <c r="J981" s="214">
        <f t="shared" ca="1" si="273"/>
        <v>0</v>
      </c>
      <c r="K981" s="214">
        <f t="shared" ca="1" si="273"/>
        <v>0</v>
      </c>
      <c r="L981" s="220">
        <f t="shared" ca="1" si="273"/>
        <v>0</v>
      </c>
      <c r="M981" s="93">
        <f ca="1">IF(F981&gt;0,M$943,0)</f>
        <v>0</v>
      </c>
      <c r="N981" s="332">
        <f t="shared" ca="1" si="272"/>
        <v>0</v>
      </c>
    </row>
    <row r="982" spans="1:14" ht="15">
      <c r="A982" s="87"/>
      <c r="B982" s="23" t="s">
        <v>159</v>
      </c>
      <c r="C982" s="32">
        <f>VLOOKUP($B982,R_DG!$A$7:$G$1305,2,0)</f>
        <v>0</v>
      </c>
      <c r="D982" s="8" t="str">
        <f>VLOOKUP($B982,R_DG!$A$7:$G$1305,3,0)</f>
        <v>Chụp đầu cực MBA</v>
      </c>
      <c r="E982" s="9" t="str">
        <f>VLOOKUP($B982,R_DG!$A$7:$G$1305,4,0)</f>
        <v>cái</v>
      </c>
      <c r="F982" s="11">
        <f t="shared" ca="1" si="271"/>
        <v>0</v>
      </c>
      <c r="G982" s="214">
        <f>VLOOKUP($B982,R_DG!$A$7:$G$1305,5,0)</f>
        <v>75000</v>
      </c>
      <c r="H982" s="214">
        <f>VLOOKUP($B982,R_DG!$A$7:$G$1305,6,0)</f>
        <v>0</v>
      </c>
      <c r="I982" s="214">
        <f>VLOOKUP($B982,R_DG!$A$7:$G$1305,7,0)</f>
        <v>0</v>
      </c>
      <c r="J982" s="214">
        <f t="shared" ca="1" si="273"/>
        <v>0</v>
      </c>
      <c r="K982" s="214">
        <f t="shared" ca="1" si="273"/>
        <v>0</v>
      </c>
      <c r="L982" s="220">
        <f t="shared" ca="1" si="273"/>
        <v>0</v>
      </c>
      <c r="M982" s="93">
        <f ca="1">IF(F982&gt;0,M$943,0)</f>
        <v>0</v>
      </c>
      <c r="N982" s="332">
        <f t="shared" ca="1" si="272"/>
        <v>0</v>
      </c>
    </row>
    <row r="983" spans="1:14" ht="15">
      <c r="A983" s="87"/>
      <c r="B983" s="21" t="s">
        <v>604</v>
      </c>
      <c r="C983" s="32" t="str">
        <f>VLOOKUP($B983,R_DG!$A$7:$G$1305,2,0)</f>
        <v>D3.4011</v>
      </c>
      <c r="D983" s="8" t="str">
        <f>VLOOKUP($B983,R_DG!$A$7:$G$1305,3,0)</f>
        <v>Ống nối dây cỡ 50mm2</v>
      </c>
      <c r="E983" s="9" t="str">
        <f>VLOOKUP($B983,R_DG!$A$7:$G$1305,4,0)</f>
        <v>cái</v>
      </c>
      <c r="F983" s="11">
        <f t="shared" ca="1" si="271"/>
        <v>0</v>
      </c>
      <c r="G983" s="214">
        <f>VLOOKUP($B983,R_DG!$A$7:$G$1305,5,0)</f>
        <v>56000</v>
      </c>
      <c r="H983" s="214">
        <f>VLOOKUP($B983,R_DG!$A$7:$G$1305,6,0)</f>
        <v>259648.56000000003</v>
      </c>
      <c r="I983" s="214">
        <f>VLOOKUP($B983,R_DG!$A$7:$G$1305,7,0)</f>
        <v>4712.5600000000004</v>
      </c>
      <c r="J983" s="214">
        <f t="shared" ca="1" si="268"/>
        <v>0</v>
      </c>
      <c r="K983" s="214">
        <f t="shared" ca="1" si="268"/>
        <v>0</v>
      </c>
      <c r="L983" s="220">
        <f t="shared" ca="1" si="268"/>
        <v>0</v>
      </c>
      <c r="M983" s="93">
        <f t="shared" ca="1" si="269"/>
        <v>0</v>
      </c>
      <c r="N983" s="332">
        <f t="shared" ca="1" si="272"/>
        <v>0</v>
      </c>
    </row>
    <row r="984" spans="1:14" ht="15">
      <c r="A984" s="87"/>
      <c r="B984" s="21" t="s">
        <v>606</v>
      </c>
      <c r="C984" s="32" t="str">
        <f>VLOOKUP($B984,R_DG!$A$7:$G$1305,2,0)</f>
        <v>D3.4011</v>
      </c>
      <c r="D984" s="8" t="str">
        <f>VLOOKUP($B984,R_DG!$A$7:$G$1305,3,0)</f>
        <v>Ống nối dây cỡ 70mm2</v>
      </c>
      <c r="E984" s="9" t="str">
        <f>VLOOKUP($B984,R_DG!$A$7:$G$1305,4,0)</f>
        <v>cái</v>
      </c>
      <c r="F984" s="11">
        <f t="shared" ca="1" si="271"/>
        <v>0</v>
      </c>
      <c r="G984" s="214">
        <f>VLOOKUP($B984,R_DG!$A$7:$G$1305,5,0)</f>
        <v>68000</v>
      </c>
      <c r="H984" s="214">
        <f>VLOOKUP($B984,R_DG!$A$7:$G$1305,6,0)</f>
        <v>259648.56000000003</v>
      </c>
      <c r="I984" s="214">
        <f>VLOOKUP($B984,R_DG!$A$7:$G$1305,7,0)</f>
        <v>4712.5600000000004</v>
      </c>
      <c r="J984" s="214">
        <f t="shared" ca="1" si="268"/>
        <v>0</v>
      </c>
      <c r="K984" s="214">
        <f t="shared" ca="1" si="268"/>
        <v>0</v>
      </c>
      <c r="L984" s="220">
        <f t="shared" ca="1" si="268"/>
        <v>0</v>
      </c>
      <c r="M984" s="93">
        <f t="shared" ca="1" si="269"/>
        <v>0</v>
      </c>
      <c r="N984" s="332">
        <f t="shared" ca="1" si="272"/>
        <v>0</v>
      </c>
    </row>
    <row r="985" spans="1:14" ht="15">
      <c r="A985" s="87"/>
      <c r="B985" s="21" t="s">
        <v>608</v>
      </c>
      <c r="C985" s="32" t="str">
        <f>VLOOKUP($B985,R_DG!$A$7:$G$1305,2,0)</f>
        <v>D3.4011</v>
      </c>
      <c r="D985" s="8" t="str">
        <f>VLOOKUP($B985,R_DG!$A$7:$G$1305,3,0)</f>
        <v>Ống nối dây cỡ 95mm2</v>
      </c>
      <c r="E985" s="9" t="str">
        <f>VLOOKUP($B985,R_DG!$A$7:$G$1305,4,0)</f>
        <v>cái</v>
      </c>
      <c r="F985" s="11">
        <f t="shared" ca="1" si="271"/>
        <v>0</v>
      </c>
      <c r="G985" s="214">
        <f>VLOOKUP($B985,R_DG!$A$7:$G$1305,5,0)</f>
        <v>77000</v>
      </c>
      <c r="H985" s="214">
        <f>VLOOKUP($B985,R_DG!$A$7:$G$1305,6,0)</f>
        <v>259648.56000000003</v>
      </c>
      <c r="I985" s="214">
        <f>VLOOKUP($B985,R_DG!$A$7:$G$1305,7,0)</f>
        <v>4712.5600000000004</v>
      </c>
      <c r="J985" s="214">
        <f t="shared" ca="1" si="268"/>
        <v>0</v>
      </c>
      <c r="K985" s="214">
        <f t="shared" ca="1" si="268"/>
        <v>0</v>
      </c>
      <c r="L985" s="220">
        <f t="shared" ca="1" si="268"/>
        <v>0</v>
      </c>
      <c r="M985" s="93">
        <f t="shared" ca="1" si="269"/>
        <v>0</v>
      </c>
      <c r="N985" s="332">
        <f t="shared" ca="1" si="272"/>
        <v>0</v>
      </c>
    </row>
    <row r="986" spans="1:14" ht="15">
      <c r="A986" s="87"/>
      <c r="B986" s="21" t="s">
        <v>610</v>
      </c>
      <c r="C986" s="32">
        <f>VLOOKUP($B986,R_DG!$A$7:$G$1305,2,0)</f>
        <v>0</v>
      </c>
      <c r="D986" s="8" t="str">
        <f>VLOOKUP($B986,R_DG!$A$7:$G$1305,3,0)</f>
        <v>Ống nối dây cỡ 120mm2</v>
      </c>
      <c r="E986" s="9" t="str">
        <f>VLOOKUP($B986,R_DG!$A$7:$G$1305,4,0)</f>
        <v>cái</v>
      </c>
      <c r="F986" s="11">
        <f t="shared" ca="1" si="271"/>
        <v>0</v>
      </c>
      <c r="G986" s="214">
        <f>VLOOKUP($B986,R_DG!$A$7:$G$1305,5,0)</f>
        <v>122000</v>
      </c>
      <c r="H986" s="214">
        <f>VLOOKUP($B986,R_DG!$A$7:$G$1305,6,0)</f>
        <v>259648.56000000003</v>
      </c>
      <c r="I986" s="214">
        <f>VLOOKUP($B986,R_DG!$A$7:$G$1305,7,0)</f>
        <v>0</v>
      </c>
      <c r="J986" s="214">
        <f t="shared" ref="J986:L1023" ca="1" si="274">G986*$F986</f>
        <v>0</v>
      </c>
      <c r="K986" s="214">
        <f t="shared" ca="1" si="274"/>
        <v>0</v>
      </c>
      <c r="L986" s="220">
        <f t="shared" ca="1" si="274"/>
        <v>0</v>
      </c>
      <c r="M986" s="93">
        <f t="shared" ca="1" si="269"/>
        <v>0</v>
      </c>
      <c r="N986" s="332">
        <f t="shared" ca="1" si="272"/>
        <v>0</v>
      </c>
    </row>
    <row r="987" spans="1:14" ht="15">
      <c r="A987" s="87"/>
      <c r="B987" s="21" t="s">
        <v>612</v>
      </c>
      <c r="C987" s="32" t="str">
        <f>VLOOKUP($B987,R_DG!$A$7:$G$1305,2,0)</f>
        <v>D3.4012</v>
      </c>
      <c r="D987" s="8" t="str">
        <f>VLOOKUP($B987,R_DG!$A$7:$G$1305,3,0)</f>
        <v>Ống nối dây cỡ 150mm2</v>
      </c>
      <c r="E987" s="9" t="str">
        <f>VLOOKUP($B987,R_DG!$A$7:$G$1305,4,0)</f>
        <v>cái</v>
      </c>
      <c r="F987" s="11">
        <f t="shared" ca="1" si="271"/>
        <v>0</v>
      </c>
      <c r="G987" s="214">
        <f>VLOOKUP($B987,R_DG!$A$7:$G$1305,5,0)</f>
        <v>132000</v>
      </c>
      <c r="H987" s="214">
        <f>VLOOKUP($B987,R_DG!$A$7:$G$1305,6,0)</f>
        <v>326654.63999999996</v>
      </c>
      <c r="I987" s="214">
        <f>VLOOKUP($B987,R_DG!$A$7:$G$1305,7,0)</f>
        <v>4712.5600000000004</v>
      </c>
      <c r="J987" s="214">
        <f t="shared" ca="1" si="274"/>
        <v>0</v>
      </c>
      <c r="K987" s="214">
        <f t="shared" ca="1" si="274"/>
        <v>0</v>
      </c>
      <c r="L987" s="220">
        <f t="shared" ca="1" si="274"/>
        <v>0</v>
      </c>
      <c r="M987" s="93">
        <f t="shared" ca="1" si="269"/>
        <v>0</v>
      </c>
      <c r="N987" s="332">
        <f t="shared" ca="1" si="272"/>
        <v>0</v>
      </c>
    </row>
    <row r="988" spans="1:14" ht="15">
      <c r="A988" s="87"/>
      <c r="B988" s="21" t="s">
        <v>614</v>
      </c>
      <c r="C988" s="32" t="str">
        <f>VLOOKUP($B988,R_DG!$A$7:$G$1305,2,0)</f>
        <v>D3.4013</v>
      </c>
      <c r="D988" s="8" t="str">
        <f>VLOOKUP($B988,R_DG!$A$7:$G$1305,3,0)</f>
        <v>Ống nối dây cỡ 185mm2</v>
      </c>
      <c r="E988" s="9" t="str">
        <f>VLOOKUP($B988,R_DG!$A$7:$G$1305,4,0)</f>
        <v>cái</v>
      </c>
      <c r="F988" s="11">
        <f t="shared" ca="1" si="271"/>
        <v>0</v>
      </c>
      <c r="G988" s="214">
        <f>VLOOKUP($B988,R_DG!$A$7:$G$1305,5,0)</f>
        <v>142000</v>
      </c>
      <c r="H988" s="214">
        <f>VLOOKUP($B988,R_DG!$A$7:$G$1305,6,0)</f>
        <v>402036.47999999998</v>
      </c>
      <c r="I988" s="214">
        <f>VLOOKUP($B988,R_DG!$A$7:$G$1305,7,0)</f>
        <v>4712.5600000000004</v>
      </c>
      <c r="J988" s="214">
        <f t="shared" ca="1" si="274"/>
        <v>0</v>
      </c>
      <c r="K988" s="214">
        <f t="shared" ca="1" si="274"/>
        <v>0</v>
      </c>
      <c r="L988" s="220">
        <f t="shared" ca="1" si="274"/>
        <v>0</v>
      </c>
      <c r="M988" s="93">
        <f t="shared" ca="1" si="269"/>
        <v>0</v>
      </c>
      <c r="N988" s="332">
        <f t="shared" ca="1" si="272"/>
        <v>0</v>
      </c>
    </row>
    <row r="989" spans="1:14" ht="15">
      <c r="A989" s="87"/>
      <c r="B989" s="21" t="s">
        <v>616</v>
      </c>
      <c r="C989" s="32" t="str">
        <f>VLOOKUP($B989,R_DG!$A$7:$G$1305,2,0)</f>
        <v>D3.4014</v>
      </c>
      <c r="D989" s="8" t="str">
        <f>VLOOKUP($B989,R_DG!$A$7:$G$1305,3,0)</f>
        <v>Ống nối dây cỡ 240mm2</v>
      </c>
      <c r="E989" s="9" t="str">
        <f>VLOOKUP($B989,R_DG!$A$7:$G$1305,4,0)</f>
        <v>cái</v>
      </c>
      <c r="F989" s="11">
        <f t="shared" ca="1" si="271"/>
        <v>0</v>
      </c>
      <c r="G989" s="214">
        <f>VLOOKUP($B989,R_DG!$A$7:$G$1305,5,0)</f>
        <v>152000</v>
      </c>
      <c r="H989" s="214">
        <f>VLOOKUP($B989,R_DG!$A$7:$G$1305,6,0)</f>
        <v>522089.04000000004</v>
      </c>
      <c r="I989" s="214">
        <f>VLOOKUP($B989,R_DG!$A$7:$G$1305,7,0)</f>
        <v>5890.7000000000007</v>
      </c>
      <c r="J989" s="214">
        <f t="shared" ca="1" si="274"/>
        <v>0</v>
      </c>
      <c r="K989" s="214">
        <f t="shared" ca="1" si="274"/>
        <v>0</v>
      </c>
      <c r="L989" s="220">
        <f t="shared" ca="1" si="274"/>
        <v>0</v>
      </c>
      <c r="M989" s="93">
        <f t="shared" ca="1" si="269"/>
        <v>0</v>
      </c>
      <c r="N989" s="332">
        <f t="shared" ca="1" si="272"/>
        <v>0</v>
      </c>
    </row>
    <row r="990" spans="1:14" ht="15">
      <c r="A990" s="87"/>
      <c r="B990" s="21" t="s">
        <v>3021</v>
      </c>
      <c r="C990" s="32">
        <f>VLOOKUP($B990,R_DG!$A$7:$G$1305,2,0)</f>
        <v>0</v>
      </c>
      <c r="D990" s="8" t="str">
        <f>VLOOKUP($B990,R_DG!$A$7:$G$1305,3,0)</f>
        <v>Ống co nhiệt D34</v>
      </c>
      <c r="E990" s="9" t="str">
        <f>VLOOKUP($B990,R_DG!$A$7:$G$1305,4,0)</f>
        <v>m</v>
      </c>
      <c r="F990" s="11">
        <f t="shared" ca="1" si="271"/>
        <v>0</v>
      </c>
      <c r="G990" s="214">
        <f>VLOOKUP($B990,R_DG!$A$7:$G$1305,5,0)</f>
        <v>95000</v>
      </c>
      <c r="H990" s="214">
        <f>VLOOKUP($B990,R_DG!$A$7:$G$1305,6,0)</f>
        <v>0</v>
      </c>
      <c r="I990" s="214">
        <f>VLOOKUP($B990,R_DG!$A$7:$G$1305,7,0)</f>
        <v>0</v>
      </c>
      <c r="J990" s="214">
        <f ca="1">G990*$F990</f>
        <v>0</v>
      </c>
      <c r="K990" s="214">
        <f ca="1">H990*$F990</f>
        <v>0</v>
      </c>
      <c r="L990" s="220">
        <f ca="1">I990*$F990</f>
        <v>0</v>
      </c>
      <c r="M990" s="93">
        <f ca="1">IF(F990&gt;0,M$943,0)</f>
        <v>0</v>
      </c>
      <c r="N990" s="332">
        <f t="shared" ca="1" si="272"/>
        <v>0</v>
      </c>
    </row>
    <row r="991" spans="1:14" ht="15">
      <c r="A991" s="87"/>
      <c r="B991" s="21" t="s">
        <v>386</v>
      </c>
      <c r="C991" s="32">
        <f>VLOOKUP($B991,R_DG!$A$7:$G$1305,2,0)</f>
        <v>0</v>
      </c>
      <c r="D991" s="8" t="str">
        <f>VLOOKUP($B991,R_DG!$A$7:$G$1305,3,0)</f>
        <v xml:space="preserve">Dây nhôm buộc </v>
      </c>
      <c r="E991" s="9" t="str">
        <f>VLOOKUP($B991,R_DG!$A$7:$G$1305,4,0)</f>
        <v>kg</v>
      </c>
      <c r="F991" s="11">
        <f t="shared" ca="1" si="271"/>
        <v>0</v>
      </c>
      <c r="G991" s="214">
        <f>VLOOKUP($B991,R_DG!$A$7:$G$1305,5,0)</f>
        <v>32000</v>
      </c>
      <c r="H991" s="214">
        <f>VLOOKUP($B991,R_DG!$A$7:$G$1305,6,0)</f>
        <v>0</v>
      </c>
      <c r="I991" s="214">
        <f>VLOOKUP($B991,R_DG!$A$7:$G$1305,7,0)</f>
        <v>0</v>
      </c>
      <c r="J991" s="214">
        <f t="shared" ca="1" si="274"/>
        <v>0</v>
      </c>
      <c r="K991" s="214">
        <f t="shared" ca="1" si="274"/>
        <v>0</v>
      </c>
      <c r="L991" s="220">
        <f t="shared" ca="1" si="274"/>
        <v>0</v>
      </c>
      <c r="M991" s="93">
        <f t="shared" ca="1" si="269"/>
        <v>0</v>
      </c>
      <c r="N991" s="332">
        <f t="shared" ca="1" si="272"/>
        <v>0</v>
      </c>
    </row>
    <row r="992" spans="1:14" ht="15">
      <c r="A992" s="87"/>
      <c r="B992" s="21" t="s">
        <v>2314</v>
      </c>
      <c r="C992" s="32">
        <f>VLOOKUP($B992,R_DG!$A$7:$G$1305,2,0)</f>
        <v>0</v>
      </c>
      <c r="D992" s="8" t="str">
        <f>VLOOKUP($B992,R_DG!$A$7:$G$1305,3,0)</f>
        <v>Biển số - Bảng nguy hiểm</v>
      </c>
      <c r="E992" s="9" t="str">
        <f>VLOOKUP($B992,R_DG!$A$7:$G$1305,4,0)</f>
        <v>cái</v>
      </c>
      <c r="F992" s="11">
        <f t="shared" ca="1" si="271"/>
        <v>0</v>
      </c>
      <c r="G992" s="214">
        <f>VLOOKUP($B992,R_DG!$A$7:$G$1305,5,0)</f>
        <v>19200</v>
      </c>
      <c r="H992" s="214">
        <f>VLOOKUP($B992,R_DG!$A$7:$G$1305,6,0)</f>
        <v>0</v>
      </c>
      <c r="I992" s="214">
        <f>VLOOKUP($B992,R_DG!$A$7:$G$1305,7,0)</f>
        <v>0</v>
      </c>
      <c r="J992" s="214">
        <f t="shared" ca="1" si="274"/>
        <v>0</v>
      </c>
      <c r="K992" s="214">
        <f t="shared" ca="1" si="274"/>
        <v>0</v>
      </c>
      <c r="L992" s="220">
        <f t="shared" ca="1" si="274"/>
        <v>0</v>
      </c>
      <c r="M992" s="93">
        <f t="shared" ca="1" si="269"/>
        <v>0</v>
      </c>
      <c r="N992" s="332">
        <f t="shared" ca="1" si="272"/>
        <v>0</v>
      </c>
    </row>
    <row r="993" spans="1:14" ht="15">
      <c r="A993" s="87"/>
      <c r="B993" s="7" t="s">
        <v>4839</v>
      </c>
      <c r="C993" s="32">
        <f>VLOOKUP($B993,R_DG!$A$7:$G$1305,2,0)</f>
        <v>0</v>
      </c>
      <c r="D993" s="8" t="str">
        <f>VLOOKUP($B993,R_DG!$A$7:$G$1305,3,0)</f>
        <v>Ghíp nối IPC 150-25</v>
      </c>
      <c r="E993" s="9" t="str">
        <f>VLOOKUP($B993,R_DG!$A$7:$G$1305,4,0)</f>
        <v>cái</v>
      </c>
      <c r="F993" s="11">
        <f t="shared" ca="1" si="271"/>
        <v>0</v>
      </c>
      <c r="G993" s="214">
        <f>VLOOKUP($B993,R_DG!$A$7:$G$1305,5,0)</f>
        <v>25000</v>
      </c>
      <c r="H993" s="214">
        <f>VLOOKUP($B993,R_DG!$A$7:$G$1305,6,0)</f>
        <v>0</v>
      </c>
      <c r="I993" s="214">
        <f>VLOOKUP($B993,R_DG!$A$7:$G$1305,7,0)</f>
        <v>0</v>
      </c>
      <c r="J993" s="214">
        <f t="shared" ca="1" si="274"/>
        <v>0</v>
      </c>
      <c r="K993" s="214">
        <f t="shared" ca="1" si="274"/>
        <v>0</v>
      </c>
      <c r="L993" s="220">
        <f t="shared" ca="1" si="274"/>
        <v>0</v>
      </c>
      <c r="M993" s="93">
        <f t="shared" ca="1" si="269"/>
        <v>0</v>
      </c>
      <c r="N993" s="332">
        <f t="shared" ca="1" si="272"/>
        <v>0</v>
      </c>
    </row>
    <row r="994" spans="1:14" ht="15">
      <c r="A994" s="87"/>
      <c r="B994" s="7" t="s">
        <v>4838</v>
      </c>
      <c r="C994" s="32">
        <f>VLOOKUP($B994,R_DG!$A$7:$G$1305,2,0)</f>
        <v>0</v>
      </c>
      <c r="D994" s="8" t="str">
        <f>VLOOKUP($B994,R_DG!$A$7:$G$1305,3,0)</f>
        <v>Ghíp nối IPC 150-150</v>
      </c>
      <c r="E994" s="9" t="str">
        <f>VLOOKUP($B994,R_DG!$A$7:$G$1305,4,0)</f>
        <v>cái</v>
      </c>
      <c r="F994" s="11">
        <f t="shared" ca="1" si="271"/>
        <v>0</v>
      </c>
      <c r="G994" s="214">
        <f>VLOOKUP($B994,R_DG!$A$7:$G$1305,5,0)</f>
        <v>25000</v>
      </c>
      <c r="H994" s="214">
        <f>VLOOKUP($B994,R_DG!$A$7:$G$1305,6,0)</f>
        <v>0</v>
      </c>
      <c r="I994" s="214">
        <f>VLOOKUP($B994,R_DG!$A$7:$G$1305,7,0)</f>
        <v>0</v>
      </c>
      <c r="J994" s="214">
        <f t="shared" ca="1" si="274"/>
        <v>0</v>
      </c>
      <c r="K994" s="214">
        <f t="shared" ca="1" si="274"/>
        <v>0</v>
      </c>
      <c r="L994" s="220">
        <f t="shared" ca="1" si="274"/>
        <v>0</v>
      </c>
      <c r="M994" s="93">
        <f t="shared" ca="1" si="269"/>
        <v>0</v>
      </c>
      <c r="N994" s="332">
        <f t="shared" ca="1" si="272"/>
        <v>0</v>
      </c>
    </row>
    <row r="995" spans="1:14" ht="15">
      <c r="A995" s="87"/>
      <c r="B995" s="7" t="s">
        <v>2071</v>
      </c>
      <c r="C995" s="32">
        <f>VLOOKUP($B995,R_DG!$A$7:$G$1305,2,0)</f>
        <v>0</v>
      </c>
      <c r="D995" s="8" t="str">
        <f>VLOOKUP($B995,R_DG!$A$7:$G$1305,3,0)</f>
        <v>Ghíp nối IPC 95-95</v>
      </c>
      <c r="E995" s="9" t="str">
        <f>VLOOKUP($B995,R_DG!$A$7:$G$1305,4,0)</f>
        <v>cái</v>
      </c>
      <c r="F995" s="11">
        <f t="shared" ca="1" si="271"/>
        <v>0</v>
      </c>
      <c r="G995" s="214">
        <f>VLOOKUP($B995,R_DG!$A$7:$G$1305,5,0)</f>
        <v>45000</v>
      </c>
      <c r="H995" s="214">
        <f>VLOOKUP($B995,R_DG!$A$7:$G$1305,6,0)</f>
        <v>0</v>
      </c>
      <c r="I995" s="214">
        <f>VLOOKUP($B995,R_DG!$A$7:$G$1305,7,0)</f>
        <v>0</v>
      </c>
      <c r="J995" s="214">
        <f t="shared" ca="1" si="274"/>
        <v>0</v>
      </c>
      <c r="K995" s="214">
        <f t="shared" ca="1" si="274"/>
        <v>0</v>
      </c>
      <c r="L995" s="220">
        <f t="shared" ca="1" si="274"/>
        <v>0</v>
      </c>
      <c r="M995" s="93">
        <f t="shared" ca="1" si="269"/>
        <v>0</v>
      </c>
      <c r="N995" s="332">
        <f t="shared" ca="1" si="272"/>
        <v>0</v>
      </c>
    </row>
    <row r="996" spans="1:14" ht="15">
      <c r="A996" s="87"/>
      <c r="B996" s="7" t="s">
        <v>4132</v>
      </c>
      <c r="C996" s="32">
        <f>VLOOKUP($B996,R_DG!$A$7:$G$1305,2,0)</f>
        <v>0</v>
      </c>
      <c r="D996" s="8" t="str">
        <f>VLOOKUP($B996,R_DG!$A$7:$G$1305,3,0)</f>
        <v>Ghíp nối IPC 120-120 2BL</v>
      </c>
      <c r="E996" s="9" t="str">
        <f>VLOOKUP($B996,R_DG!$A$7:$G$1305,4,0)</f>
        <v>cái</v>
      </c>
      <c r="F996" s="11">
        <f t="shared" ca="1" si="271"/>
        <v>0</v>
      </c>
      <c r="G996" s="214">
        <f>VLOOKUP($B996,R_DG!$A$7:$G$1305,5,0)</f>
        <v>45000</v>
      </c>
      <c r="H996" s="214">
        <f>VLOOKUP($B996,R_DG!$A$7:$G$1305,6,0)</f>
        <v>0</v>
      </c>
      <c r="I996" s="214">
        <f>VLOOKUP($B996,R_DG!$A$7:$G$1305,7,0)</f>
        <v>0</v>
      </c>
      <c r="J996" s="214">
        <f t="shared" ca="1" si="274"/>
        <v>0</v>
      </c>
      <c r="K996" s="214">
        <f t="shared" ca="1" si="274"/>
        <v>0</v>
      </c>
      <c r="L996" s="220">
        <f t="shared" ca="1" si="274"/>
        <v>0</v>
      </c>
      <c r="M996" s="93">
        <f t="shared" ca="1" si="269"/>
        <v>0</v>
      </c>
      <c r="N996" s="332">
        <f t="shared" ca="1" si="272"/>
        <v>0</v>
      </c>
    </row>
    <row r="997" spans="1:14" ht="15">
      <c r="A997" s="87"/>
      <c r="B997" s="7" t="s">
        <v>4131</v>
      </c>
      <c r="C997" s="32">
        <f>VLOOKUP($B997,R_DG!$A$7:$G$1305,2,0)</f>
        <v>0</v>
      </c>
      <c r="D997" s="8" t="str">
        <f>VLOOKUP($B997,R_DG!$A$7:$G$1305,3,0)</f>
        <v>Ghíp nối IPC 120-25 2BL</v>
      </c>
      <c r="E997" s="9" t="str">
        <f>VLOOKUP($B997,R_DG!$A$7:$G$1305,4,0)</f>
        <v>cái</v>
      </c>
      <c r="F997" s="11">
        <f t="shared" ca="1" si="271"/>
        <v>216</v>
      </c>
      <c r="G997" s="214">
        <f>VLOOKUP($B997,R_DG!$A$7:$G$1305,5,0)</f>
        <v>45000</v>
      </c>
      <c r="H997" s="214">
        <f>VLOOKUP($B997,R_DG!$A$7:$G$1305,6,0)</f>
        <v>0</v>
      </c>
      <c r="I997" s="214">
        <f>VLOOKUP($B997,R_DG!$A$7:$G$1305,7,0)</f>
        <v>0</v>
      </c>
      <c r="J997" s="214">
        <f t="shared" ca="1" si="274"/>
        <v>9720000</v>
      </c>
      <c r="K997" s="214">
        <f t="shared" ca="1" si="274"/>
        <v>0</v>
      </c>
      <c r="L997" s="220">
        <f t="shared" ca="1" si="274"/>
        <v>0</v>
      </c>
      <c r="M997" s="93">
        <f t="shared" ca="1" si="269"/>
        <v>1</v>
      </c>
      <c r="N997" s="332">
        <f t="shared" ca="1" si="272"/>
        <v>216</v>
      </c>
    </row>
    <row r="998" spans="1:14" ht="15">
      <c r="A998" s="87"/>
      <c r="B998" s="7" t="s">
        <v>4837</v>
      </c>
      <c r="C998" s="32">
        <f>VLOOKUP($B998,R_DG!$A$7:$G$1305,2,0)</f>
        <v>0</v>
      </c>
      <c r="D998" s="8" t="str">
        <f>VLOOKUP($B998,R_DG!$A$7:$G$1305,3,0)</f>
        <v>Ghíp nối IPC 95-25 2BL</v>
      </c>
      <c r="E998" s="9" t="str">
        <f>VLOOKUP($B998,R_DG!$A$7:$G$1305,4,0)</f>
        <v>cái</v>
      </c>
      <c r="F998" s="11">
        <f t="shared" ca="1" si="271"/>
        <v>0</v>
      </c>
      <c r="G998" s="214">
        <f>VLOOKUP($B998,R_DG!$A$7:$G$1305,5,0)</f>
        <v>40000</v>
      </c>
      <c r="H998" s="214">
        <f>VLOOKUP($B998,R_DG!$A$7:$G$1305,6,0)</f>
        <v>0</v>
      </c>
      <c r="I998" s="214">
        <f>VLOOKUP($B998,R_DG!$A$7:$G$1305,7,0)</f>
        <v>0</v>
      </c>
      <c r="J998" s="214">
        <f t="shared" ca="1" si="274"/>
        <v>0</v>
      </c>
      <c r="K998" s="214">
        <f t="shared" ca="1" si="274"/>
        <v>0</v>
      </c>
      <c r="L998" s="220">
        <f t="shared" ca="1" si="274"/>
        <v>0</v>
      </c>
      <c r="M998" s="93">
        <f t="shared" ca="1" si="269"/>
        <v>0</v>
      </c>
      <c r="N998" s="332">
        <f t="shared" ca="1" si="272"/>
        <v>0</v>
      </c>
    </row>
    <row r="999" spans="1:14" ht="15">
      <c r="A999" s="87"/>
      <c r="B999" s="7" t="s">
        <v>2055</v>
      </c>
      <c r="C999" s="32">
        <f>VLOOKUP($B999,R_DG!$A$7:$G$1305,2,0)</f>
        <v>0</v>
      </c>
      <c r="D999" s="8" t="str">
        <f>VLOOKUP($B999,R_DG!$A$7:$G$1305,3,0)</f>
        <v>Ghíp nối IPC 70-25 2BL</v>
      </c>
      <c r="E999" s="9" t="str">
        <f>VLOOKUP($B999,R_DG!$A$7:$G$1305,4,0)</f>
        <v>cái</v>
      </c>
      <c r="F999" s="11">
        <f t="shared" ca="1" si="271"/>
        <v>0</v>
      </c>
      <c r="G999" s="214">
        <f>VLOOKUP($B999,R_DG!$A$7:$G$1305,5,0)</f>
        <v>22000</v>
      </c>
      <c r="H999" s="214">
        <f>VLOOKUP($B999,R_DG!$A$7:$G$1305,6,0)</f>
        <v>0</v>
      </c>
      <c r="I999" s="214">
        <f>VLOOKUP($B999,R_DG!$A$7:$G$1305,7,0)</f>
        <v>0</v>
      </c>
      <c r="J999" s="214">
        <f t="shared" ca="1" si="274"/>
        <v>0</v>
      </c>
      <c r="K999" s="214">
        <f t="shared" ca="1" si="274"/>
        <v>0</v>
      </c>
      <c r="L999" s="220">
        <f t="shared" ca="1" si="274"/>
        <v>0</v>
      </c>
      <c r="M999" s="93">
        <f t="shared" ca="1" si="269"/>
        <v>0</v>
      </c>
      <c r="N999" s="332">
        <f t="shared" ca="1" si="272"/>
        <v>0</v>
      </c>
    </row>
    <row r="1000" spans="1:14" ht="15">
      <c r="A1000" s="87"/>
      <c r="B1000" s="7" t="s">
        <v>4836</v>
      </c>
      <c r="C1000" s="32">
        <f>VLOOKUP($B1000,R_DG!$A$7:$G$1305,2,0)</f>
        <v>0</v>
      </c>
      <c r="D1000" s="8" t="str">
        <f>VLOOKUP($B1000,R_DG!$A$7:$G$1305,3,0)</f>
        <v>Ghíp nối IPC 50-25 2BL</v>
      </c>
      <c r="E1000" s="9" t="str">
        <f>VLOOKUP($B1000,R_DG!$A$7:$G$1305,4,0)</f>
        <v>cái</v>
      </c>
      <c r="F1000" s="11">
        <f t="shared" ca="1" si="271"/>
        <v>0</v>
      </c>
      <c r="G1000" s="214">
        <f>VLOOKUP($B1000,R_DG!$A$7:$G$1305,5,0)</f>
        <v>11700</v>
      </c>
      <c r="H1000" s="214">
        <f>VLOOKUP($B1000,R_DG!$A$7:$G$1305,6,0)</f>
        <v>0</v>
      </c>
      <c r="I1000" s="214">
        <f>VLOOKUP($B1000,R_DG!$A$7:$G$1305,7,0)</f>
        <v>0</v>
      </c>
      <c r="J1000" s="214">
        <f t="shared" ca="1" si="274"/>
        <v>0</v>
      </c>
      <c r="K1000" s="214">
        <f t="shared" ca="1" si="274"/>
        <v>0</v>
      </c>
      <c r="L1000" s="220">
        <f t="shared" ca="1" si="274"/>
        <v>0</v>
      </c>
      <c r="M1000" s="93">
        <f t="shared" ca="1" si="269"/>
        <v>0</v>
      </c>
      <c r="N1000" s="332">
        <f t="shared" ca="1" si="272"/>
        <v>0</v>
      </c>
    </row>
    <row r="1001" spans="1:14" ht="15">
      <c r="A1001" s="87"/>
      <c r="B1001" s="7" t="s">
        <v>472</v>
      </c>
      <c r="C1001" s="32" t="str">
        <f>VLOOKUP($B1001,R_DG!$A$7:$G$1305,2,0)</f>
        <v>11.03.204</v>
      </c>
      <c r="D1001" s="8" t="str">
        <f>VLOOKUP($B1001,R_DG!$A$7:$G$1305,3,0)</f>
        <v>Hộp phân phối trực tiếp 9KH</v>
      </c>
      <c r="E1001" s="9" t="str">
        <f>VLOOKUP($B1001,R_DG!$A$7:$G$1305,4,0)</f>
        <v>cái</v>
      </c>
      <c r="F1001" s="11">
        <f t="shared" ca="1" si="271"/>
        <v>0</v>
      </c>
      <c r="G1001" s="214">
        <f>VLOOKUP($B1001,R_DG!$A$7:$G$1305,5,0)</f>
        <v>315000</v>
      </c>
      <c r="H1001" s="214">
        <f>VLOOKUP($B1001,R_DG!$A$7:$G$1305,6,0)</f>
        <v>138988.89599999998</v>
      </c>
      <c r="I1001" s="214">
        <f>VLOOKUP($B1001,R_DG!$A$7:$G$1305,7,0)</f>
        <v>0</v>
      </c>
      <c r="J1001" s="214">
        <f t="shared" ca="1" si="274"/>
        <v>0</v>
      </c>
      <c r="K1001" s="214">
        <f t="shared" ca="1" si="274"/>
        <v>0</v>
      </c>
      <c r="L1001" s="220">
        <f t="shared" ca="1" si="274"/>
        <v>0</v>
      </c>
      <c r="M1001" s="93">
        <f t="shared" ca="1" si="269"/>
        <v>0</v>
      </c>
      <c r="N1001" s="332">
        <f t="shared" ca="1" si="272"/>
        <v>0</v>
      </c>
    </row>
    <row r="1002" spans="1:14" ht="15">
      <c r="A1002" s="87"/>
      <c r="B1002" s="7" t="s">
        <v>473</v>
      </c>
      <c r="C1002" s="32" t="str">
        <f>VLOOKUP($B1002,R_DG!$A$7:$G$1305,2,0)</f>
        <v>11.03.204</v>
      </c>
      <c r="D1002" s="8" t="str">
        <f>VLOOKUP($B1002,R_DG!$A$7:$G$1305,3,0)</f>
        <v>Hộp phân phối trực tiếp 6KH</v>
      </c>
      <c r="E1002" s="9" t="str">
        <f>VLOOKUP($B1002,R_DG!$A$7:$G$1305,4,0)</f>
        <v>cái</v>
      </c>
      <c r="F1002" s="11">
        <f t="shared" ca="1" si="271"/>
        <v>0</v>
      </c>
      <c r="G1002" s="214">
        <f>VLOOKUP($B1002,R_DG!$A$7:$G$1305,5,0)</f>
        <v>305000</v>
      </c>
      <c r="H1002" s="214">
        <f>VLOOKUP($B1002,R_DG!$A$7:$G$1305,6,0)</f>
        <v>138988.89599999998</v>
      </c>
      <c r="I1002" s="214">
        <f>VLOOKUP($B1002,R_DG!$A$7:$G$1305,7,0)</f>
        <v>0</v>
      </c>
      <c r="J1002" s="214">
        <f t="shared" ca="1" si="274"/>
        <v>0</v>
      </c>
      <c r="K1002" s="214">
        <f t="shared" ca="1" si="274"/>
        <v>0</v>
      </c>
      <c r="L1002" s="220">
        <f t="shared" ca="1" si="274"/>
        <v>0</v>
      </c>
      <c r="M1002" s="93">
        <f t="shared" ca="1" si="269"/>
        <v>0</v>
      </c>
      <c r="N1002" s="332">
        <f t="shared" ca="1" si="272"/>
        <v>0</v>
      </c>
    </row>
    <row r="1003" spans="1:14" ht="15">
      <c r="A1003" s="87"/>
      <c r="B1003" s="7" t="s">
        <v>441</v>
      </c>
      <c r="C1003" s="32">
        <f>VLOOKUP($B1003,R_DG!$A$7:$G$1305,2,0)</f>
        <v>0</v>
      </c>
      <c r="D1003" s="8" t="str">
        <f>VLOOKUP($B1003,R_DG!$A$7:$G$1305,3,0)</f>
        <v>Kẹp treo cáp ABC4x150mm2</v>
      </c>
      <c r="E1003" s="9" t="str">
        <f>VLOOKUP($B1003,R_DG!$A$7:$G$1305,4,0)</f>
        <v>cái</v>
      </c>
      <c r="F1003" s="11">
        <f t="shared" ca="1" si="271"/>
        <v>0</v>
      </c>
      <c r="G1003" s="214">
        <f>VLOOKUP($B1003,R_DG!$A$7:$G$1305,5,0)</f>
        <v>29000</v>
      </c>
      <c r="H1003" s="214">
        <f>VLOOKUP($B1003,R_DG!$A$7:$G$1305,6,0)</f>
        <v>0</v>
      </c>
      <c r="I1003" s="214">
        <f>VLOOKUP($B1003,R_DG!$A$7:$G$1305,7,0)</f>
        <v>0</v>
      </c>
      <c r="J1003" s="214">
        <f t="shared" ca="1" si="274"/>
        <v>0</v>
      </c>
      <c r="K1003" s="214">
        <f t="shared" ca="1" si="274"/>
        <v>0</v>
      </c>
      <c r="L1003" s="220">
        <f t="shared" ca="1" si="274"/>
        <v>0</v>
      </c>
      <c r="M1003" s="93">
        <f t="shared" ca="1" si="269"/>
        <v>0</v>
      </c>
      <c r="N1003" s="332">
        <f t="shared" ca="1" si="272"/>
        <v>0</v>
      </c>
    </row>
    <row r="1004" spans="1:14" ht="15">
      <c r="A1004" s="87"/>
      <c r="B1004" s="7" t="s">
        <v>439</v>
      </c>
      <c r="C1004" s="32">
        <f>VLOOKUP($B1004,R_DG!$A$7:$G$1305,2,0)</f>
        <v>0</v>
      </c>
      <c r="D1004" s="8" t="str">
        <f>VLOOKUP($B1004,R_DG!$A$7:$G$1305,3,0)</f>
        <v>Kẹp treo cáp ABC4x120mm2</v>
      </c>
      <c r="E1004" s="9" t="str">
        <f>VLOOKUP($B1004,R_DG!$A$7:$G$1305,4,0)</f>
        <v>cái</v>
      </c>
      <c r="F1004" s="11">
        <f t="shared" ca="1" si="271"/>
        <v>0</v>
      </c>
      <c r="G1004" s="214">
        <f>VLOOKUP($B1004,R_DG!$A$7:$G$1305,5,0)</f>
        <v>29000</v>
      </c>
      <c r="H1004" s="214">
        <f>VLOOKUP($B1004,R_DG!$A$7:$G$1305,6,0)</f>
        <v>0</v>
      </c>
      <c r="I1004" s="214">
        <f>VLOOKUP($B1004,R_DG!$A$7:$G$1305,7,0)</f>
        <v>0</v>
      </c>
      <c r="J1004" s="214">
        <f t="shared" ca="1" si="274"/>
        <v>0</v>
      </c>
      <c r="K1004" s="214">
        <f t="shared" ca="1" si="274"/>
        <v>0</v>
      </c>
      <c r="L1004" s="220">
        <f t="shared" ca="1" si="274"/>
        <v>0</v>
      </c>
      <c r="M1004" s="93">
        <f t="shared" ca="1" si="269"/>
        <v>0</v>
      </c>
      <c r="N1004" s="332">
        <f t="shared" ca="1" si="272"/>
        <v>0</v>
      </c>
    </row>
    <row r="1005" spans="1:14" ht="15">
      <c r="A1005" s="87"/>
      <c r="B1005" s="7" t="s">
        <v>437</v>
      </c>
      <c r="C1005" s="32">
        <f>VLOOKUP($B1005,R_DG!$A$7:$G$1305,2,0)</f>
        <v>0</v>
      </c>
      <c r="D1005" s="8" t="str">
        <f>VLOOKUP($B1005,R_DG!$A$7:$G$1305,3,0)</f>
        <v>Kẹp treo cáp ABC4x95mm2</v>
      </c>
      <c r="E1005" s="9" t="str">
        <f>VLOOKUP($B1005,R_DG!$A$7:$G$1305,4,0)</f>
        <v>cái</v>
      </c>
      <c r="F1005" s="11">
        <f t="shared" ca="1" si="271"/>
        <v>0</v>
      </c>
      <c r="G1005" s="214">
        <f>VLOOKUP($B1005,R_DG!$A$7:$G$1305,5,0)</f>
        <v>27000</v>
      </c>
      <c r="H1005" s="214">
        <f>VLOOKUP($B1005,R_DG!$A$7:$G$1305,6,0)</f>
        <v>0</v>
      </c>
      <c r="I1005" s="214">
        <f>VLOOKUP($B1005,R_DG!$A$7:$G$1305,7,0)</f>
        <v>0</v>
      </c>
      <c r="J1005" s="214">
        <f t="shared" ca="1" si="274"/>
        <v>0</v>
      </c>
      <c r="K1005" s="214">
        <f t="shared" ca="1" si="274"/>
        <v>0</v>
      </c>
      <c r="L1005" s="220">
        <f t="shared" ca="1" si="274"/>
        <v>0</v>
      </c>
      <c r="M1005" s="93">
        <f t="shared" ca="1" si="269"/>
        <v>0</v>
      </c>
      <c r="N1005" s="332">
        <f t="shared" ca="1" si="272"/>
        <v>0</v>
      </c>
    </row>
    <row r="1006" spans="1:14" ht="15">
      <c r="A1006" s="87"/>
      <c r="B1006" s="7" t="s">
        <v>435</v>
      </c>
      <c r="C1006" s="32">
        <f>VLOOKUP($B1006,R_DG!$A$7:$G$1305,2,0)</f>
        <v>0</v>
      </c>
      <c r="D1006" s="8" t="str">
        <f>VLOOKUP($B1006,R_DG!$A$7:$G$1305,3,0)</f>
        <v>Kẹp treo cáp ABC4x70mm2</v>
      </c>
      <c r="E1006" s="9" t="str">
        <f>VLOOKUP($B1006,R_DG!$A$7:$G$1305,4,0)</f>
        <v>cái</v>
      </c>
      <c r="F1006" s="11">
        <f t="shared" ca="1" si="271"/>
        <v>0</v>
      </c>
      <c r="G1006" s="214">
        <f>VLOOKUP($B1006,R_DG!$A$7:$G$1305,5,0)</f>
        <v>27000</v>
      </c>
      <c r="H1006" s="214">
        <f>VLOOKUP($B1006,R_DG!$A$7:$G$1305,6,0)</f>
        <v>0</v>
      </c>
      <c r="I1006" s="214">
        <f>VLOOKUP($B1006,R_DG!$A$7:$G$1305,7,0)</f>
        <v>0</v>
      </c>
      <c r="J1006" s="214">
        <f t="shared" ca="1" si="274"/>
        <v>0</v>
      </c>
      <c r="K1006" s="214">
        <f t="shared" ca="1" si="274"/>
        <v>0</v>
      </c>
      <c r="L1006" s="220">
        <f t="shared" ca="1" si="274"/>
        <v>0</v>
      </c>
      <c r="M1006" s="93">
        <f t="shared" ca="1" si="269"/>
        <v>0</v>
      </c>
      <c r="N1006" s="332">
        <f t="shared" ca="1" si="272"/>
        <v>0</v>
      </c>
    </row>
    <row r="1007" spans="1:14" ht="15">
      <c r="A1007" s="87"/>
      <c r="B1007" s="7" t="s">
        <v>433</v>
      </c>
      <c r="C1007" s="32">
        <f>VLOOKUP($B1007,R_DG!$A$7:$G$1305,2,0)</f>
        <v>0</v>
      </c>
      <c r="D1007" s="8" t="str">
        <f>VLOOKUP($B1007,R_DG!$A$7:$G$1305,3,0)</f>
        <v>Kẹp treo cáp ABC4x50mm2</v>
      </c>
      <c r="E1007" s="9" t="str">
        <f>VLOOKUP($B1007,R_DG!$A$7:$G$1305,4,0)</f>
        <v>cái</v>
      </c>
      <c r="F1007" s="11">
        <f t="shared" ca="1" si="271"/>
        <v>0</v>
      </c>
      <c r="G1007" s="214">
        <f>VLOOKUP($B1007,R_DG!$A$7:$G$1305,5,0)</f>
        <v>27000</v>
      </c>
      <c r="H1007" s="214">
        <f>VLOOKUP($B1007,R_DG!$A$7:$G$1305,6,0)</f>
        <v>0</v>
      </c>
      <c r="I1007" s="214">
        <f>VLOOKUP($B1007,R_DG!$A$7:$G$1305,7,0)</f>
        <v>0</v>
      </c>
      <c r="J1007" s="214">
        <f t="shared" ca="1" si="274"/>
        <v>0</v>
      </c>
      <c r="K1007" s="214">
        <f t="shared" ca="1" si="274"/>
        <v>0</v>
      </c>
      <c r="L1007" s="220">
        <f t="shared" ca="1" si="274"/>
        <v>0</v>
      </c>
      <c r="M1007" s="93">
        <f t="shared" ca="1" si="269"/>
        <v>0</v>
      </c>
      <c r="N1007" s="332">
        <f t="shared" ca="1" si="272"/>
        <v>0</v>
      </c>
    </row>
    <row r="1008" spans="1:14" ht="15">
      <c r="A1008" s="87"/>
      <c r="B1008" s="7" t="s">
        <v>2800</v>
      </c>
      <c r="C1008" s="32">
        <f>VLOOKUP($B1008,R_DG!$A$7:$G$1305,2,0)</f>
        <v>0</v>
      </c>
      <c r="D1008" s="8" t="str">
        <f>VLOOKUP($B1008,R_DG!$A$7:$G$1305,3,0)</f>
        <v>Móc treo chữ A</v>
      </c>
      <c r="E1008" s="9" t="str">
        <f>VLOOKUP($B1008,R_DG!$A$7:$G$1305,4,0)</f>
        <v>cái</v>
      </c>
      <c r="F1008" s="11">
        <f t="shared" ref="F1008:F1039" ca="1" si="275">SUMIF(maBK,B1008,tongBK1)</f>
        <v>0</v>
      </c>
      <c r="G1008" s="214">
        <f>VLOOKUP($B1008,R_DG!$A$7:$G$1305,5,0)</f>
        <v>37000</v>
      </c>
      <c r="H1008" s="214">
        <f>VLOOKUP($B1008,R_DG!$A$7:$G$1305,6,0)</f>
        <v>0</v>
      </c>
      <c r="I1008" s="214">
        <f>VLOOKUP($B1008,R_DG!$A$7:$G$1305,7,0)</f>
        <v>0</v>
      </c>
      <c r="J1008" s="214">
        <f t="shared" ca="1" si="274"/>
        <v>0</v>
      </c>
      <c r="K1008" s="214">
        <f t="shared" ca="1" si="274"/>
        <v>0</v>
      </c>
      <c r="L1008" s="220">
        <f t="shared" ca="1" si="274"/>
        <v>0</v>
      </c>
      <c r="M1008" s="93">
        <f t="shared" ca="1" si="269"/>
        <v>0</v>
      </c>
      <c r="N1008" s="332">
        <f t="shared" ref="N1008:N1039" ca="1" si="276">$F1008</f>
        <v>0</v>
      </c>
    </row>
    <row r="1009" spans="1:14" ht="15">
      <c r="A1009" s="87"/>
      <c r="B1009" s="7" t="s">
        <v>463</v>
      </c>
      <c r="C1009" s="32" t="str">
        <f>VLOOKUP($B1009,R_DG!$A$7:$G$1305,2,0)</f>
        <v>D4.6205</v>
      </c>
      <c r="D1009" s="8" t="str">
        <f>VLOOKUP($B1009,R_DG!$A$7:$G$1305,3,0)</f>
        <v>Kẹp ngừng cáp ABC4x150mm2</v>
      </c>
      <c r="E1009" s="9" t="str">
        <f>VLOOKUP($B1009,R_DG!$A$7:$G$1305,4,0)</f>
        <v>cái</v>
      </c>
      <c r="F1009" s="11">
        <f t="shared" ca="1" si="275"/>
        <v>0</v>
      </c>
      <c r="G1009" s="214">
        <f>VLOOKUP($B1009,R_DG!$A$7:$G$1305,5,0)</f>
        <v>74000</v>
      </c>
      <c r="H1009" s="214">
        <f>VLOOKUP($B1009,R_DG!$A$7:$G$1305,6,0)</f>
        <v>176680.8</v>
      </c>
      <c r="I1009" s="214">
        <f>VLOOKUP($B1009,R_DG!$A$7:$G$1305,7,0)</f>
        <v>0</v>
      </c>
      <c r="J1009" s="214">
        <f t="shared" ca="1" si="274"/>
        <v>0</v>
      </c>
      <c r="K1009" s="214">
        <f t="shared" ca="1" si="274"/>
        <v>0</v>
      </c>
      <c r="L1009" s="220">
        <f t="shared" ca="1" si="274"/>
        <v>0</v>
      </c>
      <c r="M1009" s="93">
        <f t="shared" ca="1" si="269"/>
        <v>0</v>
      </c>
      <c r="N1009" s="332">
        <f t="shared" ca="1" si="276"/>
        <v>0</v>
      </c>
    </row>
    <row r="1010" spans="1:14" ht="15">
      <c r="A1010" s="87"/>
      <c r="B1010" s="7" t="s">
        <v>461</v>
      </c>
      <c r="C1010" s="32" t="str">
        <f>VLOOKUP($B1010,R_DG!$A$7:$G$1305,2,0)</f>
        <v>D4.6205</v>
      </c>
      <c r="D1010" s="8" t="str">
        <f>VLOOKUP($B1010,R_DG!$A$7:$G$1305,3,0)</f>
        <v>Kẹp ngừng cáp ABC4x120mm2</v>
      </c>
      <c r="E1010" s="9" t="str">
        <f>VLOOKUP($B1010,R_DG!$A$7:$G$1305,4,0)</f>
        <v>cái</v>
      </c>
      <c r="F1010" s="11">
        <f t="shared" ref="F1010:F1015" ca="1" si="277">SUMIF(maBK,B1010,tongBK1)</f>
        <v>0</v>
      </c>
      <c r="G1010" s="214">
        <f>VLOOKUP($B1010,R_DG!$A$7:$G$1305,5,0)</f>
        <v>79000</v>
      </c>
      <c r="H1010" s="214">
        <f>VLOOKUP($B1010,R_DG!$A$7:$G$1305,6,0)</f>
        <v>176680.8</v>
      </c>
      <c r="I1010" s="214">
        <f>VLOOKUP($B1010,R_DG!$A$7:$G$1305,7,0)</f>
        <v>0</v>
      </c>
      <c r="J1010" s="214">
        <f t="shared" ref="J1010:J1015" ca="1" si="278">G1010*$F1010</f>
        <v>0</v>
      </c>
      <c r="K1010" s="214">
        <f t="shared" ref="K1010:K1015" ca="1" si="279">H1010*$F1010</f>
        <v>0</v>
      </c>
      <c r="L1010" s="220">
        <f t="shared" ref="L1010:L1015" ca="1" si="280">I1010*$F1010</f>
        <v>0</v>
      </c>
      <c r="M1010" s="93">
        <f t="shared" ca="1" si="269"/>
        <v>0</v>
      </c>
      <c r="N1010" s="332">
        <f t="shared" ca="1" si="276"/>
        <v>0</v>
      </c>
    </row>
    <row r="1011" spans="1:14" ht="15">
      <c r="A1011" s="87"/>
      <c r="B1011" s="7" t="s">
        <v>459</v>
      </c>
      <c r="C1011" s="32" t="str">
        <f>VLOOKUP($B1011,R_DG!$A$7:$G$1305,2,0)</f>
        <v>D4.6205</v>
      </c>
      <c r="D1011" s="8" t="str">
        <f>VLOOKUP($B1011,R_DG!$A$7:$G$1305,3,0)</f>
        <v>Kẹp ngừng cáp ABC4x95mm2</v>
      </c>
      <c r="E1011" s="9" t="str">
        <f>VLOOKUP($B1011,R_DG!$A$7:$G$1305,4,0)</f>
        <v>cái</v>
      </c>
      <c r="F1011" s="11">
        <f t="shared" ca="1" si="277"/>
        <v>0</v>
      </c>
      <c r="G1011" s="214">
        <f>VLOOKUP($B1011,R_DG!$A$7:$G$1305,5,0)</f>
        <v>50000</v>
      </c>
      <c r="H1011" s="214">
        <f>VLOOKUP($B1011,R_DG!$A$7:$G$1305,6,0)</f>
        <v>176680.8</v>
      </c>
      <c r="I1011" s="214">
        <f>VLOOKUP($B1011,R_DG!$A$7:$G$1305,7,0)</f>
        <v>0</v>
      </c>
      <c r="J1011" s="214">
        <f t="shared" ca="1" si="278"/>
        <v>0</v>
      </c>
      <c r="K1011" s="214">
        <f t="shared" ca="1" si="279"/>
        <v>0</v>
      </c>
      <c r="L1011" s="220">
        <f t="shared" ca="1" si="280"/>
        <v>0</v>
      </c>
      <c r="M1011" s="93">
        <f t="shared" ca="1" si="269"/>
        <v>0</v>
      </c>
      <c r="N1011" s="332">
        <f t="shared" ca="1" si="276"/>
        <v>0</v>
      </c>
    </row>
    <row r="1012" spans="1:14" ht="15">
      <c r="A1012" s="87"/>
      <c r="B1012" s="7" t="s">
        <v>457</v>
      </c>
      <c r="C1012" s="32" t="str">
        <f>VLOOKUP($B1012,R_DG!$A$7:$G$1305,2,0)</f>
        <v>D4.6204</v>
      </c>
      <c r="D1012" s="8" t="str">
        <f>VLOOKUP($B1012,R_DG!$A$7:$G$1305,3,0)</f>
        <v>Kẹp ngừng cáp ABC4x70mm2</v>
      </c>
      <c r="E1012" s="9" t="str">
        <f>VLOOKUP($B1012,R_DG!$A$7:$G$1305,4,0)</f>
        <v>cái</v>
      </c>
      <c r="F1012" s="11">
        <f t="shared" ca="1" si="277"/>
        <v>0</v>
      </c>
      <c r="G1012" s="214">
        <f>VLOOKUP($B1012,R_DG!$A$7:$G$1305,5,0)</f>
        <v>50000</v>
      </c>
      <c r="H1012" s="214">
        <f>VLOOKUP($B1012,R_DG!$A$7:$G$1305,6,0)</f>
        <v>176680.8</v>
      </c>
      <c r="I1012" s="214">
        <f>VLOOKUP($B1012,R_DG!$A$7:$G$1305,7,0)</f>
        <v>0</v>
      </c>
      <c r="J1012" s="214">
        <f t="shared" ca="1" si="278"/>
        <v>0</v>
      </c>
      <c r="K1012" s="214">
        <f t="shared" ca="1" si="279"/>
        <v>0</v>
      </c>
      <c r="L1012" s="220">
        <f t="shared" ca="1" si="280"/>
        <v>0</v>
      </c>
      <c r="M1012" s="93">
        <f t="shared" ca="1" si="269"/>
        <v>0</v>
      </c>
      <c r="N1012" s="332">
        <f t="shared" ca="1" si="276"/>
        <v>0</v>
      </c>
    </row>
    <row r="1013" spans="1:14" ht="15">
      <c r="A1013" s="87"/>
      <c r="B1013" s="7" t="s">
        <v>455</v>
      </c>
      <c r="C1013" s="32" t="str">
        <f>VLOOKUP($B1013,R_DG!$A$7:$G$1305,2,0)</f>
        <v>D4.6204</v>
      </c>
      <c r="D1013" s="8" t="str">
        <f>VLOOKUP($B1013,R_DG!$A$7:$G$1305,3,0)</f>
        <v>Kẹp ngừng cáp ABC4x50mm2</v>
      </c>
      <c r="E1013" s="9" t="str">
        <f>VLOOKUP($B1013,R_DG!$A$7:$G$1305,4,0)</f>
        <v>cái</v>
      </c>
      <c r="F1013" s="11">
        <f t="shared" ca="1" si="277"/>
        <v>0</v>
      </c>
      <c r="G1013" s="214">
        <f>VLOOKUP($B1013,R_DG!$A$7:$G$1305,5,0)</f>
        <v>50000</v>
      </c>
      <c r="H1013" s="214">
        <f>VLOOKUP($B1013,R_DG!$A$7:$G$1305,6,0)</f>
        <v>147234</v>
      </c>
      <c r="I1013" s="214">
        <f>VLOOKUP($B1013,R_DG!$A$7:$G$1305,7,0)</f>
        <v>0</v>
      </c>
      <c r="J1013" s="214">
        <f t="shared" ca="1" si="278"/>
        <v>0</v>
      </c>
      <c r="K1013" s="214">
        <f t="shared" ca="1" si="279"/>
        <v>0</v>
      </c>
      <c r="L1013" s="220">
        <f t="shared" ca="1" si="280"/>
        <v>0</v>
      </c>
      <c r="M1013" s="93">
        <f t="shared" ref="M1013:M1075" ca="1" si="281">IF(F1013&gt;0,M$943,0)</f>
        <v>0</v>
      </c>
      <c r="N1013" s="332">
        <f t="shared" ca="1" si="276"/>
        <v>0</v>
      </c>
    </row>
    <row r="1014" spans="1:14" ht="15">
      <c r="A1014" s="87"/>
      <c r="B1014" s="7" t="s">
        <v>492</v>
      </c>
      <c r="C1014" s="32">
        <f>VLOOKUP($B1014,R_DG!$A$7:$G$1305,2,0)</f>
        <v>0</v>
      </c>
      <c r="D1014" s="8" t="str">
        <f>VLOOKUP($B1014,R_DG!$A$7:$G$1305,3,0)</f>
        <v>Nắp bịt đầu cáp ABC70mm2</v>
      </c>
      <c r="E1014" s="9" t="str">
        <f>VLOOKUP($B1014,R_DG!$A$7:$G$1305,4,0)</f>
        <v>cái</v>
      </c>
      <c r="F1014" s="11">
        <f t="shared" ca="1" si="277"/>
        <v>0</v>
      </c>
      <c r="G1014" s="214">
        <f>VLOOKUP($B1014,R_DG!$A$7:$G$1305,5,0)</f>
        <v>1600</v>
      </c>
      <c r="H1014" s="214">
        <f>VLOOKUP($B1014,R_DG!$A$7:$G$1305,6,0)</f>
        <v>0</v>
      </c>
      <c r="I1014" s="214">
        <f>VLOOKUP($B1014,R_DG!$A$7:$G$1305,7,0)</f>
        <v>0</v>
      </c>
      <c r="J1014" s="214">
        <f t="shared" ca="1" si="278"/>
        <v>0</v>
      </c>
      <c r="K1014" s="214">
        <f t="shared" ca="1" si="279"/>
        <v>0</v>
      </c>
      <c r="L1014" s="220">
        <f t="shared" ca="1" si="280"/>
        <v>0</v>
      </c>
      <c r="M1014" s="93">
        <f t="shared" ca="1" si="281"/>
        <v>0</v>
      </c>
      <c r="N1014" s="332">
        <f t="shared" ca="1" si="276"/>
        <v>0</v>
      </c>
    </row>
    <row r="1015" spans="1:14" ht="15">
      <c r="A1015" s="87"/>
      <c r="B1015" s="7" t="s">
        <v>490</v>
      </c>
      <c r="C1015" s="32">
        <f>VLOOKUP($B1015,R_DG!$A$7:$G$1305,2,0)</f>
        <v>0</v>
      </c>
      <c r="D1015" s="8" t="str">
        <f>VLOOKUP($B1015,R_DG!$A$7:$G$1305,3,0)</f>
        <v>Nắp bịt đầu cáp ABC95mm2</v>
      </c>
      <c r="E1015" s="9" t="str">
        <f>VLOOKUP($B1015,R_DG!$A$7:$G$1305,4,0)</f>
        <v>cái</v>
      </c>
      <c r="F1015" s="11">
        <f t="shared" ca="1" si="277"/>
        <v>0</v>
      </c>
      <c r="G1015" s="214">
        <f>VLOOKUP($B1015,R_DG!$A$7:$G$1305,5,0)</f>
        <v>3900</v>
      </c>
      <c r="H1015" s="214">
        <f>VLOOKUP($B1015,R_DG!$A$7:$G$1305,6,0)</f>
        <v>0</v>
      </c>
      <c r="I1015" s="214">
        <f>VLOOKUP($B1015,R_DG!$A$7:$G$1305,7,0)</f>
        <v>0</v>
      </c>
      <c r="J1015" s="214">
        <f t="shared" ca="1" si="278"/>
        <v>0</v>
      </c>
      <c r="K1015" s="214">
        <f t="shared" ca="1" si="279"/>
        <v>0</v>
      </c>
      <c r="L1015" s="220">
        <f t="shared" ca="1" si="280"/>
        <v>0</v>
      </c>
      <c r="M1015" s="93">
        <f t="shared" ca="1" si="281"/>
        <v>0</v>
      </c>
      <c r="N1015" s="332">
        <f t="shared" ca="1" si="276"/>
        <v>0</v>
      </c>
    </row>
    <row r="1016" spans="1:14" ht="15">
      <c r="A1016" s="87"/>
      <c r="B1016" s="7" t="s">
        <v>494</v>
      </c>
      <c r="C1016" s="32">
        <f>VLOOKUP($B1016,R_DG!$A$7:$G$1305,2,0)</f>
        <v>0</v>
      </c>
      <c r="D1016" s="8" t="str">
        <f>VLOOKUP($B1016,R_DG!$A$7:$G$1305,3,0)</f>
        <v>Nắp bịt đầu cáp ABC50mm2</v>
      </c>
      <c r="E1016" s="9" t="str">
        <f>VLOOKUP($B1016,R_DG!$A$7:$G$1305,4,0)</f>
        <v>cái</v>
      </c>
      <c r="F1016" s="11">
        <f t="shared" ref="F1016:F1017" ca="1" si="282">SUMIF(maBK,B1016,tongBK1)</f>
        <v>0</v>
      </c>
      <c r="G1016" s="214">
        <f>VLOOKUP($B1016,R_DG!$A$7:$G$1305,5,0)</f>
        <v>1600</v>
      </c>
      <c r="H1016" s="214">
        <f>VLOOKUP($B1016,R_DG!$A$7:$G$1305,6,0)</f>
        <v>0</v>
      </c>
      <c r="I1016" s="214">
        <f>VLOOKUP($B1016,R_DG!$A$7:$G$1305,7,0)</f>
        <v>0</v>
      </c>
      <c r="J1016" s="214">
        <f t="shared" ref="J1016:J1017" ca="1" si="283">G1016*$F1016</f>
        <v>0</v>
      </c>
      <c r="K1016" s="214">
        <f t="shared" ref="K1016:K1017" ca="1" si="284">H1016*$F1016</f>
        <v>0</v>
      </c>
      <c r="L1016" s="220">
        <f t="shared" ref="L1016:L1017" ca="1" si="285">I1016*$F1016</f>
        <v>0</v>
      </c>
      <c r="M1016" s="93">
        <f t="shared" ca="1" si="281"/>
        <v>0</v>
      </c>
      <c r="N1016" s="332">
        <f t="shared" ca="1" si="276"/>
        <v>0</v>
      </c>
    </row>
    <row r="1017" spans="1:14" ht="15">
      <c r="A1017" s="87"/>
      <c r="B1017" s="7" t="s">
        <v>2799</v>
      </c>
      <c r="C1017" s="32">
        <f>VLOOKUP($B1017,R_DG!$A$7:$G$1305,2,0)</f>
        <v>0</v>
      </c>
      <c r="D1017" s="8" t="str">
        <f>VLOOKUP($B1017,R_DG!$A$7:$G$1305,3,0)</f>
        <v xml:space="preserve">Móc đơn treo cáp </v>
      </c>
      <c r="E1017" s="9" t="str">
        <f>VLOOKUP($B1017,R_DG!$A$7:$G$1305,4,0)</f>
        <v>cái</v>
      </c>
      <c r="F1017" s="11">
        <f t="shared" ca="1" si="282"/>
        <v>0</v>
      </c>
      <c r="G1017" s="214">
        <f>VLOOKUP($B1017,R_DG!$A$7:$G$1305,5,0)</f>
        <v>34000</v>
      </c>
      <c r="H1017" s="214">
        <f>VLOOKUP($B1017,R_DG!$A$7:$G$1305,6,0)</f>
        <v>0</v>
      </c>
      <c r="I1017" s="214">
        <f>VLOOKUP($B1017,R_DG!$A$7:$G$1305,7,0)</f>
        <v>0</v>
      </c>
      <c r="J1017" s="214">
        <f t="shared" ca="1" si="283"/>
        <v>0</v>
      </c>
      <c r="K1017" s="214">
        <f t="shared" ca="1" si="284"/>
        <v>0</v>
      </c>
      <c r="L1017" s="220">
        <f t="shared" ca="1" si="285"/>
        <v>0</v>
      </c>
      <c r="M1017" s="93">
        <f t="shared" ca="1" si="281"/>
        <v>0</v>
      </c>
      <c r="N1017" s="332">
        <f t="shared" ca="1" si="276"/>
        <v>0</v>
      </c>
    </row>
    <row r="1018" spans="1:14" ht="15">
      <c r="A1018" s="87"/>
      <c r="B1018" s="7" t="s">
        <v>2316</v>
      </c>
      <c r="C1018" s="32">
        <f>VLOOKUP($B1018,R_DG!$A$7:$G$1305,2,0)</f>
        <v>0</v>
      </c>
      <c r="D1018" s="8" t="str">
        <f>VLOOKUP($B1018,R_DG!$A$7:$G$1305,3,0)</f>
        <v>Uclevis</v>
      </c>
      <c r="E1018" s="9" t="str">
        <f>VLOOKUP($B1018,R_DG!$A$7:$G$1305,4,0)</f>
        <v>bộ</v>
      </c>
      <c r="F1018" s="11">
        <f t="shared" ca="1" si="275"/>
        <v>0</v>
      </c>
      <c r="G1018" s="214">
        <f>VLOOKUP($B1018,R_DG!$A$7:$G$1305,5,0)</f>
        <v>17000</v>
      </c>
      <c r="H1018" s="214">
        <f>VLOOKUP($B1018,R_DG!$A$7:$G$1305,6,0)</f>
        <v>0</v>
      </c>
      <c r="I1018" s="214">
        <f>VLOOKUP($B1018,R_DG!$A$7:$G$1305,7,0)</f>
        <v>0</v>
      </c>
      <c r="J1018" s="214">
        <f t="shared" ca="1" si="274"/>
        <v>0</v>
      </c>
      <c r="K1018" s="214">
        <f t="shared" ca="1" si="274"/>
        <v>0</v>
      </c>
      <c r="L1018" s="220">
        <f t="shared" ca="1" si="274"/>
        <v>0</v>
      </c>
      <c r="M1018" s="93">
        <f t="shared" ca="1" si="281"/>
        <v>0</v>
      </c>
      <c r="N1018" s="332">
        <f t="shared" ca="1" si="276"/>
        <v>0</v>
      </c>
    </row>
    <row r="1019" spans="1:14" ht="15">
      <c r="A1019" s="87"/>
      <c r="B1019" s="7" t="s">
        <v>2317</v>
      </c>
      <c r="C1019" s="32">
        <f>VLOOKUP($B1019,R_DG!$A$7:$G$1305,2,0)</f>
        <v>0</v>
      </c>
      <c r="D1019" s="8" t="str">
        <f>VLOOKUP($B1019,R_DG!$A$7:$G$1305,3,0)</f>
        <v>Rack 3 sứ</v>
      </c>
      <c r="E1019" s="9" t="str">
        <f>VLOOKUP($B1019,R_DG!$A$7:$G$1305,4,0)</f>
        <v>bộ</v>
      </c>
      <c r="F1019" s="11">
        <f t="shared" ca="1" si="275"/>
        <v>0</v>
      </c>
      <c r="G1019" s="214">
        <f>VLOOKUP($B1019,R_DG!$A$7:$G$1305,5,0)</f>
        <v>108800</v>
      </c>
      <c r="H1019" s="214">
        <f>VLOOKUP($B1019,R_DG!$A$7:$G$1305,6,0)</f>
        <v>0</v>
      </c>
      <c r="I1019" s="214">
        <f>VLOOKUP($B1019,R_DG!$A$7:$G$1305,7,0)</f>
        <v>0</v>
      </c>
      <c r="J1019" s="214">
        <f t="shared" ca="1" si="274"/>
        <v>0</v>
      </c>
      <c r="K1019" s="214">
        <f t="shared" ca="1" si="274"/>
        <v>0</v>
      </c>
      <c r="L1019" s="220">
        <f t="shared" ca="1" si="274"/>
        <v>0</v>
      </c>
      <c r="M1019" s="93">
        <f t="shared" ca="1" si="281"/>
        <v>0</v>
      </c>
      <c r="N1019" s="332">
        <f t="shared" ca="1" si="276"/>
        <v>0</v>
      </c>
    </row>
    <row r="1020" spans="1:14" ht="15">
      <c r="A1020" s="87"/>
      <c r="B1020" s="7" t="s">
        <v>2318</v>
      </c>
      <c r="C1020" s="32">
        <f>VLOOKUP($B1020,R_DG!$A$7:$G$1305,2,0)</f>
        <v>0</v>
      </c>
      <c r="D1020" s="8" t="str">
        <f>VLOOKUP($B1020,R_DG!$A$7:$G$1305,3,0)</f>
        <v>Rack 4 sứ</v>
      </c>
      <c r="E1020" s="9" t="str">
        <f>VLOOKUP($B1020,R_DG!$A$7:$G$1305,4,0)</f>
        <v>bộ</v>
      </c>
      <c r="F1020" s="11">
        <f t="shared" ca="1" si="275"/>
        <v>0</v>
      </c>
      <c r="G1020" s="214">
        <f>VLOOKUP($B1020,R_DG!$A$7:$G$1305,5,0)</f>
        <v>135800</v>
      </c>
      <c r="H1020" s="214">
        <f>VLOOKUP($B1020,R_DG!$A$7:$G$1305,6,0)</f>
        <v>0</v>
      </c>
      <c r="I1020" s="214">
        <f>VLOOKUP($B1020,R_DG!$A$7:$G$1305,7,0)</f>
        <v>0</v>
      </c>
      <c r="J1020" s="214">
        <f t="shared" ca="1" si="274"/>
        <v>0</v>
      </c>
      <c r="K1020" s="214">
        <f t="shared" ca="1" si="274"/>
        <v>0</v>
      </c>
      <c r="L1020" s="220">
        <f t="shared" ca="1" si="274"/>
        <v>0</v>
      </c>
      <c r="M1020" s="93">
        <f t="shared" ca="1" si="281"/>
        <v>0</v>
      </c>
      <c r="N1020" s="332">
        <f t="shared" ca="1" si="276"/>
        <v>0</v>
      </c>
    </row>
    <row r="1021" spans="1:14" ht="15">
      <c r="A1021" s="87"/>
      <c r="B1021" s="7" t="s">
        <v>2464</v>
      </c>
      <c r="C1021" s="32">
        <f>VLOOKUP($B1021,R_DG!$A$7:$G$1305,2,0)</f>
        <v>0</v>
      </c>
      <c r="D1021" s="8" t="str">
        <f>VLOOKUP($B1021,R_DG!$A$7:$G$1305,3,0)</f>
        <v>Collier kẹp ống PVC φ 90</v>
      </c>
      <c r="E1021" s="9" t="str">
        <f>VLOOKUP($B1021,R_DG!$A$7:$G$1305,4,0)</f>
        <v>bộ</v>
      </c>
      <c r="F1021" s="11">
        <f t="shared" ca="1" si="275"/>
        <v>0</v>
      </c>
      <c r="G1021" s="214">
        <f>VLOOKUP($B1021,R_DG!$A$7:$G$1305,5,0)</f>
        <v>56000</v>
      </c>
      <c r="H1021" s="214">
        <f>VLOOKUP($B1021,R_DG!$A$7:$G$1305,6,0)</f>
        <v>0</v>
      </c>
      <c r="I1021" s="214">
        <f>VLOOKUP($B1021,R_DG!$A$7:$G$1305,7,0)</f>
        <v>0</v>
      </c>
      <c r="J1021" s="214">
        <f t="shared" ca="1" si="274"/>
        <v>0</v>
      </c>
      <c r="K1021" s="214">
        <f t="shared" ca="1" si="274"/>
        <v>0</v>
      </c>
      <c r="L1021" s="220">
        <f t="shared" ca="1" si="274"/>
        <v>0</v>
      </c>
      <c r="M1021" s="93">
        <f t="shared" ca="1" si="281"/>
        <v>0</v>
      </c>
      <c r="N1021" s="332">
        <f t="shared" ca="1" si="276"/>
        <v>0</v>
      </c>
    </row>
    <row r="1022" spans="1:14" ht="15">
      <c r="A1022" s="87"/>
      <c r="B1022" s="7" t="s">
        <v>4844</v>
      </c>
      <c r="C1022" s="32">
        <f>VLOOKUP($B1022,R_DG!$A$7:$G$1305,2,0)</f>
        <v>0</v>
      </c>
      <c r="D1022" s="8" t="str">
        <f>VLOOKUP($B1022,R_DG!$A$7:$G$1305,3,0)</f>
        <v>Collier kẹp ống PVC φ 114</v>
      </c>
      <c r="E1022" s="9" t="str">
        <f>VLOOKUP($B1022,R_DG!$A$7:$G$1305,4,0)</f>
        <v>bộ</v>
      </c>
      <c r="F1022" s="11">
        <f t="shared" ca="1" si="275"/>
        <v>0</v>
      </c>
      <c r="G1022" s="214">
        <f>VLOOKUP($B1022,R_DG!$A$7:$G$1305,5,0)</f>
        <v>59000</v>
      </c>
      <c r="H1022" s="214">
        <f>VLOOKUP($B1022,R_DG!$A$7:$G$1305,6,0)</f>
        <v>0</v>
      </c>
      <c r="I1022" s="214">
        <f>VLOOKUP($B1022,R_DG!$A$7:$G$1305,7,0)</f>
        <v>0</v>
      </c>
      <c r="J1022" s="214">
        <f t="shared" ca="1" si="274"/>
        <v>0</v>
      </c>
      <c r="K1022" s="214">
        <f t="shared" ca="1" si="274"/>
        <v>0</v>
      </c>
      <c r="L1022" s="220">
        <f t="shared" ca="1" si="274"/>
        <v>0</v>
      </c>
      <c r="M1022" s="93">
        <f t="shared" ca="1" si="281"/>
        <v>0</v>
      </c>
      <c r="N1022" s="332">
        <f t="shared" ca="1" si="276"/>
        <v>0</v>
      </c>
    </row>
    <row r="1023" spans="1:14" ht="15">
      <c r="A1023" s="87"/>
      <c r="B1023" s="7" t="s">
        <v>4845</v>
      </c>
      <c r="C1023" s="32">
        <f>VLOOKUP($B1023,R_DG!$A$7:$G$1305,2,0)</f>
        <v>0</v>
      </c>
      <c r="D1023" s="8" t="str">
        <f>VLOOKUP($B1023,R_DG!$A$7:$G$1305,3,0)</f>
        <v>Đầu cosse ép Cu 50mm2</v>
      </c>
      <c r="E1023" s="9" t="str">
        <f>VLOOKUP($B1023,R_DG!$A$7:$G$1305,4,0)</f>
        <v>cái</v>
      </c>
      <c r="F1023" s="11">
        <f t="shared" ca="1" si="275"/>
        <v>0</v>
      </c>
      <c r="G1023" s="214">
        <f>VLOOKUP($B1023,R_DG!$A$7:$G$1305,5,0)</f>
        <v>9100</v>
      </c>
      <c r="H1023" s="214">
        <f>VLOOKUP($B1023,R_DG!$A$7:$G$1305,6,0)</f>
        <v>0</v>
      </c>
      <c r="I1023" s="214">
        <f>VLOOKUP($B1023,R_DG!$A$7:$G$1305,7,0)</f>
        <v>0</v>
      </c>
      <c r="J1023" s="214">
        <f t="shared" ca="1" si="274"/>
        <v>0</v>
      </c>
      <c r="K1023" s="214">
        <f t="shared" ca="1" si="274"/>
        <v>0</v>
      </c>
      <c r="L1023" s="220">
        <f t="shared" ca="1" si="274"/>
        <v>0</v>
      </c>
      <c r="M1023" s="93">
        <f t="shared" ca="1" si="281"/>
        <v>0</v>
      </c>
      <c r="N1023" s="332">
        <f t="shared" ca="1" si="276"/>
        <v>0</v>
      </c>
    </row>
    <row r="1024" spans="1:14" ht="15">
      <c r="A1024" s="87"/>
      <c r="B1024" s="7" t="s">
        <v>2320</v>
      </c>
      <c r="C1024" s="32">
        <f>VLOOKUP($B1024,R_DG!$A$7:$G$1305,2,0)</f>
        <v>0</v>
      </c>
      <c r="D1024" s="8" t="str">
        <f>VLOOKUP($B1024,R_DG!$A$7:$G$1305,3,0)</f>
        <v>Đầu cosse ép Cu 70mm2</v>
      </c>
      <c r="E1024" s="9" t="str">
        <f>VLOOKUP($B1024,R_DG!$A$7:$G$1305,4,0)</f>
        <v>cái</v>
      </c>
      <c r="F1024" s="11">
        <f t="shared" ca="1" si="275"/>
        <v>0</v>
      </c>
      <c r="G1024" s="214">
        <f>VLOOKUP($B1024,R_DG!$A$7:$G$1305,5,0)</f>
        <v>14000</v>
      </c>
      <c r="H1024" s="214">
        <f>VLOOKUP($B1024,R_DG!$A$7:$G$1305,6,0)</f>
        <v>0</v>
      </c>
      <c r="I1024" s="214">
        <f>VLOOKUP($B1024,R_DG!$A$7:$G$1305,7,0)</f>
        <v>0</v>
      </c>
      <c r="J1024" s="214">
        <f t="shared" ref="J1024:L1076" ca="1" si="286">G1024*$F1024</f>
        <v>0</v>
      </c>
      <c r="K1024" s="214">
        <f t="shared" ca="1" si="286"/>
        <v>0</v>
      </c>
      <c r="L1024" s="220">
        <f t="shared" ca="1" si="286"/>
        <v>0</v>
      </c>
      <c r="M1024" s="93">
        <f t="shared" ca="1" si="281"/>
        <v>0</v>
      </c>
      <c r="N1024" s="332">
        <f t="shared" ca="1" si="276"/>
        <v>0</v>
      </c>
    </row>
    <row r="1025" spans="1:14" ht="15">
      <c r="A1025" s="87"/>
      <c r="B1025" s="7" t="s">
        <v>4846</v>
      </c>
      <c r="C1025" s="32">
        <f>VLOOKUP($B1025,R_DG!$A$7:$G$1305,2,0)</f>
        <v>0</v>
      </c>
      <c r="D1025" s="8" t="str">
        <f>VLOOKUP($B1025,R_DG!$A$7:$G$1305,3,0)</f>
        <v>Đầu cosse ép Cu 95mm2</v>
      </c>
      <c r="E1025" s="9" t="str">
        <f>VLOOKUP($B1025,R_DG!$A$7:$G$1305,4,0)</f>
        <v>cái</v>
      </c>
      <c r="F1025" s="11">
        <f t="shared" ca="1" si="275"/>
        <v>0</v>
      </c>
      <c r="G1025" s="214">
        <f>VLOOKUP($B1025,R_DG!$A$7:$G$1305,5,0)</f>
        <v>21000</v>
      </c>
      <c r="H1025" s="214">
        <f>VLOOKUP($B1025,R_DG!$A$7:$G$1305,6,0)</f>
        <v>0</v>
      </c>
      <c r="I1025" s="214">
        <f>VLOOKUP($B1025,R_DG!$A$7:$G$1305,7,0)</f>
        <v>0</v>
      </c>
      <c r="J1025" s="214">
        <f t="shared" ca="1" si="286"/>
        <v>0</v>
      </c>
      <c r="K1025" s="214">
        <f t="shared" ca="1" si="286"/>
        <v>0</v>
      </c>
      <c r="L1025" s="220">
        <f t="shared" ca="1" si="286"/>
        <v>0</v>
      </c>
      <c r="M1025" s="93">
        <f t="shared" ca="1" si="281"/>
        <v>0</v>
      </c>
      <c r="N1025" s="332">
        <f t="shared" ca="1" si="276"/>
        <v>0</v>
      </c>
    </row>
    <row r="1026" spans="1:14" ht="15">
      <c r="A1026" s="87"/>
      <c r="B1026" s="7" t="s">
        <v>4847</v>
      </c>
      <c r="C1026" s="32">
        <f>VLOOKUP($B1026,R_DG!$A$7:$G$1305,2,0)</f>
        <v>0</v>
      </c>
      <c r="D1026" s="8" t="str">
        <f>VLOOKUP($B1026,R_DG!$A$7:$G$1305,3,0)</f>
        <v>Đầu cosse ép Cu 120mm2</v>
      </c>
      <c r="E1026" s="9" t="str">
        <f>VLOOKUP($B1026,R_DG!$A$7:$G$1305,4,0)</f>
        <v>cái</v>
      </c>
      <c r="F1026" s="11">
        <f t="shared" ca="1" si="275"/>
        <v>0</v>
      </c>
      <c r="G1026" s="214">
        <f>VLOOKUP($B1026,R_DG!$A$7:$G$1305,5,0)</f>
        <v>27000</v>
      </c>
      <c r="H1026" s="214">
        <f>VLOOKUP($B1026,R_DG!$A$7:$G$1305,6,0)</f>
        <v>0</v>
      </c>
      <c r="I1026" s="214">
        <f>VLOOKUP($B1026,R_DG!$A$7:$G$1305,7,0)</f>
        <v>0</v>
      </c>
      <c r="J1026" s="214">
        <f t="shared" ca="1" si="286"/>
        <v>0</v>
      </c>
      <c r="K1026" s="214">
        <f t="shared" ca="1" si="286"/>
        <v>0</v>
      </c>
      <c r="L1026" s="220">
        <f t="shared" ca="1" si="286"/>
        <v>0</v>
      </c>
      <c r="M1026" s="93">
        <f t="shared" ca="1" si="281"/>
        <v>0</v>
      </c>
      <c r="N1026" s="332">
        <f t="shared" ca="1" si="276"/>
        <v>0</v>
      </c>
    </row>
    <row r="1027" spans="1:14" ht="15">
      <c r="A1027" s="87"/>
      <c r="B1027" s="7" t="s">
        <v>4848</v>
      </c>
      <c r="C1027" s="32">
        <f>VLOOKUP($B1027,R_DG!$A$7:$G$1305,2,0)</f>
        <v>0</v>
      </c>
      <c r="D1027" s="8" t="str">
        <f>VLOOKUP($B1027,R_DG!$A$7:$G$1305,3,0)</f>
        <v>Đầu cosse ép Cu 150mm2</v>
      </c>
      <c r="E1027" s="9" t="str">
        <f>VLOOKUP($B1027,R_DG!$A$7:$G$1305,4,0)</f>
        <v>cái</v>
      </c>
      <c r="F1027" s="11">
        <f t="shared" ca="1" si="275"/>
        <v>0</v>
      </c>
      <c r="G1027" s="214">
        <f>VLOOKUP($B1027,R_DG!$A$7:$G$1305,5,0)</f>
        <v>36000</v>
      </c>
      <c r="H1027" s="214">
        <f>VLOOKUP($B1027,R_DG!$A$7:$G$1305,6,0)</f>
        <v>0</v>
      </c>
      <c r="I1027" s="214">
        <f>VLOOKUP($B1027,R_DG!$A$7:$G$1305,7,0)</f>
        <v>0</v>
      </c>
      <c r="J1027" s="214">
        <f t="shared" ca="1" si="286"/>
        <v>0</v>
      </c>
      <c r="K1027" s="214">
        <f t="shared" ca="1" si="286"/>
        <v>0</v>
      </c>
      <c r="L1027" s="220">
        <f t="shared" ca="1" si="286"/>
        <v>0</v>
      </c>
      <c r="M1027" s="93">
        <f t="shared" ca="1" si="281"/>
        <v>0</v>
      </c>
      <c r="N1027" s="332">
        <f t="shared" ca="1" si="276"/>
        <v>0</v>
      </c>
    </row>
    <row r="1028" spans="1:14" ht="15">
      <c r="A1028" s="87"/>
      <c r="B1028" s="7" t="s">
        <v>4849</v>
      </c>
      <c r="C1028" s="32">
        <f>VLOOKUP($B1028,R_DG!$A$7:$G$1305,2,0)</f>
        <v>0</v>
      </c>
      <c r="D1028" s="8" t="str">
        <f>VLOOKUP($B1028,R_DG!$A$7:$G$1305,3,0)</f>
        <v>Đầu cosse ép Cu 240mm2</v>
      </c>
      <c r="E1028" s="9" t="str">
        <f>VLOOKUP($B1028,R_DG!$A$7:$G$1305,4,0)</f>
        <v>cái</v>
      </c>
      <c r="F1028" s="11">
        <f t="shared" ca="1" si="275"/>
        <v>0</v>
      </c>
      <c r="G1028" s="214">
        <f>VLOOKUP($B1028,R_DG!$A$7:$G$1305,5,0)</f>
        <v>70000</v>
      </c>
      <c r="H1028" s="214">
        <f>VLOOKUP($B1028,R_DG!$A$7:$G$1305,6,0)</f>
        <v>0</v>
      </c>
      <c r="I1028" s="214">
        <f>VLOOKUP($B1028,R_DG!$A$7:$G$1305,7,0)</f>
        <v>0</v>
      </c>
      <c r="J1028" s="214">
        <f t="shared" ca="1" si="286"/>
        <v>0</v>
      </c>
      <c r="K1028" s="214">
        <f t="shared" ca="1" si="286"/>
        <v>0</v>
      </c>
      <c r="L1028" s="220">
        <f t="shared" ca="1" si="286"/>
        <v>0</v>
      </c>
      <c r="M1028" s="93">
        <f t="shared" ca="1" si="281"/>
        <v>0</v>
      </c>
      <c r="N1028" s="332">
        <f t="shared" ca="1" si="276"/>
        <v>0</v>
      </c>
    </row>
    <row r="1029" spans="1:14" ht="15">
      <c r="A1029" s="87"/>
      <c r="B1029" s="7" t="s">
        <v>4850</v>
      </c>
      <c r="C1029" s="32">
        <f>VLOOKUP($B1029,R_DG!$A$7:$G$1305,2,0)</f>
        <v>0</v>
      </c>
      <c r="D1029" s="8" t="str">
        <f>VLOOKUP($B1029,R_DG!$A$7:$G$1305,3,0)</f>
        <v xml:space="preserve">Ống PVC D90x3,8mm </v>
      </c>
      <c r="E1029" s="9" t="str">
        <f>VLOOKUP($B1029,R_DG!$A$7:$G$1305,4,0)</f>
        <v>m</v>
      </c>
      <c r="F1029" s="11">
        <f t="shared" ca="1" si="275"/>
        <v>0</v>
      </c>
      <c r="G1029" s="214">
        <f>VLOOKUP($B1029,R_DG!$A$7:$G$1305,5,0)</f>
        <v>63100</v>
      </c>
      <c r="H1029" s="214">
        <f>VLOOKUP($B1029,R_DG!$A$7:$G$1305,6,0)</f>
        <v>0</v>
      </c>
      <c r="I1029" s="214">
        <f>VLOOKUP($B1029,R_DG!$A$7:$G$1305,7,0)</f>
        <v>0</v>
      </c>
      <c r="J1029" s="214">
        <f t="shared" ca="1" si="286"/>
        <v>0</v>
      </c>
      <c r="K1029" s="214">
        <f t="shared" ca="1" si="286"/>
        <v>0</v>
      </c>
      <c r="L1029" s="220">
        <f t="shared" ca="1" si="286"/>
        <v>0</v>
      </c>
      <c r="M1029" s="93">
        <f t="shared" ca="1" si="281"/>
        <v>0</v>
      </c>
      <c r="N1029" s="332">
        <f t="shared" ca="1" si="276"/>
        <v>0</v>
      </c>
    </row>
    <row r="1030" spans="1:14" ht="15">
      <c r="A1030" s="87"/>
      <c r="B1030" s="7" t="s">
        <v>4851</v>
      </c>
      <c r="C1030" s="32">
        <f>VLOOKUP($B1030,R_DG!$A$7:$G$1305,2,0)</f>
        <v>0</v>
      </c>
      <c r="D1030" s="8" t="str">
        <f>VLOOKUP($B1030,R_DG!$A$7:$G$1305,3,0)</f>
        <v xml:space="preserve">Ống PVC D114x4,9mm </v>
      </c>
      <c r="E1030" s="9" t="str">
        <f>VLOOKUP($B1030,R_DG!$A$7:$G$1305,4,0)</f>
        <v>m</v>
      </c>
      <c r="F1030" s="11">
        <f t="shared" ca="1" si="275"/>
        <v>0</v>
      </c>
      <c r="G1030" s="214">
        <f>VLOOKUP($B1030,R_DG!$A$7:$G$1305,5,0)</f>
        <v>103700</v>
      </c>
      <c r="H1030" s="214">
        <f>VLOOKUP($B1030,R_DG!$A$7:$G$1305,6,0)</f>
        <v>0</v>
      </c>
      <c r="I1030" s="214">
        <f>VLOOKUP($B1030,R_DG!$A$7:$G$1305,7,0)</f>
        <v>0</v>
      </c>
      <c r="J1030" s="214">
        <f t="shared" ca="1" si="286"/>
        <v>0</v>
      </c>
      <c r="K1030" s="214">
        <f t="shared" ca="1" si="286"/>
        <v>0</v>
      </c>
      <c r="L1030" s="220">
        <f t="shared" ca="1" si="286"/>
        <v>0</v>
      </c>
      <c r="M1030" s="93">
        <f t="shared" ca="1" si="281"/>
        <v>0</v>
      </c>
      <c r="N1030" s="332">
        <f t="shared" ca="1" si="276"/>
        <v>0</v>
      </c>
    </row>
    <row r="1031" spans="1:14" ht="15">
      <c r="A1031" s="87"/>
      <c r="B1031" s="7" t="s">
        <v>2319</v>
      </c>
      <c r="C1031" s="32">
        <f>VLOOKUP($B1031,R_DG!$A$7:$G$1305,2,0)</f>
        <v>0</v>
      </c>
      <c r="D1031" s="8" t="str">
        <f>VLOOKUP($B1031,R_DG!$A$7:$G$1305,3,0)</f>
        <v>Co 90 độ PVC 90</v>
      </c>
      <c r="E1031" s="9" t="str">
        <f>VLOOKUP($B1031,R_DG!$A$7:$G$1305,4,0)</f>
        <v>cái</v>
      </c>
      <c r="F1031" s="11">
        <f t="shared" ca="1" si="275"/>
        <v>0</v>
      </c>
      <c r="G1031" s="214">
        <f>VLOOKUP($B1031,R_DG!$A$7:$G$1305,5,0)</f>
        <v>45400</v>
      </c>
      <c r="H1031" s="214">
        <f>VLOOKUP($B1031,R_DG!$A$7:$G$1305,6,0)</f>
        <v>0</v>
      </c>
      <c r="I1031" s="214">
        <f>VLOOKUP($B1031,R_DG!$A$7:$G$1305,7,0)</f>
        <v>0</v>
      </c>
      <c r="J1031" s="214">
        <f t="shared" ca="1" si="286"/>
        <v>0</v>
      </c>
      <c r="K1031" s="214">
        <f t="shared" ca="1" si="286"/>
        <v>0</v>
      </c>
      <c r="L1031" s="220">
        <f t="shared" ca="1" si="286"/>
        <v>0</v>
      </c>
      <c r="M1031" s="93">
        <f t="shared" ca="1" si="281"/>
        <v>0</v>
      </c>
      <c r="N1031" s="332">
        <f t="shared" ca="1" si="276"/>
        <v>0</v>
      </c>
    </row>
    <row r="1032" spans="1:14" ht="15">
      <c r="A1032" s="87"/>
      <c r="B1032" s="7" t="s">
        <v>4853</v>
      </c>
      <c r="C1032" s="32">
        <f>VLOOKUP($B1032,R_DG!$A$7:$G$1305,2,0)</f>
        <v>0</v>
      </c>
      <c r="D1032" s="8" t="str">
        <f>VLOOKUP($B1032,R_DG!$A$7:$G$1305,3,0)</f>
        <v>Co 90 độ PVC 114</v>
      </c>
      <c r="E1032" s="9" t="str">
        <f>VLOOKUP($B1032,R_DG!$A$7:$G$1305,4,0)</f>
        <v>cái</v>
      </c>
      <c r="F1032" s="11">
        <f t="shared" ca="1" si="275"/>
        <v>0</v>
      </c>
      <c r="G1032" s="214">
        <f>VLOOKUP($B1032,R_DG!$A$7:$G$1305,5,0)</f>
        <v>43100</v>
      </c>
      <c r="H1032" s="214">
        <f>VLOOKUP($B1032,R_DG!$A$7:$G$1305,6,0)</f>
        <v>0</v>
      </c>
      <c r="I1032" s="214">
        <f>VLOOKUP($B1032,R_DG!$A$7:$G$1305,7,0)</f>
        <v>0</v>
      </c>
      <c r="J1032" s="214">
        <f t="shared" ca="1" si="286"/>
        <v>0</v>
      </c>
      <c r="K1032" s="214">
        <f t="shared" ca="1" si="286"/>
        <v>0</v>
      </c>
      <c r="L1032" s="220">
        <f t="shared" ca="1" si="286"/>
        <v>0</v>
      </c>
      <c r="M1032" s="93">
        <f t="shared" ca="1" si="281"/>
        <v>0</v>
      </c>
      <c r="N1032" s="332">
        <f t="shared" ca="1" si="276"/>
        <v>0</v>
      </c>
    </row>
    <row r="1033" spans="1:14" ht="15">
      <c r="A1033" s="87"/>
      <c r="B1033" s="7" t="s">
        <v>4852</v>
      </c>
      <c r="C1033" s="32">
        <f>VLOOKUP($B1033,R_DG!$A$7:$G$1305,2,0)</f>
        <v>0</v>
      </c>
      <c r="D1033" s="8" t="str">
        <f>VLOOKUP($B1033,R_DG!$A$7:$G$1305,3,0)</f>
        <v>Co sừng 90 độ PVC 114</v>
      </c>
      <c r="E1033" s="9" t="str">
        <f>VLOOKUP($B1033,R_DG!$A$7:$G$1305,4,0)</f>
        <v>cái</v>
      </c>
      <c r="F1033" s="11">
        <f t="shared" ca="1" si="275"/>
        <v>0</v>
      </c>
      <c r="G1033" s="214">
        <f>VLOOKUP($B1033,R_DG!$A$7:$G$1305,5,0)</f>
        <v>51700</v>
      </c>
      <c r="H1033" s="214">
        <f>VLOOKUP($B1033,R_DG!$A$7:$G$1305,6,0)</f>
        <v>0</v>
      </c>
      <c r="I1033" s="214">
        <f>VLOOKUP($B1033,R_DG!$A$7:$G$1305,7,0)</f>
        <v>0</v>
      </c>
      <c r="J1033" s="214">
        <f t="shared" ca="1" si="286"/>
        <v>0</v>
      </c>
      <c r="K1033" s="214">
        <f t="shared" ca="1" si="286"/>
        <v>0</v>
      </c>
      <c r="L1033" s="220">
        <f t="shared" ca="1" si="286"/>
        <v>0</v>
      </c>
      <c r="M1033" s="93">
        <f t="shared" ca="1" si="281"/>
        <v>0</v>
      </c>
      <c r="N1033" s="332">
        <f t="shared" ca="1" si="276"/>
        <v>0</v>
      </c>
    </row>
    <row r="1034" spans="1:14" ht="15">
      <c r="A1034" s="87"/>
      <c r="B1034" s="7" t="s">
        <v>4854</v>
      </c>
      <c r="C1034" s="32">
        <f>VLOOKUP($B1034,R_DG!$A$7:$G$1305,2,0)</f>
        <v>0</v>
      </c>
      <c r="D1034" s="8" t="str">
        <f>VLOOKUP($B1034,R_DG!$A$7:$G$1305,3,0)</f>
        <v>Co 135 độ PVC 90</v>
      </c>
      <c r="E1034" s="9" t="str">
        <f>VLOOKUP($B1034,R_DG!$A$7:$G$1305,4,0)</f>
        <v>cái</v>
      </c>
      <c r="F1034" s="11">
        <f t="shared" ca="1" si="275"/>
        <v>0</v>
      </c>
      <c r="G1034" s="214">
        <f>VLOOKUP($B1034,R_DG!$A$7:$G$1305,5,0)</f>
        <v>33900</v>
      </c>
      <c r="H1034" s="214">
        <f>VLOOKUP($B1034,R_DG!$A$7:$G$1305,6,0)</f>
        <v>0</v>
      </c>
      <c r="I1034" s="214">
        <f>VLOOKUP($B1034,R_DG!$A$7:$G$1305,7,0)</f>
        <v>0</v>
      </c>
      <c r="J1034" s="214">
        <f t="shared" ca="1" si="286"/>
        <v>0</v>
      </c>
      <c r="K1034" s="214">
        <f t="shared" ca="1" si="286"/>
        <v>0</v>
      </c>
      <c r="L1034" s="220">
        <f t="shared" ca="1" si="286"/>
        <v>0</v>
      </c>
      <c r="M1034" s="93">
        <f t="shared" ca="1" si="281"/>
        <v>0</v>
      </c>
      <c r="N1034" s="332">
        <f t="shared" ca="1" si="276"/>
        <v>0</v>
      </c>
    </row>
    <row r="1035" spans="1:14" ht="15">
      <c r="A1035" s="87"/>
      <c r="B1035" s="7" t="s">
        <v>4855</v>
      </c>
      <c r="C1035" s="32">
        <f>VLOOKUP($B1035,R_DG!$A$7:$G$1305,2,0)</f>
        <v>0</v>
      </c>
      <c r="D1035" s="8" t="str">
        <f>VLOOKUP($B1035,R_DG!$A$7:$G$1305,3,0)</f>
        <v>Co 135 độ PVC 114</v>
      </c>
      <c r="E1035" s="9" t="str">
        <f>VLOOKUP($B1035,R_DG!$A$7:$G$1305,4,0)</f>
        <v>cái</v>
      </c>
      <c r="F1035" s="11">
        <f t="shared" ca="1" si="275"/>
        <v>0</v>
      </c>
      <c r="G1035" s="214">
        <f>VLOOKUP($B1035,R_DG!$A$7:$G$1305,5,0)</f>
        <v>43100</v>
      </c>
      <c r="H1035" s="214">
        <f>VLOOKUP($B1035,R_DG!$A$7:$G$1305,6,0)</f>
        <v>0</v>
      </c>
      <c r="I1035" s="214">
        <f>VLOOKUP($B1035,R_DG!$A$7:$G$1305,7,0)</f>
        <v>0</v>
      </c>
      <c r="J1035" s="214">
        <f t="shared" ca="1" si="286"/>
        <v>0</v>
      </c>
      <c r="K1035" s="214">
        <f t="shared" ca="1" si="286"/>
        <v>0</v>
      </c>
      <c r="L1035" s="220">
        <f t="shared" ca="1" si="286"/>
        <v>0</v>
      </c>
      <c r="M1035" s="93">
        <f t="shared" ca="1" si="281"/>
        <v>0</v>
      </c>
      <c r="N1035" s="332">
        <f t="shared" ca="1" si="276"/>
        <v>0</v>
      </c>
    </row>
    <row r="1036" spans="1:14" ht="15">
      <c r="A1036" s="87"/>
      <c r="B1036" s="7" t="s">
        <v>76</v>
      </c>
      <c r="C1036" s="32">
        <f>VLOOKUP($B1036,R_DG!$A$7:$G$1305,2,0)</f>
        <v>0</v>
      </c>
      <c r="D1036" s="8" t="str">
        <f>VLOOKUP($B1036,R_DG!$A$7:$G$1305,3,0)</f>
        <v>Boulon 16x50+ 2 long đền vuông D18-50x50x3/Zn</v>
      </c>
      <c r="E1036" s="9" t="str">
        <f>VLOOKUP($B1036,R_DG!$A$7:$G$1305,4,0)</f>
        <v>bộ</v>
      </c>
      <c r="F1036" s="11">
        <f t="shared" ca="1" si="275"/>
        <v>0</v>
      </c>
      <c r="G1036" s="214" t="e">
        <f>VLOOKUP($B1036,R_DG!$A$7:$G$1305,5,0)</f>
        <v>#REF!</v>
      </c>
      <c r="H1036" s="214">
        <f>VLOOKUP($B1036,R_DG!$A$7:$G$1305,6,0)</f>
        <v>0</v>
      </c>
      <c r="I1036" s="214">
        <f>VLOOKUP($B1036,R_DG!$A$7:$G$1305,7,0)</f>
        <v>0</v>
      </c>
      <c r="J1036" s="214" t="e">
        <f t="shared" ca="1" si="286"/>
        <v>#REF!</v>
      </c>
      <c r="K1036" s="214">
        <f t="shared" ca="1" si="286"/>
        <v>0</v>
      </c>
      <c r="L1036" s="220">
        <f t="shared" ca="1" si="286"/>
        <v>0</v>
      </c>
      <c r="M1036" s="93">
        <f t="shared" ca="1" si="281"/>
        <v>0</v>
      </c>
      <c r="N1036" s="332">
        <f t="shared" ca="1" si="276"/>
        <v>0</v>
      </c>
    </row>
    <row r="1037" spans="1:14" ht="15">
      <c r="A1037" s="87"/>
      <c r="B1037" s="7" t="s">
        <v>78</v>
      </c>
      <c r="C1037" s="32">
        <f>VLOOKUP($B1037,R_DG!$A$7:$G$1305,2,0)</f>
        <v>0</v>
      </c>
      <c r="D1037" s="8" t="str">
        <f>VLOOKUP($B1037,R_DG!$A$7:$G$1305,3,0)</f>
        <v>Boulon 16x100+ 2 long đền vuông D18-50x50x3/Zn</v>
      </c>
      <c r="E1037" s="9" t="str">
        <f>VLOOKUP($B1037,R_DG!$A$7:$G$1305,4,0)</f>
        <v>bộ</v>
      </c>
      <c r="F1037" s="11">
        <f t="shared" ca="1" si="275"/>
        <v>0</v>
      </c>
      <c r="G1037" s="214" t="e">
        <f>VLOOKUP($B1037,R_DG!$A$7:$G$1305,5,0)</f>
        <v>#REF!</v>
      </c>
      <c r="H1037" s="214">
        <f>VLOOKUP($B1037,R_DG!$A$7:$G$1305,6,0)</f>
        <v>0</v>
      </c>
      <c r="I1037" s="214">
        <f>VLOOKUP($B1037,R_DG!$A$7:$G$1305,7,0)</f>
        <v>0</v>
      </c>
      <c r="J1037" s="214" t="e">
        <f t="shared" ca="1" si="286"/>
        <v>#REF!</v>
      </c>
      <c r="K1037" s="214">
        <f t="shared" ca="1" si="286"/>
        <v>0</v>
      </c>
      <c r="L1037" s="220">
        <f t="shared" ca="1" si="286"/>
        <v>0</v>
      </c>
      <c r="M1037" s="93">
        <f t="shared" ca="1" si="281"/>
        <v>0</v>
      </c>
      <c r="N1037" s="332">
        <f t="shared" ca="1" si="276"/>
        <v>0</v>
      </c>
    </row>
    <row r="1038" spans="1:14" ht="15">
      <c r="A1038" s="87"/>
      <c r="B1038" s="7" t="s">
        <v>82</v>
      </c>
      <c r="C1038" s="32">
        <f>VLOOKUP($B1038,R_DG!$A$7:$G$1305,2,0)</f>
        <v>0</v>
      </c>
      <c r="D1038" s="8" t="str">
        <f>VLOOKUP($B1038,R_DG!$A$7:$G$1305,3,0)</f>
        <v>Boulon 16x200+ 2 long đền vuông D18-50x50x3/Zn</v>
      </c>
      <c r="E1038" s="9" t="str">
        <f>VLOOKUP($B1038,R_DG!$A$7:$G$1305,4,0)</f>
        <v>bộ</v>
      </c>
      <c r="F1038" s="11">
        <f t="shared" ca="1" si="275"/>
        <v>0</v>
      </c>
      <c r="G1038" s="214" t="e">
        <f>VLOOKUP($B1038,R_DG!$A$7:$G$1305,5,0)</f>
        <v>#REF!</v>
      </c>
      <c r="H1038" s="214">
        <f>VLOOKUP($B1038,R_DG!$A$7:$G$1305,6,0)</f>
        <v>0</v>
      </c>
      <c r="I1038" s="214">
        <f>VLOOKUP($B1038,R_DG!$A$7:$G$1305,7,0)</f>
        <v>0</v>
      </c>
      <c r="J1038" s="214" t="e">
        <f t="shared" ca="1" si="286"/>
        <v>#REF!</v>
      </c>
      <c r="K1038" s="214">
        <f t="shared" ca="1" si="286"/>
        <v>0</v>
      </c>
      <c r="L1038" s="220">
        <f t="shared" ca="1" si="286"/>
        <v>0</v>
      </c>
      <c r="M1038" s="93">
        <f t="shared" ca="1" si="281"/>
        <v>0</v>
      </c>
      <c r="N1038" s="332">
        <f t="shared" ca="1" si="276"/>
        <v>0</v>
      </c>
    </row>
    <row r="1039" spans="1:14" ht="15">
      <c r="A1039" s="87"/>
      <c r="B1039" s="7" t="s">
        <v>84</v>
      </c>
      <c r="C1039" s="32">
        <f>VLOOKUP($B1039,R_DG!$A$7:$G$1305,2,0)</f>
        <v>0</v>
      </c>
      <c r="D1039" s="8" t="str">
        <f>VLOOKUP($B1039,R_DG!$A$7:$G$1305,3,0)</f>
        <v>Boulon 16x250+ 2 long đền vuông D18-50x50x3/Zn</v>
      </c>
      <c r="E1039" s="9" t="str">
        <f>VLOOKUP($B1039,R_DG!$A$7:$G$1305,4,0)</f>
        <v>bộ</v>
      </c>
      <c r="F1039" s="11">
        <f t="shared" ca="1" si="275"/>
        <v>0</v>
      </c>
      <c r="G1039" s="214" t="e">
        <f>VLOOKUP($B1039,R_DG!$A$7:$G$1305,5,0)</f>
        <v>#REF!</v>
      </c>
      <c r="H1039" s="214">
        <f>VLOOKUP($B1039,R_DG!$A$7:$G$1305,6,0)</f>
        <v>0</v>
      </c>
      <c r="I1039" s="214">
        <f>VLOOKUP($B1039,R_DG!$A$7:$G$1305,7,0)</f>
        <v>0</v>
      </c>
      <c r="J1039" s="214" t="e">
        <f t="shared" ca="1" si="286"/>
        <v>#REF!</v>
      </c>
      <c r="K1039" s="214">
        <f t="shared" ca="1" si="286"/>
        <v>0</v>
      </c>
      <c r="L1039" s="220">
        <f t="shared" ca="1" si="286"/>
        <v>0</v>
      </c>
      <c r="M1039" s="93">
        <f t="shared" ca="1" si="281"/>
        <v>0</v>
      </c>
      <c r="N1039" s="332">
        <f t="shared" ca="1" si="276"/>
        <v>0</v>
      </c>
    </row>
    <row r="1040" spans="1:14" ht="15">
      <c r="A1040" s="87"/>
      <c r="B1040" s="7" t="s">
        <v>86</v>
      </c>
      <c r="C1040" s="32">
        <f>VLOOKUP($B1040,R_DG!$A$7:$G$1305,2,0)</f>
        <v>0</v>
      </c>
      <c r="D1040" s="8" t="str">
        <f>VLOOKUP($B1040,R_DG!$A$7:$G$1305,3,0)</f>
        <v>Boulon 16x300+ 2 long đền vuông D18-50x50x3/Zn</v>
      </c>
      <c r="E1040" s="9" t="str">
        <f>VLOOKUP($B1040,R_DG!$A$7:$G$1305,4,0)</f>
        <v>bộ</v>
      </c>
      <c r="F1040" s="11">
        <f t="shared" ref="F1040:F1071" ca="1" si="287">SUMIF(maBK,B1040,tongBK1)</f>
        <v>0</v>
      </c>
      <c r="G1040" s="214" t="e">
        <f>VLOOKUP($B1040,R_DG!$A$7:$G$1305,5,0)</f>
        <v>#REF!</v>
      </c>
      <c r="H1040" s="214">
        <f>VLOOKUP($B1040,R_DG!$A$7:$G$1305,6,0)</f>
        <v>0</v>
      </c>
      <c r="I1040" s="214">
        <f>VLOOKUP($B1040,R_DG!$A$7:$G$1305,7,0)</f>
        <v>0</v>
      </c>
      <c r="J1040" s="214" t="e">
        <f t="shared" ca="1" si="286"/>
        <v>#REF!</v>
      </c>
      <c r="K1040" s="214">
        <f t="shared" ca="1" si="286"/>
        <v>0</v>
      </c>
      <c r="L1040" s="220">
        <f t="shared" ca="1" si="286"/>
        <v>0</v>
      </c>
      <c r="M1040" s="93">
        <f t="shared" ca="1" si="281"/>
        <v>0</v>
      </c>
      <c r="N1040" s="332">
        <f t="shared" ref="N1040:N1071" ca="1" si="288">$F1040</f>
        <v>0</v>
      </c>
    </row>
    <row r="1041" spans="1:14" ht="15">
      <c r="A1041" s="87"/>
      <c r="B1041" s="7" t="s">
        <v>88</v>
      </c>
      <c r="C1041" s="32">
        <f>VLOOKUP($B1041,R_DG!$A$7:$G$1305,2,0)</f>
        <v>0</v>
      </c>
      <c r="D1041" s="8" t="str">
        <f>VLOOKUP($B1041,R_DG!$A$7:$G$1305,3,0)</f>
        <v>Boulon 16x350+ 2 long đền vuông D18-50x50x3/Zn</v>
      </c>
      <c r="E1041" s="9" t="str">
        <f>VLOOKUP($B1041,R_DG!$A$7:$G$1305,4,0)</f>
        <v>bộ</v>
      </c>
      <c r="F1041" s="11">
        <f t="shared" ca="1" si="287"/>
        <v>0</v>
      </c>
      <c r="G1041" s="214" t="e">
        <f>VLOOKUP($B1041,R_DG!$A$7:$G$1305,5,0)</f>
        <v>#REF!</v>
      </c>
      <c r="H1041" s="214">
        <f>VLOOKUP($B1041,R_DG!$A$7:$G$1305,6,0)</f>
        <v>0</v>
      </c>
      <c r="I1041" s="214">
        <f>VLOOKUP($B1041,R_DG!$A$7:$G$1305,7,0)</f>
        <v>0</v>
      </c>
      <c r="J1041" s="214" t="e">
        <f t="shared" ca="1" si="286"/>
        <v>#REF!</v>
      </c>
      <c r="K1041" s="214">
        <f t="shared" ca="1" si="286"/>
        <v>0</v>
      </c>
      <c r="L1041" s="220">
        <f t="shared" ca="1" si="286"/>
        <v>0</v>
      </c>
      <c r="M1041" s="93">
        <f t="shared" ca="1" si="281"/>
        <v>0</v>
      </c>
      <c r="N1041" s="332">
        <f t="shared" ca="1" si="288"/>
        <v>0</v>
      </c>
    </row>
    <row r="1042" spans="1:14" ht="15">
      <c r="A1042" s="87"/>
      <c r="B1042" s="7" t="s">
        <v>90</v>
      </c>
      <c r="C1042" s="32">
        <f>VLOOKUP($B1042,R_DG!$A$7:$G$1305,2,0)</f>
        <v>0</v>
      </c>
      <c r="D1042" s="8" t="str">
        <f>VLOOKUP($B1042,R_DG!$A$7:$G$1305,3,0)</f>
        <v>Boulon 16x400+ 2 long đền vuông D18-50x50x3/Zn</v>
      </c>
      <c r="E1042" s="9" t="str">
        <f>VLOOKUP($B1042,R_DG!$A$7:$G$1305,4,0)</f>
        <v>bộ</v>
      </c>
      <c r="F1042" s="11">
        <f t="shared" ca="1" si="287"/>
        <v>0</v>
      </c>
      <c r="G1042" s="214" t="e">
        <f>VLOOKUP($B1042,R_DG!$A$7:$G$1305,5,0)</f>
        <v>#REF!</v>
      </c>
      <c r="H1042" s="214">
        <f>VLOOKUP($B1042,R_DG!$A$7:$G$1305,6,0)</f>
        <v>0</v>
      </c>
      <c r="I1042" s="214">
        <f>VLOOKUP($B1042,R_DG!$A$7:$G$1305,7,0)</f>
        <v>0</v>
      </c>
      <c r="J1042" s="214" t="e">
        <f t="shared" ca="1" si="286"/>
        <v>#REF!</v>
      </c>
      <c r="K1042" s="214">
        <f t="shared" ca="1" si="286"/>
        <v>0</v>
      </c>
      <c r="L1042" s="220">
        <f t="shared" ca="1" si="286"/>
        <v>0</v>
      </c>
      <c r="M1042" s="93">
        <f t="shared" ca="1" si="281"/>
        <v>0</v>
      </c>
      <c r="N1042" s="332">
        <f t="shared" ca="1" si="288"/>
        <v>0</v>
      </c>
    </row>
    <row r="1043" spans="1:14" ht="15">
      <c r="A1043" s="87"/>
      <c r="B1043" s="7" t="s">
        <v>92</v>
      </c>
      <c r="C1043" s="32">
        <f>VLOOKUP($B1043,R_DG!$A$7:$G$1305,2,0)</f>
        <v>0</v>
      </c>
      <c r="D1043" s="8" t="str">
        <f>VLOOKUP($B1043,R_DG!$A$7:$G$1305,3,0)</f>
        <v>Boulon 16x450+ 2 long đền vuông D18-50x50x3/Zn</v>
      </c>
      <c r="E1043" s="9" t="str">
        <f>VLOOKUP($B1043,R_DG!$A$7:$G$1305,4,0)</f>
        <v>bộ</v>
      </c>
      <c r="F1043" s="11">
        <f t="shared" ca="1" si="287"/>
        <v>0</v>
      </c>
      <c r="G1043" s="214" t="e">
        <f>VLOOKUP($B1043,R_DG!$A$7:$G$1305,5,0)</f>
        <v>#REF!</v>
      </c>
      <c r="H1043" s="214">
        <f>VLOOKUP($B1043,R_DG!$A$7:$G$1305,6,0)</f>
        <v>0</v>
      </c>
      <c r="I1043" s="214">
        <f>VLOOKUP($B1043,R_DG!$A$7:$G$1305,7,0)</f>
        <v>0</v>
      </c>
      <c r="J1043" s="214" t="e">
        <f t="shared" ca="1" si="286"/>
        <v>#REF!</v>
      </c>
      <c r="K1043" s="214">
        <f t="shared" ca="1" si="286"/>
        <v>0</v>
      </c>
      <c r="L1043" s="220">
        <f t="shared" ca="1" si="286"/>
        <v>0</v>
      </c>
      <c r="M1043" s="93">
        <f t="shared" ca="1" si="281"/>
        <v>0</v>
      </c>
      <c r="N1043" s="332">
        <f t="shared" ca="1" si="288"/>
        <v>0</v>
      </c>
    </row>
    <row r="1044" spans="1:14" ht="15">
      <c r="A1044" s="87"/>
      <c r="B1044" s="7" t="s">
        <v>94</v>
      </c>
      <c r="C1044" s="32">
        <f>VLOOKUP($B1044,R_DG!$A$7:$G$1305,2,0)</f>
        <v>0</v>
      </c>
      <c r="D1044" s="8" t="str">
        <f>VLOOKUP($B1044,R_DG!$A$7:$G$1305,3,0)</f>
        <v>Boulon 16x500+ 2 long đền vuông D18-50x50x3/Zn</v>
      </c>
      <c r="E1044" s="9" t="str">
        <f>VLOOKUP($B1044,R_DG!$A$7:$G$1305,4,0)</f>
        <v>bộ</v>
      </c>
      <c r="F1044" s="11">
        <f t="shared" ca="1" si="287"/>
        <v>0</v>
      </c>
      <c r="G1044" s="214" t="e">
        <f>VLOOKUP($B1044,R_DG!$A$7:$G$1305,5,0)</f>
        <v>#REF!</v>
      </c>
      <c r="H1044" s="214">
        <f>VLOOKUP($B1044,R_DG!$A$7:$G$1305,6,0)</f>
        <v>0</v>
      </c>
      <c r="I1044" s="214">
        <f>VLOOKUP($B1044,R_DG!$A$7:$G$1305,7,0)</f>
        <v>0</v>
      </c>
      <c r="J1044" s="214" t="e">
        <f t="shared" ca="1" si="286"/>
        <v>#REF!</v>
      </c>
      <c r="K1044" s="214">
        <f t="shared" ca="1" si="286"/>
        <v>0</v>
      </c>
      <c r="L1044" s="220">
        <f t="shared" ca="1" si="286"/>
        <v>0</v>
      </c>
      <c r="M1044" s="93">
        <f t="shared" ca="1" si="281"/>
        <v>0</v>
      </c>
      <c r="N1044" s="332">
        <f t="shared" ca="1" si="288"/>
        <v>0</v>
      </c>
    </row>
    <row r="1045" spans="1:14" ht="15">
      <c r="A1045" s="87"/>
      <c r="B1045" s="7" t="s">
        <v>4416</v>
      </c>
      <c r="C1045" s="32">
        <f>VLOOKUP($B1045,R_DG!$A$7:$G$1305,2,0)</f>
        <v>0</v>
      </c>
      <c r="D1045" s="8" t="str">
        <f>VLOOKUP($B1045,R_DG!$A$7:$G$1305,3,0)</f>
        <v>Boulon 16x550+ 2 long đền vuông D18-50x50x3/Zn</v>
      </c>
      <c r="E1045" s="9" t="str">
        <f>VLOOKUP($B1045,R_DG!$A$7:$G$1305,4,0)</f>
        <v>bộ</v>
      </c>
      <c r="F1045" s="11">
        <f t="shared" ca="1" si="287"/>
        <v>0</v>
      </c>
      <c r="G1045" s="214" t="e">
        <f>VLOOKUP($B1045,R_DG!$A$7:$G$1305,5,0)</f>
        <v>#REF!</v>
      </c>
      <c r="H1045" s="214">
        <f>VLOOKUP($B1045,R_DG!$A$7:$G$1305,6,0)</f>
        <v>0</v>
      </c>
      <c r="I1045" s="214">
        <f>VLOOKUP($B1045,R_DG!$A$7:$G$1305,7,0)</f>
        <v>0</v>
      </c>
      <c r="J1045" s="214" t="e">
        <f t="shared" ca="1" si="286"/>
        <v>#REF!</v>
      </c>
      <c r="K1045" s="214">
        <f t="shared" ca="1" si="286"/>
        <v>0</v>
      </c>
      <c r="L1045" s="220">
        <f t="shared" ca="1" si="286"/>
        <v>0</v>
      </c>
      <c r="M1045" s="93">
        <f t="shared" ca="1" si="281"/>
        <v>0</v>
      </c>
      <c r="N1045" s="332">
        <f t="shared" ca="1" si="288"/>
        <v>0</v>
      </c>
    </row>
    <row r="1046" spans="1:14" ht="15">
      <c r="A1046" s="87"/>
      <c r="B1046" s="7" t="s">
        <v>96</v>
      </c>
      <c r="C1046" s="32">
        <f>VLOOKUP($B1046,R_DG!$A$7:$G$1305,2,0)</f>
        <v>0</v>
      </c>
      <c r="D1046" s="8" t="str">
        <f>VLOOKUP($B1046,R_DG!$A$7:$G$1305,3,0)</f>
        <v>Boulon 16x600+ 2 long đền vuông D18-50x50x3/Zn</v>
      </c>
      <c r="E1046" s="9" t="str">
        <f>VLOOKUP($B1046,R_DG!$A$7:$G$1305,4,0)</f>
        <v>bộ</v>
      </c>
      <c r="F1046" s="11">
        <f t="shared" ca="1" si="287"/>
        <v>0</v>
      </c>
      <c r="G1046" s="214" t="e">
        <f>VLOOKUP($B1046,R_DG!$A$7:$G$1305,5,0)</f>
        <v>#REF!</v>
      </c>
      <c r="H1046" s="214">
        <f>VLOOKUP($B1046,R_DG!$A$7:$G$1305,6,0)</f>
        <v>0</v>
      </c>
      <c r="I1046" s="214">
        <f>VLOOKUP($B1046,R_DG!$A$7:$G$1305,7,0)</f>
        <v>0</v>
      </c>
      <c r="J1046" s="214" t="e">
        <f t="shared" ca="1" si="286"/>
        <v>#REF!</v>
      </c>
      <c r="K1046" s="214">
        <f t="shared" ca="1" si="286"/>
        <v>0</v>
      </c>
      <c r="L1046" s="220">
        <f t="shared" ca="1" si="286"/>
        <v>0</v>
      </c>
      <c r="M1046" s="93">
        <f t="shared" ca="1" si="281"/>
        <v>0</v>
      </c>
      <c r="N1046" s="332">
        <f t="shared" ca="1" si="288"/>
        <v>0</v>
      </c>
    </row>
    <row r="1047" spans="1:14" ht="15">
      <c r="A1047" s="87"/>
      <c r="B1047" s="7" t="s">
        <v>3444</v>
      </c>
      <c r="C1047" s="32">
        <f>VLOOKUP($B1047,R_DG!$A$7:$G$1305,2,0)</f>
        <v>0</v>
      </c>
      <c r="D1047" s="8" t="str">
        <f>VLOOKUP($B1047,R_DG!$A$7:$G$1305,3,0)</f>
        <v>Boulon 16x650+ 2 long đền vuông D18-50x50x3/Zn</v>
      </c>
      <c r="E1047" s="9" t="str">
        <f>VLOOKUP($B1047,R_DG!$A$7:$G$1305,4,0)</f>
        <v>bộ</v>
      </c>
      <c r="F1047" s="11">
        <f t="shared" ca="1" si="287"/>
        <v>0</v>
      </c>
      <c r="G1047" s="214" t="e">
        <f>VLOOKUP($B1047,R_DG!$A$7:$G$1305,5,0)</f>
        <v>#REF!</v>
      </c>
      <c r="H1047" s="214">
        <f>VLOOKUP($B1047,R_DG!$A$7:$G$1305,6,0)</f>
        <v>0</v>
      </c>
      <c r="I1047" s="214">
        <f>VLOOKUP($B1047,R_DG!$A$7:$G$1305,7,0)</f>
        <v>0</v>
      </c>
      <c r="J1047" s="214" t="e">
        <f t="shared" ca="1" si="286"/>
        <v>#REF!</v>
      </c>
      <c r="K1047" s="214">
        <f t="shared" ca="1" si="286"/>
        <v>0</v>
      </c>
      <c r="L1047" s="220">
        <f t="shared" ca="1" si="286"/>
        <v>0</v>
      </c>
      <c r="M1047" s="93">
        <f t="shared" ca="1" si="281"/>
        <v>0</v>
      </c>
      <c r="N1047" s="332">
        <f t="shared" ca="1" si="288"/>
        <v>0</v>
      </c>
    </row>
    <row r="1048" spans="1:14" ht="15">
      <c r="A1048" s="87"/>
      <c r="B1048" s="7" t="s">
        <v>3450</v>
      </c>
      <c r="C1048" s="32">
        <f>VLOOKUP($B1048,R_DG!$A$7:$G$1305,2,0)</f>
        <v>0</v>
      </c>
      <c r="D1048" s="8" t="str">
        <f>VLOOKUP($B1048,R_DG!$A$7:$G$1305,3,0)</f>
        <v>Boulon 16x700+ 2 long đền vuông D18-50x50x3/Zn</v>
      </c>
      <c r="E1048" s="9" t="str">
        <f>VLOOKUP($B1048,R_DG!$A$7:$G$1305,4,0)</f>
        <v>bộ</v>
      </c>
      <c r="F1048" s="11">
        <f t="shared" ca="1" si="287"/>
        <v>0</v>
      </c>
      <c r="G1048" s="214" t="e">
        <f>VLOOKUP($B1048,R_DG!$A$7:$G$1305,5,0)</f>
        <v>#REF!</v>
      </c>
      <c r="H1048" s="214">
        <f>VLOOKUP($B1048,R_DG!$A$7:$G$1305,6,0)</f>
        <v>0</v>
      </c>
      <c r="I1048" s="214">
        <f>VLOOKUP($B1048,R_DG!$A$7:$G$1305,7,0)</f>
        <v>0</v>
      </c>
      <c r="J1048" s="214" t="e">
        <f t="shared" ca="1" si="286"/>
        <v>#REF!</v>
      </c>
      <c r="K1048" s="214">
        <f t="shared" ca="1" si="286"/>
        <v>0</v>
      </c>
      <c r="L1048" s="220">
        <f t="shared" ca="1" si="286"/>
        <v>0</v>
      </c>
      <c r="M1048" s="93">
        <f t="shared" ca="1" si="281"/>
        <v>0</v>
      </c>
      <c r="N1048" s="332">
        <f t="shared" ca="1" si="288"/>
        <v>0</v>
      </c>
    </row>
    <row r="1049" spans="1:14" ht="15">
      <c r="A1049" s="87"/>
      <c r="B1049" s="7" t="s">
        <v>4856</v>
      </c>
      <c r="C1049" s="32">
        <f>VLOOKUP($B1049,R_DG!$A$7:$G$1305,2,0)</f>
        <v>0</v>
      </c>
      <c r="D1049" s="8" t="str">
        <f>VLOOKUP($B1049,R_DG!$A$7:$G$1305,3,0)</f>
        <v>Boulon 16x200VRS+ 4 long đền vuông D18-50x50x3/Zn</v>
      </c>
      <c r="E1049" s="9" t="str">
        <f>VLOOKUP($B1049,R_DG!$A$7:$G$1305,4,0)</f>
        <v>bộ</v>
      </c>
      <c r="F1049" s="11">
        <f t="shared" ca="1" si="287"/>
        <v>0</v>
      </c>
      <c r="G1049" s="214" t="e">
        <f>VLOOKUP($B1049,R_DG!$A$7:$G$1305,5,0)</f>
        <v>#REF!</v>
      </c>
      <c r="H1049" s="214">
        <f>VLOOKUP($B1049,R_DG!$A$7:$G$1305,6,0)</f>
        <v>0</v>
      </c>
      <c r="I1049" s="214">
        <f>VLOOKUP($B1049,R_DG!$A$7:$G$1305,7,0)</f>
        <v>0</v>
      </c>
      <c r="J1049" s="214" t="e">
        <f t="shared" ca="1" si="286"/>
        <v>#REF!</v>
      </c>
      <c r="K1049" s="214">
        <f t="shared" ca="1" si="286"/>
        <v>0</v>
      </c>
      <c r="L1049" s="220">
        <f t="shared" ca="1" si="286"/>
        <v>0</v>
      </c>
      <c r="M1049" s="93">
        <f t="shared" ca="1" si="281"/>
        <v>0</v>
      </c>
      <c r="N1049" s="332">
        <f t="shared" ca="1" si="288"/>
        <v>0</v>
      </c>
    </row>
    <row r="1050" spans="1:14" ht="15">
      <c r="A1050" s="87"/>
      <c r="B1050" s="7" t="s">
        <v>2231</v>
      </c>
      <c r="C1050" s="32">
        <f>VLOOKUP($B1050,R_DG!$A$7:$G$1305,2,0)</f>
        <v>0</v>
      </c>
      <c r="D1050" s="8" t="str">
        <f>VLOOKUP($B1050,R_DG!$A$7:$G$1305,3,0)</f>
        <v>Boulon 16x250VRS+ 4 long đền vuông D18-50x50x3/Zn</v>
      </c>
      <c r="E1050" s="9" t="str">
        <f>VLOOKUP($B1050,R_DG!$A$7:$G$1305,4,0)</f>
        <v>bộ</v>
      </c>
      <c r="F1050" s="11">
        <f t="shared" ca="1" si="287"/>
        <v>0</v>
      </c>
      <c r="G1050" s="214" t="e">
        <f>VLOOKUP($B1050,R_DG!$A$7:$G$1305,5,0)</f>
        <v>#REF!</v>
      </c>
      <c r="H1050" s="214">
        <f>VLOOKUP($B1050,R_DG!$A$7:$G$1305,6,0)</f>
        <v>0</v>
      </c>
      <c r="I1050" s="214">
        <f>VLOOKUP($B1050,R_DG!$A$7:$G$1305,7,0)</f>
        <v>0</v>
      </c>
      <c r="J1050" s="214" t="e">
        <f t="shared" ca="1" si="286"/>
        <v>#REF!</v>
      </c>
      <c r="K1050" s="214">
        <f t="shared" ca="1" si="286"/>
        <v>0</v>
      </c>
      <c r="L1050" s="220">
        <f t="shared" ca="1" si="286"/>
        <v>0</v>
      </c>
      <c r="M1050" s="93">
        <f t="shared" ca="1" si="281"/>
        <v>0</v>
      </c>
      <c r="N1050" s="332">
        <f t="shared" ca="1" si="288"/>
        <v>0</v>
      </c>
    </row>
    <row r="1051" spans="1:14" ht="15">
      <c r="A1051" s="87"/>
      <c r="B1051" s="7" t="s">
        <v>2237</v>
      </c>
      <c r="C1051" s="32">
        <f>VLOOKUP($B1051,R_DG!$A$7:$G$1305,2,0)</f>
        <v>0</v>
      </c>
      <c r="D1051" s="8" t="str">
        <f>VLOOKUP($B1051,R_DG!$A$7:$G$1305,3,0)</f>
        <v>Boulon 16x300VRS+ 4 long đền vuông D18-50x50x3/Zn</v>
      </c>
      <c r="E1051" s="9" t="str">
        <f>VLOOKUP($B1051,R_DG!$A$7:$G$1305,4,0)</f>
        <v>bộ</v>
      </c>
      <c r="F1051" s="11">
        <f t="shared" ca="1" si="287"/>
        <v>0</v>
      </c>
      <c r="G1051" s="214" t="e">
        <f>VLOOKUP($B1051,R_DG!$A$7:$G$1305,5,0)</f>
        <v>#REF!</v>
      </c>
      <c r="H1051" s="214">
        <f>VLOOKUP($B1051,R_DG!$A$7:$G$1305,6,0)</f>
        <v>0</v>
      </c>
      <c r="I1051" s="214">
        <f>VLOOKUP($B1051,R_DG!$A$7:$G$1305,7,0)</f>
        <v>0</v>
      </c>
      <c r="J1051" s="214" t="e">
        <f t="shared" ca="1" si="286"/>
        <v>#REF!</v>
      </c>
      <c r="K1051" s="214">
        <f t="shared" ca="1" si="286"/>
        <v>0</v>
      </c>
      <c r="L1051" s="220">
        <f t="shared" ca="1" si="286"/>
        <v>0</v>
      </c>
      <c r="M1051" s="93">
        <f t="shared" ca="1" si="281"/>
        <v>0</v>
      </c>
      <c r="N1051" s="332">
        <f t="shared" ca="1" si="288"/>
        <v>0</v>
      </c>
    </row>
    <row r="1052" spans="1:14" ht="15">
      <c r="A1052" s="87"/>
      <c r="B1052" s="7" t="s">
        <v>4858</v>
      </c>
      <c r="C1052" s="32">
        <f>VLOOKUP($B1052,R_DG!$A$7:$G$1305,2,0)</f>
        <v>0</v>
      </c>
      <c r="D1052" s="8" t="str">
        <f>VLOOKUP($B1052,R_DG!$A$7:$G$1305,3,0)</f>
        <v>Boulon 16x350VRS+ 4 long đền vuông D18-50x50x3/Zn</v>
      </c>
      <c r="E1052" s="9" t="str">
        <f>VLOOKUP($B1052,R_DG!$A$7:$G$1305,4,0)</f>
        <v>bộ</v>
      </c>
      <c r="F1052" s="11">
        <f t="shared" ca="1" si="287"/>
        <v>0</v>
      </c>
      <c r="G1052" s="214" t="e">
        <f>VLOOKUP($B1052,R_DG!$A$7:$G$1305,5,0)</f>
        <v>#REF!</v>
      </c>
      <c r="H1052" s="214">
        <f>VLOOKUP($B1052,R_DG!$A$7:$G$1305,6,0)</f>
        <v>0</v>
      </c>
      <c r="I1052" s="214">
        <f>VLOOKUP($B1052,R_DG!$A$7:$G$1305,7,0)</f>
        <v>0</v>
      </c>
      <c r="J1052" s="214" t="e">
        <f t="shared" ca="1" si="286"/>
        <v>#REF!</v>
      </c>
      <c r="K1052" s="214">
        <f t="shared" ca="1" si="286"/>
        <v>0</v>
      </c>
      <c r="L1052" s="220">
        <f t="shared" ca="1" si="286"/>
        <v>0</v>
      </c>
      <c r="M1052" s="93">
        <f t="shared" ca="1" si="281"/>
        <v>0</v>
      </c>
      <c r="N1052" s="332">
        <f t="shared" ca="1" si="288"/>
        <v>0</v>
      </c>
    </row>
    <row r="1053" spans="1:14" ht="15">
      <c r="A1053" s="87"/>
      <c r="B1053" s="7" t="s">
        <v>110</v>
      </c>
      <c r="C1053" s="32">
        <f>VLOOKUP($B1053,R_DG!$A$7:$G$1305,2,0)</f>
        <v>0</v>
      </c>
      <c r="D1053" s="8" t="str">
        <f>VLOOKUP($B1053,R_DG!$A$7:$G$1305,3,0)</f>
        <v>Boulon 16x400VRS+ 4 long đền vuông D18-50x50x3/Zn</v>
      </c>
      <c r="E1053" s="9" t="str">
        <f>VLOOKUP($B1053,R_DG!$A$7:$G$1305,4,0)</f>
        <v>bộ</v>
      </c>
      <c r="F1053" s="11">
        <f t="shared" ca="1" si="287"/>
        <v>0</v>
      </c>
      <c r="G1053" s="214" t="e">
        <f>VLOOKUP($B1053,R_DG!$A$7:$G$1305,5,0)</f>
        <v>#REF!</v>
      </c>
      <c r="H1053" s="214">
        <f>VLOOKUP($B1053,R_DG!$A$7:$G$1305,6,0)</f>
        <v>0</v>
      </c>
      <c r="I1053" s="214">
        <f>VLOOKUP($B1053,R_DG!$A$7:$G$1305,7,0)</f>
        <v>0</v>
      </c>
      <c r="J1053" s="214" t="e">
        <f t="shared" ca="1" si="286"/>
        <v>#REF!</v>
      </c>
      <c r="K1053" s="214">
        <f t="shared" ca="1" si="286"/>
        <v>0</v>
      </c>
      <c r="L1053" s="220">
        <f t="shared" ca="1" si="286"/>
        <v>0</v>
      </c>
      <c r="M1053" s="93">
        <f t="shared" ca="1" si="281"/>
        <v>0</v>
      </c>
      <c r="N1053" s="332">
        <f t="shared" ca="1" si="288"/>
        <v>0</v>
      </c>
    </row>
    <row r="1054" spans="1:14" ht="15">
      <c r="A1054" s="87"/>
      <c r="B1054" s="7" t="s">
        <v>3446</v>
      </c>
      <c r="C1054" s="32">
        <f>VLOOKUP($B1054,R_DG!$A$7:$G$1305,2,0)</f>
        <v>0</v>
      </c>
      <c r="D1054" s="8" t="str">
        <f>VLOOKUP($B1054,R_DG!$A$7:$G$1305,3,0)</f>
        <v>Boulon 16x500VRS+ 4 long đền vuông D18-50x50x3/Zn</v>
      </c>
      <c r="E1054" s="9" t="str">
        <f>VLOOKUP($B1054,R_DG!$A$7:$G$1305,4,0)</f>
        <v>bộ</v>
      </c>
      <c r="F1054" s="11">
        <f t="shared" ca="1" si="287"/>
        <v>0</v>
      </c>
      <c r="G1054" s="214" t="e">
        <f>VLOOKUP($B1054,R_DG!$A$7:$G$1305,5,0)</f>
        <v>#REF!</v>
      </c>
      <c r="H1054" s="214">
        <f>VLOOKUP($B1054,R_DG!$A$7:$G$1305,6,0)</f>
        <v>0</v>
      </c>
      <c r="I1054" s="214">
        <f>VLOOKUP($B1054,R_DG!$A$7:$G$1305,7,0)</f>
        <v>0</v>
      </c>
      <c r="J1054" s="214" t="e">
        <f t="shared" ca="1" si="286"/>
        <v>#REF!</v>
      </c>
      <c r="K1054" s="214">
        <f t="shared" ca="1" si="286"/>
        <v>0</v>
      </c>
      <c r="L1054" s="220">
        <f t="shared" ca="1" si="286"/>
        <v>0</v>
      </c>
      <c r="M1054" s="93">
        <f t="shared" ca="1" si="281"/>
        <v>0</v>
      </c>
      <c r="N1054" s="332">
        <f t="shared" ca="1" si="288"/>
        <v>0</v>
      </c>
    </row>
    <row r="1055" spans="1:14" ht="15">
      <c r="A1055" s="87"/>
      <c r="B1055" s="7" t="s">
        <v>2244</v>
      </c>
      <c r="C1055" s="32">
        <f>VLOOKUP($B1055,R_DG!$A$7:$G$1305,2,0)</f>
        <v>0</v>
      </c>
      <c r="D1055" s="8" t="str">
        <f>VLOOKUP($B1055,R_DG!$A$7:$G$1305,3,0)</f>
        <v>Boulon 16x550VRS+ 4 long đền vuông D18-50x50x3/Zn</v>
      </c>
      <c r="E1055" s="9" t="str">
        <f>VLOOKUP($B1055,R_DG!$A$7:$G$1305,4,0)</f>
        <v>bộ</v>
      </c>
      <c r="F1055" s="11">
        <f t="shared" ca="1" si="287"/>
        <v>0</v>
      </c>
      <c r="G1055" s="214" t="e">
        <f>VLOOKUP($B1055,R_DG!$A$7:$G$1305,5,0)</f>
        <v>#REF!</v>
      </c>
      <c r="H1055" s="214">
        <f>VLOOKUP($B1055,R_DG!$A$7:$G$1305,6,0)</f>
        <v>0</v>
      </c>
      <c r="I1055" s="214">
        <f>VLOOKUP($B1055,R_DG!$A$7:$G$1305,7,0)</f>
        <v>0</v>
      </c>
      <c r="J1055" s="214" t="e">
        <f t="shared" ca="1" si="286"/>
        <v>#REF!</v>
      </c>
      <c r="K1055" s="214">
        <f t="shared" ca="1" si="286"/>
        <v>0</v>
      </c>
      <c r="L1055" s="220">
        <f t="shared" ca="1" si="286"/>
        <v>0</v>
      </c>
      <c r="M1055" s="93">
        <f t="shared" ca="1" si="281"/>
        <v>0</v>
      </c>
      <c r="N1055" s="332">
        <f t="shared" ca="1" si="288"/>
        <v>0</v>
      </c>
    </row>
    <row r="1056" spans="1:14" ht="15">
      <c r="A1056" s="87"/>
      <c r="B1056" s="7" t="s">
        <v>3449</v>
      </c>
      <c r="C1056" s="32">
        <f>VLOOKUP($B1056,R_DG!$A$7:$G$1305,2,0)</f>
        <v>0</v>
      </c>
      <c r="D1056" s="8" t="str">
        <f>VLOOKUP($B1056,R_DG!$A$7:$G$1305,3,0)</f>
        <v>Boulon 16x650VRS+ 4 long đền vuông D18-50x50x3/Zn</v>
      </c>
      <c r="E1056" s="9" t="str">
        <f>VLOOKUP($B1056,R_DG!$A$7:$G$1305,4,0)</f>
        <v>bộ</v>
      </c>
      <c r="F1056" s="11">
        <f t="shared" ca="1" si="287"/>
        <v>0</v>
      </c>
      <c r="G1056" s="214" t="e">
        <f>VLOOKUP($B1056,R_DG!$A$7:$G$1305,5,0)</f>
        <v>#REF!</v>
      </c>
      <c r="H1056" s="214">
        <f>VLOOKUP($B1056,R_DG!$A$7:$G$1305,6,0)</f>
        <v>0</v>
      </c>
      <c r="I1056" s="214">
        <f>VLOOKUP($B1056,R_DG!$A$7:$G$1305,7,0)</f>
        <v>0</v>
      </c>
      <c r="J1056" s="214" t="e">
        <f t="shared" ca="1" si="286"/>
        <v>#REF!</v>
      </c>
      <c r="K1056" s="214">
        <f t="shared" ca="1" si="286"/>
        <v>0</v>
      </c>
      <c r="L1056" s="220">
        <f t="shared" ca="1" si="286"/>
        <v>0</v>
      </c>
      <c r="M1056" s="93">
        <f t="shared" ca="1" si="281"/>
        <v>0</v>
      </c>
      <c r="N1056" s="332">
        <f t="shared" ca="1" si="288"/>
        <v>0</v>
      </c>
    </row>
    <row r="1057" spans="1:14" ht="15">
      <c r="A1057" s="87"/>
      <c r="B1057" s="7" t="s">
        <v>4859</v>
      </c>
      <c r="C1057" s="32">
        <f>VLOOKUP($B1057,R_DG!$A$7:$G$1305,2,0)</f>
        <v>0</v>
      </c>
      <c r="D1057" s="8" t="str">
        <f>VLOOKUP($B1057,R_DG!$A$7:$G$1305,3,0)</f>
        <v>Boulon 16x750VRS+ 4 long đền vuông D18-50x50x3/Zn</v>
      </c>
      <c r="E1057" s="9" t="str">
        <f>VLOOKUP($B1057,R_DG!$A$7:$G$1305,4,0)</f>
        <v>bộ</v>
      </c>
      <c r="F1057" s="11">
        <f t="shared" ca="1" si="287"/>
        <v>0</v>
      </c>
      <c r="G1057" s="214" t="e">
        <f>VLOOKUP($B1057,R_DG!$A$7:$G$1305,5,0)</f>
        <v>#REF!</v>
      </c>
      <c r="H1057" s="214">
        <f>VLOOKUP($B1057,R_DG!$A$7:$G$1305,6,0)</f>
        <v>0</v>
      </c>
      <c r="I1057" s="214">
        <f>VLOOKUP($B1057,R_DG!$A$7:$G$1305,7,0)</f>
        <v>0</v>
      </c>
      <c r="J1057" s="214" t="e">
        <f t="shared" ca="1" si="286"/>
        <v>#REF!</v>
      </c>
      <c r="K1057" s="214">
        <f t="shared" ca="1" si="286"/>
        <v>0</v>
      </c>
      <c r="L1057" s="220">
        <f t="shared" ca="1" si="286"/>
        <v>0</v>
      </c>
      <c r="M1057" s="93">
        <f t="shared" ca="1" si="281"/>
        <v>0</v>
      </c>
      <c r="N1057" s="332">
        <f t="shared" ca="1" si="288"/>
        <v>0</v>
      </c>
    </row>
    <row r="1058" spans="1:14" ht="15">
      <c r="A1058" s="87"/>
      <c r="B1058" s="7" t="s">
        <v>4857</v>
      </c>
      <c r="C1058" s="32">
        <f>VLOOKUP($B1058,R_DG!$A$7:$G$1305,2,0)</f>
        <v>0</v>
      </c>
      <c r="D1058" s="8" t="str">
        <f>VLOOKUP($B1058,R_DG!$A$7:$G$1305,3,0)</f>
        <v>Boulon móc 16x200+ 2 long đền vuông D18-50x50x3/Zn</v>
      </c>
      <c r="E1058" s="9" t="str">
        <f>VLOOKUP($B1058,R_DG!$A$7:$G$1305,4,0)</f>
        <v>bộ</v>
      </c>
      <c r="F1058" s="11">
        <f t="shared" ca="1" si="287"/>
        <v>0</v>
      </c>
      <c r="G1058" s="214">
        <f>VLOOKUP($B1058,R_DG!$A$7:$G$1305,5,0)</f>
        <v>27500</v>
      </c>
      <c r="H1058" s="214">
        <f>VLOOKUP($B1058,R_DG!$A$7:$G$1305,6,0)</f>
        <v>0</v>
      </c>
      <c r="I1058" s="214">
        <f>VLOOKUP($B1058,R_DG!$A$7:$G$1305,7,0)</f>
        <v>0</v>
      </c>
      <c r="J1058" s="214">
        <f t="shared" ca="1" si="286"/>
        <v>0</v>
      </c>
      <c r="K1058" s="214">
        <f t="shared" ca="1" si="286"/>
        <v>0</v>
      </c>
      <c r="L1058" s="220">
        <f t="shared" ca="1" si="286"/>
        <v>0</v>
      </c>
      <c r="M1058" s="93">
        <f t="shared" ca="1" si="281"/>
        <v>0</v>
      </c>
      <c r="N1058" s="332">
        <f t="shared" ca="1" si="288"/>
        <v>0</v>
      </c>
    </row>
    <row r="1059" spans="1:14" ht="15">
      <c r="A1059" s="87"/>
      <c r="B1059" s="7" t="s">
        <v>2322</v>
      </c>
      <c r="C1059" s="32">
        <f>VLOOKUP($B1059,R_DG!$A$7:$G$1305,2,0)</f>
        <v>0</v>
      </c>
      <c r="D1059" s="8" t="str">
        <f>VLOOKUP($B1059,R_DG!$A$7:$G$1305,3,0)</f>
        <v>Boulon móc 16x250+ 2 long đền vuông D18-50x50x3/Zn</v>
      </c>
      <c r="E1059" s="9" t="str">
        <f>VLOOKUP($B1059,R_DG!$A$7:$G$1305,4,0)</f>
        <v>bộ</v>
      </c>
      <c r="F1059" s="11">
        <f t="shared" ca="1" si="287"/>
        <v>0</v>
      </c>
      <c r="G1059" s="214">
        <f>VLOOKUP($B1059,R_DG!$A$7:$G$1305,5,0)</f>
        <v>29400</v>
      </c>
      <c r="H1059" s="214">
        <f>VLOOKUP($B1059,R_DG!$A$7:$G$1305,6,0)</f>
        <v>0</v>
      </c>
      <c r="I1059" s="214">
        <f>VLOOKUP($B1059,R_DG!$A$7:$G$1305,7,0)</f>
        <v>0</v>
      </c>
      <c r="J1059" s="214">
        <f t="shared" ca="1" si="286"/>
        <v>0</v>
      </c>
      <c r="K1059" s="214">
        <f t="shared" ca="1" si="286"/>
        <v>0</v>
      </c>
      <c r="L1059" s="220">
        <f t="shared" ca="1" si="286"/>
        <v>0</v>
      </c>
      <c r="M1059" s="93">
        <f t="shared" ca="1" si="281"/>
        <v>0</v>
      </c>
      <c r="N1059" s="332">
        <f t="shared" ca="1" si="288"/>
        <v>0</v>
      </c>
    </row>
    <row r="1060" spans="1:14" ht="15">
      <c r="A1060" s="87"/>
      <c r="B1060" s="7" t="s">
        <v>2323</v>
      </c>
      <c r="C1060" s="32">
        <f>VLOOKUP($B1060,R_DG!$A$7:$G$1305,2,0)</f>
        <v>0</v>
      </c>
      <c r="D1060" s="8" t="str">
        <f>VLOOKUP($B1060,R_DG!$A$7:$G$1305,3,0)</f>
        <v>Boulon móc 16x300+ 2 long đền vuông D18-50x50x3/Zn</v>
      </c>
      <c r="E1060" s="9" t="str">
        <f>VLOOKUP($B1060,R_DG!$A$7:$G$1305,4,0)</f>
        <v>bộ</v>
      </c>
      <c r="F1060" s="11">
        <f t="shared" ca="1" si="287"/>
        <v>0</v>
      </c>
      <c r="G1060" s="214">
        <f>VLOOKUP($B1060,R_DG!$A$7:$G$1305,5,0)</f>
        <v>30000</v>
      </c>
      <c r="H1060" s="214">
        <f>VLOOKUP($B1060,R_DG!$A$7:$G$1305,6,0)</f>
        <v>0</v>
      </c>
      <c r="I1060" s="214">
        <f>VLOOKUP($B1060,R_DG!$A$7:$G$1305,7,0)</f>
        <v>0</v>
      </c>
      <c r="J1060" s="214">
        <f t="shared" ca="1" si="286"/>
        <v>0</v>
      </c>
      <c r="K1060" s="214">
        <f t="shared" ca="1" si="286"/>
        <v>0</v>
      </c>
      <c r="L1060" s="220">
        <f t="shared" ca="1" si="286"/>
        <v>0</v>
      </c>
      <c r="M1060" s="93">
        <f t="shared" ca="1" si="281"/>
        <v>0</v>
      </c>
      <c r="N1060" s="332">
        <f t="shared" ca="1" si="288"/>
        <v>0</v>
      </c>
    </row>
    <row r="1061" spans="1:14" ht="15">
      <c r="A1061" s="87"/>
      <c r="B1061" s="7" t="s">
        <v>2324</v>
      </c>
      <c r="C1061" s="32">
        <f>VLOOKUP($B1061,R_DG!$A$7:$G$1305,2,0)</f>
        <v>0</v>
      </c>
      <c r="D1061" s="8" t="str">
        <f>VLOOKUP($B1061,R_DG!$A$7:$G$1305,3,0)</f>
        <v xml:space="preserve">Collier trụ đôi 8,4m bắt móc dừng </v>
      </c>
      <c r="E1061" s="9" t="str">
        <f>VLOOKUP($B1061,R_DG!$A$7:$G$1305,4,0)</f>
        <v>Kg</v>
      </c>
      <c r="F1061" s="11">
        <f t="shared" ca="1" si="287"/>
        <v>0</v>
      </c>
      <c r="G1061" s="214">
        <f>VLOOKUP($B1061,R_DG!$A$7:$G$1305,5,0)</f>
        <v>15140.380999999999</v>
      </c>
      <c r="H1061" s="214">
        <f>VLOOKUP($B1061,R_DG!$A$7:$G$1305,6,0)</f>
        <v>0</v>
      </c>
      <c r="I1061" s="214">
        <f>VLOOKUP($B1061,R_DG!$A$7:$G$1305,7,0)</f>
        <v>0</v>
      </c>
      <c r="J1061" s="214">
        <f t="shared" ca="1" si="286"/>
        <v>0</v>
      </c>
      <c r="K1061" s="214">
        <f t="shared" ca="1" si="286"/>
        <v>0</v>
      </c>
      <c r="L1061" s="220">
        <f t="shared" ca="1" si="286"/>
        <v>0</v>
      </c>
      <c r="M1061" s="93">
        <f t="shared" ca="1" si="281"/>
        <v>0</v>
      </c>
      <c r="N1061" s="332">
        <f t="shared" ca="1" si="288"/>
        <v>0</v>
      </c>
    </row>
    <row r="1062" spans="1:14" ht="15">
      <c r="A1062" s="87"/>
      <c r="B1062" s="7" t="s">
        <v>1460</v>
      </c>
      <c r="C1062" s="32" t="str">
        <f>VLOOKUP($B1062,R_DG!$A$7:$G$1305,2,0)</f>
        <v>D2.9004</v>
      </c>
      <c r="D1062" s="8" t="str">
        <f>VLOOKUP($B1062,R_DG!$A$7:$G$1305,3,0)</f>
        <v>Sơn biển số- bảng nguy hiểm</v>
      </c>
      <c r="E1062" s="9" t="str">
        <f>VLOOKUP($B1062,R_DG!$A$7:$G$1305,4,0)</f>
        <v>cái</v>
      </c>
      <c r="F1062" s="11">
        <f t="shared" ca="1" si="287"/>
        <v>0</v>
      </c>
      <c r="G1062" s="214">
        <f>VLOOKUP($B1062,R_DG!$A$7:$G$1305,5,0)</f>
        <v>7500</v>
      </c>
      <c r="H1062" s="214">
        <f>VLOOKUP($B1062,R_DG!$A$7:$G$1305,6,0)</f>
        <v>26992.9</v>
      </c>
      <c r="I1062" s="214">
        <f>VLOOKUP($B1062,R_DG!$A$7:$G$1305,7,0)</f>
        <v>0</v>
      </c>
      <c r="J1062" s="214">
        <f t="shared" ca="1" si="286"/>
        <v>0</v>
      </c>
      <c r="K1062" s="214">
        <f t="shared" ca="1" si="286"/>
        <v>0</v>
      </c>
      <c r="L1062" s="220">
        <f t="shared" ca="1" si="286"/>
        <v>0</v>
      </c>
      <c r="M1062" s="93">
        <f t="shared" ca="1" si="281"/>
        <v>0</v>
      </c>
      <c r="N1062" s="332">
        <f t="shared" ca="1" si="288"/>
        <v>0</v>
      </c>
    </row>
    <row r="1063" spans="1:14" ht="15">
      <c r="A1063" s="87"/>
      <c r="B1063" s="7" t="s">
        <v>2315</v>
      </c>
      <c r="C1063" s="32">
        <f>VLOOKUP($B1063,R_DG!$A$7:$G$1305,2,0)</f>
        <v>0</v>
      </c>
      <c r="D1063" s="8" t="str">
        <f>VLOOKUP($B1063,R_DG!$A$7:$G$1305,3,0)</f>
        <v>Cáp đồng bọc CV25</v>
      </c>
      <c r="E1063" s="9" t="str">
        <f>VLOOKUP($B1063,R_DG!$A$7:$G$1305,4,0)</f>
        <v>mét</v>
      </c>
      <c r="F1063" s="11">
        <f t="shared" ca="1" si="287"/>
        <v>0</v>
      </c>
      <c r="G1063" s="214">
        <f>VLOOKUP($B1063,R_DG!$A$7:$G$1305,5,0)</f>
        <v>48800</v>
      </c>
      <c r="H1063" s="214">
        <f>VLOOKUP($B1063,R_DG!$A$7:$G$1305,6,0)</f>
        <v>0</v>
      </c>
      <c r="I1063" s="214">
        <f>VLOOKUP($B1063,R_DG!$A$7:$G$1305,7,0)</f>
        <v>0</v>
      </c>
      <c r="J1063" s="214">
        <f t="shared" ca="1" si="286"/>
        <v>0</v>
      </c>
      <c r="K1063" s="214">
        <f t="shared" ca="1" si="286"/>
        <v>0</v>
      </c>
      <c r="L1063" s="220">
        <f t="shared" ca="1" si="286"/>
        <v>0</v>
      </c>
      <c r="M1063" s="93">
        <f t="shared" ca="1" si="281"/>
        <v>0</v>
      </c>
      <c r="N1063" s="332">
        <f t="shared" ca="1" si="288"/>
        <v>0</v>
      </c>
    </row>
    <row r="1064" spans="1:14" ht="15">
      <c r="A1064" s="87"/>
      <c r="B1064" s="7" t="s">
        <v>338</v>
      </c>
      <c r="C1064" s="32">
        <f>VLOOKUP($B1064,R_DG!$A$7:$G$1305,2,0)</f>
        <v>0</v>
      </c>
      <c r="D1064" s="8" t="str">
        <f>VLOOKUP($B1064,R_DG!$A$7:$G$1305,3,0)</f>
        <v>Cáp đồng mềm CV2,5</v>
      </c>
      <c r="E1064" s="9" t="str">
        <f>VLOOKUP($B1064,R_DG!$A$7:$G$1305,4,0)</f>
        <v>mét</v>
      </c>
      <c r="F1064" s="11">
        <f t="shared" ca="1" si="287"/>
        <v>0</v>
      </c>
      <c r="G1064" s="214">
        <f>VLOOKUP($B1064,R_DG!$A$7:$G$1305,5,0)</f>
        <v>4190</v>
      </c>
      <c r="H1064" s="214">
        <f>VLOOKUP($B1064,R_DG!$A$7:$G$1305,6,0)</f>
        <v>0</v>
      </c>
      <c r="I1064" s="214">
        <f>VLOOKUP($B1064,R_DG!$A$7:$G$1305,7,0)</f>
        <v>0</v>
      </c>
      <c r="J1064" s="214">
        <f t="shared" ca="1" si="286"/>
        <v>0</v>
      </c>
      <c r="K1064" s="214">
        <f t="shared" ca="1" si="286"/>
        <v>0</v>
      </c>
      <c r="L1064" s="220">
        <f t="shared" ca="1" si="286"/>
        <v>0</v>
      </c>
      <c r="M1064" s="93">
        <f t="shared" ca="1" si="281"/>
        <v>0</v>
      </c>
      <c r="N1064" s="332">
        <f t="shared" ca="1" si="288"/>
        <v>0</v>
      </c>
    </row>
    <row r="1065" spans="1:14" ht="15">
      <c r="A1065" s="87"/>
      <c r="B1065" s="7" t="s">
        <v>331</v>
      </c>
      <c r="C1065" s="32">
        <f>VLOOKUP($B1065,R_DG!$A$7:$G$1305,2,0)</f>
        <v>0</v>
      </c>
      <c r="D1065" s="8" t="str">
        <f>VLOOKUP($B1065,R_DG!$A$7:$G$1305,3,0)</f>
        <v>Cát vàng</v>
      </c>
      <c r="E1065" s="9" t="str">
        <f>VLOOKUP($B1065,R_DG!$A$7:$G$1305,4,0)</f>
        <v>m3</v>
      </c>
      <c r="F1065" s="11">
        <f t="shared" ca="1" si="287"/>
        <v>0</v>
      </c>
      <c r="G1065" s="214">
        <f>VLOOKUP($B1065,R_DG!$A$7:$G$1305,5,0)</f>
        <v>390000</v>
      </c>
      <c r="H1065" s="214">
        <f>VLOOKUP($B1065,R_DG!$A$7:$G$1305,6,0)</f>
        <v>0</v>
      </c>
      <c r="I1065" s="214">
        <f>VLOOKUP($B1065,R_DG!$A$7:$G$1305,7,0)</f>
        <v>0</v>
      </c>
      <c r="J1065" s="214">
        <f t="shared" ca="1" si="286"/>
        <v>0</v>
      </c>
      <c r="K1065" s="214">
        <f t="shared" ca="1" si="286"/>
        <v>0</v>
      </c>
      <c r="L1065" s="220">
        <f t="shared" ca="1" si="286"/>
        <v>0</v>
      </c>
      <c r="M1065" s="93">
        <f t="shared" ca="1" si="281"/>
        <v>0</v>
      </c>
      <c r="N1065" s="332">
        <f t="shared" ca="1" si="288"/>
        <v>0</v>
      </c>
    </row>
    <row r="1066" spans="1:14" ht="15">
      <c r="A1066" s="87"/>
      <c r="B1066" s="7" t="s">
        <v>4537</v>
      </c>
      <c r="C1066" s="32">
        <f>VLOOKUP($B1066,R_DG!$A$7:$G$1305,2,0)</f>
        <v>0</v>
      </c>
      <c r="D1066" s="8" t="str">
        <f>VLOOKUP($B1066,R_DG!$A$7:$G$1305,3,0)</f>
        <v xml:space="preserve">Cáp CVV 4x4mm2 </v>
      </c>
      <c r="E1066" s="9" t="str">
        <f>VLOOKUP($B1066,R_DG!$A$7:$G$1305,4,0)</f>
        <v>mét</v>
      </c>
      <c r="F1066" s="11">
        <f t="shared" ca="1" si="287"/>
        <v>0</v>
      </c>
      <c r="G1066" s="214">
        <f>VLOOKUP($B1066,R_DG!$A$7:$G$1305,5,0)</f>
        <v>30000</v>
      </c>
      <c r="H1066" s="214">
        <f>VLOOKUP($B1066,R_DG!$A$7:$G$1305,6,0)</f>
        <v>0</v>
      </c>
      <c r="I1066" s="214">
        <f>VLOOKUP($B1066,R_DG!$A$7:$G$1305,7,0)</f>
        <v>0</v>
      </c>
      <c r="J1066" s="214">
        <f t="shared" ca="1" si="286"/>
        <v>0</v>
      </c>
      <c r="K1066" s="214">
        <f t="shared" ca="1" si="286"/>
        <v>0</v>
      </c>
      <c r="L1066" s="220">
        <f t="shared" ca="1" si="286"/>
        <v>0</v>
      </c>
      <c r="M1066" s="93">
        <f t="shared" ca="1" si="281"/>
        <v>0</v>
      </c>
      <c r="N1066" s="332">
        <f t="shared" ca="1" si="288"/>
        <v>0</v>
      </c>
    </row>
    <row r="1067" spans="1:14" ht="15">
      <c r="A1067" s="87"/>
      <c r="B1067" s="7" t="s">
        <v>2463</v>
      </c>
      <c r="C1067" s="32">
        <f>VLOOKUP($B1067,R_DG!$A$7:$G$1305,2,0)</f>
        <v>0</v>
      </c>
      <c r="D1067" s="8" t="str">
        <f>VLOOKUP($B1067,R_DG!$A$7:$G$1305,3,0)</f>
        <v xml:space="preserve">Cáp CVV 4x2,5mm2 </v>
      </c>
      <c r="E1067" s="9" t="str">
        <f>VLOOKUP($B1067,R_DG!$A$7:$G$1305,4,0)</f>
        <v>mét</v>
      </c>
      <c r="F1067" s="11">
        <f t="shared" ca="1" si="287"/>
        <v>0</v>
      </c>
      <c r="G1067" s="214">
        <f>VLOOKUP($B1067,R_DG!$A$7:$G$1305,5,0)</f>
        <v>30000</v>
      </c>
      <c r="H1067" s="214">
        <f>VLOOKUP($B1067,R_DG!$A$7:$G$1305,6,0)</f>
        <v>0</v>
      </c>
      <c r="I1067" s="214">
        <f>VLOOKUP($B1067,R_DG!$A$7:$G$1305,7,0)</f>
        <v>0</v>
      </c>
      <c r="J1067" s="214">
        <f t="shared" ca="1" si="286"/>
        <v>0</v>
      </c>
      <c r="K1067" s="214">
        <f t="shared" ca="1" si="286"/>
        <v>0</v>
      </c>
      <c r="L1067" s="220">
        <f t="shared" ca="1" si="286"/>
        <v>0</v>
      </c>
      <c r="M1067" s="93">
        <f t="shared" ca="1" si="281"/>
        <v>0</v>
      </c>
      <c r="N1067" s="332">
        <f t="shared" ca="1" si="288"/>
        <v>0</v>
      </c>
    </row>
    <row r="1068" spans="1:14" ht="15">
      <c r="A1068" s="87"/>
      <c r="B1068" s="7" t="s">
        <v>4532</v>
      </c>
      <c r="C1068" s="32">
        <f>VLOOKUP($B1068,R_DG!$A$7:$G$1305,2,0)</f>
        <v>0</v>
      </c>
      <c r="D1068" s="8" t="str">
        <f>VLOOKUP($B1068,R_DG!$A$7:$G$1305,3,0)</f>
        <v>Cáp 24KV C/XLPE/PVC 25mm2</v>
      </c>
      <c r="E1068" s="9" t="str">
        <f>VLOOKUP($B1068,R_DG!$A$7:$G$1305,4,0)</f>
        <v>mét</v>
      </c>
      <c r="F1068" s="11">
        <f t="shared" ca="1" si="287"/>
        <v>0</v>
      </c>
      <c r="G1068" s="214">
        <f>VLOOKUP($B1068,R_DG!$A$7:$G$1305,5,0)</f>
        <v>57600</v>
      </c>
      <c r="H1068" s="214">
        <f>VLOOKUP($B1068,R_DG!$A$7:$G$1305,6,0)</f>
        <v>0</v>
      </c>
      <c r="I1068" s="214">
        <f>VLOOKUP($B1068,R_DG!$A$7:$G$1305,7,0)</f>
        <v>0</v>
      </c>
      <c r="J1068" s="214">
        <f t="shared" ca="1" si="286"/>
        <v>0</v>
      </c>
      <c r="K1068" s="214">
        <f t="shared" ca="1" si="286"/>
        <v>0</v>
      </c>
      <c r="L1068" s="220">
        <f t="shared" ca="1" si="286"/>
        <v>0</v>
      </c>
      <c r="M1068" s="93">
        <f t="shared" ca="1" si="281"/>
        <v>0</v>
      </c>
      <c r="N1068" s="332">
        <f t="shared" ca="1" si="288"/>
        <v>0</v>
      </c>
    </row>
    <row r="1069" spans="1:14" ht="15">
      <c r="A1069" s="87"/>
      <c r="B1069" s="7" t="s">
        <v>2184</v>
      </c>
      <c r="C1069" s="32">
        <f>VLOOKUP($B1069,R_DG!$A$7:$G$1305,2,0)</f>
        <v>0</v>
      </c>
      <c r="D1069" s="8" t="str">
        <f>VLOOKUP($B1069,R_DG!$A$7:$G$1305,3,0)</f>
        <v>Cáp đồng trần M25mm2</v>
      </c>
      <c r="E1069" s="9" t="str">
        <f>VLOOKUP($B1069,R_DG!$A$7:$G$1305,4,0)</f>
        <v>kg</v>
      </c>
      <c r="F1069" s="11">
        <f t="shared" ca="1" si="287"/>
        <v>0</v>
      </c>
      <c r="G1069" s="214">
        <f>VLOOKUP($B1069,R_DG!$A$7:$G$1305,5,0)</f>
        <v>255500</v>
      </c>
      <c r="H1069" s="214">
        <f>VLOOKUP($B1069,R_DG!$A$7:$G$1305,6,0)</f>
        <v>0</v>
      </c>
      <c r="I1069" s="214">
        <f>VLOOKUP($B1069,R_DG!$A$7:$G$1305,7,0)</f>
        <v>0</v>
      </c>
      <c r="J1069" s="214">
        <f t="shared" ca="1" si="286"/>
        <v>0</v>
      </c>
      <c r="K1069" s="214">
        <f t="shared" ca="1" si="286"/>
        <v>0</v>
      </c>
      <c r="L1069" s="220">
        <f t="shared" ca="1" si="286"/>
        <v>0</v>
      </c>
      <c r="M1069" s="93">
        <f t="shared" ca="1" si="281"/>
        <v>0</v>
      </c>
      <c r="N1069" s="332">
        <f t="shared" ca="1" si="288"/>
        <v>0</v>
      </c>
    </row>
    <row r="1070" spans="1:14" ht="15">
      <c r="A1070" s="87"/>
      <c r="B1070" s="7" t="s">
        <v>792</v>
      </c>
      <c r="C1070" s="32">
        <f>VLOOKUP($B1070,R_DG!$A$7:$G$1305,2,0)</f>
        <v>0</v>
      </c>
      <c r="D1070" s="8" t="str">
        <f>VLOOKUP($B1070,R_DG!$A$7:$G$1305,3,0)</f>
        <v>Đầu cáp ngầm hạ thế 3x50+35mm2</v>
      </c>
      <c r="E1070" s="9" t="str">
        <f>VLOOKUP($B1070,R_DG!$A$7:$G$1305,4,0)</f>
        <v>cái</v>
      </c>
      <c r="F1070" s="11">
        <f t="shared" ca="1" si="287"/>
        <v>0</v>
      </c>
      <c r="G1070" s="214">
        <f>VLOOKUP($B1070,R_DG!$A$7:$G$1305,5,0)</f>
        <v>501197</v>
      </c>
      <c r="H1070" s="214">
        <f>VLOOKUP($B1070,R_DG!$A$7:$G$1305,6,0)</f>
        <v>0</v>
      </c>
      <c r="I1070" s="214">
        <f>VLOOKUP($B1070,R_DG!$A$7:$G$1305,7,0)</f>
        <v>0</v>
      </c>
      <c r="J1070" s="214">
        <f t="shared" ca="1" si="286"/>
        <v>0</v>
      </c>
      <c r="K1070" s="214">
        <f t="shared" ca="1" si="286"/>
        <v>0</v>
      </c>
      <c r="L1070" s="220">
        <f t="shared" ca="1" si="286"/>
        <v>0</v>
      </c>
      <c r="M1070" s="93">
        <f t="shared" ca="1" si="281"/>
        <v>0</v>
      </c>
      <c r="N1070" s="332">
        <f t="shared" ca="1" si="288"/>
        <v>0</v>
      </c>
    </row>
    <row r="1071" spans="1:14" ht="15">
      <c r="A1071" s="87"/>
      <c r="B1071" s="7" t="s">
        <v>789</v>
      </c>
      <c r="C1071" s="32">
        <f>VLOOKUP($B1071,R_DG!$A$7:$G$1305,2,0)</f>
        <v>0</v>
      </c>
      <c r="D1071" s="8" t="str">
        <f>VLOOKUP($B1071,R_DG!$A$7:$G$1305,3,0)</f>
        <v>Đầu cáp ngầm hạ thế 3x70+50mm2</v>
      </c>
      <c r="E1071" s="9" t="str">
        <f>VLOOKUP($B1071,R_DG!$A$7:$G$1305,4,0)</f>
        <v>cái</v>
      </c>
      <c r="F1071" s="11">
        <f t="shared" ca="1" si="287"/>
        <v>0</v>
      </c>
      <c r="G1071" s="214">
        <f>VLOOKUP($B1071,R_DG!$A$7:$G$1305,5,0)</f>
        <v>501197</v>
      </c>
      <c r="H1071" s="214">
        <f>VLOOKUP($B1071,R_DG!$A$7:$G$1305,6,0)</f>
        <v>0</v>
      </c>
      <c r="I1071" s="214">
        <f>VLOOKUP($B1071,R_DG!$A$7:$G$1305,7,0)</f>
        <v>0</v>
      </c>
      <c r="J1071" s="214">
        <f t="shared" ca="1" si="286"/>
        <v>0</v>
      </c>
      <c r="K1071" s="214">
        <f t="shared" ca="1" si="286"/>
        <v>0</v>
      </c>
      <c r="L1071" s="220">
        <f t="shared" ca="1" si="286"/>
        <v>0</v>
      </c>
      <c r="M1071" s="93">
        <f t="shared" ca="1" si="281"/>
        <v>0</v>
      </c>
      <c r="N1071" s="332">
        <f t="shared" ca="1" si="288"/>
        <v>0</v>
      </c>
    </row>
    <row r="1072" spans="1:14" ht="15">
      <c r="A1072" s="87"/>
      <c r="B1072" s="7" t="s">
        <v>787</v>
      </c>
      <c r="C1072" s="32">
        <f>VLOOKUP($B1072,R_DG!$A$7:$G$1305,2,0)</f>
        <v>0</v>
      </c>
      <c r="D1072" s="8" t="str">
        <f>VLOOKUP($B1072,R_DG!$A$7:$G$1305,3,0)</f>
        <v>Đầu cáp ngầm hạ thế 3x95+50mm2</v>
      </c>
      <c r="E1072" s="9" t="str">
        <f>VLOOKUP($B1072,R_DG!$A$7:$G$1305,4,0)</f>
        <v>cái</v>
      </c>
      <c r="F1072" s="11">
        <f t="shared" ref="F1072:F1095" ca="1" si="289">SUMIF(maBK,B1072,tongBK1)</f>
        <v>0</v>
      </c>
      <c r="G1072" s="214">
        <f>VLOOKUP($B1072,R_DG!$A$7:$G$1305,5,0)</f>
        <v>568023</v>
      </c>
      <c r="H1072" s="214">
        <f>VLOOKUP($B1072,R_DG!$A$7:$G$1305,6,0)</f>
        <v>0</v>
      </c>
      <c r="I1072" s="214">
        <f>VLOOKUP($B1072,R_DG!$A$7:$G$1305,7,0)</f>
        <v>0</v>
      </c>
      <c r="J1072" s="214">
        <f t="shared" ca="1" si="286"/>
        <v>0</v>
      </c>
      <c r="K1072" s="214">
        <f t="shared" ca="1" si="286"/>
        <v>0</v>
      </c>
      <c r="L1072" s="220">
        <f t="shared" ca="1" si="286"/>
        <v>0</v>
      </c>
      <c r="M1072" s="93">
        <f t="shared" ca="1" si="281"/>
        <v>0</v>
      </c>
      <c r="N1072" s="332">
        <f t="shared" ref="N1072:N1095" ca="1" si="290">$F1072</f>
        <v>0</v>
      </c>
    </row>
    <row r="1073" spans="1:14" ht="15">
      <c r="A1073" s="87"/>
      <c r="B1073" s="7" t="s">
        <v>785</v>
      </c>
      <c r="C1073" s="32">
        <f>VLOOKUP($B1073,R_DG!$A$7:$G$1305,2,0)</f>
        <v>0</v>
      </c>
      <c r="D1073" s="8" t="str">
        <f>VLOOKUP($B1073,R_DG!$A$7:$G$1305,3,0)</f>
        <v>Đầu cáp ngầm hạ thế 3x120+70mm2</v>
      </c>
      <c r="E1073" s="9" t="str">
        <f>VLOOKUP($B1073,R_DG!$A$7:$G$1305,4,0)</f>
        <v>cái</v>
      </c>
      <c r="F1073" s="11">
        <f t="shared" ca="1" si="289"/>
        <v>0</v>
      </c>
      <c r="G1073" s="214">
        <f>VLOOKUP($B1073,R_DG!$A$7:$G$1305,5,0)</f>
        <v>568023</v>
      </c>
      <c r="H1073" s="214">
        <f>VLOOKUP($B1073,R_DG!$A$7:$G$1305,6,0)</f>
        <v>0</v>
      </c>
      <c r="I1073" s="214">
        <f>VLOOKUP($B1073,R_DG!$A$7:$G$1305,7,0)</f>
        <v>0</v>
      </c>
      <c r="J1073" s="214">
        <f t="shared" ca="1" si="286"/>
        <v>0</v>
      </c>
      <c r="K1073" s="214">
        <f t="shared" ca="1" si="286"/>
        <v>0</v>
      </c>
      <c r="L1073" s="220">
        <f t="shared" ca="1" si="286"/>
        <v>0</v>
      </c>
      <c r="M1073" s="93">
        <f t="shared" ca="1" si="281"/>
        <v>0</v>
      </c>
      <c r="N1073" s="332">
        <f t="shared" ca="1" si="290"/>
        <v>0</v>
      </c>
    </row>
    <row r="1074" spans="1:14" ht="15">
      <c r="A1074" s="87"/>
      <c r="B1074" s="7" t="s">
        <v>783</v>
      </c>
      <c r="C1074" s="32">
        <f>VLOOKUP($B1074,R_DG!$A$7:$G$1305,2,0)</f>
        <v>0</v>
      </c>
      <c r="D1074" s="8" t="str">
        <f>VLOOKUP($B1074,R_DG!$A$7:$G$1305,3,0)</f>
        <v>Đầu cáp ngầm hạ thế 3x185+120mm2</v>
      </c>
      <c r="E1074" s="9" t="str">
        <f>VLOOKUP($B1074,R_DG!$A$7:$G$1305,4,0)</f>
        <v>cái</v>
      </c>
      <c r="F1074" s="11">
        <f t="shared" ca="1" si="289"/>
        <v>0</v>
      </c>
      <c r="G1074" s="214">
        <f>VLOOKUP($B1074,R_DG!$A$7:$G$1305,5,0)</f>
        <v>568023</v>
      </c>
      <c r="H1074" s="214">
        <f>VLOOKUP($B1074,R_DG!$A$7:$G$1305,6,0)</f>
        <v>0</v>
      </c>
      <c r="I1074" s="214">
        <f>VLOOKUP($B1074,R_DG!$A$7:$G$1305,7,0)</f>
        <v>0</v>
      </c>
      <c r="J1074" s="214">
        <f t="shared" ca="1" si="286"/>
        <v>0</v>
      </c>
      <c r="K1074" s="214">
        <f t="shared" ca="1" si="286"/>
        <v>0</v>
      </c>
      <c r="L1074" s="220">
        <f t="shared" ca="1" si="286"/>
        <v>0</v>
      </c>
      <c r="M1074" s="93">
        <f t="shared" ca="1" si="281"/>
        <v>0</v>
      </c>
      <c r="N1074" s="332">
        <f t="shared" ca="1" si="290"/>
        <v>0</v>
      </c>
    </row>
    <row r="1075" spans="1:14" ht="15">
      <c r="A1075" s="87"/>
      <c r="B1075" s="37" t="s">
        <v>4861</v>
      </c>
      <c r="C1075" s="32">
        <f>VLOOKUP($B1075,R_DG!$A$7:$G$1305,2,0)</f>
        <v>0</v>
      </c>
      <c r="D1075" s="8" t="str">
        <f>VLOOKUP($B1075,R_DG!$A$7:$G$1305,3,0)</f>
        <v>Giáp níu dừng dây bọc 150</v>
      </c>
      <c r="E1075" s="9" t="str">
        <f>VLOOKUP($B1075,R_DG!$A$7:$G$1305,4,0)</f>
        <v>cái</v>
      </c>
      <c r="F1075" s="11">
        <f t="shared" ca="1" si="289"/>
        <v>0</v>
      </c>
      <c r="G1075" s="214">
        <f>VLOOKUP($B1075,R_DG!$A$7:$G$1305,5,0)</f>
        <v>250000</v>
      </c>
      <c r="H1075" s="214">
        <f>VLOOKUP($B1075,R_DG!$A$7:$G$1305,6,0)</f>
        <v>0</v>
      </c>
      <c r="I1075" s="214">
        <f>VLOOKUP($B1075,R_DG!$A$7:$G$1305,7,0)</f>
        <v>0</v>
      </c>
      <c r="J1075" s="214">
        <f t="shared" ca="1" si="286"/>
        <v>0</v>
      </c>
      <c r="K1075" s="214">
        <f t="shared" ca="1" si="286"/>
        <v>0</v>
      </c>
      <c r="L1075" s="220">
        <f t="shared" ca="1" si="286"/>
        <v>0</v>
      </c>
      <c r="M1075" s="93">
        <f t="shared" ca="1" si="281"/>
        <v>0</v>
      </c>
      <c r="N1075" s="332">
        <f t="shared" ca="1" si="290"/>
        <v>0</v>
      </c>
    </row>
    <row r="1076" spans="1:14" ht="15">
      <c r="A1076" s="87"/>
      <c r="B1076" s="37" t="s">
        <v>4959</v>
      </c>
      <c r="C1076" s="32">
        <f>VLOOKUP($B1076,R_DG!$A$7:$G$1305,2,0)</f>
        <v>0</v>
      </c>
      <c r="D1076" s="8" t="str">
        <f>VLOOKUP($B1076,R_DG!$A$7:$G$1305,3,0)</f>
        <v>Giáp níu dừng dây bọc 50</v>
      </c>
      <c r="E1076" s="9" t="str">
        <f>VLOOKUP($B1076,R_DG!$A$7:$G$1305,4,0)</f>
        <v>cái</v>
      </c>
      <c r="F1076" s="11">
        <f t="shared" ca="1" si="289"/>
        <v>0</v>
      </c>
      <c r="G1076" s="214">
        <f>VLOOKUP($B1076,R_DG!$A$7:$G$1305,5,0)</f>
        <v>190000</v>
      </c>
      <c r="H1076" s="214">
        <f>VLOOKUP($B1076,R_DG!$A$7:$G$1305,6,0)</f>
        <v>0</v>
      </c>
      <c r="I1076" s="214">
        <f>VLOOKUP($B1076,R_DG!$A$7:$G$1305,7,0)</f>
        <v>0</v>
      </c>
      <c r="J1076" s="214">
        <f t="shared" ca="1" si="286"/>
        <v>0</v>
      </c>
      <c r="K1076" s="214">
        <f t="shared" ca="1" si="286"/>
        <v>0</v>
      </c>
      <c r="L1076" s="220">
        <f t="shared" ca="1" si="286"/>
        <v>0</v>
      </c>
      <c r="M1076" s="93">
        <f t="shared" ref="M1076:M1095" ca="1" si="291">IF(F1076&gt;0,M$943,0)</f>
        <v>0</v>
      </c>
      <c r="N1076" s="332">
        <f t="shared" ca="1" si="290"/>
        <v>0</v>
      </c>
    </row>
    <row r="1077" spans="1:14" ht="15">
      <c r="A1077" s="87"/>
      <c r="B1077" s="37" t="s">
        <v>4865</v>
      </c>
      <c r="C1077" s="32">
        <f>VLOOKUP($B1077,R_DG!$A$7:$G$1305,2,0)</f>
        <v>0</v>
      </c>
      <c r="D1077" s="8" t="str">
        <f>VLOOKUP($B1077,R_DG!$A$7:$G$1305,3,0)</f>
        <v>Dây buộc cổ sứ phi kim cỡ 150mm2</v>
      </c>
      <c r="E1077" s="9" t="str">
        <f>VLOOKUP($B1077,R_DG!$A$7:$G$1305,4,0)</f>
        <v>cái</v>
      </c>
      <c r="F1077" s="11">
        <f ca="1">SUMIF(maBK,B1077,tongBK1)</f>
        <v>0</v>
      </c>
      <c r="G1077" s="214">
        <f>VLOOKUP($B1077,R_DG!$A$7:$G$1305,5,0)</f>
        <v>330000</v>
      </c>
      <c r="H1077" s="214">
        <f>VLOOKUP($B1077,R_DG!$A$7:$G$1305,6,0)</f>
        <v>0</v>
      </c>
      <c r="I1077" s="214">
        <f>VLOOKUP($B1077,R_DG!$A$7:$G$1305,7,0)</f>
        <v>0</v>
      </c>
      <c r="J1077" s="214">
        <f t="shared" ref="J1077:L1078" ca="1" si="292">G1077*$F1077</f>
        <v>0</v>
      </c>
      <c r="K1077" s="214">
        <f t="shared" ca="1" si="292"/>
        <v>0</v>
      </c>
      <c r="L1077" s="220">
        <f t="shared" ca="1" si="292"/>
        <v>0</v>
      </c>
      <c r="M1077" s="93">
        <f ca="1">IF(F1077&gt;0,M$943,0)</f>
        <v>0</v>
      </c>
      <c r="N1077" s="332">
        <f ca="1">$F1077</f>
        <v>0</v>
      </c>
    </row>
    <row r="1078" spans="1:14" ht="15">
      <c r="A1078" s="87"/>
      <c r="B1078" s="37" t="s">
        <v>4866</v>
      </c>
      <c r="C1078" s="32">
        <f>VLOOKUP($B1078,R_DG!$A$7:$G$1305,2,0)</f>
        <v>0</v>
      </c>
      <c r="D1078" s="8" t="str">
        <f>VLOOKUP($B1078,R_DG!$A$7:$G$1305,3,0)</f>
        <v>Dây buộc cổ sứ phi kim cỡ 50mm2 (đỡ thẳng)</v>
      </c>
      <c r="E1078" s="9" t="str">
        <f>VLOOKUP($B1078,R_DG!$A$7:$G$1305,4,0)</f>
        <v>cái</v>
      </c>
      <c r="F1078" s="11">
        <f ca="1">SUMIF(maBK,B1078,tongBK1)</f>
        <v>3</v>
      </c>
      <c r="G1078" s="214">
        <f>VLOOKUP($B1078,R_DG!$A$7:$G$1305,5,0)</f>
        <v>247250</v>
      </c>
      <c r="H1078" s="214">
        <f>VLOOKUP($B1078,R_DG!$A$7:$G$1305,6,0)</f>
        <v>0</v>
      </c>
      <c r="I1078" s="214">
        <f>VLOOKUP($B1078,R_DG!$A$7:$G$1305,7,0)</f>
        <v>0</v>
      </c>
      <c r="J1078" s="214">
        <f t="shared" ca="1" si="292"/>
        <v>741750</v>
      </c>
      <c r="K1078" s="214">
        <f t="shared" ca="1" si="292"/>
        <v>0</v>
      </c>
      <c r="L1078" s="220">
        <f t="shared" ca="1" si="292"/>
        <v>0</v>
      </c>
      <c r="M1078" s="93">
        <f ca="1">IF(F1078&gt;0,M$943,0)</f>
        <v>1</v>
      </c>
      <c r="N1078" s="332">
        <f ca="1">$F1078</f>
        <v>3</v>
      </c>
    </row>
    <row r="1079" spans="1:14" ht="15">
      <c r="A1079" s="87"/>
      <c r="B1079" s="37" t="s">
        <v>2793</v>
      </c>
      <c r="C1079" s="32">
        <f>VLOOKUP($B1079,R_DG!$A$7:$G$1305,2,0)</f>
        <v>0</v>
      </c>
      <c r="D1079" s="8">
        <f>VLOOKUP($B1079,R_DG!$A$7:$G$1305,3,0)</f>
        <v>0</v>
      </c>
      <c r="E1079" s="9">
        <f>VLOOKUP($B1079,R_DG!$A$7:$G$1305,4,0)</f>
        <v>0</v>
      </c>
      <c r="F1079" s="11">
        <f t="shared" ca="1" si="289"/>
        <v>0</v>
      </c>
      <c r="G1079" s="214">
        <f>VLOOKUP($B1079,R_DG!$A$7:$G$1305,5,0)</f>
        <v>0</v>
      </c>
      <c r="H1079" s="214">
        <f>VLOOKUP($B1079,R_DG!$A$7:$G$1305,6,0)</f>
        <v>0</v>
      </c>
      <c r="I1079" s="214">
        <f>VLOOKUP($B1079,R_DG!$A$7:$G$1305,7,0)</f>
        <v>0</v>
      </c>
      <c r="J1079" s="214">
        <f t="shared" ref="J1079:L1095" ca="1" si="293">G1079*$F1079</f>
        <v>0</v>
      </c>
      <c r="K1079" s="214">
        <f t="shared" ca="1" si="293"/>
        <v>0</v>
      </c>
      <c r="L1079" s="220">
        <f t="shared" ca="1" si="293"/>
        <v>0</v>
      </c>
      <c r="M1079" s="93">
        <f t="shared" ca="1" si="291"/>
        <v>0</v>
      </c>
      <c r="N1079" s="332">
        <f t="shared" ca="1" si="290"/>
        <v>0</v>
      </c>
    </row>
    <row r="1080" spans="1:14" ht="15">
      <c r="A1080" s="87"/>
      <c r="B1080" s="37" t="s">
        <v>2793</v>
      </c>
      <c r="C1080" s="32">
        <f>VLOOKUP($B1080,R_DG!$A$7:$G$1305,2,0)</f>
        <v>0</v>
      </c>
      <c r="D1080" s="8">
        <f>VLOOKUP($B1080,R_DG!$A$7:$G$1305,3,0)</f>
        <v>0</v>
      </c>
      <c r="E1080" s="9">
        <f>VLOOKUP($B1080,R_DG!$A$7:$G$1305,4,0)</f>
        <v>0</v>
      </c>
      <c r="F1080" s="11">
        <f t="shared" ca="1" si="289"/>
        <v>0</v>
      </c>
      <c r="G1080" s="214">
        <f>VLOOKUP($B1080,R_DG!$A$7:$G$1305,5,0)</f>
        <v>0</v>
      </c>
      <c r="H1080" s="214">
        <f>VLOOKUP($B1080,R_DG!$A$7:$G$1305,6,0)</f>
        <v>0</v>
      </c>
      <c r="I1080" s="214">
        <f>VLOOKUP($B1080,R_DG!$A$7:$G$1305,7,0)</f>
        <v>0</v>
      </c>
      <c r="J1080" s="214">
        <f t="shared" ca="1" si="293"/>
        <v>0</v>
      </c>
      <c r="K1080" s="214">
        <f t="shared" ca="1" si="293"/>
        <v>0</v>
      </c>
      <c r="L1080" s="220">
        <f t="shared" ca="1" si="293"/>
        <v>0</v>
      </c>
      <c r="M1080" s="93">
        <f t="shared" ca="1" si="291"/>
        <v>0</v>
      </c>
      <c r="N1080" s="332">
        <f t="shared" ca="1" si="290"/>
        <v>0</v>
      </c>
    </row>
    <row r="1081" spans="1:14" ht="15">
      <c r="A1081" s="87"/>
      <c r="B1081" s="37" t="s">
        <v>2793</v>
      </c>
      <c r="C1081" s="32">
        <f>VLOOKUP($B1081,R_DG!$A$7:$G$1305,2,0)</f>
        <v>0</v>
      </c>
      <c r="D1081" s="8">
        <f>VLOOKUP($B1081,R_DG!$A$7:$G$1305,3,0)</f>
        <v>0</v>
      </c>
      <c r="E1081" s="9">
        <f>VLOOKUP($B1081,R_DG!$A$7:$G$1305,4,0)</f>
        <v>0</v>
      </c>
      <c r="F1081" s="11">
        <f t="shared" ca="1" si="289"/>
        <v>0</v>
      </c>
      <c r="G1081" s="214">
        <f>VLOOKUP($B1081,R_DG!$A$7:$G$1305,5,0)</f>
        <v>0</v>
      </c>
      <c r="H1081" s="214">
        <f>VLOOKUP($B1081,R_DG!$A$7:$G$1305,6,0)</f>
        <v>0</v>
      </c>
      <c r="I1081" s="214">
        <f>VLOOKUP($B1081,R_DG!$A$7:$G$1305,7,0)</f>
        <v>0</v>
      </c>
      <c r="J1081" s="214">
        <f t="shared" ca="1" si="293"/>
        <v>0</v>
      </c>
      <c r="K1081" s="214">
        <f t="shared" ca="1" si="293"/>
        <v>0</v>
      </c>
      <c r="L1081" s="220">
        <f t="shared" ca="1" si="293"/>
        <v>0</v>
      </c>
      <c r="M1081" s="93">
        <f t="shared" ca="1" si="291"/>
        <v>0</v>
      </c>
      <c r="N1081" s="332">
        <f t="shared" ca="1" si="290"/>
        <v>0</v>
      </c>
    </row>
    <row r="1082" spans="1:14" ht="15">
      <c r="A1082" s="87"/>
      <c r="B1082" s="37" t="s">
        <v>2793</v>
      </c>
      <c r="C1082" s="32">
        <f>VLOOKUP($B1082,R_DG!$A$7:$G$1305,2,0)</f>
        <v>0</v>
      </c>
      <c r="D1082" s="8">
        <f>VLOOKUP($B1082,R_DG!$A$7:$G$1305,3,0)</f>
        <v>0</v>
      </c>
      <c r="E1082" s="9">
        <f>VLOOKUP($B1082,R_DG!$A$7:$G$1305,4,0)</f>
        <v>0</v>
      </c>
      <c r="F1082" s="11">
        <f t="shared" ca="1" si="289"/>
        <v>0</v>
      </c>
      <c r="G1082" s="214">
        <f>VLOOKUP($B1082,R_DG!$A$7:$G$1305,5,0)</f>
        <v>0</v>
      </c>
      <c r="H1082" s="214">
        <f>VLOOKUP($B1082,R_DG!$A$7:$G$1305,6,0)</f>
        <v>0</v>
      </c>
      <c r="I1082" s="214">
        <f>VLOOKUP($B1082,R_DG!$A$7:$G$1305,7,0)</f>
        <v>0</v>
      </c>
      <c r="J1082" s="214">
        <f t="shared" ca="1" si="293"/>
        <v>0</v>
      </c>
      <c r="K1082" s="214">
        <f t="shared" ca="1" si="293"/>
        <v>0</v>
      </c>
      <c r="L1082" s="220">
        <f t="shared" ca="1" si="293"/>
        <v>0</v>
      </c>
      <c r="M1082" s="93">
        <f t="shared" ca="1" si="291"/>
        <v>0</v>
      </c>
      <c r="N1082" s="332">
        <f t="shared" ca="1" si="290"/>
        <v>0</v>
      </c>
    </row>
    <row r="1083" spans="1:14" ht="15">
      <c r="A1083" s="87"/>
      <c r="B1083" s="37" t="s">
        <v>2793</v>
      </c>
      <c r="C1083" s="32">
        <f>VLOOKUP($B1083,R_DG!$A$7:$G$1305,2,0)</f>
        <v>0</v>
      </c>
      <c r="D1083" s="8">
        <f>VLOOKUP($B1083,R_DG!$A$7:$G$1305,3,0)</f>
        <v>0</v>
      </c>
      <c r="E1083" s="9">
        <f>VLOOKUP($B1083,R_DG!$A$7:$G$1305,4,0)</f>
        <v>0</v>
      </c>
      <c r="F1083" s="11">
        <f t="shared" ca="1" si="289"/>
        <v>0</v>
      </c>
      <c r="G1083" s="214">
        <f>VLOOKUP($B1083,R_DG!$A$7:$G$1305,5,0)</f>
        <v>0</v>
      </c>
      <c r="H1083" s="214">
        <f>VLOOKUP($B1083,R_DG!$A$7:$G$1305,6,0)</f>
        <v>0</v>
      </c>
      <c r="I1083" s="214">
        <f>VLOOKUP($B1083,R_DG!$A$7:$G$1305,7,0)</f>
        <v>0</v>
      </c>
      <c r="J1083" s="214">
        <f t="shared" ca="1" si="293"/>
        <v>0</v>
      </c>
      <c r="K1083" s="214">
        <f t="shared" ca="1" si="293"/>
        <v>0</v>
      </c>
      <c r="L1083" s="220">
        <f t="shared" ca="1" si="293"/>
        <v>0</v>
      </c>
      <c r="M1083" s="93">
        <f t="shared" ca="1" si="291"/>
        <v>0</v>
      </c>
      <c r="N1083" s="332">
        <f t="shared" ca="1" si="290"/>
        <v>0</v>
      </c>
    </row>
    <row r="1084" spans="1:14" ht="15">
      <c r="A1084" s="87"/>
      <c r="B1084" s="37" t="s">
        <v>2793</v>
      </c>
      <c r="C1084" s="32">
        <f>VLOOKUP($B1084,R_DG!$A$7:$G$1305,2,0)</f>
        <v>0</v>
      </c>
      <c r="D1084" s="8">
        <f>VLOOKUP($B1084,R_DG!$A$7:$G$1305,3,0)</f>
        <v>0</v>
      </c>
      <c r="E1084" s="9">
        <f>VLOOKUP($B1084,R_DG!$A$7:$G$1305,4,0)</f>
        <v>0</v>
      </c>
      <c r="F1084" s="11">
        <f t="shared" ca="1" si="289"/>
        <v>0</v>
      </c>
      <c r="G1084" s="214">
        <f>VLOOKUP($B1084,R_DG!$A$7:$G$1305,5,0)</f>
        <v>0</v>
      </c>
      <c r="H1084" s="214">
        <f>VLOOKUP($B1084,R_DG!$A$7:$G$1305,6,0)</f>
        <v>0</v>
      </c>
      <c r="I1084" s="214">
        <f>VLOOKUP($B1084,R_DG!$A$7:$G$1305,7,0)</f>
        <v>0</v>
      </c>
      <c r="J1084" s="214">
        <f t="shared" ca="1" si="293"/>
        <v>0</v>
      </c>
      <c r="K1084" s="214">
        <f t="shared" ca="1" si="293"/>
        <v>0</v>
      </c>
      <c r="L1084" s="220">
        <f t="shared" ca="1" si="293"/>
        <v>0</v>
      </c>
      <c r="M1084" s="93">
        <f t="shared" ca="1" si="291"/>
        <v>0</v>
      </c>
      <c r="N1084" s="332">
        <f t="shared" ca="1" si="290"/>
        <v>0</v>
      </c>
    </row>
    <row r="1085" spans="1:14" ht="15">
      <c r="A1085" s="87"/>
      <c r="B1085" s="37" t="s">
        <v>2793</v>
      </c>
      <c r="C1085" s="32">
        <f>VLOOKUP($B1085,R_DG!$A$7:$G$1305,2,0)</f>
        <v>0</v>
      </c>
      <c r="D1085" s="8">
        <f>VLOOKUP($B1085,R_DG!$A$7:$G$1305,3,0)</f>
        <v>0</v>
      </c>
      <c r="E1085" s="9">
        <f>VLOOKUP($B1085,R_DG!$A$7:$G$1305,4,0)</f>
        <v>0</v>
      </c>
      <c r="F1085" s="11">
        <f t="shared" ca="1" si="289"/>
        <v>0</v>
      </c>
      <c r="G1085" s="214">
        <f>VLOOKUP($B1085,R_DG!$A$7:$G$1305,5,0)</f>
        <v>0</v>
      </c>
      <c r="H1085" s="214">
        <f>VLOOKUP($B1085,R_DG!$A$7:$G$1305,6,0)</f>
        <v>0</v>
      </c>
      <c r="I1085" s="214">
        <f>VLOOKUP($B1085,R_DG!$A$7:$G$1305,7,0)</f>
        <v>0</v>
      </c>
      <c r="J1085" s="214">
        <f t="shared" ca="1" si="293"/>
        <v>0</v>
      </c>
      <c r="K1085" s="214">
        <f t="shared" ca="1" si="293"/>
        <v>0</v>
      </c>
      <c r="L1085" s="220">
        <f t="shared" ca="1" si="293"/>
        <v>0</v>
      </c>
      <c r="M1085" s="93">
        <f t="shared" ca="1" si="291"/>
        <v>0</v>
      </c>
      <c r="N1085" s="332">
        <f t="shared" ca="1" si="290"/>
        <v>0</v>
      </c>
    </row>
    <row r="1086" spans="1:14" ht="15">
      <c r="A1086" s="87"/>
      <c r="B1086" s="37" t="s">
        <v>2793</v>
      </c>
      <c r="C1086" s="32">
        <f>VLOOKUP($B1086,R_DG!$A$7:$G$1305,2,0)</f>
        <v>0</v>
      </c>
      <c r="D1086" s="8">
        <f>VLOOKUP($B1086,R_DG!$A$7:$G$1305,3,0)</f>
        <v>0</v>
      </c>
      <c r="E1086" s="9">
        <f>VLOOKUP($B1086,R_DG!$A$7:$G$1305,4,0)</f>
        <v>0</v>
      </c>
      <c r="F1086" s="11">
        <f t="shared" ca="1" si="289"/>
        <v>0</v>
      </c>
      <c r="G1086" s="214">
        <f>VLOOKUP($B1086,R_DG!$A$7:$G$1305,5,0)</f>
        <v>0</v>
      </c>
      <c r="H1086" s="214">
        <f>VLOOKUP($B1086,R_DG!$A$7:$G$1305,6,0)</f>
        <v>0</v>
      </c>
      <c r="I1086" s="214">
        <f>VLOOKUP($B1086,R_DG!$A$7:$G$1305,7,0)</f>
        <v>0</v>
      </c>
      <c r="J1086" s="214">
        <f t="shared" ca="1" si="293"/>
        <v>0</v>
      </c>
      <c r="K1086" s="214">
        <f t="shared" ca="1" si="293"/>
        <v>0</v>
      </c>
      <c r="L1086" s="220">
        <f t="shared" ca="1" si="293"/>
        <v>0</v>
      </c>
      <c r="M1086" s="93">
        <f t="shared" ca="1" si="291"/>
        <v>0</v>
      </c>
      <c r="N1086" s="332">
        <f t="shared" ca="1" si="290"/>
        <v>0</v>
      </c>
    </row>
    <row r="1087" spans="1:14" ht="15">
      <c r="A1087" s="87"/>
      <c r="B1087" s="37" t="s">
        <v>2793</v>
      </c>
      <c r="C1087" s="32">
        <f>VLOOKUP($B1087,R_DG!$A$7:$G$1305,2,0)</f>
        <v>0</v>
      </c>
      <c r="D1087" s="8">
        <f>VLOOKUP($B1087,R_DG!$A$7:$G$1305,3,0)</f>
        <v>0</v>
      </c>
      <c r="E1087" s="9">
        <f>VLOOKUP($B1087,R_DG!$A$7:$G$1305,4,0)</f>
        <v>0</v>
      </c>
      <c r="F1087" s="11">
        <f t="shared" ca="1" si="289"/>
        <v>0</v>
      </c>
      <c r="G1087" s="214">
        <f>VLOOKUP($B1087,R_DG!$A$7:$G$1305,5,0)</f>
        <v>0</v>
      </c>
      <c r="H1087" s="214">
        <f>VLOOKUP($B1087,R_DG!$A$7:$G$1305,6,0)</f>
        <v>0</v>
      </c>
      <c r="I1087" s="214">
        <f>VLOOKUP($B1087,R_DG!$A$7:$G$1305,7,0)</f>
        <v>0</v>
      </c>
      <c r="J1087" s="214">
        <f t="shared" ca="1" si="293"/>
        <v>0</v>
      </c>
      <c r="K1087" s="214">
        <f t="shared" ca="1" si="293"/>
        <v>0</v>
      </c>
      <c r="L1087" s="220">
        <f t="shared" ca="1" si="293"/>
        <v>0</v>
      </c>
      <c r="M1087" s="93">
        <f t="shared" ca="1" si="291"/>
        <v>0</v>
      </c>
      <c r="N1087" s="332">
        <f t="shared" ca="1" si="290"/>
        <v>0</v>
      </c>
    </row>
    <row r="1088" spans="1:14" ht="15">
      <c r="A1088" s="87"/>
      <c r="B1088" s="37" t="s">
        <v>2793</v>
      </c>
      <c r="C1088" s="32">
        <f>VLOOKUP($B1088,R_DG!$A$7:$G$1305,2,0)</f>
        <v>0</v>
      </c>
      <c r="D1088" s="8">
        <f>VLOOKUP($B1088,R_DG!$A$7:$G$1305,3,0)</f>
        <v>0</v>
      </c>
      <c r="E1088" s="9">
        <f>VLOOKUP($B1088,R_DG!$A$7:$G$1305,4,0)</f>
        <v>0</v>
      </c>
      <c r="F1088" s="11">
        <f t="shared" ca="1" si="289"/>
        <v>0</v>
      </c>
      <c r="G1088" s="214">
        <f>VLOOKUP($B1088,R_DG!$A$7:$G$1305,5,0)</f>
        <v>0</v>
      </c>
      <c r="H1088" s="214">
        <f>VLOOKUP($B1088,R_DG!$A$7:$G$1305,6,0)</f>
        <v>0</v>
      </c>
      <c r="I1088" s="214">
        <f>VLOOKUP($B1088,R_DG!$A$7:$G$1305,7,0)</f>
        <v>0</v>
      </c>
      <c r="J1088" s="214">
        <f t="shared" ca="1" si="293"/>
        <v>0</v>
      </c>
      <c r="K1088" s="214">
        <f t="shared" ca="1" si="293"/>
        <v>0</v>
      </c>
      <c r="L1088" s="220">
        <f t="shared" ca="1" si="293"/>
        <v>0</v>
      </c>
      <c r="M1088" s="93">
        <f t="shared" ca="1" si="291"/>
        <v>0</v>
      </c>
      <c r="N1088" s="332">
        <f t="shared" ca="1" si="290"/>
        <v>0</v>
      </c>
    </row>
    <row r="1089" spans="1:14" ht="15">
      <c r="A1089" s="87"/>
      <c r="B1089" s="37" t="s">
        <v>2793</v>
      </c>
      <c r="C1089" s="32">
        <f>VLOOKUP($B1089,R_DG!$A$7:$G$1305,2,0)</f>
        <v>0</v>
      </c>
      <c r="D1089" s="8">
        <f>VLOOKUP($B1089,R_DG!$A$7:$G$1305,3,0)</f>
        <v>0</v>
      </c>
      <c r="E1089" s="9">
        <f>VLOOKUP($B1089,R_DG!$A$7:$G$1305,4,0)</f>
        <v>0</v>
      </c>
      <c r="F1089" s="11">
        <f t="shared" ca="1" si="289"/>
        <v>0</v>
      </c>
      <c r="G1089" s="214">
        <f>VLOOKUP($B1089,R_DG!$A$7:$G$1305,5,0)</f>
        <v>0</v>
      </c>
      <c r="H1089" s="214">
        <f>VLOOKUP($B1089,R_DG!$A$7:$G$1305,6,0)</f>
        <v>0</v>
      </c>
      <c r="I1089" s="214">
        <f>VLOOKUP($B1089,R_DG!$A$7:$G$1305,7,0)</f>
        <v>0</v>
      </c>
      <c r="J1089" s="214">
        <f t="shared" ca="1" si="293"/>
        <v>0</v>
      </c>
      <c r="K1089" s="214">
        <f t="shared" ca="1" si="293"/>
        <v>0</v>
      </c>
      <c r="L1089" s="220">
        <f t="shared" ca="1" si="293"/>
        <v>0</v>
      </c>
      <c r="M1089" s="93">
        <f t="shared" ca="1" si="291"/>
        <v>0</v>
      </c>
      <c r="N1089" s="332">
        <f t="shared" ca="1" si="290"/>
        <v>0</v>
      </c>
    </row>
    <row r="1090" spans="1:14" ht="15">
      <c r="A1090" s="87"/>
      <c r="B1090" s="37" t="s">
        <v>2793</v>
      </c>
      <c r="C1090" s="32">
        <f>VLOOKUP($B1090,R_DG!$A$7:$G$1305,2,0)</f>
        <v>0</v>
      </c>
      <c r="D1090" s="8">
        <f>VLOOKUP($B1090,R_DG!$A$7:$G$1305,3,0)</f>
        <v>0</v>
      </c>
      <c r="E1090" s="9">
        <f>VLOOKUP($B1090,R_DG!$A$7:$G$1305,4,0)</f>
        <v>0</v>
      </c>
      <c r="F1090" s="11">
        <f t="shared" ca="1" si="289"/>
        <v>0</v>
      </c>
      <c r="G1090" s="214">
        <f>VLOOKUP($B1090,R_DG!$A$7:$G$1305,5,0)</f>
        <v>0</v>
      </c>
      <c r="H1090" s="214">
        <f>VLOOKUP($B1090,R_DG!$A$7:$G$1305,6,0)</f>
        <v>0</v>
      </c>
      <c r="I1090" s="214">
        <f>VLOOKUP($B1090,R_DG!$A$7:$G$1305,7,0)</f>
        <v>0</v>
      </c>
      <c r="J1090" s="214">
        <f t="shared" ca="1" si="293"/>
        <v>0</v>
      </c>
      <c r="K1090" s="214">
        <f t="shared" ca="1" si="293"/>
        <v>0</v>
      </c>
      <c r="L1090" s="220">
        <f t="shared" ca="1" si="293"/>
        <v>0</v>
      </c>
      <c r="M1090" s="93">
        <f t="shared" ca="1" si="291"/>
        <v>0</v>
      </c>
      <c r="N1090" s="332">
        <f t="shared" ca="1" si="290"/>
        <v>0</v>
      </c>
    </row>
    <row r="1091" spans="1:14" ht="15">
      <c r="A1091" s="87"/>
      <c r="B1091" s="37" t="s">
        <v>2793</v>
      </c>
      <c r="C1091" s="32">
        <f>VLOOKUP($B1091,R_DG!$A$7:$G$1305,2,0)</f>
        <v>0</v>
      </c>
      <c r="D1091" s="8">
        <f>VLOOKUP($B1091,R_DG!$A$7:$G$1305,3,0)</f>
        <v>0</v>
      </c>
      <c r="E1091" s="9">
        <f>VLOOKUP($B1091,R_DG!$A$7:$G$1305,4,0)</f>
        <v>0</v>
      </c>
      <c r="F1091" s="11">
        <f t="shared" ca="1" si="289"/>
        <v>0</v>
      </c>
      <c r="G1091" s="214">
        <f>VLOOKUP($B1091,R_DG!$A$7:$G$1305,5,0)</f>
        <v>0</v>
      </c>
      <c r="H1091" s="214">
        <f>VLOOKUP($B1091,R_DG!$A$7:$G$1305,6,0)</f>
        <v>0</v>
      </c>
      <c r="I1091" s="214">
        <f>VLOOKUP($B1091,R_DG!$A$7:$G$1305,7,0)</f>
        <v>0</v>
      </c>
      <c r="J1091" s="214">
        <f t="shared" ca="1" si="293"/>
        <v>0</v>
      </c>
      <c r="K1091" s="214">
        <f t="shared" ca="1" si="293"/>
        <v>0</v>
      </c>
      <c r="L1091" s="220">
        <f t="shared" ca="1" si="293"/>
        <v>0</v>
      </c>
      <c r="M1091" s="93">
        <f t="shared" ca="1" si="291"/>
        <v>0</v>
      </c>
      <c r="N1091" s="332">
        <f t="shared" ca="1" si="290"/>
        <v>0</v>
      </c>
    </row>
    <row r="1092" spans="1:14" ht="15">
      <c r="A1092" s="87"/>
      <c r="B1092" s="37" t="s">
        <v>2793</v>
      </c>
      <c r="C1092" s="32">
        <f>VLOOKUP($B1092,R_DG!$A$7:$G$1305,2,0)</f>
        <v>0</v>
      </c>
      <c r="D1092" s="8">
        <f>VLOOKUP($B1092,R_DG!$A$7:$G$1305,3,0)</f>
        <v>0</v>
      </c>
      <c r="E1092" s="9">
        <f>VLOOKUP($B1092,R_DG!$A$7:$G$1305,4,0)</f>
        <v>0</v>
      </c>
      <c r="F1092" s="11">
        <f t="shared" ca="1" si="289"/>
        <v>0</v>
      </c>
      <c r="G1092" s="214">
        <f>VLOOKUP($B1092,R_DG!$A$7:$G$1305,5,0)</f>
        <v>0</v>
      </c>
      <c r="H1092" s="214">
        <f>VLOOKUP($B1092,R_DG!$A$7:$G$1305,6,0)</f>
        <v>0</v>
      </c>
      <c r="I1092" s="214">
        <f>VLOOKUP($B1092,R_DG!$A$7:$G$1305,7,0)</f>
        <v>0</v>
      </c>
      <c r="J1092" s="214">
        <f t="shared" ca="1" si="293"/>
        <v>0</v>
      </c>
      <c r="K1092" s="214">
        <f t="shared" ca="1" si="293"/>
        <v>0</v>
      </c>
      <c r="L1092" s="220">
        <f t="shared" ca="1" si="293"/>
        <v>0</v>
      </c>
      <c r="M1092" s="93">
        <f t="shared" ca="1" si="291"/>
        <v>0</v>
      </c>
      <c r="N1092" s="332">
        <f t="shared" ca="1" si="290"/>
        <v>0</v>
      </c>
    </row>
    <row r="1093" spans="1:14" ht="15">
      <c r="A1093" s="87"/>
      <c r="B1093" s="37" t="s">
        <v>2793</v>
      </c>
      <c r="C1093" s="32">
        <f>VLOOKUP($B1093,R_DG!$A$7:$G$1305,2,0)</f>
        <v>0</v>
      </c>
      <c r="D1093" s="8">
        <f>VLOOKUP($B1093,R_DG!$A$7:$G$1305,3,0)</f>
        <v>0</v>
      </c>
      <c r="E1093" s="9">
        <f>VLOOKUP($B1093,R_DG!$A$7:$G$1305,4,0)</f>
        <v>0</v>
      </c>
      <c r="F1093" s="11">
        <f t="shared" ca="1" si="289"/>
        <v>0</v>
      </c>
      <c r="G1093" s="214">
        <f>VLOOKUP($B1093,R_DG!$A$7:$G$1305,5,0)</f>
        <v>0</v>
      </c>
      <c r="H1093" s="214">
        <f>VLOOKUP($B1093,R_DG!$A$7:$G$1305,6,0)</f>
        <v>0</v>
      </c>
      <c r="I1093" s="214">
        <f>VLOOKUP($B1093,R_DG!$A$7:$G$1305,7,0)</f>
        <v>0</v>
      </c>
      <c r="J1093" s="214">
        <f t="shared" ca="1" si="293"/>
        <v>0</v>
      </c>
      <c r="K1093" s="214">
        <f t="shared" ca="1" si="293"/>
        <v>0</v>
      </c>
      <c r="L1093" s="220">
        <f t="shared" ca="1" si="293"/>
        <v>0</v>
      </c>
      <c r="M1093" s="93">
        <f t="shared" ca="1" si="291"/>
        <v>0</v>
      </c>
      <c r="N1093" s="332">
        <f t="shared" ca="1" si="290"/>
        <v>0</v>
      </c>
    </row>
    <row r="1094" spans="1:14" ht="15">
      <c r="A1094" s="87"/>
      <c r="B1094" s="37" t="s">
        <v>2793</v>
      </c>
      <c r="C1094" s="32">
        <f>VLOOKUP($B1094,R_DG!$A$7:$G$1305,2,0)</f>
        <v>0</v>
      </c>
      <c r="D1094" s="8">
        <f>VLOOKUP($B1094,R_DG!$A$7:$G$1305,3,0)</f>
        <v>0</v>
      </c>
      <c r="E1094" s="9">
        <f>VLOOKUP($B1094,R_DG!$A$7:$G$1305,4,0)</f>
        <v>0</v>
      </c>
      <c r="F1094" s="11">
        <f t="shared" ca="1" si="289"/>
        <v>0</v>
      </c>
      <c r="G1094" s="214">
        <f>VLOOKUP($B1094,R_DG!$A$7:$G$1305,5,0)</f>
        <v>0</v>
      </c>
      <c r="H1094" s="214">
        <f>VLOOKUP($B1094,R_DG!$A$7:$G$1305,6,0)</f>
        <v>0</v>
      </c>
      <c r="I1094" s="214">
        <f>VLOOKUP($B1094,R_DG!$A$7:$G$1305,7,0)</f>
        <v>0</v>
      </c>
      <c r="J1094" s="214">
        <f t="shared" ca="1" si="293"/>
        <v>0</v>
      </c>
      <c r="K1094" s="214">
        <f t="shared" ca="1" si="293"/>
        <v>0</v>
      </c>
      <c r="L1094" s="220">
        <f t="shared" ca="1" si="293"/>
        <v>0</v>
      </c>
      <c r="M1094" s="93">
        <f t="shared" ca="1" si="291"/>
        <v>0</v>
      </c>
      <c r="N1094" s="332">
        <f t="shared" ca="1" si="290"/>
        <v>0</v>
      </c>
    </row>
    <row r="1095" spans="1:14" ht="15">
      <c r="A1095" s="87"/>
      <c r="B1095" s="37" t="s">
        <v>2793</v>
      </c>
      <c r="C1095" s="32">
        <f>VLOOKUP($B1095,R_DG!$A$7:$G$1305,2,0)</f>
        <v>0</v>
      </c>
      <c r="D1095" s="8">
        <f>VLOOKUP($B1095,R_DG!$A$7:$G$1305,3,0)</f>
        <v>0</v>
      </c>
      <c r="E1095" s="9" t="s">
        <v>9</v>
      </c>
      <c r="F1095" s="11">
        <f t="shared" ca="1" si="289"/>
        <v>0</v>
      </c>
      <c r="G1095" s="214">
        <f>VLOOKUP($B1095,R_DG!$A$7:$G$1305,5,0)</f>
        <v>0</v>
      </c>
      <c r="H1095" s="214">
        <f>VLOOKUP($B1095,R_DG!$A$7:$G$1305,6,0)</f>
        <v>0</v>
      </c>
      <c r="I1095" s="214">
        <f>VLOOKUP($B1095,R_DG!$A$7:$G$1305,7,0)</f>
        <v>0</v>
      </c>
      <c r="J1095" s="214">
        <f t="shared" ca="1" si="293"/>
        <v>0</v>
      </c>
      <c r="K1095" s="214">
        <f t="shared" ca="1" si="293"/>
        <v>0</v>
      </c>
      <c r="L1095" s="220">
        <f t="shared" ca="1" si="293"/>
        <v>0</v>
      </c>
      <c r="M1095" s="93">
        <f t="shared" ca="1" si="291"/>
        <v>0</v>
      </c>
      <c r="N1095" s="332">
        <f t="shared" ca="1" si="290"/>
        <v>0</v>
      </c>
    </row>
    <row r="1096" spans="1:14" ht="15">
      <c r="A1096" s="29" t="s">
        <v>3092</v>
      </c>
      <c r="B1096" s="216"/>
      <c r="C1096" s="34"/>
      <c r="D1096" s="25" t="s">
        <v>2680</v>
      </c>
      <c r="E1096" s="25" t="s">
        <v>163</v>
      </c>
      <c r="F1096" s="31"/>
      <c r="G1096" s="213"/>
      <c r="H1096" s="213"/>
      <c r="I1096" s="213"/>
      <c r="J1096" s="213">
        <f ca="1">SUM(J1097:J1119)</f>
        <v>0</v>
      </c>
      <c r="K1096" s="213">
        <f ca="1">SUM(K1097:K1119)</f>
        <v>0</v>
      </c>
      <c r="L1096" s="219">
        <f ca="1">SUM(L1097:L1119)</f>
        <v>0</v>
      </c>
      <c r="M1096" s="92">
        <v>1</v>
      </c>
      <c r="N1096" s="327">
        <f ca="1">SUMIF(maBK,$A1096,tongBK1)</f>
        <v>0</v>
      </c>
    </row>
    <row r="1097" spans="1:14" ht="15">
      <c r="A1097" s="87"/>
      <c r="B1097" s="7" t="s">
        <v>1547</v>
      </c>
      <c r="C1097" s="32" t="str">
        <f>VLOOKUP($B1097,R_DG!$A$7:$G$1305,2,0)</f>
        <v>T2.3505</v>
      </c>
      <c r="D1097" s="8" t="str">
        <f>VLOOKUP($B1097,R_DG!$A$7:$G$1305,3,0)</f>
        <v>FCO 24kV - 100A</v>
      </c>
      <c r="E1097" s="9" t="str">
        <f>VLOOKUP($B1097,R_DG!$A$7:$G$1305,4,0)</f>
        <v>cái</v>
      </c>
      <c r="F1097" s="11">
        <f t="shared" ref="F1097:F1119" ca="1" si="294">SUMIF(maBK,B1097,tongBK1)</f>
        <v>0</v>
      </c>
      <c r="G1097" s="214">
        <f>VLOOKUP($B1097,R_DG!$A$7:$G$1305,5,0)</f>
        <v>2032000</v>
      </c>
      <c r="H1097" s="214">
        <f>VLOOKUP($B1097,R_DG!$A$7:$G$1305,6,0)</f>
        <v>189551.99999999997</v>
      </c>
      <c r="I1097" s="214">
        <f>VLOOKUP($B1097,R_DG!$A$7:$G$1305,7,0)</f>
        <v>0</v>
      </c>
      <c r="J1097" s="214">
        <f t="shared" ref="J1097:L1100" ca="1" si="295">G1097*$F1097</f>
        <v>0</v>
      </c>
      <c r="K1097" s="214">
        <f t="shared" ca="1" si="295"/>
        <v>0</v>
      </c>
      <c r="L1097" s="220">
        <f t="shared" ca="1" si="295"/>
        <v>0</v>
      </c>
      <c r="M1097" s="93">
        <f ca="1">IF(F1097&gt;0,M$1096,0)</f>
        <v>0</v>
      </c>
      <c r="N1097" s="332">
        <f t="shared" ref="N1097:N1120" ca="1" si="296">$F1097</f>
        <v>0</v>
      </c>
    </row>
    <row r="1098" spans="1:14" ht="15">
      <c r="A1098" s="87"/>
      <c r="B1098" s="7" t="s">
        <v>1548</v>
      </c>
      <c r="C1098" s="32" t="str">
        <f>VLOOKUP($B1098,R_DG!$A$7:$G$1305,2,0)</f>
        <v>02.3505</v>
      </c>
      <c r="D1098" s="8" t="str">
        <f>VLOOKUP($B1098,R_DG!$A$7:$G$1305,3,0)</f>
        <v xml:space="preserve">FCO 24KV - 200A </v>
      </c>
      <c r="E1098" s="9" t="str">
        <f>VLOOKUP($B1098,R_DG!$A$7:$G$1305,4,0)</f>
        <v>cái</v>
      </c>
      <c r="F1098" s="11">
        <f t="shared" ca="1" si="294"/>
        <v>0</v>
      </c>
      <c r="G1098" s="214">
        <f>VLOOKUP($B1098,R_DG!$A$7:$G$1305,5,0)</f>
        <v>1045000</v>
      </c>
      <c r="H1098" s="214">
        <f>VLOOKUP($B1098,R_DG!$A$7:$G$1305,6,0)</f>
        <v>0</v>
      </c>
      <c r="I1098" s="214">
        <f>VLOOKUP($B1098,R_DG!$A$7:$G$1305,7,0)</f>
        <v>0</v>
      </c>
      <c r="J1098" s="214">
        <f t="shared" ca="1" si="295"/>
        <v>0</v>
      </c>
      <c r="K1098" s="214">
        <f t="shared" ca="1" si="295"/>
        <v>0</v>
      </c>
      <c r="L1098" s="220">
        <f t="shared" ca="1" si="295"/>
        <v>0</v>
      </c>
      <c r="M1098" s="93">
        <f t="shared" ref="M1098:M1120" ca="1" si="297">IF(F1098&gt;0,M$1096,0)</f>
        <v>0</v>
      </c>
      <c r="N1098" s="332">
        <f t="shared" ca="1" si="296"/>
        <v>0</v>
      </c>
    </row>
    <row r="1099" spans="1:14" ht="15">
      <c r="A1099" s="87"/>
      <c r="B1099" s="7" t="s">
        <v>1580</v>
      </c>
      <c r="C1099" s="32" t="str">
        <f>VLOOKUP($B1099,R_DG!$A$7:$G$1305,2,0)</f>
        <v>T2.5004</v>
      </c>
      <c r="D1099" s="8" t="str">
        <f>VLOOKUP($B1099,R_DG!$A$7:$G$1305,3,0)</f>
        <v>LA 18kV 10kA</v>
      </c>
      <c r="E1099" s="9" t="str">
        <f>VLOOKUP($B1099,R_DG!$A$7:$G$1305,4,0)</f>
        <v>cái</v>
      </c>
      <c r="F1099" s="11">
        <f t="shared" ca="1" si="294"/>
        <v>0</v>
      </c>
      <c r="G1099" s="214">
        <f>VLOOKUP($B1099,R_DG!$A$7:$G$1305,5,0)</f>
        <v>1106000</v>
      </c>
      <c r="H1099" s="214">
        <f>VLOOKUP($B1099,R_DG!$A$7:$G$1305,6,0)</f>
        <v>355410</v>
      </c>
      <c r="I1099" s="214">
        <f>VLOOKUP($B1099,R_DG!$A$7:$G$1305,7,0)</f>
        <v>0</v>
      </c>
      <c r="J1099" s="214">
        <f t="shared" ca="1" si="295"/>
        <v>0</v>
      </c>
      <c r="K1099" s="214">
        <f t="shared" ca="1" si="295"/>
        <v>0</v>
      </c>
      <c r="L1099" s="220">
        <f t="shared" ca="1" si="295"/>
        <v>0</v>
      </c>
      <c r="M1099" s="93">
        <f t="shared" ca="1" si="297"/>
        <v>0</v>
      </c>
      <c r="N1099" s="332">
        <f t="shared" ca="1" si="296"/>
        <v>0</v>
      </c>
    </row>
    <row r="1100" spans="1:14" ht="15">
      <c r="A1100" s="87"/>
      <c r="B1100" s="7" t="s">
        <v>2681</v>
      </c>
      <c r="C1100" s="32" t="str">
        <f>VLOOKUP($B1100,R_DG!$A$7:$G$1305,2,0)</f>
        <v>02.2124</v>
      </c>
      <c r="D1100" s="8" t="str">
        <f>VLOOKUP($B1100,R_DG!$A$7:$G$1305,3,0)</f>
        <v>Recloser 24kV 630-800A</v>
      </c>
      <c r="E1100" s="9" t="str">
        <f>VLOOKUP($B1100,R_DG!$A$7:$G$1305,4,0)</f>
        <v>bộ</v>
      </c>
      <c r="F1100" s="11">
        <f t="shared" ca="1" si="294"/>
        <v>0</v>
      </c>
      <c r="G1100" s="214">
        <f>VLOOKUP($B1100,R_DG!$A$7:$G$1305,5,0)</f>
        <v>139600000</v>
      </c>
      <c r="H1100" s="214">
        <f>VLOOKUP($B1100,R_DG!$A$7:$G$1305,6,0)</f>
        <v>0</v>
      </c>
      <c r="I1100" s="214">
        <f>VLOOKUP($B1100,R_DG!$A$7:$G$1305,7,0)</f>
        <v>0</v>
      </c>
      <c r="J1100" s="214">
        <f t="shared" ca="1" si="295"/>
        <v>0</v>
      </c>
      <c r="K1100" s="214">
        <f t="shared" ca="1" si="295"/>
        <v>0</v>
      </c>
      <c r="L1100" s="220">
        <f t="shared" ca="1" si="295"/>
        <v>0</v>
      </c>
      <c r="M1100" s="93">
        <f t="shared" ca="1" si="297"/>
        <v>0</v>
      </c>
      <c r="N1100" s="332">
        <f t="shared" ca="1" si="296"/>
        <v>0</v>
      </c>
    </row>
    <row r="1101" spans="1:14" ht="15">
      <c r="A1101" s="87"/>
      <c r="B1101" s="7" t="s">
        <v>1567</v>
      </c>
      <c r="C1101" s="32" t="str">
        <f>VLOOKUP($B1101,R_DG!$A$7:$G$1305,2,0)</f>
        <v>02.2124</v>
      </c>
      <c r="D1101" s="8" t="str">
        <f>VLOOKUP($B1101,R_DG!$A$7:$G$1305,3,0)</f>
        <v>LBS SF6 3pha 24kV 630A 12kA + bộ truyền động</v>
      </c>
      <c r="E1101" s="9" t="str">
        <f>VLOOKUP($B1101,R_DG!$A$7:$G$1305,4,0)</f>
        <v>bộ</v>
      </c>
      <c r="F1101" s="11">
        <f t="shared" ca="1" si="294"/>
        <v>0</v>
      </c>
      <c r="G1101" s="214">
        <f>VLOOKUP($B1101,R_DG!$A$7:$G$1305,5,0)</f>
        <v>42500000</v>
      </c>
      <c r="H1101" s="214">
        <f>VLOOKUP($B1101,R_DG!$A$7:$G$1305,6,0)</f>
        <v>0</v>
      </c>
      <c r="I1101" s="214">
        <f>VLOOKUP($B1101,R_DG!$A$7:$G$1305,7,0)</f>
        <v>0</v>
      </c>
      <c r="J1101" s="214">
        <f ca="1">G1101*$F1101</f>
        <v>0</v>
      </c>
      <c r="K1101" s="214">
        <f ca="1">H1101*$F1101</f>
        <v>0</v>
      </c>
      <c r="L1101" s="220">
        <f ca="1">I1101*$F1101</f>
        <v>0</v>
      </c>
      <c r="M1101" s="93">
        <f t="shared" ca="1" si="297"/>
        <v>0</v>
      </c>
      <c r="N1101" s="332">
        <f t="shared" ca="1" si="296"/>
        <v>0</v>
      </c>
    </row>
    <row r="1102" spans="1:14" ht="15">
      <c r="A1102" s="87"/>
      <c r="B1102" s="7" t="s">
        <v>2682</v>
      </c>
      <c r="C1102" s="32" t="str">
        <f>VLOOKUP($B1102,R_DG!$A$7:$G$1305,2,0)</f>
        <v>02.3302</v>
      </c>
      <c r="D1102" s="8" t="str">
        <f>VLOOKUP($B1102,R_DG!$A$7:$G$1305,3,0)</f>
        <v xml:space="preserve">DS 3P - 24KV - 630A </v>
      </c>
      <c r="E1102" s="9" t="str">
        <f>VLOOKUP($B1102,R_DG!$A$7:$G$1305,4,0)</f>
        <v>bộ</v>
      </c>
      <c r="F1102" s="11">
        <f t="shared" ca="1" si="294"/>
        <v>0</v>
      </c>
      <c r="G1102" s="214">
        <f>VLOOKUP($B1102,R_DG!$A$7:$G$1305,5,0)</f>
        <v>20000000</v>
      </c>
      <c r="H1102" s="214">
        <f>VLOOKUP($B1102,R_DG!$A$7:$G$1305,6,0)</f>
        <v>0</v>
      </c>
      <c r="I1102" s="214">
        <f>VLOOKUP($B1102,R_DG!$A$7:$G$1305,7,0)</f>
        <v>0</v>
      </c>
      <c r="J1102" s="214">
        <f t="shared" ref="J1102:L1119" ca="1" si="298">G1102*$F1102</f>
        <v>0</v>
      </c>
      <c r="K1102" s="214">
        <f t="shared" ca="1" si="298"/>
        <v>0</v>
      </c>
      <c r="L1102" s="220">
        <f t="shared" ca="1" si="298"/>
        <v>0</v>
      </c>
      <c r="M1102" s="93">
        <f t="shared" ca="1" si="297"/>
        <v>0</v>
      </c>
      <c r="N1102" s="332">
        <f t="shared" ca="1" si="296"/>
        <v>0</v>
      </c>
    </row>
    <row r="1103" spans="1:14" ht="15">
      <c r="A1103" s="87"/>
      <c r="B1103" s="7" t="s">
        <v>1684</v>
      </c>
      <c r="C1103" s="32" t="str">
        <f>VLOOKUP($B1103,R_DG!$A$7:$G$1305,2,0)</f>
        <v>T2.8402</v>
      </c>
      <c r="D1103" s="8" t="str">
        <f>VLOOKUP($B1103,R_DG!$A$7:$G$1305,3,0)</f>
        <v>MCCB 3 cực 400V-100A - 30KA</v>
      </c>
      <c r="E1103" s="9" t="str">
        <f>VLOOKUP($B1103,R_DG!$A$7:$G$1305,4,0)</f>
        <v>cái</v>
      </c>
      <c r="F1103" s="11">
        <f t="shared" ca="1" si="294"/>
        <v>0</v>
      </c>
      <c r="G1103" s="214">
        <f>VLOOKUP($B1103,R_DG!$A$7:$G$1305,5,0)</f>
        <v>1909000</v>
      </c>
      <c r="H1103" s="214">
        <f>VLOOKUP($B1103,R_DG!$A$7:$G$1305,6,0)</f>
        <v>308022</v>
      </c>
      <c r="I1103" s="214">
        <f>VLOOKUP($B1103,R_DG!$A$7:$G$1305,7,0)</f>
        <v>0</v>
      </c>
      <c r="J1103" s="214">
        <f t="shared" ca="1" si="298"/>
        <v>0</v>
      </c>
      <c r="K1103" s="214">
        <f t="shared" ca="1" si="298"/>
        <v>0</v>
      </c>
      <c r="L1103" s="220">
        <f t="shared" ca="1" si="298"/>
        <v>0</v>
      </c>
      <c r="M1103" s="93">
        <f t="shared" ca="1" si="297"/>
        <v>0</v>
      </c>
      <c r="N1103" s="332">
        <f t="shared" ca="1" si="296"/>
        <v>0</v>
      </c>
    </row>
    <row r="1104" spans="1:14" ht="15">
      <c r="A1104" s="87"/>
      <c r="B1104" s="7" t="s">
        <v>1686</v>
      </c>
      <c r="C1104" s="32" t="str">
        <f>VLOOKUP($B1104,R_DG!$A$7:$G$1305,2,0)</f>
        <v>T2.8403</v>
      </c>
      <c r="D1104" s="8" t="str">
        <f>VLOOKUP($B1104,R_DG!$A$7:$G$1305,3,0)</f>
        <v>MCCB 3 cực 400V -125A - 30KA</v>
      </c>
      <c r="E1104" s="9" t="str">
        <f>VLOOKUP($B1104,R_DG!$A$7:$G$1305,4,0)</f>
        <v>cái</v>
      </c>
      <c r="F1104" s="11">
        <f t="shared" ca="1" si="294"/>
        <v>0</v>
      </c>
      <c r="G1104" s="214">
        <f>VLOOKUP($B1104,R_DG!$A$7:$G$1305,5,0)</f>
        <v>4271000</v>
      </c>
      <c r="H1104" s="214">
        <f>VLOOKUP($B1104,R_DG!$A$7:$G$1305,6,0)</f>
        <v>450186</v>
      </c>
      <c r="I1104" s="214">
        <f>VLOOKUP($B1104,R_DG!$A$7:$G$1305,7,0)</f>
        <v>0</v>
      </c>
      <c r="J1104" s="214">
        <f t="shared" ca="1" si="298"/>
        <v>0</v>
      </c>
      <c r="K1104" s="214">
        <f t="shared" ca="1" si="298"/>
        <v>0</v>
      </c>
      <c r="L1104" s="220">
        <f t="shared" ca="1" si="298"/>
        <v>0</v>
      </c>
      <c r="M1104" s="93">
        <f t="shared" ca="1" si="297"/>
        <v>0</v>
      </c>
      <c r="N1104" s="332">
        <f t="shared" ca="1" si="296"/>
        <v>0</v>
      </c>
    </row>
    <row r="1105" spans="1:14" ht="15">
      <c r="A1105" s="87"/>
      <c r="B1105" s="7" t="s">
        <v>1688</v>
      </c>
      <c r="C1105" s="32" t="str">
        <f>VLOOKUP($B1105,R_DG!$A$7:$G$1305,2,0)</f>
        <v>T2.8403</v>
      </c>
      <c r="D1105" s="8" t="str">
        <f>VLOOKUP($B1105,R_DG!$A$7:$G$1305,3,0)</f>
        <v>MCCB 3 cực 400V -150A - 35KA</v>
      </c>
      <c r="E1105" s="9" t="str">
        <f>VLOOKUP($B1105,R_DG!$A$7:$G$1305,4,0)</f>
        <v>cái</v>
      </c>
      <c r="F1105" s="11">
        <f t="shared" ca="1" si="294"/>
        <v>0</v>
      </c>
      <c r="G1105" s="214">
        <f>VLOOKUP($B1105,R_DG!$A$7:$G$1305,5,0)</f>
        <v>4271000</v>
      </c>
      <c r="H1105" s="214">
        <f>VLOOKUP($B1105,R_DG!$A$7:$G$1305,6,0)</f>
        <v>450186</v>
      </c>
      <c r="I1105" s="214">
        <f>VLOOKUP($B1105,R_DG!$A$7:$G$1305,7,0)</f>
        <v>0</v>
      </c>
      <c r="J1105" s="214">
        <f t="shared" ca="1" si="298"/>
        <v>0</v>
      </c>
      <c r="K1105" s="214">
        <f t="shared" ca="1" si="298"/>
        <v>0</v>
      </c>
      <c r="L1105" s="220">
        <f t="shared" ca="1" si="298"/>
        <v>0</v>
      </c>
      <c r="M1105" s="93">
        <f t="shared" ca="1" si="297"/>
        <v>0</v>
      </c>
      <c r="N1105" s="332">
        <f t="shared" ca="1" si="296"/>
        <v>0</v>
      </c>
    </row>
    <row r="1106" spans="1:14" ht="15">
      <c r="A1106" s="87"/>
      <c r="B1106" s="7" t="s">
        <v>1690</v>
      </c>
      <c r="C1106" s="32" t="str">
        <f>VLOOKUP($B1106,R_DG!$A$7:$G$1305,2,0)</f>
        <v>T2.8403</v>
      </c>
      <c r="D1106" s="8" t="str">
        <f>VLOOKUP($B1106,R_DG!$A$7:$G$1305,3,0)</f>
        <v>MCCB 3 cực 400V -200A - 35KA</v>
      </c>
      <c r="E1106" s="9" t="str">
        <f>VLOOKUP($B1106,R_DG!$A$7:$G$1305,4,0)</f>
        <v>cái</v>
      </c>
      <c r="F1106" s="11">
        <f t="shared" ca="1" si="294"/>
        <v>0</v>
      </c>
      <c r="G1106" s="214">
        <f>VLOOKUP($B1106,R_DG!$A$7:$G$1305,5,0)</f>
        <v>4271000</v>
      </c>
      <c r="H1106" s="214">
        <f>VLOOKUP($B1106,R_DG!$A$7:$G$1305,6,0)</f>
        <v>450186</v>
      </c>
      <c r="I1106" s="214">
        <f>VLOOKUP($B1106,R_DG!$A$7:$G$1305,7,0)</f>
        <v>0</v>
      </c>
      <c r="J1106" s="214">
        <f t="shared" ca="1" si="298"/>
        <v>0</v>
      </c>
      <c r="K1106" s="214">
        <f t="shared" ca="1" si="298"/>
        <v>0</v>
      </c>
      <c r="L1106" s="220">
        <f t="shared" ca="1" si="298"/>
        <v>0</v>
      </c>
      <c r="M1106" s="93">
        <f t="shared" ca="1" si="297"/>
        <v>0</v>
      </c>
      <c r="N1106" s="332">
        <f t="shared" ca="1" si="296"/>
        <v>0</v>
      </c>
    </row>
    <row r="1107" spans="1:14" ht="15">
      <c r="A1107" s="87"/>
      <c r="B1107" s="7" t="s">
        <v>1692</v>
      </c>
      <c r="C1107" s="32" t="str">
        <f>VLOOKUP($B1107,R_DG!$A$7:$G$1305,2,0)</f>
        <v>T2.8404</v>
      </c>
      <c r="D1107" s="8" t="str">
        <f>VLOOKUP($B1107,R_DG!$A$7:$G$1305,3,0)</f>
        <v xml:space="preserve">MCCB 3 cực 400V -250A - 35KA </v>
      </c>
      <c r="E1107" s="9" t="str">
        <f>VLOOKUP($B1107,R_DG!$A$7:$G$1305,4,0)</f>
        <v>cái</v>
      </c>
      <c r="F1107" s="11">
        <f t="shared" ca="1" si="294"/>
        <v>0</v>
      </c>
      <c r="G1107" s="214">
        <f>VLOOKUP($B1107,R_DG!$A$7:$G$1305,5,0)</f>
        <v>4271000</v>
      </c>
      <c r="H1107" s="214">
        <f>VLOOKUP($B1107,R_DG!$A$7:$G$1305,6,0)</f>
        <v>592350</v>
      </c>
      <c r="I1107" s="214">
        <f>VLOOKUP($B1107,R_DG!$A$7:$G$1305,7,0)</f>
        <v>0</v>
      </c>
      <c r="J1107" s="214">
        <f t="shared" ref="J1107:L1108" ca="1" si="299">G1107*$F1107</f>
        <v>0</v>
      </c>
      <c r="K1107" s="214">
        <f t="shared" ca="1" si="299"/>
        <v>0</v>
      </c>
      <c r="L1107" s="220">
        <f t="shared" ca="1" si="299"/>
        <v>0</v>
      </c>
      <c r="M1107" s="93">
        <f t="shared" ca="1" si="297"/>
        <v>0</v>
      </c>
      <c r="N1107" s="332">
        <f t="shared" ca="1" si="296"/>
        <v>0</v>
      </c>
    </row>
    <row r="1108" spans="1:14" ht="15">
      <c r="A1108" s="87"/>
      <c r="B1108" s="7" t="s">
        <v>1694</v>
      </c>
      <c r="C1108" s="32" t="str">
        <f>VLOOKUP($B1108,R_DG!$A$7:$G$1305,2,0)</f>
        <v>T2.8405</v>
      </c>
      <c r="D1108" s="8" t="str">
        <f>VLOOKUP($B1108,R_DG!$A$7:$G$1305,3,0)</f>
        <v>MCCB 3 cực 400V -400A - 35KA</v>
      </c>
      <c r="E1108" s="9" t="str">
        <f>VLOOKUP($B1108,R_DG!$A$7:$G$1305,4,0)</f>
        <v>cái</v>
      </c>
      <c r="F1108" s="11">
        <f t="shared" ca="1" si="294"/>
        <v>0</v>
      </c>
      <c r="G1108" s="214">
        <f>VLOOKUP($B1108,R_DG!$A$7:$G$1305,5,0)</f>
        <v>9508000</v>
      </c>
      <c r="H1108" s="214">
        <f>VLOOKUP($B1108,R_DG!$A$7:$G$1305,6,0)</f>
        <v>829290</v>
      </c>
      <c r="I1108" s="214">
        <f>VLOOKUP($B1108,R_DG!$A$7:$G$1305,7,0)</f>
        <v>0</v>
      </c>
      <c r="J1108" s="214">
        <f t="shared" ca="1" si="299"/>
        <v>0</v>
      </c>
      <c r="K1108" s="214">
        <f t="shared" ca="1" si="299"/>
        <v>0</v>
      </c>
      <c r="L1108" s="220">
        <f t="shared" ca="1" si="299"/>
        <v>0</v>
      </c>
      <c r="M1108" s="93">
        <f t="shared" ca="1" si="297"/>
        <v>0</v>
      </c>
      <c r="N1108" s="332">
        <f t="shared" ca="1" si="296"/>
        <v>0</v>
      </c>
    </row>
    <row r="1109" spans="1:14" ht="15">
      <c r="B1109" s="7" t="s">
        <v>2683</v>
      </c>
      <c r="C1109" s="32">
        <f>VLOOKUP($B1109,R_DG!$A$7:$G$1305,2,0)</f>
        <v>0</v>
      </c>
      <c r="D1109" s="8" t="str">
        <f>VLOOKUP($B1109,R_DG!$A$7:$G$1305,3,0)</f>
        <v>Dây chảy 3K</v>
      </c>
      <c r="E1109" s="9" t="str">
        <f>VLOOKUP($B1109,R_DG!$A$7:$G$1305,4,0)</f>
        <v>sợi</v>
      </c>
      <c r="F1109" s="11">
        <f t="shared" ca="1" si="294"/>
        <v>0</v>
      </c>
      <c r="G1109" s="214">
        <f>VLOOKUP($B1109,R_DG!$A$7:$G$1305,5,0)</f>
        <v>54500</v>
      </c>
      <c r="H1109" s="214">
        <f>VLOOKUP($B1109,R_DG!$A$7:$G$1305,6,0)</f>
        <v>0</v>
      </c>
      <c r="I1109" s="214">
        <f>VLOOKUP($B1109,R_DG!$A$7:$G$1305,7,0)</f>
        <v>0</v>
      </c>
      <c r="J1109" s="214">
        <f t="shared" ca="1" si="298"/>
        <v>0</v>
      </c>
      <c r="K1109" s="214">
        <f t="shared" ca="1" si="298"/>
        <v>0</v>
      </c>
      <c r="L1109" s="220">
        <f t="shared" ca="1" si="298"/>
        <v>0</v>
      </c>
      <c r="M1109" s="93">
        <f t="shared" ca="1" si="297"/>
        <v>0</v>
      </c>
      <c r="N1109" s="332">
        <f t="shared" ca="1" si="296"/>
        <v>0</v>
      </c>
    </row>
    <row r="1110" spans="1:14" ht="15">
      <c r="B1110" s="7" t="s">
        <v>2684</v>
      </c>
      <c r="C1110" s="32">
        <f>VLOOKUP($B1110,R_DG!$A$7:$G$1305,2,0)</f>
        <v>0</v>
      </c>
      <c r="D1110" s="8" t="str">
        <f>VLOOKUP($B1110,R_DG!$A$7:$G$1305,3,0)</f>
        <v>Dây chảy 6K</v>
      </c>
      <c r="E1110" s="9" t="str">
        <f>VLOOKUP($B1110,R_DG!$A$7:$G$1305,4,0)</f>
        <v>Sợi</v>
      </c>
      <c r="F1110" s="11">
        <f t="shared" ca="1" si="294"/>
        <v>0</v>
      </c>
      <c r="G1110" s="214">
        <f>VLOOKUP($B1110,R_DG!$A$7:$G$1305,5,0)</f>
        <v>54500</v>
      </c>
      <c r="H1110" s="214">
        <f>VLOOKUP($B1110,R_DG!$A$7:$G$1305,6,0)</f>
        <v>0</v>
      </c>
      <c r="I1110" s="214">
        <f>VLOOKUP($B1110,R_DG!$A$7:$G$1305,7,0)</f>
        <v>0</v>
      </c>
      <c r="J1110" s="214">
        <f t="shared" ca="1" si="298"/>
        <v>0</v>
      </c>
      <c r="K1110" s="214">
        <f t="shared" ca="1" si="298"/>
        <v>0</v>
      </c>
      <c r="L1110" s="220">
        <f t="shared" ca="1" si="298"/>
        <v>0</v>
      </c>
      <c r="M1110" s="93">
        <f t="shared" ca="1" si="297"/>
        <v>0</v>
      </c>
      <c r="N1110" s="332">
        <f t="shared" ca="1" si="296"/>
        <v>0</v>
      </c>
    </row>
    <row r="1111" spans="1:14" ht="15">
      <c r="B1111" s="7" t="s">
        <v>2685</v>
      </c>
      <c r="C1111" s="32">
        <f>VLOOKUP($B1111,R_DG!$A$7:$G$1305,2,0)</f>
        <v>0</v>
      </c>
      <c r="D1111" s="8" t="str">
        <f>VLOOKUP($B1111,R_DG!$A$7:$G$1305,3,0)</f>
        <v>Dây chảy 8K</v>
      </c>
      <c r="E1111" s="9" t="str">
        <f>VLOOKUP($B1111,R_DG!$A$7:$G$1305,4,0)</f>
        <v>Sợi</v>
      </c>
      <c r="F1111" s="11">
        <f t="shared" ca="1" si="294"/>
        <v>0</v>
      </c>
      <c r="G1111" s="214">
        <f>VLOOKUP($B1111,R_DG!$A$7:$G$1305,5,0)</f>
        <v>54500</v>
      </c>
      <c r="H1111" s="214">
        <f>VLOOKUP($B1111,R_DG!$A$7:$G$1305,6,0)</f>
        <v>0</v>
      </c>
      <c r="I1111" s="214">
        <f>VLOOKUP($B1111,R_DG!$A$7:$G$1305,7,0)</f>
        <v>0</v>
      </c>
      <c r="J1111" s="214">
        <f t="shared" ca="1" si="298"/>
        <v>0</v>
      </c>
      <c r="K1111" s="214">
        <f t="shared" ca="1" si="298"/>
        <v>0</v>
      </c>
      <c r="L1111" s="220">
        <f t="shared" ca="1" si="298"/>
        <v>0</v>
      </c>
      <c r="M1111" s="93">
        <f t="shared" ca="1" si="297"/>
        <v>0</v>
      </c>
      <c r="N1111" s="332">
        <f t="shared" ca="1" si="296"/>
        <v>0</v>
      </c>
    </row>
    <row r="1112" spans="1:14" ht="15">
      <c r="B1112" s="7" t="s">
        <v>2686</v>
      </c>
      <c r="C1112" s="32">
        <f>VLOOKUP($B1112,R_DG!$A$7:$G$1305,2,0)</f>
        <v>0</v>
      </c>
      <c r="D1112" s="8" t="str">
        <f>VLOOKUP($B1112,R_DG!$A$7:$G$1305,3,0)</f>
        <v>Dây chảy 10K</v>
      </c>
      <c r="E1112" s="9" t="str">
        <f>VLOOKUP($B1112,R_DG!$A$7:$G$1305,4,0)</f>
        <v>Sợi</v>
      </c>
      <c r="F1112" s="11">
        <f t="shared" ca="1" si="294"/>
        <v>0</v>
      </c>
      <c r="G1112" s="214">
        <f>VLOOKUP($B1112,R_DG!$A$7:$G$1305,5,0)</f>
        <v>54500</v>
      </c>
      <c r="H1112" s="214">
        <f>VLOOKUP($B1112,R_DG!$A$7:$G$1305,6,0)</f>
        <v>0</v>
      </c>
      <c r="I1112" s="214">
        <f>VLOOKUP($B1112,R_DG!$A$7:$G$1305,7,0)</f>
        <v>0</v>
      </c>
      <c r="J1112" s="214">
        <f t="shared" ca="1" si="298"/>
        <v>0</v>
      </c>
      <c r="K1112" s="214">
        <f t="shared" ca="1" si="298"/>
        <v>0</v>
      </c>
      <c r="L1112" s="220">
        <f t="shared" ca="1" si="298"/>
        <v>0</v>
      </c>
      <c r="M1112" s="93">
        <f t="shared" ca="1" si="297"/>
        <v>0</v>
      </c>
      <c r="N1112" s="332">
        <f t="shared" ca="1" si="296"/>
        <v>0</v>
      </c>
    </row>
    <row r="1113" spans="1:14" ht="15">
      <c r="B1113" s="7" t="s">
        <v>2687</v>
      </c>
      <c r="C1113" s="32">
        <f>VLOOKUP($B1113,R_DG!$A$7:$G$1305,2,0)</f>
        <v>0</v>
      </c>
      <c r="D1113" s="8" t="str">
        <f>VLOOKUP($B1113,R_DG!$A$7:$G$1305,3,0)</f>
        <v>Dây chảy 15K</v>
      </c>
      <c r="E1113" s="9" t="str">
        <f>VLOOKUP($B1113,R_DG!$A$7:$G$1305,4,0)</f>
        <v>Sợi</v>
      </c>
      <c r="F1113" s="11">
        <f t="shared" ca="1" si="294"/>
        <v>0</v>
      </c>
      <c r="G1113" s="214">
        <f>VLOOKUP($B1113,R_DG!$A$7:$G$1305,5,0)</f>
        <v>69500</v>
      </c>
      <c r="H1113" s="214">
        <f>VLOOKUP($B1113,R_DG!$A$7:$G$1305,6,0)</f>
        <v>0</v>
      </c>
      <c r="I1113" s="214">
        <f>VLOOKUP($B1113,R_DG!$A$7:$G$1305,7,0)</f>
        <v>0</v>
      </c>
      <c r="J1113" s="214">
        <f t="shared" ca="1" si="298"/>
        <v>0</v>
      </c>
      <c r="K1113" s="214">
        <f t="shared" ca="1" si="298"/>
        <v>0</v>
      </c>
      <c r="L1113" s="220">
        <f t="shared" ca="1" si="298"/>
        <v>0</v>
      </c>
      <c r="M1113" s="93">
        <f t="shared" ca="1" si="297"/>
        <v>0</v>
      </c>
      <c r="N1113" s="332">
        <f t="shared" ca="1" si="296"/>
        <v>0</v>
      </c>
    </row>
    <row r="1114" spans="1:14" ht="15">
      <c r="B1114" s="7" t="s">
        <v>2688</v>
      </c>
      <c r="C1114" s="32">
        <f>VLOOKUP($B1114,R_DG!$A$7:$G$1305,2,0)</f>
        <v>0</v>
      </c>
      <c r="D1114" s="8" t="str">
        <f>VLOOKUP($B1114,R_DG!$A$7:$G$1305,3,0)</f>
        <v>Dây chảy 20K</v>
      </c>
      <c r="E1114" s="9" t="str">
        <f>VLOOKUP($B1114,R_DG!$A$7:$G$1305,4,0)</f>
        <v>Sợi</v>
      </c>
      <c r="F1114" s="11">
        <f t="shared" ca="1" si="294"/>
        <v>0</v>
      </c>
      <c r="G1114" s="214">
        <f>VLOOKUP($B1114,R_DG!$A$7:$G$1305,5,0)</f>
        <v>69500</v>
      </c>
      <c r="H1114" s="214">
        <f>VLOOKUP($B1114,R_DG!$A$7:$G$1305,6,0)</f>
        <v>0</v>
      </c>
      <c r="I1114" s="214">
        <f>VLOOKUP($B1114,R_DG!$A$7:$G$1305,7,0)</f>
        <v>0</v>
      </c>
      <c r="J1114" s="214">
        <f t="shared" ca="1" si="298"/>
        <v>0</v>
      </c>
      <c r="K1114" s="214">
        <f t="shared" ca="1" si="298"/>
        <v>0</v>
      </c>
      <c r="L1114" s="220">
        <f t="shared" ca="1" si="298"/>
        <v>0</v>
      </c>
      <c r="M1114" s="93">
        <f t="shared" ca="1" si="297"/>
        <v>0</v>
      </c>
      <c r="N1114" s="332">
        <f t="shared" ca="1" si="296"/>
        <v>0</v>
      </c>
    </row>
    <row r="1115" spans="1:14" ht="15">
      <c r="B1115" s="7" t="s">
        <v>2689</v>
      </c>
      <c r="C1115" s="32">
        <f>VLOOKUP($B1115,R_DG!$A$7:$G$1305,2,0)</f>
        <v>0</v>
      </c>
      <c r="D1115" s="8" t="str">
        <f>VLOOKUP($B1115,R_DG!$A$7:$G$1305,3,0)</f>
        <v>Dây chảy 30K</v>
      </c>
      <c r="E1115" s="9" t="str">
        <f>VLOOKUP($B1115,R_DG!$A$7:$G$1305,4,0)</f>
        <v>Sợi</v>
      </c>
      <c r="F1115" s="11">
        <f t="shared" ca="1" si="294"/>
        <v>0</v>
      </c>
      <c r="G1115" s="214">
        <f>VLOOKUP($B1115,R_DG!$A$7:$G$1305,5,0)</f>
        <v>78000</v>
      </c>
      <c r="H1115" s="214">
        <f>VLOOKUP($B1115,R_DG!$A$7:$G$1305,6,0)</f>
        <v>0</v>
      </c>
      <c r="I1115" s="214">
        <f>VLOOKUP($B1115,R_DG!$A$7:$G$1305,7,0)</f>
        <v>0</v>
      </c>
      <c r="J1115" s="214">
        <f t="shared" ca="1" si="298"/>
        <v>0</v>
      </c>
      <c r="K1115" s="214">
        <f t="shared" ca="1" si="298"/>
        <v>0</v>
      </c>
      <c r="L1115" s="220">
        <f t="shared" ca="1" si="298"/>
        <v>0</v>
      </c>
      <c r="M1115" s="93">
        <f t="shared" ca="1" si="297"/>
        <v>0</v>
      </c>
      <c r="N1115" s="332">
        <f t="shared" ca="1" si="296"/>
        <v>0</v>
      </c>
    </row>
    <row r="1116" spans="1:14" ht="15">
      <c r="B1116" s="7" t="s">
        <v>2690</v>
      </c>
      <c r="C1116" s="32">
        <f>VLOOKUP($B1116,R_DG!$A$7:$G$1305,2,0)</f>
        <v>0</v>
      </c>
      <c r="D1116" s="8" t="str">
        <f>VLOOKUP($B1116,R_DG!$A$7:$G$1305,3,0)</f>
        <v>Dây chảy 40K</v>
      </c>
      <c r="E1116" s="9" t="str">
        <f>VLOOKUP($B1116,R_DG!$A$7:$G$1305,4,0)</f>
        <v>Sợi</v>
      </c>
      <c r="F1116" s="11">
        <f t="shared" ca="1" si="294"/>
        <v>0</v>
      </c>
      <c r="G1116" s="214">
        <f>VLOOKUP($B1116,R_DG!$A$7:$G$1305,5,0)</f>
        <v>78000</v>
      </c>
      <c r="H1116" s="214">
        <f>VLOOKUP($B1116,R_DG!$A$7:$G$1305,6,0)</f>
        <v>0</v>
      </c>
      <c r="I1116" s="214">
        <f>VLOOKUP($B1116,R_DG!$A$7:$G$1305,7,0)</f>
        <v>0</v>
      </c>
      <c r="J1116" s="214">
        <f t="shared" ca="1" si="298"/>
        <v>0</v>
      </c>
      <c r="K1116" s="214">
        <f t="shared" ca="1" si="298"/>
        <v>0</v>
      </c>
      <c r="L1116" s="220">
        <f t="shared" ca="1" si="298"/>
        <v>0</v>
      </c>
      <c r="M1116" s="93">
        <f t="shared" ca="1" si="297"/>
        <v>0</v>
      </c>
      <c r="N1116" s="332">
        <f t="shared" ca="1" si="296"/>
        <v>0</v>
      </c>
    </row>
    <row r="1117" spans="1:14" ht="15">
      <c r="B1117" s="7" t="s">
        <v>2691</v>
      </c>
      <c r="C1117" s="32">
        <f>VLOOKUP($B1117,R_DG!$A$7:$G$1305,2,0)</f>
        <v>0</v>
      </c>
      <c r="D1117" s="8" t="str">
        <f>VLOOKUP($B1117,R_DG!$A$7:$G$1305,3,0)</f>
        <v>Dây chảy 80K</v>
      </c>
      <c r="E1117" s="9" t="str">
        <f>VLOOKUP($B1117,R_DG!$A$7:$G$1305,4,0)</f>
        <v>Sợi</v>
      </c>
      <c r="F1117" s="11">
        <f t="shared" ca="1" si="294"/>
        <v>0</v>
      </c>
      <c r="G1117" s="214">
        <f>VLOOKUP($B1117,R_DG!$A$7:$G$1305,5,0)</f>
        <v>163500</v>
      </c>
      <c r="H1117" s="214">
        <f>VLOOKUP($B1117,R_DG!$A$7:$G$1305,6,0)</f>
        <v>0</v>
      </c>
      <c r="I1117" s="214">
        <f>VLOOKUP($B1117,R_DG!$A$7:$G$1305,7,0)</f>
        <v>0</v>
      </c>
      <c r="J1117" s="214">
        <f t="shared" ca="1" si="298"/>
        <v>0</v>
      </c>
      <c r="K1117" s="214">
        <f t="shared" ca="1" si="298"/>
        <v>0</v>
      </c>
      <c r="L1117" s="220">
        <f t="shared" ca="1" si="298"/>
        <v>0</v>
      </c>
      <c r="M1117" s="93">
        <f t="shared" ca="1" si="297"/>
        <v>0</v>
      </c>
      <c r="N1117" s="332">
        <f t="shared" ca="1" si="296"/>
        <v>0</v>
      </c>
    </row>
    <row r="1118" spans="1:14" ht="15">
      <c r="B1118" s="7" t="s">
        <v>2692</v>
      </c>
      <c r="C1118" s="32">
        <f>VLOOKUP($B1118,R_DG!$A$7:$G$1305,2,0)</f>
        <v>0</v>
      </c>
      <c r="D1118" s="8" t="str">
        <f>VLOOKUP($B1118,R_DG!$A$7:$G$1305,3,0)</f>
        <v>Dây chảy 100K</v>
      </c>
      <c r="E1118" s="9" t="str">
        <f>VLOOKUP($B1118,R_DG!$A$7:$G$1305,4,0)</f>
        <v>Sợi</v>
      </c>
      <c r="F1118" s="11">
        <f t="shared" ca="1" si="294"/>
        <v>0</v>
      </c>
      <c r="G1118" s="214">
        <f>VLOOKUP($B1118,R_DG!$A$7:$G$1305,5,0)</f>
        <v>163500</v>
      </c>
      <c r="H1118" s="214">
        <f>VLOOKUP($B1118,R_DG!$A$7:$G$1305,6,0)</f>
        <v>0</v>
      </c>
      <c r="I1118" s="214">
        <f>VLOOKUP($B1118,R_DG!$A$7:$G$1305,7,0)</f>
        <v>0</v>
      </c>
      <c r="J1118" s="214">
        <f t="shared" ca="1" si="298"/>
        <v>0</v>
      </c>
      <c r="K1118" s="214">
        <f t="shared" ca="1" si="298"/>
        <v>0</v>
      </c>
      <c r="L1118" s="220">
        <f t="shared" ca="1" si="298"/>
        <v>0</v>
      </c>
      <c r="M1118" s="93">
        <f t="shared" ca="1" si="297"/>
        <v>0</v>
      </c>
      <c r="N1118" s="332">
        <f t="shared" ca="1" si="296"/>
        <v>0</v>
      </c>
    </row>
    <row r="1119" spans="1:14" ht="15">
      <c r="B1119" s="7" t="s">
        <v>2693</v>
      </c>
      <c r="C1119" s="32">
        <f>VLOOKUP($B1119,R_DG!$A$7:$G$1305,2,0)</f>
        <v>0</v>
      </c>
      <c r="D1119" s="8" t="str">
        <f>VLOOKUP($B1119,R_DG!$A$7:$G$1305,3,0)</f>
        <v>Dây chảy 140K</v>
      </c>
      <c r="E1119" s="9" t="str">
        <f>VLOOKUP($B1119,R_DG!$A$7:$G$1305,4,0)</f>
        <v>Sợi</v>
      </c>
      <c r="F1119" s="11">
        <f t="shared" ca="1" si="294"/>
        <v>0</v>
      </c>
      <c r="G1119" s="214">
        <f>VLOOKUP($B1119,R_DG!$A$7:$G$1305,5,0)</f>
        <v>554500</v>
      </c>
      <c r="H1119" s="214">
        <f>VLOOKUP($B1119,R_DG!$A$7:$G$1305,6,0)</f>
        <v>0</v>
      </c>
      <c r="I1119" s="214">
        <f>VLOOKUP($B1119,R_DG!$A$7:$G$1305,7,0)</f>
        <v>0</v>
      </c>
      <c r="J1119" s="214">
        <f t="shared" ca="1" si="298"/>
        <v>0</v>
      </c>
      <c r="K1119" s="214">
        <f t="shared" ca="1" si="298"/>
        <v>0</v>
      </c>
      <c r="L1119" s="220">
        <f t="shared" ca="1" si="298"/>
        <v>0</v>
      </c>
      <c r="M1119" s="93">
        <f t="shared" ca="1" si="297"/>
        <v>0</v>
      </c>
      <c r="N1119" s="332">
        <f t="shared" ca="1" si="296"/>
        <v>0</v>
      </c>
    </row>
    <row r="1120" spans="1:14" ht="15">
      <c r="C1120" s="32"/>
      <c r="D1120" s="8"/>
      <c r="E1120" s="9"/>
      <c r="F1120" s="11"/>
      <c r="G1120" s="214"/>
      <c r="H1120" s="214"/>
      <c r="I1120" s="214"/>
      <c r="J1120" s="214"/>
      <c r="K1120" s="214"/>
      <c r="L1120" s="220"/>
      <c r="M1120" s="93">
        <f t="shared" si="297"/>
        <v>0</v>
      </c>
      <c r="N1120" s="332">
        <f t="shared" si="296"/>
        <v>0</v>
      </c>
    </row>
    <row r="1121" spans="4:4" ht="15"/>
    <row r="1128" spans="4:4" ht="20.100000000000001" customHeight="1">
      <c r="D1128" s="156"/>
    </row>
    <row r="1131" spans="4:4" ht="20.100000000000001" customHeight="1">
      <c r="D1131" s="156">
        <f>$G$325</f>
        <v>0</v>
      </c>
    </row>
  </sheetData>
  <autoFilter ref="A5:M1120"/>
  <mergeCells count="2">
    <mergeCell ref="G3:I3"/>
    <mergeCell ref="J3:L3"/>
  </mergeCells>
  <printOptions horizontalCentered="1"/>
  <pageMargins left="0.59055118110236227" right="0.39370078740157483" top="0.59055118110236227" bottom="0.59055118110236227" header="0.31496062992125984" footer="0.31496062992125984"/>
  <pageSetup paperSize="9" scale="40" fitToHeight="0" orientation="portrait" blackAndWhite="1"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pageSetUpPr fitToPage="1"/>
  </sheetPr>
  <dimension ref="A1:V390"/>
  <sheetViews>
    <sheetView showZeros="0" view="pageBreakPreview" topLeftCell="A241" zoomScale="70" zoomScaleNormal="100" zoomScaleSheetLayoutView="70" workbookViewId="0">
      <selection activeCell="F248" sqref="F248:G261"/>
    </sheetView>
  </sheetViews>
  <sheetFormatPr defaultRowHeight="24.95" customHeight="1"/>
  <cols>
    <col min="1" max="1" width="12.85546875" style="215" customWidth="1"/>
    <col min="2" max="2" width="16.42578125" style="5" customWidth="1"/>
    <col min="3" max="3" width="9.42578125" bestFit="1" customWidth="1"/>
    <col min="4" max="4" width="10.42578125" bestFit="1" customWidth="1"/>
    <col min="5" max="5" width="57.140625" bestFit="1" customWidth="1"/>
    <col min="6" max="6" width="9.5703125" bestFit="1" customWidth="1"/>
    <col min="7" max="7" width="10.42578125" bestFit="1" customWidth="1"/>
    <col min="8" max="10" width="15.42578125" customWidth="1"/>
    <col min="11" max="11" width="16.85546875" bestFit="1" customWidth="1"/>
    <col min="12" max="14" width="15.42578125" customWidth="1"/>
  </cols>
  <sheetData>
    <row r="1" spans="1:22" ht="24.95" customHeight="1">
      <c r="C1" s="177" t="e">
        <f ca="1">R_SETTING!$E$19</f>
        <v>#REF!</v>
      </c>
      <c r="D1" s="179"/>
      <c r="E1" s="179"/>
      <c r="F1" s="179"/>
      <c r="G1" s="179"/>
      <c r="H1" s="179"/>
      <c r="I1" s="179"/>
      <c r="J1" s="179"/>
      <c r="K1" s="179"/>
      <c r="L1" s="179"/>
      <c r="M1" s="179"/>
      <c r="N1" s="179"/>
    </row>
    <row r="2" spans="1:22" ht="24.95" customHeight="1">
      <c r="A2" s="299" t="str">
        <f>A3&amp;"x"&amp;A4</f>
        <v>1x250</v>
      </c>
      <c r="B2" s="299">
        <f>IF(B4=3,A4*A3/3/12.7,A3*A4/12.7)</f>
        <v>6.5616797900262469</v>
      </c>
      <c r="C2" s="38"/>
      <c r="D2" s="38"/>
      <c r="E2" s="38"/>
      <c r="F2" s="38"/>
      <c r="G2" s="38"/>
      <c r="H2" s="38"/>
      <c r="I2" s="38"/>
      <c r="J2" s="38"/>
      <c r="K2" s="38"/>
      <c r="L2" s="38"/>
      <c r="M2" s="38"/>
      <c r="N2" s="38"/>
      <c r="O2" s="38"/>
    </row>
    <row r="3" spans="1:22" ht="24.95" customHeight="1">
      <c r="A3" s="300">
        <v>1</v>
      </c>
      <c r="B3" s="299">
        <f>IF(B4=3,A4*A3/0.23/3,A3*A4/0.23/2)</f>
        <v>362.31884057971018</v>
      </c>
      <c r="C3" s="1378" t="s">
        <v>2347</v>
      </c>
      <c r="D3" s="1379" t="s">
        <v>2446</v>
      </c>
      <c r="E3" s="1378" t="s">
        <v>2447</v>
      </c>
      <c r="F3" s="1378" t="s">
        <v>2352</v>
      </c>
      <c r="G3" s="295" t="s">
        <v>2140</v>
      </c>
      <c r="H3" s="244" t="s">
        <v>2141</v>
      </c>
      <c r="I3" s="245"/>
      <c r="J3" s="246"/>
      <c r="K3" s="244" t="s">
        <v>2448</v>
      </c>
      <c r="L3" s="245"/>
      <c r="M3" s="246"/>
      <c r="N3" s="1378" t="s">
        <v>2449</v>
      </c>
      <c r="O3" s="38"/>
    </row>
    <row r="4" spans="1:22" ht="24.95" customHeight="1">
      <c r="A4" s="301">
        <v>250</v>
      </c>
      <c r="B4" s="242">
        <f>IF(A4&gt;0,IF(OR(A3=3,A4&gt;100),3,1),0)</f>
        <v>3</v>
      </c>
      <c r="C4" s="1378"/>
      <c r="D4" s="1380"/>
      <c r="E4" s="1378"/>
      <c r="F4" s="1378"/>
      <c r="G4" s="296" t="s">
        <v>2143</v>
      </c>
      <c r="H4" s="247" t="s">
        <v>2450</v>
      </c>
      <c r="I4" s="247" t="s">
        <v>2451</v>
      </c>
      <c r="J4" s="247" t="s">
        <v>2452</v>
      </c>
      <c r="K4" s="247" t="s">
        <v>2450</v>
      </c>
      <c r="L4" s="247" t="s">
        <v>2451</v>
      </c>
      <c r="M4" s="294" t="s">
        <v>2452</v>
      </c>
      <c r="N4" s="1378"/>
      <c r="O4" s="38">
        <f>IF(SUM(G4:G4)&gt;0,1,0)</f>
        <v>0</v>
      </c>
      <c r="Q4" s="239"/>
      <c r="R4" s="239"/>
      <c r="S4" s="239"/>
      <c r="T4" s="239"/>
      <c r="U4" s="239"/>
      <c r="V4" s="239"/>
    </row>
    <row r="5" spans="1:22" ht="24.95" customHeight="1">
      <c r="A5" s="301">
        <v>1</v>
      </c>
      <c r="B5" s="242" t="s">
        <v>4584</v>
      </c>
      <c r="C5" s="248" t="s">
        <v>2536</v>
      </c>
      <c r="D5" s="249"/>
      <c r="E5" s="250"/>
      <c r="F5" s="249"/>
      <c r="G5" s="249"/>
      <c r="H5" s="249"/>
      <c r="I5" s="249"/>
      <c r="J5" s="249"/>
      <c r="K5" s="249"/>
      <c r="L5" s="249"/>
      <c r="M5" s="249"/>
      <c r="N5" s="251"/>
      <c r="O5" s="38">
        <v>1</v>
      </c>
      <c r="Q5" s="240"/>
      <c r="R5" s="240"/>
      <c r="S5" s="240"/>
      <c r="T5" s="240"/>
      <c r="U5" s="240"/>
      <c r="V5" s="240"/>
    </row>
    <row r="6" spans="1:22" ht="24.95" customHeight="1">
      <c r="A6" s="182"/>
      <c r="B6" s="229" t="str">
        <f>IF(A4&gt;0,"TR"&amp;A4&amp;"1","NONE")</f>
        <v>TR2501</v>
      </c>
      <c r="C6" s="252">
        <v>1</v>
      </c>
      <c r="D6" s="243" t="str">
        <f>IF(B6&lt;&gt;"",VLOOKUP(B6,R_DG!$A$7:$G$1305,2,0),"")</f>
        <v>T1.1415</v>
      </c>
      <c r="E6" s="253" t="str">
        <f>VLOOKUP(B6,R_DG!$A$7:$G$1305,3,0)</f>
        <v>Máy biến áp 22/0,4kV- 250kVA - Amorphous</v>
      </c>
      <c r="F6" s="243" t="str">
        <f>VLOOKUP(B6,R_DG!$A$7:$G$1305,4,0)</f>
        <v>máy</v>
      </c>
      <c r="G6" s="254">
        <f>A3</f>
        <v>1</v>
      </c>
      <c r="H6" s="255">
        <f>VLOOKUP(B6,R_DG!$A$7:$G$1305,5,0)</f>
        <v>230215000</v>
      </c>
      <c r="I6" s="255">
        <f>VLOOKUP(B6,R_DG!$A$7:$G$1305,6,0)</f>
        <v>1530073.314</v>
      </c>
      <c r="J6" s="255">
        <f>VLOOKUP(B6,R_DG!$A$7:$G$1305,7,0)</f>
        <v>495664.08692307689</v>
      </c>
      <c r="K6" s="256">
        <f t="shared" ref="K6:K14" si="0">H6*G6</f>
        <v>230215000</v>
      </c>
      <c r="L6" s="256">
        <f t="shared" ref="L6:L14" si="1">I6*G6</f>
        <v>1530073.314</v>
      </c>
      <c r="M6" s="256">
        <f t="shared" ref="M6:M14" si="2">J6*G6</f>
        <v>495664.08692307689</v>
      </c>
      <c r="N6" s="257"/>
      <c r="O6" s="38">
        <f t="shared" ref="O6:O220" si="3">IF(SUM(G6:G6)&gt;0,1,0)</f>
        <v>1</v>
      </c>
      <c r="Q6" s="241"/>
      <c r="R6" s="241"/>
      <c r="S6" s="241"/>
      <c r="T6" s="241"/>
      <c r="U6" s="241"/>
      <c r="V6" s="241"/>
    </row>
    <row r="7" spans="1:22" ht="24.95" customHeight="1">
      <c r="A7" s="182"/>
      <c r="B7" s="229" t="s">
        <v>1547</v>
      </c>
      <c r="C7" s="252">
        <v>2</v>
      </c>
      <c r="D7" s="243" t="str">
        <f>IF(B7&lt;&gt;"",VLOOKUP(B7,R_DG!$A$7:$G$1305,2,0),"")</f>
        <v>T2.3505</v>
      </c>
      <c r="E7" s="253" t="str">
        <f>VLOOKUP(B7,R_DG!$A$7:$G$1305,3,0)</f>
        <v>FCO 24kV - 100A</v>
      </c>
      <c r="F7" s="243" t="str">
        <f>VLOOKUP(B7,R_DG!$A$7:$G$1305,4,0)</f>
        <v>cái</v>
      </c>
      <c r="G7" s="254">
        <f>IF(A4&gt;0,B4,0)</f>
        <v>3</v>
      </c>
      <c r="H7" s="255">
        <f>VLOOKUP(B7,R_DG!$A$7:$G$1305,5,0)</f>
        <v>2032000</v>
      </c>
      <c r="I7" s="255">
        <f>VLOOKUP(B7,R_DG!$A$7:$G$1305,6,0)</f>
        <v>189551.99999999997</v>
      </c>
      <c r="J7" s="255">
        <f>VLOOKUP(B7,R_DG!$A$7:$G$1305,7,0)</f>
        <v>0</v>
      </c>
      <c r="K7" s="256">
        <f t="shared" si="0"/>
        <v>6096000</v>
      </c>
      <c r="L7" s="256">
        <f t="shared" si="1"/>
        <v>568655.99999999988</v>
      </c>
      <c r="M7" s="256">
        <f t="shared" si="2"/>
        <v>0</v>
      </c>
      <c r="N7" s="257"/>
      <c r="O7" s="38">
        <f t="shared" si="3"/>
        <v>1</v>
      </c>
      <c r="Q7" s="241"/>
      <c r="R7" s="241"/>
      <c r="S7" s="241"/>
      <c r="T7" s="241"/>
      <c r="U7" s="241"/>
      <c r="V7" s="241"/>
    </row>
    <row r="8" spans="1:22" ht="24.95" customHeight="1">
      <c r="A8" s="182"/>
      <c r="B8" s="229" t="str">
        <f>IF(A4&gt;0,"chi"&amp;VLOOKUP(A2,TBA,6,0)&amp;"k","NONE")</f>
        <v>chi8k</v>
      </c>
      <c r="C8" s="252">
        <v>3</v>
      </c>
      <c r="D8" s="243">
        <f>IF(B8&lt;&gt;"",VLOOKUP(B8,R_DG!$A$7:$G$1305,2,0),"")</f>
        <v>0</v>
      </c>
      <c r="E8" s="253" t="str">
        <f>VLOOKUP(B8,R_DG!$A$7:$G$1305,3,0)</f>
        <v>Dây chảy 8K</v>
      </c>
      <c r="F8" s="243" t="s">
        <v>2531</v>
      </c>
      <c r="G8" s="254">
        <f>G7</f>
        <v>3</v>
      </c>
      <c r="H8" s="255">
        <f>VLOOKUP(B8,R_DG!$A$7:$G$1305,5,0)</f>
        <v>54500</v>
      </c>
      <c r="I8" s="255">
        <f>VLOOKUP(B8,R_DG!$A$7:$G$1305,6,0)</f>
        <v>0</v>
      </c>
      <c r="J8" s="255">
        <f>VLOOKUP(B8,R_DG!$A$7:$G$1305,7,0)</f>
        <v>0</v>
      </c>
      <c r="K8" s="256">
        <f t="shared" si="0"/>
        <v>163500</v>
      </c>
      <c r="L8" s="256">
        <f t="shared" si="1"/>
        <v>0</v>
      </c>
      <c r="M8" s="256">
        <f t="shared" si="2"/>
        <v>0</v>
      </c>
      <c r="N8" s="257"/>
      <c r="O8" s="38">
        <f t="shared" si="3"/>
        <v>1</v>
      </c>
      <c r="Q8" s="241"/>
      <c r="R8" s="241"/>
      <c r="S8" s="241"/>
      <c r="T8" s="241"/>
      <c r="U8" s="241"/>
      <c r="V8" s="241"/>
    </row>
    <row r="9" spans="1:22" ht="24.95" customHeight="1">
      <c r="A9" s="182"/>
      <c r="B9" s="228" t="s">
        <v>1580</v>
      </c>
      <c r="C9" s="252">
        <v>4</v>
      </c>
      <c r="D9" s="243" t="str">
        <f>IF(B9&lt;&gt;"",VLOOKUP(B9,R_DG!$A$7:$G$1305,2,0),"")</f>
        <v>T2.5004</v>
      </c>
      <c r="E9" s="253" t="str">
        <f>VLOOKUP(B9,R_DG!$A$7:$G$1305,3,0)</f>
        <v>LA 18kV 10kA</v>
      </c>
      <c r="F9" s="243" t="str">
        <f>VLOOKUP(B9,R_DG!$A$7:$G$1305,4,0)</f>
        <v>cái</v>
      </c>
      <c r="G9" s="254">
        <f>G7</f>
        <v>3</v>
      </c>
      <c r="H9" s="255">
        <f>VLOOKUP(B9,R_DG!$A$7:$G$1305,5,0)</f>
        <v>1106000</v>
      </c>
      <c r="I9" s="255">
        <f>VLOOKUP(B9,R_DG!$A$7:$G$1305,6,0)</f>
        <v>355410</v>
      </c>
      <c r="J9" s="255">
        <f>VLOOKUP(B9,R_DG!$A$7:$G$1305,7,0)</f>
        <v>0</v>
      </c>
      <c r="K9" s="256">
        <f t="shared" si="0"/>
        <v>3318000</v>
      </c>
      <c r="L9" s="256">
        <f t="shared" si="1"/>
        <v>1066230</v>
      </c>
      <c r="M9" s="256">
        <f t="shared" si="2"/>
        <v>0</v>
      </c>
      <c r="N9" s="257"/>
      <c r="O9" s="38">
        <f t="shared" si="3"/>
        <v>1</v>
      </c>
      <c r="Q9" s="241"/>
      <c r="R9" s="241"/>
      <c r="S9" s="241"/>
      <c r="T9" s="241"/>
      <c r="U9" s="241"/>
      <c r="V9" s="241"/>
    </row>
    <row r="10" spans="1:22" ht="24.95" customHeight="1">
      <c r="A10" s="182"/>
      <c r="B10" s="230" t="str">
        <f>IF(A4&gt;0,"ATM"&amp;VLOOKUP(A2,TBA,IF(A5*1=1,4,5),0),"NONE")</f>
        <v>ATM400</v>
      </c>
      <c r="C10" s="252">
        <v>5</v>
      </c>
      <c r="D10" s="243" t="str">
        <f>IF(B10&lt;&gt;"",VLOOKUP(B10,R_DG!$A$7:$G$1305,2,0),"")</f>
        <v>T2.8405</v>
      </c>
      <c r="E10" s="253" t="str">
        <f>VLOOKUP(B10,R_DG!$A$7:$G$1305,3,0)</f>
        <v>MCCB 3 cực 400V -400A - 35KA</v>
      </c>
      <c r="F10" s="243" t="str">
        <f>VLOOKUP(B10,R_DG!$A$7:$G$1305,4,0)</f>
        <v>cái</v>
      </c>
      <c r="G10" s="254">
        <f>IF(A4&gt;0,1,0)</f>
        <v>1</v>
      </c>
      <c r="H10" s="255">
        <f>VLOOKUP(B10,R_DG!$A$7:$G$1305,5,0)</f>
        <v>9508000</v>
      </c>
      <c r="I10" s="255">
        <f>VLOOKUP(B10,R_DG!$A$7:$G$1305,6,0)</f>
        <v>829290</v>
      </c>
      <c r="J10" s="255">
        <f>VLOOKUP(B10,R_DG!$A$7:$G$1305,7,0)</f>
        <v>0</v>
      </c>
      <c r="K10" s="256">
        <f t="shared" si="0"/>
        <v>9508000</v>
      </c>
      <c r="L10" s="256">
        <f t="shared" si="1"/>
        <v>829290</v>
      </c>
      <c r="M10" s="256">
        <f t="shared" si="2"/>
        <v>0</v>
      </c>
      <c r="N10" s="257"/>
      <c r="O10" s="38">
        <f t="shared" si="3"/>
        <v>1</v>
      </c>
      <c r="Q10" s="241"/>
      <c r="R10" s="241"/>
      <c r="S10" s="241"/>
      <c r="T10" s="241"/>
      <c r="U10" s="241"/>
      <c r="V10" s="241"/>
    </row>
    <row r="11" spans="1:22" ht="24.95" customHeight="1">
      <c r="A11" s="182"/>
      <c r="B11" s="231" t="str">
        <f>IF(A4&gt;0,"TI"&amp;VLOOKUP(A2,TBA,IF(A5*1=1,8,9),0),"NONE")</f>
        <v>TI400</v>
      </c>
      <c r="C11" s="252">
        <v>6</v>
      </c>
      <c r="D11" s="243">
        <f>IF(B11&lt;&gt;"",VLOOKUP(B11,R_DG!$A$7:$G$1305,2,0),"")</f>
        <v>0</v>
      </c>
      <c r="E11" s="253" t="str">
        <f>VLOOKUP(B11,R_DG!$A$7:$G$1305,3,0)</f>
        <v>Biến dòng 600V - 400/5A</v>
      </c>
      <c r="F11" s="243" t="str">
        <f>VLOOKUP(B11,R_DG!$A$7:$G$1305,4,0)</f>
        <v>cái</v>
      </c>
      <c r="G11" s="254">
        <f>IF(A4&gt;0,IF(B4=3,3,2),0)</f>
        <v>3</v>
      </c>
      <c r="H11" s="255">
        <f>VLOOKUP(B11,R_DG!$A$7:$G$1305,5,0)</f>
        <v>0</v>
      </c>
      <c r="I11" s="255">
        <f>VLOOKUP(B11,R_DG!$A$7:$G$1305,6,0)</f>
        <v>73925.279999999999</v>
      </c>
      <c r="J11" s="255">
        <f>VLOOKUP(B11,R_DG!$A$7:$G$1305,7,0)</f>
        <v>300402.4769230769</v>
      </c>
      <c r="K11" s="256">
        <f t="shared" si="0"/>
        <v>0</v>
      </c>
      <c r="L11" s="256">
        <f t="shared" si="1"/>
        <v>221775.84</v>
      </c>
      <c r="M11" s="256">
        <f t="shared" si="2"/>
        <v>901207.4307692307</v>
      </c>
      <c r="N11" s="257" t="s">
        <v>2453</v>
      </c>
      <c r="O11" s="38">
        <f t="shared" si="3"/>
        <v>1</v>
      </c>
      <c r="Q11" s="241"/>
      <c r="R11" s="241"/>
      <c r="S11" s="241"/>
      <c r="T11" s="241"/>
      <c r="U11" s="241"/>
      <c r="V11" s="241"/>
    </row>
    <row r="12" spans="1:22" ht="24.95" customHeight="1">
      <c r="A12" s="182"/>
      <c r="B12" s="226" t="str">
        <f>IF(B11="NONE","DK3P50A","DK3P")</f>
        <v>DK3P</v>
      </c>
      <c r="C12" s="252">
        <v>7</v>
      </c>
      <c r="D12" s="243" t="str">
        <f>IF(B12&lt;&gt;"",VLOOKUP(B12,R_DG!$A$7:$G$1305,2,0),"")</f>
        <v>T2.1205</v>
      </c>
      <c r="E12" s="253" t="str">
        <f>VLOOKUP(B12,R_DG!$A$7:$G$1305,3,0)</f>
        <v>Điện năng kế 3 pha 380V-5A</v>
      </c>
      <c r="F12" s="243" t="str">
        <f>VLOOKUP(B12,R_DG!$A$7:$G$1305,4,0)</f>
        <v>cái</v>
      </c>
      <c r="G12" s="254">
        <f>IF(A4&gt;0,1,0)</f>
        <v>1</v>
      </c>
      <c r="H12" s="255">
        <f>VLOOKUP(B12,R_DG!$A$7:$G$1305,5,0)</f>
        <v>0</v>
      </c>
      <c r="I12" s="255">
        <f>VLOOKUP(B12,R_DG!$A$7:$G$1305,6,0)</f>
        <v>73925.279999999999</v>
      </c>
      <c r="J12" s="255">
        <f>VLOOKUP(B12,R_DG!$A$7:$G$1305,7,0)</f>
        <v>300402.4769230769</v>
      </c>
      <c r="K12" s="256">
        <f t="shared" si="0"/>
        <v>0</v>
      </c>
      <c r="L12" s="256">
        <f t="shared" si="1"/>
        <v>73925.279999999999</v>
      </c>
      <c r="M12" s="256">
        <f t="shared" si="2"/>
        <v>300402.4769230769</v>
      </c>
      <c r="N12" s="257" t="s">
        <v>2453</v>
      </c>
      <c r="O12" s="38">
        <f t="shared" si="3"/>
        <v>1</v>
      </c>
      <c r="Q12" s="241"/>
      <c r="R12" s="241"/>
      <c r="S12" s="241"/>
      <c r="T12" s="241"/>
      <c r="U12" s="241"/>
      <c r="V12" s="241"/>
    </row>
    <row r="13" spans="1:22" ht="24.95" customHeight="1">
      <c r="A13" s="182"/>
      <c r="B13" s="228" t="str">
        <f>IF(AND(A3*A4&gt;75,B4=3),"TUBU"&amp;VLOOKUP(A2,TBA,7,0),"NONE")</f>
        <v>TUBU80</v>
      </c>
      <c r="C13" s="252">
        <v>8</v>
      </c>
      <c r="D13" s="243" t="str">
        <f>IF(B13&lt;&gt;"",VLOOKUP(B13,R_DG!$A$7:$G$1305,2,0),"")</f>
        <v>T2.8505</v>
      </c>
      <c r="E13" s="253" t="str">
        <f>VLOOKUP(B13,R_DG!$A$7:$G$1305,3,0)</f>
        <v>Tủ tụ bù hạ thế 80kVAr  + bộ điều khiển 8 cấp LCD</v>
      </c>
      <c r="F13" s="243" t="str">
        <f>VLOOKUP(B13,R_DG!$A$7:$G$1305,4,0)</f>
        <v>tủ</v>
      </c>
      <c r="G13" s="254">
        <f>IF(B13&lt;&gt;"NONE",1,0)</f>
        <v>1</v>
      </c>
      <c r="H13" s="255">
        <f>VLOOKUP(B13,R_DG!$A$7:$G$1305,5,0)</f>
        <v>26000000</v>
      </c>
      <c r="I13" s="255">
        <f>VLOOKUP(B13,R_DG!$A$7:$G$1305,6,0)</f>
        <v>39432.484799999998</v>
      </c>
      <c r="J13" s="255">
        <f>VLOOKUP(B13,R_DG!$A$7:$G$1305,7,0)</f>
        <v>12016.099076923076</v>
      </c>
      <c r="K13" s="256">
        <f t="shared" si="0"/>
        <v>26000000</v>
      </c>
      <c r="L13" s="256">
        <f t="shared" si="1"/>
        <v>39432.484799999998</v>
      </c>
      <c r="M13" s="256">
        <f t="shared" si="2"/>
        <v>12016.099076923076</v>
      </c>
      <c r="N13" s="257"/>
      <c r="O13" s="38">
        <f t="shared" si="3"/>
        <v>1</v>
      </c>
      <c r="Q13" s="241"/>
      <c r="R13" s="241"/>
      <c r="S13" s="241"/>
      <c r="T13" s="241"/>
      <c r="U13" s="241"/>
      <c r="V13" s="241"/>
    </row>
    <row r="14" spans="1:22" ht="24.95" customHeight="1">
      <c r="A14" s="182"/>
      <c r="B14" s="228"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8">
        <f t="shared" si="3"/>
        <v>0</v>
      </c>
      <c r="Q14" s="241"/>
      <c r="R14" s="241"/>
      <c r="S14" s="241"/>
      <c r="T14" s="241"/>
      <c r="U14" s="241"/>
      <c r="V14" s="241"/>
    </row>
    <row r="15" spans="1:22" ht="24.95" customHeight="1">
      <c r="A15" s="182" t="s">
        <v>3269</v>
      </c>
      <c r="B15" s="228"/>
      <c r="C15" s="265"/>
      <c r="D15" s="266"/>
      <c r="E15" s="267"/>
      <c r="F15" s="266"/>
      <c r="G15" s="268"/>
      <c r="H15" s="269"/>
      <c r="I15" s="270" t="s">
        <v>2470</v>
      </c>
      <c r="J15" s="270"/>
      <c r="K15" s="271">
        <f>SUM(K6:K14)</f>
        <v>275300500</v>
      </c>
      <c r="L15" s="271">
        <f>SUM(L6:L14)</f>
        <v>4329382.9188000001</v>
      </c>
      <c r="M15" s="271">
        <f>SUM(M6:M14)</f>
        <v>1709290.0936923074</v>
      </c>
      <c r="N15" s="272"/>
      <c r="O15" s="38">
        <v>1</v>
      </c>
      <c r="Q15" s="241"/>
      <c r="R15" s="241"/>
      <c r="S15" s="241"/>
      <c r="T15" s="241"/>
      <c r="U15" s="241"/>
      <c r="V15" s="241"/>
    </row>
    <row r="16" spans="1:22" ht="24.95" customHeight="1">
      <c r="A16" s="182"/>
      <c r="B16" s="228"/>
      <c r="C16" s="248" t="s">
        <v>2454</v>
      </c>
      <c r="D16" s="249"/>
      <c r="E16" s="250"/>
      <c r="F16" s="249"/>
      <c r="G16" s="249"/>
      <c r="H16" s="249"/>
      <c r="I16" s="249"/>
      <c r="J16" s="249"/>
      <c r="K16" s="249"/>
      <c r="L16" s="249"/>
      <c r="M16" s="249"/>
      <c r="N16" s="251"/>
      <c r="O16" s="38">
        <v>1</v>
      </c>
      <c r="Q16" s="241"/>
      <c r="R16" s="241"/>
      <c r="S16" s="241"/>
      <c r="T16" s="241"/>
      <c r="U16" s="241"/>
      <c r="V16" s="241"/>
    </row>
    <row r="17" spans="1:22" ht="24.95" customHeight="1">
      <c r="A17" s="182" t="s">
        <v>2221</v>
      </c>
      <c r="B17" s="228"/>
      <c r="C17" s="302">
        <f>IF(G17&gt;0,1,0)</f>
        <v>0</v>
      </c>
      <c r="D17" s="303" t="str">
        <f>IF(B17&lt;&gt;"",VLOOKUP(B17,R_DG!$A$7:$G$1305,2,0),"")</f>
        <v/>
      </c>
      <c r="E17" s="304" t="s">
        <v>2455</v>
      </c>
      <c r="F17" s="275" t="s">
        <v>163</v>
      </c>
      <c r="G17" s="275"/>
      <c r="H17" s="305"/>
      <c r="I17" s="305"/>
      <c r="J17" s="306"/>
      <c r="K17" s="305">
        <f t="shared" ref="K17:K231" si="4">H17*G17</f>
        <v>0</v>
      </c>
      <c r="L17" s="305">
        <f t="shared" ref="L17:L231" si="5">I17*G17</f>
        <v>0</v>
      </c>
      <c r="M17" s="305">
        <f t="shared" ref="M17:M231" si="6">J17*G17</f>
        <v>0</v>
      </c>
      <c r="N17" s="307"/>
      <c r="O17" s="38">
        <f t="shared" si="3"/>
        <v>0</v>
      </c>
      <c r="Q17" s="241"/>
      <c r="R17" s="241"/>
      <c r="S17" s="241"/>
      <c r="T17" s="241"/>
      <c r="U17" s="241"/>
      <c r="V17" s="241"/>
    </row>
    <row r="18" spans="1:22" ht="24.95" customHeight="1">
      <c r="A18" s="182"/>
      <c r="B18" s="228"/>
      <c r="C18" s="273"/>
      <c r="D18" s="243" t="str">
        <f>IF(B18&lt;&gt;"",VLOOKUP(B18,R_DG!$A$7:$G$1305,2,0),"")</f>
        <v/>
      </c>
      <c r="E18" s="76" t="s">
        <v>2432</v>
      </c>
      <c r="F18" s="274"/>
      <c r="G18" s="274"/>
      <c r="H18" s="256"/>
      <c r="I18" s="256"/>
      <c r="J18" s="255"/>
      <c r="K18" s="256">
        <f t="shared" si="4"/>
        <v>0</v>
      </c>
      <c r="L18" s="256">
        <f t="shared" si="5"/>
        <v>0</v>
      </c>
      <c r="M18" s="256">
        <f t="shared" si="6"/>
        <v>0</v>
      </c>
      <c r="N18" s="257"/>
      <c r="O18" s="38">
        <f t="shared" si="3"/>
        <v>0</v>
      </c>
      <c r="Q18" s="241"/>
      <c r="R18" s="241"/>
      <c r="S18" s="241"/>
      <c r="T18" s="241"/>
      <c r="U18" s="241"/>
      <c r="V18" s="241"/>
    </row>
    <row r="19" spans="1:22" ht="24.95" customHeight="1">
      <c r="A19" s="182"/>
      <c r="B19" s="226" t="s">
        <v>742</v>
      </c>
      <c r="C19" s="274"/>
      <c r="D19" s="243">
        <f>IF(B19&lt;&gt;"",VLOOKUP(B19,R_DG!$A$7:$G$1305,2,0),"")</f>
        <v>0</v>
      </c>
      <c r="E19" s="253" t="str">
        <f>VLOOKUP(B19,R_DG!$A$7:$G$1305,3,0)</f>
        <v>Trụ BTLT 12m F540 dự ứng lực</v>
      </c>
      <c r="F19" s="243" t="str">
        <f>VLOOKUP(B19,R_DG!$A$7:$G$1305,4,0)</f>
        <v>trụ</v>
      </c>
      <c r="G19" s="254">
        <f>G17*1</f>
        <v>0</v>
      </c>
      <c r="H19" s="255">
        <f>VLOOKUP(B19,R_DG!$A$7:$G$1305,5,0)</f>
        <v>4550000</v>
      </c>
      <c r="I19" s="255">
        <f>VLOOKUP(B19,R_DG!$A$7:$G$1305,6,0)</f>
        <v>0</v>
      </c>
      <c r="J19" s="255">
        <f>VLOOKUP(B19,R_DG!$A$7:$G$1305,7,0)</f>
        <v>0</v>
      </c>
      <c r="K19" s="256">
        <f t="shared" si="4"/>
        <v>0</v>
      </c>
      <c r="L19" s="256">
        <f t="shared" si="5"/>
        <v>0</v>
      </c>
      <c r="M19" s="256">
        <f t="shared" si="6"/>
        <v>0</v>
      </c>
      <c r="N19" s="257"/>
      <c r="O19" s="38">
        <f t="shared" si="3"/>
        <v>0</v>
      </c>
      <c r="Q19" s="241"/>
      <c r="R19" s="241"/>
      <c r="S19" s="241"/>
      <c r="T19" s="241"/>
      <c r="U19" s="241"/>
      <c r="V19" s="241"/>
    </row>
    <row r="20" spans="1:22" ht="24.95" customHeight="1">
      <c r="A20" s="182"/>
      <c r="B20" s="226" t="s">
        <v>398</v>
      </c>
      <c r="C20" s="274"/>
      <c r="D20" s="243">
        <f>IF(B20&lt;&gt;"",VLOOKUP(B20,R_DG!$A$7:$G$1305,2,0),"")</f>
        <v>0</v>
      </c>
      <c r="E20" s="253" t="str">
        <f>VLOOKUP(B20,R_DG!$A$7:$G$1305,3,0)</f>
        <v>Vật liệu dựng trụ</v>
      </c>
      <c r="F20" s="243" t="str">
        <f>VLOOKUP(B20,R_DG!$A$7:$G$1305,4,0)</f>
        <v>trụ</v>
      </c>
      <c r="G20" s="254">
        <f>G19</f>
        <v>0</v>
      </c>
      <c r="H20" s="255">
        <f>VLOOKUP(B20,R_DG!$A$7:$G$1305,5,0)</f>
        <v>0</v>
      </c>
      <c r="I20" s="255">
        <f>VLOOKUP(B20,R_DG!$A$7:$G$1305,6,0)</f>
        <v>0</v>
      </c>
      <c r="J20" s="255">
        <f>VLOOKUP(B20,R_DG!$A$7:$G$1305,7,0)</f>
        <v>0</v>
      </c>
      <c r="K20" s="256">
        <f t="shared" si="4"/>
        <v>0</v>
      </c>
      <c r="L20" s="256">
        <f t="shared" si="5"/>
        <v>0</v>
      </c>
      <c r="M20" s="256">
        <f t="shared" si="6"/>
        <v>0</v>
      </c>
      <c r="N20" s="257"/>
      <c r="O20" s="38">
        <f t="shared" si="3"/>
        <v>0</v>
      </c>
      <c r="Q20" s="241"/>
      <c r="R20" s="241"/>
      <c r="S20" s="241"/>
      <c r="T20" s="241"/>
      <c r="U20" s="241"/>
      <c r="V20" s="241"/>
    </row>
    <row r="21" spans="1:22" ht="24.95" customHeight="1">
      <c r="A21" s="182"/>
      <c r="B21" s="226" t="s">
        <v>1175</v>
      </c>
      <c r="C21" s="274"/>
      <c r="D21" s="243" t="str">
        <f>IF(B21&lt;&gt;"",VLOOKUP(B21,R_DG!$A$7:$G$1305,2,0),"")</f>
        <v>04.9203</v>
      </c>
      <c r="E21" s="253" t="str">
        <f>VLOOKUP(B21,R_DG!$A$7:$G$1305,3,0)</f>
        <v>Dựng trụ BTLT 12m trong TBA bằng thủ công + cơ giới</v>
      </c>
      <c r="F21" s="243" t="str">
        <f>VLOOKUP(B21,R_DG!$A$7:$G$1305,4,0)</f>
        <v>trụ</v>
      </c>
      <c r="G21" s="254">
        <f>G20</f>
        <v>0</v>
      </c>
      <c r="H21" s="255">
        <f>VLOOKUP(B21,R_DG!$A$7:$G$1305,5,0)</f>
        <v>0</v>
      </c>
      <c r="I21" s="255">
        <f>VLOOKUP(B21,R_DG!$A$7:$G$1305,6,0)</f>
        <v>405641.28</v>
      </c>
      <c r="J21" s="255">
        <f>VLOOKUP(B21,R_DG!$A$7:$G$1305,7,0)</f>
        <v>1457064.6089510489</v>
      </c>
      <c r="K21" s="256">
        <f t="shared" si="4"/>
        <v>0</v>
      </c>
      <c r="L21" s="256">
        <f t="shared" si="5"/>
        <v>0</v>
      </c>
      <c r="M21" s="256">
        <f t="shared" si="6"/>
        <v>0</v>
      </c>
      <c r="N21" s="257"/>
      <c r="O21" s="38">
        <f t="shared" si="3"/>
        <v>0</v>
      </c>
      <c r="Q21" s="241"/>
      <c r="R21" s="241"/>
      <c r="S21" s="241"/>
      <c r="T21" s="241"/>
      <c r="U21" s="241"/>
      <c r="V21" s="241"/>
    </row>
    <row r="22" spans="1:22" ht="24.95" customHeight="1">
      <c r="A22" s="182" t="s">
        <v>2522</v>
      </c>
      <c r="B22" s="228"/>
      <c r="C22" s="275">
        <f>IF(G22&gt;0,COUNTIF($C$17:C21,"&gt;0")+1,0)</f>
        <v>0</v>
      </c>
      <c r="D22" s="275" t="str">
        <f>IF(B22&lt;&gt;"",VLOOKUP(B22,R_DG!$A$7:$G$1305,2,0),"")</f>
        <v/>
      </c>
      <c r="E22" s="275" t="s">
        <v>2523</v>
      </c>
      <c r="F22" s="275" t="s">
        <v>163</v>
      </c>
      <c r="G22" s="275">
        <f>IF(AND($B$4=3,A4&lt;=100),1,0)</f>
        <v>0</v>
      </c>
      <c r="H22" s="275"/>
      <c r="I22" s="275"/>
      <c r="J22" s="275"/>
      <c r="K22" s="275">
        <f t="shared" si="4"/>
        <v>0</v>
      </c>
      <c r="L22" s="275">
        <f t="shared" si="5"/>
        <v>0</v>
      </c>
      <c r="M22" s="275">
        <f t="shared" si="6"/>
        <v>0</v>
      </c>
      <c r="N22" s="276"/>
      <c r="O22" s="38">
        <f t="shared" si="3"/>
        <v>0</v>
      </c>
      <c r="Q22" s="241"/>
      <c r="R22" s="241"/>
      <c r="S22" s="241"/>
      <c r="T22" s="241"/>
      <c r="U22" s="241"/>
      <c r="V22" s="241"/>
    </row>
    <row r="23" spans="1:22" ht="24.95" customHeight="1">
      <c r="A23" s="182"/>
      <c r="B23" s="228"/>
      <c r="C23" s="273"/>
      <c r="D23" s="243" t="str">
        <f>IF(B23&lt;&gt;"",VLOOKUP(B23,R_DG!$A$7:$G$1305,2,0),"")</f>
        <v/>
      </c>
      <c r="E23" s="76" t="s">
        <v>2432</v>
      </c>
      <c r="F23" s="274"/>
      <c r="G23" s="274"/>
      <c r="H23" s="256"/>
      <c r="I23" s="256"/>
      <c r="J23" s="255"/>
      <c r="K23" s="256">
        <f t="shared" si="4"/>
        <v>0</v>
      </c>
      <c r="L23" s="256">
        <f t="shared" si="5"/>
        <v>0</v>
      </c>
      <c r="M23" s="256">
        <f t="shared" si="6"/>
        <v>0</v>
      </c>
      <c r="N23" s="257"/>
      <c r="O23" s="38">
        <f t="shared" si="3"/>
        <v>0</v>
      </c>
      <c r="Q23" s="239"/>
      <c r="R23" s="239"/>
      <c r="S23" s="239"/>
      <c r="T23" s="239"/>
      <c r="U23" s="239"/>
      <c r="V23" s="239"/>
    </row>
    <row r="24" spans="1:22" ht="24.95" customHeight="1">
      <c r="A24" s="182"/>
      <c r="B24" s="226" t="str">
        <f>IF(AND(B4=3,A4&lt;110),"GTMBA"&amp;A4,"GTMBA25")</f>
        <v>GTMBA25</v>
      </c>
      <c r="C24" s="274"/>
      <c r="D24" s="243" t="str">
        <f>IF(B24&lt;&gt;"",VLOOKUP(B24,R_DG!$A$7:$G$1305,2,0),"")</f>
        <v>D2.6041</v>
      </c>
      <c r="E24" s="253" t="str">
        <f>VLOOKUP(B24,R_DG!$A$7:$G$1305,3,0)</f>
        <v>Gía chùm treo máy biến áp 3x25</v>
      </c>
      <c r="F24" s="243" t="str">
        <f>VLOOKUP(B24,R_DG!$A$7:$G$1305,4,0)</f>
        <v>cái</v>
      </c>
      <c r="G24" s="254">
        <f>G22*1</f>
        <v>0</v>
      </c>
      <c r="H24" s="255">
        <f>VLOOKUP(B24,R_DG!$A$7:$G$1305,5,0)</f>
        <v>752000</v>
      </c>
      <c r="I24" s="255">
        <f>VLOOKUP(B24,R_DG!$A$7:$G$1305,6,0)</f>
        <v>109718.77679999999</v>
      </c>
      <c r="J24" s="255">
        <f>VLOOKUP(B24,R_DG!$A$7:$G$1305,7,0)</f>
        <v>0</v>
      </c>
      <c r="K24" s="256">
        <f t="shared" si="4"/>
        <v>0</v>
      </c>
      <c r="L24" s="256">
        <f t="shared" si="5"/>
        <v>0</v>
      </c>
      <c r="M24" s="256">
        <f t="shared" si="6"/>
        <v>0</v>
      </c>
      <c r="N24" s="257"/>
      <c r="O24" s="38">
        <f t="shared" si="3"/>
        <v>0</v>
      </c>
      <c r="Q24" s="239"/>
      <c r="R24" s="239"/>
      <c r="S24" s="239"/>
      <c r="T24" s="239"/>
      <c r="U24" s="239"/>
      <c r="V24" s="239"/>
    </row>
    <row r="25" spans="1:22" ht="24.95" customHeight="1">
      <c r="A25" s="182"/>
      <c r="B25" s="226" t="s">
        <v>84</v>
      </c>
      <c r="C25" s="274"/>
      <c r="D25" s="243">
        <f>IF(B25&lt;&gt;"",VLOOKUP(B25,R_DG!$A$7:$G$1305,2,0),"")</f>
        <v>0</v>
      </c>
      <c r="E25" s="253" t="str">
        <f>VLOOKUP(B25,R_DG!$A$7:$G$1305,3,0)</f>
        <v>Boulon 16x250+ 2 long đền vuông D18-50x50x3/Zn</v>
      </c>
      <c r="F25" s="243" t="str">
        <f>VLOOKUP(B25,R_DG!$A$7:$G$1305,4,0)</f>
        <v>bộ</v>
      </c>
      <c r="G25" s="254">
        <f>G22*2</f>
        <v>0</v>
      </c>
      <c r="H25" s="255" t="e">
        <f>VLOOKUP(B25,R_DG!$A$7:$G$1305,5,0)</f>
        <v>#REF!</v>
      </c>
      <c r="I25" s="255">
        <f>VLOOKUP(B25,R_DG!$A$7:$G$1305,6,0)</f>
        <v>0</v>
      </c>
      <c r="J25" s="255">
        <f>VLOOKUP(B25,R_DG!$A$7:$G$1305,7,0)</f>
        <v>0</v>
      </c>
      <c r="K25" s="256" t="e">
        <f t="shared" si="4"/>
        <v>#REF!</v>
      </c>
      <c r="L25" s="256">
        <f t="shared" si="5"/>
        <v>0</v>
      </c>
      <c r="M25" s="256">
        <f t="shared" si="6"/>
        <v>0</v>
      </c>
      <c r="N25" s="257"/>
      <c r="O25" s="38">
        <f t="shared" si="3"/>
        <v>0</v>
      </c>
    </row>
    <row r="26" spans="1:22" ht="24.95" customHeight="1">
      <c r="A26" s="182"/>
      <c r="B26" s="226" t="s">
        <v>76</v>
      </c>
      <c r="C26" s="274"/>
      <c r="D26" s="243">
        <f>IF(B26&lt;&gt;"",VLOOKUP(B26,R_DG!$A$7:$G$1305,2,0),"")</f>
        <v>0</v>
      </c>
      <c r="E26" s="253" t="str">
        <f>VLOOKUP(B26,R_DG!$A$7:$G$1305,3,0)</f>
        <v>Boulon 16x50+ 2 long đền vuông D18-50x50x3/Zn</v>
      </c>
      <c r="F26" s="243" t="str">
        <f>VLOOKUP(B26,R_DG!$A$7:$G$1305,4,0)</f>
        <v>bộ</v>
      </c>
      <c r="G26" s="254">
        <f>G22*6</f>
        <v>0</v>
      </c>
      <c r="H26" s="255" t="e">
        <f>VLOOKUP(B26,R_DG!$A$7:$G$1305,5,0)</f>
        <v>#REF!</v>
      </c>
      <c r="I26" s="255">
        <f>VLOOKUP(B26,R_DG!$A$7:$G$1305,6,0)</f>
        <v>0</v>
      </c>
      <c r="J26" s="255">
        <f>VLOOKUP(B26,R_DG!$A$7:$G$1305,7,0)</f>
        <v>0</v>
      </c>
      <c r="K26" s="256" t="e">
        <f t="shared" si="4"/>
        <v>#REF!</v>
      </c>
      <c r="L26" s="256">
        <f t="shared" si="5"/>
        <v>0</v>
      </c>
      <c r="M26" s="256">
        <f t="shared" si="6"/>
        <v>0</v>
      </c>
      <c r="N26" s="257"/>
      <c r="O26" s="38">
        <f t="shared" si="3"/>
        <v>0</v>
      </c>
    </row>
    <row r="27" spans="1:22" ht="24.95" customHeight="1">
      <c r="A27" s="182" t="s">
        <v>2524</v>
      </c>
      <c r="B27" s="228"/>
      <c r="C27" s="275">
        <f>IF(G27&gt;0,COUNTIF($C$17:C26,"&gt;0")+1,0)</f>
        <v>0</v>
      </c>
      <c r="D27" s="275" t="str">
        <f>IF(B27&lt;&gt;"",VLOOKUP(B27,R_DG!$A$7:$G$1305,2,0),"")</f>
        <v/>
      </c>
      <c r="E27" s="275" t="s">
        <v>2525</v>
      </c>
      <c r="F27" s="275" t="s">
        <v>163</v>
      </c>
      <c r="G27" s="275">
        <f>IF(B4=1,1,0)</f>
        <v>0</v>
      </c>
      <c r="H27" s="275"/>
      <c r="I27" s="275"/>
      <c r="J27" s="275"/>
      <c r="K27" s="275">
        <f t="shared" si="4"/>
        <v>0</v>
      </c>
      <c r="L27" s="275">
        <f t="shared" si="5"/>
        <v>0</v>
      </c>
      <c r="M27" s="275">
        <f t="shared" si="6"/>
        <v>0</v>
      </c>
      <c r="N27" s="276"/>
      <c r="O27" s="38">
        <f t="shared" si="3"/>
        <v>0</v>
      </c>
    </row>
    <row r="28" spans="1:22" ht="24.95" customHeight="1">
      <c r="A28" s="182"/>
      <c r="B28" s="228"/>
      <c r="C28" s="273"/>
      <c r="D28" s="243" t="str">
        <f>IF(B28&lt;&gt;"",VLOOKUP(B28,R_DG!$A$7:$G$1305,2,0),"")</f>
        <v/>
      </c>
      <c r="E28" s="76" t="s">
        <v>2432</v>
      </c>
      <c r="F28" s="274"/>
      <c r="G28" s="274"/>
      <c r="H28" s="256"/>
      <c r="I28" s="256"/>
      <c r="J28" s="255"/>
      <c r="K28" s="256">
        <f t="shared" si="4"/>
        <v>0</v>
      </c>
      <c r="L28" s="256">
        <f t="shared" si="5"/>
        <v>0</v>
      </c>
      <c r="M28" s="256">
        <f t="shared" si="6"/>
        <v>0</v>
      </c>
      <c r="N28" s="257"/>
      <c r="O28" s="38">
        <f t="shared" si="3"/>
        <v>0</v>
      </c>
    </row>
    <row r="29" spans="1:22" ht="24.95" customHeight="1">
      <c r="A29" s="182"/>
      <c r="B29" s="226" t="s">
        <v>84</v>
      </c>
      <c r="C29" s="274"/>
      <c r="D29" s="243">
        <f>IF(B29&lt;&gt;"",VLOOKUP(B29,R_DG!$A$7:$G$1305,2,0),"")</f>
        <v>0</v>
      </c>
      <c r="E29" s="253" t="str">
        <f>VLOOKUP(B29,R_DG!$A$7:$G$1305,3,0)</f>
        <v>Boulon 16x250+ 2 long đền vuông D18-50x50x3/Zn</v>
      </c>
      <c r="F29" s="243" t="str">
        <f>VLOOKUP(B29,R_DG!$A$7:$G$1305,4,0)</f>
        <v>bộ</v>
      </c>
      <c r="G29" s="254">
        <f>G27*2</f>
        <v>0</v>
      </c>
      <c r="H29" s="255" t="e">
        <f>VLOOKUP(B29,R_DG!$A$7:$G$1305,5,0)</f>
        <v>#REF!</v>
      </c>
      <c r="I29" s="255">
        <f>VLOOKUP(B29,R_DG!$A$7:$G$1305,6,0)</f>
        <v>0</v>
      </c>
      <c r="J29" s="255">
        <f>VLOOKUP(B29,R_DG!$A$7:$G$1305,7,0)</f>
        <v>0</v>
      </c>
      <c r="K29" s="256" t="e">
        <f t="shared" si="4"/>
        <v>#REF!</v>
      </c>
      <c r="L29" s="256">
        <f t="shared" si="5"/>
        <v>0</v>
      </c>
      <c r="M29" s="256">
        <f t="shared" si="6"/>
        <v>0</v>
      </c>
      <c r="N29" s="257"/>
      <c r="O29" s="38">
        <f t="shared" si="3"/>
        <v>0</v>
      </c>
    </row>
    <row r="30" spans="1:22" ht="24.95" customHeight="1">
      <c r="A30" s="182"/>
      <c r="B30" s="226" t="s">
        <v>398</v>
      </c>
      <c r="C30" s="274"/>
      <c r="D30" s="243">
        <f>IF(B30&lt;&gt;"",VLOOKUP(B30,R_DG!$A$7:$G$1305,2,0),"")</f>
        <v>0</v>
      </c>
      <c r="E30" s="253" t="str">
        <f>VLOOKUP(B30,R_DG!$A$7:$G$1305,3,0)</f>
        <v>Vật liệu dựng trụ</v>
      </c>
      <c r="F30" s="243" t="str">
        <f>VLOOKUP(B30,R_DG!$A$7:$G$1305,4,0)</f>
        <v>trụ</v>
      </c>
      <c r="G30" s="254"/>
      <c r="H30" s="255">
        <f>VLOOKUP(B30,R_DG!$A$7:$G$1305,5,0)</f>
        <v>0</v>
      </c>
      <c r="I30" s="255">
        <f>VLOOKUP(B30,R_DG!$A$7:$G$1305,6,0)</f>
        <v>0</v>
      </c>
      <c r="J30" s="255">
        <f>VLOOKUP(B30,R_DG!$A$7:$G$1305,7,0)</f>
        <v>0</v>
      </c>
      <c r="K30" s="256">
        <f t="shared" si="4"/>
        <v>0</v>
      </c>
      <c r="L30" s="256">
        <f t="shared" si="5"/>
        <v>0</v>
      </c>
      <c r="M30" s="256">
        <f t="shared" si="6"/>
        <v>0</v>
      </c>
      <c r="N30" s="257"/>
      <c r="O30" s="38">
        <f t="shared" si="3"/>
        <v>0</v>
      </c>
    </row>
    <row r="31" spans="1:22" ht="24.95" customHeight="1">
      <c r="A31" s="182"/>
      <c r="B31" s="226" t="s">
        <v>1175</v>
      </c>
      <c r="C31" s="274"/>
      <c r="D31" s="243" t="str">
        <f>IF(B31&lt;&gt;"",VLOOKUP(B31,R_DG!$A$7:$G$1305,2,0),"")</f>
        <v>04.9203</v>
      </c>
      <c r="E31" s="253" t="str">
        <f>VLOOKUP(B31,R_DG!$A$7:$G$1305,3,0)</f>
        <v>Dựng trụ BTLT 12m trong TBA bằng thủ công + cơ giới</v>
      </c>
      <c r="F31" s="243" t="str">
        <f>VLOOKUP(B31,R_DG!$A$7:$G$1305,4,0)</f>
        <v>trụ</v>
      </c>
      <c r="G31" s="254"/>
      <c r="H31" s="255">
        <f>VLOOKUP(B31,R_DG!$A$7:$G$1305,5,0)</f>
        <v>0</v>
      </c>
      <c r="I31" s="255">
        <f>VLOOKUP(B31,R_DG!$A$7:$G$1305,6,0)</f>
        <v>405641.28</v>
      </c>
      <c r="J31" s="255">
        <f>VLOOKUP(B31,R_DG!$A$7:$G$1305,7,0)</f>
        <v>1457064.6089510489</v>
      </c>
      <c r="K31" s="256">
        <f t="shared" si="4"/>
        <v>0</v>
      </c>
      <c r="L31" s="256">
        <f t="shared" si="5"/>
        <v>0</v>
      </c>
      <c r="M31" s="256">
        <f t="shared" si="6"/>
        <v>0</v>
      </c>
      <c r="N31" s="257"/>
      <c r="O31" s="38">
        <f t="shared" si="3"/>
        <v>0</v>
      </c>
    </row>
    <row r="32" spans="1:22" ht="24.95" customHeight="1">
      <c r="A32" s="182" t="s">
        <v>2168</v>
      </c>
      <c r="B32" s="228"/>
      <c r="C32" s="275">
        <f>IF(G32&gt;0,COUNTIF($C$17:C31,"&gt;0")+1,0)</f>
        <v>0</v>
      </c>
      <c r="D32" s="275" t="str">
        <f>IF(B32&lt;&gt;"",VLOOKUP(B32,R_DG!$A$7:$G$1305,2,0),"")</f>
        <v/>
      </c>
      <c r="E32" s="275" t="s">
        <v>2169</v>
      </c>
      <c r="F32" s="275" t="s">
        <v>163</v>
      </c>
      <c r="G32" s="275">
        <f>G17</f>
        <v>0</v>
      </c>
      <c r="H32" s="275"/>
      <c r="I32" s="275"/>
      <c r="J32" s="275"/>
      <c r="K32" s="275">
        <f t="shared" si="4"/>
        <v>0</v>
      </c>
      <c r="L32" s="275">
        <f t="shared" si="5"/>
        <v>0</v>
      </c>
      <c r="M32" s="275">
        <f t="shared" si="6"/>
        <v>0</v>
      </c>
      <c r="N32" s="276"/>
      <c r="O32" s="38">
        <f t="shared" si="3"/>
        <v>0</v>
      </c>
    </row>
    <row r="33" spans="1:15" ht="24.95" customHeight="1">
      <c r="A33" s="182"/>
      <c r="B33" s="228"/>
      <c r="C33" s="273"/>
      <c r="D33" s="243" t="str">
        <f>IF(B33&lt;&gt;"",VLOOKUP(B33,R_DG!$A$7:$G$1305,2,0),"")</f>
        <v/>
      </c>
      <c r="E33" s="76" t="s">
        <v>2432</v>
      </c>
      <c r="F33" s="274"/>
      <c r="G33" s="274"/>
      <c r="H33" s="256"/>
      <c r="I33" s="256"/>
      <c r="J33" s="255"/>
      <c r="K33" s="256">
        <f t="shared" si="4"/>
        <v>0</v>
      </c>
      <c r="L33" s="256">
        <f t="shared" si="5"/>
        <v>0</v>
      </c>
      <c r="M33" s="256">
        <f t="shared" si="6"/>
        <v>0</v>
      </c>
      <c r="N33" s="257"/>
      <c r="O33" s="38">
        <f t="shared" si="3"/>
        <v>0</v>
      </c>
    </row>
    <row r="34" spans="1:15" ht="24.95" customHeight="1">
      <c r="A34" s="182"/>
      <c r="B34" s="227" t="s">
        <v>2149</v>
      </c>
      <c r="C34" s="274"/>
      <c r="D34" s="243" t="str">
        <f>IF(B34&lt;&gt;"",VLOOKUP(B34,R_DG!$A$7:$G$1305,2,0),"")</f>
        <v>04.3801</v>
      </c>
      <c r="E34" s="253" t="str">
        <f>VLOOKUP(B34,R_DG!$A$7:$G$1305,3,0)</f>
        <v>Đà cản BTCT 1,2m</v>
      </c>
      <c r="F34" s="243" t="str">
        <f>VLOOKUP(B34,R_DG!$A$7:$G$1305,4,0)</f>
        <v>cái</v>
      </c>
      <c r="G34" s="254">
        <f>G32*1</f>
        <v>0</v>
      </c>
      <c r="H34" s="255">
        <f>VLOOKUP(B34,R_DG!$A$7:$G$1305,5,0)</f>
        <v>650000</v>
      </c>
      <c r="I34" s="255">
        <f>VLOOKUP(B34,R_DG!$A$7:$G$1305,6,0)</f>
        <v>161119.20000000001</v>
      </c>
      <c r="J34" s="255">
        <f>VLOOKUP(B34,R_DG!$A$7:$G$1305,7,0)</f>
        <v>0</v>
      </c>
      <c r="K34" s="256">
        <f t="shared" si="4"/>
        <v>0</v>
      </c>
      <c r="L34" s="256">
        <f t="shared" si="5"/>
        <v>0</v>
      </c>
      <c r="M34" s="256">
        <f t="shared" si="6"/>
        <v>0</v>
      </c>
      <c r="N34" s="257"/>
      <c r="O34" s="38">
        <f t="shared" si="3"/>
        <v>0</v>
      </c>
    </row>
    <row r="35" spans="1:15" ht="24.95" customHeight="1">
      <c r="A35" s="182"/>
      <c r="B35" s="227" t="s">
        <v>2165</v>
      </c>
      <c r="C35" s="274"/>
      <c r="D35" s="243">
        <f>IF(B35&lt;&gt;"",VLOOKUP(B35,R_DG!$A$7:$G$1305,2,0),"")</f>
        <v>0</v>
      </c>
      <c r="E35" s="253" t="str">
        <f>VLOOKUP(B35,R_DG!$A$7:$G$1305,3,0)</f>
        <v>Boulon 22x650+ 2 long đền vuông D24-50x50x3/Zn</v>
      </c>
      <c r="F35" s="243" t="str">
        <f>VLOOKUP(B35,R_DG!$A$7:$G$1305,4,0)</f>
        <v>bộ</v>
      </c>
      <c r="G35" s="254">
        <f>G34</f>
        <v>0</v>
      </c>
      <c r="H35" s="255" t="e">
        <f>VLOOKUP(B35,R_DG!$A$7:$G$1305,5,0)</f>
        <v>#REF!</v>
      </c>
      <c r="I35" s="255">
        <f>VLOOKUP(B35,R_DG!$A$7:$G$1305,6,0)</f>
        <v>0</v>
      </c>
      <c r="J35" s="255">
        <f>VLOOKUP(B35,R_DG!$A$7:$G$1305,7,0)</f>
        <v>0</v>
      </c>
      <c r="K35" s="256" t="e">
        <f t="shared" si="4"/>
        <v>#REF!</v>
      </c>
      <c r="L35" s="256">
        <f t="shared" si="5"/>
        <v>0</v>
      </c>
      <c r="M35" s="256">
        <f t="shared" si="6"/>
        <v>0</v>
      </c>
      <c r="N35" s="257"/>
      <c r="O35" s="38">
        <f t="shared" si="3"/>
        <v>0</v>
      </c>
    </row>
    <row r="36" spans="1:15" ht="24.95" customHeight="1">
      <c r="A36" s="182"/>
      <c r="B36" s="227" t="s">
        <v>818</v>
      </c>
      <c r="C36" s="274"/>
      <c r="D36" s="243" t="str">
        <f>IF(B36&lt;&gt;"",VLOOKUP(B36,R_DG!$A$7:$G$1305,2,0),"")</f>
        <v>AB.11400</v>
      </c>
      <c r="E36" s="253" t="str">
        <f>VLOOKUP(B36,R_DG!$A$7:$G$1305,3,0)</f>
        <v>Đào hố móng đất cấp 3 sâu &gt;1m, rộng &lt;1m</v>
      </c>
      <c r="F36" s="243" t="str">
        <f>VLOOKUP(B36,R_DG!$A$7:$G$1305,4,0)</f>
        <v>m3</v>
      </c>
      <c r="G36" s="277">
        <f>0.395*G32</f>
        <v>0</v>
      </c>
      <c r="H36" s="255">
        <f>VLOOKUP(B36,R_DG!$A$7:$G$1305,5,0)</f>
        <v>0</v>
      </c>
      <c r="I36" s="255">
        <f>VLOOKUP(B36,R_DG!$A$7:$G$1305,6,0)</f>
        <v>418738.31999999995</v>
      </c>
      <c r="J36" s="255">
        <f>VLOOKUP(B36,R_DG!$A$7:$G$1305,7,0)</f>
        <v>0</v>
      </c>
      <c r="K36" s="256">
        <f t="shared" si="4"/>
        <v>0</v>
      </c>
      <c r="L36" s="256">
        <f t="shared" si="5"/>
        <v>0</v>
      </c>
      <c r="M36" s="256">
        <f t="shared" si="6"/>
        <v>0</v>
      </c>
      <c r="N36" s="257"/>
      <c r="O36" s="38">
        <f t="shared" si="3"/>
        <v>0</v>
      </c>
    </row>
    <row r="37" spans="1:15" ht="24.95" customHeight="1">
      <c r="A37" s="182"/>
      <c r="B37" s="227" t="s">
        <v>831</v>
      </c>
      <c r="C37" s="274"/>
      <c r="D37" s="243" t="str">
        <f>IF(B37&lt;&gt;"",VLOOKUP(B37,R_DG!$A$7:$G$1305,2,0),"")</f>
        <v>AB.13000</v>
      </c>
      <c r="E37" s="253" t="str">
        <f>VLOOKUP(B37,R_DG!$A$7:$G$1305,3,0)</f>
        <v>Đắp đất hố móng, đất cấp 3, k = 0,85</v>
      </c>
      <c r="F37" s="243" t="str">
        <f>VLOOKUP(B37,R_DG!$A$7:$G$1305,4,0)</f>
        <v>m3</v>
      </c>
      <c r="G37" s="277">
        <f>0.126*G32</f>
        <v>0</v>
      </c>
      <c r="H37" s="255">
        <f>VLOOKUP(B37,R_DG!$A$7:$G$1305,5,0)</f>
        <v>0</v>
      </c>
      <c r="I37" s="255">
        <f>VLOOKUP(B37,R_DG!$A$7:$G$1305,6,0)</f>
        <v>100210.88</v>
      </c>
      <c r="J37" s="255">
        <f>VLOOKUP(B37,R_DG!$A$7:$G$1305,7,0)</f>
        <v>0</v>
      </c>
      <c r="K37" s="256">
        <f t="shared" si="4"/>
        <v>0</v>
      </c>
      <c r="L37" s="256">
        <f t="shared" si="5"/>
        <v>0</v>
      </c>
      <c r="M37" s="256">
        <f t="shared" si="6"/>
        <v>0</v>
      </c>
      <c r="N37" s="257"/>
      <c r="O37" s="38">
        <f t="shared" si="3"/>
        <v>0</v>
      </c>
    </row>
    <row r="38" spans="1:15" ht="24.95" customHeight="1">
      <c r="A38" s="182" t="s">
        <v>2479</v>
      </c>
      <c r="B38" s="228"/>
      <c r="C38" s="275">
        <f>IF(G38&gt;0,COUNTIF($C$17:C37,"&gt;0")+1,0)</f>
        <v>0</v>
      </c>
      <c r="D38" s="275" t="str">
        <f>IF(B38&lt;&gt;"",VLOOKUP(B38,R_DG!$A$7:$G$1305,2,0),"")</f>
        <v/>
      </c>
      <c r="E38" s="275" t="s">
        <v>2494</v>
      </c>
      <c r="F38" s="275" t="s">
        <v>163</v>
      </c>
      <c r="G38" s="275"/>
      <c r="H38" s="275"/>
      <c r="I38" s="275"/>
      <c r="J38" s="275"/>
      <c r="K38" s="275">
        <f t="shared" si="4"/>
        <v>0</v>
      </c>
      <c r="L38" s="275">
        <f t="shared" si="5"/>
        <v>0</v>
      </c>
      <c r="M38" s="275">
        <f t="shared" si="6"/>
        <v>0</v>
      </c>
      <c r="N38" s="276"/>
      <c r="O38" s="38">
        <f t="shared" si="3"/>
        <v>0</v>
      </c>
    </row>
    <row r="39" spans="1:15" ht="24.95" customHeight="1">
      <c r="A39" s="182"/>
      <c r="B39" s="228"/>
      <c r="C39" s="273"/>
      <c r="D39" s="243" t="str">
        <f>IF(B39&lt;&gt;"",VLOOKUP(B39,R_DG!$A$7:$G$1305,2,0),"")</f>
        <v/>
      </c>
      <c r="E39" s="77" t="s">
        <v>2432</v>
      </c>
      <c r="F39" s="274"/>
      <c r="G39" s="274"/>
      <c r="H39" s="256"/>
      <c r="I39" s="256"/>
      <c r="J39" s="255"/>
      <c r="K39" s="256">
        <f t="shared" si="4"/>
        <v>0</v>
      </c>
      <c r="L39" s="256">
        <f t="shared" si="5"/>
        <v>0</v>
      </c>
      <c r="M39" s="256">
        <f t="shared" si="6"/>
        <v>0</v>
      </c>
      <c r="N39" s="257"/>
      <c r="O39" s="38">
        <f t="shared" si="3"/>
        <v>0</v>
      </c>
    </row>
    <row r="40" spans="1:15" ht="24.95" customHeight="1">
      <c r="A40" s="182"/>
      <c r="B40" s="228" t="s">
        <v>2456</v>
      </c>
      <c r="C40" s="274"/>
      <c r="D40" s="243">
        <f>IF(B40&lt;&gt;"",VLOOKUP(B40,R_DG!$A$7:$G$1305,2,0),"")</f>
        <v>0</v>
      </c>
      <c r="E40" s="253" t="str">
        <f>VLOOKUP(B40,R_DG!$A$7:$G$1305,3,0)</f>
        <v>Giá chữ "T" lắp FCO, LA (V50x50x5)</v>
      </c>
      <c r="F40" s="243" t="str">
        <f>VLOOKUP(B40,R_DG!$A$7:$G$1305,4,0)</f>
        <v>cái</v>
      </c>
      <c r="G40" s="254">
        <f>G$38*1</f>
        <v>0</v>
      </c>
      <c r="H40" s="255">
        <f>VLOOKUP(B40,R_DG!$A$7:$G$1305,5,0)</f>
        <v>28941</v>
      </c>
      <c r="I40" s="255">
        <f>VLOOKUP(B40,R_DG!$A$7:$G$1305,6,0)</f>
        <v>0</v>
      </c>
      <c r="J40" s="255">
        <f>VLOOKUP(B40,R_DG!$A$7:$G$1305,7,0)</f>
        <v>0</v>
      </c>
      <c r="K40" s="256">
        <f t="shared" si="4"/>
        <v>0</v>
      </c>
      <c r="L40" s="256">
        <f t="shared" si="5"/>
        <v>0</v>
      </c>
      <c r="M40" s="256">
        <f t="shared" si="6"/>
        <v>0</v>
      </c>
      <c r="N40" s="257"/>
      <c r="O40" s="38">
        <f t="shared" si="3"/>
        <v>0</v>
      </c>
    </row>
    <row r="41" spans="1:15" ht="24.95" customHeight="1">
      <c r="A41" s="182"/>
      <c r="B41" s="228" t="s">
        <v>2475</v>
      </c>
      <c r="C41" s="274"/>
      <c r="D41" s="243">
        <f>IF(B41&lt;&gt;"",VLOOKUP(B41,R_DG!$A$7:$G$1305,2,0),"")</f>
        <v>0</v>
      </c>
      <c r="E41" s="253" t="str">
        <f>VLOOKUP(B41,R_DG!$A$7:$G$1305,3,0)</f>
        <v>Bass LL bắt FCO và LA</v>
      </c>
      <c r="F41" s="243" t="str">
        <f>VLOOKUP(B41,R_DG!$A$7:$G$1305,4,0)</f>
        <v>bộ</v>
      </c>
      <c r="G41" s="254">
        <f>G$38*1</f>
        <v>0</v>
      </c>
      <c r="H41" s="255">
        <f>VLOOKUP(B41,R_DG!$A$7:$G$1305,5,0)</f>
        <v>59000</v>
      </c>
      <c r="I41" s="255">
        <f>VLOOKUP(B41,R_DG!$A$7:$G$1305,6,0)</f>
        <v>0</v>
      </c>
      <c r="J41" s="255">
        <f>VLOOKUP(B41,R_DG!$A$7:$G$1305,7,0)</f>
        <v>0</v>
      </c>
      <c r="K41" s="256">
        <f t="shared" si="4"/>
        <v>0</v>
      </c>
      <c r="L41" s="256">
        <f t="shared" si="5"/>
        <v>0</v>
      </c>
      <c r="M41" s="256">
        <f t="shared" si="6"/>
        <v>0</v>
      </c>
      <c r="N41" s="257"/>
      <c r="O41" s="38">
        <f t="shared" si="3"/>
        <v>0</v>
      </c>
    </row>
    <row r="42" spans="1:15" ht="24.95" customHeight="1">
      <c r="A42" s="182"/>
      <c r="B42" s="228" t="s">
        <v>86</v>
      </c>
      <c r="C42" s="274"/>
      <c r="D42" s="243">
        <f>IF(B42&lt;&gt;"",VLOOKUP(B42,R_DG!$A$7:$G$1305,2,0),"")</f>
        <v>0</v>
      </c>
      <c r="E42" s="253" t="str">
        <f>VLOOKUP(B42,R_DG!$A$7:$G$1305,3,0)</f>
        <v>Boulon 16x300+ 2 long đền vuông D18-50x50x3/Zn</v>
      </c>
      <c r="F42" s="243" t="str">
        <f>VLOOKUP(B42,R_DG!$A$7:$G$1305,4,0)</f>
        <v>bộ</v>
      </c>
      <c r="G42" s="254">
        <f>G$38*2</f>
        <v>0</v>
      </c>
      <c r="H42" s="255" t="e">
        <f>VLOOKUP(B42,R_DG!$A$7:$G$1305,5,0)</f>
        <v>#REF!</v>
      </c>
      <c r="I42" s="255">
        <f>VLOOKUP(B42,R_DG!$A$7:$G$1305,6,0)</f>
        <v>0</v>
      </c>
      <c r="J42" s="255">
        <f>VLOOKUP(B42,R_DG!$A$7:$G$1305,7,0)</f>
        <v>0</v>
      </c>
      <c r="K42" s="256" t="e">
        <f t="shared" si="4"/>
        <v>#REF!</v>
      </c>
      <c r="L42" s="256">
        <f t="shared" si="5"/>
        <v>0</v>
      </c>
      <c r="M42" s="256">
        <f t="shared" si="6"/>
        <v>0</v>
      </c>
      <c r="N42" s="257"/>
      <c r="O42" s="38">
        <f t="shared" si="3"/>
        <v>0</v>
      </c>
    </row>
    <row r="43" spans="1:15" ht="24.95" customHeight="1">
      <c r="A43" s="182"/>
      <c r="B43" s="228" t="s">
        <v>52</v>
      </c>
      <c r="C43" s="274"/>
      <c r="D43" s="243">
        <f>IF(B43&lt;&gt;"",VLOOKUP(B43,R_DG!$A$7:$G$1305,2,0),"")</f>
        <v>0</v>
      </c>
      <c r="E43" s="253" t="str">
        <f>VLOOKUP(B43,R_DG!$A$7:$G$1305,3,0)</f>
        <v>Boulon 12x50+ 2 long đền vuông D14-50x50x3/Zn</v>
      </c>
      <c r="F43" s="243" t="str">
        <f>VLOOKUP(B43,R_DG!$A$7:$G$1305,4,0)</f>
        <v>bộ</v>
      </c>
      <c r="G43" s="254">
        <f>G$38*2</f>
        <v>0</v>
      </c>
      <c r="H43" s="255">
        <f>VLOOKUP(B43,R_DG!$A$7:$G$1305,5,0)</f>
        <v>1700</v>
      </c>
      <c r="I43" s="255">
        <f>VLOOKUP(B43,R_DG!$A$7:$G$1305,6,0)</f>
        <v>0</v>
      </c>
      <c r="J43" s="255">
        <f>VLOOKUP(B43,R_DG!$A$7:$G$1305,7,0)</f>
        <v>0</v>
      </c>
      <c r="K43" s="256">
        <f t="shared" si="4"/>
        <v>0</v>
      </c>
      <c r="L43" s="256">
        <f t="shared" si="5"/>
        <v>0</v>
      </c>
      <c r="M43" s="256">
        <f t="shared" si="6"/>
        <v>0</v>
      </c>
      <c r="N43" s="257"/>
      <c r="O43" s="38">
        <f t="shared" si="3"/>
        <v>0</v>
      </c>
    </row>
    <row r="44" spans="1:15" ht="24.95" customHeight="1">
      <c r="A44" s="182" t="s">
        <v>2480</v>
      </c>
      <c r="B44" s="228"/>
      <c r="C44" s="275">
        <f>IF(G44&gt;0,COUNTIF($C$17:C43,"&gt;0")+1,0)</f>
        <v>0</v>
      </c>
      <c r="D44" s="275" t="str">
        <f>IF(B44&lt;&gt;"",VLOOKUP(B44,R_DG!$A$7:$G$1305,2,0),"")</f>
        <v/>
      </c>
      <c r="E44" s="275" t="s">
        <v>2492</v>
      </c>
      <c r="F44" s="275" t="s">
        <v>163</v>
      </c>
      <c r="G44" s="275">
        <f>IF(B4=1,1,0)</f>
        <v>0</v>
      </c>
      <c r="H44" s="275"/>
      <c r="I44" s="275"/>
      <c r="J44" s="275"/>
      <c r="K44" s="275">
        <f t="shared" si="4"/>
        <v>0</v>
      </c>
      <c r="L44" s="275">
        <f t="shared" si="5"/>
        <v>0</v>
      </c>
      <c r="M44" s="275">
        <f t="shared" si="6"/>
        <v>0</v>
      </c>
      <c r="N44" s="276"/>
      <c r="O44" s="38">
        <f t="shared" si="3"/>
        <v>0</v>
      </c>
    </row>
    <row r="45" spans="1:15" ht="24.95" customHeight="1">
      <c r="A45" s="182"/>
      <c r="B45" s="228"/>
      <c r="C45" s="273"/>
      <c r="D45" s="243" t="str">
        <f>IF(B45&lt;&gt;"",VLOOKUP(B45,R_DG!$A$7:$G$1305,2,0),"")</f>
        <v/>
      </c>
      <c r="E45" s="77" t="s">
        <v>2432</v>
      </c>
      <c r="F45" s="274"/>
      <c r="G45" s="274"/>
      <c r="H45" s="256"/>
      <c r="I45" s="256"/>
      <c r="J45" s="255"/>
      <c r="K45" s="256">
        <f t="shared" si="4"/>
        <v>0</v>
      </c>
      <c r="L45" s="256">
        <f t="shared" si="5"/>
        <v>0</v>
      </c>
      <c r="M45" s="256">
        <f t="shared" si="6"/>
        <v>0</v>
      </c>
      <c r="N45" s="257"/>
      <c r="O45" s="38">
        <f t="shared" si="3"/>
        <v>0</v>
      </c>
    </row>
    <row r="46" spans="1:15" ht="24.95" customHeight="1">
      <c r="A46" s="182"/>
      <c r="B46" s="228" t="s">
        <v>2471</v>
      </c>
      <c r="C46" s="274"/>
      <c r="D46" s="243" t="str">
        <f>IF(B46&lt;&gt;"",VLOOKUP(B46,R_DG!$A$7:$G$1305,2,0),"")</f>
        <v>D2.6011</v>
      </c>
      <c r="E46" s="253" t="str">
        <f>VLOOKUP(B46,R_DG!$A$7:$G$1305,3,0)</f>
        <v>Đà hộp composit L110x80x800</v>
      </c>
      <c r="F46" s="243" t="str">
        <f>VLOOKUP(B46,R_DG!$A$7:$G$1305,4,0)</f>
        <v>cái</v>
      </c>
      <c r="G46" s="254">
        <f>G$44*1</f>
        <v>0</v>
      </c>
      <c r="H46" s="255">
        <f>VLOOKUP(B46,R_DG!$A$7:$G$1305,5,0)</f>
        <v>320000</v>
      </c>
      <c r="I46" s="255">
        <f>VLOOKUP(B46,R_DG!$A$7:$G$1305,6,0)</f>
        <v>187723.35</v>
      </c>
      <c r="J46" s="255">
        <f>VLOOKUP(B46,R_DG!$A$7:$G$1305,7,0)</f>
        <v>0</v>
      </c>
      <c r="K46" s="256">
        <f t="shared" si="4"/>
        <v>0</v>
      </c>
      <c r="L46" s="256">
        <f t="shared" si="5"/>
        <v>0</v>
      </c>
      <c r="M46" s="256">
        <f t="shared" si="6"/>
        <v>0</v>
      </c>
      <c r="N46" s="257"/>
      <c r="O46" s="38">
        <f t="shared" si="3"/>
        <v>0</v>
      </c>
    </row>
    <row r="47" spans="1:15" ht="24.95" customHeight="1">
      <c r="A47" s="182"/>
      <c r="B47" s="228" t="s">
        <v>2472</v>
      </c>
      <c r="C47" s="274"/>
      <c r="D47" s="243">
        <f>IF(B47&lt;&gt;"",VLOOKUP(B47,R_DG!$A$7:$G$1305,2,0),"")</f>
        <v>0</v>
      </c>
      <c r="E47" s="253" t="str">
        <f>VLOOKUP(B47,R_DG!$A$7:$G$1305,3,0)</f>
        <v>Thanh chống L10x60x710</v>
      </c>
      <c r="F47" s="243" t="str">
        <f>VLOOKUP(B47,R_DG!$A$7:$G$1305,4,0)</f>
        <v>cái</v>
      </c>
      <c r="G47" s="254">
        <f>G$44*1</f>
        <v>0</v>
      </c>
      <c r="H47" s="255">
        <f>VLOOKUP(B47,R_DG!$A$7:$G$1305,5,0)</f>
        <v>110000</v>
      </c>
      <c r="I47" s="255">
        <f>VLOOKUP(B47,R_DG!$A$7:$G$1305,6,0)</f>
        <v>0</v>
      </c>
      <c r="J47" s="255">
        <f>VLOOKUP(B47,R_DG!$A$7:$G$1305,7,0)</f>
        <v>0</v>
      </c>
      <c r="K47" s="256">
        <f t="shared" si="4"/>
        <v>0</v>
      </c>
      <c r="L47" s="256">
        <f t="shared" si="5"/>
        <v>0</v>
      </c>
      <c r="M47" s="256">
        <f t="shared" si="6"/>
        <v>0</v>
      </c>
      <c r="N47" s="257"/>
      <c r="O47" s="38">
        <f t="shared" si="3"/>
        <v>0</v>
      </c>
    </row>
    <row r="48" spans="1:15" ht="24.95" customHeight="1">
      <c r="A48" s="182"/>
      <c r="B48" s="228" t="s">
        <v>2475</v>
      </c>
      <c r="C48" s="274"/>
      <c r="D48" s="243">
        <f>IF(B48&lt;&gt;"",VLOOKUP(B48,R_DG!$A$7:$G$1305,2,0),"")</f>
        <v>0</v>
      </c>
      <c r="E48" s="253" t="str">
        <f>VLOOKUP(B48,R_DG!$A$7:$G$1305,3,0)</f>
        <v>Bass LL bắt FCO và LA</v>
      </c>
      <c r="F48" s="243" t="str">
        <f>VLOOKUP(B48,R_DG!$A$7:$G$1305,4,0)</f>
        <v>bộ</v>
      </c>
      <c r="G48" s="254">
        <f>G$44*1</f>
        <v>0</v>
      </c>
      <c r="H48" s="255">
        <f>VLOOKUP(B48,R_DG!$A$7:$G$1305,5,0)</f>
        <v>59000</v>
      </c>
      <c r="I48" s="255">
        <f>VLOOKUP(B48,R_DG!$A$7:$G$1305,6,0)</f>
        <v>0</v>
      </c>
      <c r="J48" s="255">
        <f>VLOOKUP(B48,R_DG!$A$7:$G$1305,7,0)</f>
        <v>0</v>
      </c>
      <c r="K48" s="256">
        <f t="shared" si="4"/>
        <v>0</v>
      </c>
      <c r="L48" s="256">
        <f t="shared" si="5"/>
        <v>0</v>
      </c>
      <c r="M48" s="256">
        <f t="shared" si="6"/>
        <v>0</v>
      </c>
      <c r="N48" s="257"/>
      <c r="O48" s="38">
        <f t="shared" si="3"/>
        <v>0</v>
      </c>
    </row>
    <row r="49" spans="1:15" ht="24.95" customHeight="1">
      <c r="A49" s="182"/>
      <c r="B49" s="228" t="s">
        <v>86</v>
      </c>
      <c r="C49" s="274"/>
      <c r="D49" s="243">
        <f>IF(B49&lt;&gt;"",VLOOKUP(B49,R_DG!$A$7:$G$1305,2,0),"")</f>
        <v>0</v>
      </c>
      <c r="E49" s="253" t="str">
        <f>VLOOKUP(B49,R_DG!$A$7:$G$1305,3,0)</f>
        <v>Boulon 16x300+ 2 long đền vuông D18-50x50x3/Zn</v>
      </c>
      <c r="F49" s="243" t="str">
        <f>VLOOKUP(B49,R_DG!$A$7:$G$1305,4,0)</f>
        <v>bộ</v>
      </c>
      <c r="G49" s="254">
        <f>G$44*1</f>
        <v>0</v>
      </c>
      <c r="H49" s="255" t="e">
        <f>VLOOKUP(B49,R_DG!$A$7:$G$1305,5,0)</f>
        <v>#REF!</v>
      </c>
      <c r="I49" s="255">
        <f>VLOOKUP(B49,R_DG!$A$7:$G$1305,6,0)</f>
        <v>0</v>
      </c>
      <c r="J49" s="255">
        <f>VLOOKUP(B49,R_DG!$A$7:$G$1305,7,0)</f>
        <v>0</v>
      </c>
      <c r="K49" s="256" t="e">
        <f t="shared" si="4"/>
        <v>#REF!</v>
      </c>
      <c r="L49" s="256">
        <f t="shared" si="5"/>
        <v>0</v>
      </c>
      <c r="M49" s="256">
        <f t="shared" si="6"/>
        <v>0</v>
      </c>
      <c r="N49" s="257"/>
      <c r="O49" s="38">
        <f t="shared" si="3"/>
        <v>0</v>
      </c>
    </row>
    <row r="50" spans="1:15" ht="24.95" customHeight="1">
      <c r="A50" s="182"/>
      <c r="B50" s="228" t="s">
        <v>2473</v>
      </c>
      <c r="C50" s="274"/>
      <c r="D50" s="243">
        <f>IF(B50&lt;&gt;"",VLOOKUP(B50,R_DG!$A$7:$G$1305,2,0),"")</f>
        <v>0</v>
      </c>
      <c r="E50" s="253" t="str">
        <f>VLOOKUP(B50,R_DG!$A$7:$G$1305,3,0)</f>
        <v>Boulon 14x150+ 2 long đền vuông D16-50x50x3/Zn</v>
      </c>
      <c r="F50" s="243" t="str">
        <f>VLOOKUP(B50,R_DG!$A$7:$G$1305,4,0)</f>
        <v>bộ</v>
      </c>
      <c r="G50" s="254">
        <f>G$44*1</f>
        <v>0</v>
      </c>
      <c r="H50" s="255">
        <f>VLOOKUP(B50,R_DG!$A$7:$G$1305,5,0)</f>
        <v>12500</v>
      </c>
      <c r="I50" s="255">
        <f>VLOOKUP(B50,R_DG!$A$7:$G$1305,6,0)</f>
        <v>0</v>
      </c>
      <c r="J50" s="255">
        <f>VLOOKUP(B50,R_DG!$A$7:$G$1305,7,0)</f>
        <v>0</v>
      </c>
      <c r="K50" s="256">
        <f t="shared" si="4"/>
        <v>0</v>
      </c>
      <c r="L50" s="256">
        <f t="shared" si="5"/>
        <v>0</v>
      </c>
      <c r="M50" s="256">
        <f t="shared" si="6"/>
        <v>0</v>
      </c>
      <c r="N50" s="257"/>
      <c r="O50" s="38">
        <f t="shared" si="3"/>
        <v>0</v>
      </c>
    </row>
    <row r="51" spans="1:15" ht="24.95" customHeight="1">
      <c r="A51" s="182" t="s">
        <v>2488</v>
      </c>
      <c r="B51" s="228"/>
      <c r="C51" s="275">
        <f>IF(G51&gt;0,COUNTIF($C$17:C50,"&gt;0")+1,0)</f>
        <v>1</v>
      </c>
      <c r="D51" s="275" t="str">
        <f>IF(B51&lt;&gt;"",VLOOKUP(B51,R_DG!$A$7:$G$1305,2,0),"")</f>
        <v/>
      </c>
      <c r="E51" s="275" t="s">
        <v>2493</v>
      </c>
      <c r="F51" s="275" t="s">
        <v>163</v>
      </c>
      <c r="G51" s="275">
        <f>IF(B4=3,1,0)</f>
        <v>1</v>
      </c>
      <c r="H51" s="275"/>
      <c r="I51" s="275"/>
      <c r="J51" s="275"/>
      <c r="K51" s="275">
        <f t="shared" si="4"/>
        <v>0</v>
      </c>
      <c r="L51" s="275">
        <f t="shared" si="5"/>
        <v>0</v>
      </c>
      <c r="M51" s="275">
        <f t="shared" si="6"/>
        <v>0</v>
      </c>
      <c r="N51" s="276"/>
      <c r="O51" s="38">
        <f t="shared" si="3"/>
        <v>1</v>
      </c>
    </row>
    <row r="52" spans="1:15" ht="24.95" customHeight="1">
      <c r="A52" s="182"/>
      <c r="B52" s="228"/>
      <c r="C52" s="273"/>
      <c r="D52" s="243" t="str">
        <f>IF(B52&lt;&gt;"",VLOOKUP(B52,R_DG!$A$7:$G$1305,2,0),"")</f>
        <v/>
      </c>
      <c r="E52" s="77" t="s">
        <v>2432</v>
      </c>
      <c r="F52" s="274"/>
      <c r="G52" s="274"/>
      <c r="H52" s="256"/>
      <c r="I52" s="256"/>
      <c r="J52" s="255"/>
      <c r="K52" s="256">
        <f t="shared" si="4"/>
        <v>0</v>
      </c>
      <c r="L52" s="256">
        <f t="shared" si="5"/>
        <v>0</v>
      </c>
      <c r="M52" s="256">
        <f t="shared" si="6"/>
        <v>0</v>
      </c>
      <c r="N52" s="257"/>
      <c r="O52" s="38">
        <f t="shared" si="3"/>
        <v>0</v>
      </c>
    </row>
    <row r="53" spans="1:15" ht="24.95" customHeight="1">
      <c r="A53" s="182"/>
      <c r="B53" s="228" t="s">
        <v>4525</v>
      </c>
      <c r="C53" s="274"/>
      <c r="D53" s="243" t="str">
        <f>IF(B53&lt;&gt;"",VLOOKUP(B53,R_DG!$A$7:$G$1305,2,0),"")</f>
        <v>D2.6011</v>
      </c>
      <c r="E53" s="253" t="str">
        <f>VLOOKUP(B53,R_DG!$A$7:$G$1305,3,0)</f>
        <v>Đà hộp composit L110x80x2600</v>
      </c>
      <c r="F53" s="243" t="str">
        <f>VLOOKUP(B53,R_DG!$A$7:$G$1305,4,0)</f>
        <v>cái</v>
      </c>
      <c r="G53" s="254">
        <f>G$51*1</f>
        <v>1</v>
      </c>
      <c r="H53" s="255">
        <f>VLOOKUP(B53,R_DG!$A$7:$G$1305,5,0)</f>
        <v>1056000</v>
      </c>
      <c r="I53" s="255">
        <f>VLOOKUP(B53,R_DG!$A$7:$G$1305,6,0)</f>
        <v>187723.35</v>
      </c>
      <c r="J53" s="255">
        <f>VLOOKUP(B53,R_DG!$A$7:$G$1305,7,0)</f>
        <v>0</v>
      </c>
      <c r="K53" s="256">
        <f t="shared" si="4"/>
        <v>1056000</v>
      </c>
      <c r="L53" s="256">
        <f t="shared" si="5"/>
        <v>187723.35</v>
      </c>
      <c r="M53" s="256">
        <f t="shared" si="6"/>
        <v>0</v>
      </c>
      <c r="N53" s="257"/>
      <c r="O53" s="38">
        <f t="shared" si="3"/>
        <v>1</v>
      </c>
    </row>
    <row r="54" spans="1:15" ht="24.95" customHeight="1">
      <c r="A54" s="182"/>
      <c r="B54" s="228" t="s">
        <v>4585</v>
      </c>
      <c r="C54" s="274"/>
      <c r="D54" s="243">
        <f>IF(B54&lt;&gt;"",VLOOKUP(B54,R_DG!$A$7:$G$1305,2,0),"")</f>
        <v>0</v>
      </c>
      <c r="E54" s="253">
        <f>VLOOKUP(B54,R_DG!$A$7:$G$1305,3,0)</f>
        <v>0</v>
      </c>
      <c r="F54" s="243">
        <f>VLOOKUP(B54,R_DG!$A$7:$G$1305,4,0)</f>
        <v>0</v>
      </c>
      <c r="G54" s="254"/>
      <c r="H54" s="255">
        <f>VLOOKUP(B54,R_DG!$A$7:$G$1305,5,0)</f>
        <v>0</v>
      </c>
      <c r="I54" s="255">
        <f>VLOOKUP(B54,R_DG!$A$7:$G$1305,6,0)</f>
        <v>0</v>
      </c>
      <c r="J54" s="255">
        <f>VLOOKUP(B54,R_DG!$A$7:$G$1305,7,0)</f>
        <v>0</v>
      </c>
      <c r="K54" s="256">
        <f t="shared" si="4"/>
        <v>0</v>
      </c>
      <c r="L54" s="256">
        <f t="shared" si="5"/>
        <v>0</v>
      </c>
      <c r="M54" s="256">
        <f t="shared" si="6"/>
        <v>0</v>
      </c>
      <c r="N54" s="257"/>
      <c r="O54" s="38">
        <f t="shared" si="3"/>
        <v>0</v>
      </c>
    </row>
    <row r="55" spans="1:15" ht="24.95" customHeight="1">
      <c r="A55" s="182"/>
      <c r="B55" s="228" t="s">
        <v>2475</v>
      </c>
      <c r="C55" s="274"/>
      <c r="D55" s="243">
        <f>IF(B55&lt;&gt;"",VLOOKUP(B55,R_DG!$A$7:$G$1305,2,0),"")</f>
        <v>0</v>
      </c>
      <c r="E55" s="253" t="str">
        <f>VLOOKUP(B55,R_DG!$A$7:$G$1305,3,0)</f>
        <v>Bass LL bắt FCO và LA</v>
      </c>
      <c r="F55" s="243" t="str">
        <f>VLOOKUP(B55,R_DG!$A$7:$G$1305,4,0)</f>
        <v>bộ</v>
      </c>
      <c r="G55" s="254">
        <f>G$51*3</f>
        <v>3</v>
      </c>
      <c r="H55" s="255">
        <f>VLOOKUP(B55,R_DG!$A$7:$G$1305,5,0)</f>
        <v>59000</v>
      </c>
      <c r="I55" s="255">
        <f>VLOOKUP(B55,R_DG!$A$7:$G$1305,6,0)</f>
        <v>0</v>
      </c>
      <c r="J55" s="255">
        <f>VLOOKUP(B55,R_DG!$A$7:$G$1305,7,0)</f>
        <v>0</v>
      </c>
      <c r="K55" s="256">
        <f t="shared" si="4"/>
        <v>177000</v>
      </c>
      <c r="L55" s="256">
        <f t="shared" si="5"/>
        <v>0</v>
      </c>
      <c r="M55" s="256">
        <f t="shared" si="6"/>
        <v>0</v>
      </c>
      <c r="N55" s="257"/>
      <c r="O55" s="38">
        <f t="shared" si="3"/>
        <v>1</v>
      </c>
    </row>
    <row r="56" spans="1:15" ht="24.95" customHeight="1">
      <c r="A56" s="182"/>
      <c r="B56" s="228" t="s">
        <v>92</v>
      </c>
      <c r="C56" s="274"/>
      <c r="D56" s="243">
        <f>IF(B56&lt;&gt;"",VLOOKUP(B56,R_DG!$A$7:$G$1305,2,0),"")</f>
        <v>0</v>
      </c>
      <c r="E56" s="253" t="str">
        <f>VLOOKUP(B56,R_DG!$A$7:$G$1305,3,0)</f>
        <v>Boulon 16x450+ 2 long đền vuông D18-50x50x3/Zn</v>
      </c>
      <c r="F56" s="243" t="str">
        <f>VLOOKUP(B56,R_DG!$A$7:$G$1305,4,0)</f>
        <v>bộ</v>
      </c>
      <c r="G56" s="254">
        <f>G$51*1</f>
        <v>1</v>
      </c>
      <c r="H56" s="255" t="e">
        <f>VLOOKUP(B56,R_DG!$A$7:$G$1305,5,0)</f>
        <v>#REF!</v>
      </c>
      <c r="I56" s="255">
        <f>VLOOKUP(B56,R_DG!$A$7:$G$1305,6,0)</f>
        <v>0</v>
      </c>
      <c r="J56" s="255">
        <f>VLOOKUP(B56,R_DG!$A$7:$G$1305,7,0)</f>
        <v>0</v>
      </c>
      <c r="K56" s="256" t="e">
        <f t="shared" si="4"/>
        <v>#REF!</v>
      </c>
      <c r="L56" s="256">
        <f t="shared" si="5"/>
        <v>0</v>
      </c>
      <c r="M56" s="256">
        <f t="shared" si="6"/>
        <v>0</v>
      </c>
      <c r="N56" s="257"/>
      <c r="O56" s="38">
        <f t="shared" si="3"/>
        <v>1</v>
      </c>
    </row>
    <row r="57" spans="1:15" s="370" customFormat="1" ht="24.95" customHeight="1">
      <c r="A57" s="397"/>
      <c r="B57" s="401" t="s">
        <v>84</v>
      </c>
      <c r="C57" s="409"/>
      <c r="D57" s="402">
        <f>IF(B57&lt;&gt;"",VLOOKUP(B57,R_DG!$A$7:$G$1305,2,0),"")</f>
        <v>0</v>
      </c>
      <c r="E57" s="403" t="str">
        <f>VLOOKUP(B57,R_DG!$A$7:$G$1305,3,0)</f>
        <v>Boulon 16x250+ 2 long đền vuông D18-50x50x3/Zn</v>
      </c>
      <c r="F57" s="402" t="str">
        <f>VLOOKUP(B57,R_DG!$A$7:$G$1305,4,0)</f>
        <v>bộ</v>
      </c>
      <c r="G57" s="404">
        <f>G$51*1</f>
        <v>1</v>
      </c>
      <c r="H57" s="405" t="e">
        <f>VLOOKUP(B57,R_DG!$A$7:$G$1305,5,0)</f>
        <v>#REF!</v>
      </c>
      <c r="I57" s="405">
        <f>VLOOKUP(B57,R_DG!$A$7:$G$1305,6,0)</f>
        <v>0</v>
      </c>
      <c r="J57" s="405">
        <f>VLOOKUP(B57,R_DG!$A$7:$G$1305,7,0)</f>
        <v>0</v>
      </c>
      <c r="K57" s="406" t="e">
        <f t="shared" ref="K57" si="7">H57*G57</f>
        <v>#REF!</v>
      </c>
      <c r="L57" s="406">
        <f t="shared" ref="L57" si="8">I57*G57</f>
        <v>0</v>
      </c>
      <c r="M57" s="406">
        <f t="shared" ref="M57" si="9">J57*G57</f>
        <v>0</v>
      </c>
      <c r="N57" s="407"/>
      <c r="O57" s="371">
        <f t="shared" ref="O57" si="10">IF(SUM(G57:G57)&gt;0,1,0)</f>
        <v>1</v>
      </c>
    </row>
    <row r="58" spans="1:15" ht="24.95" customHeight="1">
      <c r="A58" s="182"/>
      <c r="B58" s="228" t="s">
        <v>4585</v>
      </c>
      <c r="C58" s="274"/>
      <c r="D58" s="243">
        <f>IF(B58&lt;&gt;"",VLOOKUP(B58,R_DG!$A$7:$G$1305,2,0),"")</f>
        <v>0</v>
      </c>
      <c r="E58" s="253">
        <f>VLOOKUP(B58,R_DG!$A$7:$G$1305,3,0)</f>
        <v>0</v>
      </c>
      <c r="F58" s="243">
        <f>VLOOKUP(B58,R_DG!$A$7:$G$1305,4,0)</f>
        <v>0</v>
      </c>
      <c r="G58" s="254"/>
      <c r="H58" s="255">
        <f>VLOOKUP(B58,R_DG!$A$7:$G$1305,5,0)</f>
        <v>0</v>
      </c>
      <c r="I58" s="255">
        <f>VLOOKUP(B58,R_DG!$A$7:$G$1305,6,0)</f>
        <v>0</v>
      </c>
      <c r="J58" s="255">
        <f>VLOOKUP(B58,R_DG!$A$7:$G$1305,7,0)</f>
        <v>0</v>
      </c>
      <c r="K58" s="256">
        <f t="shared" si="4"/>
        <v>0</v>
      </c>
      <c r="L58" s="256">
        <f t="shared" si="5"/>
        <v>0</v>
      </c>
      <c r="M58" s="256">
        <f t="shared" si="6"/>
        <v>0</v>
      </c>
      <c r="N58" s="257"/>
      <c r="O58" s="38">
        <f t="shared" si="3"/>
        <v>0</v>
      </c>
    </row>
    <row r="59" spans="1:15" s="370" customFormat="1" ht="24.95" customHeight="1">
      <c r="A59" s="397"/>
      <c r="B59" s="401" t="s">
        <v>4413</v>
      </c>
      <c r="C59" s="409"/>
      <c r="D59" s="402">
        <f>IF(B59&lt;&gt;"",VLOOKUP(B59,R_DG!$A$7:$G$1305,2,0),"")</f>
        <v>0</v>
      </c>
      <c r="E59" s="403" t="str">
        <f>VLOOKUP(B59,R_DG!$A$7:$G$1305,3,0)</f>
        <v>Chụp đầu LA</v>
      </c>
      <c r="F59" s="402" t="str">
        <f>VLOOKUP(B59,R_DG!$A$7:$G$1305,4,0)</f>
        <v>cái</v>
      </c>
      <c r="G59" s="404">
        <f>G6*3</f>
        <v>3</v>
      </c>
      <c r="H59" s="405">
        <f>VLOOKUP(B59,R_DG!$A$7:$G$1305,5,0)</f>
        <v>75000</v>
      </c>
      <c r="I59" s="405">
        <f>VLOOKUP(B59,R_DG!$A$7:$G$1305,6,0)</f>
        <v>0</v>
      </c>
      <c r="J59" s="405">
        <f>VLOOKUP(B59,R_DG!$A$7:$G$1305,7,0)</f>
        <v>0</v>
      </c>
      <c r="K59" s="406">
        <f t="shared" ref="K59:K60" si="11">H59*G59</f>
        <v>225000</v>
      </c>
      <c r="L59" s="406">
        <f t="shared" ref="L59:L60" si="12">I59*G59</f>
        <v>0</v>
      </c>
      <c r="M59" s="406">
        <f t="shared" ref="M59:M60" si="13">J59*G59</f>
        <v>0</v>
      </c>
      <c r="N59" s="407"/>
      <c r="O59" s="371">
        <f t="shared" ref="O59:O60" si="14">IF(SUM(G59:G59)&gt;0,1,0)</f>
        <v>1</v>
      </c>
    </row>
    <row r="60" spans="1:15" s="370" customFormat="1" ht="24.95" customHeight="1">
      <c r="A60" s="397"/>
      <c r="B60" s="401" t="s">
        <v>4414</v>
      </c>
      <c r="C60" s="409"/>
      <c r="D60" s="402">
        <f>IF(B60&lt;&gt;"",VLOOKUP(B60,R_DG!$A$7:$G$1305,2,0),"")</f>
        <v>0</v>
      </c>
      <c r="E60" s="403" t="str">
        <f>VLOOKUP(B60,R_DG!$A$7:$G$1305,3,0)</f>
        <v>Chụp đầu cực MBA</v>
      </c>
      <c r="F60" s="402" t="str">
        <f>VLOOKUP(B60,R_DG!$A$7:$G$1305,4,0)</f>
        <v>cái</v>
      </c>
      <c r="G60" s="404">
        <f>G9</f>
        <v>3</v>
      </c>
      <c r="H60" s="405">
        <f>VLOOKUP(B60,R_DG!$A$7:$G$1305,5,0)</f>
        <v>75000</v>
      </c>
      <c r="I60" s="405">
        <f>VLOOKUP(B60,R_DG!$A$7:$G$1305,6,0)</f>
        <v>0</v>
      </c>
      <c r="J60" s="405">
        <f>VLOOKUP(B60,R_DG!$A$7:$G$1305,7,0)</f>
        <v>0</v>
      </c>
      <c r="K60" s="406">
        <f t="shared" si="11"/>
        <v>225000</v>
      </c>
      <c r="L60" s="406">
        <f t="shared" si="12"/>
        <v>0</v>
      </c>
      <c r="M60" s="406">
        <f t="shared" si="13"/>
        <v>0</v>
      </c>
      <c r="N60" s="407"/>
      <c r="O60" s="371">
        <f t="shared" si="14"/>
        <v>1</v>
      </c>
    </row>
    <row r="61" spans="1:15" s="370" customFormat="1" ht="24.95" customHeight="1">
      <c r="A61" s="397"/>
      <c r="B61" s="401" t="s">
        <v>4415</v>
      </c>
      <c r="C61" s="409"/>
      <c r="D61" s="402">
        <f>IF(B61&lt;&gt;"",VLOOKUP(B61,R_DG!$A$7:$G$1305,2,0),"")</f>
        <v>0</v>
      </c>
      <c r="E61" s="403" t="str">
        <f>VLOOKUP(B61,R_DG!$A$7:$G$1305,3,0)</f>
        <v>Chụp đầu FCO</v>
      </c>
      <c r="F61" s="402" t="str">
        <f>VLOOKUP(B61,R_DG!$A$7:$G$1305,4,0)</f>
        <v>bộ</v>
      </c>
      <c r="G61" s="404">
        <f>G7</f>
        <v>3</v>
      </c>
      <c r="H61" s="405">
        <f>VLOOKUP(B61,R_DG!$A$7:$G$1305,5,0)</f>
        <v>230000</v>
      </c>
      <c r="I61" s="405">
        <f>VLOOKUP(B61,R_DG!$A$7:$G$1305,6,0)</f>
        <v>0</v>
      </c>
      <c r="J61" s="405">
        <f>VLOOKUP(B61,R_DG!$A$7:$G$1305,7,0)</f>
        <v>0</v>
      </c>
      <c r="K61" s="406">
        <f t="shared" ref="K61" si="15">H61*G61</f>
        <v>690000</v>
      </c>
      <c r="L61" s="406">
        <f t="shared" ref="L61" si="16">I61*G61</f>
        <v>0</v>
      </c>
      <c r="M61" s="406">
        <f t="shared" ref="M61" si="17">J61*G61</f>
        <v>0</v>
      </c>
      <c r="N61" s="407"/>
      <c r="O61" s="371">
        <f t="shared" ref="O61" si="18">IF(SUM(G61:G61)&gt;0,1,0)</f>
        <v>1</v>
      </c>
    </row>
    <row r="62" spans="1:15" ht="24.95" customHeight="1">
      <c r="A62" s="182" t="s">
        <v>2495</v>
      </c>
      <c r="B62" s="228"/>
      <c r="C62" s="275">
        <f>IF(G62&gt;0,COUNTIF($C$17:C58,"&gt;0")+1,0)</f>
        <v>2</v>
      </c>
      <c r="D62" s="275" t="str">
        <f>IF(B62&lt;&gt;"",VLOOKUP(B62,R_DG!$A$7:$G$1305,2,0),"")</f>
        <v/>
      </c>
      <c r="E62" s="275" t="s">
        <v>2526</v>
      </c>
      <c r="F62" s="275" t="s">
        <v>163</v>
      </c>
      <c r="G62" s="275">
        <f>IF(A4&gt;100,1,0)</f>
        <v>1</v>
      </c>
      <c r="H62" s="275"/>
      <c r="I62" s="275"/>
      <c r="J62" s="275"/>
      <c r="K62" s="275">
        <f t="shared" si="4"/>
        <v>0</v>
      </c>
      <c r="L62" s="275">
        <f t="shared" si="5"/>
        <v>0</v>
      </c>
      <c r="M62" s="275">
        <f t="shared" si="6"/>
        <v>0</v>
      </c>
      <c r="N62" s="276"/>
      <c r="O62" s="38">
        <f t="shared" si="3"/>
        <v>1</v>
      </c>
    </row>
    <row r="63" spans="1:15" ht="24.95" customHeight="1">
      <c r="A63" s="182"/>
      <c r="B63" s="228"/>
      <c r="C63" s="273"/>
      <c r="D63" s="243" t="str">
        <f>IF(B63&lt;&gt;"",VLOOKUP(B63,R_DG!$A$7:$G$1305,2,0),"")</f>
        <v/>
      </c>
      <c r="E63" s="77" t="s">
        <v>2432</v>
      </c>
      <c r="F63" s="274"/>
      <c r="G63" s="274"/>
      <c r="H63" s="256"/>
      <c r="I63" s="256"/>
      <c r="J63" s="255"/>
      <c r="K63" s="256">
        <f t="shared" si="4"/>
        <v>0</v>
      </c>
      <c r="L63" s="256">
        <f t="shared" si="5"/>
        <v>0</v>
      </c>
      <c r="M63" s="256">
        <f t="shared" si="6"/>
        <v>0</v>
      </c>
      <c r="N63" s="257"/>
      <c r="O63" s="38">
        <f t="shared" si="3"/>
        <v>0</v>
      </c>
    </row>
    <row r="64" spans="1:15" ht="24.95" customHeight="1">
      <c r="A64" s="182"/>
      <c r="B64" s="228" t="str">
        <f>IF(A4&gt;200,"U20-280","U16-280")</f>
        <v>U20-280</v>
      </c>
      <c r="C64" s="274"/>
      <c r="D64" s="243">
        <f>IF(B64&lt;&gt;"",VLOOKUP(B64,R_DG!$A$7:$G$1305,2,0),"")</f>
        <v>0</v>
      </c>
      <c r="E64" s="253" t="str">
        <f>VLOOKUP(B64,R_DG!$A$7:$G$1305,3,0)&amp;": 15,3kg/m"</f>
        <v>Đà U200x80x5x2800 đỡ MBA (19,8kg/m): 15,3kg/m</v>
      </c>
      <c r="F64" s="243" t="str">
        <f>VLOOKUP(B64,R_DG!$A$7:$G$1305,4,0)</f>
        <v>cái</v>
      </c>
      <c r="G64" s="404">
        <f>G62*2</f>
        <v>2</v>
      </c>
      <c r="H64" s="255">
        <f>VLOOKUP(B64,R_DG!$A$7:$G$1305,5,0)</f>
        <v>1605597.84</v>
      </c>
      <c r="I64" s="255">
        <f>VLOOKUP(B64,R_DG!$A$7:$G$1305,6,0)</f>
        <v>0</v>
      </c>
      <c r="J64" s="255">
        <f>VLOOKUP(B64,R_DG!$A$7:$G$1305,7,0)</f>
        <v>0</v>
      </c>
      <c r="K64" s="256">
        <f t="shared" si="4"/>
        <v>3211195.68</v>
      </c>
      <c r="L64" s="256">
        <f t="shared" si="5"/>
        <v>0</v>
      </c>
      <c r="M64" s="256">
        <f t="shared" si="6"/>
        <v>0</v>
      </c>
      <c r="N64" s="257"/>
      <c r="O64" s="38">
        <f t="shared" si="3"/>
        <v>1</v>
      </c>
    </row>
    <row r="65" spans="1:15" ht="24.95" customHeight="1">
      <c r="A65" s="182"/>
      <c r="B65" s="228" t="s">
        <v>2039</v>
      </c>
      <c r="C65" s="274"/>
      <c r="D65" s="243">
        <f>IF(B65&lt;&gt;"",VLOOKUP(B65,R_DG!$A$7:$G$1305,2,0),"")</f>
        <v>0</v>
      </c>
      <c r="E65" s="253" t="str">
        <f>VLOOKUP(B65,R_DG!$A$7:$G$1305,3,0)&amp;": 8,59kg/m"</f>
        <v>Đà U100x46x4.5x400 (8,59kg/m): 8,59kg/m</v>
      </c>
      <c r="F65" s="243" t="str">
        <f>VLOOKUP(B65,R_DG!$A$7:$G$1305,4,0)</f>
        <v>cái</v>
      </c>
      <c r="G65" s="404">
        <f>G62*4</f>
        <v>4</v>
      </c>
      <c r="H65" s="255">
        <f>VLOOKUP(B65,R_DG!$A$7:$G$1305,5,0)</f>
        <v>99509.996000000014</v>
      </c>
      <c r="I65" s="255">
        <f>VLOOKUP(B65,R_DG!$A$7:$G$1305,6,0)</f>
        <v>0</v>
      </c>
      <c r="J65" s="255">
        <f>VLOOKUP(B65,R_DG!$A$7:$G$1305,7,0)</f>
        <v>0</v>
      </c>
      <c r="K65" s="256">
        <f t="shared" si="4"/>
        <v>398039.98400000005</v>
      </c>
      <c r="L65" s="256">
        <f t="shared" si="5"/>
        <v>0</v>
      </c>
      <c r="M65" s="256">
        <f t="shared" si="6"/>
        <v>0</v>
      </c>
      <c r="N65" s="257"/>
      <c r="O65" s="38">
        <f t="shared" si="3"/>
        <v>1</v>
      </c>
    </row>
    <row r="66" spans="1:15" ht="24.95" customHeight="1">
      <c r="A66" s="182"/>
      <c r="B66" s="228" t="s">
        <v>2036</v>
      </c>
      <c r="C66" s="274"/>
      <c r="D66" s="243">
        <f>IF(B66&lt;&gt;"",VLOOKUP(B66,R_DG!$A$7:$G$1305,2,0),"")</f>
        <v>0</v>
      </c>
      <c r="E66" s="253" t="str">
        <f>VLOOKUP(B66,R_DG!$A$7:$G$1305,3,0)&amp;": 8,59kg/m"</f>
        <v>Đà U100x46x4.5x800 (8,59kg/m): 8,59kg/m</v>
      </c>
      <c r="F66" s="243" t="str">
        <f>VLOOKUP(B66,R_DG!$A$7:$G$1305,4,0)</f>
        <v>cái</v>
      </c>
      <c r="G66" s="404">
        <f>G62*2</f>
        <v>2</v>
      </c>
      <c r="H66" s="255">
        <f>VLOOKUP(B66,R_DG!$A$7:$G$1305,5,0)</f>
        <v>199019.992</v>
      </c>
      <c r="I66" s="255">
        <f>VLOOKUP(B66,R_DG!$A$7:$G$1305,6,0)</f>
        <v>0</v>
      </c>
      <c r="J66" s="255">
        <f>VLOOKUP(B66,R_DG!$A$7:$G$1305,7,0)</f>
        <v>0</v>
      </c>
      <c r="K66" s="256">
        <f t="shared" si="4"/>
        <v>398039.984</v>
      </c>
      <c r="L66" s="256">
        <f t="shared" si="5"/>
        <v>0</v>
      </c>
      <c r="M66" s="256">
        <f t="shared" si="6"/>
        <v>0</v>
      </c>
      <c r="N66" s="257"/>
      <c r="O66" s="38">
        <f t="shared" si="3"/>
        <v>1</v>
      </c>
    </row>
    <row r="67" spans="1:15" ht="24.95" customHeight="1">
      <c r="A67" s="182"/>
      <c r="B67" s="228" t="s">
        <v>110</v>
      </c>
      <c r="C67" s="274"/>
      <c r="D67" s="243">
        <f>IF(B67&lt;&gt;"",VLOOKUP(B67,R_DG!$A$7:$G$1305,2,0),"")</f>
        <v>0</v>
      </c>
      <c r="E67" s="253" t="str">
        <f>VLOOKUP(B67,R_DG!$A$7:$G$1305,3,0)</f>
        <v>Boulon 16x400VRS+ 4 long đền vuông D18-50x50x3/Zn</v>
      </c>
      <c r="F67" s="243" t="str">
        <f>VLOOKUP(B67,R_DG!$A$7:$G$1305,4,0)</f>
        <v>bộ</v>
      </c>
      <c r="G67" s="404">
        <f>G62*4</f>
        <v>4</v>
      </c>
      <c r="H67" s="255" t="e">
        <f>VLOOKUP(B67,R_DG!$A$7:$G$1305,5,0)</f>
        <v>#REF!</v>
      </c>
      <c r="I67" s="255">
        <f>VLOOKUP(B67,R_DG!$A$7:$G$1305,6,0)</f>
        <v>0</v>
      </c>
      <c r="J67" s="255">
        <f>VLOOKUP(B67,R_DG!$A$7:$G$1305,7,0)</f>
        <v>0</v>
      </c>
      <c r="K67" s="256" t="e">
        <f t="shared" si="4"/>
        <v>#REF!</v>
      </c>
      <c r="L67" s="256">
        <f t="shared" si="5"/>
        <v>0</v>
      </c>
      <c r="M67" s="256">
        <f t="shared" si="6"/>
        <v>0</v>
      </c>
      <c r="N67" s="257"/>
      <c r="O67" s="38">
        <f t="shared" si="3"/>
        <v>1</v>
      </c>
    </row>
    <row r="68" spans="1:15" ht="24.95" customHeight="1">
      <c r="A68" s="182"/>
      <c r="B68" s="228" t="s">
        <v>90</v>
      </c>
      <c r="C68" s="274"/>
      <c r="D68" s="243">
        <f>IF(B68&lt;&gt;"",VLOOKUP(B68,R_DG!$A$7:$G$1305,2,0),"")</f>
        <v>0</v>
      </c>
      <c r="E68" s="253" t="str">
        <f>VLOOKUP(B68,R_DG!$A$7:$G$1305,3,0)</f>
        <v>Boulon 16x400+ 2 long đền vuông D18-50x50x3/Zn</v>
      </c>
      <c r="F68" s="243" t="str">
        <f>VLOOKUP(B68,R_DG!$A$7:$G$1305,4,0)</f>
        <v>bộ</v>
      </c>
      <c r="G68" s="404">
        <f>G62*4</f>
        <v>4</v>
      </c>
      <c r="H68" s="255" t="e">
        <f>VLOOKUP(B68,R_DG!$A$7:$G$1305,5,0)</f>
        <v>#REF!</v>
      </c>
      <c r="I68" s="255">
        <f>VLOOKUP(B68,R_DG!$A$7:$G$1305,6,0)</f>
        <v>0</v>
      </c>
      <c r="J68" s="255">
        <f>VLOOKUP(B68,R_DG!$A$7:$G$1305,7,0)</f>
        <v>0</v>
      </c>
      <c r="K68" s="256" t="e">
        <f t="shared" si="4"/>
        <v>#REF!</v>
      </c>
      <c r="L68" s="256">
        <f t="shared" si="5"/>
        <v>0</v>
      </c>
      <c r="M68" s="256">
        <f t="shared" si="6"/>
        <v>0</v>
      </c>
      <c r="N68" s="257"/>
      <c r="O68" s="38">
        <f t="shared" si="3"/>
        <v>1</v>
      </c>
    </row>
    <row r="69" spans="1:15" ht="24.95" customHeight="1">
      <c r="A69" s="182"/>
      <c r="B69" s="228" t="s">
        <v>88</v>
      </c>
      <c r="C69" s="274"/>
      <c r="D69" s="243">
        <f>IF(B69&lt;&gt;"",VLOOKUP(B69,R_DG!$A$7:$G$1305,2,0),"")</f>
        <v>0</v>
      </c>
      <c r="E69" s="253" t="str">
        <f>VLOOKUP(B69,R_DG!$A$7:$G$1305,3,0)</f>
        <v>Boulon 16x350+ 2 long đền vuông D18-50x50x3/Zn</v>
      </c>
      <c r="F69" s="243" t="str">
        <f>VLOOKUP(B69,R_DG!$A$7:$G$1305,4,0)</f>
        <v>bộ</v>
      </c>
      <c r="G69" s="404">
        <f>G62*2</f>
        <v>2</v>
      </c>
      <c r="H69" s="255" t="e">
        <f>VLOOKUP(B69,R_DG!$A$7:$G$1305,5,0)</f>
        <v>#REF!</v>
      </c>
      <c r="I69" s="255">
        <f>VLOOKUP(B69,R_DG!$A$7:$G$1305,6,0)</f>
        <v>0</v>
      </c>
      <c r="J69" s="255">
        <f>VLOOKUP(B69,R_DG!$A$7:$G$1305,7,0)</f>
        <v>0</v>
      </c>
      <c r="K69" s="256" t="e">
        <f t="shared" si="4"/>
        <v>#REF!</v>
      </c>
      <c r="L69" s="256">
        <f t="shared" si="5"/>
        <v>0</v>
      </c>
      <c r="M69" s="256">
        <f t="shared" si="6"/>
        <v>0</v>
      </c>
      <c r="N69" s="257"/>
      <c r="O69" s="38">
        <f t="shared" si="3"/>
        <v>1</v>
      </c>
    </row>
    <row r="70" spans="1:15" ht="24.95" customHeight="1">
      <c r="A70" s="182"/>
      <c r="B70" s="228" t="s">
        <v>1179</v>
      </c>
      <c r="C70" s="274"/>
      <c r="D70" s="243" t="str">
        <f>IF(B70&lt;&gt;"",VLOOKUP(B70,R_DG!$A$7:$G$1305,2,0),"")</f>
        <v>D2.6021</v>
      </c>
      <c r="E70" s="253" t="str">
        <f>VLOOKUP(B70,R_DG!$A$7:$G$1305,3,0)</f>
        <v>Lắp xà đỡ ≤ 25kg</v>
      </c>
      <c r="F70" s="243" t="str">
        <f>VLOOKUP(B70,R_DG!$A$7:$G$1305,4,0)</f>
        <v>bộ</v>
      </c>
      <c r="G70" s="404">
        <f>SUM(G64:G66)</f>
        <v>8</v>
      </c>
      <c r="H70" s="255">
        <f>VLOOKUP(B70,R_DG!$A$7:$G$1305,5,0)</f>
        <v>0</v>
      </c>
      <c r="I70" s="255">
        <f>VLOOKUP(B70,R_DG!$A$7:$G$1305,6,0)</f>
        <v>208581.5</v>
      </c>
      <c r="J70" s="255">
        <f>VLOOKUP(B70,R_DG!$A$7:$G$1305,7,0)</f>
        <v>0</v>
      </c>
      <c r="K70" s="256">
        <f t="shared" si="4"/>
        <v>0</v>
      </c>
      <c r="L70" s="256">
        <f t="shared" si="5"/>
        <v>1668652</v>
      </c>
      <c r="M70" s="256">
        <f t="shared" si="6"/>
        <v>0</v>
      </c>
      <c r="N70" s="257"/>
      <c r="O70" s="38">
        <f t="shared" si="3"/>
        <v>1</v>
      </c>
    </row>
    <row r="71" spans="1:15" s="370" customFormat="1" ht="24.95" customHeight="1">
      <c r="A71" s="397" t="s">
        <v>3436</v>
      </c>
      <c r="B71" s="401"/>
      <c r="C71" s="411">
        <f>IF(G71&gt;0,COUNTIF($C$17:C70,"&gt;0")+1,0)</f>
        <v>0</v>
      </c>
      <c r="D71" s="411" t="str">
        <f>IF(B71&lt;&gt;"",VLOOKUP(B71,R_DG!$A$7:$G$1305,2,0),"")</f>
        <v/>
      </c>
      <c r="E71" s="411" t="s">
        <v>3435</v>
      </c>
      <c r="F71" s="411" t="s">
        <v>163</v>
      </c>
      <c r="G71" s="411"/>
      <c r="H71" s="411"/>
      <c r="I71" s="411"/>
      <c r="J71" s="411"/>
      <c r="K71" s="411">
        <f t="shared" ref="K71:K79" si="19">H71*G71</f>
        <v>0</v>
      </c>
      <c r="L71" s="411">
        <f t="shared" ref="L71:L79" si="20">I71*G71</f>
        <v>0</v>
      </c>
      <c r="M71" s="411">
        <f t="shared" ref="M71:M79" si="21">J71*G71</f>
        <v>0</v>
      </c>
      <c r="N71" s="410"/>
      <c r="O71" s="371">
        <f t="shared" ref="O71:O79" si="22">IF(SUM(G71:G71)&gt;0,1,0)</f>
        <v>0</v>
      </c>
    </row>
    <row r="72" spans="1:15" s="370" customFormat="1" ht="24.95" customHeight="1">
      <c r="A72" s="397"/>
      <c r="B72" s="401"/>
      <c r="C72" s="408"/>
      <c r="D72" s="402" t="str">
        <f>IF(B72&lt;&gt;"",VLOOKUP(B72,R_DG!$A$7:$G$1305,2,0),"")</f>
        <v/>
      </c>
      <c r="E72" s="379" t="s">
        <v>2432</v>
      </c>
      <c r="F72" s="409"/>
      <c r="G72" s="409"/>
      <c r="H72" s="406"/>
      <c r="I72" s="406"/>
      <c r="J72" s="405"/>
      <c r="K72" s="406">
        <f t="shared" si="19"/>
        <v>0</v>
      </c>
      <c r="L72" s="406">
        <f t="shared" si="20"/>
        <v>0</v>
      </c>
      <c r="M72" s="406">
        <f t="shared" si="21"/>
        <v>0</v>
      </c>
      <c r="N72" s="407"/>
      <c r="O72" s="371">
        <f t="shared" si="22"/>
        <v>0</v>
      </c>
    </row>
    <row r="73" spans="1:15" s="370" customFormat="1" ht="24.95" customHeight="1">
      <c r="A73" s="397"/>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19"/>
        <v>0</v>
      </c>
      <c r="L73" s="406">
        <f t="shared" si="20"/>
        <v>0</v>
      </c>
      <c r="M73" s="406">
        <f t="shared" si="21"/>
        <v>0</v>
      </c>
      <c r="N73" s="407"/>
      <c r="O73" s="371">
        <f t="shared" si="22"/>
        <v>0</v>
      </c>
    </row>
    <row r="74" spans="1:15" s="370" customFormat="1" ht="24.95" customHeight="1">
      <c r="A74" s="397"/>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19"/>
        <v>0</v>
      </c>
      <c r="L74" s="406">
        <f t="shared" si="20"/>
        <v>0</v>
      </c>
      <c r="M74" s="406">
        <f t="shared" si="21"/>
        <v>0</v>
      </c>
      <c r="N74" s="407"/>
      <c r="O74" s="371">
        <f t="shared" si="22"/>
        <v>0</v>
      </c>
    </row>
    <row r="75" spans="1:15" s="370" customFormat="1" ht="24.95" customHeight="1">
      <c r="A75" s="397"/>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19"/>
        <v>0</v>
      </c>
      <c r="L75" s="406">
        <f t="shared" si="20"/>
        <v>0</v>
      </c>
      <c r="M75" s="406">
        <f t="shared" si="21"/>
        <v>0</v>
      </c>
      <c r="N75" s="407"/>
      <c r="O75" s="371">
        <f t="shared" si="22"/>
        <v>0</v>
      </c>
    </row>
    <row r="76" spans="1:15" s="370" customFormat="1" ht="24.95" customHeight="1">
      <c r="A76" s="397"/>
      <c r="B76" s="401" t="s">
        <v>3430</v>
      </c>
      <c r="C76" s="409"/>
      <c r="D76" s="402">
        <f>IF(B76&lt;&gt;"",VLOOKUP(B76,R_DG!$A$7:$G$1305,2,0),"")</f>
        <v>0</v>
      </c>
      <c r="E76" s="403" t="str">
        <f>VLOOKUP(B76,R_DG!$A$7:$G$1305,3,0)</f>
        <v>Đà U160x740x64x5 (14,2kg/m)</v>
      </c>
      <c r="F76" s="402" t="str">
        <f>VLOOKUP(B76,R_DG!$A$7:$G$1305,4,0)</f>
        <v>cái</v>
      </c>
      <c r="G76" s="404">
        <f t="shared" ref="G76:G93" si="23">G$71*1</f>
        <v>0</v>
      </c>
      <c r="H76" s="405">
        <f>VLOOKUP(B76,R_DG!$A$7:$G$1305,5,0)</f>
        <v>304322.18799999997</v>
      </c>
      <c r="I76" s="405">
        <f>VLOOKUP(B76,R_DG!$A$7:$G$1305,6,0)</f>
        <v>0</v>
      </c>
      <c r="J76" s="405">
        <f>VLOOKUP(B76,R_DG!$A$7:$G$1305,7,0)</f>
        <v>0</v>
      </c>
      <c r="K76" s="406">
        <f t="shared" si="19"/>
        <v>0</v>
      </c>
      <c r="L76" s="406">
        <f t="shared" si="20"/>
        <v>0</v>
      </c>
      <c r="M76" s="406">
        <f t="shared" si="21"/>
        <v>0</v>
      </c>
      <c r="N76" s="407"/>
      <c r="O76" s="371">
        <f t="shared" si="22"/>
        <v>0</v>
      </c>
    </row>
    <row r="77" spans="1:15" s="370" customFormat="1" ht="24.95" customHeight="1">
      <c r="A77" s="397"/>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19"/>
        <v>0</v>
      </c>
      <c r="L77" s="406">
        <f t="shared" si="20"/>
        <v>0</v>
      </c>
      <c r="M77" s="406">
        <f t="shared" si="21"/>
        <v>0</v>
      </c>
      <c r="N77" s="407"/>
      <c r="O77" s="371">
        <f t="shared" si="22"/>
        <v>0</v>
      </c>
    </row>
    <row r="78" spans="1:15" s="370" customFormat="1" ht="24.95" customHeight="1">
      <c r="A78" s="397"/>
      <c r="B78" s="401" t="s">
        <v>3432</v>
      </c>
      <c r="C78" s="409"/>
      <c r="D78" s="402">
        <f>IF(B78&lt;&gt;"",VLOOKUP(B78,R_DG!$A$7:$G$1305,2,0),"")</f>
        <v>0</v>
      </c>
      <c r="E78" s="403" t="str">
        <f>VLOOKUP(B78,R_DG!$A$7:$G$1305,3,0)</f>
        <v>Đà U160x64x5x1810 (14,2kg/m)</v>
      </c>
      <c r="F78" s="402" t="str">
        <f>VLOOKUP(B78,R_DG!$A$7:$G$1305,4,0)</f>
        <v>cái</v>
      </c>
      <c r="G78" s="404">
        <f t="shared" si="23"/>
        <v>0</v>
      </c>
      <c r="H78" s="405">
        <f>VLOOKUP(B78,R_DG!$A$7:$G$1305,5,0)</f>
        <v>744355.62199999997</v>
      </c>
      <c r="I78" s="405">
        <f>VLOOKUP(B78,R_DG!$A$7:$G$1305,6,0)</f>
        <v>0</v>
      </c>
      <c r="J78" s="405">
        <f>VLOOKUP(B78,R_DG!$A$7:$G$1305,7,0)</f>
        <v>0</v>
      </c>
      <c r="K78" s="406">
        <f t="shared" si="19"/>
        <v>0</v>
      </c>
      <c r="L78" s="406">
        <f t="shared" si="20"/>
        <v>0</v>
      </c>
      <c r="M78" s="406">
        <f t="shared" si="21"/>
        <v>0</v>
      </c>
      <c r="N78" s="407"/>
      <c r="O78" s="371">
        <f t="shared" si="22"/>
        <v>0</v>
      </c>
    </row>
    <row r="79" spans="1:15" s="370" customFormat="1" ht="24.95" customHeight="1">
      <c r="A79" s="397"/>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19"/>
        <v>0</v>
      </c>
      <c r="L79" s="406">
        <f t="shared" si="20"/>
        <v>0</v>
      </c>
      <c r="M79" s="406">
        <f t="shared" si="21"/>
        <v>0</v>
      </c>
      <c r="N79" s="407"/>
      <c r="O79" s="371">
        <f t="shared" si="22"/>
        <v>0</v>
      </c>
    </row>
    <row r="80" spans="1:15" s="370" customFormat="1" ht="24.95" customHeight="1">
      <c r="A80" s="397"/>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ref="K80:K85" si="24">H80*G80</f>
        <v>0</v>
      </c>
      <c r="L80" s="406">
        <f t="shared" ref="L80:L85" si="25">I80*G80</f>
        <v>0</v>
      </c>
      <c r="M80" s="406">
        <f t="shared" ref="M80:M85" si="26">J80*G80</f>
        <v>0</v>
      </c>
      <c r="N80" s="407"/>
      <c r="O80" s="371">
        <f t="shared" ref="O80:O85" si="27">IF(SUM(G80:G80)&gt;0,1,0)</f>
        <v>0</v>
      </c>
    </row>
    <row r="81" spans="1:15" s="370" customFormat="1" ht="24.95" customHeight="1">
      <c r="A81" s="397"/>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24"/>
        <v>0</v>
      </c>
      <c r="L81" s="406">
        <f t="shared" si="25"/>
        <v>0</v>
      </c>
      <c r="M81" s="406">
        <f t="shared" si="26"/>
        <v>0</v>
      </c>
      <c r="N81" s="407"/>
      <c r="O81" s="371">
        <f t="shared" si="27"/>
        <v>0</v>
      </c>
    </row>
    <row r="82" spans="1:15" s="370" customFormat="1" ht="24.95" customHeight="1">
      <c r="A82" s="397"/>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24"/>
        <v>0</v>
      </c>
      <c r="L82" s="406">
        <f t="shared" si="25"/>
        <v>0</v>
      </c>
      <c r="M82" s="406">
        <f t="shared" si="26"/>
        <v>0</v>
      </c>
      <c r="N82" s="407"/>
      <c r="O82" s="371">
        <f t="shared" si="27"/>
        <v>0</v>
      </c>
    </row>
    <row r="83" spans="1:15" s="370" customFormat="1" ht="24.95" customHeight="1">
      <c r="A83" s="397"/>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24"/>
        <v>#REF!</v>
      </c>
      <c r="L83" s="406">
        <f t="shared" si="25"/>
        <v>0</v>
      </c>
      <c r="M83" s="406">
        <f t="shared" si="26"/>
        <v>0</v>
      </c>
      <c r="N83" s="407"/>
      <c r="O83" s="371">
        <f t="shared" si="27"/>
        <v>0</v>
      </c>
    </row>
    <row r="84" spans="1:15" s="370" customFormat="1" ht="24.95" customHeight="1">
      <c r="A84" s="397"/>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24"/>
        <v>#REF!</v>
      </c>
      <c r="L84" s="406">
        <f t="shared" si="25"/>
        <v>0</v>
      </c>
      <c r="M84" s="406">
        <f t="shared" si="26"/>
        <v>0</v>
      </c>
      <c r="N84" s="407"/>
      <c r="O84" s="371">
        <f t="shared" si="27"/>
        <v>0</v>
      </c>
    </row>
    <row r="85" spans="1:15" s="370" customFormat="1" ht="24.95" customHeight="1">
      <c r="A85" s="397"/>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24"/>
        <v>#REF!</v>
      </c>
      <c r="L85" s="406">
        <f t="shared" si="25"/>
        <v>0</v>
      </c>
      <c r="M85" s="406">
        <f t="shared" si="26"/>
        <v>0</v>
      </c>
      <c r="N85" s="407"/>
      <c r="O85" s="371">
        <f t="shared" si="27"/>
        <v>0</v>
      </c>
    </row>
    <row r="86" spans="1:15" s="370" customFormat="1" ht="24.95" customHeight="1">
      <c r="A86" s="397"/>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ref="K86:K91" si="28">H86*G86</f>
        <v>#REF!</v>
      </c>
      <c r="L86" s="406">
        <f t="shared" ref="L86:L91" si="29">I86*G86</f>
        <v>0</v>
      </c>
      <c r="M86" s="406">
        <f t="shared" ref="M86:M91" si="30">J86*G86</f>
        <v>0</v>
      </c>
      <c r="N86" s="407"/>
      <c r="O86" s="371">
        <f t="shared" ref="O86:O91" si="31">IF(SUM(G86:G86)&gt;0,1,0)</f>
        <v>0</v>
      </c>
    </row>
    <row r="87" spans="1:15" s="370" customFormat="1" ht="24.95" customHeight="1">
      <c r="A87" s="397"/>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28"/>
        <v>#REF!</v>
      </c>
      <c r="L87" s="406">
        <f t="shared" si="29"/>
        <v>0</v>
      </c>
      <c r="M87" s="406">
        <f t="shared" si="30"/>
        <v>0</v>
      </c>
      <c r="N87" s="407"/>
      <c r="O87" s="371">
        <f t="shared" si="31"/>
        <v>0</v>
      </c>
    </row>
    <row r="88" spans="1:15" s="370" customFormat="1" ht="24.95" customHeight="1">
      <c r="A88" s="397"/>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28"/>
        <v>#REF!</v>
      </c>
      <c r="L88" s="406">
        <f t="shared" si="29"/>
        <v>0</v>
      </c>
      <c r="M88" s="406">
        <f t="shared" si="30"/>
        <v>0</v>
      </c>
      <c r="N88" s="407"/>
      <c r="O88" s="371">
        <f t="shared" si="31"/>
        <v>0</v>
      </c>
    </row>
    <row r="89" spans="1:15" s="370" customFormat="1" ht="24.95" customHeight="1">
      <c r="A89" s="397"/>
      <c r="B89" s="401" t="s">
        <v>3445</v>
      </c>
      <c r="C89" s="409"/>
      <c r="D89" s="402">
        <f>IF(B89&lt;&gt;"",VLOOKUP(B89,R_DG!$A$7:$G$1305,2,0),"")</f>
        <v>0</v>
      </c>
      <c r="E89" s="403" t="str">
        <f>VLOOKUP(B89,R_DG!$A$7:$G$1305,3,0)</f>
        <v>Boulon 16x750+ 2 long đền vuông D18-50x50x3/Zn</v>
      </c>
      <c r="F89" s="402" t="str">
        <f>VLOOKUP(B89,R_DG!$A$7:$G$1305,4,0)</f>
        <v>bộ</v>
      </c>
      <c r="G89" s="404">
        <f t="shared" si="23"/>
        <v>0</v>
      </c>
      <c r="H89" s="405" t="e">
        <f>VLOOKUP(B89,R_DG!$A$7:$G$1305,5,0)</f>
        <v>#REF!</v>
      </c>
      <c r="I89" s="405">
        <f>VLOOKUP(B89,R_DG!$A$7:$G$1305,6,0)</f>
        <v>0</v>
      </c>
      <c r="J89" s="405">
        <f>VLOOKUP(B89,R_DG!$A$7:$G$1305,7,0)</f>
        <v>0</v>
      </c>
      <c r="K89" s="406" t="e">
        <f t="shared" si="28"/>
        <v>#REF!</v>
      </c>
      <c r="L89" s="406">
        <f t="shared" si="29"/>
        <v>0</v>
      </c>
      <c r="M89" s="406">
        <f t="shared" si="30"/>
        <v>0</v>
      </c>
      <c r="N89" s="407"/>
      <c r="O89" s="371">
        <f t="shared" si="31"/>
        <v>0</v>
      </c>
    </row>
    <row r="90" spans="1:15" s="370" customFormat="1" ht="24.95" customHeight="1">
      <c r="A90" s="397"/>
      <c r="B90" s="401" t="s">
        <v>3446</v>
      </c>
      <c r="C90" s="409"/>
      <c r="D90" s="402">
        <f>IF(B90&lt;&gt;"",VLOOKUP(B90,R_DG!$A$7:$G$1305,2,0),"")</f>
        <v>0</v>
      </c>
      <c r="E90" s="403" t="str">
        <f>VLOOKUP(B90,R_DG!$A$7:$G$1305,3,0)</f>
        <v>Boulon 16x500VRS+ 4 long đền vuông D18-50x50x3/Zn</v>
      </c>
      <c r="F90" s="402" t="str">
        <f>VLOOKUP(B90,R_DG!$A$7:$G$1305,4,0)</f>
        <v>bộ</v>
      </c>
      <c r="G90" s="404">
        <f t="shared" si="23"/>
        <v>0</v>
      </c>
      <c r="H90" s="405" t="e">
        <f>VLOOKUP(B90,R_DG!$A$7:$G$1305,5,0)</f>
        <v>#REF!</v>
      </c>
      <c r="I90" s="405">
        <f>VLOOKUP(B90,R_DG!$A$7:$G$1305,6,0)</f>
        <v>0</v>
      </c>
      <c r="J90" s="405">
        <f>VLOOKUP(B90,R_DG!$A$7:$G$1305,7,0)</f>
        <v>0</v>
      </c>
      <c r="K90" s="406" t="e">
        <f t="shared" si="28"/>
        <v>#REF!</v>
      </c>
      <c r="L90" s="406">
        <f t="shared" si="29"/>
        <v>0</v>
      </c>
      <c r="M90" s="406">
        <f t="shared" si="30"/>
        <v>0</v>
      </c>
      <c r="N90" s="407"/>
      <c r="O90" s="371">
        <f t="shared" si="31"/>
        <v>0</v>
      </c>
    </row>
    <row r="91" spans="1:15" s="370" customFormat="1" ht="24.95" customHeight="1">
      <c r="A91" s="397"/>
      <c r="B91" s="401" t="s">
        <v>3447</v>
      </c>
      <c r="C91" s="409"/>
      <c r="D91" s="402">
        <f>IF(B91&lt;&gt;"",VLOOKUP(B91,R_DG!$A$7:$G$1305,2,0),"")</f>
        <v>0</v>
      </c>
      <c r="E91" s="403" t="str">
        <f>VLOOKUP(B91,R_DG!$A$7:$G$1305,3,0)</f>
        <v>Boulon 16x450VRS+ 4 long đền vuông D18-50x50x3/Zn</v>
      </c>
      <c r="F91" s="402" t="str">
        <f>VLOOKUP(B91,R_DG!$A$7:$G$1305,4,0)</f>
        <v>bộ</v>
      </c>
      <c r="G91" s="404">
        <f t="shared" si="23"/>
        <v>0</v>
      </c>
      <c r="H91" s="405" t="e">
        <f>VLOOKUP(B91,R_DG!$A$7:$G$1305,5,0)</f>
        <v>#REF!</v>
      </c>
      <c r="I91" s="405">
        <f>VLOOKUP(B91,R_DG!$A$7:$G$1305,6,0)</f>
        <v>0</v>
      </c>
      <c r="J91" s="405">
        <f>VLOOKUP(B91,R_DG!$A$7:$G$1305,7,0)</f>
        <v>0</v>
      </c>
      <c r="K91" s="406" t="e">
        <f t="shared" si="28"/>
        <v>#REF!</v>
      </c>
      <c r="L91" s="406">
        <f t="shared" si="29"/>
        <v>0</v>
      </c>
      <c r="M91" s="406">
        <f t="shared" si="30"/>
        <v>0</v>
      </c>
      <c r="N91" s="407"/>
      <c r="O91" s="371">
        <f t="shared" si="31"/>
        <v>0</v>
      </c>
    </row>
    <row r="92" spans="1:15" s="370" customFormat="1" ht="24.95" customHeight="1">
      <c r="A92" s="397"/>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ref="K92:K94" si="32">H92*G92</f>
        <v>#REF!</v>
      </c>
      <c r="L92" s="406">
        <f t="shared" ref="L92:L94" si="33">I92*G92</f>
        <v>0</v>
      </c>
      <c r="M92" s="406">
        <f t="shared" ref="M92:M94" si="34">J92*G92</f>
        <v>0</v>
      </c>
      <c r="N92" s="407"/>
      <c r="O92" s="371">
        <f t="shared" ref="O92:O94" si="35">IF(SUM(G92:G92)&gt;0,1,0)</f>
        <v>0</v>
      </c>
    </row>
    <row r="93" spans="1:15" s="370" customFormat="1" ht="24.95" customHeight="1">
      <c r="A93" s="397"/>
      <c r="B93" s="401" t="s">
        <v>3449</v>
      </c>
      <c r="C93" s="409"/>
      <c r="D93" s="402">
        <f>IF(B93&lt;&gt;"",VLOOKUP(B93,R_DG!$A$7:$G$1305,2,0),"")</f>
        <v>0</v>
      </c>
      <c r="E93" s="403" t="str">
        <f>VLOOKUP(B93,R_DG!$A$7:$G$1305,3,0)</f>
        <v>Boulon 16x650VRS+ 4 long đền vuông D18-50x50x3/Zn</v>
      </c>
      <c r="F93" s="402" t="str">
        <f>VLOOKUP(B93,R_DG!$A$7:$G$1305,4,0)</f>
        <v>bộ</v>
      </c>
      <c r="G93" s="404">
        <f t="shared" si="23"/>
        <v>0</v>
      </c>
      <c r="H93" s="405" t="e">
        <f>VLOOKUP(B93,R_DG!$A$7:$G$1305,5,0)</f>
        <v>#REF!</v>
      </c>
      <c r="I93" s="405">
        <f>VLOOKUP(B93,R_DG!$A$7:$G$1305,6,0)</f>
        <v>0</v>
      </c>
      <c r="J93" s="405">
        <f>VLOOKUP(B93,R_DG!$A$7:$G$1305,7,0)</f>
        <v>0</v>
      </c>
      <c r="K93" s="406" t="e">
        <f t="shared" si="32"/>
        <v>#REF!</v>
      </c>
      <c r="L93" s="406">
        <f t="shared" si="33"/>
        <v>0</v>
      </c>
      <c r="M93" s="406">
        <f t="shared" si="34"/>
        <v>0</v>
      </c>
      <c r="N93" s="407"/>
      <c r="O93" s="371">
        <f t="shared" si="35"/>
        <v>0</v>
      </c>
    </row>
    <row r="94" spans="1:15" s="370" customFormat="1" ht="24.95" customHeight="1">
      <c r="A94" s="397"/>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32"/>
        <v>#REF!</v>
      </c>
      <c r="L94" s="406">
        <f t="shared" si="33"/>
        <v>0</v>
      </c>
      <c r="M94" s="406">
        <f t="shared" si="34"/>
        <v>0</v>
      </c>
      <c r="N94" s="407"/>
      <c r="O94" s="371">
        <f t="shared" si="35"/>
        <v>0</v>
      </c>
    </row>
    <row r="95" spans="1:15" s="370" customFormat="1" ht="24.95" customHeight="1">
      <c r="A95" s="397"/>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ref="K95:K162" si="36">H95*G95</f>
        <v>0</v>
      </c>
      <c r="L95" s="406">
        <f t="shared" ref="L95:L162" si="37">I95*G95</f>
        <v>0</v>
      </c>
      <c r="M95" s="406">
        <f t="shared" ref="M95:M162" si="38">J95*G95</f>
        <v>0</v>
      </c>
      <c r="N95" s="407"/>
      <c r="O95" s="371">
        <f t="shared" ref="O95:O162" si="39">IF(SUM(G95:G95)&gt;0,1,0)</f>
        <v>0</v>
      </c>
    </row>
    <row r="96" spans="1:15" s="370" customFormat="1" ht="24.95" customHeight="1">
      <c r="A96" s="397" t="s">
        <v>4586</v>
      </c>
      <c r="B96" s="401"/>
      <c r="C96" s="411">
        <f>IF(G96&gt;0,COUNTIF($C$17:C95,"&gt;0")+1,0)</f>
        <v>0</v>
      </c>
      <c r="D96" s="411" t="str">
        <f>IF(B96&lt;&gt;"",VLOOKUP(B96,R_DG!$A$7:$G$1305,2,0),"")</f>
        <v/>
      </c>
      <c r="E96" s="411" t="s">
        <v>4587</v>
      </c>
      <c r="F96" s="411" t="s">
        <v>163</v>
      </c>
      <c r="G96" s="411"/>
      <c r="H96" s="411"/>
      <c r="I96" s="411"/>
      <c r="J96" s="411"/>
      <c r="K96" s="411">
        <f t="shared" si="36"/>
        <v>0</v>
      </c>
      <c r="L96" s="411">
        <f t="shared" si="37"/>
        <v>0</v>
      </c>
      <c r="M96" s="411">
        <f t="shared" si="38"/>
        <v>0</v>
      </c>
      <c r="N96" s="410"/>
      <c r="O96" s="371">
        <f t="shared" si="39"/>
        <v>0</v>
      </c>
    </row>
    <row r="97" spans="1:15" s="370" customFormat="1" ht="24.95" customHeight="1">
      <c r="A97" s="397"/>
      <c r="B97" s="401"/>
      <c r="C97" s="408"/>
      <c r="D97" s="402" t="str">
        <f>IF(B97&lt;&gt;"",VLOOKUP(B97,R_DG!$A$7:$G$1305,2,0),"")</f>
        <v/>
      </c>
      <c r="E97" s="379" t="s">
        <v>4646</v>
      </c>
      <c r="F97" s="819" t="s">
        <v>37</v>
      </c>
      <c r="G97" s="819">
        <f>G96*8</f>
        <v>0</v>
      </c>
      <c r="H97" s="406"/>
      <c r="I97" s="406"/>
      <c r="J97" s="405"/>
      <c r="K97" s="406">
        <f t="shared" si="36"/>
        <v>0</v>
      </c>
      <c r="L97" s="406">
        <f t="shared" si="37"/>
        <v>0</v>
      </c>
      <c r="M97" s="406">
        <f t="shared" si="38"/>
        <v>0</v>
      </c>
      <c r="N97" s="407"/>
      <c r="O97" s="371">
        <f t="shared" si="39"/>
        <v>0</v>
      </c>
    </row>
    <row r="98" spans="1:15" s="370" customFormat="1" ht="24.95" customHeight="1">
      <c r="A98" s="397"/>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ref="K98:K100" si="40">H98*G98</f>
        <v>0</v>
      </c>
      <c r="L98" s="406">
        <f t="shared" ref="L98:L100" si="41">I98*G98</f>
        <v>0</v>
      </c>
      <c r="M98" s="406">
        <f t="shared" ref="M98:M100" si="42">J98*G98</f>
        <v>0</v>
      </c>
      <c r="N98" s="407"/>
      <c r="O98" s="371">
        <f t="shared" ref="O98:O100" si="43">IF(SUM(G98:G98)&gt;0,1,0)</f>
        <v>0</v>
      </c>
    </row>
    <row r="99" spans="1:15" s="370" customFormat="1" ht="24.95" customHeight="1">
      <c r="A99" s="397"/>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0"/>
        <v>0</v>
      </c>
      <c r="L99" s="406">
        <f t="shared" si="41"/>
        <v>0</v>
      </c>
      <c r="M99" s="406">
        <f t="shared" si="42"/>
        <v>0</v>
      </c>
      <c r="N99" s="407"/>
      <c r="O99" s="371">
        <f t="shared" si="43"/>
        <v>0</v>
      </c>
    </row>
    <row r="100" spans="1:15" s="370" customFormat="1" ht="24.95" customHeight="1">
      <c r="A100" s="397"/>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0"/>
        <v>0</v>
      </c>
      <c r="L100" s="406">
        <f t="shared" si="41"/>
        <v>0</v>
      </c>
      <c r="M100" s="406">
        <f t="shared" si="42"/>
        <v>0</v>
      </c>
      <c r="N100" s="407"/>
      <c r="O100" s="371">
        <f t="shared" si="43"/>
        <v>0</v>
      </c>
    </row>
    <row r="101" spans="1:15" s="370" customFormat="1" ht="24.95" customHeight="1">
      <c r="A101" s="397"/>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36"/>
        <v>0</v>
      </c>
      <c r="L101" s="406">
        <f t="shared" si="37"/>
        <v>0</v>
      </c>
      <c r="M101" s="406">
        <f t="shared" si="38"/>
        <v>0</v>
      </c>
      <c r="N101" s="407"/>
      <c r="O101" s="371">
        <f t="shared" si="39"/>
        <v>0</v>
      </c>
    </row>
    <row r="102" spans="1:15" s="370" customFormat="1" ht="24.95" customHeight="1">
      <c r="A102" s="397"/>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36"/>
        <v>0</v>
      </c>
      <c r="L102" s="406">
        <f t="shared" si="37"/>
        <v>0</v>
      </c>
      <c r="M102" s="406">
        <f t="shared" si="38"/>
        <v>0</v>
      </c>
      <c r="N102" s="407"/>
      <c r="O102" s="371">
        <f t="shared" si="39"/>
        <v>0</v>
      </c>
    </row>
    <row r="103" spans="1:15" s="370" customFormat="1" ht="24.95" customHeight="1">
      <c r="A103" s="397"/>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ref="K103" si="44">H103*G103</f>
        <v>0</v>
      </c>
      <c r="L103" s="406">
        <f t="shared" ref="L103" si="45">I103*G103</f>
        <v>0</v>
      </c>
      <c r="M103" s="406">
        <f t="shared" ref="M103" si="46">J103*G103</f>
        <v>0</v>
      </c>
      <c r="N103" s="407"/>
      <c r="O103" s="371">
        <f t="shared" ref="O103" si="47">IF(SUM(G103:G103)&gt;0,1,0)</f>
        <v>0</v>
      </c>
    </row>
    <row r="104" spans="1:15" s="370" customFormat="1" ht="24.95" customHeight="1">
      <c r="A104" s="397"/>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ref="K104" si="48">H104*G104</f>
        <v>0</v>
      </c>
      <c r="L104" s="406">
        <f t="shared" ref="L104" si="49">I104*G104</f>
        <v>0</v>
      </c>
      <c r="M104" s="406">
        <f t="shared" ref="M104" si="50">J104*G104</f>
        <v>0</v>
      </c>
      <c r="N104" s="407"/>
      <c r="O104" s="371">
        <f t="shared" ref="O104" si="51">IF(SUM(G104:G104)&gt;0,1,0)</f>
        <v>0</v>
      </c>
    </row>
    <row r="105" spans="1:15" s="370" customFormat="1" ht="24.95" customHeight="1">
      <c r="A105" s="397"/>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IF(SUM(G105:G105)&gt;0,1,0)</f>
        <v>0</v>
      </c>
    </row>
    <row r="106" spans="1:15" s="370" customFormat="1" ht="24.95" customHeight="1">
      <c r="A106" s="397"/>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IF(SUM(G106:G106)&gt;0,1,0)</f>
        <v>0</v>
      </c>
    </row>
    <row r="107" spans="1:15" s="370" customFormat="1" ht="24.95" customHeight="1">
      <c r="A107" s="397"/>
      <c r="B107" s="401"/>
      <c r="C107" s="408"/>
      <c r="D107" s="402" t="str">
        <f>IF(B107&lt;&gt;"",VLOOKUP(B107,R_DG!$A$7:$G$1305,2,0),"")</f>
        <v/>
      </c>
      <c r="E107" s="379" t="s">
        <v>4645</v>
      </c>
      <c r="F107" s="819" t="s">
        <v>37</v>
      </c>
      <c r="G107" s="819">
        <f>G96*1</f>
        <v>0</v>
      </c>
      <c r="H107" s="406"/>
      <c r="I107" s="406"/>
      <c r="J107" s="405"/>
      <c r="K107" s="406">
        <f t="shared" ref="K107:K114" si="52">H107*G107</f>
        <v>0</v>
      </c>
      <c r="L107" s="406">
        <f t="shared" ref="L107:L114" si="53">I107*G107</f>
        <v>0</v>
      </c>
      <c r="M107" s="406">
        <f t="shared" ref="M107:M114" si="54">J107*G107</f>
        <v>0</v>
      </c>
      <c r="N107" s="407"/>
      <c r="O107" s="371">
        <f t="shared" ref="O107:O114" si="55">IF(SUM(G107:G107)&gt;0,1,0)</f>
        <v>0</v>
      </c>
    </row>
    <row r="108" spans="1:15" s="370" customFormat="1" ht="24.95" customHeight="1">
      <c r="A108" s="397"/>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52"/>
        <v>0</v>
      </c>
      <c r="L108" s="406">
        <f t="shared" si="53"/>
        <v>0</v>
      </c>
      <c r="M108" s="406">
        <f t="shared" si="54"/>
        <v>0</v>
      </c>
      <c r="N108" s="407"/>
      <c r="O108" s="371">
        <f t="shared" si="55"/>
        <v>0</v>
      </c>
    </row>
    <row r="109" spans="1:15" s="370" customFormat="1" ht="24.95" customHeight="1">
      <c r="A109" s="397"/>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52"/>
        <v>0</v>
      </c>
      <c r="L109" s="406">
        <f t="shared" si="53"/>
        <v>0</v>
      </c>
      <c r="M109" s="406">
        <f t="shared" si="54"/>
        <v>0</v>
      </c>
      <c r="N109" s="407"/>
      <c r="O109" s="371">
        <f t="shared" si="55"/>
        <v>0</v>
      </c>
    </row>
    <row r="110" spans="1:15" s="370" customFormat="1" ht="24.95" customHeight="1">
      <c r="A110" s="397"/>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52"/>
        <v>0</v>
      </c>
      <c r="L110" s="406">
        <f t="shared" si="53"/>
        <v>0</v>
      </c>
      <c r="M110" s="406">
        <f t="shared" si="54"/>
        <v>0</v>
      </c>
      <c r="N110" s="407"/>
      <c r="O110" s="371">
        <f t="shared" si="55"/>
        <v>0</v>
      </c>
    </row>
    <row r="111" spans="1:15" s="370" customFormat="1" ht="24.95" customHeight="1">
      <c r="A111" s="397"/>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52"/>
        <v>0</v>
      </c>
      <c r="L111" s="406">
        <f t="shared" si="53"/>
        <v>0</v>
      </c>
      <c r="M111" s="406">
        <f t="shared" si="54"/>
        <v>0</v>
      </c>
      <c r="N111" s="407"/>
      <c r="O111" s="371">
        <f t="shared" si="55"/>
        <v>0</v>
      </c>
    </row>
    <row r="112" spans="1:15" s="370" customFormat="1" ht="24.95" customHeight="1">
      <c r="A112" s="397"/>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52"/>
        <v>0</v>
      </c>
      <c r="L112" s="406">
        <f t="shared" si="53"/>
        <v>0</v>
      </c>
      <c r="M112" s="406">
        <f t="shared" si="54"/>
        <v>0</v>
      </c>
      <c r="N112" s="407"/>
      <c r="O112" s="371">
        <f t="shared" si="55"/>
        <v>0</v>
      </c>
    </row>
    <row r="113" spans="1:15" s="370" customFormat="1" ht="24.95" customHeight="1">
      <c r="A113" s="397"/>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52"/>
        <v>0</v>
      </c>
      <c r="L113" s="406">
        <f t="shared" si="53"/>
        <v>0</v>
      </c>
      <c r="M113" s="406">
        <f t="shared" si="54"/>
        <v>0</v>
      </c>
      <c r="N113" s="407"/>
      <c r="O113" s="371">
        <f t="shared" si="55"/>
        <v>0</v>
      </c>
    </row>
    <row r="114" spans="1:15" s="370" customFormat="1" ht="24.95" customHeight="1">
      <c r="A114" s="397"/>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52"/>
        <v>0</v>
      </c>
      <c r="L114" s="406">
        <f t="shared" si="53"/>
        <v>0</v>
      </c>
      <c r="M114" s="406">
        <f t="shared" si="54"/>
        <v>0</v>
      </c>
      <c r="N114" s="407"/>
      <c r="O114" s="371">
        <f t="shared" si="55"/>
        <v>0</v>
      </c>
    </row>
    <row r="115" spans="1:15" s="370" customFormat="1" ht="24.95" customHeight="1">
      <c r="A115" s="397"/>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IF(SUM(G115:G115)&gt;0,1,0)</f>
        <v>0</v>
      </c>
    </row>
    <row r="116" spans="1:15" s="370" customFormat="1" ht="24.95" customHeight="1">
      <c r="A116" s="397"/>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IF(SUM(G116:G116)&gt;0,1,0)</f>
        <v>0</v>
      </c>
    </row>
    <row r="117" spans="1:15" s="370" customFormat="1" ht="24.95" customHeight="1">
      <c r="A117" s="397"/>
      <c r="B117" s="401"/>
      <c r="C117" s="408"/>
      <c r="D117" s="402" t="str">
        <f>IF(B117&lt;&gt;"",VLOOKUP(B117,R_DG!$A$7:$G$1305,2,0),"")</f>
        <v/>
      </c>
      <c r="E117" s="379" t="s">
        <v>4630</v>
      </c>
      <c r="F117" s="819" t="s">
        <v>37</v>
      </c>
      <c r="G117" s="819">
        <f>G96*10</f>
        <v>0</v>
      </c>
      <c r="H117" s="406"/>
      <c r="I117" s="406"/>
      <c r="J117" s="405"/>
      <c r="K117" s="406">
        <f t="shared" ref="K117:K160" si="56">H117*G117</f>
        <v>0</v>
      </c>
      <c r="L117" s="406">
        <f t="shared" ref="L117:L160" si="57">I117*G117</f>
        <v>0</v>
      </c>
      <c r="M117" s="406">
        <f t="shared" ref="M117:M160" si="58">J117*G117</f>
        <v>0</v>
      </c>
      <c r="N117" s="407"/>
      <c r="O117" s="371">
        <f t="shared" ref="O117:O160" si="59">IF(SUM(G117:G117)&gt;0,1,0)</f>
        <v>0</v>
      </c>
    </row>
    <row r="118" spans="1:15" s="370" customFormat="1" ht="24.95" customHeight="1">
      <c r="A118" s="397"/>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56"/>
        <v>0</v>
      </c>
      <c r="L118" s="406">
        <f t="shared" si="57"/>
        <v>0</v>
      </c>
      <c r="M118" s="406">
        <f t="shared" si="58"/>
        <v>0</v>
      </c>
      <c r="N118" s="407"/>
      <c r="O118" s="371">
        <f t="shared" si="59"/>
        <v>0</v>
      </c>
    </row>
    <row r="119" spans="1:15" s="370" customFormat="1" ht="24.95" customHeight="1">
      <c r="A119" s="397"/>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56"/>
        <v>0</v>
      </c>
      <c r="L119" s="406">
        <f t="shared" si="57"/>
        <v>0</v>
      </c>
      <c r="M119" s="406">
        <f t="shared" si="58"/>
        <v>0</v>
      </c>
      <c r="N119" s="407"/>
      <c r="O119" s="371">
        <f t="shared" si="59"/>
        <v>0</v>
      </c>
    </row>
    <row r="120" spans="1:15" s="370" customFormat="1" ht="24.95" customHeight="1">
      <c r="A120" s="397"/>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56"/>
        <v>0</v>
      </c>
      <c r="L120" s="406">
        <f t="shared" si="57"/>
        <v>0</v>
      </c>
      <c r="M120" s="406">
        <f t="shared" si="58"/>
        <v>0</v>
      </c>
      <c r="N120" s="407"/>
      <c r="O120" s="371">
        <f t="shared" si="59"/>
        <v>0</v>
      </c>
    </row>
    <row r="121" spans="1:15" s="370" customFormat="1" ht="24.95" customHeight="1">
      <c r="A121" s="397"/>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56"/>
        <v>0</v>
      </c>
      <c r="L121" s="406">
        <f t="shared" si="57"/>
        <v>0</v>
      </c>
      <c r="M121" s="406">
        <f t="shared" si="58"/>
        <v>0</v>
      </c>
      <c r="N121" s="407"/>
      <c r="O121" s="371">
        <f t="shared" si="59"/>
        <v>0</v>
      </c>
    </row>
    <row r="122" spans="1:15" s="370" customFormat="1" ht="24.95" customHeight="1">
      <c r="A122" s="397"/>
      <c r="B122" s="401"/>
      <c r="C122" s="408"/>
      <c r="D122" s="402" t="str">
        <f>IF(B122&lt;&gt;"",VLOOKUP(B122,R_DG!$A$7:$G$1305,2,0),"")</f>
        <v/>
      </c>
      <c r="E122" s="379" t="s">
        <v>4631</v>
      </c>
      <c r="F122" s="819" t="s">
        <v>37</v>
      </c>
      <c r="G122" s="819">
        <f>G96*3</f>
        <v>0</v>
      </c>
      <c r="H122" s="406"/>
      <c r="I122" s="406"/>
      <c r="J122" s="405"/>
      <c r="K122" s="406">
        <f t="shared" ref="K122:K127" si="60">H122*G122</f>
        <v>0</v>
      </c>
      <c r="L122" s="406">
        <f t="shared" ref="L122:L127" si="61">I122*G122</f>
        <v>0</v>
      </c>
      <c r="M122" s="406">
        <f t="shared" ref="M122:M127" si="62">J122*G122</f>
        <v>0</v>
      </c>
      <c r="N122" s="407"/>
      <c r="O122" s="371">
        <f t="shared" ref="O122:O127" si="63">IF(SUM(G122:G122)&gt;0,1,0)</f>
        <v>0</v>
      </c>
    </row>
    <row r="123" spans="1:15" s="370" customFormat="1" ht="24.95" customHeight="1">
      <c r="A123" s="397"/>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60"/>
        <v>0</v>
      </c>
      <c r="L123" s="406">
        <f t="shared" si="61"/>
        <v>0</v>
      </c>
      <c r="M123" s="406">
        <f t="shared" si="62"/>
        <v>0</v>
      </c>
      <c r="N123" s="407"/>
      <c r="O123" s="371">
        <f t="shared" si="63"/>
        <v>0</v>
      </c>
    </row>
    <row r="124" spans="1:15" s="370" customFormat="1" ht="24.95" customHeight="1">
      <c r="A124" s="397"/>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ref="K124" si="64">H124*G124</f>
        <v>0</v>
      </c>
      <c r="L124" s="406">
        <f t="shared" ref="L124" si="65">I124*G124</f>
        <v>0</v>
      </c>
      <c r="M124" s="406">
        <f t="shared" ref="M124" si="66">J124*G124</f>
        <v>0</v>
      </c>
      <c r="N124" s="407"/>
      <c r="O124" s="371">
        <f t="shared" ref="O124" si="67">IF(SUM(G124:G124)&gt;0,1,0)</f>
        <v>0</v>
      </c>
    </row>
    <row r="125" spans="1:15" s="370" customFormat="1" ht="24.95" customHeight="1">
      <c r="A125" s="397"/>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60"/>
        <v>0</v>
      </c>
      <c r="L125" s="406">
        <f t="shared" si="61"/>
        <v>0</v>
      </c>
      <c r="M125" s="406">
        <f t="shared" si="62"/>
        <v>0</v>
      </c>
      <c r="N125" s="407"/>
      <c r="O125" s="371">
        <f t="shared" si="63"/>
        <v>0</v>
      </c>
    </row>
    <row r="126" spans="1:15" s="370" customFormat="1" ht="24.95" customHeight="1">
      <c r="A126" s="397"/>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60"/>
        <v>0</v>
      </c>
      <c r="L126" s="406">
        <f t="shared" si="61"/>
        <v>0</v>
      </c>
      <c r="M126" s="406">
        <f t="shared" si="62"/>
        <v>0</v>
      </c>
      <c r="N126" s="407"/>
      <c r="O126" s="371">
        <f t="shared" si="63"/>
        <v>0</v>
      </c>
    </row>
    <row r="127" spans="1:15" s="370" customFormat="1" ht="24.95" customHeight="1">
      <c r="A127" s="397"/>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60"/>
        <v>0</v>
      </c>
      <c r="L127" s="406">
        <f t="shared" si="61"/>
        <v>0</v>
      </c>
      <c r="M127" s="406">
        <f t="shared" si="62"/>
        <v>0</v>
      </c>
      <c r="N127" s="407"/>
      <c r="O127" s="371">
        <f t="shared" si="63"/>
        <v>0</v>
      </c>
    </row>
    <row r="128" spans="1:15" s="370" customFormat="1" ht="24.95" customHeight="1">
      <c r="A128" s="397"/>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56"/>
        <v>0</v>
      </c>
      <c r="L128" s="406">
        <f t="shared" si="57"/>
        <v>0</v>
      </c>
      <c r="M128" s="406">
        <f t="shared" si="58"/>
        <v>0</v>
      </c>
      <c r="N128" s="407"/>
      <c r="O128" s="371">
        <f t="shared" si="59"/>
        <v>0</v>
      </c>
    </row>
    <row r="129" spans="1:15" s="370" customFormat="1" ht="24.95" customHeight="1">
      <c r="A129" s="397"/>
      <c r="B129" s="401"/>
      <c r="C129" s="408"/>
      <c r="D129" s="402" t="str">
        <f>IF(B129&lt;&gt;"",VLOOKUP(B129,R_DG!$A$7:$G$1305,2,0),"")</f>
        <v/>
      </c>
      <c r="E129" s="379" t="s">
        <v>4637</v>
      </c>
      <c r="F129" s="819" t="s">
        <v>37</v>
      </c>
      <c r="G129" s="819">
        <f>G96*1</f>
        <v>0</v>
      </c>
      <c r="H129" s="406"/>
      <c r="I129" s="406"/>
      <c r="J129" s="405"/>
      <c r="K129" s="406">
        <f t="shared" si="56"/>
        <v>0</v>
      </c>
      <c r="L129" s="406">
        <f t="shared" si="57"/>
        <v>0</v>
      </c>
      <c r="M129" s="406">
        <f t="shared" si="58"/>
        <v>0</v>
      </c>
      <c r="N129" s="407"/>
      <c r="O129" s="371">
        <f t="shared" si="59"/>
        <v>0</v>
      </c>
    </row>
    <row r="130" spans="1:15" s="370" customFormat="1" ht="24.95" customHeight="1">
      <c r="A130" s="397"/>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56"/>
        <v>0</v>
      </c>
      <c r="L130" s="406">
        <f t="shared" si="57"/>
        <v>0</v>
      </c>
      <c r="M130" s="406">
        <f t="shared" si="58"/>
        <v>0</v>
      </c>
      <c r="N130" s="407"/>
      <c r="O130" s="371">
        <f t="shared" si="59"/>
        <v>0</v>
      </c>
    </row>
    <row r="131" spans="1:15" s="370" customFormat="1" ht="24.95" customHeight="1">
      <c r="A131" s="397"/>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56"/>
        <v>0</v>
      </c>
      <c r="L131" s="406">
        <f t="shared" si="57"/>
        <v>0</v>
      </c>
      <c r="M131" s="406">
        <f t="shared" si="58"/>
        <v>0</v>
      </c>
      <c r="N131" s="407"/>
      <c r="O131" s="371">
        <f t="shared" si="59"/>
        <v>0</v>
      </c>
    </row>
    <row r="132" spans="1:15" s="370" customFormat="1" ht="24.95" customHeight="1">
      <c r="A132" s="397"/>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56"/>
        <v>0</v>
      </c>
      <c r="L132" s="406">
        <f t="shared" si="57"/>
        <v>0</v>
      </c>
      <c r="M132" s="406">
        <f t="shared" si="58"/>
        <v>0</v>
      </c>
      <c r="N132" s="407"/>
      <c r="O132" s="371">
        <f t="shared" si="59"/>
        <v>0</v>
      </c>
    </row>
    <row r="133" spans="1:15" s="370" customFormat="1" ht="24.95" customHeight="1">
      <c r="A133" s="397"/>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56"/>
        <v>0</v>
      </c>
      <c r="L133" s="406">
        <f t="shared" si="57"/>
        <v>0</v>
      </c>
      <c r="M133" s="406">
        <f t="shared" si="58"/>
        <v>0</v>
      </c>
      <c r="N133" s="407"/>
      <c r="O133" s="371">
        <f t="shared" si="59"/>
        <v>0</v>
      </c>
    </row>
    <row r="134" spans="1:15" s="370" customFormat="1" ht="24.95" customHeight="1">
      <c r="A134" s="397"/>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56"/>
        <v>0</v>
      </c>
      <c r="L134" s="406">
        <f t="shared" si="57"/>
        <v>0</v>
      </c>
      <c r="M134" s="406">
        <f t="shared" si="58"/>
        <v>0</v>
      </c>
      <c r="N134" s="407"/>
      <c r="O134" s="371">
        <f t="shared" si="59"/>
        <v>0</v>
      </c>
    </row>
    <row r="135" spans="1:15" s="370" customFormat="1" ht="24.95" customHeight="1">
      <c r="A135" s="397"/>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ref="K135:K144" si="68">H135*G135</f>
        <v>0</v>
      </c>
      <c r="L135" s="406">
        <f t="shared" ref="L135:L144" si="69">I135*G135</f>
        <v>0</v>
      </c>
      <c r="M135" s="406">
        <f t="shared" ref="M135:M144" si="70">J135*G135</f>
        <v>0</v>
      </c>
      <c r="N135" s="407"/>
      <c r="O135" s="371">
        <f t="shared" ref="O135:O144" si="71">IF(SUM(G135:G135)&gt;0,1,0)</f>
        <v>0</v>
      </c>
    </row>
    <row r="136" spans="1:15" s="370" customFormat="1" ht="24.95" customHeight="1">
      <c r="A136" s="397"/>
      <c r="B136" s="401"/>
      <c r="C136" s="408"/>
      <c r="D136" s="402" t="str">
        <f>IF(B136&lt;&gt;"",VLOOKUP(B136,R_DG!$A$7:$G$1305,2,0),"")</f>
        <v/>
      </c>
      <c r="E136" s="379" t="s">
        <v>4638</v>
      </c>
      <c r="F136" s="819" t="s">
        <v>37</v>
      </c>
      <c r="G136" s="819">
        <f>G96*1</f>
        <v>0</v>
      </c>
      <c r="H136" s="406"/>
      <c r="I136" s="406"/>
      <c r="J136" s="405"/>
      <c r="K136" s="406">
        <f t="shared" si="68"/>
        <v>0</v>
      </c>
      <c r="L136" s="406">
        <f t="shared" si="69"/>
        <v>0</v>
      </c>
      <c r="M136" s="406">
        <f t="shared" si="70"/>
        <v>0</v>
      </c>
      <c r="N136" s="407"/>
      <c r="O136" s="371">
        <f t="shared" si="71"/>
        <v>0</v>
      </c>
    </row>
    <row r="137" spans="1:15" s="370" customFormat="1" ht="24.95" customHeight="1">
      <c r="A137" s="397"/>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68"/>
        <v>0</v>
      </c>
      <c r="L137" s="406">
        <f t="shared" si="69"/>
        <v>0</v>
      </c>
      <c r="M137" s="406">
        <f t="shared" si="70"/>
        <v>0</v>
      </c>
      <c r="N137" s="407"/>
      <c r="O137" s="371">
        <f t="shared" si="71"/>
        <v>0</v>
      </c>
    </row>
    <row r="138" spans="1:15" s="370" customFormat="1" ht="24.95" customHeight="1">
      <c r="A138" s="397"/>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68"/>
        <v>0</v>
      </c>
      <c r="L138" s="406">
        <f t="shared" si="69"/>
        <v>0</v>
      </c>
      <c r="M138" s="406">
        <f t="shared" si="70"/>
        <v>0</v>
      </c>
      <c r="N138" s="407"/>
      <c r="O138" s="371">
        <f t="shared" si="71"/>
        <v>0</v>
      </c>
    </row>
    <row r="139" spans="1:15" s="370" customFormat="1" ht="24.95" customHeight="1">
      <c r="A139" s="397"/>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68"/>
        <v>0</v>
      </c>
      <c r="L139" s="406">
        <f t="shared" si="69"/>
        <v>0</v>
      </c>
      <c r="M139" s="406">
        <f t="shared" si="70"/>
        <v>0</v>
      </c>
      <c r="N139" s="407"/>
      <c r="O139" s="371">
        <f t="shared" si="71"/>
        <v>0</v>
      </c>
    </row>
    <row r="140" spans="1:15" s="370" customFormat="1" ht="24.95" customHeight="1">
      <c r="A140" s="397"/>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68"/>
        <v>0</v>
      </c>
      <c r="L140" s="406">
        <f t="shared" si="69"/>
        <v>0</v>
      </c>
      <c r="M140" s="406">
        <f t="shared" si="70"/>
        <v>0</v>
      </c>
      <c r="N140" s="407"/>
      <c r="O140" s="371">
        <f t="shared" si="71"/>
        <v>0</v>
      </c>
    </row>
    <row r="141" spans="1:15" s="370" customFormat="1" ht="24.95" customHeight="1">
      <c r="A141" s="397"/>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ref="K141" si="72">H141*G141</f>
        <v>0</v>
      </c>
      <c r="L141" s="406">
        <f t="shared" ref="L141" si="73">I141*G141</f>
        <v>0</v>
      </c>
      <c r="M141" s="406">
        <f t="shared" ref="M141" si="74">J141*G141</f>
        <v>0</v>
      </c>
      <c r="N141" s="407"/>
      <c r="O141" s="371">
        <f t="shared" ref="O141" si="75">IF(SUM(G141:G141)&gt;0,1,0)</f>
        <v>0</v>
      </c>
    </row>
    <row r="142" spans="1:15" s="370" customFormat="1" ht="24.95" customHeight="1">
      <c r="A142" s="397"/>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ref="K142" si="76">H142*G142</f>
        <v>0</v>
      </c>
      <c r="L142" s="406">
        <f t="shared" ref="L142" si="77">I142*G142</f>
        <v>0</v>
      </c>
      <c r="M142" s="406">
        <f t="shared" ref="M142" si="78">J142*G142</f>
        <v>0</v>
      </c>
      <c r="N142" s="407"/>
      <c r="O142" s="371">
        <f t="shared" ref="O142" si="79">IF(SUM(G142:G142)&gt;0,1,0)</f>
        <v>0</v>
      </c>
    </row>
    <row r="143" spans="1:15" s="370" customFormat="1" ht="24.95" customHeight="1">
      <c r="A143" s="397"/>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ref="K143" si="80">H143*G143</f>
        <v>0</v>
      </c>
      <c r="L143" s="406">
        <f t="shared" ref="L143" si="81">I143*G143</f>
        <v>0</v>
      </c>
      <c r="M143" s="406">
        <f t="shared" ref="M143" si="82">J143*G143</f>
        <v>0</v>
      </c>
      <c r="N143" s="407"/>
      <c r="O143" s="371">
        <f t="shared" ref="O143" si="83">IF(SUM(G143:G143)&gt;0,1,0)</f>
        <v>0</v>
      </c>
    </row>
    <row r="144" spans="1:15" s="370" customFormat="1" ht="24.95" customHeight="1">
      <c r="A144" s="397"/>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68"/>
        <v>0</v>
      </c>
      <c r="L144" s="406">
        <f t="shared" si="69"/>
        <v>0</v>
      </c>
      <c r="M144" s="406">
        <f t="shared" si="70"/>
        <v>0</v>
      </c>
      <c r="N144" s="407"/>
      <c r="O144" s="371">
        <f t="shared" si="71"/>
        <v>0</v>
      </c>
    </row>
    <row r="145" spans="1:15" s="370" customFormat="1" ht="24.95" customHeight="1">
      <c r="A145" s="397"/>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ref="K145:K146" si="84">H145*G145</f>
        <v>0</v>
      </c>
      <c r="L145" s="406">
        <f t="shared" ref="L145:L146" si="85">I145*G145</f>
        <v>0</v>
      </c>
      <c r="M145" s="406">
        <f t="shared" ref="M145:M146" si="86">J145*G145</f>
        <v>0</v>
      </c>
      <c r="N145" s="407"/>
      <c r="O145" s="371">
        <f t="shared" ref="O145:O146" si="87">IF(SUM(G145:G145)&gt;0,1,0)</f>
        <v>0</v>
      </c>
    </row>
    <row r="146" spans="1:15" s="370" customFormat="1" ht="24.95" customHeight="1">
      <c r="A146" s="397"/>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84"/>
        <v>0</v>
      </c>
      <c r="L146" s="406">
        <f t="shared" si="85"/>
        <v>0</v>
      </c>
      <c r="M146" s="406">
        <f t="shared" si="86"/>
        <v>0</v>
      </c>
      <c r="N146" s="407"/>
      <c r="O146" s="371">
        <f t="shared" si="87"/>
        <v>0</v>
      </c>
    </row>
    <row r="147" spans="1:15" s="370" customFormat="1" ht="24.95" customHeight="1">
      <c r="A147" s="397"/>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ref="K147" si="88">H147*G147</f>
        <v>0</v>
      </c>
      <c r="L147" s="406">
        <f t="shared" ref="L147" si="89">I147*G147</f>
        <v>0</v>
      </c>
      <c r="M147" s="406">
        <f t="shared" ref="M147" si="90">J147*G147</f>
        <v>0</v>
      </c>
      <c r="N147" s="407"/>
      <c r="O147" s="371">
        <f t="shared" ref="O147" si="91">IF(SUM(G147:G147)&gt;0,1,0)</f>
        <v>0</v>
      </c>
    </row>
    <row r="148" spans="1:15" s="370" customFormat="1" ht="24.95" customHeight="1">
      <c r="A148" s="397"/>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56"/>
        <v>0</v>
      </c>
      <c r="L148" s="406">
        <f t="shared" si="57"/>
        <v>0</v>
      </c>
      <c r="M148" s="406">
        <f t="shared" si="58"/>
        <v>0</v>
      </c>
      <c r="N148" s="407"/>
      <c r="O148" s="371">
        <f t="shared" si="59"/>
        <v>0</v>
      </c>
    </row>
    <row r="149" spans="1:15" s="370" customFormat="1" ht="24.95" customHeight="1">
      <c r="A149" s="397"/>
      <c r="B149" s="401"/>
      <c r="C149" s="408"/>
      <c r="D149" s="402" t="str">
        <f>IF(B149&lt;&gt;"",VLOOKUP(B149,R_DG!$A$7:$G$1305,2,0),"")</f>
        <v/>
      </c>
      <c r="E149" s="379" t="s">
        <v>4647</v>
      </c>
      <c r="F149" s="819" t="s">
        <v>37</v>
      </c>
      <c r="G149" s="819">
        <f>G96*1</f>
        <v>0</v>
      </c>
      <c r="H149" s="406"/>
      <c r="I149" s="406"/>
      <c r="J149" s="405"/>
      <c r="K149" s="406">
        <f t="shared" si="56"/>
        <v>0</v>
      </c>
      <c r="L149" s="406">
        <f t="shared" si="57"/>
        <v>0</v>
      </c>
      <c r="M149" s="406">
        <f t="shared" si="58"/>
        <v>0</v>
      </c>
      <c r="N149" s="407"/>
      <c r="O149" s="371">
        <f t="shared" si="59"/>
        <v>0</v>
      </c>
    </row>
    <row r="150" spans="1:15" s="370" customFormat="1" ht="24.95" customHeight="1">
      <c r="A150" s="397"/>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56"/>
        <v>0</v>
      </c>
      <c r="L150" s="406">
        <f t="shared" si="57"/>
        <v>0</v>
      </c>
      <c r="M150" s="406">
        <f t="shared" si="58"/>
        <v>0</v>
      </c>
      <c r="N150" s="407"/>
      <c r="O150" s="371">
        <f t="shared" si="59"/>
        <v>0</v>
      </c>
    </row>
    <row r="151" spans="1:15" s="370" customFormat="1" ht="24.95" customHeight="1">
      <c r="A151" s="397"/>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56"/>
        <v>0</v>
      </c>
      <c r="L151" s="406">
        <f t="shared" si="57"/>
        <v>0</v>
      </c>
      <c r="M151" s="406">
        <f t="shared" si="58"/>
        <v>0</v>
      </c>
      <c r="N151" s="407"/>
      <c r="O151" s="371">
        <f t="shared" si="59"/>
        <v>0</v>
      </c>
    </row>
    <row r="152" spans="1:15" s="370" customFormat="1" ht="24.95" customHeight="1">
      <c r="A152" s="397"/>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56"/>
        <v>0</v>
      </c>
      <c r="L152" s="406">
        <f t="shared" si="57"/>
        <v>0</v>
      </c>
      <c r="M152" s="406">
        <f t="shared" si="58"/>
        <v>0</v>
      </c>
      <c r="N152" s="407"/>
      <c r="O152" s="371">
        <f t="shared" si="59"/>
        <v>0</v>
      </c>
    </row>
    <row r="153" spans="1:15" s="370" customFormat="1" ht="24.95" customHeight="1">
      <c r="A153" s="397"/>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56"/>
        <v>0</v>
      </c>
      <c r="L153" s="406">
        <f t="shared" si="57"/>
        <v>0</v>
      </c>
      <c r="M153" s="406">
        <f t="shared" si="58"/>
        <v>0</v>
      </c>
      <c r="N153" s="407"/>
      <c r="O153" s="371">
        <f t="shared" si="59"/>
        <v>0</v>
      </c>
    </row>
    <row r="154" spans="1:15" s="370" customFormat="1" ht="24.95" customHeight="1">
      <c r="A154" s="397"/>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56"/>
        <v>0</v>
      </c>
      <c r="L154" s="406">
        <f t="shared" si="57"/>
        <v>0</v>
      </c>
      <c r="M154" s="406">
        <f t="shared" si="58"/>
        <v>0</v>
      </c>
      <c r="N154" s="407"/>
      <c r="O154" s="371">
        <f t="shared" si="59"/>
        <v>0</v>
      </c>
    </row>
    <row r="155" spans="1:15" s="370" customFormat="1" ht="24.95" customHeight="1">
      <c r="A155" s="397"/>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56"/>
        <v>0</v>
      </c>
      <c r="L155" s="406">
        <f t="shared" si="57"/>
        <v>0</v>
      </c>
      <c r="M155" s="406">
        <f t="shared" si="58"/>
        <v>0</v>
      </c>
      <c r="N155" s="407"/>
      <c r="O155" s="371">
        <f t="shared" si="59"/>
        <v>0</v>
      </c>
    </row>
    <row r="156" spans="1:15" s="370" customFormat="1" ht="24.95" customHeight="1">
      <c r="A156" s="397"/>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56"/>
        <v>0</v>
      </c>
      <c r="L156" s="406">
        <f t="shared" si="57"/>
        <v>0</v>
      </c>
      <c r="M156" s="406">
        <f t="shared" si="58"/>
        <v>0</v>
      </c>
      <c r="N156" s="407"/>
      <c r="O156" s="371">
        <f t="shared" si="59"/>
        <v>0</v>
      </c>
    </row>
    <row r="157" spans="1:15" s="370" customFormat="1" ht="24.95" customHeight="1">
      <c r="A157" s="397"/>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56"/>
        <v>0</v>
      </c>
      <c r="L157" s="406">
        <f t="shared" si="57"/>
        <v>0</v>
      </c>
      <c r="M157" s="406">
        <f t="shared" si="58"/>
        <v>0</v>
      </c>
      <c r="N157" s="407"/>
      <c r="O157" s="371">
        <f t="shared" si="59"/>
        <v>0</v>
      </c>
    </row>
    <row r="158" spans="1:15" s="370" customFormat="1" ht="24.95" customHeight="1">
      <c r="A158" s="397"/>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56"/>
        <v>0</v>
      </c>
      <c r="L158" s="406">
        <f t="shared" si="57"/>
        <v>0</v>
      </c>
      <c r="M158" s="406">
        <f t="shared" si="58"/>
        <v>0</v>
      </c>
      <c r="N158" s="407"/>
      <c r="O158" s="371">
        <f t="shared" si="59"/>
        <v>0</v>
      </c>
    </row>
    <row r="159" spans="1:15" s="370" customFormat="1" ht="24.95" customHeight="1">
      <c r="A159" s="397"/>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56"/>
        <v>0</v>
      </c>
      <c r="L159" s="406">
        <f t="shared" si="57"/>
        <v>0</v>
      </c>
      <c r="M159" s="406">
        <f t="shared" si="58"/>
        <v>0</v>
      </c>
      <c r="N159" s="407"/>
      <c r="O159" s="371">
        <f t="shared" si="59"/>
        <v>0</v>
      </c>
    </row>
    <row r="160" spans="1:15" s="370" customFormat="1" ht="24.95" customHeight="1">
      <c r="A160" s="397"/>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56"/>
        <v>0</v>
      </c>
      <c r="L160" s="406">
        <f t="shared" si="57"/>
        <v>0</v>
      </c>
      <c r="M160" s="406">
        <f t="shared" si="58"/>
        <v>0</v>
      </c>
      <c r="N160" s="407"/>
      <c r="O160" s="371">
        <f t="shared" si="59"/>
        <v>0</v>
      </c>
    </row>
    <row r="161" spans="1:15" s="370" customFormat="1" ht="24.95" customHeight="1">
      <c r="A161" s="397"/>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36"/>
        <v>0</v>
      </c>
      <c r="L161" s="406">
        <f t="shared" si="37"/>
        <v>0</v>
      </c>
      <c r="M161" s="406">
        <f t="shared" si="38"/>
        <v>0</v>
      </c>
      <c r="N161" s="407"/>
      <c r="O161" s="371">
        <f t="shared" si="39"/>
        <v>0</v>
      </c>
    </row>
    <row r="162" spans="1:15" s="370" customFormat="1" ht="24.95" customHeight="1">
      <c r="A162" s="397"/>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36"/>
        <v>0</v>
      </c>
      <c r="L162" s="406">
        <f t="shared" si="37"/>
        <v>0</v>
      </c>
      <c r="M162" s="406">
        <f t="shared" si="38"/>
        <v>0</v>
      </c>
      <c r="N162" s="407"/>
      <c r="O162" s="371">
        <f t="shared" si="39"/>
        <v>0</v>
      </c>
    </row>
    <row r="163" spans="1:15" s="370" customFormat="1" ht="24.95" customHeight="1">
      <c r="A163" s="397"/>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ref="K163:K164" si="92">H163*G163</f>
        <v>0</v>
      </c>
      <c r="L163" s="406">
        <f t="shared" ref="L163:L164" si="93">I163*G163</f>
        <v>0</v>
      </c>
      <c r="M163" s="406">
        <f t="shared" ref="M163:M164" si="94">J163*G163</f>
        <v>0</v>
      </c>
      <c r="N163" s="407"/>
      <c r="O163" s="371">
        <f t="shared" ref="O163:O164" si="95">IF(SUM(G163:G163)&gt;0,1,0)</f>
        <v>0</v>
      </c>
    </row>
    <row r="164" spans="1:15" s="370" customFormat="1" ht="24.95" customHeight="1">
      <c r="A164" s="397"/>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92"/>
        <v>0</v>
      </c>
      <c r="L164" s="406">
        <f t="shared" si="93"/>
        <v>0</v>
      </c>
      <c r="M164" s="406">
        <f t="shared" si="94"/>
        <v>0</v>
      </c>
      <c r="N164" s="407"/>
      <c r="O164" s="371">
        <f t="shared" si="95"/>
        <v>0</v>
      </c>
    </row>
    <row r="165" spans="1:15" s="370" customFormat="1" ht="24.95" customHeight="1">
      <c r="A165" s="397"/>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ref="K165:K168" si="96">H165*G165</f>
        <v>0</v>
      </c>
      <c r="L165" s="406">
        <f t="shared" ref="L165:L168" si="97">I165*G165</f>
        <v>0</v>
      </c>
      <c r="M165" s="406">
        <f t="shared" ref="M165:M168" si="98">J165*G165</f>
        <v>0</v>
      </c>
      <c r="N165" s="407"/>
      <c r="O165" s="371">
        <f t="shared" ref="O165:O168" si="99">IF(SUM(G165:G165)&gt;0,1,0)</f>
        <v>0</v>
      </c>
    </row>
    <row r="166" spans="1:15" s="370" customFormat="1" ht="24.95" customHeight="1">
      <c r="A166" s="397"/>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96"/>
        <v>0</v>
      </c>
      <c r="L166" s="406">
        <f t="shared" si="97"/>
        <v>0</v>
      </c>
      <c r="M166" s="406">
        <f t="shared" si="98"/>
        <v>0</v>
      </c>
      <c r="N166" s="407"/>
      <c r="O166" s="371">
        <f t="shared" si="99"/>
        <v>0</v>
      </c>
    </row>
    <row r="167" spans="1:15" s="370" customFormat="1" ht="24.95" customHeight="1">
      <c r="A167" s="397"/>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96"/>
        <v>0</v>
      </c>
      <c r="L167" s="406">
        <f t="shared" si="97"/>
        <v>0</v>
      </c>
      <c r="M167" s="406">
        <f t="shared" si="98"/>
        <v>0</v>
      </c>
      <c r="N167" s="407"/>
      <c r="O167" s="371">
        <f t="shared" si="99"/>
        <v>0</v>
      </c>
    </row>
    <row r="168" spans="1:15" s="370" customFormat="1" ht="24.95" customHeight="1">
      <c r="A168" s="397"/>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96"/>
        <v>0</v>
      </c>
      <c r="L168" s="406">
        <f t="shared" si="97"/>
        <v>0</v>
      </c>
      <c r="M168" s="406">
        <f t="shared" si="98"/>
        <v>0</v>
      </c>
      <c r="N168" s="407"/>
      <c r="O168" s="371">
        <f t="shared" si="99"/>
        <v>0</v>
      </c>
    </row>
    <row r="169" spans="1:15" s="370" customFormat="1" ht="24.95" customHeight="1">
      <c r="A169" s="397"/>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ref="K169:K194" si="100">H169*G169</f>
        <v>0</v>
      </c>
      <c r="L169" s="406">
        <f t="shared" ref="L169:L194" si="101">I169*G169</f>
        <v>0</v>
      </c>
      <c r="M169" s="406">
        <f t="shared" ref="M169:M194" si="102">J169*G169</f>
        <v>0</v>
      </c>
      <c r="N169" s="407"/>
      <c r="O169" s="371">
        <f t="shared" ref="O169:O194" si="103">IF(SUM(G169:G169)&gt;0,1,0)</f>
        <v>0</v>
      </c>
    </row>
    <row r="170" spans="1:15" s="370" customFormat="1" ht="24.95"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100"/>
        <v>0</v>
      </c>
      <c r="L170" s="411">
        <f t="shared" si="101"/>
        <v>0</v>
      </c>
      <c r="M170" s="411">
        <f t="shared" si="102"/>
        <v>0</v>
      </c>
      <c r="N170" s="410"/>
      <c r="O170" s="371">
        <f t="shared" si="103"/>
        <v>0</v>
      </c>
    </row>
    <row r="171" spans="1:15" s="370" customFormat="1" ht="24.95" customHeight="1">
      <c r="A171" s="397"/>
      <c r="B171" s="401"/>
      <c r="C171" s="408"/>
      <c r="D171" s="402" t="str">
        <f>IF(B171&lt;&gt;"",VLOOKUP(B171,R_DG!$A$7:$G$1305,2,0),"")</f>
        <v/>
      </c>
      <c r="E171" s="379" t="s">
        <v>2432</v>
      </c>
      <c r="F171" s="409"/>
      <c r="G171" s="409"/>
      <c r="H171" s="406"/>
      <c r="I171" s="406"/>
      <c r="J171" s="405"/>
      <c r="K171" s="406">
        <f t="shared" si="100"/>
        <v>0</v>
      </c>
      <c r="L171" s="406">
        <f t="shared" si="101"/>
        <v>0</v>
      </c>
      <c r="M171" s="406">
        <f t="shared" si="102"/>
        <v>0</v>
      </c>
      <c r="N171" s="407"/>
      <c r="O171" s="371">
        <f t="shared" si="103"/>
        <v>0</v>
      </c>
    </row>
    <row r="172" spans="1:15" s="370" customFormat="1" ht="24.95" customHeight="1">
      <c r="A172" s="397"/>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100"/>
        <v>0</v>
      </c>
      <c r="L172" s="406">
        <f t="shared" si="101"/>
        <v>0</v>
      </c>
      <c r="M172" s="406">
        <f t="shared" si="102"/>
        <v>0</v>
      </c>
      <c r="N172" s="407"/>
      <c r="O172" s="371">
        <f t="shared" si="103"/>
        <v>0</v>
      </c>
    </row>
    <row r="173" spans="1:15" s="370" customFormat="1" ht="24.95" customHeight="1">
      <c r="A173" s="397"/>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100"/>
        <v>0</v>
      </c>
      <c r="L173" s="406">
        <f t="shared" si="101"/>
        <v>0</v>
      </c>
      <c r="M173" s="406">
        <f t="shared" si="102"/>
        <v>0</v>
      </c>
      <c r="N173" s="407"/>
      <c r="O173" s="371">
        <f t="shared" si="103"/>
        <v>0</v>
      </c>
    </row>
    <row r="174" spans="1:15" s="370" customFormat="1" ht="24.95" customHeight="1">
      <c r="A174" s="397"/>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100"/>
        <v>0</v>
      </c>
      <c r="L174" s="406">
        <f t="shared" si="101"/>
        <v>0</v>
      </c>
      <c r="M174" s="406">
        <f t="shared" si="102"/>
        <v>0</v>
      </c>
      <c r="N174" s="407"/>
      <c r="O174" s="371">
        <f t="shared" si="103"/>
        <v>0</v>
      </c>
    </row>
    <row r="175" spans="1:15" s="370" customFormat="1" ht="24.95" customHeight="1">
      <c r="A175" s="397"/>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100"/>
        <v>0</v>
      </c>
      <c r="L175" s="406">
        <f t="shared" si="101"/>
        <v>0</v>
      </c>
      <c r="M175" s="406">
        <f t="shared" si="102"/>
        <v>0</v>
      </c>
      <c r="N175" s="407"/>
      <c r="O175" s="371">
        <f t="shared" si="103"/>
        <v>0</v>
      </c>
    </row>
    <row r="176" spans="1:15" s="370" customFormat="1" ht="24.95" customHeight="1">
      <c r="A176" s="397"/>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100"/>
        <v>0</v>
      </c>
      <c r="L176" s="406">
        <f t="shared" si="101"/>
        <v>0</v>
      </c>
      <c r="M176" s="406">
        <f t="shared" si="102"/>
        <v>0</v>
      </c>
      <c r="N176" s="407"/>
      <c r="O176" s="371">
        <f t="shared" si="103"/>
        <v>0</v>
      </c>
    </row>
    <row r="177" spans="1:15" s="370" customFormat="1" ht="24.95" customHeight="1">
      <c r="A177" s="397"/>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100"/>
        <v>0</v>
      </c>
      <c r="L177" s="406">
        <f t="shared" si="101"/>
        <v>0</v>
      </c>
      <c r="M177" s="406">
        <f t="shared" si="102"/>
        <v>0</v>
      </c>
      <c r="N177" s="407"/>
      <c r="O177" s="371">
        <f t="shared" si="103"/>
        <v>0</v>
      </c>
    </row>
    <row r="178" spans="1:15" s="370" customFormat="1" ht="24.95" customHeight="1">
      <c r="A178" s="397"/>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100"/>
        <v>0</v>
      </c>
      <c r="L178" s="406">
        <f t="shared" si="101"/>
        <v>0</v>
      </c>
      <c r="M178" s="406">
        <f t="shared" si="102"/>
        <v>0</v>
      </c>
      <c r="N178" s="407"/>
      <c r="O178" s="371">
        <f t="shared" si="103"/>
        <v>0</v>
      </c>
    </row>
    <row r="179" spans="1:15" s="370" customFormat="1" ht="24.95" customHeight="1">
      <c r="A179" s="397"/>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100"/>
        <v>0</v>
      </c>
      <c r="L179" s="406">
        <f t="shared" si="101"/>
        <v>0</v>
      </c>
      <c r="M179" s="406">
        <f t="shared" si="102"/>
        <v>0</v>
      </c>
      <c r="N179" s="407"/>
      <c r="O179" s="371">
        <f t="shared" si="103"/>
        <v>0</v>
      </c>
    </row>
    <row r="180" spans="1:15" s="370" customFormat="1" ht="24.95" customHeight="1">
      <c r="A180" s="397"/>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100"/>
        <v>0</v>
      </c>
      <c r="L180" s="406">
        <f t="shared" si="101"/>
        <v>0</v>
      </c>
      <c r="M180" s="406">
        <f t="shared" si="102"/>
        <v>0</v>
      </c>
      <c r="N180" s="407"/>
      <c r="O180" s="371">
        <f t="shared" si="103"/>
        <v>0</v>
      </c>
    </row>
    <row r="181" spans="1:15" s="370" customFormat="1" ht="24.95" customHeight="1">
      <c r="A181" s="397"/>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100"/>
        <v>0</v>
      </c>
      <c r="L181" s="406">
        <f t="shared" si="101"/>
        <v>0</v>
      </c>
      <c r="M181" s="406">
        <f t="shared" si="102"/>
        <v>0</v>
      </c>
      <c r="N181" s="407"/>
      <c r="O181" s="371">
        <f t="shared" si="103"/>
        <v>0</v>
      </c>
    </row>
    <row r="182" spans="1:15" s="370" customFormat="1" ht="24.95" customHeight="1">
      <c r="A182" s="397"/>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100"/>
        <v>0</v>
      </c>
      <c r="L182" s="406">
        <f t="shared" si="101"/>
        <v>0</v>
      </c>
      <c r="M182" s="406">
        <f t="shared" si="102"/>
        <v>0</v>
      </c>
      <c r="N182" s="407"/>
      <c r="O182" s="371">
        <f t="shared" si="103"/>
        <v>0</v>
      </c>
    </row>
    <row r="183" spans="1:15" s="370" customFormat="1" ht="24.95" customHeight="1">
      <c r="A183" s="397"/>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100"/>
        <v>0</v>
      </c>
      <c r="L183" s="406">
        <f t="shared" si="101"/>
        <v>0</v>
      </c>
      <c r="M183" s="406">
        <f t="shared" si="102"/>
        <v>0</v>
      </c>
      <c r="N183" s="407"/>
      <c r="O183" s="371">
        <f t="shared" si="103"/>
        <v>0</v>
      </c>
    </row>
    <row r="184" spans="1:15" s="370" customFormat="1" ht="24.95" customHeight="1">
      <c r="A184" s="397"/>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100"/>
        <v>0</v>
      </c>
      <c r="L184" s="406">
        <f t="shared" si="101"/>
        <v>0</v>
      </c>
      <c r="M184" s="406">
        <f t="shared" si="102"/>
        <v>0</v>
      </c>
      <c r="N184" s="407"/>
      <c r="O184" s="371">
        <f t="shared" si="103"/>
        <v>0</v>
      </c>
    </row>
    <row r="185" spans="1:15" s="370" customFormat="1" ht="24.95" customHeight="1">
      <c r="A185" s="397"/>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100"/>
        <v>0</v>
      </c>
      <c r="L185" s="406">
        <f t="shared" si="101"/>
        <v>0</v>
      </c>
      <c r="M185" s="406">
        <f t="shared" si="102"/>
        <v>0</v>
      </c>
      <c r="N185" s="407"/>
      <c r="O185" s="371">
        <f t="shared" si="103"/>
        <v>0</v>
      </c>
    </row>
    <row r="186" spans="1:15" s="370" customFormat="1" ht="24.95" customHeight="1">
      <c r="A186" s="397"/>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100"/>
        <v>0</v>
      </c>
      <c r="L186" s="406">
        <f t="shared" si="101"/>
        <v>0</v>
      </c>
      <c r="M186" s="406">
        <f t="shared" si="102"/>
        <v>0</v>
      </c>
      <c r="N186" s="407"/>
      <c r="O186" s="371">
        <f t="shared" si="103"/>
        <v>0</v>
      </c>
    </row>
    <row r="187" spans="1:15" s="370" customFormat="1" ht="24.95" customHeight="1">
      <c r="A187" s="397"/>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100"/>
        <v>0</v>
      </c>
      <c r="L187" s="406">
        <f t="shared" si="101"/>
        <v>0</v>
      </c>
      <c r="M187" s="406">
        <f t="shared" si="102"/>
        <v>0</v>
      </c>
      <c r="N187" s="407"/>
      <c r="O187" s="371">
        <f t="shared" si="103"/>
        <v>0</v>
      </c>
    </row>
    <row r="188" spans="1:15" s="370" customFormat="1" ht="24.95" customHeight="1">
      <c r="A188" s="397"/>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100"/>
        <v>0</v>
      </c>
      <c r="L188" s="406">
        <f t="shared" si="101"/>
        <v>0</v>
      </c>
      <c r="M188" s="406">
        <f t="shared" si="102"/>
        <v>0</v>
      </c>
      <c r="N188" s="407"/>
      <c r="O188" s="371">
        <f t="shared" si="103"/>
        <v>0</v>
      </c>
    </row>
    <row r="189" spans="1:15" s="370" customFormat="1" ht="24.95" customHeight="1">
      <c r="A189" s="397"/>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100"/>
        <v>0</v>
      </c>
      <c r="L189" s="406">
        <f t="shared" si="101"/>
        <v>0</v>
      </c>
      <c r="M189" s="406">
        <f t="shared" si="102"/>
        <v>0</v>
      </c>
      <c r="N189" s="407"/>
      <c r="O189" s="371">
        <f t="shared" si="103"/>
        <v>0</v>
      </c>
    </row>
    <row r="190" spans="1:15" s="370" customFormat="1" ht="24.95" customHeight="1">
      <c r="A190" s="397"/>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100"/>
        <v>0</v>
      </c>
      <c r="L190" s="406">
        <f t="shared" si="101"/>
        <v>0</v>
      </c>
      <c r="M190" s="406">
        <f t="shared" si="102"/>
        <v>0</v>
      </c>
      <c r="N190" s="407"/>
      <c r="O190" s="371">
        <f t="shared" si="103"/>
        <v>0</v>
      </c>
    </row>
    <row r="191" spans="1:15" s="370" customFormat="1" ht="24.95" customHeight="1">
      <c r="A191" s="397"/>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100"/>
        <v>0</v>
      </c>
      <c r="L191" s="406">
        <f t="shared" si="101"/>
        <v>0</v>
      </c>
      <c r="M191" s="406">
        <f t="shared" si="102"/>
        <v>0</v>
      </c>
      <c r="N191" s="407"/>
      <c r="O191" s="371">
        <f t="shared" si="103"/>
        <v>0</v>
      </c>
    </row>
    <row r="192" spans="1:15" s="370" customFormat="1" ht="24.95" customHeight="1">
      <c r="A192" s="397"/>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100"/>
        <v>0</v>
      </c>
      <c r="L192" s="406">
        <f t="shared" si="101"/>
        <v>0</v>
      </c>
      <c r="M192" s="406">
        <f t="shared" si="102"/>
        <v>0</v>
      </c>
      <c r="N192" s="407"/>
      <c r="O192" s="371">
        <f t="shared" si="103"/>
        <v>0</v>
      </c>
    </row>
    <row r="193" spans="1:15" s="370" customFormat="1" ht="24.95" customHeight="1">
      <c r="A193" s="397"/>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100"/>
        <v>0</v>
      </c>
      <c r="L193" s="406">
        <f t="shared" si="101"/>
        <v>0</v>
      </c>
      <c r="M193" s="406">
        <f t="shared" si="102"/>
        <v>0</v>
      </c>
      <c r="N193" s="407"/>
      <c r="O193" s="371">
        <f t="shared" si="103"/>
        <v>0</v>
      </c>
    </row>
    <row r="194" spans="1:15" s="370" customFormat="1" ht="24.95" customHeight="1">
      <c r="A194" s="397"/>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100"/>
        <v>0</v>
      </c>
      <c r="L194" s="406">
        <f t="shared" si="101"/>
        <v>0</v>
      </c>
      <c r="M194" s="406">
        <f t="shared" si="102"/>
        <v>0</v>
      </c>
      <c r="N194" s="407"/>
      <c r="O194" s="371">
        <f t="shared" si="103"/>
        <v>0</v>
      </c>
    </row>
    <row r="195" spans="1:15" s="370" customFormat="1" ht="24.95" customHeight="1">
      <c r="A195" s="397"/>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ref="K195:K217" si="104">H195*G195</f>
        <v>0</v>
      </c>
      <c r="L195" s="406">
        <f t="shared" ref="L195:L217" si="105">I195*G195</f>
        <v>0</v>
      </c>
      <c r="M195" s="406">
        <f t="shared" ref="M195:M217" si="106">J195*G195</f>
        <v>0</v>
      </c>
      <c r="N195" s="407"/>
      <c r="O195" s="371">
        <f t="shared" ref="O195:O216" si="107">IF(SUM(G195:G195)&gt;0,1,0)</f>
        <v>0</v>
      </c>
    </row>
    <row r="196" spans="1:15" s="370" customFormat="1" ht="24.95" customHeight="1">
      <c r="A196" s="397"/>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104"/>
        <v>0</v>
      </c>
      <c r="L196" s="406">
        <f t="shared" si="105"/>
        <v>0</v>
      </c>
      <c r="M196" s="406">
        <f t="shared" si="106"/>
        <v>0</v>
      </c>
      <c r="N196" s="407"/>
      <c r="O196" s="371">
        <f t="shared" si="107"/>
        <v>0</v>
      </c>
    </row>
    <row r="197" spans="1:15" s="370" customFormat="1" ht="24.95" customHeight="1">
      <c r="A197" s="397"/>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104"/>
        <v>0</v>
      </c>
      <c r="L197" s="406">
        <f t="shared" si="105"/>
        <v>0</v>
      </c>
      <c r="M197" s="406">
        <f t="shared" si="106"/>
        <v>0</v>
      </c>
      <c r="N197" s="407"/>
      <c r="O197" s="371">
        <f t="shared" si="107"/>
        <v>0</v>
      </c>
    </row>
    <row r="198" spans="1:15" s="371" customFormat="1" ht="15.75">
      <c r="A198" s="397" t="s">
        <v>2508</v>
      </c>
      <c r="B198" s="401"/>
      <c r="C198" s="411">
        <f>IF(G198&gt;0,COUNTIF($C197:C$392,"&gt;0")+1,0)</f>
        <v>0</v>
      </c>
      <c r="D198" s="411" t="str">
        <f>IF(B198&lt;&gt;"",VLOOKUP(B198,R_DG!$A$7:$G$1305,2,0),"")</f>
        <v/>
      </c>
      <c r="E198" s="411" t="s">
        <v>4655</v>
      </c>
      <c r="F198" s="411" t="s">
        <v>163</v>
      </c>
      <c r="G198" s="411"/>
      <c r="H198" s="411"/>
      <c r="I198" s="411"/>
      <c r="J198" s="411"/>
      <c r="K198" s="411">
        <f t="shared" si="104"/>
        <v>0</v>
      </c>
      <c r="L198" s="411">
        <f t="shared" si="105"/>
        <v>0</v>
      </c>
      <c r="M198" s="411">
        <f t="shared" si="106"/>
        <v>0</v>
      </c>
      <c r="N198" s="410"/>
      <c r="O198" s="371">
        <f t="shared" si="107"/>
        <v>0</v>
      </c>
    </row>
    <row r="199" spans="1:15" s="371" customFormat="1" ht="15.75">
      <c r="A199" s="397"/>
      <c r="B199" s="401"/>
      <c r="C199" s="408"/>
      <c r="D199" s="402" t="str">
        <f>IF(B199&lt;&gt;"",VLOOKUP(B199,R_DG!$A$7:$G$1305,2,0),"")</f>
        <v/>
      </c>
      <c r="E199" s="379" t="s">
        <v>2432</v>
      </c>
      <c r="F199" s="409"/>
      <c r="G199" s="409"/>
      <c r="H199" s="406"/>
      <c r="I199" s="406"/>
      <c r="J199" s="405"/>
      <c r="K199" s="406">
        <f t="shared" si="104"/>
        <v>0</v>
      </c>
      <c r="L199" s="406">
        <f t="shared" si="105"/>
        <v>0</v>
      </c>
      <c r="M199" s="406">
        <f t="shared" si="106"/>
        <v>0</v>
      </c>
      <c r="N199" s="407"/>
      <c r="O199" s="371">
        <f t="shared" si="107"/>
        <v>0</v>
      </c>
    </row>
    <row r="200" spans="1:15" s="371" customFormat="1" ht="15.75">
      <c r="A200" s="397"/>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104"/>
        <v>#REF!</v>
      </c>
      <c r="L200" s="406">
        <f t="shared" si="105"/>
        <v>0</v>
      </c>
      <c r="M200" s="406">
        <f t="shared" si="106"/>
        <v>0</v>
      </c>
      <c r="N200" s="407"/>
      <c r="O200" s="371">
        <f t="shared" si="107"/>
        <v>0</v>
      </c>
    </row>
    <row r="201" spans="1:15" s="371" customFormat="1" ht="15.75">
      <c r="A201" s="397"/>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104"/>
        <v>0</v>
      </c>
      <c r="L201" s="406">
        <f t="shared" si="105"/>
        <v>0</v>
      </c>
      <c r="M201" s="406">
        <f t="shared" si="106"/>
        <v>0</v>
      </c>
      <c r="N201" s="407"/>
      <c r="O201" s="371">
        <f t="shared" si="107"/>
        <v>0</v>
      </c>
    </row>
    <row r="202" spans="1:15" s="371" customFormat="1" ht="15.75">
      <c r="A202" s="397"/>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104"/>
        <v>0</v>
      </c>
      <c r="L202" s="406">
        <f t="shared" si="105"/>
        <v>0</v>
      </c>
      <c r="M202" s="406">
        <f t="shared" si="106"/>
        <v>0</v>
      </c>
      <c r="N202" s="407"/>
      <c r="O202" s="371">
        <f t="shared" si="107"/>
        <v>0</v>
      </c>
    </row>
    <row r="203" spans="1:15" s="371" customFormat="1" ht="15.75">
      <c r="A203" s="397"/>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104"/>
        <v>0</v>
      </c>
      <c r="L203" s="406">
        <f t="shared" si="105"/>
        <v>0</v>
      </c>
      <c r="M203" s="406">
        <f t="shared" si="106"/>
        <v>0</v>
      </c>
      <c r="N203" s="407"/>
      <c r="O203" s="371">
        <f t="shared" si="107"/>
        <v>0</v>
      </c>
    </row>
    <row r="204" spans="1:15" s="371" customFormat="1" ht="15.75">
      <c r="A204" s="397"/>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104"/>
        <v>#REF!</v>
      </c>
      <c r="L204" s="406">
        <f t="shared" si="105"/>
        <v>0</v>
      </c>
      <c r="M204" s="406">
        <f t="shared" si="106"/>
        <v>0</v>
      </c>
      <c r="N204" s="407"/>
      <c r="O204" s="371">
        <f t="shared" si="107"/>
        <v>0</v>
      </c>
    </row>
    <row r="205" spans="1:15" s="371" customFormat="1" ht="15.75">
      <c r="A205" s="397"/>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104"/>
        <v>#REF!</v>
      </c>
      <c r="L205" s="406">
        <f t="shared" si="105"/>
        <v>0</v>
      </c>
      <c r="M205" s="406">
        <f t="shared" si="106"/>
        <v>0</v>
      </c>
      <c r="N205" s="407"/>
      <c r="O205" s="371">
        <f t="shared" si="107"/>
        <v>0</v>
      </c>
    </row>
    <row r="206" spans="1:15" s="371" customFormat="1" ht="15.75">
      <c r="A206" s="397"/>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104"/>
        <v>#REF!</v>
      </c>
      <c r="L206" s="406">
        <f t="shared" si="105"/>
        <v>0</v>
      </c>
      <c r="M206" s="406">
        <f t="shared" si="106"/>
        <v>0</v>
      </c>
      <c r="N206" s="407"/>
      <c r="O206" s="371">
        <f t="shared" si="107"/>
        <v>0</v>
      </c>
    </row>
    <row r="207" spans="1:15" s="371" customFormat="1" ht="15.75">
      <c r="A207" s="397"/>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104"/>
        <v>0</v>
      </c>
      <c r="L207" s="406">
        <f t="shared" si="105"/>
        <v>0</v>
      </c>
      <c r="M207" s="406">
        <f t="shared" si="106"/>
        <v>0</v>
      </c>
      <c r="N207" s="407"/>
      <c r="O207" s="371">
        <f t="shared" si="107"/>
        <v>0</v>
      </c>
    </row>
    <row r="208" spans="1:15" s="371" customFormat="1" ht="15.75">
      <c r="A208" s="397" t="s">
        <v>2507</v>
      </c>
      <c r="B208" s="401"/>
      <c r="C208" s="411">
        <f>IF(G208&gt;0,COUNTIF($C207:C$392,"&gt;0")+1,0)</f>
        <v>0</v>
      </c>
      <c r="D208" s="411" t="str">
        <f>IF(B208&lt;&gt;"",VLOOKUP(B208,R_DG!$A$7:$G$1305,2,0),"")</f>
        <v/>
      </c>
      <c r="E208" s="411" t="s">
        <v>4656</v>
      </c>
      <c r="F208" s="411" t="s">
        <v>163</v>
      </c>
      <c r="G208" s="411"/>
      <c r="H208" s="411"/>
      <c r="I208" s="411"/>
      <c r="J208" s="411"/>
      <c r="K208" s="411">
        <f t="shared" si="104"/>
        <v>0</v>
      </c>
      <c r="L208" s="411">
        <f t="shared" si="105"/>
        <v>0</v>
      </c>
      <c r="M208" s="411">
        <f t="shared" si="106"/>
        <v>0</v>
      </c>
      <c r="N208" s="410"/>
      <c r="O208" s="371">
        <f t="shared" si="107"/>
        <v>0</v>
      </c>
    </row>
    <row r="209" spans="1:15" s="371" customFormat="1" ht="15.75">
      <c r="A209" s="397"/>
      <c r="B209" s="401"/>
      <c r="C209" s="408"/>
      <c r="D209" s="402" t="str">
        <f>IF(B209&lt;&gt;"",VLOOKUP(B209,R_DG!$A$7:$G$1305,2,0),"")</f>
        <v/>
      </c>
      <c r="E209" s="379" t="s">
        <v>2432</v>
      </c>
      <c r="F209" s="409"/>
      <c r="G209" s="409"/>
      <c r="H209" s="406"/>
      <c r="I209" s="406"/>
      <c r="J209" s="405"/>
      <c r="K209" s="406">
        <f t="shared" si="104"/>
        <v>0</v>
      </c>
      <c r="L209" s="406">
        <f t="shared" si="105"/>
        <v>0</v>
      </c>
      <c r="M209" s="406">
        <f t="shared" si="106"/>
        <v>0</v>
      </c>
      <c r="N209" s="407"/>
      <c r="O209" s="371">
        <f t="shared" si="107"/>
        <v>0</v>
      </c>
    </row>
    <row r="210" spans="1:15" s="371" customFormat="1" ht="15.75">
      <c r="A210" s="397"/>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104"/>
        <v>#REF!</v>
      </c>
      <c r="L210" s="406">
        <f t="shared" si="105"/>
        <v>0</v>
      </c>
      <c r="M210" s="406">
        <f t="shared" si="106"/>
        <v>0</v>
      </c>
      <c r="N210" s="407"/>
      <c r="O210" s="371">
        <f t="shared" si="107"/>
        <v>0</v>
      </c>
    </row>
    <row r="211" spans="1:15" s="371" customFormat="1" ht="15.75">
      <c r="A211" s="397"/>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104"/>
        <v>0</v>
      </c>
      <c r="L211" s="406">
        <f t="shared" si="105"/>
        <v>0</v>
      </c>
      <c r="M211" s="406">
        <f t="shared" si="106"/>
        <v>0</v>
      </c>
      <c r="N211" s="407"/>
      <c r="O211" s="371">
        <f t="shared" si="107"/>
        <v>0</v>
      </c>
    </row>
    <row r="212" spans="1:15" s="371" customFormat="1" ht="15.75">
      <c r="A212" s="397"/>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104"/>
        <v>0</v>
      </c>
      <c r="L212" s="406">
        <f t="shared" si="105"/>
        <v>0</v>
      </c>
      <c r="M212" s="406">
        <f t="shared" si="106"/>
        <v>0</v>
      </c>
      <c r="N212" s="407"/>
      <c r="O212" s="371">
        <f t="shared" si="107"/>
        <v>0</v>
      </c>
    </row>
    <row r="213" spans="1:15" s="371" customFormat="1" ht="15.75">
      <c r="A213" s="397"/>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104"/>
        <v>0</v>
      </c>
      <c r="L213" s="406">
        <f t="shared" si="105"/>
        <v>0</v>
      </c>
      <c r="M213" s="406">
        <f t="shared" si="106"/>
        <v>0</v>
      </c>
      <c r="N213" s="407"/>
      <c r="O213" s="371">
        <f t="shared" si="107"/>
        <v>0</v>
      </c>
    </row>
    <row r="214" spans="1:15" s="371" customFormat="1" ht="15.75">
      <c r="A214" s="397"/>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104"/>
        <v>#REF!</v>
      </c>
      <c r="L214" s="406">
        <f t="shared" si="105"/>
        <v>0</v>
      </c>
      <c r="M214" s="406">
        <f t="shared" si="106"/>
        <v>0</v>
      </c>
      <c r="N214" s="407"/>
      <c r="O214" s="371">
        <f t="shared" si="107"/>
        <v>0</v>
      </c>
    </row>
    <row r="215" spans="1:15" s="371" customFormat="1" ht="15.75">
      <c r="A215" s="397"/>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104"/>
        <v>#REF!</v>
      </c>
      <c r="L215" s="406">
        <f t="shared" si="105"/>
        <v>0</v>
      </c>
      <c r="M215" s="406">
        <f t="shared" si="106"/>
        <v>0</v>
      </c>
      <c r="N215" s="407"/>
      <c r="O215" s="371">
        <f t="shared" si="107"/>
        <v>0</v>
      </c>
    </row>
    <row r="216" spans="1:15" s="371" customFormat="1" ht="15.75">
      <c r="A216" s="397"/>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104"/>
        <v>#REF!</v>
      </c>
      <c r="L216" s="406">
        <f t="shared" si="105"/>
        <v>0</v>
      </c>
      <c r="M216" s="406">
        <f t="shared" si="106"/>
        <v>0</v>
      </c>
      <c r="N216" s="407"/>
      <c r="O216" s="371">
        <f t="shared" si="107"/>
        <v>0</v>
      </c>
    </row>
    <row r="217" spans="1:15" s="371" customFormat="1" ht="15.75">
      <c r="A217" s="397"/>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104"/>
        <v>0</v>
      </c>
      <c r="L217" s="406">
        <f t="shared" si="105"/>
        <v>0</v>
      </c>
      <c r="M217" s="406">
        <f t="shared" si="106"/>
        <v>0</v>
      </c>
      <c r="N217" s="407"/>
      <c r="O217" s="371">
        <v>1</v>
      </c>
    </row>
    <row r="218" spans="1:15" ht="24.95" customHeight="1">
      <c r="A218" s="182" t="s">
        <v>2510</v>
      </c>
      <c r="B218" s="228"/>
      <c r="C218" s="275">
        <f>IF(G218&gt;0,COUNTIF($C$17:C70,"&gt;0")+1,0)</f>
        <v>3</v>
      </c>
      <c r="D218" s="275" t="str">
        <f>IF(B218&lt;&gt;"",VLOOKUP(B218,R_DG!$A$7:$G$1305,2,0),"")</f>
        <v/>
      </c>
      <c r="E218" s="275" t="s">
        <v>2504</v>
      </c>
      <c r="F218" s="275" t="s">
        <v>163</v>
      </c>
      <c r="G218" s="275">
        <f>IF(A4&gt;100,1,0)</f>
        <v>1</v>
      </c>
      <c r="H218" s="275"/>
      <c r="I218" s="275"/>
      <c r="J218" s="275"/>
      <c r="K218" s="275">
        <f t="shared" si="4"/>
        <v>0</v>
      </c>
      <c r="L218" s="275">
        <f t="shared" si="5"/>
        <v>0</v>
      </c>
      <c r="M218" s="275">
        <f t="shared" si="6"/>
        <v>0</v>
      </c>
      <c r="N218" s="276"/>
      <c r="O218" s="38">
        <f t="shared" si="3"/>
        <v>1</v>
      </c>
    </row>
    <row r="219" spans="1:15" ht="24.95" customHeight="1">
      <c r="A219" s="182"/>
      <c r="B219" s="228"/>
      <c r="C219" s="273"/>
      <c r="D219" s="243" t="str">
        <f>IF(B219&lt;&gt;"",VLOOKUP(B219,R_DG!$A$7:$G$1305,2,0),"")</f>
        <v/>
      </c>
      <c r="E219" s="77" t="s">
        <v>2432</v>
      </c>
      <c r="F219" s="274"/>
      <c r="G219" s="274"/>
      <c r="H219" s="256"/>
      <c r="I219" s="256"/>
      <c r="J219" s="255"/>
      <c r="K219" s="256">
        <f t="shared" si="4"/>
        <v>0</v>
      </c>
      <c r="L219" s="256">
        <f t="shared" si="5"/>
        <v>0</v>
      </c>
      <c r="M219" s="256">
        <f t="shared" si="6"/>
        <v>0</v>
      </c>
      <c r="N219" s="257"/>
      <c r="O219" s="38">
        <f t="shared" si="3"/>
        <v>0</v>
      </c>
    </row>
    <row r="220" spans="1:15" ht="24.95" customHeight="1">
      <c r="A220" s="182"/>
      <c r="B220" s="228" t="s">
        <v>3319</v>
      </c>
      <c r="C220" s="274"/>
      <c r="D220" s="243">
        <f>IF(B220&lt;&gt;"",VLOOKUP(B220,R_DG!$A$7:$G$1305,2,0),"")</f>
        <v>0</v>
      </c>
      <c r="E220" s="253" t="str">
        <f>VLOOKUP(B220,R_DG!$A$7:$G$1305,3,0)</f>
        <v>Đà sắt L75x75x8x2600 3 ốp (25,35kg/cái)</v>
      </c>
      <c r="F220" s="243" t="str">
        <f>VLOOKUP(B220,R_DG!$A$7:$G$1305,4,0)</f>
        <v>cái</v>
      </c>
      <c r="G220" s="254">
        <f>G218</f>
        <v>1</v>
      </c>
      <c r="H220" s="255" t="e">
        <f>VLOOKUP(B220,R_DG!$A$7:$G$1305,5,0)</f>
        <v>#REF!</v>
      </c>
      <c r="I220" s="255">
        <f>VLOOKUP(B220,R_DG!$A$7:$G$1305,6,0)</f>
        <v>0</v>
      </c>
      <c r="J220" s="255">
        <f>VLOOKUP(B220,R_DG!$A$7:$G$1305,7,0)</f>
        <v>0</v>
      </c>
      <c r="K220" s="256" t="e">
        <f t="shared" si="4"/>
        <v>#REF!</v>
      </c>
      <c r="L220" s="256">
        <f t="shared" si="5"/>
        <v>0</v>
      </c>
      <c r="M220" s="256">
        <f t="shared" si="6"/>
        <v>0</v>
      </c>
      <c r="N220" s="257"/>
      <c r="O220" s="38">
        <f t="shared" si="3"/>
        <v>1</v>
      </c>
    </row>
    <row r="221" spans="1:15" ht="24.95" customHeight="1">
      <c r="A221" s="182"/>
      <c r="B221" s="228" t="s">
        <v>86</v>
      </c>
      <c r="C221" s="274"/>
      <c r="D221" s="243">
        <f>IF(B221&lt;&gt;"",VLOOKUP(B221,R_DG!$A$7:$G$1305,2,0),"")</f>
        <v>0</v>
      </c>
      <c r="E221" s="253" t="str">
        <f>VLOOKUP(B221,R_DG!$A$7:$G$1305,3,0)</f>
        <v>Boulon 16x300+ 2 long đền vuông D18-50x50x3/Zn</v>
      </c>
      <c r="F221" s="243" t="str">
        <f>VLOOKUP(B221,R_DG!$A$7:$G$1305,4,0)</f>
        <v>bộ</v>
      </c>
      <c r="G221" s="254">
        <f>G218*2</f>
        <v>2</v>
      </c>
      <c r="H221" s="255" t="e">
        <f>VLOOKUP(B221,R_DG!$A$7:$G$1305,5,0)</f>
        <v>#REF!</v>
      </c>
      <c r="I221" s="255">
        <f>VLOOKUP(B221,R_DG!$A$7:$G$1305,6,0)</f>
        <v>0</v>
      </c>
      <c r="J221" s="255">
        <f>VLOOKUP(B221,R_DG!$A$7:$G$1305,7,0)</f>
        <v>0</v>
      </c>
      <c r="K221" s="256" t="e">
        <f t="shared" si="4"/>
        <v>#REF!</v>
      </c>
      <c r="L221" s="256">
        <f t="shared" si="5"/>
        <v>0</v>
      </c>
      <c r="M221" s="256">
        <f t="shared" si="6"/>
        <v>0</v>
      </c>
      <c r="N221" s="257"/>
      <c r="O221" s="38">
        <f t="shared" ref="O221:O285" si="108">IF(SUM(G221:G221)&gt;0,1,0)</f>
        <v>1</v>
      </c>
    </row>
    <row r="222" spans="1:15" ht="24.95" customHeight="1">
      <c r="A222" s="182"/>
      <c r="B222" s="228" t="s">
        <v>384</v>
      </c>
      <c r="C222" s="274"/>
      <c r="D222" s="243">
        <f>IF(B222&lt;&gt;"",VLOOKUP(B222,R_DG!$A$7:$G$1305,2,0),"")</f>
        <v>0</v>
      </c>
      <c r="E222" s="253" t="str">
        <f>VLOOKUP(B222,R_DG!$A$7:$G$1305,3,0)</f>
        <v>Chân sứ đứng D20</v>
      </c>
      <c r="F222" s="243" t="str">
        <f>VLOOKUP(B222,R_DG!$A$7:$G$1305,4,0)</f>
        <v>cái</v>
      </c>
      <c r="G222" s="254">
        <f>G223</f>
        <v>3</v>
      </c>
      <c r="H222" s="255">
        <f>VLOOKUP(B222,R_DG!$A$7:$G$1305,5,0)</f>
        <v>56000</v>
      </c>
      <c r="I222" s="255">
        <f>VLOOKUP(B222,R_DG!$A$7:$G$1305,6,0)</f>
        <v>0</v>
      </c>
      <c r="J222" s="255">
        <f>VLOOKUP(B222,R_DG!$A$7:$G$1305,7,0)</f>
        <v>0</v>
      </c>
      <c r="K222" s="256">
        <f t="shared" si="4"/>
        <v>168000</v>
      </c>
      <c r="L222" s="256">
        <f t="shared" si="5"/>
        <v>0</v>
      </c>
      <c r="M222" s="256">
        <f t="shared" si="6"/>
        <v>0</v>
      </c>
      <c r="N222" s="257"/>
      <c r="O222" s="38">
        <f t="shared" si="108"/>
        <v>1</v>
      </c>
    </row>
    <row r="223" spans="1:15" ht="24.95" customHeight="1">
      <c r="A223" s="182"/>
      <c r="B223" s="228" t="s">
        <v>626</v>
      </c>
      <c r="C223" s="274"/>
      <c r="D223" s="243" t="str">
        <f>IF(B223&lt;&gt;"",VLOOKUP(B223,R_DG!$A$7:$G$1305,2,0),"")</f>
        <v>D3.1122</v>
      </c>
      <c r="E223" s="253" t="str">
        <f>VLOOKUP(B223,R_DG!$A$7:$G$1305,3,0)</f>
        <v xml:space="preserve">Sứ đứng 24KV </v>
      </c>
      <c r="F223" s="243" t="str">
        <f>VLOOKUP(B223,R_DG!$A$7:$G$1305,4,0)</f>
        <v>cái</v>
      </c>
      <c r="G223" s="254">
        <f>G218*3</f>
        <v>3</v>
      </c>
      <c r="H223" s="255">
        <f>VLOOKUP(B223,R_DG!$A$7:$G$1305,5,0)</f>
        <v>185000</v>
      </c>
      <c r="I223" s="255">
        <f>VLOOKUP(B223,R_DG!$A$7:$G$1305,6,0)</f>
        <v>55458.14</v>
      </c>
      <c r="J223" s="255">
        <f>VLOOKUP(B223,R_DG!$A$7:$G$1305,7,0)</f>
        <v>0</v>
      </c>
      <c r="K223" s="256">
        <f t="shared" si="4"/>
        <v>555000</v>
      </c>
      <c r="L223" s="256">
        <f t="shared" si="5"/>
        <v>166374.41999999998</v>
      </c>
      <c r="M223" s="256">
        <f t="shared" si="6"/>
        <v>0</v>
      </c>
      <c r="N223" s="257"/>
      <c r="O223" s="38">
        <f t="shared" si="108"/>
        <v>1</v>
      </c>
    </row>
    <row r="224" spans="1:15" ht="24.95" customHeight="1">
      <c r="A224" s="182"/>
      <c r="B224" s="228" t="s">
        <v>1179</v>
      </c>
      <c r="C224" s="274"/>
      <c r="D224" s="243" t="str">
        <f>IF(B224&lt;&gt;"",VLOOKUP(B224,R_DG!$A$7:$G$1305,2,0),"")</f>
        <v>D2.6021</v>
      </c>
      <c r="E224" s="253" t="str">
        <f>VLOOKUP(B224,R_DG!$A$7:$G$1305,3,0)</f>
        <v>Lắp xà đỡ ≤ 25kg</v>
      </c>
      <c r="F224" s="243" t="str">
        <f>VLOOKUP(B224,R_DG!$A$7:$G$1305,4,0)</f>
        <v>bộ</v>
      </c>
      <c r="G224" s="254">
        <f>G220</f>
        <v>1</v>
      </c>
      <c r="H224" s="255">
        <f>VLOOKUP(B224,R_DG!$A$7:$G$1305,5,0)</f>
        <v>0</v>
      </c>
      <c r="I224" s="255">
        <f>VLOOKUP(B224,R_DG!$A$7:$G$1305,6,0)</f>
        <v>208581.5</v>
      </c>
      <c r="J224" s="255">
        <f>VLOOKUP(B224,R_DG!$A$7:$G$1305,7,0)</f>
        <v>0</v>
      </c>
      <c r="K224" s="256">
        <f t="shared" si="4"/>
        <v>0</v>
      </c>
      <c r="L224" s="256">
        <f t="shared" si="5"/>
        <v>208581.5</v>
      </c>
      <c r="M224" s="256">
        <f t="shared" si="6"/>
        <v>0</v>
      </c>
      <c r="N224" s="257"/>
      <c r="O224" s="38">
        <f t="shared" si="108"/>
        <v>1</v>
      </c>
    </row>
    <row r="225" spans="1:15" ht="24.95" customHeight="1">
      <c r="A225" s="182" t="s">
        <v>2509</v>
      </c>
      <c r="B225" s="228"/>
      <c r="C225" s="275">
        <f>IF(G225&gt;0,COUNTIF($C$17:C224,"&gt;0")+1,0)</f>
        <v>4</v>
      </c>
      <c r="D225" s="275" t="str">
        <f>IF(B225&lt;&gt;"",VLOOKUP(B225,R_DG!$A$7:$G$1305,2,0),"")</f>
        <v/>
      </c>
      <c r="E225" s="275" t="s">
        <v>2505</v>
      </c>
      <c r="F225" s="275" t="s">
        <v>163</v>
      </c>
      <c r="G225" s="275">
        <f>IF(A4&gt;100,1,0)</f>
        <v>1</v>
      </c>
      <c r="H225" s="275"/>
      <c r="I225" s="275"/>
      <c r="J225" s="275"/>
      <c r="K225" s="275">
        <f t="shared" si="4"/>
        <v>0</v>
      </c>
      <c r="L225" s="275">
        <f t="shared" si="5"/>
        <v>0</v>
      </c>
      <c r="M225" s="275">
        <f t="shared" si="6"/>
        <v>0</v>
      </c>
      <c r="N225" s="276"/>
      <c r="O225" s="38">
        <f t="shared" si="108"/>
        <v>1</v>
      </c>
    </row>
    <row r="226" spans="1:15" ht="24.95" customHeight="1">
      <c r="A226" s="182"/>
      <c r="B226" s="228"/>
      <c r="C226" s="273"/>
      <c r="D226" s="243" t="str">
        <f>IF(B226&lt;&gt;"",VLOOKUP(B226,R_DG!$A$7:$G$1305,2,0),"")</f>
        <v/>
      </c>
      <c r="E226" s="77" t="s">
        <v>2432</v>
      </c>
      <c r="F226" s="274"/>
      <c r="G226" s="274"/>
      <c r="H226" s="256"/>
      <c r="I226" s="256"/>
      <c r="J226" s="255"/>
      <c r="K226" s="256">
        <f t="shared" si="4"/>
        <v>0</v>
      </c>
      <c r="L226" s="256">
        <f t="shared" si="5"/>
        <v>0</v>
      </c>
      <c r="M226" s="256">
        <f t="shared" si="6"/>
        <v>0</v>
      </c>
      <c r="N226" s="257"/>
      <c r="O226" s="38">
        <f t="shared" si="108"/>
        <v>0</v>
      </c>
    </row>
    <row r="227" spans="1:15" ht="24.95" customHeight="1">
      <c r="A227" s="182"/>
      <c r="B227" s="228" t="s">
        <v>3314</v>
      </c>
      <c r="C227" s="274"/>
      <c r="D227" s="243">
        <f>IF(B227&lt;&gt;"",VLOOKUP(B227,R_DG!$A$7:$G$1305,2,0),"")</f>
        <v>0</v>
      </c>
      <c r="E227" s="253" t="str">
        <f>VLOOKUP(B227,R_DG!$A$7:$G$1305,3,0)</f>
        <v>Đà sắt L75x75x8x2600 0 ốp (23,45kg/cái)</v>
      </c>
      <c r="F227" s="243" t="str">
        <f>VLOOKUP(B227,R_DG!$A$7:$G$1305,4,0)</f>
        <v>cái</v>
      </c>
      <c r="G227" s="404">
        <f>G$225*2</f>
        <v>2</v>
      </c>
      <c r="H227" s="255" t="e">
        <f>VLOOKUP(B227,R_DG!$A$7:$G$1305,5,0)</f>
        <v>#REF!</v>
      </c>
      <c r="I227" s="255">
        <f>VLOOKUP(B227,R_DG!$A$7:$G$1305,6,0)</f>
        <v>0</v>
      </c>
      <c r="J227" s="255">
        <f>VLOOKUP(B227,R_DG!$A$7:$G$1305,7,0)</f>
        <v>0</v>
      </c>
      <c r="K227" s="256" t="e">
        <f t="shared" si="4"/>
        <v>#REF!</v>
      </c>
      <c r="L227" s="256">
        <f t="shared" si="5"/>
        <v>0</v>
      </c>
      <c r="M227" s="256">
        <f t="shared" si="6"/>
        <v>0</v>
      </c>
      <c r="N227" s="257"/>
      <c r="O227" s="38">
        <f t="shared" si="108"/>
        <v>1</v>
      </c>
    </row>
    <row r="228" spans="1:15" ht="24.95" customHeight="1">
      <c r="A228" s="182"/>
      <c r="B228" s="228" t="s">
        <v>106</v>
      </c>
      <c r="C228" s="274"/>
      <c r="D228" s="243">
        <f>IF(B228&lt;&gt;"",VLOOKUP(B228,R_DG!$A$7:$G$1305,2,0),"")</f>
        <v>0</v>
      </c>
      <c r="E228" s="253" t="str">
        <f>VLOOKUP(B228,R_DG!$A$7:$G$1305,3,0)</f>
        <v>Boulon 16x300VRS+ 4 long đền vuông D18-50x50x3/Zn</v>
      </c>
      <c r="F228" s="243" t="str">
        <f>VLOOKUP(B228,R_DG!$A$7:$G$1305,4,0)</f>
        <v>bộ</v>
      </c>
      <c r="G228" s="404"/>
      <c r="H228" s="255" t="e">
        <f>VLOOKUP(B228,R_DG!$A$7:$G$1305,5,0)</f>
        <v>#REF!</v>
      </c>
      <c r="I228" s="255">
        <f>VLOOKUP(B228,R_DG!$A$7:$G$1305,6,0)</f>
        <v>0</v>
      </c>
      <c r="J228" s="255">
        <f>VLOOKUP(B228,R_DG!$A$7:$G$1305,7,0)</f>
        <v>0</v>
      </c>
      <c r="K228" s="256" t="e">
        <f t="shared" si="4"/>
        <v>#REF!</v>
      </c>
      <c r="L228" s="256">
        <f t="shared" si="5"/>
        <v>0</v>
      </c>
      <c r="M228" s="256">
        <f t="shared" si="6"/>
        <v>0</v>
      </c>
      <c r="N228" s="257"/>
      <c r="O228" s="38">
        <f t="shared" si="108"/>
        <v>0</v>
      </c>
    </row>
    <row r="229" spans="1:15" ht="24.95" customHeight="1">
      <c r="A229" s="182"/>
      <c r="B229" s="228" t="s">
        <v>88</v>
      </c>
      <c r="C229" s="274"/>
      <c r="D229" s="243">
        <f>IF(B229&lt;&gt;"",VLOOKUP(B229,R_DG!$A$7:$G$1305,2,0),"")</f>
        <v>0</v>
      </c>
      <c r="E229" s="253" t="str">
        <f>VLOOKUP(B229,R_DG!$A$7:$G$1305,3,0)</f>
        <v>Boulon 16x350+ 2 long đền vuông D18-50x50x3/Zn</v>
      </c>
      <c r="F229" s="243" t="str">
        <f>VLOOKUP(B229,R_DG!$A$7:$G$1305,4,0)</f>
        <v>bộ</v>
      </c>
      <c r="G229" s="404">
        <f>G225*2</f>
        <v>2</v>
      </c>
      <c r="H229" s="255" t="e">
        <f>VLOOKUP(B229,R_DG!$A$7:$G$1305,5,0)</f>
        <v>#REF!</v>
      </c>
      <c r="I229" s="255">
        <f>VLOOKUP(B229,R_DG!$A$7:$G$1305,6,0)</f>
        <v>0</v>
      </c>
      <c r="J229" s="255">
        <f>VLOOKUP(B229,R_DG!$A$7:$G$1305,7,0)</f>
        <v>0</v>
      </c>
      <c r="K229" s="256" t="e">
        <f t="shared" si="4"/>
        <v>#REF!</v>
      </c>
      <c r="L229" s="256">
        <f t="shared" si="5"/>
        <v>0</v>
      </c>
      <c r="M229" s="256">
        <f t="shared" si="6"/>
        <v>0</v>
      </c>
      <c r="N229" s="257"/>
      <c r="O229" s="38">
        <f t="shared" si="108"/>
        <v>1</v>
      </c>
    </row>
    <row r="230" spans="1:15" ht="24.95" customHeight="1">
      <c r="A230" s="182"/>
      <c r="B230" s="228" t="s">
        <v>76</v>
      </c>
      <c r="C230" s="274"/>
      <c r="D230" s="243">
        <f>IF(B230&lt;&gt;"",VLOOKUP(B230,R_DG!$A$7:$G$1305,2,0),"")</f>
        <v>0</v>
      </c>
      <c r="E230" s="253" t="str">
        <f>VLOOKUP(B230,R_DG!$A$7:$G$1305,3,0)</f>
        <v>Boulon 16x50+ 2 long đền vuông D18-50x50x3/Zn</v>
      </c>
      <c r="F230" s="243" t="str">
        <f>VLOOKUP(B230,R_DG!$A$7:$G$1305,4,0)</f>
        <v>bộ</v>
      </c>
      <c r="G230" s="404">
        <f>G225*4</f>
        <v>4</v>
      </c>
      <c r="H230" s="255" t="e">
        <f>VLOOKUP(B230,R_DG!$A$7:$G$1305,5,0)</f>
        <v>#REF!</v>
      </c>
      <c r="I230" s="255">
        <f>VLOOKUP(B230,R_DG!$A$7:$G$1305,6,0)</f>
        <v>0</v>
      </c>
      <c r="J230" s="255">
        <f>VLOOKUP(B230,R_DG!$A$7:$G$1305,7,0)</f>
        <v>0</v>
      </c>
      <c r="K230" s="256" t="e">
        <f t="shared" si="4"/>
        <v>#REF!</v>
      </c>
      <c r="L230" s="256">
        <f t="shared" si="5"/>
        <v>0</v>
      </c>
      <c r="M230" s="256">
        <f t="shared" si="6"/>
        <v>0</v>
      </c>
      <c r="N230" s="257"/>
      <c r="O230" s="38">
        <f t="shared" si="108"/>
        <v>1</v>
      </c>
    </row>
    <row r="231" spans="1:15" ht="24.95" customHeight="1">
      <c r="A231" s="182"/>
      <c r="B231" s="228" t="s">
        <v>1179</v>
      </c>
      <c r="C231" s="274"/>
      <c r="D231" s="243" t="str">
        <f>IF(B231&lt;&gt;"",VLOOKUP(B231,R_DG!$A$7:$G$1305,2,0),"")</f>
        <v>D2.6021</v>
      </c>
      <c r="E231" s="253" t="str">
        <f>VLOOKUP(B231,R_DG!$A$7:$G$1305,3,0)</f>
        <v>Lắp xà đỡ ≤ 25kg</v>
      </c>
      <c r="F231" s="243" t="str">
        <f>VLOOKUP(B231,R_DG!$A$7:$G$1305,4,0)</f>
        <v>bộ</v>
      </c>
      <c r="G231" s="404">
        <f>G$227*1</f>
        <v>2</v>
      </c>
      <c r="H231" s="255">
        <f>VLOOKUP(B231,R_DG!$A$7:$G$1305,5,0)</f>
        <v>0</v>
      </c>
      <c r="I231" s="255">
        <f>VLOOKUP(B231,R_DG!$A$7:$G$1305,6,0)</f>
        <v>208581.5</v>
      </c>
      <c r="J231" s="255">
        <f>VLOOKUP(B231,R_DG!$A$7:$G$1305,7,0)</f>
        <v>0</v>
      </c>
      <c r="K231" s="256">
        <f t="shared" si="4"/>
        <v>0</v>
      </c>
      <c r="L231" s="256">
        <f t="shared" si="5"/>
        <v>417163</v>
      </c>
      <c r="M231" s="256">
        <f t="shared" si="6"/>
        <v>0</v>
      </c>
      <c r="N231" s="257"/>
      <c r="O231" s="38">
        <f t="shared" si="108"/>
        <v>1</v>
      </c>
    </row>
    <row r="232" spans="1:15" ht="24.95" customHeight="1">
      <c r="A232" s="182" t="s">
        <v>2508</v>
      </c>
      <c r="B232" s="228"/>
      <c r="C232" s="275">
        <f>IF(G232&gt;0,COUNTIF($C$17:C231,"&gt;0")+1,0)</f>
        <v>5</v>
      </c>
      <c r="D232" s="275" t="str">
        <f>IF(B232&lt;&gt;"",VLOOKUP(B232,R_DG!$A$7:$G$1305,2,0),"")</f>
        <v/>
      </c>
      <c r="E232" s="275" t="s">
        <v>2503</v>
      </c>
      <c r="F232" s="275" t="s">
        <v>163</v>
      </c>
      <c r="G232" s="275">
        <f>IF(A4&gt;100,1,0)</f>
        <v>1</v>
      </c>
      <c r="H232" s="275"/>
      <c r="I232" s="275"/>
      <c r="J232" s="275"/>
      <c r="K232" s="275">
        <f t="shared" ref="K232:K307" si="109">H232*G232</f>
        <v>0</v>
      </c>
      <c r="L232" s="275">
        <f t="shared" ref="L232:L296" si="110">I232*G232</f>
        <v>0</v>
      </c>
      <c r="M232" s="275">
        <f t="shared" ref="M232:M307" si="111">J232*G232</f>
        <v>0</v>
      </c>
      <c r="N232" s="276"/>
      <c r="O232" s="38">
        <f t="shared" si="108"/>
        <v>1</v>
      </c>
    </row>
    <row r="233" spans="1:15" ht="24.95" customHeight="1">
      <c r="A233" s="182"/>
      <c r="B233" s="228"/>
      <c r="C233" s="273"/>
      <c r="D233" s="243" t="str">
        <f>IF(B233&lt;&gt;"",VLOOKUP(B233,R_DG!$A$7:$G$1305,2,0),"")</f>
        <v/>
      </c>
      <c r="E233" s="77" t="s">
        <v>2432</v>
      </c>
      <c r="F233" s="274"/>
      <c r="G233" s="274"/>
      <c r="H233" s="256"/>
      <c r="I233" s="256"/>
      <c r="J233" s="255"/>
      <c r="K233" s="256">
        <f t="shared" si="109"/>
        <v>0</v>
      </c>
      <c r="L233" s="256">
        <f t="shared" si="110"/>
        <v>0</v>
      </c>
      <c r="M233" s="256">
        <f t="shared" si="111"/>
        <v>0</v>
      </c>
      <c r="N233" s="257"/>
      <c r="O233" s="38">
        <f t="shared" si="108"/>
        <v>0</v>
      </c>
    </row>
    <row r="234" spans="1:15" ht="24.95" customHeight="1">
      <c r="A234" s="182"/>
      <c r="B234" s="228" t="s">
        <v>3308</v>
      </c>
      <c r="C234" s="274"/>
      <c r="D234" s="243">
        <f>IF(B234&lt;&gt;"",VLOOKUP(B234,R_DG!$A$7:$G$1305,2,0),"")</f>
        <v>0</v>
      </c>
      <c r="E234" s="253" t="str">
        <f>VLOOKUP(B234,R_DG!$A$7:$G$1305,3,0)</f>
        <v>Đà sắt L75x75x8x2200 4 ốp (22,37kg/cái)</v>
      </c>
      <c r="F234" s="243" t="str">
        <f>VLOOKUP(B234,R_DG!$A$7:$G$1305,4,0)</f>
        <v>cái</v>
      </c>
      <c r="G234" s="254">
        <f>G232*1</f>
        <v>1</v>
      </c>
      <c r="H234" s="255" t="e">
        <f>VLOOKUP(B234,R_DG!$A$7:$G$1305,5,0)</f>
        <v>#REF!</v>
      </c>
      <c r="I234" s="255">
        <f>VLOOKUP(B234,R_DG!$A$7:$G$1305,6,0)</f>
        <v>0</v>
      </c>
      <c r="J234" s="255">
        <f>VLOOKUP(B234,R_DG!$A$7:$G$1305,7,0)</f>
        <v>0</v>
      </c>
      <c r="K234" s="256" t="e">
        <f t="shared" si="109"/>
        <v>#REF!</v>
      </c>
      <c r="L234" s="256">
        <f t="shared" si="110"/>
        <v>0</v>
      </c>
      <c r="M234" s="256">
        <f t="shared" si="111"/>
        <v>0</v>
      </c>
      <c r="N234" s="257"/>
      <c r="O234" s="38">
        <f t="shared" si="108"/>
        <v>1</v>
      </c>
    </row>
    <row r="235" spans="1:15" ht="24.95" customHeight="1">
      <c r="A235" s="182"/>
      <c r="B235" s="228" t="s">
        <v>106</v>
      </c>
      <c r="C235" s="274"/>
      <c r="D235" s="243">
        <f>IF(B235&lt;&gt;"",VLOOKUP(B235,R_DG!$A$7:$G$1305,2,0),"")</f>
        <v>0</v>
      </c>
      <c r="E235" s="253" t="str">
        <f>VLOOKUP(B235,R_DG!$A$7:$G$1305,3,0)</f>
        <v>Boulon 16x300VRS+ 4 long đền vuông D18-50x50x3/Zn</v>
      </c>
      <c r="F235" s="243" t="str">
        <f>VLOOKUP(B235,R_DG!$A$7:$G$1305,4,0)</f>
        <v>bộ</v>
      </c>
      <c r="G235" s="404">
        <f>G$232*1</f>
        <v>1</v>
      </c>
      <c r="H235" s="255" t="e">
        <f>VLOOKUP(B235,R_DG!$A$7:$G$1305,5,0)</f>
        <v>#REF!</v>
      </c>
      <c r="I235" s="255">
        <f>VLOOKUP(B235,R_DG!$A$7:$G$1305,6,0)</f>
        <v>0</v>
      </c>
      <c r="J235" s="255">
        <f>VLOOKUP(B235,R_DG!$A$7:$G$1305,7,0)</f>
        <v>0</v>
      </c>
      <c r="K235" s="256" t="e">
        <f t="shared" si="109"/>
        <v>#REF!</v>
      </c>
      <c r="L235" s="256">
        <f t="shared" si="110"/>
        <v>0</v>
      </c>
      <c r="M235" s="256">
        <f t="shared" si="111"/>
        <v>0</v>
      </c>
      <c r="N235" s="257"/>
      <c r="O235" s="38">
        <f t="shared" si="108"/>
        <v>1</v>
      </c>
    </row>
    <row r="236" spans="1:15" ht="24.95" customHeight="1">
      <c r="A236" s="182"/>
      <c r="B236" s="228" t="s">
        <v>86</v>
      </c>
      <c r="C236" s="274"/>
      <c r="D236" s="243">
        <f>IF(B236&lt;&gt;"",VLOOKUP(B236,R_DG!$A$7:$G$1305,2,0),"")</f>
        <v>0</v>
      </c>
      <c r="E236" s="253" t="str">
        <f>VLOOKUP(B236,R_DG!$A$7:$G$1305,3,0)</f>
        <v>Boulon 16x300+ 2 long đền vuông D18-50x50x3/Zn</v>
      </c>
      <c r="F236" s="243" t="str">
        <f>VLOOKUP(B236,R_DG!$A$7:$G$1305,4,0)</f>
        <v>bộ</v>
      </c>
      <c r="G236" s="404">
        <f>G$232*1</f>
        <v>1</v>
      </c>
      <c r="H236" s="255" t="e">
        <f>VLOOKUP(B236,R_DG!$A$7:$G$1305,5,0)</f>
        <v>#REF!</v>
      </c>
      <c r="I236" s="255">
        <f>VLOOKUP(B236,R_DG!$A$7:$G$1305,6,0)</f>
        <v>0</v>
      </c>
      <c r="J236" s="255">
        <f>VLOOKUP(B236,R_DG!$A$7:$G$1305,7,0)</f>
        <v>0</v>
      </c>
      <c r="K236" s="256" t="e">
        <f t="shared" si="109"/>
        <v>#REF!</v>
      </c>
      <c r="L236" s="256">
        <f t="shared" si="110"/>
        <v>0</v>
      </c>
      <c r="M236" s="256">
        <f t="shared" si="111"/>
        <v>0</v>
      </c>
      <c r="N236" s="257"/>
      <c r="O236" s="38">
        <f t="shared" si="108"/>
        <v>1</v>
      </c>
    </row>
    <row r="237" spans="1:15" ht="24.95" customHeight="1">
      <c r="A237" s="182"/>
      <c r="B237" s="228" t="s">
        <v>84</v>
      </c>
      <c r="C237" s="274"/>
      <c r="D237" s="243">
        <f>IF(B237&lt;&gt;"",VLOOKUP(B237,R_DG!$A$7:$G$1305,2,0),"")</f>
        <v>0</v>
      </c>
      <c r="E237" s="253" t="str">
        <f>VLOOKUP(B237,R_DG!$A$7:$G$1305,3,0)</f>
        <v>Boulon 16x250+ 2 long đền vuông D18-50x50x3/Zn</v>
      </c>
      <c r="F237" s="243" t="str">
        <f>VLOOKUP(B237,R_DG!$A$7:$G$1305,4,0)</f>
        <v>bộ</v>
      </c>
      <c r="G237" s="404">
        <f>G$232*1</f>
        <v>1</v>
      </c>
      <c r="H237" s="255" t="e">
        <f>VLOOKUP(B237,R_DG!$A$7:$G$1305,5,0)</f>
        <v>#REF!</v>
      </c>
      <c r="I237" s="255">
        <f>VLOOKUP(B237,R_DG!$A$7:$G$1305,6,0)</f>
        <v>0</v>
      </c>
      <c r="J237" s="255">
        <f>VLOOKUP(B237,R_DG!$A$7:$G$1305,7,0)</f>
        <v>0</v>
      </c>
      <c r="K237" s="256" t="e">
        <f t="shared" si="109"/>
        <v>#REF!</v>
      </c>
      <c r="L237" s="256">
        <f t="shared" si="110"/>
        <v>0</v>
      </c>
      <c r="M237" s="256">
        <f t="shared" si="111"/>
        <v>0</v>
      </c>
      <c r="N237" s="257"/>
      <c r="O237" s="38">
        <f t="shared" si="108"/>
        <v>1</v>
      </c>
    </row>
    <row r="238" spans="1:15" ht="24.95" customHeight="1">
      <c r="A238" s="182"/>
      <c r="B238" s="228" t="s">
        <v>1179</v>
      </c>
      <c r="C238" s="274"/>
      <c r="D238" s="243" t="str">
        <f>IF(B238&lt;&gt;"",VLOOKUP(B238,R_DG!$A$7:$G$1305,2,0),"")</f>
        <v>D2.6021</v>
      </c>
      <c r="E238" s="253" t="str">
        <f>VLOOKUP(B238,R_DG!$A$7:$G$1305,3,0)</f>
        <v>Lắp xà đỡ ≤ 25kg</v>
      </c>
      <c r="F238" s="243" t="str">
        <f>VLOOKUP(B238,R_DG!$A$7:$G$1305,4,0)</f>
        <v>bộ</v>
      </c>
      <c r="G238" s="404">
        <f>G$232*1</f>
        <v>1</v>
      </c>
      <c r="H238" s="255">
        <f>VLOOKUP(B238,R_DG!$A$7:$G$1305,5,0)</f>
        <v>0</v>
      </c>
      <c r="I238" s="255">
        <f>VLOOKUP(B238,R_DG!$A$7:$G$1305,6,0)</f>
        <v>208581.5</v>
      </c>
      <c r="J238" s="255">
        <f>VLOOKUP(B238,R_DG!$A$7:$G$1305,7,0)</f>
        <v>0</v>
      </c>
      <c r="K238" s="256">
        <f t="shared" si="109"/>
        <v>0</v>
      </c>
      <c r="L238" s="256">
        <f t="shared" si="110"/>
        <v>208581.5</v>
      </c>
      <c r="M238" s="256">
        <f t="shared" si="111"/>
        <v>0</v>
      </c>
      <c r="N238" s="257"/>
      <c r="O238" s="38">
        <f t="shared" si="108"/>
        <v>1</v>
      </c>
    </row>
    <row r="239" spans="1:15" ht="24.95" customHeight="1">
      <c r="A239" s="182" t="s">
        <v>2507</v>
      </c>
      <c r="B239" s="228"/>
      <c r="C239" s="275">
        <f>IF(G239&gt;0,COUNTIF($C$17:C238,"&gt;0")+1,0)</f>
        <v>6</v>
      </c>
      <c r="D239" s="275" t="str">
        <f>IF(B239&lt;&gt;"",VLOOKUP(B239,R_DG!$A$7:$G$1305,2,0),"")</f>
        <v/>
      </c>
      <c r="E239" s="275" t="s">
        <v>2506</v>
      </c>
      <c r="F239" s="275" t="s">
        <v>163</v>
      </c>
      <c r="G239" s="275">
        <f>IF(A4&gt;100,1,0)</f>
        <v>1</v>
      </c>
      <c r="H239" s="275"/>
      <c r="I239" s="275"/>
      <c r="J239" s="275"/>
      <c r="K239" s="275">
        <f t="shared" si="109"/>
        <v>0</v>
      </c>
      <c r="L239" s="275">
        <f t="shared" si="110"/>
        <v>0</v>
      </c>
      <c r="M239" s="275">
        <f t="shared" si="111"/>
        <v>0</v>
      </c>
      <c r="N239" s="276"/>
      <c r="O239" s="38">
        <f t="shared" si="108"/>
        <v>1</v>
      </c>
    </row>
    <row r="240" spans="1:15" ht="24.95" customHeight="1">
      <c r="A240" s="182"/>
      <c r="B240" s="228"/>
      <c r="C240" s="273"/>
      <c r="D240" s="243" t="str">
        <f>IF(B240&lt;&gt;"",VLOOKUP(B240,R_DG!$A$7:$G$1305,2,0),"")</f>
        <v/>
      </c>
      <c r="E240" s="77" t="s">
        <v>2432</v>
      </c>
      <c r="F240" s="274"/>
      <c r="G240" s="274"/>
      <c r="H240" s="256"/>
      <c r="I240" s="256"/>
      <c r="J240" s="255"/>
      <c r="K240" s="256">
        <f t="shared" si="109"/>
        <v>0</v>
      </c>
      <c r="L240" s="256">
        <f t="shared" si="110"/>
        <v>0</v>
      </c>
      <c r="M240" s="256">
        <f t="shared" si="111"/>
        <v>0</v>
      </c>
      <c r="N240" s="257"/>
      <c r="O240" s="38">
        <f t="shared" si="108"/>
        <v>0</v>
      </c>
    </row>
    <row r="241" spans="1:15" ht="24.95" customHeight="1">
      <c r="A241" s="182"/>
      <c r="B241" s="228" t="s">
        <v>3308</v>
      </c>
      <c r="C241" s="274"/>
      <c r="D241" s="243">
        <f>IF(B241&lt;&gt;"",VLOOKUP(B241,R_DG!$A$7:$G$1305,2,0),"")</f>
        <v>0</v>
      </c>
      <c r="E241" s="253" t="str">
        <f>VLOOKUP(B241,R_DG!$A$7:$G$1305,3,0)</f>
        <v>Đà sắt L75x75x8x2200 4 ốp (22,37kg/cái)</v>
      </c>
      <c r="F241" s="243" t="str">
        <f>VLOOKUP(B241,R_DG!$A$7:$G$1305,4,0)</f>
        <v>cái</v>
      </c>
      <c r="G241" s="254">
        <f>G$239*1</f>
        <v>1</v>
      </c>
      <c r="H241" s="255" t="e">
        <f>VLOOKUP(B241,R_DG!$A$7:$G$1305,5,0)</f>
        <v>#REF!</v>
      </c>
      <c r="I241" s="255">
        <f>VLOOKUP(B241,R_DG!$A$7:$G$1305,6,0)</f>
        <v>0</v>
      </c>
      <c r="J241" s="255">
        <f>VLOOKUP(B241,R_DG!$A$7:$G$1305,7,0)</f>
        <v>0</v>
      </c>
      <c r="K241" s="256" t="e">
        <f t="shared" si="109"/>
        <v>#REF!</v>
      </c>
      <c r="L241" s="256">
        <f t="shared" si="110"/>
        <v>0</v>
      </c>
      <c r="M241" s="256">
        <f t="shared" si="111"/>
        <v>0</v>
      </c>
      <c r="N241" s="257"/>
      <c r="O241" s="38">
        <f t="shared" si="108"/>
        <v>1</v>
      </c>
    </row>
    <row r="242" spans="1:15" ht="24.95" customHeight="1">
      <c r="A242" s="182"/>
      <c r="B242" s="228" t="s">
        <v>106</v>
      </c>
      <c r="C242" s="274"/>
      <c r="D242" s="243">
        <f>IF(B242&lt;&gt;"",VLOOKUP(B242,R_DG!$A$7:$G$1305,2,0),"")</f>
        <v>0</v>
      </c>
      <c r="E242" s="253" t="str">
        <f>VLOOKUP(B242,R_DG!$A$7:$G$1305,3,0)</f>
        <v>Boulon 16x300VRS+ 4 long đền vuông D18-50x50x3/Zn</v>
      </c>
      <c r="F242" s="243" t="str">
        <f>VLOOKUP(B242,R_DG!$A$7:$G$1305,4,0)</f>
        <v>bộ</v>
      </c>
      <c r="G242" s="404">
        <f>G$239*1</f>
        <v>1</v>
      </c>
      <c r="H242" s="255" t="e">
        <f>VLOOKUP(B242,R_DG!$A$7:$G$1305,5,0)</f>
        <v>#REF!</v>
      </c>
      <c r="I242" s="255">
        <f>VLOOKUP(B242,R_DG!$A$7:$G$1305,6,0)</f>
        <v>0</v>
      </c>
      <c r="J242" s="255">
        <f>VLOOKUP(B242,R_DG!$A$7:$G$1305,7,0)</f>
        <v>0</v>
      </c>
      <c r="K242" s="256" t="e">
        <f t="shared" si="109"/>
        <v>#REF!</v>
      </c>
      <c r="L242" s="256">
        <f t="shared" si="110"/>
        <v>0</v>
      </c>
      <c r="M242" s="256">
        <f t="shared" si="111"/>
        <v>0</v>
      </c>
      <c r="N242" s="257"/>
      <c r="O242" s="38">
        <f t="shared" si="108"/>
        <v>1</v>
      </c>
    </row>
    <row r="243" spans="1:15" ht="24.95" customHeight="1">
      <c r="A243" s="182"/>
      <c r="B243" s="228" t="s">
        <v>86</v>
      </c>
      <c r="C243" s="274"/>
      <c r="D243" s="243">
        <f>IF(B243&lt;&gt;"",VLOOKUP(B243,R_DG!$A$7:$G$1305,2,0),"")</f>
        <v>0</v>
      </c>
      <c r="E243" s="253" t="str">
        <f>VLOOKUP(B243,R_DG!$A$7:$G$1305,3,0)</f>
        <v>Boulon 16x300+ 2 long đền vuông D18-50x50x3/Zn</v>
      </c>
      <c r="F243" s="243" t="str">
        <f>VLOOKUP(B243,R_DG!$A$7:$G$1305,4,0)</f>
        <v>bộ</v>
      </c>
      <c r="G243" s="404">
        <f>G$239*1</f>
        <v>1</v>
      </c>
      <c r="H243" s="255" t="e">
        <f>VLOOKUP(B243,R_DG!$A$7:$G$1305,5,0)</f>
        <v>#REF!</v>
      </c>
      <c r="I243" s="255">
        <f>VLOOKUP(B243,R_DG!$A$7:$G$1305,6,0)</f>
        <v>0</v>
      </c>
      <c r="J243" s="255">
        <f>VLOOKUP(B243,R_DG!$A$7:$G$1305,7,0)</f>
        <v>0</v>
      </c>
      <c r="K243" s="256" t="e">
        <f t="shared" si="109"/>
        <v>#REF!</v>
      </c>
      <c r="L243" s="256">
        <f t="shared" si="110"/>
        <v>0</v>
      </c>
      <c r="M243" s="256">
        <f t="shared" si="111"/>
        <v>0</v>
      </c>
      <c r="N243" s="257"/>
      <c r="O243" s="38">
        <f t="shared" si="108"/>
        <v>1</v>
      </c>
    </row>
    <row r="244" spans="1:15" ht="24.95" customHeight="1">
      <c r="A244" s="182"/>
      <c r="B244" s="228" t="s">
        <v>84</v>
      </c>
      <c r="C244" s="274"/>
      <c r="D244" s="243">
        <f>IF(B244&lt;&gt;"",VLOOKUP(B244,R_DG!$A$7:$G$1305,2,0),"")</f>
        <v>0</v>
      </c>
      <c r="E244" s="253" t="str">
        <f>VLOOKUP(B244,R_DG!$A$7:$G$1305,3,0)</f>
        <v>Boulon 16x250+ 2 long đền vuông D18-50x50x3/Zn</v>
      </c>
      <c r="F244" s="243" t="str">
        <f>VLOOKUP(B244,R_DG!$A$7:$G$1305,4,0)</f>
        <v>bộ</v>
      </c>
      <c r="G244" s="404">
        <f>G$239*1</f>
        <v>1</v>
      </c>
      <c r="H244" s="255" t="e">
        <f>VLOOKUP(B244,R_DG!$A$7:$G$1305,5,0)</f>
        <v>#REF!</v>
      </c>
      <c r="I244" s="255">
        <f>VLOOKUP(B244,R_DG!$A$7:$G$1305,6,0)</f>
        <v>0</v>
      </c>
      <c r="J244" s="255">
        <f>VLOOKUP(B244,R_DG!$A$7:$G$1305,7,0)</f>
        <v>0</v>
      </c>
      <c r="K244" s="256" t="e">
        <f t="shared" si="109"/>
        <v>#REF!</v>
      </c>
      <c r="L244" s="256">
        <f t="shared" si="110"/>
        <v>0</v>
      </c>
      <c r="M244" s="256">
        <f t="shared" si="111"/>
        <v>0</v>
      </c>
      <c r="N244" s="257"/>
      <c r="O244" s="38">
        <f t="shared" si="108"/>
        <v>1</v>
      </c>
    </row>
    <row r="245" spans="1:15" ht="24.95" customHeight="1">
      <c r="A245" s="182"/>
      <c r="B245" s="228" t="s">
        <v>1179</v>
      </c>
      <c r="C245" s="274"/>
      <c r="D245" s="243" t="str">
        <f>IF(B245&lt;&gt;"",VLOOKUP(B245,R_DG!$A$7:$G$1305,2,0),"")</f>
        <v>D2.6021</v>
      </c>
      <c r="E245" s="253" t="str">
        <f>VLOOKUP(B245,R_DG!$A$7:$G$1305,3,0)</f>
        <v>Lắp xà đỡ ≤ 25kg</v>
      </c>
      <c r="F245" s="243" t="str">
        <f>VLOOKUP(B245,R_DG!$A$7:$G$1305,4,0)</f>
        <v>bộ</v>
      </c>
      <c r="G245" s="404">
        <f>G$239*1</f>
        <v>1</v>
      </c>
      <c r="H245" s="255">
        <f>VLOOKUP(B245,R_DG!$A$7:$G$1305,5,0)</f>
        <v>0</v>
      </c>
      <c r="I245" s="255">
        <f>VLOOKUP(B245,R_DG!$A$7:$G$1305,6,0)</f>
        <v>208581.5</v>
      </c>
      <c r="J245" s="255">
        <f>VLOOKUP(B245,R_DG!$A$7:$G$1305,7,0)</f>
        <v>0</v>
      </c>
      <c r="K245" s="256">
        <f t="shared" si="109"/>
        <v>0</v>
      </c>
      <c r="L245" s="256">
        <f t="shared" si="110"/>
        <v>208581.5</v>
      </c>
      <c r="M245" s="256">
        <f t="shared" si="111"/>
        <v>0</v>
      </c>
      <c r="N245" s="257"/>
      <c r="O245" s="38">
        <f t="shared" si="108"/>
        <v>1</v>
      </c>
    </row>
    <row r="246" spans="1:15" ht="24.95" customHeight="1">
      <c r="A246" s="182" t="s">
        <v>2481</v>
      </c>
      <c r="B246" s="401"/>
      <c r="C246" s="275">
        <f>IF(G246&gt;0,COUNTIF($C$17:C245,"&gt;0")+1,0)</f>
        <v>7</v>
      </c>
      <c r="D246" s="275" t="str">
        <f>IF(B246&lt;&gt;"",VLOOKUP(B246,R_DG!$A$7:$G$1305,2,0),"")</f>
        <v/>
      </c>
      <c r="E246" s="275" t="s">
        <v>2487</v>
      </c>
      <c r="F246" s="275" t="s">
        <v>163</v>
      </c>
      <c r="G246" s="411">
        <f>IF(A3&gt;0,1,0)</f>
        <v>1</v>
      </c>
      <c r="H246" s="275"/>
      <c r="I246" s="275"/>
      <c r="J246" s="275"/>
      <c r="K246" s="275">
        <f t="shared" si="109"/>
        <v>0</v>
      </c>
      <c r="L246" s="275">
        <f t="shared" si="110"/>
        <v>0</v>
      </c>
      <c r="M246" s="275">
        <f t="shared" si="111"/>
        <v>0</v>
      </c>
      <c r="N246" s="276"/>
      <c r="O246" s="38">
        <f t="shared" si="108"/>
        <v>1</v>
      </c>
    </row>
    <row r="247" spans="1:15" ht="24.95" customHeight="1">
      <c r="A247" s="182"/>
      <c r="B247" s="401"/>
      <c r="C247" s="274"/>
      <c r="D247" s="243" t="str">
        <f>IF(B247&lt;&gt;"",VLOOKUP(B247,R_DG!$A$7:$G$1305,2,0),"")</f>
        <v/>
      </c>
      <c r="E247" s="77" t="s">
        <v>2432</v>
      </c>
      <c r="F247" s="274"/>
      <c r="G247" s="409"/>
      <c r="H247" s="256"/>
      <c r="I247" s="256"/>
      <c r="J247" s="255"/>
      <c r="K247" s="256">
        <f t="shared" si="109"/>
        <v>0</v>
      </c>
      <c r="L247" s="256">
        <f t="shared" si="110"/>
        <v>0</v>
      </c>
      <c r="M247" s="256">
        <f t="shared" si="111"/>
        <v>0</v>
      </c>
      <c r="N247" s="257"/>
      <c r="O247" s="38">
        <f t="shared" si="108"/>
        <v>0</v>
      </c>
    </row>
    <row r="248" spans="1:15" ht="24.95" customHeight="1">
      <c r="A248" s="182"/>
      <c r="B248" s="401" t="s">
        <v>185</v>
      </c>
      <c r="C248" s="274"/>
      <c r="D248" s="243">
        <f>IF(B248&lt;&gt;"",VLOOKUP(B248,R_DG!$A$7:$G$1305,2,0),"")</f>
        <v>0</v>
      </c>
      <c r="E248" s="253" t="str">
        <f>VLOOKUP(B248,R_DG!$A$7:$G$1305,3,0)</f>
        <v>Cáp đồng trần M25mm2</v>
      </c>
      <c r="F248" s="243" t="str">
        <f>VLOOKUP(B248,R_DG!$A$7:$G$1305,4,0)</f>
        <v>kg</v>
      </c>
      <c r="G248" s="278">
        <f>(8*3+10+2+0.5+10+0.5+2)*0.224*G246</f>
        <v>10.976000000000001</v>
      </c>
      <c r="H248" s="255">
        <f>VLOOKUP(B248,R_DG!$A$7:$G$1305,5,0)</f>
        <v>255500</v>
      </c>
      <c r="I248" s="255">
        <f>VLOOKUP(B248,R_DG!$A$7:$G$1305,6,0)</f>
        <v>0</v>
      </c>
      <c r="J248" s="255">
        <f>VLOOKUP(B248,R_DG!$A$7:$G$1305,7,0)</f>
        <v>0</v>
      </c>
      <c r="K248" s="256">
        <f t="shared" si="109"/>
        <v>2804368</v>
      </c>
      <c r="L248" s="256">
        <f t="shared" si="110"/>
        <v>0</v>
      </c>
      <c r="M248" s="256">
        <f t="shared" si="111"/>
        <v>0</v>
      </c>
      <c r="N248" s="257"/>
      <c r="O248" s="38">
        <f t="shared" si="108"/>
        <v>1</v>
      </c>
    </row>
    <row r="249" spans="1:15" ht="24.95" customHeight="1">
      <c r="A249" s="182"/>
      <c r="B249" s="226" t="s">
        <v>405</v>
      </c>
      <c r="C249" s="274"/>
      <c r="D249" s="243">
        <f>IF(B249&lt;&gt;"",VLOOKUP(B249,R_DG!$A$7:$G$1305,2,0),"")</f>
        <v>0</v>
      </c>
      <c r="E249" s="253" t="str">
        <f>VLOOKUP(B249,R_DG!$A$7:$G$1305,3,0)</f>
        <v>Cọc tiếp đất φ 16- 2,4m + kẹp cọc</v>
      </c>
      <c r="F249" s="243" t="str">
        <f>VLOOKUP(B249,R_DG!$A$7:$G$1305,4,0)</f>
        <v>bộ</v>
      </c>
      <c r="G249" s="404">
        <f>G246*9</f>
        <v>9</v>
      </c>
      <c r="H249" s="255">
        <f>VLOOKUP(B249,R_DG!$A$7:$G$1305,5,0)</f>
        <v>135000</v>
      </c>
      <c r="I249" s="255">
        <f>VLOOKUP(B249,R_DG!$A$7:$G$1305,6,0)</f>
        <v>0</v>
      </c>
      <c r="J249" s="255">
        <f>VLOOKUP(B249,R_DG!$A$7:$G$1305,7,0)</f>
        <v>0</v>
      </c>
      <c r="K249" s="256">
        <f t="shared" si="109"/>
        <v>1215000</v>
      </c>
      <c r="L249" s="256">
        <f t="shared" si="110"/>
        <v>0</v>
      </c>
      <c r="M249" s="256">
        <f t="shared" si="111"/>
        <v>0</v>
      </c>
      <c r="N249" s="257"/>
      <c r="O249" s="38">
        <f t="shared" si="108"/>
        <v>1</v>
      </c>
    </row>
    <row r="250" spans="1:15" ht="24.95" customHeight="1">
      <c r="A250" s="182"/>
      <c r="B250" s="226" t="s">
        <v>2197</v>
      </c>
      <c r="C250" s="274"/>
      <c r="D250" s="243">
        <f>IF(B250&lt;&gt;"",VLOOKUP(B250,R_DG!$A$7:$G$1305,2,0),"")</f>
        <v>0</v>
      </c>
      <c r="E250" s="253" t="str">
        <f>VLOOKUP(B250,R_DG!$A$7:$G$1305,3,0)</f>
        <v xml:space="preserve">Ống PVC D21x1,6mm </v>
      </c>
      <c r="F250" s="243" t="str">
        <f>VLOOKUP(B250,R_DG!$A$7:$G$1305,4,0)</f>
        <v>m</v>
      </c>
      <c r="G250" s="404"/>
      <c r="H250" s="255">
        <f>VLOOKUP(B250,R_DG!$A$7:$G$1305,5,0)</f>
        <v>3700</v>
      </c>
      <c r="I250" s="255">
        <f>VLOOKUP(B250,R_DG!$A$7:$G$1305,6,0)</f>
        <v>0</v>
      </c>
      <c r="J250" s="255">
        <f>VLOOKUP(B250,R_DG!$A$7:$G$1305,7,0)</f>
        <v>0</v>
      </c>
      <c r="K250" s="256">
        <f t="shared" si="109"/>
        <v>0</v>
      </c>
      <c r="L250" s="256">
        <f t="shared" si="110"/>
        <v>0</v>
      </c>
      <c r="M250" s="256">
        <f t="shared" si="111"/>
        <v>0</v>
      </c>
      <c r="N250" s="257"/>
      <c r="O250" s="38">
        <f t="shared" si="108"/>
        <v>0</v>
      </c>
    </row>
    <row r="251" spans="1:15" ht="24.95" customHeight="1">
      <c r="A251" s="182"/>
      <c r="B251" s="232" t="s">
        <v>2208</v>
      </c>
      <c r="C251" s="274"/>
      <c r="D251" s="243" t="str">
        <f>IF(B251&lt;&gt;"",VLOOKUP(B251,R_DG!$A$7:$G$1305,2,0),"")</f>
        <v>D3.4011</v>
      </c>
      <c r="E251" s="253" t="str">
        <f>VLOOKUP(B251,R_DG!$A$7:$G$1305,3,0)</f>
        <v>Kẹp ép WR cỡ dây 50mm2</v>
      </c>
      <c r="F251" s="243" t="str">
        <f>VLOOKUP(B251,R_DG!$A$7:$G$1305,4,0)</f>
        <v>cái</v>
      </c>
      <c r="G251" s="404">
        <f>G$246*2</f>
        <v>2</v>
      </c>
      <c r="H251" s="255">
        <f>VLOOKUP(B251,R_DG!$A$7:$G$1305,5,0)</f>
        <v>13000</v>
      </c>
      <c r="I251" s="255">
        <f>VLOOKUP(B251,R_DG!$A$7:$G$1305,6,0)</f>
        <v>259648.56000000003</v>
      </c>
      <c r="J251" s="255">
        <f>VLOOKUP(B251,R_DG!$A$7:$G$1305,7,0)</f>
        <v>4712.5600000000004</v>
      </c>
      <c r="K251" s="256">
        <f t="shared" si="109"/>
        <v>26000</v>
      </c>
      <c r="L251" s="256">
        <f t="shared" si="110"/>
        <v>519297.12000000005</v>
      </c>
      <c r="M251" s="256">
        <f t="shared" si="111"/>
        <v>9425.1200000000008</v>
      </c>
      <c r="N251" s="257"/>
      <c r="O251" s="38">
        <f t="shared" si="108"/>
        <v>1</v>
      </c>
    </row>
    <row r="252" spans="1:15" ht="24.95" customHeight="1">
      <c r="A252" s="182"/>
      <c r="B252" s="232" t="s">
        <v>2004</v>
      </c>
      <c r="C252" s="274"/>
      <c r="D252" s="243">
        <f>IF(B252&lt;&gt;"",VLOOKUP(B252,R_DG!$A$7:$G$1305,2,0),"")</f>
        <v>0</v>
      </c>
      <c r="E252" s="253" t="str">
        <f>VLOOKUP(B252,R_DG!$A$7:$G$1305,3,0)</f>
        <v>Ốc xiết cáp cỡ 25mm2</v>
      </c>
      <c r="F252" s="243" t="str">
        <f>VLOOKUP(B252,R_DG!$A$7:$G$1305,4,0)</f>
        <v>cái</v>
      </c>
      <c r="G252" s="404">
        <f>G246*2</f>
        <v>2</v>
      </c>
      <c r="H252" s="255">
        <f>VLOOKUP(B252,R_DG!$A$7:$G$1305,5,0)</f>
        <v>36000</v>
      </c>
      <c r="I252" s="255">
        <f>VLOOKUP(B252,R_DG!$A$7:$G$1305,6,0)</f>
        <v>0</v>
      </c>
      <c r="J252" s="255">
        <f>VLOOKUP(B252,R_DG!$A$7:$G$1305,7,0)</f>
        <v>0</v>
      </c>
      <c r="K252" s="256">
        <f t="shared" si="109"/>
        <v>72000</v>
      </c>
      <c r="L252" s="256">
        <f t="shared" si="110"/>
        <v>0</v>
      </c>
      <c r="M252" s="256">
        <f t="shared" si="111"/>
        <v>0</v>
      </c>
      <c r="N252" s="257"/>
      <c r="O252" s="38">
        <f t="shared" si="108"/>
        <v>1</v>
      </c>
    </row>
    <row r="253" spans="1:15" ht="24.95" customHeight="1">
      <c r="A253" s="182"/>
      <c r="B253" s="232" t="s">
        <v>2190</v>
      </c>
      <c r="C253" s="274"/>
      <c r="D253" s="243">
        <f>IF(B253&lt;&gt;"",VLOOKUP(B253,R_DG!$A$7:$G$1305,2,0),"")</f>
        <v>0</v>
      </c>
      <c r="E253" s="253" t="str">
        <f>VLOOKUP(B253,R_DG!$A$7:$G$1305,3,0)</f>
        <v>Boulon 12x40+ 2 long đền vuông D14-50x50x3/Zn</v>
      </c>
      <c r="F253" s="243" t="str">
        <f>VLOOKUP(B253,R_DG!$A$7:$G$1305,4,0)</f>
        <v>bộ</v>
      </c>
      <c r="G253" s="404"/>
      <c r="H253" s="255">
        <f>VLOOKUP(B253,R_DG!$A$7:$G$1305,5,0)</f>
        <v>3000</v>
      </c>
      <c r="I253" s="255">
        <f>VLOOKUP(B253,R_DG!$A$7:$G$1305,6,0)</f>
        <v>0</v>
      </c>
      <c r="J253" s="255">
        <f>VLOOKUP(B253,R_DG!$A$7:$G$1305,7,0)</f>
        <v>0</v>
      </c>
      <c r="K253" s="256">
        <f t="shared" si="109"/>
        <v>0</v>
      </c>
      <c r="L253" s="256">
        <f t="shared" si="110"/>
        <v>0</v>
      </c>
      <c r="M253" s="256">
        <f t="shared" si="111"/>
        <v>0</v>
      </c>
      <c r="N253" s="257"/>
      <c r="O253" s="38">
        <f t="shared" si="108"/>
        <v>0</v>
      </c>
    </row>
    <row r="254" spans="1:15" ht="24.95" customHeight="1">
      <c r="A254" s="182"/>
      <c r="B254" s="232" t="s">
        <v>2209</v>
      </c>
      <c r="C254" s="274"/>
      <c r="D254" s="243" t="str">
        <f>IF(B254&lt;&gt;"",VLOOKUP(B254,R_DG!$A$7:$G$1305,2,0),"")</f>
        <v>D3.4011</v>
      </c>
      <c r="E254" s="253" t="str">
        <f>VLOOKUP(B254,R_DG!$A$7:$G$1305,3,0)</f>
        <v>Kẹp ép cỡ dây 25mm2</v>
      </c>
      <c r="F254" s="243" t="str">
        <f>VLOOKUP(B254,R_DG!$A$7:$G$1305,4,0)</f>
        <v>cái</v>
      </c>
      <c r="G254" s="404">
        <f t="shared" ref="G254" si="112">G$246*2</f>
        <v>2</v>
      </c>
      <c r="H254" s="255">
        <f>VLOOKUP(B254,R_DG!$A$7:$G$1305,5,0)</f>
        <v>14000</v>
      </c>
      <c r="I254" s="255">
        <f>VLOOKUP(B254,R_DG!$A$7:$G$1305,6,0)</f>
        <v>259648.56000000003</v>
      </c>
      <c r="J254" s="255">
        <f>VLOOKUP(B254,R_DG!$A$7:$G$1305,7,0)</f>
        <v>4712.5600000000004</v>
      </c>
      <c r="K254" s="256">
        <f t="shared" si="109"/>
        <v>28000</v>
      </c>
      <c r="L254" s="256">
        <f t="shared" si="110"/>
        <v>519297.12000000005</v>
      </c>
      <c r="M254" s="256">
        <f t="shared" si="111"/>
        <v>9425.1200000000008</v>
      </c>
      <c r="N254" s="257"/>
      <c r="O254" s="38">
        <f t="shared" si="108"/>
        <v>1</v>
      </c>
    </row>
    <row r="255" spans="1:15" ht="24.95" customHeight="1">
      <c r="A255" s="182"/>
      <c r="B255" s="226" t="s">
        <v>2210</v>
      </c>
      <c r="C255" s="274"/>
      <c r="D255" s="243">
        <f>IF(B255&lt;&gt;"",VLOOKUP(B255,R_DG!$A$7:$G$1305,2,0),"")</f>
        <v>0</v>
      </c>
      <c r="E255" s="253" t="str">
        <f>VLOOKUP(B255,R_DG!$A$7:$G$1305,3,0)</f>
        <v>Cổ dê kẹp ống PVC φ 21</v>
      </c>
      <c r="F255" s="243" t="str">
        <f>VLOOKUP(B255,R_DG!$A$7:$G$1305,4,0)</f>
        <v>bộ</v>
      </c>
      <c r="G255" s="404"/>
      <c r="H255" s="255">
        <f>VLOOKUP(B255,R_DG!$A$7:$G$1305,5,0)</f>
        <v>43000</v>
      </c>
      <c r="I255" s="255">
        <f>VLOOKUP(B255,R_DG!$A$7:$G$1305,6,0)</f>
        <v>0</v>
      </c>
      <c r="J255" s="255">
        <f>VLOOKUP(B255,R_DG!$A$7:$G$1305,7,0)</f>
        <v>0</v>
      </c>
      <c r="K255" s="256">
        <f t="shared" si="109"/>
        <v>0</v>
      </c>
      <c r="L255" s="256">
        <f t="shared" si="110"/>
        <v>0</v>
      </c>
      <c r="M255" s="256">
        <f t="shared" si="111"/>
        <v>0</v>
      </c>
      <c r="N255" s="257"/>
      <c r="O255" s="38">
        <f t="shared" si="108"/>
        <v>0</v>
      </c>
    </row>
    <row r="256" spans="1:15" ht="24.95" customHeight="1">
      <c r="A256" s="182"/>
      <c r="B256" s="226" t="s">
        <v>707</v>
      </c>
      <c r="C256" s="274"/>
      <c r="D256" s="243" t="str">
        <f>IF(B256&lt;&gt;"",VLOOKUP(B256,R_DG!$A$7:$G$1305,2,0),"")</f>
        <v>D2.3241</v>
      </c>
      <c r="E256" s="253" t="str">
        <f>VLOOKUP(B256,R_DG!$A$7:$G$1305,3,0)</f>
        <v>Lắp cổ dề</v>
      </c>
      <c r="F256" s="243" t="str">
        <f>VLOOKUP(B256,R_DG!$A$7:$G$1305,4,0)</f>
        <v>bộ</v>
      </c>
      <c r="G256" s="404"/>
      <c r="H256" s="255">
        <f>VLOOKUP(B256,R_DG!$A$7:$G$1305,5,0)</f>
        <v>0</v>
      </c>
      <c r="I256" s="255">
        <f>VLOOKUP(B256,R_DG!$A$7:$G$1305,6,0)</f>
        <v>82929</v>
      </c>
      <c r="J256" s="255">
        <f>VLOOKUP(B256,R_DG!$A$7:$G$1305,7,0)</f>
        <v>0</v>
      </c>
      <c r="K256" s="256">
        <f t="shared" si="109"/>
        <v>0</v>
      </c>
      <c r="L256" s="256">
        <f t="shared" si="110"/>
        <v>0</v>
      </c>
      <c r="M256" s="256">
        <f t="shared" si="111"/>
        <v>0</v>
      </c>
      <c r="N256" s="257"/>
      <c r="O256" s="38">
        <f t="shared" si="108"/>
        <v>0</v>
      </c>
    </row>
    <row r="257" spans="1:15" ht="24.95" customHeight="1">
      <c r="A257" s="182"/>
      <c r="B257" s="226" t="s">
        <v>2190</v>
      </c>
      <c r="C257" s="274"/>
      <c r="D257" s="243">
        <f>IF(B257&lt;&gt;"",VLOOKUP(B257,R_DG!$A$7:$G$1305,2,0),"")</f>
        <v>0</v>
      </c>
      <c r="E257" s="253" t="str">
        <f>VLOOKUP(B257,R_DG!$A$7:$G$1305,3,0)</f>
        <v>Boulon 12x40+ 2 long đền vuông D14-50x50x3/Zn</v>
      </c>
      <c r="F257" s="243" t="str">
        <f>VLOOKUP(B257,R_DG!$A$7:$G$1305,4,0)</f>
        <v>bộ</v>
      </c>
      <c r="G257" s="404">
        <f>G$246*0</f>
        <v>0</v>
      </c>
      <c r="H257" s="255">
        <f>VLOOKUP(B257,R_DG!$A$7:$G$1305,5,0)</f>
        <v>3000</v>
      </c>
      <c r="I257" s="255">
        <f>VLOOKUP(B257,R_DG!$A$7:$G$1305,6,0)</f>
        <v>0</v>
      </c>
      <c r="J257" s="255">
        <f>VLOOKUP(B257,R_DG!$A$7:$G$1305,7,0)</f>
        <v>0</v>
      </c>
      <c r="K257" s="256">
        <f t="shared" si="109"/>
        <v>0</v>
      </c>
      <c r="L257" s="256">
        <f t="shared" si="110"/>
        <v>0</v>
      </c>
      <c r="M257" s="256">
        <f t="shared" si="111"/>
        <v>0</v>
      </c>
      <c r="N257" s="257"/>
      <c r="O257" s="38">
        <f t="shared" si="108"/>
        <v>0</v>
      </c>
    </row>
    <row r="258" spans="1:15" ht="24.95" customHeight="1">
      <c r="A258" s="182"/>
      <c r="B258" s="226" t="s">
        <v>2457</v>
      </c>
      <c r="C258" s="274"/>
      <c r="D258" s="243" t="str">
        <f>IF(B258&lt;&gt;"",VLOOKUP(B258,R_DG!$A$7:$G$1305,2,0),"")</f>
        <v>D2.8103</v>
      </c>
      <c r="E258" s="253" t="str">
        <f>VLOOKUP(B258,R_DG!$A$7:$G$1305,3,0)</f>
        <v>Đóng cọc tiếp địa trong TBA</v>
      </c>
      <c r="F258" s="243" t="str">
        <f>VLOOKUP(B258,R_DG!$A$7:$G$1305,4,0)</f>
        <v>cọc</v>
      </c>
      <c r="G258" s="404">
        <f>G249</f>
        <v>9</v>
      </c>
      <c r="H258" s="255">
        <f>VLOOKUP(B258,R_DG!$A$7:$G$1305,5,0)</f>
        <v>0</v>
      </c>
      <c r="I258" s="255">
        <f>VLOOKUP(B258,R_DG!$A$7:$G$1305,6,0)</f>
        <v>107480.82</v>
      </c>
      <c r="J258" s="255">
        <f>VLOOKUP(B258,R_DG!$A$7:$G$1305,7,0)</f>
        <v>0</v>
      </c>
      <c r="K258" s="256">
        <f t="shared" si="109"/>
        <v>0</v>
      </c>
      <c r="L258" s="256">
        <f t="shared" si="110"/>
        <v>967327.38000000012</v>
      </c>
      <c r="M258" s="256">
        <f t="shared" si="111"/>
        <v>0</v>
      </c>
      <c r="N258" s="257"/>
      <c r="O258" s="38">
        <f t="shared" si="108"/>
        <v>1</v>
      </c>
    </row>
    <row r="259" spans="1:15" ht="24.95" customHeight="1">
      <c r="A259" s="182"/>
      <c r="B259" s="226" t="s">
        <v>2458</v>
      </c>
      <c r="C259" s="274"/>
      <c r="D259" s="243" t="str">
        <f>IF(B259&lt;&gt;"",VLOOKUP(B259,R_DG!$A$7:$G$1305,2,0),"")</f>
        <v>T4.7001</v>
      </c>
      <c r="E259" s="253" t="str">
        <f>VLOOKUP(B259,R_DG!$A$7:$G$1305,3,0)</f>
        <v>Kéo dây tiếp địa trong TBA</v>
      </c>
      <c r="F259" s="243" t="str">
        <f>VLOOKUP(B259,R_DG!$A$7:$G$1305,4,0)</f>
        <v>mét</v>
      </c>
      <c r="G259" s="404">
        <f>G248/0.224</f>
        <v>49</v>
      </c>
      <c r="H259" s="255">
        <f>VLOOKUP(B259,R_DG!$A$7:$G$1305,5,0)</f>
        <v>0</v>
      </c>
      <c r="I259" s="255">
        <f>VLOOKUP(B259,R_DG!$A$7:$G$1305,6,0)</f>
        <v>6871.2599999999993</v>
      </c>
      <c r="J259" s="255">
        <f>VLOOKUP(B259,R_DG!$A$7:$G$1305,7,0)</f>
        <v>0</v>
      </c>
      <c r="K259" s="256">
        <f t="shared" si="109"/>
        <v>0</v>
      </c>
      <c r="L259" s="256">
        <f t="shared" si="110"/>
        <v>336691.74</v>
      </c>
      <c r="M259" s="256">
        <f t="shared" si="111"/>
        <v>0</v>
      </c>
      <c r="N259" s="257"/>
      <c r="O259" s="38">
        <f t="shared" si="108"/>
        <v>1</v>
      </c>
    </row>
    <row r="260" spans="1:15" ht="24.95" customHeight="1">
      <c r="A260" s="182"/>
      <c r="B260" s="232" t="s">
        <v>2211</v>
      </c>
      <c r="C260" s="274"/>
      <c r="D260" s="243" t="str">
        <f>IF(B260&lt;&gt;"",VLOOKUP(B260,R_DG!$A$7:$G$1305,2,0),"")</f>
        <v>AB.1151</v>
      </c>
      <c r="E260" s="253" t="str">
        <f>VLOOKUP(B260,R_DG!$A$7:$G$1305,3,0)</f>
        <v>Đào rãnh tiếp địa đất cấp 3</v>
      </c>
      <c r="F260" s="243" t="str">
        <f>VLOOKUP(B260,R_DG!$A$7:$G$1305,4,0)</f>
        <v>m3</v>
      </c>
      <c r="G260" s="278">
        <f>G$246*8*3*0.3*0.3</f>
        <v>2.1599999999999997</v>
      </c>
      <c r="H260" s="255">
        <f>VLOOKUP(B260,R_DG!$A$7:$G$1305,5,0)</f>
        <v>0</v>
      </c>
      <c r="I260" s="255">
        <f>VLOOKUP(B260,R_DG!$A$7:$G$1305,6,0)</f>
        <v>241579.80000000002</v>
      </c>
      <c r="J260" s="255">
        <f>VLOOKUP(B260,R_DG!$A$7:$G$1305,7,0)</f>
        <v>0</v>
      </c>
      <c r="K260" s="256">
        <f t="shared" si="109"/>
        <v>0</v>
      </c>
      <c r="L260" s="256">
        <f t="shared" si="110"/>
        <v>521812.36799999996</v>
      </c>
      <c r="M260" s="256">
        <f t="shared" si="111"/>
        <v>0</v>
      </c>
      <c r="N260" s="257"/>
      <c r="O260" s="38">
        <f t="shared" si="108"/>
        <v>1</v>
      </c>
    </row>
    <row r="261" spans="1:15" ht="24.95" customHeight="1">
      <c r="A261" s="182"/>
      <c r="B261" s="226" t="s">
        <v>2212</v>
      </c>
      <c r="C261" s="274"/>
      <c r="D261" s="243" t="str">
        <f>IF(B261&lt;&gt;"",VLOOKUP(B261,R_DG!$A$7:$G$1305,2,0),"")</f>
        <v>AB.1312</v>
      </c>
      <c r="E261" s="253" t="str">
        <f>VLOOKUP(B261,R_DG!$A$7:$G$1305,3,0)</f>
        <v>Đắp đất rãnh tiếp địa cấp 3, k=0,9</v>
      </c>
      <c r="F261" s="243" t="str">
        <f>VLOOKUP(B261,R_DG!$A$7:$G$1305,4,0)</f>
        <v>m3</v>
      </c>
      <c r="G261" s="278">
        <f>G260</f>
        <v>2.1599999999999997</v>
      </c>
      <c r="H261" s="255">
        <f>VLOOKUP(B261,R_DG!$A$7:$G$1305,5,0)</f>
        <v>0</v>
      </c>
      <c r="I261" s="255">
        <f>VLOOKUP(B261,R_DG!$A$7:$G$1305,6,0)</f>
        <v>107368.8</v>
      </c>
      <c r="J261" s="255">
        <f>VLOOKUP(B261,R_DG!$A$7:$G$1305,7,0)</f>
        <v>0</v>
      </c>
      <c r="K261" s="256">
        <f t="shared" si="109"/>
        <v>0</v>
      </c>
      <c r="L261" s="256">
        <f t="shared" si="110"/>
        <v>231916.60799999998</v>
      </c>
      <c r="M261" s="256">
        <f t="shared" si="111"/>
        <v>0</v>
      </c>
      <c r="N261" s="257"/>
      <c r="O261" s="38">
        <f t="shared" si="108"/>
        <v>1</v>
      </c>
    </row>
    <row r="262" spans="1:15" ht="24.95" customHeight="1">
      <c r="A262" s="182" t="s">
        <v>2482</v>
      </c>
      <c r="B262" s="232"/>
      <c r="C262" s="275">
        <f>IF(G262&gt;0,COUNTIF($C$17:C261,"&gt;0")+1,0)</f>
        <v>0</v>
      </c>
      <c r="D262" s="275" t="str">
        <f>IF(B262&lt;&gt;"",VLOOKUP(B262,R_DG!$A$7:$G$1305,2,0),"")</f>
        <v/>
      </c>
      <c r="E262" s="275" t="s">
        <v>2519</v>
      </c>
      <c r="F262" s="275" t="s">
        <v>163</v>
      </c>
      <c r="G262" s="275">
        <f>IF(B4=1,1,0)</f>
        <v>0</v>
      </c>
      <c r="H262" s="275"/>
      <c r="I262" s="275"/>
      <c r="J262" s="275"/>
      <c r="K262" s="275">
        <f t="shared" si="109"/>
        <v>0</v>
      </c>
      <c r="L262" s="275">
        <f t="shared" si="110"/>
        <v>0</v>
      </c>
      <c r="M262" s="275">
        <f t="shared" si="111"/>
        <v>0</v>
      </c>
      <c r="N262" s="276"/>
      <c r="O262" s="38">
        <f t="shared" si="108"/>
        <v>0</v>
      </c>
    </row>
    <row r="263" spans="1:15" ht="24.95" customHeight="1">
      <c r="A263" s="182"/>
      <c r="B263" s="232"/>
      <c r="C263" s="273"/>
      <c r="D263" s="243" t="str">
        <f>IF(B263&lt;&gt;"",VLOOKUP(B263,R_DG!$A$7:$G$1305,2,0),"")</f>
        <v/>
      </c>
      <c r="E263" s="77" t="s">
        <v>2432</v>
      </c>
      <c r="F263" s="274"/>
      <c r="G263" s="274"/>
      <c r="H263" s="256"/>
      <c r="I263" s="256"/>
      <c r="J263" s="255"/>
      <c r="K263" s="256">
        <f t="shared" si="109"/>
        <v>0</v>
      </c>
      <c r="L263" s="256">
        <f t="shared" si="110"/>
        <v>0</v>
      </c>
      <c r="M263" s="256">
        <f t="shared" si="111"/>
        <v>0</v>
      </c>
      <c r="N263" s="257"/>
      <c r="O263" s="38">
        <f t="shared" si="108"/>
        <v>0</v>
      </c>
    </row>
    <row r="264" spans="1:15" ht="24.95" customHeight="1">
      <c r="A264" s="182"/>
      <c r="B264" s="227" t="s">
        <v>2459</v>
      </c>
      <c r="C264" s="274"/>
      <c r="D264" s="243" t="str">
        <f>IF(B264&lt;&gt;"",VLOOKUP(B264,R_DG!$A$7:$G$1305,2,0),"")</f>
        <v>T5.1001</v>
      </c>
      <c r="E264" s="253" t="str">
        <f>VLOOKUP(B264,R_DG!$A$7:$G$1305,3,0)</f>
        <v>Tủ CB trạm 1 pha + khóa + boulon</v>
      </c>
      <c r="F264" s="243" t="str">
        <f>VLOOKUP(B264,R_DG!$A$7:$G$1305,4,0)</f>
        <v>cái</v>
      </c>
      <c r="G264" s="254">
        <f>G262</f>
        <v>0</v>
      </c>
      <c r="H264" s="255">
        <f>VLOOKUP(B264,R_DG!$A$7:$G$1305,5,0)</f>
        <v>5000000</v>
      </c>
      <c r="I264" s="255">
        <f>VLOOKUP(B264,R_DG!$A$7:$G$1305,6,0)</f>
        <v>838714.5</v>
      </c>
      <c r="J264" s="255">
        <f>VLOOKUP(B264,R_DG!$A$7:$G$1305,7,0)</f>
        <v>0</v>
      </c>
      <c r="K264" s="256">
        <f t="shared" si="109"/>
        <v>0</v>
      </c>
      <c r="L264" s="256">
        <f t="shared" si="110"/>
        <v>0</v>
      </c>
      <c r="M264" s="256">
        <f t="shared" si="111"/>
        <v>0</v>
      </c>
      <c r="N264" s="257"/>
      <c r="O264" s="38">
        <f t="shared" si="108"/>
        <v>0</v>
      </c>
    </row>
    <row r="265" spans="1:15" ht="24.95" customHeight="1">
      <c r="A265" s="182"/>
      <c r="B265" s="232" t="s">
        <v>2460</v>
      </c>
      <c r="C265" s="274"/>
      <c r="D265" s="243">
        <f>IF(B265&lt;&gt;"",VLOOKUP(B265,R_DG!$A$7:$G$1305,2,0),"")</f>
        <v>0</v>
      </c>
      <c r="E265" s="253" t="str">
        <f>VLOOKUP(B265,R_DG!$A$7:$G$1305,3,0)</f>
        <v>Collier bắt tủ</v>
      </c>
      <c r="F265" s="243" t="str">
        <f>VLOOKUP(B265,R_DG!$A$7:$G$1305,4,0)</f>
        <v>bộ</v>
      </c>
      <c r="G265" s="254">
        <f>G262*2</f>
        <v>0</v>
      </c>
      <c r="H265" s="255">
        <f>VLOOKUP(B265,R_DG!$A$7:$G$1305,5,0)</f>
        <v>185000</v>
      </c>
      <c r="I265" s="255">
        <f>VLOOKUP(B265,R_DG!$A$7:$G$1305,6,0)</f>
        <v>0</v>
      </c>
      <c r="J265" s="255">
        <f>VLOOKUP(B265,R_DG!$A$7:$G$1305,7,0)</f>
        <v>0</v>
      </c>
      <c r="K265" s="256">
        <f t="shared" si="109"/>
        <v>0</v>
      </c>
      <c r="L265" s="256">
        <f t="shared" si="110"/>
        <v>0</v>
      </c>
      <c r="M265" s="256">
        <f t="shared" si="111"/>
        <v>0</v>
      </c>
      <c r="N265" s="257"/>
      <c r="O265" s="38">
        <f t="shared" si="108"/>
        <v>0</v>
      </c>
    </row>
    <row r="266" spans="1:15" ht="24.95" customHeight="1">
      <c r="A266" s="182"/>
      <c r="B266" s="232" t="s">
        <v>1961</v>
      </c>
      <c r="C266" s="274"/>
      <c r="D266" s="243">
        <f>IF(B266&lt;&gt;"",VLOOKUP(B266,R_DG!$A$7:$G$1305,2,0),"")</f>
        <v>0</v>
      </c>
      <c r="E266" s="253" t="str">
        <f>VLOOKUP(B266,R_DG!$A$7:$G$1305,3,0)</f>
        <v xml:space="preserve">Bakelit 500x400 dầy 10mm </v>
      </c>
      <c r="F266" s="243" t="str">
        <f>VLOOKUP(B266,R_DG!$A$7:$G$1305,4,0)</f>
        <v>cái</v>
      </c>
      <c r="G266" s="254">
        <f>G262*3</f>
        <v>0</v>
      </c>
      <c r="H266" s="255">
        <f>VLOOKUP(B266,R_DG!$A$7:$G$1305,5,0)</f>
        <v>151000</v>
      </c>
      <c r="I266" s="255">
        <f>VLOOKUP(B266,R_DG!$A$7:$G$1305,6,0)</f>
        <v>0</v>
      </c>
      <c r="J266" s="255">
        <f>VLOOKUP(B266,R_DG!$A$7:$G$1305,7,0)</f>
        <v>0</v>
      </c>
      <c r="K266" s="256">
        <f t="shared" si="109"/>
        <v>0</v>
      </c>
      <c r="L266" s="256">
        <f t="shared" si="110"/>
        <v>0</v>
      </c>
      <c r="M266" s="256">
        <f t="shared" si="111"/>
        <v>0</v>
      </c>
      <c r="N266" s="257"/>
      <c r="O266" s="38">
        <f t="shared" si="108"/>
        <v>0</v>
      </c>
    </row>
    <row r="267" spans="1:15" ht="24.95" customHeight="1">
      <c r="A267" s="182"/>
      <c r="B267" s="232" t="s">
        <v>50</v>
      </c>
      <c r="C267" s="274"/>
      <c r="D267" s="243">
        <f>IF(B267&lt;&gt;"",VLOOKUP(B267,R_DG!$A$7:$G$1305,2,0),"")</f>
        <v>0</v>
      </c>
      <c r="E267" s="253" t="str">
        <f>VLOOKUP(B267,R_DG!$A$7:$G$1305,3,0)</f>
        <v>Boulon 12x40+ 2 long đền vuông D14-50x50x3/Zn</v>
      </c>
      <c r="F267" s="243" t="str">
        <f>VLOOKUP(B267,R_DG!$A$7:$G$1305,4,0)</f>
        <v>bộ</v>
      </c>
      <c r="G267" s="254">
        <f>G262*4</f>
        <v>0</v>
      </c>
      <c r="H267" s="255">
        <f>VLOOKUP(B267,R_DG!$A$7:$G$1305,5,0)</f>
        <v>3000</v>
      </c>
      <c r="I267" s="255">
        <f>VLOOKUP(B267,R_DG!$A$7:$G$1305,6,0)</f>
        <v>0</v>
      </c>
      <c r="J267" s="255">
        <f>VLOOKUP(B267,R_DG!$A$7:$G$1305,7,0)</f>
        <v>0</v>
      </c>
      <c r="K267" s="256">
        <f t="shared" si="109"/>
        <v>0</v>
      </c>
      <c r="L267" s="256">
        <f t="shared" si="110"/>
        <v>0</v>
      </c>
      <c r="M267" s="256">
        <f t="shared" si="111"/>
        <v>0</v>
      </c>
      <c r="N267" s="257"/>
      <c r="O267" s="38">
        <f t="shared" si="108"/>
        <v>0</v>
      </c>
    </row>
    <row r="268" spans="1:15" ht="24.95" customHeight="1">
      <c r="A268" s="182" t="s">
        <v>3032</v>
      </c>
      <c r="B268" s="232"/>
      <c r="C268" s="275">
        <f>IF(G268&gt;0,COUNTIF($C$17:C267,"&gt;0")+1,0)</f>
        <v>8</v>
      </c>
      <c r="D268" s="275" t="str">
        <f>IF(B268&lt;&gt;"",VLOOKUP(B268,R_DG!$A$7:$G$1305,2,0),"")</f>
        <v/>
      </c>
      <c r="E268" s="275" t="s">
        <v>3033</v>
      </c>
      <c r="F268" s="275" t="s">
        <v>163</v>
      </c>
      <c r="G268" s="275">
        <f>IF(G13=1,1,0)</f>
        <v>1</v>
      </c>
      <c r="H268" s="275"/>
      <c r="I268" s="275"/>
      <c r="J268" s="275"/>
      <c r="K268" s="275">
        <f t="shared" si="109"/>
        <v>0</v>
      </c>
      <c r="L268" s="275">
        <f t="shared" si="110"/>
        <v>0</v>
      </c>
      <c r="M268" s="275">
        <f t="shared" si="111"/>
        <v>0</v>
      </c>
      <c r="N268" s="276"/>
      <c r="O268" s="38">
        <f t="shared" si="108"/>
        <v>1</v>
      </c>
    </row>
    <row r="269" spans="1:15" ht="24.95" customHeight="1">
      <c r="A269" s="182"/>
      <c r="B269" s="232"/>
      <c r="C269" s="273"/>
      <c r="D269" s="243" t="str">
        <f>IF(B269&lt;&gt;"",VLOOKUP(B269,R_DG!$A$7:$G$1305,2,0),"")</f>
        <v/>
      </c>
      <c r="E269" s="77" t="s">
        <v>2432</v>
      </c>
      <c r="F269" s="274"/>
      <c r="G269" s="274"/>
      <c r="H269" s="256"/>
      <c r="I269" s="256"/>
      <c r="J269" s="255"/>
      <c r="K269" s="256">
        <f t="shared" si="109"/>
        <v>0</v>
      </c>
      <c r="L269" s="256">
        <f t="shared" si="110"/>
        <v>0</v>
      </c>
      <c r="M269" s="256">
        <f t="shared" si="111"/>
        <v>0</v>
      </c>
      <c r="N269" s="257"/>
      <c r="O269" s="38">
        <f t="shared" si="108"/>
        <v>0</v>
      </c>
    </row>
    <row r="270" spans="1:15" ht="24.95" customHeight="1">
      <c r="A270" s="182"/>
      <c r="B270" s="227" t="str">
        <f>IF(G268=1,"CV"&amp;VLOOKUP(A$2,TBA,IF(A$5*1=1,14,14),0),"NONE")</f>
        <v>CV70</v>
      </c>
      <c r="C270" s="274"/>
      <c r="D270" s="243">
        <f>IF(B270&lt;&gt;"",VLOOKUP(B270,R_DG!$A$7:$G$1305,2,0),"")</f>
        <v>0</v>
      </c>
      <c r="E270" s="253" t="str">
        <f>VLOOKUP(B270,R_DG!$A$7:$G$1305,3,0)</f>
        <v>Cáp đồng bọc CV70</v>
      </c>
      <c r="F270" s="243" t="str">
        <f>VLOOKUP(B270,R_DG!$A$7:$G$1305,4,0)</f>
        <v>mét</v>
      </c>
      <c r="G270" s="404">
        <f>G268*3*3</f>
        <v>9</v>
      </c>
      <c r="H270" s="255">
        <f>VLOOKUP(B270,R_DG!$A$7:$G$1305,5,0)</f>
        <v>131100</v>
      </c>
      <c r="I270" s="255">
        <f>VLOOKUP(B270,R_DG!$A$7:$G$1305,6,0)</f>
        <v>0</v>
      </c>
      <c r="J270" s="255">
        <f>VLOOKUP(B270,R_DG!$A$7:$G$1305,7,0)</f>
        <v>0</v>
      </c>
      <c r="K270" s="256">
        <f t="shared" si="109"/>
        <v>1179900</v>
      </c>
      <c r="L270" s="256">
        <f t="shared" si="110"/>
        <v>0</v>
      </c>
      <c r="M270" s="256">
        <f t="shared" si="111"/>
        <v>0</v>
      </c>
      <c r="N270" s="257"/>
      <c r="O270" s="38">
        <f t="shared" si="108"/>
        <v>1</v>
      </c>
    </row>
    <row r="271" spans="1:15" ht="24.95" customHeight="1">
      <c r="A271" s="182"/>
      <c r="B271" s="232" t="e">
        <f ca="1">IF(B270="NONE","NONE","CV"&amp;Selectdown(RIGHT(B270,LEN(B270)-2),SETTING!$AF$25:$AF$33))</f>
        <v>#NAME?</v>
      </c>
      <c r="C271" s="274"/>
      <c r="D271" s="243" t="e">
        <f ca="1">IF(B271&lt;&gt;"",VLOOKUP(B271,R_DG!$A$7:$G$1305,2,0),"")</f>
        <v>#NAME?</v>
      </c>
      <c r="E271" s="253" t="e">
        <f ca="1">VLOOKUP(B271,R_DG!$A$7:$G$1305,3,0)</f>
        <v>#NAME?</v>
      </c>
      <c r="F271" s="243" t="e">
        <f ca="1">VLOOKUP(B271,R_DG!$A$7:$G$1305,4,0)</f>
        <v>#NAME?</v>
      </c>
      <c r="G271" s="404">
        <f>G268*3</f>
        <v>3</v>
      </c>
      <c r="H271" s="255" t="e">
        <f ca="1">VLOOKUP(B271,R_DG!$A$7:$G$1305,5,0)</f>
        <v>#NAME?</v>
      </c>
      <c r="I271" s="255" t="e">
        <f ca="1">VLOOKUP(B271,R_DG!$A$7:$G$1305,6,0)</f>
        <v>#NAME?</v>
      </c>
      <c r="J271" s="255" t="e">
        <f ca="1">VLOOKUP(B271,R_DG!$A$7:$G$1305,7,0)</f>
        <v>#NAME?</v>
      </c>
      <c r="K271" s="256" t="e">
        <f t="shared" ca="1" si="109"/>
        <v>#NAME?</v>
      </c>
      <c r="L271" s="256" t="e">
        <f t="shared" ca="1" si="110"/>
        <v>#NAME?</v>
      </c>
      <c r="M271" s="256" t="e">
        <f t="shared" ca="1" si="111"/>
        <v>#NAME?</v>
      </c>
      <c r="N271" s="257"/>
      <c r="O271" s="38">
        <f t="shared" si="108"/>
        <v>1</v>
      </c>
    </row>
    <row r="272" spans="1:15" ht="24.95" customHeight="1">
      <c r="A272" s="182"/>
      <c r="B272" s="232" t="s">
        <v>1902</v>
      </c>
      <c r="C272" s="274"/>
      <c r="D272" s="243">
        <f>IF(B272&lt;&gt;"",VLOOKUP(B272,R_DG!$A$7:$G$1305,2,0),"")</f>
        <v>0</v>
      </c>
      <c r="E272" s="253" t="str">
        <f>VLOOKUP(B272,R_DG!$A$7:$G$1305,3,0)</f>
        <v xml:space="preserve">Ống PVC D114x4,9mm </v>
      </c>
      <c r="F272" s="243" t="str">
        <f>VLOOKUP(B272,R_DG!$A$7:$G$1305,4,0)</f>
        <v>m</v>
      </c>
      <c r="G272" s="404">
        <f>G268*2</f>
        <v>2</v>
      </c>
      <c r="H272" s="255">
        <f>VLOOKUP(B272,R_DG!$A$7:$G$1305,5,0)</f>
        <v>103700</v>
      </c>
      <c r="I272" s="255">
        <f>VLOOKUP(B272,R_DG!$A$7:$G$1305,6,0)</f>
        <v>0</v>
      </c>
      <c r="J272" s="255">
        <f>VLOOKUP(B272,R_DG!$A$7:$G$1305,7,0)</f>
        <v>0</v>
      </c>
      <c r="K272" s="256">
        <f t="shared" si="109"/>
        <v>207400</v>
      </c>
      <c r="L272" s="256">
        <f t="shared" si="110"/>
        <v>0</v>
      </c>
      <c r="M272" s="256">
        <f t="shared" si="111"/>
        <v>0</v>
      </c>
      <c r="N272" s="257"/>
      <c r="O272" s="38">
        <f t="shared" si="108"/>
        <v>1</v>
      </c>
    </row>
    <row r="273" spans="1:15" ht="24.95" customHeight="1">
      <c r="A273" s="182"/>
      <c r="B273" s="232" t="s">
        <v>4129</v>
      </c>
      <c r="C273" s="274"/>
      <c r="D273" s="243">
        <f>IF(B273&lt;&gt;"",VLOOKUP(B273,R_DG!$A$7:$G$1305,2,0),"")</f>
        <v>0</v>
      </c>
      <c r="E273" s="253" t="str">
        <f>VLOOKUP(B273,R_DG!$A$7:$G$1305,3,0)</f>
        <v>Co 90 độ PVC 114</v>
      </c>
      <c r="F273" s="243" t="str">
        <f>VLOOKUP(B273,R_DG!$A$7:$G$1305,4,0)</f>
        <v>cái</v>
      </c>
      <c r="G273" s="404">
        <f>G268*2</f>
        <v>2</v>
      </c>
      <c r="H273" s="255">
        <f>VLOOKUP(B273,R_DG!$A$7:$G$1305,5,0)</f>
        <v>43100</v>
      </c>
      <c r="I273" s="255">
        <f>VLOOKUP(B273,R_DG!$A$7:$G$1305,6,0)</f>
        <v>0</v>
      </c>
      <c r="J273" s="255">
        <f>VLOOKUP(B273,R_DG!$A$7:$G$1305,7,0)</f>
        <v>0</v>
      </c>
      <c r="K273" s="256">
        <f t="shared" si="109"/>
        <v>86200</v>
      </c>
      <c r="L273" s="256">
        <f t="shared" si="110"/>
        <v>0</v>
      </c>
      <c r="M273" s="256">
        <f t="shared" si="111"/>
        <v>0</v>
      </c>
      <c r="N273" s="257"/>
      <c r="O273" s="38">
        <f t="shared" si="108"/>
        <v>1</v>
      </c>
    </row>
    <row r="274" spans="1:15" ht="24.95" customHeight="1">
      <c r="A274" s="182"/>
      <c r="B274" s="232" t="s">
        <v>3034</v>
      </c>
      <c r="C274" s="274"/>
      <c r="D274" s="243">
        <f>IF(B274&lt;&gt;"",VLOOKUP(B274,R_DG!$A$7:$G$1305,2,0),"")</f>
        <v>0</v>
      </c>
      <c r="E274" s="253" t="str">
        <f>VLOOKUP(B274,R_DG!$A$7:$G$1305,3,0)</f>
        <v>Keo dán ống PVC (500gr)</v>
      </c>
      <c r="F274" s="243" t="str">
        <f>VLOOKUP(B274,R_DG!$A$7:$G$1305,4,0)</f>
        <v>lon</v>
      </c>
      <c r="G274" s="404">
        <f>G268*1</f>
        <v>1</v>
      </c>
      <c r="H274" s="255">
        <f>VLOOKUP(B274,R_DG!$A$7:$G$1305,5,0)</f>
        <v>26400</v>
      </c>
      <c r="I274" s="255">
        <f>VLOOKUP(B274,R_DG!$A$7:$G$1305,6,0)</f>
        <v>0</v>
      </c>
      <c r="J274" s="255">
        <f>VLOOKUP(B274,R_DG!$A$7:$G$1305,7,0)</f>
        <v>0</v>
      </c>
      <c r="K274" s="256">
        <f>H274*G274</f>
        <v>26400</v>
      </c>
      <c r="L274" s="256">
        <f>I274*G274</f>
        <v>0</v>
      </c>
      <c r="M274" s="256">
        <f>J274*G274</f>
        <v>0</v>
      </c>
      <c r="N274" s="257"/>
      <c r="O274" s="38">
        <f t="shared" si="108"/>
        <v>1</v>
      </c>
    </row>
    <row r="275" spans="1:15" ht="24.95" customHeight="1">
      <c r="A275" s="182"/>
      <c r="B275" s="232" t="s">
        <v>4130</v>
      </c>
      <c r="C275" s="274"/>
      <c r="D275" s="243" t="str">
        <f>IF(B275&lt;&gt;"",VLOOKUP(B275,R_DG!$A$7:$G$1305,2,0),"")</f>
        <v>T4.4202</v>
      </c>
      <c r="E275" s="253" t="str">
        <f>VLOOKUP(B275,R_DG!$A$7:$G$1305,3,0)</f>
        <v>Lắp cáp đồng xuống thiết bị D ≤ 150mm2</v>
      </c>
      <c r="F275" s="243" t="str">
        <f>VLOOKUP(B275,R_DG!$A$7:$G$1305,4,0)</f>
        <v>m</v>
      </c>
      <c r="G275" s="404">
        <f>G270+G271</f>
        <v>12</v>
      </c>
      <c r="H275" s="255">
        <f>VLOOKUP(B275,R_DG!$A$7:$G$1305,5,0)</f>
        <v>0</v>
      </c>
      <c r="I275" s="255">
        <f>VLOOKUP(B275,R_DG!$A$7:$G$1305,6,0)</f>
        <v>28432.799999999999</v>
      </c>
      <c r="J275" s="255">
        <f>VLOOKUP(B275,R_DG!$A$7:$G$1305,7,0)</f>
        <v>0</v>
      </c>
      <c r="K275" s="256">
        <f>H275*G275</f>
        <v>0</v>
      </c>
      <c r="L275" s="256">
        <f>I275*G275</f>
        <v>341193.6</v>
      </c>
      <c r="M275" s="256">
        <f>J275*G275</f>
        <v>0</v>
      </c>
      <c r="N275" s="257"/>
      <c r="O275" s="38">
        <f t="shared" si="108"/>
        <v>1</v>
      </c>
    </row>
    <row r="276" spans="1:15" ht="24.95" customHeight="1">
      <c r="A276" s="182" t="s">
        <v>2520</v>
      </c>
      <c r="B276" s="232"/>
      <c r="C276" s="275">
        <f>IF(G276&gt;0,COUNTIF($C$17:C275,"&gt;0")+1,0)</f>
        <v>9</v>
      </c>
      <c r="D276" s="275" t="str">
        <f>IF(B276&lt;&gt;"",VLOOKUP(B276,R_DG!$A$7:$G$1305,2,0),"")</f>
        <v/>
      </c>
      <c r="E276" s="275" t="s">
        <v>2521</v>
      </c>
      <c r="F276" s="275" t="s">
        <v>163</v>
      </c>
      <c r="G276" s="275">
        <f>IF(B4=3,1,0)</f>
        <v>1</v>
      </c>
      <c r="H276" s="275"/>
      <c r="I276" s="275"/>
      <c r="J276" s="275"/>
      <c r="K276" s="275">
        <f t="shared" si="109"/>
        <v>0</v>
      </c>
      <c r="L276" s="275">
        <f t="shared" si="110"/>
        <v>0</v>
      </c>
      <c r="M276" s="275">
        <f t="shared" si="111"/>
        <v>0</v>
      </c>
      <c r="N276" s="276"/>
      <c r="O276" s="38">
        <f t="shared" si="108"/>
        <v>1</v>
      </c>
    </row>
    <row r="277" spans="1:15" ht="24.95" customHeight="1">
      <c r="A277" s="182"/>
      <c r="B277" s="232"/>
      <c r="C277" s="273"/>
      <c r="D277" s="243" t="str">
        <f>IF(B277&lt;&gt;"",VLOOKUP(B277,R_DG!$A$7:$G$1305,2,0),"")</f>
        <v/>
      </c>
      <c r="E277" s="77" t="s">
        <v>2432</v>
      </c>
      <c r="F277" s="274"/>
      <c r="G277" s="274"/>
      <c r="H277" s="256"/>
      <c r="I277" s="256"/>
      <c r="J277" s="255"/>
      <c r="K277" s="256">
        <f t="shared" si="109"/>
        <v>0</v>
      </c>
      <c r="L277" s="256">
        <f t="shared" si="110"/>
        <v>0</v>
      </c>
      <c r="M277" s="256">
        <f t="shared" si="111"/>
        <v>0</v>
      </c>
      <c r="N277" s="257"/>
      <c r="O277" s="38">
        <f t="shared" si="108"/>
        <v>0</v>
      </c>
    </row>
    <row r="278" spans="1:15" ht="24.95" customHeight="1">
      <c r="A278" s="182"/>
      <c r="B278" s="227" t="s">
        <v>2532</v>
      </c>
      <c r="C278" s="274"/>
      <c r="D278" s="243" t="str">
        <f>IF(B278&lt;&gt;"",VLOOKUP(B278,R_DG!$A$7:$G$1305,2,0),"")</f>
        <v>T5.1002</v>
      </c>
      <c r="E278" s="253" t="str">
        <f>VLOOKUP(B278,R_DG!$A$7:$G$1305,3,0)</f>
        <v>Tủ trạm biến áp 3 pha</v>
      </c>
      <c r="F278" s="243" t="str">
        <f>VLOOKUP(B278,R_DG!$A$7:$G$1305,4,0)</f>
        <v>cái</v>
      </c>
      <c r="G278" s="254">
        <f>G276</f>
        <v>1</v>
      </c>
      <c r="H278" s="255">
        <f>VLOOKUP(B278,R_DG!$A$7:$G$1305,5,0)</f>
        <v>5000000</v>
      </c>
      <c r="I278" s="255">
        <f>VLOOKUP(B278,R_DG!$A$7:$G$1305,6,0)</f>
        <v>966199.10399999993</v>
      </c>
      <c r="J278" s="255">
        <f>VLOOKUP(B278,R_DG!$A$7:$G$1305,7,0)</f>
        <v>0</v>
      </c>
      <c r="K278" s="256">
        <f t="shared" si="109"/>
        <v>5000000</v>
      </c>
      <c r="L278" s="256">
        <f t="shared" si="110"/>
        <v>966199.10399999993</v>
      </c>
      <c r="M278" s="256">
        <f t="shared" si="111"/>
        <v>0</v>
      </c>
      <c r="N278" s="257"/>
      <c r="O278" s="38">
        <f t="shared" si="108"/>
        <v>1</v>
      </c>
    </row>
    <row r="279" spans="1:15" ht="24.95" customHeight="1">
      <c r="A279" s="182"/>
      <c r="B279" s="232" t="s">
        <v>2460</v>
      </c>
      <c r="C279" s="274"/>
      <c r="D279" s="243">
        <f>IF(B279&lt;&gt;"",VLOOKUP(B279,R_DG!$A$7:$G$1305,2,0),"")</f>
        <v>0</v>
      </c>
      <c r="E279" s="253" t="str">
        <f>VLOOKUP(B279,R_DG!$A$7:$G$1305,3,0)</f>
        <v>Collier bắt tủ</v>
      </c>
      <c r="F279" s="243" t="str">
        <f>VLOOKUP(B279,R_DG!$A$7:$G$1305,4,0)</f>
        <v>bộ</v>
      </c>
      <c r="G279" s="254">
        <f>G278*2</f>
        <v>2</v>
      </c>
      <c r="H279" s="255">
        <f>VLOOKUP(B279,R_DG!$A$7:$G$1305,5,0)</f>
        <v>185000</v>
      </c>
      <c r="I279" s="255">
        <f>VLOOKUP(B279,R_DG!$A$7:$G$1305,6,0)</f>
        <v>0</v>
      </c>
      <c r="J279" s="255">
        <f>VLOOKUP(B279,R_DG!$A$7:$G$1305,7,0)</f>
        <v>0</v>
      </c>
      <c r="K279" s="256">
        <f t="shared" si="109"/>
        <v>370000</v>
      </c>
      <c r="L279" s="256">
        <f t="shared" si="110"/>
        <v>0</v>
      </c>
      <c r="M279" s="256">
        <f t="shared" si="111"/>
        <v>0</v>
      </c>
      <c r="N279" s="257"/>
      <c r="O279" s="38">
        <f t="shared" si="108"/>
        <v>1</v>
      </c>
    </row>
    <row r="280" spans="1:15" s="370" customFormat="1" ht="24.95" customHeight="1">
      <c r="A280" s="397"/>
      <c r="B280" s="232" t="s">
        <v>4537</v>
      </c>
      <c r="C280" s="409"/>
      <c r="D280" s="402">
        <f>IF(B280&lt;&gt;"",VLOOKUP(B280,R_DG!$A$7:$G$1305,2,0),"")</f>
        <v>0</v>
      </c>
      <c r="E280" s="403" t="str">
        <f>VLOOKUP(B280,R_DG!$A$7:$G$1305,3,0)</f>
        <v xml:space="preserve">Cáp CVV 4x4mm2 </v>
      </c>
      <c r="F280" s="402" t="str">
        <f>VLOOKUP(B280,R_DG!$A$7:$G$1305,4,0)</f>
        <v>mét</v>
      </c>
      <c r="G280" s="404">
        <f>G279*4</f>
        <v>8</v>
      </c>
      <c r="H280" s="405">
        <f>VLOOKUP(B280,R_DG!$A$7:$G$1305,5,0)</f>
        <v>30000</v>
      </c>
      <c r="I280" s="405">
        <f>VLOOKUP(B280,R_DG!$A$7:$G$1305,6,0)</f>
        <v>0</v>
      </c>
      <c r="J280" s="405">
        <f>VLOOKUP(B280,R_DG!$A$7:$G$1305,7,0)</f>
        <v>0</v>
      </c>
      <c r="K280" s="406">
        <f t="shared" ref="K280" si="113">H280*G280</f>
        <v>240000</v>
      </c>
      <c r="L280" s="406">
        <f t="shared" ref="L280" si="114">I280*G280</f>
        <v>0</v>
      </c>
      <c r="M280" s="406">
        <f t="shared" ref="M280" si="115">J280*G280</f>
        <v>0</v>
      </c>
      <c r="N280" s="407"/>
      <c r="O280" s="371">
        <f t="shared" ref="O280" si="116">IF(SUM(G280:G280)&gt;0,1,0)</f>
        <v>1</v>
      </c>
    </row>
    <row r="281" spans="1:15" ht="24.95" customHeight="1">
      <c r="A281" s="182"/>
      <c r="B281" s="232" t="s">
        <v>1961</v>
      </c>
      <c r="C281" s="274"/>
      <c r="D281" s="243">
        <f>IF(B281&lt;&gt;"",VLOOKUP(B281,R_DG!$A$7:$G$1305,2,0),"")</f>
        <v>0</v>
      </c>
      <c r="E281" s="253" t="str">
        <f>VLOOKUP(B281,R_DG!$A$7:$G$1305,3,0)</f>
        <v xml:space="preserve">Bakelit 500x400 dầy 10mm </v>
      </c>
      <c r="F281" s="243" t="str">
        <f>VLOOKUP(B281,R_DG!$A$7:$G$1305,4,0)</f>
        <v>cái</v>
      </c>
      <c r="G281" s="254">
        <f>G278*3</f>
        <v>3</v>
      </c>
      <c r="H281" s="255">
        <f>VLOOKUP(B281,R_DG!$A$7:$G$1305,5,0)</f>
        <v>151000</v>
      </c>
      <c r="I281" s="255">
        <f>VLOOKUP(B281,R_DG!$A$7:$G$1305,6,0)</f>
        <v>0</v>
      </c>
      <c r="J281" s="255">
        <f>VLOOKUP(B281,R_DG!$A$7:$G$1305,7,0)</f>
        <v>0</v>
      </c>
      <c r="K281" s="256">
        <f t="shared" si="109"/>
        <v>453000</v>
      </c>
      <c r="L281" s="256">
        <f t="shared" si="110"/>
        <v>0</v>
      </c>
      <c r="M281" s="256">
        <f t="shared" si="111"/>
        <v>0</v>
      </c>
      <c r="N281" s="257"/>
      <c r="O281" s="38">
        <f t="shared" si="108"/>
        <v>1</v>
      </c>
    </row>
    <row r="282" spans="1:15" ht="24.95" customHeight="1">
      <c r="A282" s="182"/>
      <c r="B282" s="232" t="s">
        <v>50</v>
      </c>
      <c r="C282" s="274"/>
      <c r="D282" s="243">
        <f>IF(B282&lt;&gt;"",VLOOKUP(B282,R_DG!$A$7:$G$1305,2,0),"")</f>
        <v>0</v>
      </c>
      <c r="E282" s="253" t="str">
        <f>VLOOKUP(B282,R_DG!$A$7:$G$1305,3,0)</f>
        <v>Boulon 12x40+ 2 long đền vuông D14-50x50x3/Zn</v>
      </c>
      <c r="F282" s="243" t="str">
        <f>VLOOKUP(B282,R_DG!$A$7:$G$1305,4,0)</f>
        <v>bộ</v>
      </c>
      <c r="G282" s="254">
        <f>G278*4</f>
        <v>4</v>
      </c>
      <c r="H282" s="255">
        <f>VLOOKUP(B282,R_DG!$A$7:$G$1305,5,0)</f>
        <v>3000</v>
      </c>
      <c r="I282" s="255">
        <f>VLOOKUP(B282,R_DG!$A$7:$G$1305,6,0)</f>
        <v>0</v>
      </c>
      <c r="J282" s="255">
        <f>VLOOKUP(B282,R_DG!$A$7:$G$1305,7,0)</f>
        <v>0</v>
      </c>
      <c r="K282" s="256">
        <f t="shared" si="109"/>
        <v>12000</v>
      </c>
      <c r="L282" s="256">
        <f t="shared" si="110"/>
        <v>0</v>
      </c>
      <c r="M282" s="256">
        <f t="shared" si="111"/>
        <v>0</v>
      </c>
      <c r="N282" s="257"/>
      <c r="O282" s="38">
        <f t="shared" si="108"/>
        <v>1</v>
      </c>
    </row>
    <row r="283" spans="1:15" ht="24.95" customHeight="1">
      <c r="A283" s="182" t="s">
        <v>2486</v>
      </c>
      <c r="B283" s="232"/>
      <c r="C283" s="275">
        <f>IF(G283&gt;0,COUNTIF($C$17:C282,"&gt;0")+1,0)</f>
        <v>0</v>
      </c>
      <c r="D283" s="275" t="str">
        <f>IF(B283&lt;&gt;"",VLOOKUP(B283,R_DG!$A$7:$G$1305,2,0),"")</f>
        <v/>
      </c>
      <c r="E283" s="275" t="s">
        <v>2485</v>
      </c>
      <c r="F283" s="275" t="s">
        <v>163</v>
      </c>
      <c r="G283" s="275">
        <f>IF(B4=1,1,0)</f>
        <v>0</v>
      </c>
      <c r="H283" s="275"/>
      <c r="I283" s="275"/>
      <c r="J283" s="275"/>
      <c r="K283" s="275">
        <f t="shared" si="109"/>
        <v>0</v>
      </c>
      <c r="L283" s="275">
        <f t="shared" si="110"/>
        <v>0</v>
      </c>
      <c r="M283" s="275">
        <f t="shared" si="111"/>
        <v>0</v>
      </c>
      <c r="N283" s="276"/>
      <c r="O283" s="38">
        <f t="shared" si="108"/>
        <v>0</v>
      </c>
    </row>
    <row r="284" spans="1:15" ht="24.95" customHeight="1">
      <c r="A284" s="182"/>
      <c r="B284" s="232"/>
      <c r="C284" s="273"/>
      <c r="D284" s="243" t="str">
        <f>IF(B284&lt;&gt;"",VLOOKUP(B284,R_DG!$A$7:$G$1305,2,0),"")</f>
        <v/>
      </c>
      <c r="E284" s="77" t="s">
        <v>2432</v>
      </c>
      <c r="F284" s="274"/>
      <c r="G284" s="274"/>
      <c r="H284" s="256"/>
      <c r="I284" s="256"/>
      <c r="J284" s="255"/>
      <c r="K284" s="256">
        <f t="shared" si="109"/>
        <v>0</v>
      </c>
      <c r="L284" s="256">
        <f t="shared" si="110"/>
        <v>0</v>
      </c>
      <c r="M284" s="256">
        <f t="shared" si="111"/>
        <v>0</v>
      </c>
      <c r="N284" s="257"/>
      <c r="O284" s="38">
        <f t="shared" si="108"/>
        <v>0</v>
      </c>
    </row>
    <row r="285" spans="1:15" ht="24.95" customHeight="1">
      <c r="A285" s="182"/>
      <c r="B285" s="231" t="s">
        <v>197</v>
      </c>
      <c r="C285" s="274"/>
      <c r="D285" s="243">
        <f>IF(B285&lt;&gt;"",VLOOKUP(B285,R_DG!$A$7:$G$1305,2,0),"")</f>
        <v>0</v>
      </c>
      <c r="E285" s="253" t="str">
        <f>VLOOKUP(B285,R_DG!$A$7:$G$1305,3,0)</f>
        <v>Cáp 24KV C/XLPE/PVC 25mm2</v>
      </c>
      <c r="F285" s="243" t="str">
        <f>VLOOKUP(B285,R_DG!$A$7:$G$1305,4,0)</f>
        <v>mét</v>
      </c>
      <c r="G285" s="254">
        <f>G283*3</f>
        <v>0</v>
      </c>
      <c r="H285" s="255">
        <f>VLOOKUP(B285,R_DG!$A$7:$G$1305,5,0)</f>
        <v>57600</v>
      </c>
      <c r="I285" s="255">
        <f>VLOOKUP(B285,R_DG!$A$7:$G$1305,6,0)</f>
        <v>0</v>
      </c>
      <c r="J285" s="255">
        <f>VLOOKUP(B285,R_DG!$A$7:$G$1305,7,0)</f>
        <v>0</v>
      </c>
      <c r="K285" s="256">
        <f t="shared" si="109"/>
        <v>0</v>
      </c>
      <c r="L285" s="256">
        <f t="shared" si="110"/>
        <v>0</v>
      </c>
      <c r="M285" s="256">
        <f t="shared" si="111"/>
        <v>0</v>
      </c>
      <c r="N285" s="257"/>
      <c r="O285" s="38">
        <f t="shared" si="108"/>
        <v>0</v>
      </c>
    </row>
    <row r="286" spans="1:15" ht="24.95" customHeight="1">
      <c r="A286" s="182"/>
      <c r="B286" s="233" t="s">
        <v>518</v>
      </c>
      <c r="C286" s="274"/>
      <c r="D286" s="243" t="str">
        <f>IF(B286&lt;&gt;"",VLOOKUP(B286,R_DG!$A$7:$G$1305,2,0),"")</f>
        <v>D6.6201</v>
      </c>
      <c r="E286" s="253" t="str">
        <f>VLOOKUP(B286,R_DG!$A$7:$G$1305,3,0)</f>
        <v>Kẹp quai 2/0</v>
      </c>
      <c r="F286" s="243" t="str">
        <f>VLOOKUP(B286,R_DG!$A$7:$G$1305,4,0)</f>
        <v>cái</v>
      </c>
      <c r="G286" s="254">
        <f>G283</f>
        <v>0</v>
      </c>
      <c r="H286" s="255">
        <f>VLOOKUP(B286,R_DG!$A$7:$G$1305,5,0)</f>
        <v>35200</v>
      </c>
      <c r="I286" s="255">
        <f>VLOOKUP(B286,R_DG!$A$7:$G$1305,6,0)</f>
        <v>98156</v>
      </c>
      <c r="J286" s="255">
        <f>VLOOKUP(B286,R_DG!$A$7:$G$1305,7,0)</f>
        <v>0</v>
      </c>
      <c r="K286" s="256">
        <f t="shared" si="109"/>
        <v>0</v>
      </c>
      <c r="L286" s="256">
        <f t="shared" si="110"/>
        <v>0</v>
      </c>
      <c r="M286" s="256">
        <f t="shared" si="111"/>
        <v>0</v>
      </c>
      <c r="N286" s="257"/>
      <c r="O286" s="38">
        <f t="shared" ref="O286:O349" si="117">IF(SUM(G286:G286)&gt;0,1,0)</f>
        <v>0</v>
      </c>
    </row>
    <row r="287" spans="1:15" ht="24.95" customHeight="1">
      <c r="A287" s="182"/>
      <c r="B287" s="233" t="s">
        <v>523</v>
      </c>
      <c r="C287" s="274"/>
      <c r="D287" s="243" t="str">
        <f>IF(B287&lt;&gt;"",VLOOKUP(B287,R_DG!$A$7:$G$1305,2,0),"")</f>
        <v>D6.6202</v>
      </c>
      <c r="E287" s="253" t="str">
        <f>VLOOKUP(B287,R_DG!$A$7:$G$1305,3,0)</f>
        <v>Kẹp hotline 2/0</v>
      </c>
      <c r="F287" s="243" t="str">
        <f>VLOOKUP(B287,R_DG!$A$7:$G$1305,4,0)</f>
        <v>cái</v>
      </c>
      <c r="G287" s="254">
        <f>G286</f>
        <v>0</v>
      </c>
      <c r="H287" s="255">
        <f>VLOOKUP(B287,R_DG!$A$7:$G$1305,5,0)</f>
        <v>77000</v>
      </c>
      <c r="I287" s="255">
        <f>VLOOKUP(B287,R_DG!$A$7:$G$1305,6,0)</f>
        <v>122695</v>
      </c>
      <c r="J287" s="255">
        <f>VLOOKUP(B287,R_DG!$A$7:$G$1305,7,0)</f>
        <v>0</v>
      </c>
      <c r="K287" s="256">
        <f t="shared" si="109"/>
        <v>0</v>
      </c>
      <c r="L287" s="256">
        <f t="shared" si="110"/>
        <v>0</v>
      </c>
      <c r="M287" s="256">
        <f t="shared" si="111"/>
        <v>0</v>
      </c>
      <c r="N287" s="257"/>
      <c r="O287" s="38">
        <f t="shared" si="117"/>
        <v>0</v>
      </c>
    </row>
    <row r="288" spans="1:15" ht="24.95" customHeight="1">
      <c r="A288" s="182"/>
      <c r="B288" s="233" t="s">
        <v>3022</v>
      </c>
      <c r="C288" s="274"/>
      <c r="D288" s="243">
        <f>IF(B288&lt;&gt;"",VLOOKUP(B288,R_DG!$A$7:$G$1305,2,0),"")</f>
        <v>0</v>
      </c>
      <c r="E288" s="253" t="str">
        <f>VLOOKUP(B288,R_DG!$A$7:$G$1305,3,0)</f>
        <v>Chụp kẹp quai, hotline</v>
      </c>
      <c r="F288" s="243" t="str">
        <f>VLOOKUP(B288,R_DG!$A$7:$G$1305,4,0)</f>
        <v>cái</v>
      </c>
      <c r="G288" s="254">
        <f>G286</f>
        <v>0</v>
      </c>
      <c r="H288" s="255">
        <f>VLOOKUP(B288,R_DG!$A$7:$G$1305,5,0)</f>
        <v>75000</v>
      </c>
      <c r="I288" s="255">
        <f>VLOOKUP(B288,R_DG!$A$7:$G$1305,6,0)</f>
        <v>0</v>
      </c>
      <c r="J288" s="255">
        <f>VLOOKUP(B288,R_DG!$A$7:$G$1305,7,0)</f>
        <v>0</v>
      </c>
      <c r="K288" s="256">
        <f>H288*G288</f>
        <v>0</v>
      </c>
      <c r="L288" s="256">
        <f>I288*G288</f>
        <v>0</v>
      </c>
      <c r="M288" s="256">
        <f>J288*G288</f>
        <v>0</v>
      </c>
      <c r="N288" s="257"/>
      <c r="O288" s="38">
        <f t="shared" si="117"/>
        <v>0</v>
      </c>
    </row>
    <row r="289" spans="1:15" ht="24.95" customHeight="1">
      <c r="A289" s="182"/>
      <c r="B289" s="233" t="s">
        <v>155</v>
      </c>
      <c r="C289" s="274"/>
      <c r="D289" s="243">
        <f>IF(B289&lt;&gt;"",VLOOKUP(B289,R_DG!$A$7:$G$1305,2,0),"")</f>
        <v>0</v>
      </c>
      <c r="E289" s="253" t="str">
        <f>VLOOKUP(B289,R_DG!$A$7:$G$1305,3,0)</f>
        <v>Chụp đầu FCO</v>
      </c>
      <c r="F289" s="243" t="str">
        <f>VLOOKUP(B289,R_DG!$A$7:$G$1305,4,0)</f>
        <v>bộ</v>
      </c>
      <c r="G289" s="254">
        <f>G287</f>
        <v>0</v>
      </c>
      <c r="H289" s="255">
        <f>VLOOKUP(B289,R_DG!$A$7:$G$1305,5,0)</f>
        <v>230000</v>
      </c>
      <c r="I289" s="255">
        <f>VLOOKUP(B289,R_DG!$A$7:$G$1305,6,0)</f>
        <v>0</v>
      </c>
      <c r="J289" s="255">
        <f>VLOOKUP(B289,R_DG!$A$7:$G$1305,7,0)</f>
        <v>0</v>
      </c>
      <c r="K289" s="256">
        <f>H289*G289</f>
        <v>0</v>
      </c>
      <c r="L289" s="256">
        <f>I289*G289</f>
        <v>0</v>
      </c>
      <c r="M289" s="256">
        <f>J289*G289</f>
        <v>0</v>
      </c>
      <c r="N289" s="257"/>
      <c r="O289" s="38">
        <f t="shared" si="117"/>
        <v>0</v>
      </c>
    </row>
    <row r="290" spans="1:15" ht="24.95" customHeight="1">
      <c r="A290" s="182"/>
      <c r="B290" s="233" t="s">
        <v>157</v>
      </c>
      <c r="C290" s="274"/>
      <c r="D290" s="243">
        <f>IF(B290&lt;&gt;"",VLOOKUP(B290,R_DG!$A$7:$G$1305,2,0),"")</f>
        <v>0</v>
      </c>
      <c r="E290" s="253" t="str">
        <f>VLOOKUP(B290,R_DG!$A$7:$G$1305,3,0)</f>
        <v>Chụp đầu LA</v>
      </c>
      <c r="F290" s="243" t="str">
        <f>VLOOKUP(B290,R_DG!$A$7:$G$1305,4,0)</f>
        <v>cái</v>
      </c>
      <c r="G290" s="254">
        <f>G288</f>
        <v>0</v>
      </c>
      <c r="H290" s="255">
        <f>VLOOKUP(B290,R_DG!$A$7:$G$1305,5,0)</f>
        <v>75000</v>
      </c>
      <c r="I290" s="255">
        <f>VLOOKUP(B290,R_DG!$A$7:$G$1305,6,0)</f>
        <v>0</v>
      </c>
      <c r="J290" s="255">
        <f>VLOOKUP(B290,R_DG!$A$7:$G$1305,7,0)</f>
        <v>0</v>
      </c>
      <c r="K290" s="256">
        <f>H290*G290</f>
        <v>0</v>
      </c>
      <c r="L290" s="256">
        <f>I290*G290</f>
        <v>0</v>
      </c>
      <c r="M290" s="256">
        <f>J290*G290</f>
        <v>0</v>
      </c>
      <c r="N290" s="257"/>
      <c r="O290" s="38">
        <f t="shared" si="117"/>
        <v>0</v>
      </c>
    </row>
    <row r="291" spans="1:15" ht="24.95" customHeight="1">
      <c r="A291" s="182"/>
      <c r="B291" s="233" t="s">
        <v>626</v>
      </c>
      <c r="C291" s="274"/>
      <c r="D291" s="243" t="str">
        <f>IF(B291&lt;&gt;"",VLOOKUP(B291,R_DG!$A$7:$G$1305,2,0),"")</f>
        <v>D3.1122</v>
      </c>
      <c r="E291" s="253" t="str">
        <f>VLOOKUP(B291,R_DG!$A$7:$G$1305,3,0)</f>
        <v xml:space="preserve">Sứ đứng 24KV </v>
      </c>
      <c r="F291" s="243" t="str">
        <f>VLOOKUP(B291,R_DG!$A$7:$G$1305,4,0)</f>
        <v>cái</v>
      </c>
      <c r="G291" s="254">
        <v>0</v>
      </c>
      <c r="H291" s="255">
        <f>VLOOKUP(B291,R_DG!$A$7:$G$1305,5,0)</f>
        <v>185000</v>
      </c>
      <c r="I291" s="255">
        <f>VLOOKUP(B291,R_DG!$A$7:$G$1305,6,0)</f>
        <v>55458.14</v>
      </c>
      <c r="J291" s="255">
        <f>VLOOKUP(B291,R_DG!$A$7:$G$1305,7,0)</f>
        <v>0</v>
      </c>
      <c r="K291" s="256">
        <f t="shared" si="109"/>
        <v>0</v>
      </c>
      <c r="L291" s="256">
        <f t="shared" si="110"/>
        <v>0</v>
      </c>
      <c r="M291" s="256">
        <f t="shared" si="111"/>
        <v>0</v>
      </c>
      <c r="N291" s="257"/>
      <c r="O291" s="38">
        <f t="shared" si="117"/>
        <v>0</v>
      </c>
    </row>
    <row r="292" spans="1:15" ht="24.95" customHeight="1">
      <c r="A292" s="182"/>
      <c r="B292" s="233" t="s">
        <v>384</v>
      </c>
      <c r="C292" s="274"/>
      <c r="D292" s="243">
        <f>IF(B292&lt;&gt;"",VLOOKUP(B292,R_DG!$A$7:$G$1305,2,0),"")</f>
        <v>0</v>
      </c>
      <c r="E292" s="253" t="str">
        <f>VLOOKUP(B292,R_DG!$A$7:$G$1305,3,0)</f>
        <v>Chân sứ đứng D20</v>
      </c>
      <c r="F292" s="243" t="str">
        <f>VLOOKUP(B292,R_DG!$A$7:$G$1305,4,0)</f>
        <v>cái</v>
      </c>
      <c r="G292" s="254">
        <f>G291</f>
        <v>0</v>
      </c>
      <c r="H292" s="255">
        <f>VLOOKUP(B292,R_DG!$A$7:$G$1305,5,0)</f>
        <v>56000</v>
      </c>
      <c r="I292" s="255">
        <f>VLOOKUP(B292,R_DG!$A$7:$G$1305,6,0)</f>
        <v>0</v>
      </c>
      <c r="J292" s="255">
        <f>VLOOKUP(B292,R_DG!$A$7:$G$1305,7,0)</f>
        <v>0</v>
      </c>
      <c r="K292" s="256">
        <f t="shared" si="109"/>
        <v>0</v>
      </c>
      <c r="L292" s="256">
        <f t="shared" si="110"/>
        <v>0</v>
      </c>
      <c r="M292" s="256">
        <f t="shared" si="111"/>
        <v>0</v>
      </c>
      <c r="N292" s="257"/>
      <c r="O292" s="38">
        <f t="shared" si="117"/>
        <v>0</v>
      </c>
    </row>
    <row r="293" spans="1:15" ht="24.95" customHeight="1">
      <c r="A293" s="182"/>
      <c r="B293" s="233" t="s">
        <v>1409</v>
      </c>
      <c r="C293" s="274"/>
      <c r="D293" s="243" t="str">
        <f>IF(B293&lt;&gt;"",VLOOKUP(B293,R_DG!$A$7:$G$1305,2,0),"")</f>
        <v>D3.1115</v>
      </c>
      <c r="E293" s="253" t="str">
        <f>VLOOKUP(B293,R_DG!$A$7:$G$1305,3,0)</f>
        <v>Lắp sứ đứng 24KV</v>
      </c>
      <c r="F293" s="243" t="str">
        <f>VLOOKUP(B293,R_DG!$A$7:$G$1305,4,0)</f>
        <v>bộ</v>
      </c>
      <c r="G293" s="254">
        <f>G291</f>
        <v>0</v>
      </c>
      <c r="H293" s="255">
        <f>VLOOKUP(B293,R_DG!$A$7:$G$1305,5,0)</f>
        <v>0</v>
      </c>
      <c r="I293" s="255">
        <f>VLOOKUP(B293,R_DG!$A$7:$G$1305,6,0)</f>
        <v>55458.139999999992</v>
      </c>
      <c r="J293" s="255">
        <f>VLOOKUP(B293,R_DG!$A$7:$G$1305,7,0)</f>
        <v>0</v>
      </c>
      <c r="K293" s="256">
        <f t="shared" si="109"/>
        <v>0</v>
      </c>
      <c r="L293" s="256">
        <f t="shared" si="110"/>
        <v>0</v>
      </c>
      <c r="M293" s="256">
        <f t="shared" si="111"/>
        <v>0</v>
      </c>
      <c r="N293" s="257"/>
      <c r="O293" s="38">
        <f t="shared" si="117"/>
        <v>0</v>
      </c>
    </row>
    <row r="294" spans="1:15" ht="24.95" customHeight="1">
      <c r="A294" s="182"/>
      <c r="B294" s="233" t="s">
        <v>2461</v>
      </c>
      <c r="C294" s="274"/>
      <c r="D294" s="243" t="str">
        <f>IF(B294&lt;&gt;"",VLOOKUP(B294,R_DG!$A$7:$G$1305,2,0),"")</f>
        <v>T4.4201</v>
      </c>
      <c r="E294" s="253" t="str">
        <f>VLOOKUP(B294,R_DG!$A$7:$G$1305,3,0)</f>
        <v>Lắp cáp đồng xuống thiết bị D ≤ 95mm2</v>
      </c>
      <c r="F294" s="243" t="str">
        <f>VLOOKUP(B294,R_DG!$A$7:$G$1305,4,0)</f>
        <v>m</v>
      </c>
      <c r="G294" s="254">
        <f>G285</f>
        <v>0</v>
      </c>
      <c r="H294" s="255">
        <f>VLOOKUP(B294,R_DG!$A$7:$G$1305,5,0)</f>
        <v>0</v>
      </c>
      <c r="I294" s="255">
        <f>VLOOKUP(B294,R_DG!$A$7:$G$1305,6,0)</f>
        <v>11847</v>
      </c>
      <c r="J294" s="255">
        <f>VLOOKUP(B294,R_DG!$A$7:$G$1305,7,0)</f>
        <v>0</v>
      </c>
      <c r="K294" s="256">
        <f t="shared" si="109"/>
        <v>0</v>
      </c>
      <c r="L294" s="256">
        <f t="shared" si="110"/>
        <v>0</v>
      </c>
      <c r="M294" s="256">
        <f t="shared" si="111"/>
        <v>0</v>
      </c>
      <c r="N294" s="257"/>
      <c r="O294" s="38">
        <f t="shared" si="117"/>
        <v>0</v>
      </c>
    </row>
    <row r="295" spans="1:15" ht="24.95" customHeight="1">
      <c r="A295" s="182" t="s">
        <v>2511</v>
      </c>
      <c r="B295" s="232"/>
      <c r="C295" s="275">
        <f>IF(G295&gt;0,COUNTIF($C$17:C294,"&gt;0")+1,0)</f>
        <v>10</v>
      </c>
      <c r="D295" s="275" t="str">
        <f>IF(B295&lt;&gt;"",VLOOKUP(B295,R_DG!$A$7:$G$1305,2,0),"")</f>
        <v/>
      </c>
      <c r="E295" s="275" t="s">
        <v>2512</v>
      </c>
      <c r="F295" s="275" t="s">
        <v>163</v>
      </c>
      <c r="G295" s="275">
        <f>IF(B4=3,1,0)</f>
        <v>1</v>
      </c>
      <c r="H295" s="275"/>
      <c r="I295" s="275"/>
      <c r="J295" s="275"/>
      <c r="K295" s="275">
        <f t="shared" si="109"/>
        <v>0</v>
      </c>
      <c r="L295" s="275">
        <f t="shared" si="110"/>
        <v>0</v>
      </c>
      <c r="M295" s="275">
        <f t="shared" si="111"/>
        <v>0</v>
      </c>
      <c r="N295" s="276"/>
      <c r="O295" s="38">
        <f t="shared" si="117"/>
        <v>1</v>
      </c>
    </row>
    <row r="296" spans="1:15" ht="24.95" customHeight="1">
      <c r="A296" s="182"/>
      <c r="B296" s="232"/>
      <c r="C296" s="273"/>
      <c r="D296" s="243" t="str">
        <f>IF(B296&lt;&gt;"",VLOOKUP(B296,R_DG!$A$7:$G$1305,2,0),"")</f>
        <v/>
      </c>
      <c r="E296" s="77" t="s">
        <v>2432</v>
      </c>
      <c r="F296" s="274"/>
      <c r="G296" s="274"/>
      <c r="H296" s="256"/>
      <c r="I296" s="256"/>
      <c r="J296" s="255"/>
      <c r="K296" s="256">
        <f t="shared" si="109"/>
        <v>0</v>
      </c>
      <c r="L296" s="256">
        <f t="shared" si="110"/>
        <v>0</v>
      </c>
      <c r="M296" s="256">
        <f t="shared" si="111"/>
        <v>0</v>
      </c>
      <c r="N296" s="257"/>
      <c r="O296" s="38">
        <f t="shared" si="117"/>
        <v>0</v>
      </c>
    </row>
    <row r="297" spans="1:15" ht="24.95" customHeight="1">
      <c r="A297" s="182"/>
      <c r="B297" s="231" t="s">
        <v>197</v>
      </c>
      <c r="C297" s="274"/>
      <c r="D297" s="243">
        <f>IF(B297&lt;&gt;"",VLOOKUP(B297,R_DG!$A$7:$G$1305,2,0),"")</f>
        <v>0</v>
      </c>
      <c r="E297" s="253" t="str">
        <f>VLOOKUP(B297,R_DG!$A$7:$G$1305,3,0)</f>
        <v>Cáp 24KV C/XLPE/PVC 25mm2</v>
      </c>
      <c r="F297" s="243" t="str">
        <f>VLOOKUP(B297,R_DG!$A$7:$G$1305,4,0)</f>
        <v>mét</v>
      </c>
      <c r="G297" s="254">
        <f>G295*6*3</f>
        <v>18</v>
      </c>
      <c r="H297" s="255">
        <f>VLOOKUP(B297,R_DG!$A$7:$G$1305,5,0)</f>
        <v>57600</v>
      </c>
      <c r="I297" s="255">
        <f>VLOOKUP(B297,R_DG!$A$7:$G$1305,6,0)</f>
        <v>0</v>
      </c>
      <c r="J297" s="255">
        <f>VLOOKUP(B297,R_DG!$A$7:$G$1305,7,0)</f>
        <v>0</v>
      </c>
      <c r="K297" s="256">
        <f t="shared" si="109"/>
        <v>1036800</v>
      </c>
      <c r="L297" s="256">
        <f t="shared" ref="L297:L314" si="118">I297*G297</f>
        <v>0</v>
      </c>
      <c r="M297" s="256">
        <f t="shared" si="111"/>
        <v>0</v>
      </c>
      <c r="N297" s="257"/>
      <c r="O297" s="38">
        <f t="shared" si="117"/>
        <v>1</v>
      </c>
    </row>
    <row r="298" spans="1:15" ht="24.95" customHeight="1">
      <c r="A298" s="182"/>
      <c r="B298" s="233" t="s">
        <v>518</v>
      </c>
      <c r="C298" s="274"/>
      <c r="D298" s="243" t="str">
        <f>IF(B298&lt;&gt;"",VLOOKUP(B298,R_DG!$A$7:$G$1305,2,0),"")</f>
        <v>D6.6201</v>
      </c>
      <c r="E298" s="253" t="str">
        <f>VLOOKUP(B298,R_DG!$A$7:$G$1305,3,0)</f>
        <v>Kẹp quai 2/0</v>
      </c>
      <c r="F298" s="243" t="str">
        <f>VLOOKUP(B298,R_DG!$A$7:$G$1305,4,0)</f>
        <v>cái</v>
      </c>
      <c r="G298" s="254">
        <f>G295*3</f>
        <v>3</v>
      </c>
      <c r="H298" s="255">
        <f>VLOOKUP(B298,R_DG!$A$7:$G$1305,5,0)</f>
        <v>35200</v>
      </c>
      <c r="I298" s="255">
        <f>VLOOKUP(B298,R_DG!$A$7:$G$1305,6,0)</f>
        <v>98156</v>
      </c>
      <c r="J298" s="255">
        <f>VLOOKUP(B298,R_DG!$A$7:$G$1305,7,0)</f>
        <v>0</v>
      </c>
      <c r="K298" s="256">
        <f t="shared" si="109"/>
        <v>105600</v>
      </c>
      <c r="L298" s="256">
        <f t="shared" si="118"/>
        <v>294468</v>
      </c>
      <c r="M298" s="256">
        <f t="shared" si="111"/>
        <v>0</v>
      </c>
      <c r="N298" s="257"/>
      <c r="O298" s="38">
        <f t="shared" si="117"/>
        <v>1</v>
      </c>
    </row>
    <row r="299" spans="1:15" ht="24.95" customHeight="1">
      <c r="A299" s="182"/>
      <c r="B299" s="233" t="s">
        <v>523</v>
      </c>
      <c r="C299" s="274"/>
      <c r="D299" s="243" t="str">
        <f>IF(B299&lt;&gt;"",VLOOKUP(B299,R_DG!$A$7:$G$1305,2,0),"")</f>
        <v>D6.6202</v>
      </c>
      <c r="E299" s="253" t="str">
        <f>VLOOKUP(B299,R_DG!$A$7:$G$1305,3,0)</f>
        <v>Kẹp hotline 2/0</v>
      </c>
      <c r="F299" s="243" t="str">
        <f>VLOOKUP(B299,R_DG!$A$7:$G$1305,4,0)</f>
        <v>cái</v>
      </c>
      <c r="G299" s="254">
        <f>G298</f>
        <v>3</v>
      </c>
      <c r="H299" s="255">
        <f>VLOOKUP(B299,R_DG!$A$7:$G$1305,5,0)</f>
        <v>77000</v>
      </c>
      <c r="I299" s="255">
        <f>VLOOKUP(B299,R_DG!$A$7:$G$1305,6,0)</f>
        <v>122695</v>
      </c>
      <c r="J299" s="255">
        <f>VLOOKUP(B299,R_DG!$A$7:$G$1305,7,0)</f>
        <v>0</v>
      </c>
      <c r="K299" s="256">
        <f t="shared" si="109"/>
        <v>231000</v>
      </c>
      <c r="L299" s="256">
        <f t="shared" si="118"/>
        <v>368085</v>
      </c>
      <c r="M299" s="256">
        <f t="shared" si="111"/>
        <v>0</v>
      </c>
      <c r="N299" s="257"/>
      <c r="O299" s="38">
        <f t="shared" si="117"/>
        <v>1</v>
      </c>
    </row>
    <row r="300" spans="1:15" ht="24.95" customHeight="1">
      <c r="A300" s="182"/>
      <c r="B300" s="233" t="s">
        <v>3022</v>
      </c>
      <c r="C300" s="274"/>
      <c r="D300" s="243">
        <f>IF(B300&lt;&gt;"",VLOOKUP(B300,R_DG!$A$7:$G$1305,2,0),"")</f>
        <v>0</v>
      </c>
      <c r="E300" s="253" t="str">
        <f>VLOOKUP(B300,R_DG!$A$7:$G$1305,3,0)</f>
        <v>Chụp kẹp quai, hotline</v>
      </c>
      <c r="F300" s="243" t="str">
        <f>VLOOKUP(B300,R_DG!$A$7:$G$1305,4,0)</f>
        <v>cái</v>
      </c>
      <c r="G300" s="254">
        <f>G298</f>
        <v>3</v>
      </c>
      <c r="H300" s="255">
        <f>VLOOKUP(B300,R_DG!$A$7:$G$1305,5,0)</f>
        <v>75000</v>
      </c>
      <c r="I300" s="255">
        <f>VLOOKUP(B300,R_DG!$A$7:$G$1305,6,0)</f>
        <v>0</v>
      </c>
      <c r="J300" s="255">
        <f>VLOOKUP(B300,R_DG!$A$7:$G$1305,7,0)</f>
        <v>0</v>
      </c>
      <c r="K300" s="256">
        <f t="shared" si="109"/>
        <v>225000</v>
      </c>
      <c r="L300" s="256">
        <f t="shared" si="118"/>
        <v>0</v>
      </c>
      <c r="M300" s="256">
        <f t="shared" si="111"/>
        <v>0</v>
      </c>
      <c r="N300" s="257"/>
      <c r="O300" s="38">
        <f t="shared" si="117"/>
        <v>1</v>
      </c>
    </row>
    <row r="301" spans="1:15" ht="24.95" customHeight="1">
      <c r="A301" s="182"/>
      <c r="B301" s="233" t="s">
        <v>626</v>
      </c>
      <c r="C301" s="274"/>
      <c r="D301" s="243" t="str">
        <f>IF(B301&lt;&gt;"",VLOOKUP(B301,R_DG!$A$7:$G$1305,2,0),"")</f>
        <v>D3.1122</v>
      </c>
      <c r="E301" s="253" t="str">
        <f>VLOOKUP(B301,R_DG!$A$7:$G$1305,3,0)</f>
        <v xml:space="preserve">Sứ đứng 24KV </v>
      </c>
      <c r="F301" s="243" t="str">
        <f>VLOOKUP(B301,R_DG!$A$7:$G$1305,4,0)</f>
        <v>cái</v>
      </c>
      <c r="G301" s="254">
        <v>0</v>
      </c>
      <c r="H301" s="255">
        <f>VLOOKUP(B301,R_DG!$A$7:$G$1305,5,0)</f>
        <v>185000</v>
      </c>
      <c r="I301" s="255">
        <f>VLOOKUP(B301,R_DG!$A$7:$G$1305,6,0)</f>
        <v>55458.14</v>
      </c>
      <c r="J301" s="255">
        <f>VLOOKUP(B301,R_DG!$A$7:$G$1305,7,0)</f>
        <v>0</v>
      </c>
      <c r="K301" s="256">
        <f>H301*G301</f>
        <v>0</v>
      </c>
      <c r="L301" s="256">
        <f t="shared" si="118"/>
        <v>0</v>
      </c>
      <c r="M301" s="256">
        <f>J301*G301</f>
        <v>0</v>
      </c>
      <c r="N301" s="257"/>
      <c r="O301" s="38">
        <f t="shared" si="117"/>
        <v>0</v>
      </c>
    </row>
    <row r="302" spans="1:15" ht="24.95" customHeight="1">
      <c r="A302" s="182"/>
      <c r="B302" s="233" t="s">
        <v>384</v>
      </c>
      <c r="C302" s="274"/>
      <c r="D302" s="243">
        <f>IF(B302&lt;&gt;"",VLOOKUP(B302,R_DG!$A$7:$G$1305,2,0),"")</f>
        <v>0</v>
      </c>
      <c r="E302" s="253" t="str">
        <f>VLOOKUP(B302,R_DG!$A$7:$G$1305,3,0)</f>
        <v>Chân sứ đứng D20</v>
      </c>
      <c r="F302" s="243" t="str">
        <f>VLOOKUP(B302,R_DG!$A$7:$G$1305,4,0)</f>
        <v>cái</v>
      </c>
      <c r="G302" s="254">
        <f>G301</f>
        <v>0</v>
      </c>
      <c r="H302" s="255">
        <f>VLOOKUP(B302,R_DG!$A$7:$G$1305,5,0)</f>
        <v>56000</v>
      </c>
      <c r="I302" s="255">
        <f>VLOOKUP(B302,R_DG!$A$7:$G$1305,6,0)</f>
        <v>0</v>
      </c>
      <c r="J302" s="255">
        <f>VLOOKUP(B302,R_DG!$A$7:$G$1305,7,0)</f>
        <v>0</v>
      </c>
      <c r="K302" s="256">
        <f>H302*G302</f>
        <v>0</v>
      </c>
      <c r="L302" s="256">
        <f t="shared" si="118"/>
        <v>0</v>
      </c>
      <c r="M302" s="256">
        <f>J302*G302</f>
        <v>0</v>
      </c>
      <c r="N302" s="257"/>
      <c r="O302" s="38">
        <f t="shared" si="117"/>
        <v>0</v>
      </c>
    </row>
    <row r="303" spans="1:15" ht="24.95" customHeight="1">
      <c r="A303" s="182"/>
      <c r="B303" s="233" t="s">
        <v>1409</v>
      </c>
      <c r="C303" s="274"/>
      <c r="D303" s="243" t="str">
        <f>IF(B303&lt;&gt;"",VLOOKUP(B303,R_DG!$A$7:$G$1305,2,0),"")</f>
        <v>D3.1115</v>
      </c>
      <c r="E303" s="253" t="str">
        <f>VLOOKUP(B303,R_DG!$A$7:$G$1305,3,0)</f>
        <v>Lắp sứ đứng 24KV</v>
      </c>
      <c r="F303" s="243" t="str">
        <f>VLOOKUP(B303,R_DG!$A$7:$G$1305,4,0)</f>
        <v>bộ</v>
      </c>
      <c r="G303" s="254">
        <f>G301</f>
        <v>0</v>
      </c>
      <c r="H303" s="255">
        <f>VLOOKUP(B303,R_DG!$A$7:$G$1305,5,0)</f>
        <v>0</v>
      </c>
      <c r="I303" s="255">
        <f>VLOOKUP(B303,R_DG!$A$7:$G$1305,6,0)</f>
        <v>55458.139999999992</v>
      </c>
      <c r="J303" s="255">
        <f>VLOOKUP(B303,R_DG!$A$7:$G$1305,7,0)</f>
        <v>0</v>
      </c>
      <c r="K303" s="256">
        <f>H303*G303</f>
        <v>0</v>
      </c>
      <c r="L303" s="256">
        <f t="shared" si="118"/>
        <v>0</v>
      </c>
      <c r="M303" s="256">
        <f>J303*G303</f>
        <v>0</v>
      </c>
      <c r="N303" s="257"/>
      <c r="O303" s="38">
        <f t="shared" si="117"/>
        <v>0</v>
      </c>
    </row>
    <row r="304" spans="1:15" ht="24.95" customHeight="1">
      <c r="A304" s="182"/>
      <c r="B304" s="233" t="s">
        <v>2461</v>
      </c>
      <c r="C304" s="274"/>
      <c r="D304" s="243" t="str">
        <f>IF(B304&lt;&gt;"",VLOOKUP(B304,R_DG!$A$7:$G$1305,2,0),"")</f>
        <v>T4.4201</v>
      </c>
      <c r="E304" s="253" t="str">
        <f>VLOOKUP(B304,R_DG!$A$7:$G$1305,3,0)</f>
        <v>Lắp cáp đồng xuống thiết bị D ≤ 95mm2</v>
      </c>
      <c r="F304" s="243" t="str">
        <f>VLOOKUP(B304,R_DG!$A$7:$G$1305,4,0)</f>
        <v>m</v>
      </c>
      <c r="G304" s="254">
        <f>G297</f>
        <v>18</v>
      </c>
      <c r="H304" s="255">
        <f>VLOOKUP(B304,R_DG!$A$7:$G$1305,5,0)</f>
        <v>0</v>
      </c>
      <c r="I304" s="255">
        <f>VLOOKUP(B304,R_DG!$A$7:$G$1305,6,0)</f>
        <v>11847</v>
      </c>
      <c r="J304" s="255">
        <f>VLOOKUP(B304,R_DG!$A$7:$G$1305,7,0)</f>
        <v>0</v>
      </c>
      <c r="K304" s="256">
        <f>H304*G304</f>
        <v>0</v>
      </c>
      <c r="L304" s="256">
        <f t="shared" si="118"/>
        <v>213246</v>
      </c>
      <c r="M304" s="256">
        <f>J304*G304</f>
        <v>0</v>
      </c>
      <c r="N304" s="257"/>
      <c r="O304" s="38">
        <f t="shared" si="117"/>
        <v>1</v>
      </c>
    </row>
    <row r="305" spans="1:15" ht="24.95" customHeight="1">
      <c r="A305" s="182" t="s">
        <v>2483</v>
      </c>
      <c r="B305" s="232"/>
      <c r="C305" s="275">
        <f>IF(G305&gt;0,COUNTIF($C$17:C304,"&gt;0")+1,0)</f>
        <v>0</v>
      </c>
      <c r="D305" s="275" t="str">
        <f>IF(B305&lt;&gt;"",VLOOKUP(B305,R_DG!$A$7:$G$1305,2,0),"")</f>
        <v/>
      </c>
      <c r="E305" s="275" t="s">
        <v>2513</v>
      </c>
      <c r="F305" s="275" t="s">
        <v>163</v>
      </c>
      <c r="G305" s="275">
        <f>IF(B4=1,1,0)</f>
        <v>0</v>
      </c>
      <c r="H305" s="275"/>
      <c r="I305" s="275"/>
      <c r="J305" s="275"/>
      <c r="K305" s="275">
        <f t="shared" si="109"/>
        <v>0</v>
      </c>
      <c r="L305" s="275">
        <f t="shared" si="118"/>
        <v>0</v>
      </c>
      <c r="M305" s="275">
        <f t="shared" si="111"/>
        <v>0</v>
      </c>
      <c r="N305" s="276"/>
      <c r="O305" s="38">
        <f t="shared" si="117"/>
        <v>0</v>
      </c>
    </row>
    <row r="306" spans="1:15" ht="24.95" customHeight="1">
      <c r="A306" s="182"/>
      <c r="B306" s="232"/>
      <c r="C306" s="273"/>
      <c r="D306" s="243" t="str">
        <f>IF(B306&lt;&gt;"",VLOOKUP(B306,R_DG!$A$7:$G$1305,2,0),"")</f>
        <v/>
      </c>
      <c r="E306" s="77" t="s">
        <v>2432</v>
      </c>
      <c r="F306" s="273"/>
      <c r="G306" s="273"/>
      <c r="H306" s="256"/>
      <c r="I306" s="256"/>
      <c r="J306" s="255"/>
      <c r="K306" s="256">
        <f t="shared" si="109"/>
        <v>0</v>
      </c>
      <c r="L306" s="256">
        <f t="shared" si="118"/>
        <v>0</v>
      </c>
      <c r="M306" s="256">
        <f t="shared" si="111"/>
        <v>0</v>
      </c>
      <c r="N306" s="257"/>
      <c r="O306" s="38">
        <f t="shared" si="117"/>
        <v>0</v>
      </c>
    </row>
    <row r="307" spans="1:15" ht="24.95" customHeight="1">
      <c r="A307" s="182"/>
      <c r="B307" s="232" t="str">
        <f>IF(A4&gt;0,"CV"&amp;VLOOKUP(A$2,TBA,IF(A5*1=1,10,12),0),"NONE")</f>
        <v>CV150</v>
      </c>
      <c r="C307" s="273"/>
      <c r="D307" s="243">
        <f>IF(B307&lt;&gt;"",VLOOKUP(B307,R_DG!$A$7:$G$1305,2,0),"")</f>
        <v>0</v>
      </c>
      <c r="E307" s="253" t="str">
        <f>VLOOKUP(B307,R_DG!$A$7:$G$1305,3,0)</f>
        <v>Cáp đồng bọc CV150</v>
      </c>
      <c r="F307" s="243" t="str">
        <f>VLOOKUP(B307,R_DG!$A$7:$G$1305,4,0)</f>
        <v>mét</v>
      </c>
      <c r="G307" s="254">
        <f>IF(A4&gt;0,VLOOKUP(A2,TBA,IF(A5*1=1,11,13),0),0)*9*IF(A5*1=1,1,2)</f>
        <v>9</v>
      </c>
      <c r="H307" s="255">
        <f>VLOOKUP(B307,R_DG!$A$7:$G$1305,5,0)</f>
        <v>281900</v>
      </c>
      <c r="I307" s="255">
        <f>VLOOKUP(B307,R_DG!$A$7:$G$1305,6,0)</f>
        <v>0</v>
      </c>
      <c r="J307" s="255">
        <f>VLOOKUP(B307,R_DG!$A$7:$G$1305,7,0)</f>
        <v>0</v>
      </c>
      <c r="K307" s="256">
        <f t="shared" si="109"/>
        <v>2537100</v>
      </c>
      <c r="L307" s="256">
        <f t="shared" si="118"/>
        <v>0</v>
      </c>
      <c r="M307" s="256">
        <f t="shared" si="111"/>
        <v>0</v>
      </c>
      <c r="N307" s="257"/>
      <c r="O307" s="38">
        <f t="shared" si="117"/>
        <v>1</v>
      </c>
    </row>
    <row r="308" spans="1:15" ht="15.75">
      <c r="A308" s="182"/>
      <c r="B308" s="232" t="e">
        <f ca="1">IF(B307="NONE","NONE","CV"&amp;Selectdown(RIGHT(B307,LEN(B307)-2),SETTING!$AF$25:$AF$33))</f>
        <v>#NAME?</v>
      </c>
      <c r="C308" s="273"/>
      <c r="D308" s="243" t="e">
        <f ca="1">IF(B308&lt;&gt;"",VLOOKUP(B308,R_DG!$A$7:$G$1305,2,0),"")</f>
        <v>#NAME?</v>
      </c>
      <c r="E308" s="253" t="e">
        <f ca="1">VLOOKUP(B308,R_DG!$A$7:$G$1305,3,0)</f>
        <v>#NAME?</v>
      </c>
      <c r="F308" s="243" t="e">
        <f ca="1">VLOOKUP(B308,R_DG!$A$7:$G$1305,4,0)</f>
        <v>#NAME?</v>
      </c>
      <c r="G308" s="254">
        <f>IF(A4&gt;0,VLOOKUP(A2,TBA,IF(A5*1=1,11,13),0),0)*10*IF(A5*1=1,1,2)</f>
        <v>10</v>
      </c>
      <c r="H308" s="255" t="e">
        <f ca="1">VLOOKUP(B308,R_DG!$A$7:$G$1305,5,0)</f>
        <v>#NAME?</v>
      </c>
      <c r="I308" s="255" t="e">
        <f ca="1">VLOOKUP(B308,R_DG!$A$7:$G$1305,6,0)</f>
        <v>#NAME?</v>
      </c>
      <c r="J308" s="255" t="e">
        <f ca="1">VLOOKUP(B308,R_DG!$A$7:$G$1305,7,0)</f>
        <v>#NAME?</v>
      </c>
      <c r="K308" s="256" t="e">
        <f ca="1">H308*G308</f>
        <v>#NAME?</v>
      </c>
      <c r="L308" s="256" t="e">
        <f ca="1">I308*G308</f>
        <v>#NAME?</v>
      </c>
      <c r="M308" s="256" t="e">
        <f ca="1">J308*G308</f>
        <v>#NAME?</v>
      </c>
      <c r="N308" s="257"/>
      <c r="O308" s="38">
        <f t="shared" si="117"/>
        <v>1</v>
      </c>
    </row>
    <row r="309" spans="1:15" ht="15.75">
      <c r="A309" s="182"/>
      <c r="B309" s="232" t="s">
        <v>4537</v>
      </c>
      <c r="C309" s="273"/>
      <c r="D309" s="243">
        <f>IF(B309&lt;&gt;"",VLOOKUP(B309,R_DG!$A$7:$G$1305,2,0),"")</f>
        <v>0</v>
      </c>
      <c r="E309" s="253" t="str">
        <f>VLOOKUP(B309,R_DG!$A$7:$G$1305,3,0)</f>
        <v xml:space="preserve">Cáp CVV 4x4mm2 </v>
      </c>
      <c r="F309" s="243" t="str">
        <f>VLOOKUP(B309,R_DG!$A$7:$G$1305,4,0)</f>
        <v>mét</v>
      </c>
      <c r="G309" s="254"/>
      <c r="H309" s="255">
        <f>VLOOKUP(B309,R_DG!$A$7:$G$1305,5,0)</f>
        <v>30000</v>
      </c>
      <c r="I309" s="255">
        <f>VLOOKUP(B309,R_DG!$A$7:$G$1305,6,0)</f>
        <v>0</v>
      </c>
      <c r="J309" s="255">
        <f>VLOOKUP(B309,R_DG!$A$7:$G$1305,7,0)</f>
        <v>0</v>
      </c>
      <c r="K309" s="256">
        <f t="shared" ref="K309:K360" si="119">H309*G309</f>
        <v>0</v>
      </c>
      <c r="L309" s="256">
        <f t="shared" si="118"/>
        <v>0</v>
      </c>
      <c r="M309" s="256">
        <f t="shared" ref="M309:M360" si="120">J309*G309</f>
        <v>0</v>
      </c>
      <c r="N309" s="257"/>
      <c r="O309" s="38">
        <f t="shared" si="117"/>
        <v>0</v>
      </c>
    </row>
    <row r="310" spans="1:15" ht="15.75">
      <c r="A310" s="182"/>
      <c r="B310" s="232" t="str">
        <f>IF(A4&gt;0,"Cos"&amp;RIGHT(B307,LEN(B307)-2),"NONE")</f>
        <v>Cos150</v>
      </c>
      <c r="C310" s="274"/>
      <c r="D310" s="243">
        <f>IF(B310&lt;&gt;"",VLOOKUP(B310,R_DG!$A$7:$G$1305,2,0),"")</f>
        <v>0</v>
      </c>
      <c r="E310" s="253" t="str">
        <f>VLOOKUP(B310,R_DG!$A$7:$G$1305,3,0)</f>
        <v>Đầu cosse ép Cu 150mm2</v>
      </c>
      <c r="F310" s="243" t="str">
        <f>VLOOKUP(B310,R_DG!$A$7:$G$1305,4,0)</f>
        <v>cái</v>
      </c>
      <c r="G310" s="254">
        <f>G305*IF(A$4&gt;0,VLOOKUP(A$2,TBA,IF(A$5*1=1,11,13),0),0)*IF(A$5*1=1,1,2)</f>
        <v>0</v>
      </c>
      <c r="H310" s="255">
        <f>VLOOKUP(B310,R_DG!$A$7:$G$1305,5,0)</f>
        <v>36000</v>
      </c>
      <c r="I310" s="255">
        <f>VLOOKUP(B310,R_DG!$A$7:$G$1305,6,0)</f>
        <v>0</v>
      </c>
      <c r="J310" s="255">
        <f>VLOOKUP(B310,R_DG!$A$7:$G$1305,7,0)</f>
        <v>0</v>
      </c>
      <c r="K310" s="256">
        <f t="shared" si="119"/>
        <v>0</v>
      </c>
      <c r="L310" s="256">
        <f t="shared" si="118"/>
        <v>0</v>
      </c>
      <c r="M310" s="256">
        <f t="shared" si="120"/>
        <v>0</v>
      </c>
      <c r="N310" s="257"/>
      <c r="O310" s="38">
        <f t="shared" si="117"/>
        <v>0</v>
      </c>
    </row>
    <row r="311" spans="1:15" ht="15.75">
      <c r="A311" s="182"/>
      <c r="B311" s="232" t="e">
        <f ca="1">IF(A4&gt;0,"Cos"&amp;RIGHT(B308,LEN(B308)-2),"NONE")</f>
        <v>#NAME?</v>
      </c>
      <c r="C311" s="274"/>
      <c r="D311" s="243" t="e">
        <f ca="1">IF(B311&lt;&gt;"",VLOOKUP(B311,R_DG!$A$7:$G$1305,2,0),"")</f>
        <v>#NAME?</v>
      </c>
      <c r="E311" s="253" t="e">
        <f ca="1">VLOOKUP(B311,R_DG!$A$7:$G$1305,3,0)</f>
        <v>#NAME?</v>
      </c>
      <c r="F311" s="243" t="e">
        <f ca="1">VLOOKUP(B311,R_DG!$A$7:$G$1305,4,0)</f>
        <v>#NAME?</v>
      </c>
      <c r="G311" s="254">
        <f>G305*IF(A$4&gt;0,VLOOKUP(A$2,TBA,IF(A$5*1=1,11,13),0),0)</f>
        <v>0</v>
      </c>
      <c r="H311" s="255" t="e">
        <f ca="1">VLOOKUP(B311,R_DG!$A$7:$G$1305,5,0)</f>
        <v>#NAME?</v>
      </c>
      <c r="I311" s="255" t="e">
        <f ca="1">VLOOKUP(B311,R_DG!$A$7:$G$1305,6,0)</f>
        <v>#NAME?</v>
      </c>
      <c r="J311" s="255" t="e">
        <f ca="1">VLOOKUP(B311,R_DG!$A$7:$G$1305,7,0)</f>
        <v>#NAME?</v>
      </c>
      <c r="K311" s="256" t="e">
        <f ca="1">H311*G311</f>
        <v>#NAME?</v>
      </c>
      <c r="L311" s="256" t="e">
        <f ca="1">I311*G311</f>
        <v>#NAME?</v>
      </c>
      <c r="M311" s="256" t="e">
        <f ca="1">J311*G311</f>
        <v>#NAME?</v>
      </c>
      <c r="N311" s="257"/>
      <c r="O311" s="38">
        <f t="shared" si="117"/>
        <v>0</v>
      </c>
    </row>
    <row r="312" spans="1:15" ht="15.75">
      <c r="A312" s="182"/>
      <c r="B312" s="232" t="str">
        <f>IF(A4&gt;0,"chCos"&amp;RIGHT(B307,LEN(B307)-2),"NONE")</f>
        <v>chCos150</v>
      </c>
      <c r="C312" s="274"/>
      <c r="D312" s="243">
        <f>IF(B312&lt;&gt;"",VLOOKUP(B312,R_DG!$A$7:$G$1305,2,0),"")</f>
        <v>0</v>
      </c>
      <c r="E312" s="253" t="str">
        <f>VLOOKUP(B312,R_DG!$A$7:$G$1305,3,0)</f>
        <v>Chụp đầu cosse 150mm2</v>
      </c>
      <c r="F312" s="243" t="str">
        <f>VLOOKUP(B312,R_DG!$A$7:$G$1305,4,0)</f>
        <v>cái</v>
      </c>
      <c r="G312" s="254">
        <f>G310</f>
        <v>0</v>
      </c>
      <c r="H312" s="255">
        <f>VLOOKUP(B312,R_DG!$A$7:$G$1305,5,0)</f>
        <v>4600</v>
      </c>
      <c r="I312" s="255">
        <f>VLOOKUP(B312,R_DG!$A$7:$G$1305,6,0)</f>
        <v>0</v>
      </c>
      <c r="J312" s="255">
        <f>VLOOKUP(B312,R_DG!$A$7:$G$1305,7,0)</f>
        <v>0</v>
      </c>
      <c r="K312" s="256">
        <f t="shared" si="119"/>
        <v>0</v>
      </c>
      <c r="L312" s="256">
        <f t="shared" si="118"/>
        <v>0</v>
      </c>
      <c r="M312" s="256">
        <f t="shared" si="120"/>
        <v>0</v>
      </c>
      <c r="N312" s="257"/>
      <c r="O312" s="38">
        <f t="shared" si="117"/>
        <v>0</v>
      </c>
    </row>
    <row r="313" spans="1:15" ht="15.75">
      <c r="A313" s="182"/>
      <c r="B313" s="232" t="e">
        <f ca="1">IF(A4&gt;0,"chCos"&amp;RIGHT(B308,LEN(B308)-2),"NONE")</f>
        <v>#NAME?</v>
      </c>
      <c r="C313" s="274"/>
      <c r="D313" s="243" t="e">
        <f ca="1">IF(B313&lt;&gt;"",VLOOKUP(B313,R_DG!$A$7:$G$1305,2,0),"")</f>
        <v>#NAME?</v>
      </c>
      <c r="E313" s="253" t="e">
        <f ca="1">VLOOKUP(B313,R_DG!$A$7:$G$1305,3,0)</f>
        <v>#NAME?</v>
      </c>
      <c r="F313" s="243" t="e">
        <f ca="1">VLOOKUP(B313,R_DG!$A$7:$G$1305,4,0)</f>
        <v>#NAME?</v>
      </c>
      <c r="G313" s="254">
        <f>G311</f>
        <v>0</v>
      </c>
      <c r="H313" s="255" t="e">
        <f ca="1">VLOOKUP(B313,R_DG!$A$7:$G$1305,5,0)</f>
        <v>#NAME?</v>
      </c>
      <c r="I313" s="255" t="e">
        <f ca="1">VLOOKUP(B313,R_DG!$A$7:$G$1305,6,0)</f>
        <v>#NAME?</v>
      </c>
      <c r="J313" s="255" t="e">
        <f ca="1">VLOOKUP(B313,R_DG!$A$7:$G$1305,7,0)</f>
        <v>#NAME?</v>
      </c>
      <c r="K313" s="256" t="e">
        <f ca="1">H313*G313</f>
        <v>#NAME?</v>
      </c>
      <c r="L313" s="256" t="e">
        <f ca="1">I313*G313</f>
        <v>#NAME?</v>
      </c>
      <c r="M313" s="256" t="e">
        <f ca="1">J313*G313</f>
        <v>#NAME?</v>
      </c>
      <c r="N313" s="257"/>
      <c r="O313" s="38">
        <f t="shared" si="117"/>
        <v>0</v>
      </c>
    </row>
    <row r="314" spans="1:15" ht="15.75">
      <c r="A314" s="182"/>
      <c r="B314" s="232" t="str">
        <f>"PVC"&amp;IF(RIGHT(B307,LEN(B307)-2)&gt;120,"114","90")</f>
        <v>PVC114</v>
      </c>
      <c r="C314" s="274"/>
      <c r="D314" s="243">
        <f>IF(B314&lt;&gt;"",VLOOKUP(B314,R_DG!$A$7:$G$1305,2,0),"")</f>
        <v>0</v>
      </c>
      <c r="E314" s="253" t="str">
        <f>VLOOKUP(B314,R_DG!$A$7:$G$1305,3,0)</f>
        <v xml:space="preserve">Ống PVC D114x4,9mm </v>
      </c>
      <c r="F314" s="243" t="str">
        <f>VLOOKUP(B314,R_DG!$A$7:$G$1305,4,0)</f>
        <v>m</v>
      </c>
      <c r="G314" s="254">
        <f>G305*8</f>
        <v>0</v>
      </c>
      <c r="H314" s="255">
        <f>VLOOKUP(B314,R_DG!$A$7:$G$1305,5,0)</f>
        <v>103700</v>
      </c>
      <c r="I314" s="255">
        <f>VLOOKUP(B314,R_DG!$A$7:$G$1305,6,0)</f>
        <v>0</v>
      </c>
      <c r="J314" s="255">
        <f>VLOOKUP(B314,R_DG!$A$7:$G$1305,7,0)</f>
        <v>0</v>
      </c>
      <c r="K314" s="256">
        <f t="shared" si="119"/>
        <v>0</v>
      </c>
      <c r="L314" s="256">
        <f t="shared" si="118"/>
        <v>0</v>
      </c>
      <c r="M314" s="256">
        <f t="shared" si="120"/>
        <v>0</v>
      </c>
      <c r="N314" s="257"/>
      <c r="O314" s="38">
        <f t="shared" si="117"/>
        <v>0</v>
      </c>
    </row>
    <row r="315" spans="1:15" ht="15.75">
      <c r="A315" s="182"/>
      <c r="B315" s="226" t="str">
        <f>"CD"&amp;RIGHT(B314,LEN(B314)-3)</f>
        <v>CD114</v>
      </c>
      <c r="C315" s="274"/>
      <c r="D315" s="243">
        <f>IF(B315&lt;&gt;"",VLOOKUP(B315,R_DG!$A$7:$G$1305,2,0),"")</f>
        <v>0</v>
      </c>
      <c r="E315" s="253" t="str">
        <f>VLOOKUP(B315,R_DG!$A$7:$G$1305,3,0)</f>
        <v>Collier kẹp ống PVC φ 114</v>
      </c>
      <c r="F315" s="243" t="str">
        <f>VLOOKUP(B315,R_DG!$A$7:$G$1305,4,0)</f>
        <v>bộ</v>
      </c>
      <c r="G315" s="254">
        <f>G305*3</f>
        <v>0</v>
      </c>
      <c r="H315" s="255">
        <f>VLOOKUP(B315,R_DG!$A$7:$G$1305,5,0)</f>
        <v>59000</v>
      </c>
      <c r="I315" s="255">
        <f>VLOOKUP(B315,R_DG!$A$7:$G$1305,6,0)</f>
        <v>0</v>
      </c>
      <c r="J315" s="255">
        <f>VLOOKUP(B315,R_DG!$A$7:$G$1305,7,0)</f>
        <v>0</v>
      </c>
      <c r="K315" s="256">
        <f t="shared" si="119"/>
        <v>0</v>
      </c>
      <c r="L315" s="255"/>
      <c r="M315" s="256">
        <f t="shared" si="120"/>
        <v>0</v>
      </c>
      <c r="N315" s="257"/>
      <c r="O315" s="38">
        <f t="shared" si="117"/>
        <v>0</v>
      </c>
    </row>
    <row r="316" spans="1:15" ht="15.75">
      <c r="A316" s="182"/>
      <c r="B316" s="226" t="s">
        <v>2465</v>
      </c>
      <c r="C316" s="274"/>
      <c r="D316" s="243" t="str">
        <f>IF(B316&lt;&gt;"",VLOOKUP(B316,R_DG!$A$7:$G$1305,2,0),"")</f>
        <v>D2.3241</v>
      </c>
      <c r="E316" s="253" t="str">
        <f>VLOOKUP(B316,R_DG!$A$7:$G$1305,3,0)</f>
        <v>Lắp cổ dề</v>
      </c>
      <c r="F316" s="243" t="str">
        <f>VLOOKUP(B316,R_DG!$A$7:$G$1305,4,0)</f>
        <v>bộ</v>
      </c>
      <c r="G316" s="254"/>
      <c r="H316" s="255">
        <f>VLOOKUP(B316,R_DG!$A$7:$G$1305,5,0)</f>
        <v>0</v>
      </c>
      <c r="I316" s="255">
        <f>VLOOKUP(B316,R_DG!$A$7:$G$1305,6,0)</f>
        <v>82929</v>
      </c>
      <c r="J316" s="255">
        <f>VLOOKUP(B316,R_DG!$A$7:$G$1305,7,0)</f>
        <v>0</v>
      </c>
      <c r="K316" s="256">
        <f t="shared" si="119"/>
        <v>0</v>
      </c>
      <c r="L316" s="255"/>
      <c r="M316" s="256">
        <f t="shared" si="120"/>
        <v>0</v>
      </c>
      <c r="N316" s="257"/>
      <c r="O316" s="38">
        <f t="shared" si="117"/>
        <v>0</v>
      </c>
    </row>
    <row r="317" spans="1:15" ht="15.75">
      <c r="A317" s="182"/>
      <c r="B317" s="226" t="s">
        <v>2190</v>
      </c>
      <c r="C317" s="274"/>
      <c r="D317" s="243">
        <f>IF(B317&lt;&gt;"",VLOOKUP(B317,R_DG!$A$7:$G$1305,2,0),"")</f>
        <v>0</v>
      </c>
      <c r="E317" s="253" t="str">
        <f>VLOOKUP(B317,R_DG!$A$7:$G$1305,3,0)</f>
        <v>Boulon 12x40+ 2 long đền vuông D14-50x50x3/Zn</v>
      </c>
      <c r="F317" s="243" t="str">
        <f>VLOOKUP(B317,R_DG!$A$7:$G$1305,4,0)</f>
        <v>bộ</v>
      </c>
      <c r="G317" s="254"/>
      <c r="H317" s="255">
        <f>VLOOKUP(B317,R_DG!$A$7:$G$1305,5,0)</f>
        <v>3000</v>
      </c>
      <c r="I317" s="255">
        <f>VLOOKUP(B317,R_DG!$A$7:$G$1305,6,0)</f>
        <v>0</v>
      </c>
      <c r="J317" s="255">
        <f>VLOOKUP(B317,R_DG!$A$7:$G$1305,7,0)</f>
        <v>0</v>
      </c>
      <c r="K317" s="256">
        <f t="shared" si="119"/>
        <v>0</v>
      </c>
      <c r="L317" s="255">
        <v>0</v>
      </c>
      <c r="M317" s="256">
        <f t="shared" si="120"/>
        <v>0</v>
      </c>
      <c r="N317" s="257"/>
      <c r="O317" s="38">
        <f t="shared" si="117"/>
        <v>0</v>
      </c>
    </row>
    <row r="318" spans="1:15" ht="15.75">
      <c r="A318" s="182"/>
      <c r="B318" s="232" t="str">
        <f>"CUT"&amp;RIGHT(B314,LEN(B314)-3)&amp;"t"</f>
        <v>CUT114t</v>
      </c>
      <c r="C318" s="274"/>
      <c r="D318" s="243">
        <f>IF(B318&lt;&gt;"",VLOOKUP(B318,R_DG!$A$7:$G$1305,2,0),"")</f>
        <v>0</v>
      </c>
      <c r="E318" s="253" t="str">
        <f>VLOOKUP(B318,R_DG!$A$7:$G$1305,3,0)</f>
        <v>Co 90 độ PVC 114</v>
      </c>
      <c r="F318" s="243" t="str">
        <f>VLOOKUP(B318,R_DG!$A$7:$G$1305,4,0)</f>
        <v>cái</v>
      </c>
      <c r="G318" s="254">
        <f>G305</f>
        <v>0</v>
      </c>
      <c r="H318" s="255">
        <f>VLOOKUP(B318,R_DG!$A$7:$G$1305,5,0)</f>
        <v>43100</v>
      </c>
      <c r="I318" s="255">
        <f>VLOOKUP(B318,R_DG!$A$7:$G$1305,6,0)</f>
        <v>0</v>
      </c>
      <c r="J318" s="255">
        <f>VLOOKUP(B318,R_DG!$A$7:$G$1305,7,0)</f>
        <v>0</v>
      </c>
      <c r="K318" s="256">
        <f t="shared" si="119"/>
        <v>0</v>
      </c>
      <c r="L318" s="256">
        <f t="shared" ref="L318:L356" si="121">I318*G318</f>
        <v>0</v>
      </c>
      <c r="M318" s="256">
        <f t="shared" si="120"/>
        <v>0</v>
      </c>
      <c r="N318" s="257"/>
      <c r="O318" s="38">
        <f t="shared" si="117"/>
        <v>0</v>
      </c>
    </row>
    <row r="319" spans="1:15" ht="15.75">
      <c r="A319" s="182"/>
      <c r="B319" s="232" t="str">
        <f>"CUT"&amp;RIGHT(B315,LEN(B315)-2)&amp;"135"</f>
        <v>CUT114135</v>
      </c>
      <c r="C319" s="274"/>
      <c r="D319" s="243">
        <f>IF(B319&lt;&gt;"",VLOOKUP(B319,R_DG!$A$7:$G$1305,2,0),"")</f>
        <v>0</v>
      </c>
      <c r="E319" s="253" t="str">
        <f>VLOOKUP(B319,R_DG!$A$7:$G$1305,3,0)</f>
        <v>Co 135 độ PVC 114</v>
      </c>
      <c r="F319" s="243" t="str">
        <f>VLOOKUP(B319,R_DG!$A$7:$G$1305,4,0)</f>
        <v>cái</v>
      </c>
      <c r="G319" s="254">
        <f>G305</f>
        <v>0</v>
      </c>
      <c r="H319" s="255">
        <f>VLOOKUP(B319,R_DG!$A$7:$G$1305,5,0)</f>
        <v>43100</v>
      </c>
      <c r="I319" s="255">
        <f>VLOOKUP(B319,R_DG!$A$7:$G$1305,6,0)</f>
        <v>0</v>
      </c>
      <c r="J319" s="255">
        <f>VLOOKUP(B319,R_DG!$A$7:$G$1305,7,0)</f>
        <v>0</v>
      </c>
      <c r="K319" s="256">
        <f t="shared" si="119"/>
        <v>0</v>
      </c>
      <c r="L319" s="256">
        <f t="shared" si="121"/>
        <v>0</v>
      </c>
      <c r="M319" s="256">
        <f t="shared" si="120"/>
        <v>0</v>
      </c>
      <c r="N319" s="257"/>
      <c r="O319" s="38">
        <f t="shared" si="117"/>
        <v>0</v>
      </c>
    </row>
    <row r="320" spans="1:15" ht="15.75">
      <c r="A320" s="182"/>
      <c r="B320" s="232" t="str">
        <f>"NPVC"&amp;RIGHT(B314,LEN(B314)-3)</f>
        <v>NPVC114</v>
      </c>
      <c r="C320" s="274"/>
      <c r="D320" s="243">
        <f>IF(B320&lt;&gt;"",VLOOKUP(B320,R_DG!$A$7:$G$1305,2,0),"")</f>
        <v>0</v>
      </c>
      <c r="E320" s="253" t="str">
        <f>VLOOKUP(B320,R_DG!$A$7:$G$1305,3,0)</f>
        <v>Nối ống PVC 114</v>
      </c>
      <c r="F320" s="243" t="str">
        <f>VLOOKUP(B320,R_DG!$A$7:$G$1305,4,0)</f>
        <v>cái</v>
      </c>
      <c r="G320" s="254">
        <f>G305</f>
        <v>0</v>
      </c>
      <c r="H320" s="255">
        <f>VLOOKUP(B320,R_DG!$A$7:$G$1305,5,0)</f>
        <v>27500</v>
      </c>
      <c r="I320" s="255">
        <f>VLOOKUP(B320,R_DG!$A$7:$G$1305,6,0)</f>
        <v>0</v>
      </c>
      <c r="J320" s="255">
        <f>VLOOKUP(B320,R_DG!$A$7:$G$1305,7,0)</f>
        <v>0</v>
      </c>
      <c r="K320" s="256">
        <f t="shared" si="119"/>
        <v>0</v>
      </c>
      <c r="L320" s="256">
        <f t="shared" si="121"/>
        <v>0</v>
      </c>
      <c r="M320" s="256">
        <f t="shared" si="120"/>
        <v>0</v>
      </c>
      <c r="N320" s="257"/>
      <c r="O320" s="38">
        <f t="shared" si="117"/>
        <v>0</v>
      </c>
    </row>
    <row r="321" spans="1:15" ht="15.75">
      <c r="A321" s="182"/>
      <c r="B321" s="232" t="s">
        <v>2467</v>
      </c>
      <c r="C321" s="274"/>
      <c r="D321" s="243">
        <f>IF(B321&lt;&gt;"",VLOOKUP(B321,R_DG!$A$7:$G$1305,2,0),"")</f>
        <v>0</v>
      </c>
      <c r="E321" s="253" t="str">
        <f>VLOOKUP(B321,R_DG!$A$7:$G$1305,3,0)</f>
        <v>Keo dán ống PVC (100gr)</v>
      </c>
      <c r="F321" s="243" t="str">
        <f>VLOOKUP(B321,R_DG!$A$7:$G$1305,4,0)</f>
        <v>tuýp</v>
      </c>
      <c r="G321" s="254">
        <f>G305*2</f>
        <v>0</v>
      </c>
      <c r="H321" s="255">
        <f>VLOOKUP(B321,R_DG!$A$7:$G$1305,5,0)</f>
        <v>11500</v>
      </c>
      <c r="I321" s="255">
        <f>VLOOKUP(B321,R_DG!$A$7:$G$1305,6,0)</f>
        <v>0</v>
      </c>
      <c r="J321" s="255">
        <f>VLOOKUP(B321,R_DG!$A$7:$G$1305,7,0)</f>
        <v>0</v>
      </c>
      <c r="K321" s="256">
        <f t="shared" si="119"/>
        <v>0</v>
      </c>
      <c r="L321" s="256">
        <f t="shared" si="121"/>
        <v>0</v>
      </c>
      <c r="M321" s="256">
        <f t="shared" si="120"/>
        <v>0</v>
      </c>
      <c r="N321" s="257"/>
      <c r="O321" s="38">
        <f t="shared" si="117"/>
        <v>0</v>
      </c>
    </row>
    <row r="322" spans="1:15" ht="15.75">
      <c r="A322" s="182"/>
      <c r="B322" s="232" t="s">
        <v>2468</v>
      </c>
      <c r="C322" s="274"/>
      <c r="D322" s="243">
        <f>IF(B322&lt;&gt;"",VLOOKUP(B322,R_DG!$A$7:$G$1305,2,0),"")</f>
        <v>0</v>
      </c>
      <c r="E322" s="253" t="str">
        <f>VLOOKUP(B322,R_DG!$A$7:$G$1305,3,0)</f>
        <v>Keo silicon bít miệng ống</v>
      </c>
      <c r="F322" s="243" t="str">
        <f>VLOOKUP(B322,R_DG!$A$7:$G$1305,4,0)</f>
        <v>ống</v>
      </c>
      <c r="G322" s="254">
        <f>G305</f>
        <v>0</v>
      </c>
      <c r="H322" s="255">
        <f>VLOOKUP(B322,R_DG!$A$7:$G$1305,5,0)</f>
        <v>30000</v>
      </c>
      <c r="I322" s="255">
        <f>VLOOKUP(B322,R_DG!$A$7:$G$1305,6,0)</f>
        <v>0</v>
      </c>
      <c r="J322" s="255">
        <f>VLOOKUP(B322,R_DG!$A$7:$G$1305,7,0)</f>
        <v>0</v>
      </c>
      <c r="K322" s="256">
        <f t="shared" si="119"/>
        <v>0</v>
      </c>
      <c r="L322" s="256">
        <f t="shared" si="121"/>
        <v>0</v>
      </c>
      <c r="M322" s="256">
        <f t="shared" si="120"/>
        <v>0</v>
      </c>
      <c r="N322" s="257"/>
      <c r="O322" s="38">
        <f t="shared" si="117"/>
        <v>0</v>
      </c>
    </row>
    <row r="323" spans="1:15" ht="15.75">
      <c r="A323" s="182"/>
      <c r="B323" s="226" t="s">
        <v>1969</v>
      </c>
      <c r="C323" s="274"/>
      <c r="D323" s="243">
        <f>IF(B323&lt;&gt;"",VLOOKUP(B323,R_DG!$A$7:$G$1305,2,0),"")</f>
        <v>0</v>
      </c>
      <c r="E323" s="253" t="str">
        <f>VLOOKUP(B323,R_DG!$A$7:$G$1305,3,0)</f>
        <v>Băng keo cách điện (5m/cuộn)</v>
      </c>
      <c r="F323" s="243" t="str">
        <f>VLOOKUP(B323,R_DG!$A$7:$G$1305,4,0)</f>
        <v>cuộn</v>
      </c>
      <c r="G323" s="254">
        <f>G305*5</f>
        <v>0</v>
      </c>
      <c r="H323" s="255">
        <f>VLOOKUP(B323,R_DG!$A$7:$G$1305,5,0)</f>
        <v>8000</v>
      </c>
      <c r="I323" s="255">
        <f>VLOOKUP(B323,R_DG!$A$7:$G$1305,6,0)</f>
        <v>0</v>
      </c>
      <c r="J323" s="255">
        <f>VLOOKUP(B323,R_DG!$A$7:$G$1305,7,0)</f>
        <v>0</v>
      </c>
      <c r="K323" s="256">
        <f t="shared" si="119"/>
        <v>0</v>
      </c>
      <c r="L323" s="256">
        <f t="shared" si="121"/>
        <v>0</v>
      </c>
      <c r="M323" s="256">
        <f t="shared" si="120"/>
        <v>0</v>
      </c>
      <c r="N323" s="257"/>
      <c r="O323" s="38">
        <f t="shared" si="117"/>
        <v>0</v>
      </c>
    </row>
    <row r="324" spans="1:15" ht="15.75">
      <c r="A324" s="182"/>
      <c r="B324" s="232" t="str">
        <f>"lpvc"&amp;RIGHT(B314,LEN(B314)-3)&amp;"cl"</f>
        <v>lpvc114cl</v>
      </c>
      <c r="C324" s="274"/>
      <c r="D324" s="243" t="str">
        <f>IF(B324&lt;&gt;"",VLOOKUP(B324,R_DG!$A$7:$G$1305,2,0),"")</f>
        <v>T4.5202</v>
      </c>
      <c r="E324" s="253" t="str">
        <f>VLOOKUP(B324,R_DG!$A$7:$G$1305,3,0)</f>
        <v>Lắp ống nhựa PVC D114</v>
      </c>
      <c r="F324" s="243" t="str">
        <f>VLOOKUP(B324,R_DG!$A$7:$G$1305,4,0)</f>
        <v>mét</v>
      </c>
      <c r="G324" s="254">
        <f>G314</f>
        <v>0</v>
      </c>
      <c r="H324" s="255">
        <f>VLOOKUP(B324,R_DG!$A$7:$G$1305,5,0)</f>
        <v>0</v>
      </c>
      <c r="I324" s="255">
        <f>VLOOKUP(B324,R_DG!$A$7:$G$1305,6,0)</f>
        <v>63973.8</v>
      </c>
      <c r="J324" s="255">
        <f>VLOOKUP(B324,R_DG!$A$7:$G$1305,7,0)</f>
        <v>0</v>
      </c>
      <c r="K324" s="256">
        <f t="shared" si="119"/>
        <v>0</v>
      </c>
      <c r="L324" s="256">
        <f t="shared" si="121"/>
        <v>0</v>
      </c>
      <c r="M324" s="256">
        <f t="shared" si="120"/>
        <v>0</v>
      </c>
      <c r="N324" s="257"/>
      <c r="O324" s="38">
        <f t="shared" si="117"/>
        <v>0</v>
      </c>
    </row>
    <row r="325" spans="1:15" ht="15.75">
      <c r="A325" s="182"/>
      <c r="B325" s="226" t="str">
        <f>IF(A4&gt;0,"lcapdongTB"&amp;IF(RIGHT(B307,LEN(B307)-2)*1&gt;150,"240",IF(RIGHT(B307,LEN(B307)-2)*1&gt;95,"150","95")),"NONE")</f>
        <v>lcapdongTB150</v>
      </c>
      <c r="C325" s="274"/>
      <c r="D325" s="243" t="str">
        <f>IF(B325&lt;&gt;"",VLOOKUP(B325,R_DG!$A$7:$G$1305,2,0),"")</f>
        <v>T4.4202</v>
      </c>
      <c r="E325" s="253" t="str">
        <f>VLOOKUP(B325,R_DG!$A$7:$G$1305,3,0)</f>
        <v>Lắp cáp đồng xuống thiết bị D ≤ 150mm2</v>
      </c>
      <c r="F325" s="243" t="str">
        <f>VLOOKUP(B325,R_DG!$A$7:$G$1305,4,0)</f>
        <v>m</v>
      </c>
      <c r="G325" s="254">
        <f>G307+G308</f>
        <v>19</v>
      </c>
      <c r="H325" s="255">
        <f>VLOOKUP(B325,R_DG!$A$7:$G$1305,5,0)</f>
        <v>0</v>
      </c>
      <c r="I325" s="255">
        <f>VLOOKUP(B325,R_DG!$A$7:$G$1305,6,0)</f>
        <v>28432.799999999999</v>
      </c>
      <c r="J325" s="255">
        <f>VLOOKUP(B325,R_DG!$A$7:$G$1305,7,0)</f>
        <v>0</v>
      </c>
      <c r="K325" s="256">
        <f t="shared" si="119"/>
        <v>0</v>
      </c>
      <c r="L325" s="256">
        <f t="shared" si="121"/>
        <v>540223.19999999995</v>
      </c>
      <c r="M325" s="256">
        <f t="shared" si="120"/>
        <v>0</v>
      </c>
      <c r="N325" s="257"/>
      <c r="O325" s="38">
        <f t="shared" si="117"/>
        <v>1</v>
      </c>
    </row>
    <row r="326" spans="1:15" ht="24.95" customHeight="1">
      <c r="A326" s="182" t="s">
        <v>2514</v>
      </c>
      <c r="B326" s="232"/>
      <c r="C326" s="275">
        <f>IF(G326&gt;0,COUNTIF($C$17:C325,"&gt;0")+1,0)</f>
        <v>11</v>
      </c>
      <c r="D326" s="275" t="str">
        <f>IF(B326&lt;&gt;"",VLOOKUP(B326,R_DG!$A$7:$G$1305,2,0),"")</f>
        <v/>
      </c>
      <c r="E326" s="275" t="s">
        <v>2515</v>
      </c>
      <c r="F326" s="275" t="s">
        <v>163</v>
      </c>
      <c r="G326" s="275">
        <f>IF(B4=3,1,0)</f>
        <v>1</v>
      </c>
      <c r="H326" s="275"/>
      <c r="I326" s="275"/>
      <c r="J326" s="275"/>
      <c r="K326" s="275">
        <f t="shared" si="119"/>
        <v>0</v>
      </c>
      <c r="L326" s="275">
        <f t="shared" si="121"/>
        <v>0</v>
      </c>
      <c r="M326" s="275">
        <f t="shared" si="120"/>
        <v>0</v>
      </c>
      <c r="N326" s="276"/>
      <c r="O326" s="38">
        <f t="shared" si="117"/>
        <v>1</v>
      </c>
    </row>
    <row r="327" spans="1:15" ht="24.95" customHeight="1">
      <c r="A327" s="182"/>
      <c r="B327" s="232"/>
      <c r="C327" s="273"/>
      <c r="D327" s="243" t="str">
        <f>IF(B327&lt;&gt;"",VLOOKUP(B327,R_DG!$A$7:$G$1305,2,0),"")</f>
        <v/>
      </c>
      <c r="E327" s="77" t="s">
        <v>2432</v>
      </c>
      <c r="F327" s="273"/>
      <c r="G327" s="273"/>
      <c r="H327" s="256"/>
      <c r="I327" s="256"/>
      <c r="J327" s="255"/>
      <c r="K327" s="256">
        <f t="shared" si="119"/>
        <v>0</v>
      </c>
      <c r="L327" s="256">
        <f t="shared" si="121"/>
        <v>0</v>
      </c>
      <c r="M327" s="256">
        <f t="shared" si="120"/>
        <v>0</v>
      </c>
      <c r="N327" s="257"/>
      <c r="O327" s="38">
        <f t="shared" si="117"/>
        <v>0</v>
      </c>
    </row>
    <row r="328" spans="1:15" ht="24.95" customHeight="1">
      <c r="A328" s="182"/>
      <c r="B328" s="232" t="str">
        <f>IF(A4&gt;0,"CV"&amp;VLOOKUP(A$2,TBA,IF(A5*1=1,10,12),0),"NONE")</f>
        <v>CV150</v>
      </c>
      <c r="C328" s="273"/>
      <c r="D328" s="243">
        <f>IF(B328&lt;&gt;"",VLOOKUP(B328,R_DG!$A$7:$G$1305,2,0),"")</f>
        <v>0</v>
      </c>
      <c r="E328" s="253" t="str">
        <f>VLOOKUP(B328,R_DG!$A$7:$G$1305,3,0)</f>
        <v>Cáp đồng bọc CV150</v>
      </c>
      <c r="F328" s="243" t="str">
        <f>VLOOKUP(B328,R_DG!$A$7:$G$1305,4,0)</f>
        <v>mét</v>
      </c>
      <c r="G328" s="404">
        <f>G326*IF(A4*1&gt;0,VLOOKUP(A2,TBA,IF(A5*1=1,11,13),0),0)*9*3</f>
        <v>27</v>
      </c>
      <c r="H328" s="255">
        <f>VLOOKUP(B328,R_DG!$A$7:$G$1305,5,0)</f>
        <v>281900</v>
      </c>
      <c r="I328" s="255">
        <f>VLOOKUP(B328,R_DG!$A$7:$G$1305,6,0)</f>
        <v>0</v>
      </c>
      <c r="J328" s="255">
        <f>VLOOKUP(B328,R_DG!$A$7:$G$1305,7,0)</f>
        <v>0</v>
      </c>
      <c r="K328" s="256">
        <f t="shared" si="119"/>
        <v>7611300</v>
      </c>
      <c r="L328" s="256">
        <f t="shared" si="121"/>
        <v>0</v>
      </c>
      <c r="M328" s="256">
        <f t="shared" si="120"/>
        <v>0</v>
      </c>
      <c r="N328" s="257"/>
      <c r="O328" s="38">
        <f t="shared" si="117"/>
        <v>1</v>
      </c>
    </row>
    <row r="329" spans="1:15" ht="24.95" customHeight="1">
      <c r="A329" s="182"/>
      <c r="B329" s="232" t="e">
        <f ca="1">IF(B328="NONE","NONE","CV"&amp;Selectdown(RIGHT(B328,LEN(B328)-2),SETTING!$AF$25:$AF$33))</f>
        <v>#NAME?</v>
      </c>
      <c r="C329" s="273"/>
      <c r="D329" s="243" t="e">
        <f ca="1">IF(B329&lt;&gt;"",VLOOKUP(B329,R_DG!$A$7:$G$1305,2,0),"")</f>
        <v>#NAME?</v>
      </c>
      <c r="E329" s="253" t="e">
        <f ca="1">VLOOKUP(B329,R_DG!$A$7:$G$1305,3,0)</f>
        <v>#NAME?</v>
      </c>
      <c r="F329" s="243" t="e">
        <f ca="1">VLOOKUP(B329,R_DG!$A$7:$G$1305,4,0)</f>
        <v>#NAME?</v>
      </c>
      <c r="G329" s="404">
        <f>IF(A4&gt;0,VLOOKUP(A2,TBA,IF(A5*1=1,11,13),0),0)*10*G326</f>
        <v>10</v>
      </c>
      <c r="H329" s="255" t="e">
        <f ca="1">VLOOKUP(B329,R_DG!$A$7:$G$1305,5,0)</f>
        <v>#NAME?</v>
      </c>
      <c r="I329" s="255" t="e">
        <f ca="1">VLOOKUP(B329,R_DG!$A$7:$G$1305,6,0)</f>
        <v>#NAME?</v>
      </c>
      <c r="J329" s="255" t="e">
        <f ca="1">VLOOKUP(B329,R_DG!$A$7:$G$1305,7,0)</f>
        <v>#NAME?</v>
      </c>
      <c r="K329" s="256" t="e">
        <f ca="1">H329*G329</f>
        <v>#NAME?</v>
      </c>
      <c r="L329" s="256" t="e">
        <f ca="1">I329*G329</f>
        <v>#NAME?</v>
      </c>
      <c r="M329" s="256" t="e">
        <f ca="1">J329*G329</f>
        <v>#NAME?</v>
      </c>
      <c r="N329" s="257"/>
      <c r="O329" s="38">
        <f t="shared" si="117"/>
        <v>1</v>
      </c>
    </row>
    <row r="330" spans="1:15" ht="24.95" customHeight="1">
      <c r="A330" s="182"/>
      <c r="B330" s="232" t="s">
        <v>2463</v>
      </c>
      <c r="C330" s="273"/>
      <c r="D330" s="243">
        <f>IF(B330&lt;&gt;"",VLOOKUP(B330,R_DG!$A$7:$G$1305,2,0),"")</f>
        <v>0</v>
      </c>
      <c r="E330" s="253" t="str">
        <f>VLOOKUP(B330,R_DG!$A$7:$G$1305,3,0)</f>
        <v xml:space="preserve">Cáp CVV 4x2,5mm2 </v>
      </c>
      <c r="F330" s="243" t="str">
        <f>VLOOKUP(B330,R_DG!$A$7:$G$1305,4,0)</f>
        <v>mét</v>
      </c>
      <c r="G330" s="254"/>
      <c r="H330" s="255">
        <f>VLOOKUP(B330,R_DG!$A$7:$G$1305,5,0)</f>
        <v>30000</v>
      </c>
      <c r="I330" s="255">
        <f>VLOOKUP(B330,R_DG!$A$7:$G$1305,6,0)</f>
        <v>0</v>
      </c>
      <c r="J330" s="255">
        <f>VLOOKUP(B330,R_DG!$A$7:$G$1305,7,0)</f>
        <v>0</v>
      </c>
      <c r="K330" s="256">
        <f t="shared" si="119"/>
        <v>0</v>
      </c>
      <c r="L330" s="256">
        <f t="shared" si="121"/>
        <v>0</v>
      </c>
      <c r="M330" s="256">
        <f t="shared" si="120"/>
        <v>0</v>
      </c>
      <c r="N330" s="257"/>
      <c r="O330" s="38">
        <f t="shared" si="117"/>
        <v>0</v>
      </c>
    </row>
    <row r="331" spans="1:15" ht="24.95" customHeight="1">
      <c r="A331" s="182"/>
      <c r="B331" s="232" t="str">
        <f>IF(A4&gt;0,"Cos"&amp;RIGHT(B328,LEN(B328)-2),"NONE")</f>
        <v>Cos150</v>
      </c>
      <c r="C331" s="274"/>
      <c r="D331" s="243">
        <f>IF(B331&lt;&gt;"",VLOOKUP(B331,R_DG!$A$7:$G$1305,2,0),"")</f>
        <v>0</v>
      </c>
      <c r="E331" s="253" t="str">
        <f>VLOOKUP(B331,R_DG!$A$7:$G$1305,3,0)</f>
        <v>Đầu cosse ép Cu 150mm2</v>
      </c>
      <c r="F331" s="243" t="str">
        <f>VLOOKUP(B331,R_DG!$A$7:$G$1305,4,0)</f>
        <v>cái</v>
      </c>
      <c r="G331" s="254">
        <f>G326*3</f>
        <v>3</v>
      </c>
      <c r="H331" s="255">
        <f>VLOOKUP(B331,R_DG!$A$7:$G$1305,5,0)</f>
        <v>36000</v>
      </c>
      <c r="I331" s="255">
        <f>VLOOKUP(B331,R_DG!$A$7:$G$1305,6,0)</f>
        <v>0</v>
      </c>
      <c r="J331" s="255">
        <f>VLOOKUP(B331,R_DG!$A$7:$G$1305,7,0)</f>
        <v>0</v>
      </c>
      <c r="K331" s="256">
        <f t="shared" si="119"/>
        <v>108000</v>
      </c>
      <c r="L331" s="256">
        <f t="shared" si="121"/>
        <v>0</v>
      </c>
      <c r="M331" s="256">
        <f t="shared" si="120"/>
        <v>0</v>
      </c>
      <c r="N331" s="257"/>
      <c r="O331" s="38">
        <f t="shared" si="117"/>
        <v>1</v>
      </c>
    </row>
    <row r="332" spans="1:15" ht="24.95" customHeight="1">
      <c r="A332" s="182"/>
      <c r="B332" s="232" t="e">
        <f ca="1">IF(A4&gt;0,"Cos"&amp;RIGHT(B329,LEN(B329)-2),"NONE")</f>
        <v>#NAME?</v>
      </c>
      <c r="C332" s="274"/>
      <c r="D332" s="243" t="e">
        <f ca="1">IF(B332&lt;&gt;"",VLOOKUP(B332,R_DG!$A$7:$G$1305,2,0),"")</f>
        <v>#NAME?</v>
      </c>
      <c r="E332" s="253" t="e">
        <f ca="1">VLOOKUP(B332,R_DG!$A$7:$G$1305,3,0)</f>
        <v>#NAME?</v>
      </c>
      <c r="F332" s="243" t="e">
        <f ca="1">VLOOKUP(B332,R_DG!$A$7:$G$1305,4,0)</f>
        <v>#NAME?</v>
      </c>
      <c r="G332" s="254">
        <f>G326</f>
        <v>1</v>
      </c>
      <c r="H332" s="255" t="e">
        <f ca="1">VLOOKUP(B332,R_DG!$A$7:$G$1305,5,0)</f>
        <v>#NAME?</v>
      </c>
      <c r="I332" s="255" t="e">
        <f ca="1">VLOOKUP(B332,R_DG!$A$7:$G$1305,6,0)</f>
        <v>#NAME?</v>
      </c>
      <c r="J332" s="255" t="e">
        <f ca="1">VLOOKUP(B332,R_DG!$A$7:$G$1305,7,0)</f>
        <v>#NAME?</v>
      </c>
      <c r="K332" s="256" t="e">
        <f ca="1">H332*G332</f>
        <v>#NAME?</v>
      </c>
      <c r="L332" s="256" t="e">
        <f ca="1">I332*G332</f>
        <v>#NAME?</v>
      </c>
      <c r="M332" s="256" t="e">
        <f ca="1">J332*G332</f>
        <v>#NAME?</v>
      </c>
      <c r="N332" s="257"/>
      <c r="O332" s="38">
        <f t="shared" si="117"/>
        <v>1</v>
      </c>
    </row>
    <row r="333" spans="1:15" ht="24.95" customHeight="1">
      <c r="A333" s="182"/>
      <c r="B333" s="232" t="str">
        <f>IF(A4&gt;0,"chCos"&amp;RIGHT(B328,LEN(B328)-2),"NONE")</f>
        <v>chCos150</v>
      </c>
      <c r="C333" s="274"/>
      <c r="D333" s="243">
        <f>IF(B333&lt;&gt;"",VLOOKUP(B333,R_DG!$A$7:$G$1305,2,0),"")</f>
        <v>0</v>
      </c>
      <c r="E333" s="253" t="str">
        <f>VLOOKUP(B333,R_DG!$A$7:$G$1305,3,0)</f>
        <v>Chụp đầu cosse 150mm2</v>
      </c>
      <c r="F333" s="243" t="str">
        <f>VLOOKUP(B333,R_DG!$A$7:$G$1305,4,0)</f>
        <v>cái</v>
      </c>
      <c r="G333" s="254">
        <f>G331</f>
        <v>3</v>
      </c>
      <c r="H333" s="255">
        <f>VLOOKUP(B333,R_DG!$A$7:$G$1305,5,0)</f>
        <v>4600</v>
      </c>
      <c r="I333" s="255">
        <f>VLOOKUP(B333,R_DG!$A$7:$G$1305,6,0)</f>
        <v>0</v>
      </c>
      <c r="J333" s="255">
        <f>VLOOKUP(B333,R_DG!$A$7:$G$1305,7,0)</f>
        <v>0</v>
      </c>
      <c r="K333" s="256">
        <f t="shared" si="119"/>
        <v>13800</v>
      </c>
      <c r="L333" s="256">
        <f t="shared" si="121"/>
        <v>0</v>
      </c>
      <c r="M333" s="256">
        <f t="shared" si="120"/>
        <v>0</v>
      </c>
      <c r="N333" s="257"/>
      <c r="O333" s="38">
        <f t="shared" si="117"/>
        <v>1</v>
      </c>
    </row>
    <row r="334" spans="1:15" ht="24.95" customHeight="1">
      <c r="A334" s="182"/>
      <c r="B334" s="232" t="e">
        <f ca="1">IF(A4&gt;0,"chCos"&amp;RIGHT(B329,LEN(B329)-2),"NONE")</f>
        <v>#NAME?</v>
      </c>
      <c r="C334" s="274"/>
      <c r="D334" s="243" t="e">
        <f ca="1">IF(B334&lt;&gt;"",VLOOKUP(B334,R_DG!$A$7:$G$1305,2,0),"")</f>
        <v>#NAME?</v>
      </c>
      <c r="E334" s="253" t="e">
        <f ca="1">VLOOKUP(B334,R_DG!$A$7:$G$1305,3,0)</f>
        <v>#NAME?</v>
      </c>
      <c r="F334" s="243" t="e">
        <f ca="1">VLOOKUP(B334,R_DG!$A$7:$G$1305,4,0)</f>
        <v>#NAME?</v>
      </c>
      <c r="G334" s="254">
        <f>G332</f>
        <v>1</v>
      </c>
      <c r="H334" s="255" t="e">
        <f ca="1">VLOOKUP(B334,R_DG!$A$7:$G$1305,5,0)</f>
        <v>#NAME?</v>
      </c>
      <c r="I334" s="255" t="e">
        <f ca="1">VLOOKUP(B334,R_DG!$A$7:$G$1305,6,0)</f>
        <v>#NAME?</v>
      </c>
      <c r="J334" s="255" t="e">
        <f ca="1">VLOOKUP(B334,R_DG!$A$7:$G$1305,7,0)</f>
        <v>#NAME?</v>
      </c>
      <c r="K334" s="256" t="e">
        <f ca="1">H334*G334</f>
        <v>#NAME?</v>
      </c>
      <c r="L334" s="256" t="e">
        <f ca="1">I334*G334</f>
        <v>#NAME?</v>
      </c>
      <c r="M334" s="256" t="e">
        <f ca="1">J334*G334</f>
        <v>#NAME?</v>
      </c>
      <c r="N334" s="257"/>
      <c r="O334" s="38">
        <f t="shared" si="117"/>
        <v>1</v>
      </c>
    </row>
    <row r="335" spans="1:15" ht="24.95" customHeight="1">
      <c r="A335" s="182"/>
      <c r="B335" s="232" t="str">
        <f>"PVC"&amp;IF(RIGHT(B328,LEN(B328)-2)&gt;120,"114","90")</f>
        <v>PVC114</v>
      </c>
      <c r="C335" s="274"/>
      <c r="D335" s="243">
        <f>IF(B335&lt;&gt;"",VLOOKUP(B335,R_DG!$A$7:$G$1305,2,0),"")</f>
        <v>0</v>
      </c>
      <c r="E335" s="253" t="str">
        <f>VLOOKUP(B335,R_DG!$A$7:$G$1305,3,0)</f>
        <v xml:space="preserve">Ống PVC D114x4,9mm </v>
      </c>
      <c r="F335" s="243" t="str">
        <f>VLOOKUP(B335,R_DG!$A$7:$G$1305,4,0)</f>
        <v>m</v>
      </c>
      <c r="G335" s="254">
        <f>G326*8</f>
        <v>8</v>
      </c>
      <c r="H335" s="255">
        <f>VLOOKUP(B335,R_DG!$A$7:$G$1305,5,0)</f>
        <v>103700</v>
      </c>
      <c r="I335" s="255">
        <f>VLOOKUP(B335,R_DG!$A$7:$G$1305,6,0)</f>
        <v>0</v>
      </c>
      <c r="J335" s="255">
        <f>VLOOKUP(B335,R_DG!$A$7:$G$1305,7,0)</f>
        <v>0</v>
      </c>
      <c r="K335" s="256">
        <f t="shared" si="119"/>
        <v>829600</v>
      </c>
      <c r="L335" s="256">
        <f t="shared" si="121"/>
        <v>0</v>
      </c>
      <c r="M335" s="256">
        <f t="shared" si="120"/>
        <v>0</v>
      </c>
      <c r="N335" s="257"/>
      <c r="O335" s="38">
        <f t="shared" si="117"/>
        <v>1</v>
      </c>
    </row>
    <row r="336" spans="1:15" ht="24.95" customHeight="1">
      <c r="A336" s="182"/>
      <c r="B336" s="226" t="str">
        <f>"CD"&amp;RIGHT(B335,LEN(B335)-3)</f>
        <v>CD114</v>
      </c>
      <c r="C336" s="274"/>
      <c r="D336" s="243">
        <f>IF(B336&lt;&gt;"",VLOOKUP(B336,R_DG!$A$7:$G$1305,2,0),"")</f>
        <v>0</v>
      </c>
      <c r="E336" s="253" t="str">
        <f>VLOOKUP(B336,R_DG!$A$7:$G$1305,3,0)</f>
        <v>Collier kẹp ống PVC φ 114</v>
      </c>
      <c r="F336" s="243" t="str">
        <f>VLOOKUP(B336,R_DG!$A$7:$G$1305,4,0)</f>
        <v>bộ</v>
      </c>
      <c r="G336" s="254">
        <f>G326*3</f>
        <v>3</v>
      </c>
      <c r="H336" s="255">
        <f>VLOOKUP(B336,R_DG!$A$7:$G$1305,5,0)</f>
        <v>59000</v>
      </c>
      <c r="I336" s="255">
        <f>VLOOKUP(B336,R_DG!$A$7:$G$1305,6,0)</f>
        <v>0</v>
      </c>
      <c r="J336" s="255">
        <f>VLOOKUP(B336,R_DG!$A$7:$G$1305,7,0)</f>
        <v>0</v>
      </c>
      <c r="K336" s="256">
        <f t="shared" si="119"/>
        <v>177000</v>
      </c>
      <c r="L336" s="255"/>
      <c r="M336" s="256">
        <f t="shared" si="120"/>
        <v>0</v>
      </c>
      <c r="N336" s="257"/>
      <c r="O336" s="38">
        <f t="shared" si="117"/>
        <v>1</v>
      </c>
    </row>
    <row r="337" spans="1:15" ht="24.95" customHeight="1">
      <c r="A337" s="182"/>
      <c r="B337" s="226" t="s">
        <v>2465</v>
      </c>
      <c r="C337" s="274"/>
      <c r="D337" s="243" t="str">
        <f>IF(B337&lt;&gt;"",VLOOKUP(B337,R_DG!$A$7:$G$1305,2,0),"")</f>
        <v>D2.3241</v>
      </c>
      <c r="E337" s="253" t="str">
        <f>VLOOKUP(B337,R_DG!$A$7:$G$1305,3,0)</f>
        <v>Lắp cổ dề</v>
      </c>
      <c r="F337" s="243" t="str">
        <f>VLOOKUP(B337,R_DG!$A$7:$G$1305,4,0)</f>
        <v>bộ</v>
      </c>
      <c r="G337" s="254"/>
      <c r="H337" s="255">
        <f>VLOOKUP(B337,R_DG!$A$7:$G$1305,5,0)</f>
        <v>0</v>
      </c>
      <c r="I337" s="255">
        <f>VLOOKUP(B337,R_DG!$A$7:$G$1305,6,0)</f>
        <v>82929</v>
      </c>
      <c r="J337" s="255">
        <f>VLOOKUP(B337,R_DG!$A$7:$G$1305,7,0)</f>
        <v>0</v>
      </c>
      <c r="K337" s="256">
        <f t="shared" si="119"/>
        <v>0</v>
      </c>
      <c r="L337" s="255"/>
      <c r="M337" s="256">
        <f t="shared" si="120"/>
        <v>0</v>
      </c>
      <c r="N337" s="257"/>
      <c r="O337" s="38">
        <f t="shared" si="117"/>
        <v>0</v>
      </c>
    </row>
    <row r="338" spans="1:15" ht="24.95" customHeight="1">
      <c r="A338" s="182"/>
      <c r="B338" s="226" t="s">
        <v>2190</v>
      </c>
      <c r="C338" s="274"/>
      <c r="D338" s="243">
        <f>IF(B338&lt;&gt;"",VLOOKUP(B338,R_DG!$A$7:$G$1305,2,0),"")</f>
        <v>0</v>
      </c>
      <c r="E338" s="253" t="str">
        <f>VLOOKUP(B338,R_DG!$A$7:$G$1305,3,0)</f>
        <v>Boulon 12x40+ 2 long đền vuông D14-50x50x3/Zn</v>
      </c>
      <c r="F338" s="243" t="str">
        <f>VLOOKUP(B338,R_DG!$A$7:$G$1305,4,0)</f>
        <v>bộ</v>
      </c>
      <c r="G338" s="254"/>
      <c r="H338" s="255">
        <f>VLOOKUP(B338,R_DG!$A$7:$G$1305,5,0)</f>
        <v>3000</v>
      </c>
      <c r="I338" s="255">
        <f>VLOOKUP(B338,R_DG!$A$7:$G$1305,6,0)</f>
        <v>0</v>
      </c>
      <c r="J338" s="255">
        <f>VLOOKUP(B338,R_DG!$A$7:$G$1305,7,0)</f>
        <v>0</v>
      </c>
      <c r="K338" s="256">
        <f t="shared" si="119"/>
        <v>0</v>
      </c>
      <c r="L338" s="255">
        <v>0</v>
      </c>
      <c r="M338" s="256">
        <f t="shared" si="120"/>
        <v>0</v>
      </c>
      <c r="N338" s="257"/>
      <c r="O338" s="38">
        <f t="shared" si="117"/>
        <v>0</v>
      </c>
    </row>
    <row r="339" spans="1:15" ht="24.95" customHeight="1">
      <c r="A339" s="182"/>
      <c r="B339" s="232" t="str">
        <f>"CUT"&amp;RIGHT(B335,LEN(B335)-3)&amp;"t"</f>
        <v>CUT114t</v>
      </c>
      <c r="C339" s="274"/>
      <c r="D339" s="243">
        <f>IF(B339&lt;&gt;"",VLOOKUP(B339,R_DG!$A$7:$G$1305,2,0),"")</f>
        <v>0</v>
      </c>
      <c r="E339" s="253" t="str">
        <f>VLOOKUP(B339,R_DG!$A$7:$G$1305,3,0)</f>
        <v>Co 90 độ PVC 114</v>
      </c>
      <c r="F339" s="243" t="str">
        <f>VLOOKUP(B339,R_DG!$A$7:$G$1305,4,0)</f>
        <v>cái</v>
      </c>
      <c r="G339" s="254">
        <f>G326</f>
        <v>1</v>
      </c>
      <c r="H339" s="255">
        <f>VLOOKUP(B339,R_DG!$A$7:$G$1305,5,0)</f>
        <v>43100</v>
      </c>
      <c r="I339" s="255">
        <f>VLOOKUP(B339,R_DG!$A$7:$G$1305,6,0)</f>
        <v>0</v>
      </c>
      <c r="J339" s="255">
        <f>VLOOKUP(B339,R_DG!$A$7:$G$1305,7,0)</f>
        <v>0</v>
      </c>
      <c r="K339" s="256">
        <f t="shared" si="119"/>
        <v>43100</v>
      </c>
      <c r="L339" s="256">
        <f t="shared" ref="L339:L346" si="122">I339*G339</f>
        <v>0</v>
      </c>
      <c r="M339" s="256">
        <f t="shared" si="120"/>
        <v>0</v>
      </c>
      <c r="N339" s="257"/>
      <c r="O339" s="38">
        <f t="shared" si="117"/>
        <v>1</v>
      </c>
    </row>
    <row r="340" spans="1:15" ht="24.95" customHeight="1">
      <c r="A340" s="182"/>
      <c r="B340" s="232" t="str">
        <f>"CUT"&amp;RIGHT(B336,LEN(B336)-2)&amp;"135"</f>
        <v>CUT114135</v>
      </c>
      <c r="C340" s="274"/>
      <c r="D340" s="243">
        <f>IF(B340&lt;&gt;"",VLOOKUP(B340,R_DG!$A$7:$G$1305,2,0),"")</f>
        <v>0</v>
      </c>
      <c r="E340" s="253" t="str">
        <f>VLOOKUP(B340,R_DG!$A$7:$G$1305,3,0)</f>
        <v>Co 135 độ PVC 114</v>
      </c>
      <c r="F340" s="243" t="str">
        <f>VLOOKUP(B340,R_DG!$A$7:$G$1305,4,0)</f>
        <v>cái</v>
      </c>
      <c r="G340" s="254">
        <f>G326</f>
        <v>1</v>
      </c>
      <c r="H340" s="255">
        <f>VLOOKUP(B340,R_DG!$A$7:$G$1305,5,0)</f>
        <v>43100</v>
      </c>
      <c r="I340" s="255">
        <f>VLOOKUP(B340,R_DG!$A$7:$G$1305,6,0)</f>
        <v>0</v>
      </c>
      <c r="J340" s="255">
        <f>VLOOKUP(B340,R_DG!$A$7:$G$1305,7,0)</f>
        <v>0</v>
      </c>
      <c r="K340" s="256">
        <f>H340*G340</f>
        <v>43100</v>
      </c>
      <c r="L340" s="256">
        <f>I340*G340</f>
        <v>0</v>
      </c>
      <c r="M340" s="256">
        <f>J340*G340</f>
        <v>0</v>
      </c>
      <c r="N340" s="257"/>
      <c r="O340" s="38">
        <f t="shared" si="117"/>
        <v>1</v>
      </c>
    </row>
    <row r="341" spans="1:15" ht="24.95" customHeight="1">
      <c r="A341" s="182"/>
      <c r="B341" s="232" t="str">
        <f>"NPVC"&amp;RIGHT(B335,LEN(B335)-3)</f>
        <v>NPVC114</v>
      </c>
      <c r="C341" s="274"/>
      <c r="D341" s="243">
        <f>IF(B341&lt;&gt;"",VLOOKUP(B341,R_DG!$A$7:$G$1305,2,0),"")</f>
        <v>0</v>
      </c>
      <c r="E341" s="253" t="str">
        <f>VLOOKUP(B341,R_DG!$A$7:$G$1305,3,0)</f>
        <v>Nối ống PVC 114</v>
      </c>
      <c r="F341" s="243" t="str">
        <f>VLOOKUP(B341,R_DG!$A$7:$G$1305,4,0)</f>
        <v>cái</v>
      </c>
      <c r="G341" s="254">
        <f>G326</f>
        <v>1</v>
      </c>
      <c r="H341" s="255">
        <f>VLOOKUP(B341,R_DG!$A$7:$G$1305,5,0)</f>
        <v>27500</v>
      </c>
      <c r="I341" s="255">
        <f>VLOOKUP(B341,R_DG!$A$7:$G$1305,6,0)</f>
        <v>0</v>
      </c>
      <c r="J341" s="255">
        <f>VLOOKUP(B341,R_DG!$A$7:$G$1305,7,0)</f>
        <v>0</v>
      </c>
      <c r="K341" s="256">
        <f t="shared" si="119"/>
        <v>27500</v>
      </c>
      <c r="L341" s="256">
        <f t="shared" si="122"/>
        <v>0</v>
      </c>
      <c r="M341" s="256">
        <f t="shared" si="120"/>
        <v>0</v>
      </c>
      <c r="N341" s="257"/>
      <c r="O341" s="38">
        <f t="shared" si="117"/>
        <v>1</v>
      </c>
    </row>
    <row r="342" spans="1:15" ht="24.95" customHeight="1">
      <c r="A342" s="182"/>
      <c r="B342" s="232" t="s">
        <v>2467</v>
      </c>
      <c r="C342" s="274"/>
      <c r="D342" s="243">
        <f>IF(B342&lt;&gt;"",VLOOKUP(B342,R_DG!$A$7:$G$1305,2,0),"")</f>
        <v>0</v>
      </c>
      <c r="E342" s="253" t="str">
        <f>VLOOKUP(B342,R_DG!$A$7:$G$1305,3,0)</f>
        <v>Keo dán ống PVC (100gr)</v>
      </c>
      <c r="F342" s="243" t="str">
        <f>VLOOKUP(B342,R_DG!$A$7:$G$1305,4,0)</f>
        <v>tuýp</v>
      </c>
      <c r="G342" s="254">
        <f>G326</f>
        <v>1</v>
      </c>
      <c r="H342" s="255">
        <f>VLOOKUP(B342,R_DG!$A$7:$G$1305,5,0)</f>
        <v>11500</v>
      </c>
      <c r="I342" s="255">
        <f>VLOOKUP(B342,R_DG!$A$7:$G$1305,6,0)</f>
        <v>0</v>
      </c>
      <c r="J342" s="255">
        <f>VLOOKUP(B342,R_DG!$A$7:$G$1305,7,0)</f>
        <v>0</v>
      </c>
      <c r="K342" s="256">
        <f t="shared" si="119"/>
        <v>11500</v>
      </c>
      <c r="L342" s="256">
        <f t="shared" si="122"/>
        <v>0</v>
      </c>
      <c r="M342" s="256">
        <f t="shared" si="120"/>
        <v>0</v>
      </c>
      <c r="N342" s="257"/>
      <c r="O342" s="38">
        <f t="shared" si="117"/>
        <v>1</v>
      </c>
    </row>
    <row r="343" spans="1:15" ht="24.95" customHeight="1">
      <c r="A343" s="182"/>
      <c r="B343" s="232" t="s">
        <v>2468</v>
      </c>
      <c r="C343" s="274"/>
      <c r="D343" s="243">
        <f>IF(B343&lt;&gt;"",VLOOKUP(B343,R_DG!$A$7:$G$1305,2,0),"")</f>
        <v>0</v>
      </c>
      <c r="E343" s="253" t="str">
        <f>VLOOKUP(B343,R_DG!$A$7:$G$1305,3,0)</f>
        <v>Keo silicon bít miệng ống</v>
      </c>
      <c r="F343" s="243" t="str">
        <f>VLOOKUP(B343,R_DG!$A$7:$G$1305,4,0)</f>
        <v>ống</v>
      </c>
      <c r="G343" s="254">
        <f>G326</f>
        <v>1</v>
      </c>
      <c r="H343" s="255">
        <f>VLOOKUP(B343,R_DG!$A$7:$G$1305,5,0)</f>
        <v>30000</v>
      </c>
      <c r="I343" s="255">
        <f>VLOOKUP(B343,R_DG!$A$7:$G$1305,6,0)</f>
        <v>0</v>
      </c>
      <c r="J343" s="255">
        <f>VLOOKUP(B343,R_DG!$A$7:$G$1305,7,0)</f>
        <v>0</v>
      </c>
      <c r="K343" s="256">
        <f t="shared" si="119"/>
        <v>30000</v>
      </c>
      <c r="L343" s="256">
        <f t="shared" si="122"/>
        <v>0</v>
      </c>
      <c r="M343" s="256">
        <f t="shared" si="120"/>
        <v>0</v>
      </c>
      <c r="N343" s="257"/>
      <c r="O343" s="38">
        <f t="shared" si="117"/>
        <v>1</v>
      </c>
    </row>
    <row r="344" spans="1:15" ht="24.95" customHeight="1">
      <c r="A344" s="182"/>
      <c r="B344" s="226" t="s">
        <v>1969</v>
      </c>
      <c r="C344" s="274"/>
      <c r="D344" s="243">
        <f>IF(B344&lt;&gt;"",VLOOKUP(B344,R_DG!$A$7:$G$1305,2,0),"")</f>
        <v>0</v>
      </c>
      <c r="E344" s="253" t="str">
        <f>VLOOKUP(B344,R_DG!$A$7:$G$1305,3,0)</f>
        <v>Băng keo cách điện (5m/cuộn)</v>
      </c>
      <c r="F344" s="243" t="str">
        <f>VLOOKUP(B344,R_DG!$A$7:$G$1305,4,0)</f>
        <v>cuộn</v>
      </c>
      <c r="G344" s="254">
        <f>G326*5</f>
        <v>5</v>
      </c>
      <c r="H344" s="255">
        <f>VLOOKUP(B344,R_DG!$A$7:$G$1305,5,0)</f>
        <v>8000</v>
      </c>
      <c r="I344" s="255">
        <f>VLOOKUP(B344,R_DG!$A$7:$G$1305,6,0)</f>
        <v>0</v>
      </c>
      <c r="J344" s="255">
        <f>VLOOKUP(B344,R_DG!$A$7:$G$1305,7,0)</f>
        <v>0</v>
      </c>
      <c r="K344" s="256">
        <f t="shared" si="119"/>
        <v>40000</v>
      </c>
      <c r="L344" s="256">
        <f t="shared" si="122"/>
        <v>0</v>
      </c>
      <c r="M344" s="256">
        <f t="shared" si="120"/>
        <v>0</v>
      </c>
      <c r="N344" s="257"/>
      <c r="O344" s="38">
        <f t="shared" si="117"/>
        <v>1</v>
      </c>
    </row>
    <row r="345" spans="1:15" ht="24.95" customHeight="1">
      <c r="A345" s="182"/>
      <c r="B345" s="232" t="str">
        <f>"lpvc"&amp;RIGHT(B335,LEN(B335)-3)&amp;"cl"</f>
        <v>lpvc114cl</v>
      </c>
      <c r="C345" s="274"/>
      <c r="D345" s="243" t="str">
        <f>IF(B345&lt;&gt;"",VLOOKUP(B345,R_DG!$A$7:$G$1305,2,0),"")</f>
        <v>T4.5202</v>
      </c>
      <c r="E345" s="253" t="str">
        <f>VLOOKUP(B345,R_DG!$A$7:$G$1305,3,0)</f>
        <v>Lắp ống nhựa PVC D114</v>
      </c>
      <c r="F345" s="243" t="str">
        <f>VLOOKUP(B345,R_DG!$A$7:$G$1305,4,0)</f>
        <v>mét</v>
      </c>
      <c r="G345" s="254">
        <f>G335</f>
        <v>8</v>
      </c>
      <c r="H345" s="255">
        <f>VLOOKUP(B345,R_DG!$A$7:$G$1305,5,0)</f>
        <v>0</v>
      </c>
      <c r="I345" s="255">
        <f>VLOOKUP(B345,R_DG!$A$7:$G$1305,6,0)</f>
        <v>63973.8</v>
      </c>
      <c r="J345" s="255">
        <f>VLOOKUP(B345,R_DG!$A$7:$G$1305,7,0)</f>
        <v>0</v>
      </c>
      <c r="K345" s="256">
        <f t="shared" si="119"/>
        <v>0</v>
      </c>
      <c r="L345" s="256">
        <f t="shared" si="122"/>
        <v>511790.4</v>
      </c>
      <c r="M345" s="256">
        <f t="shared" si="120"/>
        <v>0</v>
      </c>
      <c r="N345" s="257"/>
      <c r="O345" s="38">
        <f t="shared" si="117"/>
        <v>1</v>
      </c>
    </row>
    <row r="346" spans="1:15" ht="24.95" customHeight="1">
      <c r="A346" s="182"/>
      <c r="B346" s="226" t="str">
        <f>IF(A4&gt;0,"lcapdongTB"&amp;IF(RIGHT(B328,LEN(B328)-2)*1&gt;150,"240",IF(RIGHT(B328,LEN(B328)-2)*1&gt;95,"150","95")),"NONE")</f>
        <v>lcapdongTB150</v>
      </c>
      <c r="C346" s="274"/>
      <c r="D346" s="243" t="str">
        <f>IF(B346&lt;&gt;"",VLOOKUP(B346,R_DG!$A$7:$G$1305,2,0),"")</f>
        <v>T4.4202</v>
      </c>
      <c r="E346" s="253" t="str">
        <f>VLOOKUP(B346,R_DG!$A$7:$G$1305,3,0)</f>
        <v>Lắp cáp đồng xuống thiết bị D ≤ 150mm2</v>
      </c>
      <c r="F346" s="243" t="str">
        <f>VLOOKUP(B346,R_DG!$A$7:$G$1305,4,0)</f>
        <v>m</v>
      </c>
      <c r="G346" s="254">
        <f>G328+G329</f>
        <v>37</v>
      </c>
      <c r="H346" s="255">
        <f>VLOOKUP(B346,R_DG!$A$7:$G$1305,5,0)</f>
        <v>0</v>
      </c>
      <c r="I346" s="255">
        <f>VLOOKUP(B346,R_DG!$A$7:$G$1305,6,0)</f>
        <v>28432.799999999999</v>
      </c>
      <c r="J346" s="255">
        <f>VLOOKUP(B346,R_DG!$A$7:$G$1305,7,0)</f>
        <v>0</v>
      </c>
      <c r="K346" s="256">
        <f t="shared" si="119"/>
        <v>0</v>
      </c>
      <c r="L346" s="256">
        <f t="shared" si="122"/>
        <v>1052013.5999999999</v>
      </c>
      <c r="M346" s="256">
        <f t="shared" si="120"/>
        <v>0</v>
      </c>
      <c r="N346" s="257"/>
      <c r="O346" s="38">
        <f t="shared" si="117"/>
        <v>1</v>
      </c>
    </row>
    <row r="347" spans="1:15" ht="24.95" customHeight="1">
      <c r="A347" s="182" t="s">
        <v>2484</v>
      </c>
      <c r="B347" s="232"/>
      <c r="C347" s="275">
        <f>IF(G347&gt;0,COUNTIF($C$17:C346,"&gt;0")+1,0)</f>
        <v>0</v>
      </c>
      <c r="D347" s="275" t="str">
        <f>IF(B347&lt;&gt;"",VLOOKUP(B347,R_DG!$A$7:$G$1305,2,0),"")</f>
        <v/>
      </c>
      <c r="E347" s="275" t="s">
        <v>2516</v>
      </c>
      <c r="F347" s="275" t="s">
        <v>163</v>
      </c>
      <c r="G347" s="275">
        <f>IF(B4=1,1,0)</f>
        <v>0</v>
      </c>
      <c r="H347" s="275"/>
      <c r="I347" s="275"/>
      <c r="J347" s="275"/>
      <c r="K347" s="275">
        <f t="shared" si="119"/>
        <v>0</v>
      </c>
      <c r="L347" s="275">
        <f t="shared" si="121"/>
        <v>0</v>
      </c>
      <c r="M347" s="275">
        <f t="shared" si="120"/>
        <v>0</v>
      </c>
      <c r="N347" s="276"/>
      <c r="O347" s="38">
        <f t="shared" si="117"/>
        <v>0</v>
      </c>
    </row>
    <row r="348" spans="1:15" ht="24.95" customHeight="1">
      <c r="A348" s="182"/>
      <c r="B348" s="232"/>
      <c r="C348" s="273"/>
      <c r="D348" s="243" t="str">
        <f>IF(B348&lt;&gt;"",VLOOKUP(B348,R_DG!$A$7:$G$1305,2,0),"")</f>
        <v/>
      </c>
      <c r="E348" s="77" t="s">
        <v>2432</v>
      </c>
      <c r="F348" s="273"/>
      <c r="G348" s="273"/>
      <c r="H348" s="256"/>
      <c r="I348" s="256"/>
      <c r="J348" s="255"/>
      <c r="K348" s="256">
        <f t="shared" si="119"/>
        <v>0</v>
      </c>
      <c r="L348" s="256">
        <f t="shared" si="121"/>
        <v>0</v>
      </c>
      <c r="M348" s="256">
        <f t="shared" si="120"/>
        <v>0</v>
      </c>
      <c r="N348" s="257"/>
      <c r="O348" s="38">
        <f t="shared" si="117"/>
        <v>0</v>
      </c>
    </row>
    <row r="349" spans="1:15" ht="24.95" customHeight="1">
      <c r="A349" s="182"/>
      <c r="B349" s="232" t="str">
        <f>IF(A4&gt;0,"CV"&amp;VLOOKUP(A2,TBA,IF(A5*1=1,10,12),0),"NONE")</f>
        <v>CV150</v>
      </c>
      <c r="C349" s="273"/>
      <c r="D349" s="243">
        <f>IF(B349&lt;&gt;"",VLOOKUP(B349,R_DG!$A$7:$G$1305,2,0),"")</f>
        <v>0</v>
      </c>
      <c r="E349" s="253" t="str">
        <f>VLOOKUP(B349,R_DG!$A$7:$G$1305,3,0)</f>
        <v>Cáp đồng bọc CV150</v>
      </c>
      <c r="F349" s="243" t="str">
        <f>VLOOKUP(B349,R_DG!$A$7:$G$1305,4,0)</f>
        <v>mét</v>
      </c>
      <c r="G349" s="404">
        <f>G347*IF(A4&gt;0,VLOOKUP(A2,TBA,IF(A5*1=1,11,13),0),0)*9*IF(A5*1=1,1,2)</f>
        <v>0</v>
      </c>
      <c r="H349" s="255">
        <f>VLOOKUP(B349,R_DG!$A$7:$G$1305,5,0)</f>
        <v>281900</v>
      </c>
      <c r="I349" s="255">
        <f>VLOOKUP(B349,R_DG!$A$7:$G$1305,6,0)</f>
        <v>0</v>
      </c>
      <c r="J349" s="255">
        <f>VLOOKUP(B349,R_DG!$A$7:$G$1305,7,0)</f>
        <v>0</v>
      </c>
      <c r="K349" s="256">
        <f t="shared" si="119"/>
        <v>0</v>
      </c>
      <c r="L349" s="256">
        <f t="shared" si="121"/>
        <v>0</v>
      </c>
      <c r="M349" s="256">
        <f t="shared" si="120"/>
        <v>0</v>
      </c>
      <c r="N349" s="257"/>
      <c r="O349" s="38">
        <f t="shared" si="117"/>
        <v>0</v>
      </c>
    </row>
    <row r="350" spans="1:15" ht="24.95" customHeight="1">
      <c r="A350" s="182"/>
      <c r="B350" s="232" t="e">
        <f ca="1">IF(B349="NONE","NONE","CV"&amp;Selectdown(RIGHT(B349,LEN(B349)-2),SETTING!$AF$25:$AF$33))</f>
        <v>#NAME?</v>
      </c>
      <c r="C350" s="273"/>
      <c r="D350" s="243" t="e">
        <f ca="1">IF(B350&lt;&gt;"",VLOOKUP(B350,R_DG!$A$7:$G$1305,2,0),"")</f>
        <v>#NAME?</v>
      </c>
      <c r="E350" s="253" t="e">
        <f ca="1">VLOOKUP(B350,R_DG!$A$7:$G$1305,3,0)</f>
        <v>#NAME?</v>
      </c>
      <c r="F350" s="243" t="e">
        <f ca="1">VLOOKUP(B350,R_DG!$A$7:$G$1305,4,0)</f>
        <v>#NAME?</v>
      </c>
      <c r="G350" s="404">
        <f>G347*IF(A4&gt;0,VLOOKUP(A2,TBA,IF(A5*1=1,11,13),0),0)*10</f>
        <v>0</v>
      </c>
      <c r="H350" s="255" t="e">
        <f ca="1">VLOOKUP(B350,R_DG!$A$7:$G$1305,5,0)</f>
        <v>#NAME?</v>
      </c>
      <c r="I350" s="255" t="e">
        <f ca="1">VLOOKUP(B350,R_DG!$A$7:$G$1305,6,0)</f>
        <v>#NAME?</v>
      </c>
      <c r="J350" s="255" t="e">
        <f ca="1">VLOOKUP(B350,R_DG!$A$7:$G$1305,7,0)</f>
        <v>#NAME?</v>
      </c>
      <c r="K350" s="256" t="e">
        <f ca="1">H350*G350</f>
        <v>#NAME?</v>
      </c>
      <c r="L350" s="256" t="e">
        <f ca="1">I350*G350</f>
        <v>#NAME?</v>
      </c>
      <c r="M350" s="256" t="e">
        <f ca="1">J350*G350</f>
        <v>#NAME?</v>
      </c>
      <c r="N350" s="257"/>
      <c r="O350" s="38">
        <f t="shared" ref="O350:O378" si="123">IF(SUM(G350:G350)&gt;0,1,0)</f>
        <v>0</v>
      </c>
    </row>
    <row r="351" spans="1:15" ht="24.95" customHeight="1">
      <c r="A351" s="182"/>
      <c r="B351" s="232" t="s">
        <v>2463</v>
      </c>
      <c r="C351" s="273"/>
      <c r="D351" s="243">
        <f>IF(B351&lt;&gt;"",VLOOKUP(B351,R_DG!$A$7:$G$1305,2,0),"")</f>
        <v>0</v>
      </c>
      <c r="E351" s="253" t="str">
        <f>VLOOKUP(B351,R_DG!$A$7:$G$1305,3,0)</f>
        <v xml:space="preserve">Cáp CVV 4x2,5mm2 </v>
      </c>
      <c r="F351" s="243" t="str">
        <f>VLOOKUP(B351,R_DG!$A$7:$G$1305,4,0)</f>
        <v>mét</v>
      </c>
      <c r="G351" s="254"/>
      <c r="H351" s="255">
        <f>VLOOKUP(B351,R_DG!$A$7:$G$1305,5,0)</f>
        <v>30000</v>
      </c>
      <c r="I351" s="255">
        <f>VLOOKUP(B351,R_DG!$A$7:$G$1305,6,0)</f>
        <v>0</v>
      </c>
      <c r="J351" s="255">
        <f>VLOOKUP(B351,R_DG!$A$7:$G$1305,7,0)</f>
        <v>0</v>
      </c>
      <c r="K351" s="256">
        <f t="shared" si="119"/>
        <v>0</v>
      </c>
      <c r="L351" s="256">
        <f t="shared" si="121"/>
        <v>0</v>
      </c>
      <c r="M351" s="256">
        <f t="shared" si="120"/>
        <v>0</v>
      </c>
      <c r="N351" s="257"/>
      <c r="O351" s="38">
        <f t="shared" si="123"/>
        <v>0</v>
      </c>
    </row>
    <row r="352" spans="1:15" ht="24.95" customHeight="1">
      <c r="A352" s="182"/>
      <c r="B352" s="232" t="str">
        <f>IF(A4&gt;0,"Cos"&amp;RIGHT(B349,LEN(B349)-2),"NONE")</f>
        <v>Cos150</v>
      </c>
      <c r="C352" s="274"/>
      <c r="D352" s="243">
        <f>IF(B352&lt;&gt;"",VLOOKUP(B352,R_DG!$A$7:$G$1305,2,0),"")</f>
        <v>0</v>
      </c>
      <c r="E352" s="253" t="str">
        <f>VLOOKUP(B352,R_DG!$A$7:$G$1305,3,0)</f>
        <v>Đầu cosse ép Cu 150mm2</v>
      </c>
      <c r="F352" s="243" t="str">
        <f>VLOOKUP(B352,R_DG!$A$7:$G$1305,4,0)</f>
        <v>cái</v>
      </c>
      <c r="G352" s="254">
        <f>G347*2</f>
        <v>0</v>
      </c>
      <c r="H352" s="255">
        <f>VLOOKUP(B352,R_DG!$A$7:$G$1305,5,0)</f>
        <v>36000</v>
      </c>
      <c r="I352" s="255">
        <f>VLOOKUP(B352,R_DG!$A$7:$G$1305,6,0)</f>
        <v>0</v>
      </c>
      <c r="J352" s="255">
        <f>VLOOKUP(B352,R_DG!$A$7:$G$1305,7,0)</f>
        <v>0</v>
      </c>
      <c r="K352" s="256">
        <f t="shared" si="119"/>
        <v>0</v>
      </c>
      <c r="L352" s="256">
        <f t="shared" si="121"/>
        <v>0</v>
      </c>
      <c r="M352" s="256">
        <f t="shared" si="120"/>
        <v>0</v>
      </c>
      <c r="N352" s="257"/>
      <c r="O352" s="38">
        <f t="shared" si="123"/>
        <v>0</v>
      </c>
    </row>
    <row r="353" spans="1:15" ht="24.95" customHeight="1">
      <c r="A353" s="182"/>
      <c r="B353" s="232" t="e">
        <f ca="1">IF(A4&gt;0,"Cos"&amp;RIGHT(B350,LEN(B350)-2),"NONE")</f>
        <v>#NAME?</v>
      </c>
      <c r="C353" s="274"/>
      <c r="D353" s="243" t="e">
        <f ca="1">IF(B353&lt;&gt;"",VLOOKUP(B353,R_DG!$A$7:$G$1305,2,0),"")</f>
        <v>#NAME?</v>
      </c>
      <c r="E353" s="253" t="e">
        <f ca="1">VLOOKUP(B353,R_DG!$A$7:$G$1305,3,0)</f>
        <v>#NAME?</v>
      </c>
      <c r="F353" s="243" t="e">
        <f ca="1">VLOOKUP(B353,R_DG!$A$7:$G$1305,4,0)</f>
        <v>#NAME?</v>
      </c>
      <c r="G353" s="254">
        <f>G347*1</f>
        <v>0</v>
      </c>
      <c r="H353" s="255" t="e">
        <f ca="1">VLOOKUP(B353,R_DG!$A$7:$G$1305,5,0)</f>
        <v>#NAME?</v>
      </c>
      <c r="I353" s="255" t="e">
        <f ca="1">VLOOKUP(B353,R_DG!$A$7:$G$1305,6,0)</f>
        <v>#NAME?</v>
      </c>
      <c r="J353" s="255" t="e">
        <f ca="1">VLOOKUP(B353,R_DG!$A$7:$G$1305,7,0)</f>
        <v>#NAME?</v>
      </c>
      <c r="K353" s="256" t="e">
        <f ca="1">H353*G353</f>
        <v>#NAME?</v>
      </c>
      <c r="L353" s="256" t="e">
        <f ca="1">I353*G353</f>
        <v>#NAME?</v>
      </c>
      <c r="M353" s="256" t="e">
        <f ca="1">J353*G353</f>
        <v>#NAME?</v>
      </c>
      <c r="N353" s="257"/>
      <c r="O353" s="38">
        <f t="shared" si="123"/>
        <v>0</v>
      </c>
    </row>
    <row r="354" spans="1:15" ht="24.95" customHeight="1">
      <c r="A354" s="182"/>
      <c r="B354" s="232" t="str">
        <f>IF(A4&gt;0,"chCos"&amp;RIGHT(B349,LEN(B349)-2),"NONE")</f>
        <v>chCos150</v>
      </c>
      <c r="C354" s="274"/>
      <c r="D354" s="243">
        <f>IF(B354&lt;&gt;"",VLOOKUP(B354,R_DG!$A$7:$G$1305,2,0),"")</f>
        <v>0</v>
      </c>
      <c r="E354" s="253" t="str">
        <f>VLOOKUP(B354,R_DG!$A$7:$G$1305,3,0)</f>
        <v>Chụp đầu cosse 150mm2</v>
      </c>
      <c r="F354" s="243" t="str">
        <f>VLOOKUP(B354,R_DG!$A$7:$G$1305,4,0)</f>
        <v>cái</v>
      </c>
      <c r="G354" s="254">
        <f>G352</f>
        <v>0</v>
      </c>
      <c r="H354" s="255">
        <f>VLOOKUP(B354,R_DG!$A$7:$G$1305,5,0)</f>
        <v>4600</v>
      </c>
      <c r="I354" s="255">
        <f>VLOOKUP(B354,R_DG!$A$7:$G$1305,6,0)</f>
        <v>0</v>
      </c>
      <c r="J354" s="255">
        <f>VLOOKUP(B354,R_DG!$A$7:$G$1305,7,0)</f>
        <v>0</v>
      </c>
      <c r="K354" s="256">
        <f t="shared" si="119"/>
        <v>0</v>
      </c>
      <c r="L354" s="256">
        <f t="shared" si="121"/>
        <v>0</v>
      </c>
      <c r="M354" s="256">
        <f t="shared" si="120"/>
        <v>0</v>
      </c>
      <c r="N354" s="257"/>
      <c r="O354" s="38">
        <f t="shared" si="123"/>
        <v>0</v>
      </c>
    </row>
    <row r="355" spans="1:15" ht="24.95" customHeight="1">
      <c r="A355" s="182"/>
      <c r="B355" s="232" t="e">
        <f ca="1">IF(A4&gt;0,"chCos"&amp;RIGHT(B350,LEN(B350)-2),"NONE")</f>
        <v>#NAME?</v>
      </c>
      <c r="C355" s="274"/>
      <c r="D355" s="243" t="e">
        <f ca="1">IF(B355&lt;&gt;"",VLOOKUP(B355,R_DG!$A$7:$G$1305,2,0),"")</f>
        <v>#NAME?</v>
      </c>
      <c r="E355" s="253" t="e">
        <f ca="1">VLOOKUP(B355,R_DG!$A$7:$G$1305,3,0)</f>
        <v>#NAME?</v>
      </c>
      <c r="F355" s="243" t="e">
        <f ca="1">VLOOKUP(B355,R_DG!$A$7:$G$1305,4,0)</f>
        <v>#NAME?</v>
      </c>
      <c r="G355" s="254">
        <f>G353</f>
        <v>0</v>
      </c>
      <c r="H355" s="255" t="e">
        <f ca="1">VLOOKUP(B355,R_DG!$A$7:$G$1305,5,0)</f>
        <v>#NAME?</v>
      </c>
      <c r="I355" s="255" t="e">
        <f ca="1">VLOOKUP(B355,R_DG!$A$7:$G$1305,6,0)</f>
        <v>#NAME?</v>
      </c>
      <c r="J355" s="255" t="e">
        <f ca="1">VLOOKUP(B355,R_DG!$A$7:$G$1305,7,0)</f>
        <v>#NAME?</v>
      </c>
      <c r="K355" s="256" t="e">
        <f ca="1">H355*G355</f>
        <v>#NAME?</v>
      </c>
      <c r="L355" s="256" t="e">
        <f ca="1">I355*G355</f>
        <v>#NAME?</v>
      </c>
      <c r="M355" s="256" t="e">
        <f ca="1">J355*G355</f>
        <v>#NAME?</v>
      </c>
      <c r="N355" s="257"/>
      <c r="O355" s="38">
        <f t="shared" si="123"/>
        <v>0</v>
      </c>
    </row>
    <row r="356" spans="1:15" ht="24.95" customHeight="1">
      <c r="A356" s="182"/>
      <c r="B356" s="232" t="str">
        <f>"PVC"&amp;IF(RIGHT(B349,LEN(B349)-2)&gt;120,"114","90")</f>
        <v>PVC114</v>
      </c>
      <c r="C356" s="274"/>
      <c r="D356" s="243">
        <f>IF(B356&lt;&gt;"",VLOOKUP(B356,R_DG!$A$7:$G$1305,2,0),"")</f>
        <v>0</v>
      </c>
      <c r="E356" s="253" t="str">
        <f>VLOOKUP(B356,R_DG!$A$7:$G$1305,3,0)</f>
        <v xml:space="preserve">Ống PVC D114x4,9mm </v>
      </c>
      <c r="F356" s="243" t="str">
        <f>VLOOKUP(B356,R_DG!$A$7:$G$1305,4,0)</f>
        <v>m</v>
      </c>
      <c r="G356" s="254">
        <f>G347*8</f>
        <v>0</v>
      </c>
      <c r="H356" s="255">
        <f>VLOOKUP(B356,R_DG!$A$7:$G$1305,5,0)</f>
        <v>103700</v>
      </c>
      <c r="I356" s="255">
        <f>VLOOKUP(B356,R_DG!$A$7:$G$1305,6,0)</f>
        <v>0</v>
      </c>
      <c r="J356" s="255">
        <f>VLOOKUP(B356,R_DG!$A$7:$G$1305,7,0)</f>
        <v>0</v>
      </c>
      <c r="K356" s="256">
        <f t="shared" si="119"/>
        <v>0</v>
      </c>
      <c r="L356" s="256">
        <f t="shared" si="121"/>
        <v>0</v>
      </c>
      <c r="M356" s="256">
        <f t="shared" si="120"/>
        <v>0</v>
      </c>
      <c r="N356" s="257"/>
      <c r="O356" s="38">
        <f t="shared" si="123"/>
        <v>0</v>
      </c>
    </row>
    <row r="357" spans="1:15" ht="24.95" customHeight="1">
      <c r="A357" s="182"/>
      <c r="B357" s="226" t="str">
        <f>"CD"&amp;RIGHT(B356,LEN(B356)-3)</f>
        <v>CD114</v>
      </c>
      <c r="C357" s="274"/>
      <c r="D357" s="243">
        <f>IF(B357&lt;&gt;"",VLOOKUP(B357,R_DG!$A$7:$G$1305,2,0),"")</f>
        <v>0</v>
      </c>
      <c r="E357" s="253" t="str">
        <f>VLOOKUP(B357,R_DG!$A$7:$G$1305,3,0)</f>
        <v>Collier kẹp ống PVC φ 114</v>
      </c>
      <c r="F357" s="243" t="str">
        <f>VLOOKUP(B357,R_DG!$A$7:$G$1305,4,0)</f>
        <v>bộ</v>
      </c>
      <c r="G357" s="254">
        <f>G347*3</f>
        <v>0</v>
      </c>
      <c r="H357" s="255">
        <f>VLOOKUP(B357,R_DG!$A$7:$G$1305,5,0)</f>
        <v>59000</v>
      </c>
      <c r="I357" s="255">
        <f>VLOOKUP(B357,R_DG!$A$7:$G$1305,6,0)</f>
        <v>0</v>
      </c>
      <c r="J357" s="255">
        <f>VLOOKUP(B357,R_DG!$A$7:$G$1305,7,0)</f>
        <v>0</v>
      </c>
      <c r="K357" s="256">
        <f t="shared" si="119"/>
        <v>0</v>
      </c>
      <c r="L357" s="255"/>
      <c r="M357" s="256">
        <f t="shared" si="120"/>
        <v>0</v>
      </c>
      <c r="N357" s="257"/>
      <c r="O357" s="38">
        <f t="shared" si="123"/>
        <v>0</v>
      </c>
    </row>
    <row r="358" spans="1:15" ht="24.95" customHeight="1">
      <c r="A358" s="182"/>
      <c r="B358" s="226" t="s">
        <v>2465</v>
      </c>
      <c r="C358" s="274"/>
      <c r="D358" s="243" t="str">
        <f>IF(B358&lt;&gt;"",VLOOKUP(B358,R_DG!$A$7:$G$1305,2,0),"")</f>
        <v>D2.3241</v>
      </c>
      <c r="E358" s="253" t="str">
        <f>VLOOKUP(B358,R_DG!$A$7:$G$1305,3,0)</f>
        <v>Lắp cổ dề</v>
      </c>
      <c r="F358" s="243" t="str">
        <f>VLOOKUP(B358,R_DG!$A$7:$G$1305,4,0)</f>
        <v>bộ</v>
      </c>
      <c r="G358" s="254"/>
      <c r="H358" s="255">
        <f>VLOOKUP(B358,R_DG!$A$7:$G$1305,5,0)</f>
        <v>0</v>
      </c>
      <c r="I358" s="255">
        <f>VLOOKUP(B358,R_DG!$A$7:$G$1305,6,0)</f>
        <v>82929</v>
      </c>
      <c r="J358" s="255">
        <f>VLOOKUP(B358,R_DG!$A$7:$G$1305,7,0)</f>
        <v>0</v>
      </c>
      <c r="K358" s="256">
        <f t="shared" si="119"/>
        <v>0</v>
      </c>
      <c r="L358" s="255"/>
      <c r="M358" s="256">
        <f t="shared" si="120"/>
        <v>0</v>
      </c>
      <c r="N358" s="257"/>
      <c r="O358" s="38">
        <f t="shared" si="123"/>
        <v>0</v>
      </c>
    </row>
    <row r="359" spans="1:15" ht="24.95" customHeight="1">
      <c r="A359" s="182"/>
      <c r="B359" s="226" t="s">
        <v>2190</v>
      </c>
      <c r="C359" s="274"/>
      <c r="D359" s="243">
        <f>IF(B359&lt;&gt;"",VLOOKUP(B359,R_DG!$A$7:$G$1305,2,0),"")</f>
        <v>0</v>
      </c>
      <c r="E359" s="253" t="str">
        <f>VLOOKUP(B359,R_DG!$A$7:$G$1305,3,0)</f>
        <v>Boulon 12x40+ 2 long đền vuông D14-50x50x3/Zn</v>
      </c>
      <c r="F359" s="243" t="str">
        <f>VLOOKUP(B359,R_DG!$A$7:$G$1305,4,0)</f>
        <v>bộ</v>
      </c>
      <c r="G359" s="254"/>
      <c r="H359" s="255">
        <f>VLOOKUP(B359,R_DG!$A$7:$G$1305,5,0)</f>
        <v>3000</v>
      </c>
      <c r="I359" s="255">
        <f>VLOOKUP(B359,R_DG!$A$7:$G$1305,6,0)</f>
        <v>0</v>
      </c>
      <c r="J359" s="255">
        <f>VLOOKUP(B359,R_DG!$A$7:$G$1305,7,0)</f>
        <v>0</v>
      </c>
      <c r="K359" s="256">
        <f t="shared" si="119"/>
        <v>0</v>
      </c>
      <c r="L359" s="255">
        <v>0</v>
      </c>
      <c r="M359" s="256">
        <f t="shared" si="120"/>
        <v>0</v>
      </c>
      <c r="N359" s="257"/>
      <c r="O359" s="38">
        <f t="shared" si="123"/>
        <v>0</v>
      </c>
    </row>
    <row r="360" spans="1:15" ht="24.95" customHeight="1">
      <c r="A360" s="182"/>
      <c r="B360" s="232" t="str">
        <f>"CUT"&amp;RIGHT(B356,LEN(B356)-3)&amp;"t"</f>
        <v>CUT114t</v>
      </c>
      <c r="C360" s="274"/>
      <c r="D360" s="243">
        <f>IF(B360&lt;&gt;"",VLOOKUP(B360,R_DG!$A$7:$G$1305,2,0),"")</f>
        <v>0</v>
      </c>
      <c r="E360" s="253" t="str">
        <f>VLOOKUP(B360,R_DG!$A$7:$G$1305,3,0)</f>
        <v>Co 90 độ PVC 114</v>
      </c>
      <c r="F360" s="243" t="str">
        <f>VLOOKUP(B360,R_DG!$A$7:$G$1305,4,0)</f>
        <v>cái</v>
      </c>
      <c r="G360" s="254">
        <f>G347*3</f>
        <v>0</v>
      </c>
      <c r="H360" s="255">
        <f>VLOOKUP(B360,R_DG!$A$7:$G$1305,5,0)</f>
        <v>43100</v>
      </c>
      <c r="I360" s="255">
        <f>VLOOKUP(B360,R_DG!$A$7:$G$1305,6,0)</f>
        <v>0</v>
      </c>
      <c r="J360" s="255">
        <f>VLOOKUP(B360,R_DG!$A$7:$G$1305,7,0)</f>
        <v>0</v>
      </c>
      <c r="K360" s="256">
        <f t="shared" si="119"/>
        <v>0</v>
      </c>
      <c r="L360" s="256">
        <f t="shared" ref="L360:L389" si="124">I360*G360</f>
        <v>0</v>
      </c>
      <c r="M360" s="256">
        <f t="shared" si="120"/>
        <v>0</v>
      </c>
      <c r="N360" s="257"/>
      <c r="O360" s="38">
        <f t="shared" si="123"/>
        <v>0</v>
      </c>
    </row>
    <row r="361" spans="1:15" ht="24.95" customHeight="1">
      <c r="A361" s="182"/>
      <c r="B361" s="232" t="str">
        <f>"CUT"&amp;RIGHT(B357,LEN(B357)-2)&amp;"135"</f>
        <v>CUT114135</v>
      </c>
      <c r="C361" s="274"/>
      <c r="D361" s="243">
        <f>IF(B361&lt;&gt;"",VLOOKUP(B361,R_DG!$A$7:$G$1305,2,0),"")</f>
        <v>0</v>
      </c>
      <c r="E361" s="253" t="str">
        <f>VLOOKUP(B361,R_DG!$A$7:$G$1305,3,0)</f>
        <v>Co 135 độ PVC 114</v>
      </c>
      <c r="F361" s="243" t="str">
        <f>VLOOKUP(B361,R_DG!$A$7:$G$1305,4,0)</f>
        <v>cái</v>
      </c>
      <c r="G361" s="254">
        <f>G347</f>
        <v>0</v>
      </c>
      <c r="H361" s="255">
        <f>VLOOKUP(B361,R_DG!$A$7:$G$1305,5,0)</f>
        <v>43100</v>
      </c>
      <c r="I361" s="255">
        <f>VLOOKUP(B361,R_DG!$A$7:$G$1305,6,0)</f>
        <v>0</v>
      </c>
      <c r="J361" s="255">
        <f>VLOOKUP(B361,R_DG!$A$7:$G$1305,7,0)</f>
        <v>0</v>
      </c>
      <c r="K361" s="256">
        <f>H361*G361</f>
        <v>0</v>
      </c>
      <c r="L361" s="256">
        <f>I361*G361</f>
        <v>0</v>
      </c>
      <c r="M361" s="256">
        <f>J361*G361</f>
        <v>0</v>
      </c>
      <c r="N361" s="257"/>
      <c r="O361" s="38">
        <f t="shared" si="123"/>
        <v>0</v>
      </c>
    </row>
    <row r="362" spans="1:15" ht="24.95" customHeight="1">
      <c r="A362" s="182"/>
      <c r="B362" s="232" t="str">
        <f>"NPVC"&amp;RIGHT(B356,LEN(B356)-3)</f>
        <v>NPVC114</v>
      </c>
      <c r="C362" s="274"/>
      <c r="D362" s="243">
        <f>IF(B362&lt;&gt;"",VLOOKUP(B362,R_DG!$A$7:$G$1305,2,0),"")</f>
        <v>0</v>
      </c>
      <c r="E362" s="253" t="str">
        <f>VLOOKUP(B362,R_DG!$A$7:$G$1305,3,0)</f>
        <v>Nối ống PVC 114</v>
      </c>
      <c r="F362" s="243" t="str">
        <f>VLOOKUP(B362,R_DG!$A$7:$G$1305,4,0)</f>
        <v>cái</v>
      </c>
      <c r="G362" s="254">
        <f>G347</f>
        <v>0</v>
      </c>
      <c r="H362" s="255">
        <f>VLOOKUP(B362,R_DG!$A$7:$G$1305,5,0)</f>
        <v>27500</v>
      </c>
      <c r="I362" s="255">
        <f>VLOOKUP(B362,R_DG!$A$7:$G$1305,6,0)</f>
        <v>0</v>
      </c>
      <c r="J362" s="255">
        <f>VLOOKUP(B362,R_DG!$A$7:$G$1305,7,0)</f>
        <v>0</v>
      </c>
      <c r="K362" s="256">
        <f t="shared" ref="K362:K389" si="125">H362*G362</f>
        <v>0</v>
      </c>
      <c r="L362" s="256">
        <f t="shared" si="124"/>
        <v>0</v>
      </c>
      <c r="M362" s="256">
        <f t="shared" ref="M362:M389" si="126">J362*G362</f>
        <v>0</v>
      </c>
      <c r="N362" s="257"/>
      <c r="O362" s="38">
        <f t="shared" si="123"/>
        <v>0</v>
      </c>
    </row>
    <row r="363" spans="1:15" ht="24.95" customHeight="1">
      <c r="A363" s="182"/>
      <c r="B363" s="232" t="s">
        <v>2467</v>
      </c>
      <c r="C363" s="274"/>
      <c r="D363" s="243">
        <f>IF(B363&lt;&gt;"",VLOOKUP(B363,R_DG!$A$7:$G$1305,2,0),"")</f>
        <v>0</v>
      </c>
      <c r="E363" s="253" t="str">
        <f>VLOOKUP(B363,R_DG!$A$7:$G$1305,3,0)</f>
        <v>Keo dán ống PVC (100gr)</v>
      </c>
      <c r="F363" s="243" t="str">
        <f>VLOOKUP(B363,R_DG!$A$7:$G$1305,4,0)</f>
        <v>tuýp</v>
      </c>
      <c r="G363" s="254">
        <f>G347</f>
        <v>0</v>
      </c>
      <c r="H363" s="255">
        <f>VLOOKUP(B363,R_DG!$A$7:$G$1305,5,0)</f>
        <v>11500</v>
      </c>
      <c r="I363" s="255">
        <f>VLOOKUP(B363,R_DG!$A$7:$G$1305,6,0)</f>
        <v>0</v>
      </c>
      <c r="J363" s="255">
        <f>VLOOKUP(B363,R_DG!$A$7:$G$1305,7,0)</f>
        <v>0</v>
      </c>
      <c r="K363" s="256">
        <f t="shared" si="125"/>
        <v>0</v>
      </c>
      <c r="L363" s="256">
        <f t="shared" si="124"/>
        <v>0</v>
      </c>
      <c r="M363" s="256">
        <f t="shared" si="126"/>
        <v>0</v>
      </c>
      <c r="N363" s="257"/>
      <c r="O363" s="38">
        <f t="shared" si="123"/>
        <v>0</v>
      </c>
    </row>
    <row r="364" spans="1:15" ht="24.95" customHeight="1">
      <c r="A364" s="182"/>
      <c r="B364" s="232" t="s">
        <v>2468</v>
      </c>
      <c r="C364" s="274"/>
      <c r="D364" s="243">
        <f>IF(B364&lt;&gt;"",VLOOKUP(B364,R_DG!$A$7:$G$1305,2,0),"")</f>
        <v>0</v>
      </c>
      <c r="E364" s="253" t="str">
        <f>VLOOKUP(B364,R_DG!$A$7:$G$1305,3,0)</f>
        <v>Keo silicon bít miệng ống</v>
      </c>
      <c r="F364" s="243" t="str">
        <f>VLOOKUP(B364,R_DG!$A$7:$G$1305,4,0)</f>
        <v>ống</v>
      </c>
      <c r="G364" s="254">
        <f>G347</f>
        <v>0</v>
      </c>
      <c r="H364" s="255">
        <f>VLOOKUP(B364,R_DG!$A$7:$G$1305,5,0)</f>
        <v>30000</v>
      </c>
      <c r="I364" s="255">
        <f>VLOOKUP(B364,R_DG!$A$7:$G$1305,6,0)</f>
        <v>0</v>
      </c>
      <c r="J364" s="255">
        <f>VLOOKUP(B364,R_DG!$A$7:$G$1305,7,0)</f>
        <v>0</v>
      </c>
      <c r="K364" s="256">
        <f t="shared" si="125"/>
        <v>0</v>
      </c>
      <c r="L364" s="256">
        <f t="shared" si="124"/>
        <v>0</v>
      </c>
      <c r="M364" s="256">
        <f t="shared" si="126"/>
        <v>0</v>
      </c>
      <c r="N364" s="257"/>
      <c r="O364" s="38">
        <f t="shared" si="123"/>
        <v>0</v>
      </c>
    </row>
    <row r="365" spans="1:15" ht="24.95" customHeight="1">
      <c r="A365" s="182"/>
      <c r="B365" s="226" t="s">
        <v>1969</v>
      </c>
      <c r="C365" s="274"/>
      <c r="D365" s="243">
        <f>IF(B365&lt;&gt;"",VLOOKUP(B365,R_DG!$A$7:$G$1305,2,0),"")</f>
        <v>0</v>
      </c>
      <c r="E365" s="253" t="str">
        <f>VLOOKUP(B365,R_DG!$A$7:$G$1305,3,0)</f>
        <v>Băng keo cách điện (5m/cuộn)</v>
      </c>
      <c r="F365" s="243" t="str">
        <f>VLOOKUP(B365,R_DG!$A$7:$G$1305,4,0)</f>
        <v>cuộn</v>
      </c>
      <c r="G365" s="254">
        <f>G347</f>
        <v>0</v>
      </c>
      <c r="H365" s="255">
        <f>VLOOKUP(B365,R_DG!$A$7:$G$1305,5,0)</f>
        <v>8000</v>
      </c>
      <c r="I365" s="255">
        <f>VLOOKUP(B365,R_DG!$A$7:$G$1305,6,0)</f>
        <v>0</v>
      </c>
      <c r="J365" s="255">
        <f>VLOOKUP(B365,R_DG!$A$7:$G$1305,7,0)</f>
        <v>0</v>
      </c>
      <c r="K365" s="256">
        <f t="shared" si="125"/>
        <v>0</v>
      </c>
      <c r="L365" s="256">
        <f t="shared" si="124"/>
        <v>0</v>
      </c>
      <c r="M365" s="256">
        <f t="shared" si="126"/>
        <v>0</v>
      </c>
      <c r="N365" s="257"/>
      <c r="O365" s="38">
        <f t="shared" si="123"/>
        <v>0</v>
      </c>
    </row>
    <row r="366" spans="1:15" ht="24.95" customHeight="1">
      <c r="A366" s="182"/>
      <c r="B366" s="232" t="str">
        <f>"lpvc"&amp;RIGHT(B356,LEN(B356)-3)&amp;"cl"</f>
        <v>lpvc114cl</v>
      </c>
      <c r="C366" s="274"/>
      <c r="D366" s="243" t="str">
        <f>IF(B366&lt;&gt;"",VLOOKUP(B366,R_DG!$A$7:$G$1305,2,0),"")</f>
        <v>T4.5202</v>
      </c>
      <c r="E366" s="253" t="str">
        <f>VLOOKUP(B366,R_DG!$A$7:$G$1305,3,0)</f>
        <v>Lắp ống nhựa PVC D114</v>
      </c>
      <c r="F366" s="243" t="str">
        <f>VLOOKUP(B366,R_DG!$A$7:$G$1305,4,0)</f>
        <v>mét</v>
      </c>
      <c r="G366" s="254">
        <f>G356</f>
        <v>0</v>
      </c>
      <c r="H366" s="255">
        <f>VLOOKUP(B366,R_DG!$A$7:$G$1305,5,0)</f>
        <v>0</v>
      </c>
      <c r="I366" s="255">
        <f>VLOOKUP(B366,R_DG!$A$7:$G$1305,6,0)</f>
        <v>63973.8</v>
      </c>
      <c r="J366" s="255">
        <f>VLOOKUP(B366,R_DG!$A$7:$G$1305,7,0)</f>
        <v>0</v>
      </c>
      <c r="K366" s="256">
        <f t="shared" si="125"/>
        <v>0</v>
      </c>
      <c r="L366" s="256">
        <f t="shared" si="124"/>
        <v>0</v>
      </c>
      <c r="M366" s="256">
        <f t="shared" si="126"/>
        <v>0</v>
      </c>
      <c r="N366" s="257"/>
      <c r="O366" s="38">
        <f t="shared" si="123"/>
        <v>0</v>
      </c>
    </row>
    <row r="367" spans="1:15" ht="24.95" customHeight="1">
      <c r="A367" s="182"/>
      <c r="B367" s="226" t="str">
        <f>IF(A4&gt;0,"lcapdongTB"&amp;IF(RIGHT(B349,LEN(B349)-2)*1&gt;150,"240",IF(RIGHT(B349,LEN(B349)-2)*1&gt;95,"150","95")),"NONE")</f>
        <v>lcapdongTB150</v>
      </c>
      <c r="C367" s="274"/>
      <c r="D367" s="243" t="str">
        <f>IF(B367&lt;&gt;"",VLOOKUP(B367,R_DG!$A$7:$G$1305,2,0),"")</f>
        <v>T4.4202</v>
      </c>
      <c r="E367" s="253" t="str">
        <f>VLOOKUP(B367,R_DG!$A$7:$G$1305,3,0)</f>
        <v>Lắp cáp đồng xuống thiết bị D ≤ 150mm2</v>
      </c>
      <c r="F367" s="243" t="str">
        <f>VLOOKUP(B367,R_DG!$A$7:$G$1305,4,0)</f>
        <v>m</v>
      </c>
      <c r="G367" s="254">
        <f>G349+G350</f>
        <v>0</v>
      </c>
      <c r="H367" s="255">
        <f>VLOOKUP(B367,R_DG!$A$7:$G$1305,5,0)</f>
        <v>0</v>
      </c>
      <c r="I367" s="255">
        <f>VLOOKUP(B367,R_DG!$A$7:$G$1305,6,0)</f>
        <v>28432.799999999999</v>
      </c>
      <c r="J367" s="255">
        <f>VLOOKUP(B367,R_DG!$A$7:$G$1305,7,0)</f>
        <v>0</v>
      </c>
      <c r="K367" s="256">
        <f t="shared" si="125"/>
        <v>0</v>
      </c>
      <c r="L367" s="256">
        <f t="shared" si="124"/>
        <v>0</v>
      </c>
      <c r="M367" s="256">
        <f t="shared" si="126"/>
        <v>0</v>
      </c>
      <c r="N367" s="257"/>
      <c r="O367" s="38">
        <f t="shared" si="123"/>
        <v>0</v>
      </c>
    </row>
    <row r="368" spans="1:15" ht="24.95" customHeight="1">
      <c r="A368" s="182" t="s">
        <v>2517</v>
      </c>
      <c r="B368" s="232"/>
      <c r="C368" s="275">
        <f>IF(G368&gt;0,COUNTIF($C$17:C367,"&gt;0")+1,0)</f>
        <v>12</v>
      </c>
      <c r="D368" s="275" t="str">
        <f>IF(B368&lt;&gt;"",VLOOKUP(B368,R_DG!$A$7:$G$1305,2,0),"")</f>
        <v/>
      </c>
      <c r="E368" s="275" t="s">
        <v>2518</v>
      </c>
      <c r="F368" s="275" t="s">
        <v>163</v>
      </c>
      <c r="G368" s="275">
        <f>IF(B4=3,1,0)</f>
        <v>1</v>
      </c>
      <c r="H368" s="275"/>
      <c r="I368" s="275"/>
      <c r="J368" s="275"/>
      <c r="K368" s="275">
        <f t="shared" si="125"/>
        <v>0</v>
      </c>
      <c r="L368" s="275">
        <f t="shared" si="124"/>
        <v>0</v>
      </c>
      <c r="M368" s="275">
        <f t="shared" si="126"/>
        <v>0</v>
      </c>
      <c r="N368" s="276"/>
      <c r="O368" s="38">
        <f t="shared" si="123"/>
        <v>1</v>
      </c>
    </row>
    <row r="369" spans="1:15" ht="24.95" customHeight="1">
      <c r="A369" s="182"/>
      <c r="B369" s="232"/>
      <c r="C369" s="273"/>
      <c r="D369" s="243" t="str">
        <f>IF(B369&lt;&gt;"",VLOOKUP(B369,R_DG!$A$7:$G$1305,2,0),"")</f>
        <v/>
      </c>
      <c r="E369" s="77" t="s">
        <v>2432</v>
      </c>
      <c r="F369" s="273"/>
      <c r="G369" s="273"/>
      <c r="H369" s="256"/>
      <c r="I369" s="256"/>
      <c r="J369" s="255"/>
      <c r="K369" s="256">
        <f t="shared" si="125"/>
        <v>0</v>
      </c>
      <c r="L369" s="256">
        <f t="shared" si="124"/>
        <v>0</v>
      </c>
      <c r="M369" s="256">
        <f t="shared" si="126"/>
        <v>0</v>
      </c>
      <c r="N369" s="257"/>
      <c r="O369" s="38">
        <f t="shared" si="123"/>
        <v>0</v>
      </c>
    </row>
    <row r="370" spans="1:15" ht="24.95" customHeight="1">
      <c r="A370" s="182"/>
      <c r="B370" s="232" t="str">
        <f>IF(A$4&gt;0,"CV"&amp;VLOOKUP(A$2,TBA,IF(A$5*1=1,10,12),0),"NONE")</f>
        <v>CV150</v>
      </c>
      <c r="C370" s="273"/>
      <c r="D370" s="243">
        <f>IF(B370&lt;&gt;"",VLOOKUP(B370,R_DG!$A$7:$G$1305,2,0),"")</f>
        <v>0</v>
      </c>
      <c r="E370" s="253" t="str">
        <f>VLOOKUP(B370,R_DG!$A$7:$G$1305,3,0)</f>
        <v>Cáp đồng bọc CV150</v>
      </c>
      <c r="F370" s="243" t="str">
        <f>VLOOKUP(B370,R_DG!$A$7:$G$1305,4,0)</f>
        <v>mét</v>
      </c>
      <c r="G370" s="404">
        <f>G368*IF(A4&gt;0,VLOOKUP(A2,TBA,IF(A5*1=1,11,13),0),0)*9*3</f>
        <v>27</v>
      </c>
      <c r="H370" s="255">
        <f>VLOOKUP(B370,R_DG!$A$7:$G$1305,5,0)</f>
        <v>281900</v>
      </c>
      <c r="I370" s="255">
        <f>VLOOKUP(B370,R_DG!$A$7:$G$1305,6,0)</f>
        <v>0</v>
      </c>
      <c r="J370" s="255">
        <f>VLOOKUP(B370,R_DG!$A$7:$G$1305,7,0)</f>
        <v>0</v>
      </c>
      <c r="K370" s="256">
        <f t="shared" si="125"/>
        <v>7611300</v>
      </c>
      <c r="L370" s="256">
        <f t="shared" si="124"/>
        <v>0</v>
      </c>
      <c r="M370" s="256">
        <f t="shared" si="126"/>
        <v>0</v>
      </c>
      <c r="N370" s="257"/>
      <c r="O370" s="38">
        <f t="shared" si="123"/>
        <v>1</v>
      </c>
    </row>
    <row r="371" spans="1:15" ht="24.95" customHeight="1">
      <c r="A371" s="182"/>
      <c r="B371" s="232" t="e">
        <f ca="1">IF(B370="NONE","NONE","CV"&amp;Selectdown(RIGHT(B370,LEN(B370)-2),SETTING!$AF$25:$AF$33))</f>
        <v>#NAME?</v>
      </c>
      <c r="C371" s="273"/>
      <c r="D371" s="243" t="e">
        <f ca="1">IF(B371&lt;&gt;"",VLOOKUP(B371,R_DG!$A$7:$G$1305,2,0),"")</f>
        <v>#NAME?</v>
      </c>
      <c r="E371" s="253" t="e">
        <f ca="1">VLOOKUP(B371,R_DG!$A$7:$G$1305,3,0)</f>
        <v>#NAME?</v>
      </c>
      <c r="F371" s="243" t="e">
        <f ca="1">VLOOKUP(B371,R_DG!$A$7:$G$1305,4,0)</f>
        <v>#NAME?</v>
      </c>
      <c r="G371" s="404">
        <f>IF(A4&gt;0,VLOOKUP(A2,TBA,IF(A5*1=1,11,13),0),0)*10*G368</f>
        <v>10</v>
      </c>
      <c r="H371" s="255" t="e">
        <f ca="1">VLOOKUP(B371,R_DG!$A$7:$G$1305,5,0)</f>
        <v>#NAME?</v>
      </c>
      <c r="I371" s="255" t="e">
        <f ca="1">VLOOKUP(B371,R_DG!$A$7:$G$1305,6,0)</f>
        <v>#NAME?</v>
      </c>
      <c r="J371" s="255" t="e">
        <f ca="1">VLOOKUP(B371,R_DG!$A$7:$G$1305,7,0)</f>
        <v>#NAME?</v>
      </c>
      <c r="K371" s="256" t="e">
        <f t="shared" ca="1" si="125"/>
        <v>#NAME?</v>
      </c>
      <c r="L371" s="256" t="e">
        <f t="shared" ca="1" si="124"/>
        <v>#NAME?</v>
      </c>
      <c r="M371" s="256" t="e">
        <f t="shared" ca="1" si="126"/>
        <v>#NAME?</v>
      </c>
      <c r="N371" s="257"/>
      <c r="O371" s="38">
        <f t="shared" si="123"/>
        <v>1</v>
      </c>
    </row>
    <row r="372" spans="1:15" s="370" customFormat="1" ht="24.95" customHeight="1">
      <c r="A372" s="397"/>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ref="K372" si="127">H372*G372</f>
        <v>0</v>
      </c>
      <c r="L372" s="406">
        <f t="shared" ref="L372" si="128">I372*G372</f>
        <v>0</v>
      </c>
      <c r="M372" s="406">
        <f t="shared" ref="M372" si="129">J372*G372</f>
        <v>0</v>
      </c>
      <c r="N372" s="407"/>
      <c r="O372" s="371"/>
    </row>
    <row r="373" spans="1:15" ht="24.95" customHeight="1">
      <c r="A373" s="182"/>
      <c r="B373" s="232" t="str">
        <f>IF(A4&gt;0,"Cos"&amp;RIGHT(B370,LEN(B370)-2),"NONE")</f>
        <v>Cos150</v>
      </c>
      <c r="C373" s="274"/>
      <c r="D373" s="243">
        <f>IF(B373&lt;&gt;"",VLOOKUP(B373,R_DG!$A$7:$G$1305,2,0),"")</f>
        <v>0</v>
      </c>
      <c r="E373" s="253" t="str">
        <f>VLOOKUP(B373,R_DG!$A$7:$G$1305,3,0)</f>
        <v>Đầu cosse ép Cu 150mm2</v>
      </c>
      <c r="F373" s="243" t="str">
        <f>VLOOKUP(B373,R_DG!$A$7:$G$1305,4,0)</f>
        <v>cái</v>
      </c>
      <c r="G373" s="254"/>
      <c r="H373" s="255">
        <f>VLOOKUP(B373,R_DG!$A$7:$G$1305,5,0)</f>
        <v>36000</v>
      </c>
      <c r="I373" s="255">
        <f>VLOOKUP(B373,R_DG!$A$7:$G$1305,6,0)</f>
        <v>0</v>
      </c>
      <c r="J373" s="255">
        <f>VLOOKUP(B373,R_DG!$A$7:$G$1305,7,0)</f>
        <v>0</v>
      </c>
      <c r="K373" s="256">
        <f t="shared" si="125"/>
        <v>0</v>
      </c>
      <c r="L373" s="256">
        <f t="shared" si="124"/>
        <v>0</v>
      </c>
      <c r="M373" s="256">
        <f t="shared" si="126"/>
        <v>0</v>
      </c>
      <c r="N373" s="257"/>
      <c r="O373" s="38">
        <f t="shared" si="123"/>
        <v>0</v>
      </c>
    </row>
    <row r="374" spans="1:15" ht="24.95" customHeight="1">
      <c r="A374" s="182"/>
      <c r="B374" s="232" t="e">
        <f ca="1">IF(A4&gt;0,"Cos"&amp;RIGHT(B371,LEN(B371)-2),"NONE")</f>
        <v>#NAME?</v>
      </c>
      <c r="C374" s="274"/>
      <c r="D374" s="243" t="e">
        <f ca="1">IF(B374&lt;&gt;"",VLOOKUP(B374,R_DG!$A$7:$G$1305,2,0),"")</f>
        <v>#NAME?</v>
      </c>
      <c r="E374" s="253" t="e">
        <f ca="1">VLOOKUP(B374,R_DG!$A$7:$G$1305,3,0)</f>
        <v>#NAME?</v>
      </c>
      <c r="F374" s="243" t="e">
        <f ca="1">VLOOKUP(B374,R_DG!$A$7:$G$1305,4,0)</f>
        <v>#NAME?</v>
      </c>
      <c r="G374" s="254">
        <f>G368*3</f>
        <v>3</v>
      </c>
      <c r="H374" s="255" t="e">
        <f ca="1">VLOOKUP(B374,R_DG!$A$7:$G$1305,5,0)</f>
        <v>#NAME?</v>
      </c>
      <c r="I374" s="255" t="e">
        <f ca="1">VLOOKUP(B374,R_DG!$A$7:$G$1305,6,0)</f>
        <v>#NAME?</v>
      </c>
      <c r="J374" s="255" t="e">
        <f ca="1">VLOOKUP(B374,R_DG!$A$7:$G$1305,7,0)</f>
        <v>#NAME?</v>
      </c>
      <c r="K374" s="256" t="e">
        <f ca="1">H374*G374</f>
        <v>#NAME?</v>
      </c>
      <c r="L374" s="256" t="e">
        <f ca="1">I374*G374</f>
        <v>#NAME?</v>
      </c>
      <c r="M374" s="256" t="e">
        <f ca="1">J374*G374</f>
        <v>#NAME?</v>
      </c>
      <c r="N374" s="257"/>
      <c r="O374" s="38">
        <f t="shared" si="123"/>
        <v>1</v>
      </c>
    </row>
    <row r="375" spans="1:15" ht="24.95" customHeight="1">
      <c r="A375" s="182"/>
      <c r="B375" s="232" t="str">
        <f>IF(A4&gt;0,"chCos"&amp;RIGHT(B370,LEN(B370)-2),"NONE")</f>
        <v>chCos150</v>
      </c>
      <c r="C375" s="274"/>
      <c r="D375" s="243">
        <f>IF(B375&lt;&gt;"",VLOOKUP(B375,R_DG!$A$7:$G$1305,2,0),"")</f>
        <v>0</v>
      </c>
      <c r="E375" s="253" t="str">
        <f>VLOOKUP(B375,R_DG!$A$7:$G$1305,3,0)</f>
        <v>Chụp đầu cosse 150mm2</v>
      </c>
      <c r="F375" s="243" t="str">
        <f>VLOOKUP(B375,R_DG!$A$7:$G$1305,4,0)</f>
        <v>cái</v>
      </c>
      <c r="G375" s="254">
        <f>G368*1</f>
        <v>1</v>
      </c>
      <c r="H375" s="255">
        <f>VLOOKUP(B375,R_DG!$A$7:$G$1305,5,0)</f>
        <v>4600</v>
      </c>
      <c r="I375" s="255">
        <f>VLOOKUP(B375,R_DG!$A$7:$G$1305,6,0)</f>
        <v>0</v>
      </c>
      <c r="J375" s="255">
        <f>VLOOKUP(B375,R_DG!$A$7:$G$1305,7,0)</f>
        <v>0</v>
      </c>
      <c r="K375" s="256">
        <f t="shared" si="125"/>
        <v>4600</v>
      </c>
      <c r="L375" s="256">
        <f t="shared" si="124"/>
        <v>0</v>
      </c>
      <c r="M375" s="256">
        <f t="shared" si="126"/>
        <v>0</v>
      </c>
      <c r="N375" s="257"/>
      <c r="O375" s="38">
        <f t="shared" si="123"/>
        <v>1</v>
      </c>
    </row>
    <row r="376" spans="1:15" ht="24.95" customHeight="1">
      <c r="A376" s="182"/>
      <c r="B376" s="232" t="e">
        <f ca="1">IF(A4&gt;0,"chCos"&amp;RIGHT(B371,LEN(B371)-2),"NONE")</f>
        <v>#NAME?</v>
      </c>
      <c r="C376" s="274"/>
      <c r="D376" s="243" t="e">
        <f ca="1">IF(B376&lt;&gt;"",VLOOKUP(B376,R_DG!$A$7:$G$1305,2,0),"")</f>
        <v>#NAME?</v>
      </c>
      <c r="E376" s="253" t="e">
        <f ca="1">VLOOKUP(B376,R_DG!$A$7:$G$1305,3,0)</f>
        <v>#NAME?</v>
      </c>
      <c r="F376" s="243" t="e">
        <f ca="1">VLOOKUP(B376,R_DG!$A$7:$G$1305,4,0)</f>
        <v>#NAME?</v>
      </c>
      <c r="G376" s="254">
        <f>G374</f>
        <v>3</v>
      </c>
      <c r="H376" s="255" t="e">
        <f ca="1">VLOOKUP(B376,R_DG!$A$7:$G$1305,5,0)</f>
        <v>#NAME?</v>
      </c>
      <c r="I376" s="255" t="e">
        <f ca="1">VLOOKUP(B376,R_DG!$A$7:$G$1305,6,0)</f>
        <v>#NAME?</v>
      </c>
      <c r="J376" s="255" t="e">
        <f ca="1">VLOOKUP(B376,R_DG!$A$7:$G$1305,7,0)</f>
        <v>#NAME?</v>
      </c>
      <c r="K376" s="256" t="e">
        <f ca="1">H376*G376</f>
        <v>#NAME?</v>
      </c>
      <c r="L376" s="256" t="e">
        <f ca="1">I376*G376</f>
        <v>#NAME?</v>
      </c>
      <c r="M376" s="256" t="e">
        <f ca="1">J376*G376</f>
        <v>#NAME?</v>
      </c>
      <c r="N376" s="257"/>
      <c r="O376" s="38">
        <f t="shared" si="123"/>
        <v>1</v>
      </c>
    </row>
    <row r="377" spans="1:15" ht="24.95" customHeight="1">
      <c r="A377" s="182"/>
      <c r="B377" s="232" t="str">
        <f>"PVC"&amp;IF(RIGHT(B370,LEN(B370)-2)&gt;120,"114","90")</f>
        <v>PVC114</v>
      </c>
      <c r="C377" s="274"/>
      <c r="D377" s="243">
        <f>IF(B377&lt;&gt;"",VLOOKUP(B377,R_DG!$A$7:$G$1305,2,0),"")</f>
        <v>0</v>
      </c>
      <c r="E377" s="253" t="str">
        <f>VLOOKUP(B377,R_DG!$A$7:$G$1305,3,0)</f>
        <v xml:space="preserve">Ống PVC D114x4,9mm </v>
      </c>
      <c r="F377" s="243" t="str">
        <f>VLOOKUP(B377,R_DG!$A$7:$G$1305,4,0)</f>
        <v>m</v>
      </c>
      <c r="G377" s="254">
        <f>G368*8</f>
        <v>8</v>
      </c>
      <c r="H377" s="255">
        <f>VLOOKUP(B377,R_DG!$A$7:$G$1305,5,0)</f>
        <v>103700</v>
      </c>
      <c r="I377" s="255">
        <f>VLOOKUP(B377,R_DG!$A$7:$G$1305,6,0)</f>
        <v>0</v>
      </c>
      <c r="J377" s="255">
        <f>VLOOKUP(B377,R_DG!$A$7:$G$1305,7,0)</f>
        <v>0</v>
      </c>
      <c r="K377" s="256">
        <f t="shared" si="125"/>
        <v>829600</v>
      </c>
      <c r="L377" s="256">
        <f t="shared" si="124"/>
        <v>0</v>
      </c>
      <c r="M377" s="256">
        <f t="shared" si="126"/>
        <v>0</v>
      </c>
      <c r="N377" s="257"/>
      <c r="O377" s="38">
        <f t="shared" si="123"/>
        <v>1</v>
      </c>
    </row>
    <row r="378" spans="1:15" ht="24.95" customHeight="1">
      <c r="A378" s="182"/>
      <c r="B378" s="226" t="str">
        <f>"CD"&amp;RIGHT(B377,LEN(B377)-3)</f>
        <v>CD114</v>
      </c>
      <c r="C378" s="274"/>
      <c r="D378" s="243">
        <f>IF(B378&lt;&gt;"",VLOOKUP(B378,R_DG!$A$7:$G$1305,2,0),"")</f>
        <v>0</v>
      </c>
      <c r="E378" s="253" t="str">
        <f>VLOOKUP(B378,R_DG!$A$7:$G$1305,3,0)</f>
        <v>Collier kẹp ống PVC φ 114</v>
      </c>
      <c r="F378" s="243" t="str">
        <f>VLOOKUP(B378,R_DG!$A$7:$G$1305,4,0)</f>
        <v>bộ</v>
      </c>
      <c r="G378" s="254">
        <f>G368*3</f>
        <v>3</v>
      </c>
      <c r="H378" s="255">
        <f>VLOOKUP(B378,R_DG!$A$7:$G$1305,5,0)</f>
        <v>59000</v>
      </c>
      <c r="I378" s="255">
        <f>VLOOKUP(B378,R_DG!$A$7:$G$1305,6,0)</f>
        <v>0</v>
      </c>
      <c r="J378" s="255">
        <f>VLOOKUP(B378,R_DG!$A$7:$G$1305,7,0)</f>
        <v>0</v>
      </c>
      <c r="K378" s="256">
        <f t="shared" si="125"/>
        <v>177000</v>
      </c>
      <c r="L378" s="255"/>
      <c r="M378" s="256">
        <f t="shared" si="126"/>
        <v>0</v>
      </c>
      <c r="N378" s="257"/>
      <c r="O378" s="38">
        <f t="shared" si="123"/>
        <v>1</v>
      </c>
    </row>
    <row r="379" spans="1:15" ht="24.95" customHeight="1">
      <c r="A379" s="182"/>
      <c r="B379" s="226" t="s">
        <v>2465</v>
      </c>
      <c r="C379" s="274"/>
      <c r="D379" s="243" t="str">
        <f>IF(B379&lt;&gt;"",VLOOKUP(B379,R_DG!$A$7:$G$1305,2,0),"")</f>
        <v>D2.3241</v>
      </c>
      <c r="E379" s="253" t="str">
        <f>VLOOKUP(B379,R_DG!$A$7:$G$1305,3,0)</f>
        <v>Lắp cổ dề</v>
      </c>
      <c r="F379" s="243" t="str">
        <f>VLOOKUP(B379,R_DG!$A$7:$G$1305,4,0)</f>
        <v>bộ</v>
      </c>
      <c r="G379" s="254"/>
      <c r="H379" s="255">
        <f>VLOOKUP(B379,R_DG!$A$7:$G$1305,5,0)</f>
        <v>0</v>
      </c>
      <c r="I379" s="255">
        <f>VLOOKUP(B379,R_DG!$A$7:$G$1305,6,0)</f>
        <v>82929</v>
      </c>
      <c r="J379" s="255">
        <f>VLOOKUP(B379,R_DG!$A$7:$G$1305,7,0)</f>
        <v>0</v>
      </c>
      <c r="K379" s="256">
        <f t="shared" si="125"/>
        <v>0</v>
      </c>
      <c r="L379" s="255"/>
      <c r="M379" s="256">
        <f t="shared" si="126"/>
        <v>0</v>
      </c>
      <c r="N379" s="257"/>
      <c r="O379" s="38">
        <f t="shared" ref="O379:O389" si="130">IF(G379&gt;0,1,0)</f>
        <v>0</v>
      </c>
    </row>
    <row r="380" spans="1:15" ht="24.95" customHeight="1">
      <c r="A380" s="182"/>
      <c r="B380" s="226" t="s">
        <v>2190</v>
      </c>
      <c r="C380" s="274"/>
      <c r="D380" s="243">
        <f>IF(B380&lt;&gt;"",VLOOKUP(B380,R_DG!$A$7:$G$1305,2,0),"")</f>
        <v>0</v>
      </c>
      <c r="E380" s="253" t="str">
        <f>VLOOKUP(B380,R_DG!$A$7:$G$1305,3,0)</f>
        <v>Boulon 12x40+ 2 long đền vuông D14-50x50x3/Zn</v>
      </c>
      <c r="F380" s="243" t="str">
        <f>VLOOKUP(B380,R_DG!$A$7:$G$1305,4,0)</f>
        <v>bộ</v>
      </c>
      <c r="G380" s="254"/>
      <c r="H380" s="255">
        <f>VLOOKUP(B380,R_DG!$A$7:$G$1305,5,0)</f>
        <v>3000</v>
      </c>
      <c r="I380" s="255">
        <f>VLOOKUP(B380,R_DG!$A$7:$G$1305,6,0)</f>
        <v>0</v>
      </c>
      <c r="J380" s="255">
        <f>VLOOKUP(B380,R_DG!$A$7:$G$1305,7,0)</f>
        <v>0</v>
      </c>
      <c r="K380" s="256">
        <f t="shared" si="125"/>
        <v>0</v>
      </c>
      <c r="L380" s="255">
        <v>0</v>
      </c>
      <c r="M380" s="256">
        <f t="shared" si="126"/>
        <v>0</v>
      </c>
      <c r="N380" s="257"/>
      <c r="O380" s="38">
        <f t="shared" si="130"/>
        <v>0</v>
      </c>
    </row>
    <row r="381" spans="1:15" ht="24.95" customHeight="1">
      <c r="A381" s="182"/>
      <c r="B381" s="232" t="str">
        <f>"CUT"&amp;RIGHT(B377,LEN(B377)-3)&amp;"t"</f>
        <v>CUT114t</v>
      </c>
      <c r="C381" s="274"/>
      <c r="D381" s="243">
        <f>IF(B381&lt;&gt;"",VLOOKUP(B381,R_DG!$A$7:$G$1305,2,0),"")</f>
        <v>0</v>
      </c>
      <c r="E381" s="253" t="str">
        <f>VLOOKUP(B381,R_DG!$A$7:$G$1305,3,0)</f>
        <v>Co 90 độ PVC 114</v>
      </c>
      <c r="F381" s="243" t="str">
        <f>VLOOKUP(B381,R_DG!$A$7:$G$1305,4,0)</f>
        <v>cái</v>
      </c>
      <c r="G381" s="254">
        <f>G368*3</f>
        <v>3</v>
      </c>
      <c r="H381" s="255">
        <f>VLOOKUP(B381,R_DG!$A$7:$G$1305,5,0)</f>
        <v>43100</v>
      </c>
      <c r="I381" s="255">
        <f>VLOOKUP(B381,R_DG!$A$7:$G$1305,6,0)</f>
        <v>0</v>
      </c>
      <c r="J381" s="255">
        <f>VLOOKUP(B381,R_DG!$A$7:$G$1305,7,0)</f>
        <v>0</v>
      </c>
      <c r="K381" s="256">
        <f t="shared" si="125"/>
        <v>129300</v>
      </c>
      <c r="L381" s="256">
        <f t="shared" ref="L381:L388" si="131">I381*G381</f>
        <v>0</v>
      </c>
      <c r="M381" s="256">
        <f t="shared" si="126"/>
        <v>0</v>
      </c>
      <c r="N381" s="257"/>
      <c r="O381" s="38">
        <f t="shared" si="130"/>
        <v>1</v>
      </c>
    </row>
    <row r="382" spans="1:15" ht="24.95" customHeight="1">
      <c r="A382" s="182"/>
      <c r="B382" s="232" t="str">
        <f>"CUT"&amp;RIGHT(B378,LEN(B378)-2)&amp;"135"</f>
        <v>CUT114135</v>
      </c>
      <c r="C382" s="274"/>
      <c r="D382" s="243">
        <f>IF(B382&lt;&gt;"",VLOOKUP(B382,R_DG!$A$7:$G$1305,2,0),"")</f>
        <v>0</v>
      </c>
      <c r="E382" s="253" t="str">
        <f>VLOOKUP(B382,R_DG!$A$7:$G$1305,3,0)</f>
        <v>Co 135 độ PVC 114</v>
      </c>
      <c r="F382" s="243" t="str">
        <f>VLOOKUP(B382,R_DG!$A$7:$G$1305,4,0)</f>
        <v>cái</v>
      </c>
      <c r="G382" s="254">
        <f>G368</f>
        <v>1</v>
      </c>
      <c r="H382" s="255">
        <f>VLOOKUP(B382,R_DG!$A$7:$G$1305,5,0)</f>
        <v>43100</v>
      </c>
      <c r="I382" s="255">
        <f>VLOOKUP(B382,R_DG!$A$7:$G$1305,6,0)</f>
        <v>0</v>
      </c>
      <c r="J382" s="255">
        <f>VLOOKUP(B382,R_DG!$A$7:$G$1305,7,0)</f>
        <v>0</v>
      </c>
      <c r="K382" s="256">
        <f>H382*G382</f>
        <v>43100</v>
      </c>
      <c r="L382" s="256">
        <f>I382*G382</f>
        <v>0</v>
      </c>
      <c r="M382" s="256">
        <f>J382*G382</f>
        <v>0</v>
      </c>
      <c r="N382" s="257"/>
      <c r="O382" s="38">
        <f t="shared" si="130"/>
        <v>1</v>
      </c>
    </row>
    <row r="383" spans="1:15" ht="24.95" customHeight="1">
      <c r="A383" s="182"/>
      <c r="B383" s="232" t="str">
        <f>"NPVC"&amp;RIGHT(B377,LEN(B377)-3)</f>
        <v>NPVC114</v>
      </c>
      <c r="C383" s="274"/>
      <c r="D383" s="243">
        <f>IF(B383&lt;&gt;"",VLOOKUP(B383,R_DG!$A$7:$G$1305,2,0),"")</f>
        <v>0</v>
      </c>
      <c r="E383" s="253" t="str">
        <f>VLOOKUP(B383,R_DG!$A$7:$G$1305,3,0)</f>
        <v>Nối ống PVC 114</v>
      </c>
      <c r="F383" s="243" t="str">
        <f>VLOOKUP(B383,R_DG!$A$7:$G$1305,4,0)</f>
        <v>cái</v>
      </c>
      <c r="G383" s="254">
        <f>G368</f>
        <v>1</v>
      </c>
      <c r="H383" s="255">
        <f>VLOOKUP(B383,R_DG!$A$7:$G$1305,5,0)</f>
        <v>27500</v>
      </c>
      <c r="I383" s="255">
        <f>VLOOKUP(B383,R_DG!$A$7:$G$1305,6,0)</f>
        <v>0</v>
      </c>
      <c r="J383" s="255">
        <f>VLOOKUP(B383,R_DG!$A$7:$G$1305,7,0)</f>
        <v>0</v>
      </c>
      <c r="K383" s="256">
        <f t="shared" ref="K383:K388" si="132">H383*G383</f>
        <v>27500</v>
      </c>
      <c r="L383" s="256">
        <f t="shared" si="131"/>
        <v>0</v>
      </c>
      <c r="M383" s="256">
        <f t="shared" ref="M383:M388" si="133">J383*G383</f>
        <v>0</v>
      </c>
      <c r="N383" s="257"/>
      <c r="O383" s="38">
        <f t="shared" si="130"/>
        <v>1</v>
      </c>
    </row>
    <row r="384" spans="1:15" ht="24.95" customHeight="1">
      <c r="A384" s="182"/>
      <c r="B384" s="232" t="s">
        <v>2467</v>
      </c>
      <c r="C384" s="274"/>
      <c r="D384" s="243">
        <f>IF(B384&lt;&gt;"",VLOOKUP(B384,R_DG!$A$7:$G$1305,2,0),"")</f>
        <v>0</v>
      </c>
      <c r="E384" s="253" t="str">
        <f>VLOOKUP(B384,R_DG!$A$7:$G$1305,3,0)</f>
        <v>Keo dán ống PVC (100gr)</v>
      </c>
      <c r="F384" s="243" t="str">
        <f>VLOOKUP(B384,R_DG!$A$7:$G$1305,4,0)</f>
        <v>tuýp</v>
      </c>
      <c r="G384" s="254">
        <f>G368</f>
        <v>1</v>
      </c>
      <c r="H384" s="255">
        <f>VLOOKUP(B384,R_DG!$A$7:$G$1305,5,0)</f>
        <v>11500</v>
      </c>
      <c r="I384" s="255">
        <f>VLOOKUP(B384,R_DG!$A$7:$G$1305,6,0)</f>
        <v>0</v>
      </c>
      <c r="J384" s="255">
        <f>VLOOKUP(B384,R_DG!$A$7:$G$1305,7,0)</f>
        <v>0</v>
      </c>
      <c r="K384" s="256">
        <f t="shared" si="132"/>
        <v>11500</v>
      </c>
      <c r="L384" s="256">
        <f t="shared" si="131"/>
        <v>0</v>
      </c>
      <c r="M384" s="256">
        <f t="shared" si="133"/>
        <v>0</v>
      </c>
      <c r="N384" s="257"/>
      <c r="O384" s="38">
        <f t="shared" si="130"/>
        <v>1</v>
      </c>
    </row>
    <row r="385" spans="1:15" ht="24.95" customHeight="1">
      <c r="A385" s="182"/>
      <c r="B385" s="232" t="s">
        <v>2468</v>
      </c>
      <c r="C385" s="274"/>
      <c r="D385" s="243">
        <f>IF(B385&lt;&gt;"",VLOOKUP(B385,R_DG!$A$7:$G$1305,2,0),"")</f>
        <v>0</v>
      </c>
      <c r="E385" s="253" t="str">
        <f>VLOOKUP(B385,R_DG!$A$7:$G$1305,3,0)</f>
        <v>Keo silicon bít miệng ống</v>
      </c>
      <c r="F385" s="243" t="str">
        <f>VLOOKUP(B385,R_DG!$A$7:$G$1305,4,0)</f>
        <v>ống</v>
      </c>
      <c r="G385" s="254">
        <f>G368</f>
        <v>1</v>
      </c>
      <c r="H385" s="255">
        <f>VLOOKUP(B385,R_DG!$A$7:$G$1305,5,0)</f>
        <v>30000</v>
      </c>
      <c r="I385" s="255">
        <f>VLOOKUP(B385,R_DG!$A$7:$G$1305,6,0)</f>
        <v>0</v>
      </c>
      <c r="J385" s="255">
        <f>VLOOKUP(B385,R_DG!$A$7:$G$1305,7,0)</f>
        <v>0</v>
      </c>
      <c r="K385" s="256">
        <f t="shared" si="132"/>
        <v>30000</v>
      </c>
      <c r="L385" s="256">
        <f t="shared" si="131"/>
        <v>0</v>
      </c>
      <c r="M385" s="256">
        <f t="shared" si="133"/>
        <v>0</v>
      </c>
      <c r="N385" s="257"/>
      <c r="O385" s="38">
        <f t="shared" si="130"/>
        <v>1</v>
      </c>
    </row>
    <row r="386" spans="1:15" ht="24.95" customHeight="1">
      <c r="A386" s="182"/>
      <c r="B386" s="226" t="s">
        <v>1969</v>
      </c>
      <c r="C386" s="274"/>
      <c r="D386" s="243">
        <f>IF(B386&lt;&gt;"",VLOOKUP(B386,R_DG!$A$7:$G$1305,2,0),"")</f>
        <v>0</v>
      </c>
      <c r="E386" s="253" t="str">
        <f>VLOOKUP(B386,R_DG!$A$7:$G$1305,3,0)</f>
        <v>Băng keo cách điện (5m/cuộn)</v>
      </c>
      <c r="F386" s="243" t="str">
        <f>VLOOKUP(B386,R_DG!$A$7:$G$1305,4,0)</f>
        <v>cuộn</v>
      </c>
      <c r="G386" s="254">
        <f>G368*5</f>
        <v>5</v>
      </c>
      <c r="H386" s="255">
        <f>VLOOKUP(B386,R_DG!$A$7:$G$1305,5,0)</f>
        <v>8000</v>
      </c>
      <c r="I386" s="255">
        <f>VLOOKUP(B386,R_DG!$A$7:$G$1305,6,0)</f>
        <v>0</v>
      </c>
      <c r="J386" s="255">
        <f>VLOOKUP(B386,R_DG!$A$7:$G$1305,7,0)</f>
        <v>0</v>
      </c>
      <c r="K386" s="256">
        <f t="shared" si="132"/>
        <v>40000</v>
      </c>
      <c r="L386" s="256">
        <f t="shared" si="131"/>
        <v>0</v>
      </c>
      <c r="M386" s="256">
        <f t="shared" si="133"/>
        <v>0</v>
      </c>
      <c r="N386" s="257"/>
      <c r="O386" s="38">
        <f t="shared" si="130"/>
        <v>1</v>
      </c>
    </row>
    <row r="387" spans="1:15" ht="24.95" customHeight="1">
      <c r="A387" s="182"/>
      <c r="B387" s="232" t="str">
        <f>"lpvc"&amp;RIGHT(B377,LEN(B377)-3)&amp;"cl"</f>
        <v>lpvc114cl</v>
      </c>
      <c r="C387" s="274"/>
      <c r="D387" s="243" t="str">
        <f>IF(B387&lt;&gt;"",VLOOKUP(B387,R_DG!$A$7:$G$1305,2,0),"")</f>
        <v>T4.5202</v>
      </c>
      <c r="E387" s="253" t="str">
        <f>VLOOKUP(B387,R_DG!$A$7:$G$1305,3,0)</f>
        <v>Lắp ống nhựa PVC D114</v>
      </c>
      <c r="F387" s="243" t="str">
        <f>VLOOKUP(B387,R_DG!$A$7:$G$1305,4,0)</f>
        <v>mét</v>
      </c>
      <c r="G387" s="254">
        <f>G377</f>
        <v>8</v>
      </c>
      <c r="H387" s="255">
        <f>VLOOKUP(B387,R_DG!$A$7:$G$1305,5,0)</f>
        <v>0</v>
      </c>
      <c r="I387" s="255">
        <f>VLOOKUP(B387,R_DG!$A$7:$G$1305,6,0)</f>
        <v>63973.8</v>
      </c>
      <c r="J387" s="255">
        <f>VLOOKUP(B387,R_DG!$A$7:$G$1305,7,0)</f>
        <v>0</v>
      </c>
      <c r="K387" s="256">
        <f t="shared" si="132"/>
        <v>0</v>
      </c>
      <c r="L387" s="256">
        <f t="shared" si="131"/>
        <v>511790.4</v>
      </c>
      <c r="M387" s="256">
        <f t="shared" si="133"/>
        <v>0</v>
      </c>
      <c r="N387" s="257"/>
      <c r="O387" s="38">
        <f t="shared" si="130"/>
        <v>1</v>
      </c>
    </row>
    <row r="388" spans="1:15" ht="24.95" customHeight="1">
      <c r="A388" s="182"/>
      <c r="B388" s="226" t="str">
        <f>IF(A4&gt;0,"lcapdongTB"&amp;IF(RIGHT(B370,LEN(B370)-2)*1&gt;150,"240",IF(RIGHT(B370,LEN(B370)-2)*1&gt;95,"150","95")),"NONE")</f>
        <v>lcapdongTB150</v>
      </c>
      <c r="C388" s="274"/>
      <c r="D388" s="243" t="str">
        <f>IF(B388&lt;&gt;"",VLOOKUP(B388,R_DG!$A$7:$G$1305,2,0),"")</f>
        <v>T4.4202</v>
      </c>
      <c r="E388" s="253" t="str">
        <f>VLOOKUP(B388,R_DG!$A$7:$G$1305,3,0)</f>
        <v>Lắp cáp đồng xuống thiết bị D ≤ 150mm2</v>
      </c>
      <c r="F388" s="243" t="str">
        <f>VLOOKUP(B388,R_DG!$A$7:$G$1305,4,0)</f>
        <v>m</v>
      </c>
      <c r="G388" s="254">
        <f>G370+G371</f>
        <v>37</v>
      </c>
      <c r="H388" s="255">
        <f>VLOOKUP(B388,R_DG!$A$7:$G$1305,5,0)</f>
        <v>0</v>
      </c>
      <c r="I388" s="255">
        <f>VLOOKUP(B388,R_DG!$A$7:$G$1305,6,0)</f>
        <v>28432.799999999999</v>
      </c>
      <c r="J388" s="255">
        <f>VLOOKUP(B388,R_DG!$A$7:$G$1305,7,0)</f>
        <v>0</v>
      </c>
      <c r="K388" s="256">
        <f t="shared" si="132"/>
        <v>0</v>
      </c>
      <c r="L388" s="256">
        <f t="shared" si="131"/>
        <v>1052013.5999999999</v>
      </c>
      <c r="M388" s="256">
        <f t="shared" si="133"/>
        <v>0</v>
      </c>
      <c r="N388" s="257"/>
      <c r="O388" s="38">
        <f t="shared" si="130"/>
        <v>1</v>
      </c>
    </row>
    <row r="389" spans="1:15" ht="24.95" customHeight="1">
      <c r="A389" s="182"/>
      <c r="B389" s="232" t="s">
        <v>1768</v>
      </c>
      <c r="C389" s="279"/>
      <c r="D389" s="280" t="str">
        <f>IF(B389&lt;&gt;"",VLOOKUP(B389,R_DG!$A$7:$G$1305,2,0),"")</f>
        <v>D3.3201</v>
      </c>
      <c r="E389" s="281" t="str">
        <f>VLOOKUP(B389,R_DG!$A$7:$G$1305,3,0)</f>
        <v>Bảng tên trạm, bảng báo nguy hiểm</v>
      </c>
      <c r="F389" s="280" t="str">
        <f>VLOOKUP(B389,R_DG!$A$7:$G$1305,4,0)</f>
        <v>bộ</v>
      </c>
      <c r="G389" s="282">
        <f>G10</f>
        <v>1</v>
      </c>
      <c r="H389" s="283">
        <f>VLOOKUP(B389,R_DG!$A$7:$G$1305,5,0)</f>
        <v>42500</v>
      </c>
      <c r="I389" s="283">
        <f>VLOOKUP(B389,R_DG!$A$7:$G$1305,6,0)</f>
        <v>47388</v>
      </c>
      <c r="J389" s="283">
        <f>VLOOKUP(B389,R_DG!$A$7:$G$1305,7,0)</f>
        <v>0</v>
      </c>
      <c r="K389" s="284">
        <f t="shared" si="125"/>
        <v>42500</v>
      </c>
      <c r="L389" s="284">
        <f t="shared" si="124"/>
        <v>47388</v>
      </c>
      <c r="M389" s="284">
        <f t="shared" si="126"/>
        <v>0</v>
      </c>
      <c r="N389" s="285"/>
      <c r="O389" s="38">
        <f t="shared" si="130"/>
        <v>1</v>
      </c>
    </row>
    <row r="390" spans="1:15" ht="24.95" customHeight="1">
      <c r="A390" s="182" t="s">
        <v>3268</v>
      </c>
      <c r="B390" s="234"/>
      <c r="C390" s="286"/>
      <c r="D390" s="287"/>
      <c r="E390" s="288"/>
      <c r="F390" s="287"/>
      <c r="G390" s="289"/>
      <c r="H390" s="290"/>
      <c r="I390" s="291" t="s">
        <v>2470</v>
      </c>
      <c r="J390" s="291"/>
      <c r="K390" s="292" t="e">
        <f>SUM(K17:K389)</f>
        <v>#REF!</v>
      </c>
      <c r="L390" s="292" t="e">
        <f ca="1">SUM(L17:L389)</f>
        <v>#NAME?</v>
      </c>
      <c r="M390" s="292" t="e">
        <f ca="1">SUM(M17:M389)</f>
        <v>#NAME?</v>
      </c>
      <c r="N390" s="293"/>
      <c r="O390" s="38">
        <v>1</v>
      </c>
    </row>
  </sheetData>
  <autoFilter ref="O5:O390"/>
  <mergeCells count="5">
    <mergeCell ref="C3:C4"/>
    <mergeCell ref="D3:D4"/>
    <mergeCell ref="E3:E4"/>
    <mergeCell ref="F3:F4"/>
    <mergeCell ref="N3:N4"/>
  </mergeCells>
  <printOptions horizontalCentered="1"/>
  <pageMargins left="0.78740157480314965" right="0.59055118110236227" top="0.59055118110236227" bottom="0.59055118110236227" header="0.31496062992125984" footer="0.31496062992125984"/>
  <pageSetup paperSize="9" scale="57" fitToHeight="0" orientation="landscape" blackAndWhite="1"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tabColor rgb="FFFFFF00"/>
  </sheetPr>
  <dimension ref="A1:AA1373"/>
  <sheetViews>
    <sheetView showZeros="0" zoomScale="70" zoomScaleNormal="70" workbookViewId="0">
      <pane xSplit="3" ySplit="2" topLeftCell="D1346" activePane="bottomRight" state="frozen"/>
      <selection pane="topRight"/>
      <selection pane="bottomLeft"/>
      <selection pane="bottomRight" activeCell="I1369" sqref="I1369"/>
    </sheetView>
  </sheetViews>
  <sheetFormatPr defaultColWidth="9.140625" defaultRowHeight="20.100000000000001" customHeight="1"/>
  <cols>
    <col min="1" max="1" width="16.85546875" style="881" customWidth="1"/>
    <col min="2" max="2" width="10" style="884" customWidth="1"/>
    <col min="3" max="3" width="44.140625" style="442" customWidth="1"/>
    <col min="4" max="4" width="7.42578125" style="180" customWidth="1"/>
    <col min="5" max="8" width="9.42578125" style="180" customWidth="1"/>
    <col min="9" max="10" width="9.42578125" style="437" customWidth="1"/>
    <col min="11" max="17" width="9.42578125" style="414" customWidth="1"/>
    <col min="18" max="18" width="9" style="437" customWidth="1"/>
    <col min="19" max="19" width="9" style="180" customWidth="1"/>
    <col min="20" max="20" width="12.42578125" style="180" customWidth="1"/>
    <col min="21" max="24" width="9" style="180" customWidth="1"/>
    <col min="25" max="30" width="9.140625" style="180"/>
    <col min="31" max="31" width="9.140625" style="180" customWidth="1"/>
    <col min="32" max="16384" width="9.140625" style="180"/>
  </cols>
  <sheetData>
    <row r="1" spans="1:27" ht="47.25" customHeight="1">
      <c r="A1" s="871" t="s">
        <v>2137</v>
      </c>
      <c r="B1" s="857" t="s">
        <v>2354</v>
      </c>
      <c r="C1" s="853" t="s">
        <v>2353</v>
      </c>
      <c r="D1" s="854" t="s">
        <v>2352</v>
      </c>
      <c r="E1" s="855" t="s">
        <v>3</v>
      </c>
      <c r="F1" s="856" t="s">
        <v>4</v>
      </c>
      <c r="G1" s="855" t="s">
        <v>5</v>
      </c>
      <c r="H1" s="854" t="s">
        <v>2847</v>
      </c>
      <c r="I1" s="854" t="s">
        <v>3392</v>
      </c>
      <c r="J1" s="854" t="s">
        <v>3390</v>
      </c>
      <c r="K1" s="854" t="s">
        <v>4763</v>
      </c>
      <c r="L1" s="854" t="s">
        <v>3396</v>
      </c>
      <c r="M1" s="854" t="s">
        <v>3395</v>
      </c>
      <c r="N1" s="854" t="s">
        <v>3400</v>
      </c>
      <c r="O1" s="854" t="s">
        <v>3401</v>
      </c>
      <c r="P1" s="854" t="s">
        <v>3402</v>
      </c>
      <c r="Q1" s="854" t="s">
        <v>4760</v>
      </c>
      <c r="R1" s="854" t="s">
        <v>2714</v>
      </c>
      <c r="T1" s="415" t="s">
        <v>3393</v>
      </c>
      <c r="U1" s="415"/>
      <c r="V1" s="415"/>
    </row>
    <row r="2" spans="1:27" ht="20.100000000000001" hidden="1" customHeight="1">
      <c r="A2" s="851" t="s">
        <v>4764</v>
      </c>
      <c r="B2" s="858"/>
      <c r="C2" s="842"/>
      <c r="D2" s="843"/>
      <c r="E2" s="843"/>
      <c r="F2" s="843"/>
      <c r="G2" s="843"/>
      <c r="H2" s="843"/>
      <c r="I2" s="843"/>
      <c r="J2" s="843"/>
      <c r="K2" s="843"/>
      <c r="L2" s="843"/>
      <c r="M2" s="843"/>
      <c r="N2" s="843"/>
      <c r="O2" s="843"/>
      <c r="P2" s="843"/>
      <c r="Q2" s="843"/>
      <c r="R2" s="843"/>
      <c r="T2" s="364"/>
      <c r="U2" s="365"/>
      <c r="V2" s="363"/>
    </row>
    <row r="3" spans="1:27" ht="20.100000000000001" hidden="1" customHeight="1">
      <c r="A3" s="883" t="str">
        <f>HYPERLINK($A$526)</f>
        <v>BẢNG KÊ ĐƠN GÍA NHÂN CÔNG</v>
      </c>
      <c r="B3" s="858"/>
      <c r="C3" s="842"/>
      <c r="D3" s="843"/>
      <c r="E3" s="843"/>
      <c r="F3" s="843"/>
      <c r="G3" s="843"/>
      <c r="H3" s="843"/>
      <c r="I3" s="843"/>
      <c r="J3" s="843"/>
      <c r="K3" s="843" t="s">
        <v>4966</v>
      </c>
      <c r="L3" s="843"/>
      <c r="M3" s="843"/>
      <c r="N3" s="843"/>
      <c r="O3" s="843"/>
      <c r="P3" s="843"/>
      <c r="Q3" s="843"/>
      <c r="R3" s="843"/>
      <c r="T3" s="364"/>
      <c r="U3" s="365"/>
      <c r="V3" s="791"/>
    </row>
    <row r="4" spans="1:27" ht="20.100000000000001" hidden="1" customHeight="1">
      <c r="A4" s="851" t="s">
        <v>4765</v>
      </c>
      <c r="B4" s="858"/>
      <c r="C4" s="842"/>
      <c r="D4" s="843"/>
      <c r="E4" s="843"/>
      <c r="F4" s="843"/>
      <c r="G4" s="843"/>
      <c r="H4" s="843"/>
      <c r="I4" s="843"/>
      <c r="J4" s="843"/>
      <c r="K4" s="843" t="s">
        <v>4967</v>
      </c>
      <c r="L4" s="843"/>
      <c r="M4" s="843"/>
      <c r="N4" s="843"/>
      <c r="O4" s="843"/>
      <c r="P4" s="843"/>
      <c r="Q4" s="843"/>
      <c r="R4" s="843"/>
      <c r="T4" s="364"/>
      <c r="U4" s="365"/>
      <c r="V4" s="791"/>
    </row>
    <row r="5" spans="1:27" ht="20.100000000000001" hidden="1" customHeight="1">
      <c r="A5" s="851" t="s">
        <v>3761</v>
      </c>
      <c r="B5" s="858"/>
      <c r="C5" s="842"/>
      <c r="D5" s="843"/>
      <c r="E5" s="843"/>
      <c r="F5" s="843"/>
      <c r="G5" s="843"/>
      <c r="H5" s="843"/>
      <c r="I5" s="843"/>
      <c r="J5" s="843"/>
      <c r="K5" s="843"/>
      <c r="L5" s="843"/>
      <c r="M5" s="843"/>
      <c r="N5" s="843"/>
      <c r="O5" s="843"/>
      <c r="P5" s="843"/>
      <c r="Q5" s="843"/>
      <c r="R5" s="843"/>
      <c r="T5" s="364"/>
      <c r="U5" s="365"/>
      <c r="V5" s="791"/>
    </row>
    <row r="6" spans="1:27" ht="20.100000000000001" hidden="1" customHeight="1">
      <c r="A6" s="851" t="s">
        <v>4766</v>
      </c>
      <c r="B6" s="858"/>
      <c r="C6" s="842"/>
      <c r="D6" s="843"/>
      <c r="E6" s="843"/>
      <c r="F6" s="843"/>
      <c r="G6" s="843"/>
      <c r="H6" s="843"/>
      <c r="I6" s="843"/>
      <c r="J6" s="843"/>
      <c r="K6" s="843" t="s">
        <v>4968</v>
      </c>
      <c r="L6" s="843"/>
      <c r="M6" s="843"/>
      <c r="N6" s="843"/>
      <c r="O6" s="843"/>
      <c r="P6" s="843"/>
      <c r="Q6" s="843"/>
      <c r="R6" s="843"/>
      <c r="T6" s="364"/>
      <c r="U6" s="365"/>
      <c r="V6" s="791"/>
    </row>
    <row r="7" spans="1:27" ht="20.100000000000001" hidden="1" customHeight="1">
      <c r="A7" s="872" t="s">
        <v>6</v>
      </c>
      <c r="B7" s="859" t="s">
        <v>7</v>
      </c>
      <c r="C7" s="416" t="s">
        <v>8</v>
      </c>
      <c r="D7" s="417" t="s">
        <v>9</v>
      </c>
      <c r="E7" s="833">
        <v>650000</v>
      </c>
      <c r="F7" s="833">
        <f t="shared" ref="F7:F70" si="0">IF(OR(I7="",J7=""),0,IF(K7*1=0,1,K7)*VLOOKUP(I7,TIENLUONG,4,0)*J7)</f>
        <v>161119.20000000001</v>
      </c>
      <c r="G7" s="833">
        <f t="shared" ref="G7:G70" si="1">L7*VLOOKUP($L$1,CAMAY,2,0)+M7*VLOOKUP($M$1,CAMAY,2,0)+N7*VLOOKUP($N$1,CAMAY,2,0)+O7*VLOOKUP($O$1,CAMAY,2,0)+P7*VLOOKUP($P$1,CAMAY,2,0)</f>
        <v>0</v>
      </c>
      <c r="H7" s="834" t="s">
        <v>4065</v>
      </c>
      <c r="I7" s="835" t="s">
        <v>3372</v>
      </c>
      <c r="J7" s="836">
        <v>0.68</v>
      </c>
      <c r="K7" s="836"/>
      <c r="L7" s="836"/>
      <c r="M7" s="836"/>
      <c r="N7" s="836"/>
      <c r="O7" s="836"/>
      <c r="P7" s="836"/>
      <c r="Q7" s="836"/>
      <c r="R7" s="837">
        <v>80</v>
      </c>
      <c r="T7" s="418">
        <v>650000</v>
      </c>
      <c r="U7" s="155">
        <v>22255</v>
      </c>
      <c r="V7" s="155">
        <v>0</v>
      </c>
      <c r="AA7" s="180" t="str">
        <f>VLOOKUP(A7,[2]DG!$A:$C,3,0)</f>
        <v>Đà cản BTCT 1,2m</v>
      </c>
    </row>
    <row r="8" spans="1:27" ht="20.100000000000001" hidden="1" customHeight="1">
      <c r="A8" s="872" t="s">
        <v>10</v>
      </c>
      <c r="B8" s="859" t="s">
        <v>7</v>
      </c>
      <c r="C8" s="416" t="s">
        <v>11</v>
      </c>
      <c r="D8" s="417" t="s">
        <v>9</v>
      </c>
      <c r="E8" s="833">
        <v>650000</v>
      </c>
      <c r="F8" s="833">
        <f t="shared" si="0"/>
        <v>0</v>
      </c>
      <c r="G8" s="833">
        <f t="shared" si="1"/>
        <v>0</v>
      </c>
      <c r="H8" s="834">
        <v>1</v>
      </c>
      <c r="I8" s="835"/>
      <c r="J8" s="836"/>
      <c r="K8" s="836"/>
      <c r="L8" s="836"/>
      <c r="M8" s="836"/>
      <c r="N8" s="836"/>
      <c r="O8" s="836"/>
      <c r="P8" s="836"/>
      <c r="Q8" s="836"/>
      <c r="R8" s="837">
        <v>250</v>
      </c>
      <c r="T8" s="155">
        <v>650000</v>
      </c>
      <c r="U8" s="155">
        <v>22255</v>
      </c>
      <c r="V8" s="155"/>
      <c r="AA8" s="180" t="str">
        <f>VLOOKUP(A8,[2]DG!$A:$C,3,0)</f>
        <v>Đà cản BTCT 1,5m</v>
      </c>
    </row>
    <row r="9" spans="1:27" ht="20.100000000000001" hidden="1" customHeight="1">
      <c r="A9" s="872" t="s">
        <v>12</v>
      </c>
      <c r="B9" s="859" t="s">
        <v>13</v>
      </c>
      <c r="C9" s="416" t="s">
        <v>3272</v>
      </c>
      <c r="D9" s="417" t="s">
        <v>9</v>
      </c>
      <c r="E9" s="833">
        <v>800000</v>
      </c>
      <c r="F9" s="833">
        <f t="shared" si="0"/>
        <v>0</v>
      </c>
      <c r="G9" s="833">
        <f t="shared" si="1"/>
        <v>0</v>
      </c>
      <c r="H9" s="834">
        <v>1</v>
      </c>
      <c r="I9" s="835"/>
      <c r="J9" s="836"/>
      <c r="K9" s="836"/>
      <c r="L9" s="836"/>
      <c r="M9" s="836"/>
      <c r="N9" s="836"/>
      <c r="O9" s="836"/>
      <c r="P9" s="836"/>
      <c r="Q9" s="836"/>
      <c r="R9" s="837">
        <v>300</v>
      </c>
      <c r="T9" s="155">
        <v>800000</v>
      </c>
      <c r="U9" s="155">
        <v>48765</v>
      </c>
      <c r="V9" s="155"/>
      <c r="AA9" s="180" t="str">
        <f>VLOOKUP(A9,[2]DG!$A:$C,3,0)</f>
        <v>Đà cản BTCT 2,0m</v>
      </c>
    </row>
    <row r="10" spans="1:27" ht="20.100000000000001" hidden="1" customHeight="1">
      <c r="A10" s="872" t="s">
        <v>14</v>
      </c>
      <c r="B10" s="859" t="s">
        <v>13</v>
      </c>
      <c r="C10" s="416" t="s">
        <v>15</v>
      </c>
      <c r="D10" s="417" t="s">
        <v>9</v>
      </c>
      <c r="E10" s="833">
        <v>550000</v>
      </c>
      <c r="F10" s="833">
        <f t="shared" si="0"/>
        <v>0</v>
      </c>
      <c r="G10" s="833">
        <f t="shared" si="1"/>
        <v>0</v>
      </c>
      <c r="H10" s="834">
        <v>1</v>
      </c>
      <c r="I10" s="835"/>
      <c r="J10" s="836"/>
      <c r="K10" s="836"/>
      <c r="L10" s="836"/>
      <c r="M10" s="836"/>
      <c r="N10" s="836"/>
      <c r="O10" s="836"/>
      <c r="P10" s="836"/>
      <c r="Q10" s="836"/>
      <c r="R10" s="837">
        <v>450</v>
      </c>
      <c r="T10" s="155">
        <v>550000</v>
      </c>
      <c r="U10" s="155">
        <v>48765</v>
      </c>
      <c r="V10" s="155"/>
      <c r="AA10" s="180" t="str">
        <f>VLOOKUP(A10,[2]DG!$A:$C,3,0)</f>
        <v>Đà cản BTCT 2,5m</v>
      </c>
    </row>
    <row r="11" spans="1:27" ht="20.100000000000001" hidden="1" customHeight="1">
      <c r="A11" s="872" t="s">
        <v>16</v>
      </c>
      <c r="B11" s="859" t="s">
        <v>7</v>
      </c>
      <c r="C11" s="416" t="s">
        <v>17</v>
      </c>
      <c r="D11" s="417" t="s">
        <v>9</v>
      </c>
      <c r="E11" s="833">
        <v>95000</v>
      </c>
      <c r="F11" s="833">
        <f t="shared" si="0"/>
        <v>0</v>
      </c>
      <c r="G11" s="833">
        <f t="shared" si="1"/>
        <v>0</v>
      </c>
      <c r="H11" s="834">
        <v>1</v>
      </c>
      <c r="I11" s="835"/>
      <c r="J11" s="836"/>
      <c r="K11" s="836"/>
      <c r="L11" s="836"/>
      <c r="M11" s="836"/>
      <c r="N11" s="836"/>
      <c r="O11" s="836"/>
      <c r="P11" s="836"/>
      <c r="Q11" s="836"/>
      <c r="R11" s="837">
        <v>90</v>
      </c>
      <c r="T11" s="155">
        <v>95000</v>
      </c>
      <c r="U11" s="155">
        <v>22255</v>
      </c>
      <c r="V11" s="155"/>
      <c r="AA11" s="180" t="str">
        <f>VLOOKUP(A11,[2]DG!$A:$C,3,0)</f>
        <v>Đế neo BTCT 200x1200</v>
      </c>
    </row>
    <row r="12" spans="1:27" ht="20.100000000000001" hidden="1" customHeight="1">
      <c r="A12" s="872" t="s">
        <v>18</v>
      </c>
      <c r="B12" s="859" t="s">
        <v>7</v>
      </c>
      <c r="C12" s="416" t="s">
        <v>19</v>
      </c>
      <c r="D12" s="417" t="s">
        <v>9</v>
      </c>
      <c r="E12" s="833">
        <v>170000</v>
      </c>
      <c r="F12" s="833">
        <f t="shared" si="0"/>
        <v>0</v>
      </c>
      <c r="G12" s="833">
        <f t="shared" si="1"/>
        <v>0</v>
      </c>
      <c r="H12" s="834">
        <v>1</v>
      </c>
      <c r="I12" s="835"/>
      <c r="J12" s="836"/>
      <c r="K12" s="836"/>
      <c r="L12" s="836"/>
      <c r="M12" s="836"/>
      <c r="N12" s="836"/>
      <c r="O12" s="836"/>
      <c r="P12" s="836"/>
      <c r="Q12" s="836"/>
      <c r="R12" s="837">
        <v>170</v>
      </c>
      <c r="T12" s="155">
        <v>170000</v>
      </c>
      <c r="U12" s="155">
        <v>22255</v>
      </c>
      <c r="V12" s="155"/>
      <c r="AA12" s="180" t="str">
        <f>VLOOKUP(A12,[2]DG!$A:$C,3,0)</f>
        <v>Đế neo BTCT 400x1200</v>
      </c>
    </row>
    <row r="13" spans="1:27" ht="20.100000000000001" hidden="1" customHeight="1">
      <c r="A13" s="872" t="s">
        <v>20</v>
      </c>
      <c r="B13" s="859" t="s">
        <v>13</v>
      </c>
      <c r="C13" s="416" t="s">
        <v>21</v>
      </c>
      <c r="D13" s="417" t="s">
        <v>9</v>
      </c>
      <c r="E13" s="833">
        <v>190000</v>
      </c>
      <c r="F13" s="833">
        <f t="shared" si="0"/>
        <v>0</v>
      </c>
      <c r="G13" s="833">
        <f t="shared" si="1"/>
        <v>0</v>
      </c>
      <c r="H13" s="834">
        <v>1</v>
      </c>
      <c r="I13" s="835"/>
      <c r="J13" s="836"/>
      <c r="K13" s="836"/>
      <c r="L13" s="836"/>
      <c r="M13" s="836"/>
      <c r="N13" s="836"/>
      <c r="O13" s="836"/>
      <c r="P13" s="836"/>
      <c r="Q13" s="836"/>
      <c r="R13" s="837">
        <v>270</v>
      </c>
      <c r="T13" s="155">
        <v>190000</v>
      </c>
      <c r="U13" s="155">
        <v>48765</v>
      </c>
      <c r="V13" s="155"/>
      <c r="AA13" s="180" t="str">
        <f>VLOOKUP(A13,[2]DG!$A:$C,3,0)</f>
        <v>Đế neo BTCT 400x1500</v>
      </c>
    </row>
    <row r="14" spans="1:27" ht="20.100000000000001" hidden="1" customHeight="1">
      <c r="A14" s="872" t="s">
        <v>22</v>
      </c>
      <c r="B14" s="859" t="s">
        <v>13</v>
      </c>
      <c r="C14" s="416" t="s">
        <v>23</v>
      </c>
      <c r="D14" s="417" t="s">
        <v>9</v>
      </c>
      <c r="E14" s="833">
        <v>220000</v>
      </c>
      <c r="F14" s="833">
        <f t="shared" si="0"/>
        <v>0</v>
      </c>
      <c r="G14" s="833">
        <f t="shared" si="1"/>
        <v>0</v>
      </c>
      <c r="H14" s="834">
        <v>1</v>
      </c>
      <c r="I14" s="835"/>
      <c r="J14" s="836"/>
      <c r="K14" s="836"/>
      <c r="L14" s="836"/>
      <c r="M14" s="836"/>
      <c r="N14" s="836"/>
      <c r="O14" s="836"/>
      <c r="P14" s="836"/>
      <c r="Q14" s="836"/>
      <c r="R14" s="837">
        <v>400</v>
      </c>
      <c r="T14" s="155">
        <v>220000</v>
      </c>
      <c r="U14" s="155">
        <v>48765</v>
      </c>
      <c r="V14" s="155"/>
      <c r="AA14" s="180" t="str">
        <f>VLOOKUP(A14,[2]DG!$A:$C,3,0)</f>
        <v>Đế neo BTCT 600x1500</v>
      </c>
    </row>
    <row r="15" spans="1:27" ht="20.100000000000001" hidden="1" customHeight="1">
      <c r="A15" s="872" t="s">
        <v>24</v>
      </c>
      <c r="B15" s="859" t="s">
        <v>13</v>
      </c>
      <c r="C15" s="416" t="s">
        <v>25</v>
      </c>
      <c r="D15" s="417" t="s">
        <v>9</v>
      </c>
      <c r="E15" s="833">
        <v>200000</v>
      </c>
      <c r="F15" s="833">
        <f t="shared" si="0"/>
        <v>0</v>
      </c>
      <c r="G15" s="833">
        <f t="shared" si="1"/>
        <v>0</v>
      </c>
      <c r="H15" s="834">
        <v>1</v>
      </c>
      <c r="I15" s="835"/>
      <c r="J15" s="836"/>
      <c r="K15" s="836"/>
      <c r="L15" s="836"/>
      <c r="M15" s="836"/>
      <c r="N15" s="836"/>
      <c r="O15" s="836"/>
      <c r="P15" s="836"/>
      <c r="Q15" s="836"/>
      <c r="R15" s="837">
        <v>480</v>
      </c>
      <c r="T15" s="155">
        <v>200000</v>
      </c>
      <c r="U15" s="155">
        <v>48765</v>
      </c>
      <c r="V15" s="155"/>
      <c r="AA15" s="180" t="str">
        <f>VLOOKUP(A15,[2]DG!$A:$C,3,0)</f>
        <v>Đế neo BTCT 600x1800</v>
      </c>
    </row>
    <row r="16" spans="1:27" ht="20.100000000000001" hidden="1" customHeight="1">
      <c r="A16" s="872" t="s">
        <v>26</v>
      </c>
      <c r="B16" s="859" t="s">
        <v>13</v>
      </c>
      <c r="C16" s="416" t="s">
        <v>27</v>
      </c>
      <c r="D16" s="417" t="s">
        <v>9</v>
      </c>
      <c r="E16" s="833">
        <v>210000</v>
      </c>
      <c r="F16" s="833">
        <f t="shared" si="0"/>
        <v>0</v>
      </c>
      <c r="G16" s="833">
        <f t="shared" si="1"/>
        <v>0</v>
      </c>
      <c r="H16" s="834">
        <v>1</v>
      </c>
      <c r="I16" s="835"/>
      <c r="J16" s="836"/>
      <c r="K16" s="836"/>
      <c r="L16" s="836"/>
      <c r="M16" s="836"/>
      <c r="N16" s="836"/>
      <c r="O16" s="836"/>
      <c r="P16" s="836"/>
      <c r="Q16" s="836"/>
      <c r="R16" s="837">
        <v>550</v>
      </c>
      <c r="T16" s="155">
        <v>210000</v>
      </c>
      <c r="U16" s="155">
        <v>48765</v>
      </c>
      <c r="V16" s="155"/>
      <c r="AA16" s="180" t="str">
        <f>VLOOKUP(A16,[2]DG!$A:$C,3,0)</f>
        <v>Đế neo BTCT 1500x500</v>
      </c>
    </row>
    <row r="17" spans="1:27" ht="20.100000000000001" hidden="1" customHeight="1">
      <c r="A17" s="872" t="s">
        <v>28</v>
      </c>
      <c r="B17" s="859" t="s">
        <v>7</v>
      </c>
      <c r="C17" s="416" t="s">
        <v>29</v>
      </c>
      <c r="D17" s="417" t="s">
        <v>9</v>
      </c>
      <c r="E17" s="833">
        <v>180000</v>
      </c>
      <c r="F17" s="833">
        <f t="shared" si="0"/>
        <v>0</v>
      </c>
      <c r="G17" s="833">
        <f t="shared" si="1"/>
        <v>0</v>
      </c>
      <c r="H17" s="834">
        <v>1</v>
      </c>
      <c r="I17" s="835"/>
      <c r="J17" s="836"/>
      <c r="K17" s="836"/>
      <c r="L17" s="836"/>
      <c r="M17" s="836"/>
      <c r="N17" s="836"/>
      <c r="O17" s="836"/>
      <c r="P17" s="836"/>
      <c r="Q17" s="836"/>
      <c r="R17" s="837">
        <v>510</v>
      </c>
      <c r="T17" s="155">
        <v>180000</v>
      </c>
      <c r="U17" s="155">
        <v>22255</v>
      </c>
      <c r="V17" s="155"/>
      <c r="AA17" s="180" t="str">
        <f>VLOOKUP(A17,[2]DG!$A:$C,3,0)</f>
        <v>Đế neo BTCT 1200x500</v>
      </c>
    </row>
    <row r="18" spans="1:27" ht="20.100000000000001" hidden="1" customHeight="1">
      <c r="A18" s="872" t="s">
        <v>30</v>
      </c>
      <c r="B18" s="859" t="s">
        <v>4114</v>
      </c>
      <c r="C18" s="419" t="s">
        <v>31</v>
      </c>
      <c r="D18" s="417" t="s">
        <v>9</v>
      </c>
      <c r="E18" s="833">
        <v>320000</v>
      </c>
      <c r="F18" s="833">
        <f t="shared" si="0"/>
        <v>187723.35</v>
      </c>
      <c r="G18" s="833">
        <f t="shared" si="1"/>
        <v>0</v>
      </c>
      <c r="H18" s="834" t="s">
        <v>4065</v>
      </c>
      <c r="I18" s="835" t="s">
        <v>3370</v>
      </c>
      <c r="J18" s="836">
        <v>0.51</v>
      </c>
      <c r="K18" s="836">
        <v>1.5</v>
      </c>
      <c r="L18" s="836"/>
      <c r="M18" s="836"/>
      <c r="N18" s="836"/>
      <c r="O18" s="836"/>
      <c r="P18" s="836"/>
      <c r="Q18" s="836"/>
      <c r="R18" s="837">
        <v>5</v>
      </c>
      <c r="T18" s="155">
        <v>352000</v>
      </c>
      <c r="U18" s="155">
        <v>0</v>
      </c>
      <c r="V18" s="155">
        <v>0</v>
      </c>
      <c r="AA18" s="180" t="str">
        <f>VLOOKUP(A18,[2]DG!$A:$C,3,0)</f>
        <v>Đà composite 0,8m</v>
      </c>
    </row>
    <row r="19" spans="1:27" ht="20.100000000000001" customHeight="1">
      <c r="A19" s="872" t="s">
        <v>2489</v>
      </c>
      <c r="B19" s="859" t="s">
        <v>4114</v>
      </c>
      <c r="C19" s="419" t="s">
        <v>2491</v>
      </c>
      <c r="D19" s="417" t="s">
        <v>9</v>
      </c>
      <c r="E19" s="833">
        <v>1056000</v>
      </c>
      <c r="F19" s="833">
        <f t="shared" ref="F19" si="2">IF(OR(I19="",J19=""),0,IF(K19*1=0,1,K19)*VLOOKUP(I19,TIENLUONG,4,0)*J19)</f>
        <v>187723.35</v>
      </c>
      <c r="G19" s="833">
        <f t="shared" ref="G19" si="3">L19*VLOOKUP($L$1,CAMAY,2,0)+M19*VLOOKUP($M$1,CAMAY,2,0)+N19*VLOOKUP($N$1,CAMAY,2,0)+O19*VLOOKUP($O$1,CAMAY,2,0)+P19*VLOOKUP($P$1,CAMAY,2,0)</f>
        <v>0</v>
      </c>
      <c r="H19" s="834">
        <v>43636</v>
      </c>
      <c r="I19" s="835" t="s">
        <v>3370</v>
      </c>
      <c r="J19" s="836">
        <v>0.51</v>
      </c>
      <c r="K19" s="836">
        <v>1.5</v>
      </c>
      <c r="L19" s="836"/>
      <c r="M19" s="836"/>
      <c r="N19" s="836"/>
      <c r="O19" s="836"/>
      <c r="P19" s="836"/>
      <c r="Q19" s="836"/>
      <c r="R19" s="837">
        <v>5</v>
      </c>
      <c r="T19" s="155">
        <v>352000</v>
      </c>
      <c r="U19" s="155">
        <v>0</v>
      </c>
      <c r="V19" s="155">
        <v>0</v>
      </c>
      <c r="AA19" s="180" t="str">
        <f>VLOOKUP(A19,[2]DG!$A:$C,3,0)</f>
        <v>Đà hộp composit L110x80x2400</v>
      </c>
    </row>
    <row r="20" spans="1:27" ht="20.100000000000001" customHeight="1">
      <c r="A20" s="872" t="s">
        <v>3317</v>
      </c>
      <c r="B20" s="859" t="s">
        <v>4114</v>
      </c>
      <c r="C20" s="419" t="s">
        <v>3318</v>
      </c>
      <c r="D20" s="417" t="s">
        <v>9</v>
      </c>
      <c r="E20" s="833">
        <v>1056000</v>
      </c>
      <c r="F20" s="833">
        <f t="shared" ref="F20" si="4">IF(OR(I20="",J20=""),0,IF(K20*1=0,1,K20)*VLOOKUP(I20,TIENLUONG,4,0)*J20)</f>
        <v>187723.35</v>
      </c>
      <c r="G20" s="833">
        <f t="shared" ref="G20" si="5">L20*VLOOKUP($L$1,CAMAY,2,0)+M20*VLOOKUP($M$1,CAMAY,2,0)+N20*VLOOKUP($N$1,CAMAY,2,0)+O20*VLOOKUP($O$1,CAMAY,2,0)+P20*VLOOKUP($P$1,CAMAY,2,0)</f>
        <v>0</v>
      </c>
      <c r="H20" s="834" t="s">
        <v>4065</v>
      </c>
      <c r="I20" s="835" t="s">
        <v>3370</v>
      </c>
      <c r="J20" s="836">
        <v>0.51</v>
      </c>
      <c r="K20" s="836">
        <v>1.5</v>
      </c>
      <c r="L20" s="836"/>
      <c r="M20" s="836"/>
      <c r="N20" s="836"/>
      <c r="O20" s="836"/>
      <c r="P20" s="836"/>
      <c r="Q20" s="836"/>
      <c r="R20" s="837">
        <v>5</v>
      </c>
      <c r="T20" s="155">
        <v>352000</v>
      </c>
      <c r="U20" s="155">
        <v>0</v>
      </c>
      <c r="V20" s="155">
        <v>0</v>
      </c>
      <c r="AA20" s="180" t="str">
        <f>VLOOKUP(A20,[2]DG!$A:$C,3,0)</f>
        <v>Đà hộp composit L110x80x2600</v>
      </c>
    </row>
    <row r="21" spans="1:27" ht="20.100000000000001" customHeight="1">
      <c r="A21" s="872" t="s">
        <v>32</v>
      </c>
      <c r="B21" s="859">
        <v>0</v>
      </c>
      <c r="C21" s="419" t="s">
        <v>4277</v>
      </c>
      <c r="D21" s="417" t="s">
        <v>9</v>
      </c>
      <c r="E21" s="833">
        <v>110000</v>
      </c>
      <c r="F21" s="833">
        <f t="shared" si="0"/>
        <v>0</v>
      </c>
      <c r="G21" s="833">
        <f t="shared" si="1"/>
        <v>0</v>
      </c>
      <c r="H21" s="834" t="s">
        <v>4065</v>
      </c>
      <c r="I21" s="835"/>
      <c r="J21" s="836"/>
      <c r="K21" s="836"/>
      <c r="L21" s="836"/>
      <c r="M21" s="836"/>
      <c r="N21" s="836"/>
      <c r="O21" s="836"/>
      <c r="P21" s="836"/>
      <c r="Q21" s="836"/>
      <c r="R21" s="837">
        <v>0.5</v>
      </c>
      <c r="T21" s="155">
        <v>110000</v>
      </c>
      <c r="U21" s="155">
        <v>0</v>
      </c>
      <c r="V21" s="155">
        <v>0</v>
      </c>
      <c r="AA21" s="180" t="str">
        <f>VLOOKUP(A21,[2]DG!$A:$C,3,0)</f>
        <v>Thanh chống L10x60x710</v>
      </c>
    </row>
    <row r="22" spans="1:27" ht="20.100000000000001" customHeight="1">
      <c r="A22" s="872" t="s">
        <v>2490</v>
      </c>
      <c r="B22" s="859"/>
      <c r="C22" s="419" t="s">
        <v>4160</v>
      </c>
      <c r="D22" s="417" t="s">
        <v>9</v>
      </c>
      <c r="E22" s="833">
        <v>110000</v>
      </c>
      <c r="F22" s="833">
        <f t="shared" si="0"/>
        <v>0</v>
      </c>
      <c r="G22" s="833">
        <f t="shared" si="1"/>
        <v>0</v>
      </c>
      <c r="H22" s="834" t="s">
        <v>4065</v>
      </c>
      <c r="I22" s="835"/>
      <c r="J22" s="836"/>
      <c r="K22" s="836"/>
      <c r="L22" s="836"/>
      <c r="M22" s="836"/>
      <c r="N22" s="836"/>
      <c r="O22" s="836"/>
      <c r="P22" s="836"/>
      <c r="Q22" s="836"/>
      <c r="R22" s="837">
        <v>1</v>
      </c>
      <c r="T22" s="155">
        <v>110000</v>
      </c>
      <c r="U22" s="155">
        <v>47292</v>
      </c>
      <c r="V22" s="155">
        <v>0</v>
      </c>
      <c r="AA22" s="180" t="str">
        <f>VLOOKUP(A22,[2]DG!$A:$C,3,0)</f>
        <v>Thanh chống L10x40x920</v>
      </c>
    </row>
    <row r="23" spans="1:27" ht="20.100000000000001" hidden="1" customHeight="1">
      <c r="A23" s="872" t="s">
        <v>33</v>
      </c>
      <c r="B23" s="860">
        <v>0</v>
      </c>
      <c r="C23" s="416" t="s">
        <v>34</v>
      </c>
      <c r="D23" s="364" t="s">
        <v>9</v>
      </c>
      <c r="E23" s="833">
        <v>19200</v>
      </c>
      <c r="F23" s="833">
        <f t="shared" si="0"/>
        <v>0</v>
      </c>
      <c r="G23" s="833">
        <f t="shared" si="1"/>
        <v>0</v>
      </c>
      <c r="H23" s="834" t="s">
        <v>4065</v>
      </c>
      <c r="I23" s="835"/>
      <c r="J23" s="836"/>
      <c r="K23" s="836"/>
      <c r="L23" s="836"/>
      <c r="M23" s="836"/>
      <c r="N23" s="836"/>
      <c r="O23" s="836"/>
      <c r="P23" s="836"/>
      <c r="Q23" s="836"/>
      <c r="R23" s="837">
        <v>0.3</v>
      </c>
      <c r="T23" s="155">
        <v>19200</v>
      </c>
      <c r="U23" s="155">
        <v>5500</v>
      </c>
      <c r="V23" s="155">
        <v>0</v>
      </c>
      <c r="AA23" s="180" t="str">
        <f>VLOOKUP(A23,[2]DG!$A:$C,3,0)</f>
        <v>Biển số - Bảng nguy hiểm</v>
      </c>
    </row>
    <row r="24" spans="1:27" ht="20.100000000000001" hidden="1" customHeight="1">
      <c r="A24" s="872" t="s">
        <v>35</v>
      </c>
      <c r="B24" s="860"/>
      <c r="C24" s="416" t="s">
        <v>36</v>
      </c>
      <c r="D24" s="364" t="s">
        <v>37</v>
      </c>
      <c r="E24" s="833">
        <v>1000</v>
      </c>
      <c r="F24" s="833">
        <f t="shared" si="0"/>
        <v>0</v>
      </c>
      <c r="G24" s="833">
        <f t="shared" si="1"/>
        <v>0</v>
      </c>
      <c r="H24" s="834">
        <v>1</v>
      </c>
      <c r="I24" s="835"/>
      <c r="J24" s="836"/>
      <c r="K24" s="836"/>
      <c r="L24" s="836"/>
      <c r="M24" s="836"/>
      <c r="N24" s="836"/>
      <c r="O24" s="836"/>
      <c r="P24" s="836"/>
      <c r="Q24" s="836"/>
      <c r="R24" s="837">
        <v>0.1</v>
      </c>
      <c r="T24" s="155">
        <v>1000</v>
      </c>
      <c r="U24" s="155"/>
      <c r="V24" s="155"/>
      <c r="AA24" s="180" t="str">
        <f>VLOOKUP(A24,[2]DG!$A:$C,3,0)</f>
        <v>Boulon 4x60+ 2 long đền vuông</v>
      </c>
    </row>
    <row r="25" spans="1:27" ht="20.100000000000001" hidden="1" customHeight="1">
      <c r="A25" s="872" t="s">
        <v>38</v>
      </c>
      <c r="B25" s="860"/>
      <c r="C25" s="416" t="s">
        <v>39</v>
      </c>
      <c r="D25" s="364" t="s">
        <v>37</v>
      </c>
      <c r="E25" s="833">
        <v>1000</v>
      </c>
      <c r="F25" s="833">
        <f t="shared" si="0"/>
        <v>0</v>
      </c>
      <c r="G25" s="833">
        <f t="shared" si="1"/>
        <v>0</v>
      </c>
      <c r="H25" s="834">
        <v>1</v>
      </c>
      <c r="I25" s="835"/>
      <c r="J25" s="836"/>
      <c r="K25" s="836"/>
      <c r="L25" s="836"/>
      <c r="M25" s="836"/>
      <c r="N25" s="836"/>
      <c r="O25" s="836"/>
      <c r="P25" s="836"/>
      <c r="Q25" s="836"/>
      <c r="R25" s="837">
        <v>0.1</v>
      </c>
      <c r="T25" s="155">
        <v>1000</v>
      </c>
      <c r="U25" s="155"/>
      <c r="V25" s="155"/>
      <c r="AA25" s="180" t="str">
        <f>VLOOKUP(A25,[2]DG!$A:$C,3,0)</f>
        <v>Boulon 6x30+ 2 long đền vuông</v>
      </c>
    </row>
    <row r="26" spans="1:27" ht="20.100000000000001" customHeight="1">
      <c r="A26" s="872" t="s">
        <v>4590</v>
      </c>
      <c r="B26" s="860"/>
      <c r="C26" s="416" t="s">
        <v>4591</v>
      </c>
      <c r="D26" s="364" t="s">
        <v>37</v>
      </c>
      <c r="E26" s="833">
        <v>5000</v>
      </c>
      <c r="F26" s="833">
        <f t="shared" ref="F26" si="6">IF(OR(I26="",J26=""),0,IF(K26*1=0,1,K26)*VLOOKUP(I26,TIENLUONG,4,0)*J26)</f>
        <v>0</v>
      </c>
      <c r="G26" s="833">
        <f t="shared" ref="G26" si="7">L26*VLOOKUP($L$1,CAMAY,2,0)+M26*VLOOKUP($M$1,CAMAY,2,0)+N26*VLOOKUP($N$1,CAMAY,2,0)+O26*VLOOKUP($O$1,CAMAY,2,0)+P26*VLOOKUP($P$1,CAMAY,2,0)</f>
        <v>0</v>
      </c>
      <c r="H26" s="834">
        <v>1</v>
      </c>
      <c r="I26" s="835"/>
      <c r="J26" s="836"/>
      <c r="K26" s="836"/>
      <c r="L26" s="836"/>
      <c r="M26" s="836"/>
      <c r="N26" s="836"/>
      <c r="O26" s="836"/>
      <c r="P26" s="836"/>
      <c r="Q26" s="836"/>
      <c r="R26" s="837">
        <v>0.1</v>
      </c>
      <c r="T26" s="155">
        <v>1000</v>
      </c>
      <c r="U26" s="155"/>
      <c r="V26" s="155"/>
      <c r="AA26" s="180" t="str">
        <f>VLOOKUP(A26,[2]DG!$A:$C,3,0)</f>
        <v>Boulon giản chân M10</v>
      </c>
    </row>
    <row r="27" spans="1:27" ht="20.100000000000001" hidden="1" customHeight="1">
      <c r="A27" s="872" t="s">
        <v>40</v>
      </c>
      <c r="B27" s="860"/>
      <c r="C27" s="416" t="s">
        <v>41</v>
      </c>
      <c r="D27" s="364" t="s">
        <v>37</v>
      </c>
      <c r="E27" s="833">
        <v>4000</v>
      </c>
      <c r="F27" s="833">
        <f t="shared" si="0"/>
        <v>0</v>
      </c>
      <c r="G27" s="833">
        <f t="shared" si="1"/>
        <v>0</v>
      </c>
      <c r="H27" s="834">
        <v>1</v>
      </c>
      <c r="I27" s="835"/>
      <c r="J27" s="836"/>
      <c r="K27" s="836"/>
      <c r="L27" s="836"/>
      <c r="M27" s="836"/>
      <c r="N27" s="836"/>
      <c r="O27" s="836"/>
      <c r="P27" s="836"/>
      <c r="Q27" s="836"/>
      <c r="R27" s="837">
        <v>0.1</v>
      </c>
      <c r="T27" s="155">
        <v>4000</v>
      </c>
      <c r="U27" s="155"/>
      <c r="V27" s="155"/>
      <c r="AA27" s="180" t="str">
        <f>VLOOKUP(A27,[2]DG!$A:$C,3,0)</f>
        <v>Boulon thau 10x30 + 2 long đền vuông</v>
      </c>
    </row>
    <row r="28" spans="1:27" ht="20.100000000000001" hidden="1" customHeight="1">
      <c r="A28" s="872" t="s">
        <v>42</v>
      </c>
      <c r="B28" s="860"/>
      <c r="C28" s="416" t="s">
        <v>43</v>
      </c>
      <c r="D28" s="364" t="s">
        <v>37</v>
      </c>
      <c r="E28" s="833">
        <v>1500</v>
      </c>
      <c r="F28" s="833">
        <f t="shared" si="0"/>
        <v>0</v>
      </c>
      <c r="G28" s="833">
        <f t="shared" si="1"/>
        <v>0</v>
      </c>
      <c r="H28" s="834">
        <v>1</v>
      </c>
      <c r="I28" s="835"/>
      <c r="J28" s="836"/>
      <c r="K28" s="836"/>
      <c r="L28" s="836"/>
      <c r="M28" s="836"/>
      <c r="N28" s="836"/>
      <c r="O28" s="836"/>
      <c r="P28" s="836"/>
      <c r="Q28" s="836"/>
      <c r="R28" s="837">
        <v>0.1</v>
      </c>
      <c r="T28" s="155">
        <v>1500</v>
      </c>
      <c r="U28" s="155"/>
      <c r="V28" s="155"/>
      <c r="AA28" s="180" t="str">
        <f>VLOOKUP(A28,[2]DG!$A:$C,3,0)</f>
        <v>Boulon 10x40+ 2 long đền vuông D12-50x50x3/Zn</v>
      </c>
    </row>
    <row r="29" spans="1:27" ht="20.100000000000001" hidden="1" customHeight="1">
      <c r="A29" s="872" t="s">
        <v>44</v>
      </c>
      <c r="B29" s="860"/>
      <c r="C29" s="416" t="s">
        <v>45</v>
      </c>
      <c r="D29" s="364" t="s">
        <v>37</v>
      </c>
      <c r="E29" s="833">
        <v>1500</v>
      </c>
      <c r="F29" s="833">
        <f t="shared" si="0"/>
        <v>0</v>
      </c>
      <c r="G29" s="833">
        <f t="shared" si="1"/>
        <v>0</v>
      </c>
      <c r="H29" s="834">
        <v>1</v>
      </c>
      <c r="I29" s="835"/>
      <c r="J29" s="836"/>
      <c r="K29" s="836"/>
      <c r="L29" s="836"/>
      <c r="M29" s="836"/>
      <c r="N29" s="836"/>
      <c r="O29" s="836"/>
      <c r="P29" s="836"/>
      <c r="Q29" s="836"/>
      <c r="R29" s="837">
        <v>0.1</v>
      </c>
      <c r="T29" s="155">
        <v>1500</v>
      </c>
      <c r="U29" s="155"/>
      <c r="V29" s="155"/>
      <c r="AA29" s="180" t="str">
        <f>VLOOKUP(A29,[2]DG!$A:$C,3,0)</f>
        <v>Boulon 10x50+ 2 long đền vuông D12-50x50x3/Zn</v>
      </c>
    </row>
    <row r="30" spans="1:27" ht="20.100000000000001" hidden="1" customHeight="1">
      <c r="A30" s="872" t="s">
        <v>46</v>
      </c>
      <c r="B30" s="860"/>
      <c r="C30" s="416" t="s">
        <v>47</v>
      </c>
      <c r="D30" s="364" t="s">
        <v>37</v>
      </c>
      <c r="E30" s="833">
        <v>3500</v>
      </c>
      <c r="F30" s="833">
        <f t="shared" si="0"/>
        <v>0</v>
      </c>
      <c r="G30" s="833">
        <f t="shared" si="1"/>
        <v>0</v>
      </c>
      <c r="H30" s="834">
        <v>1</v>
      </c>
      <c r="I30" s="835"/>
      <c r="J30" s="836"/>
      <c r="K30" s="836"/>
      <c r="L30" s="836"/>
      <c r="M30" s="836"/>
      <c r="N30" s="836"/>
      <c r="O30" s="836"/>
      <c r="P30" s="836"/>
      <c r="Q30" s="836"/>
      <c r="R30" s="837">
        <v>0.15</v>
      </c>
      <c r="T30" s="155">
        <v>3500</v>
      </c>
      <c r="U30" s="155"/>
      <c r="V30" s="155"/>
      <c r="AA30" s="180" t="str">
        <f>VLOOKUP(A30,[2]DG!$A:$C,3,0)</f>
        <v>Boulon 10x250+ 2 long đền vuông D14-50x50x3/Zn</v>
      </c>
    </row>
    <row r="31" spans="1:27" ht="20.100000000000001" hidden="1" customHeight="1">
      <c r="A31" s="872" t="s">
        <v>48</v>
      </c>
      <c r="B31" s="860"/>
      <c r="C31" s="416" t="s">
        <v>49</v>
      </c>
      <c r="D31" s="364" t="s">
        <v>37</v>
      </c>
      <c r="E31" s="833">
        <v>1400</v>
      </c>
      <c r="F31" s="833">
        <f t="shared" si="0"/>
        <v>0</v>
      </c>
      <c r="G31" s="833">
        <f t="shared" si="1"/>
        <v>0</v>
      </c>
      <c r="H31" s="834">
        <v>1</v>
      </c>
      <c r="I31" s="835"/>
      <c r="J31" s="836"/>
      <c r="K31" s="836"/>
      <c r="L31" s="836"/>
      <c r="M31" s="836"/>
      <c r="N31" s="836"/>
      <c r="O31" s="836"/>
      <c r="P31" s="836"/>
      <c r="Q31" s="836"/>
      <c r="R31" s="837">
        <v>0.15</v>
      </c>
      <c r="T31" s="155">
        <v>1400</v>
      </c>
      <c r="U31" s="155"/>
      <c r="V31" s="155"/>
      <c r="AA31" s="180" t="str">
        <f>VLOOKUP(A31,[2]DG!$A:$C,3,0)</f>
        <v>Boulon 12x30+ 2 long đền vuông D14-50x50x3/Zn</v>
      </c>
    </row>
    <row r="32" spans="1:27" ht="20.100000000000001" hidden="1" customHeight="1">
      <c r="A32" s="872" t="s">
        <v>50</v>
      </c>
      <c r="B32" s="860">
        <v>0</v>
      </c>
      <c r="C32" s="416" t="s">
        <v>51</v>
      </c>
      <c r="D32" s="364" t="s">
        <v>37</v>
      </c>
      <c r="E32" s="833">
        <v>3000</v>
      </c>
      <c r="F32" s="833">
        <f t="shared" si="0"/>
        <v>0</v>
      </c>
      <c r="G32" s="833">
        <f t="shared" si="1"/>
        <v>0</v>
      </c>
      <c r="H32" s="834" t="s">
        <v>4065</v>
      </c>
      <c r="I32" s="835"/>
      <c r="J32" s="836"/>
      <c r="K32" s="836"/>
      <c r="L32" s="836"/>
      <c r="M32" s="836"/>
      <c r="N32" s="836"/>
      <c r="O32" s="836"/>
      <c r="P32" s="836"/>
      <c r="Q32" s="836"/>
      <c r="R32" s="837">
        <v>0.15</v>
      </c>
      <c r="T32" s="155">
        <v>2500</v>
      </c>
      <c r="U32" s="155">
        <v>0</v>
      </c>
      <c r="V32" s="155">
        <v>0</v>
      </c>
      <c r="AA32" s="180" t="str">
        <f>VLOOKUP(A32,[2]DG!$A:$C,3,0)</f>
        <v>Boulon 12x40+ 2 long đền vuông D14-50x50x3/Zn</v>
      </c>
    </row>
    <row r="33" spans="1:27" ht="20.100000000000001" hidden="1" customHeight="1">
      <c r="A33" s="872" t="s">
        <v>52</v>
      </c>
      <c r="B33" s="860"/>
      <c r="C33" s="416" t="s">
        <v>53</v>
      </c>
      <c r="D33" s="364" t="s">
        <v>37</v>
      </c>
      <c r="E33" s="833">
        <v>1700</v>
      </c>
      <c r="F33" s="833">
        <f t="shared" si="0"/>
        <v>0</v>
      </c>
      <c r="G33" s="833">
        <f t="shared" si="1"/>
        <v>0</v>
      </c>
      <c r="H33" s="834">
        <v>1</v>
      </c>
      <c r="I33" s="835"/>
      <c r="J33" s="836"/>
      <c r="K33" s="836"/>
      <c r="L33" s="836"/>
      <c r="M33" s="836"/>
      <c r="N33" s="836"/>
      <c r="O33" s="836"/>
      <c r="P33" s="836"/>
      <c r="Q33" s="836"/>
      <c r="R33" s="837">
        <v>0.15</v>
      </c>
      <c r="T33" s="155">
        <v>1700</v>
      </c>
      <c r="U33" s="155"/>
      <c r="V33" s="155"/>
      <c r="AA33" s="180" t="str">
        <f>VLOOKUP(A33,[2]DG!$A:$C,3,0)</f>
        <v>Boulon 12x50+ 2 long đền vuông D14-50x50x3/Zn</v>
      </c>
    </row>
    <row r="34" spans="1:27" ht="20.100000000000001" hidden="1" customHeight="1">
      <c r="A34" s="872" t="s">
        <v>54</v>
      </c>
      <c r="B34" s="860"/>
      <c r="C34" s="416" t="s">
        <v>55</v>
      </c>
      <c r="D34" s="364" t="s">
        <v>37</v>
      </c>
      <c r="E34" s="833">
        <v>1800</v>
      </c>
      <c r="F34" s="833">
        <f t="shared" si="0"/>
        <v>0</v>
      </c>
      <c r="G34" s="833">
        <f t="shared" si="1"/>
        <v>0</v>
      </c>
      <c r="H34" s="834">
        <v>1</v>
      </c>
      <c r="I34" s="835"/>
      <c r="J34" s="836"/>
      <c r="K34" s="836"/>
      <c r="L34" s="836"/>
      <c r="M34" s="836"/>
      <c r="N34" s="836"/>
      <c r="O34" s="836"/>
      <c r="P34" s="836"/>
      <c r="Q34" s="836"/>
      <c r="R34" s="837">
        <v>0.15</v>
      </c>
      <c r="T34" s="155">
        <v>1800</v>
      </c>
      <c r="U34" s="155"/>
      <c r="V34" s="155"/>
      <c r="AA34" s="180" t="str">
        <f>VLOOKUP(A34,[2]DG!$A:$C,3,0)</f>
        <v>Boulon 12x60+ 2 long đền vuông D14-50x50x3/Zn</v>
      </c>
    </row>
    <row r="35" spans="1:27" ht="20.100000000000001" hidden="1" customHeight="1">
      <c r="A35" s="872" t="s">
        <v>56</v>
      </c>
      <c r="B35" s="860"/>
      <c r="C35" s="416" t="s">
        <v>57</v>
      </c>
      <c r="D35" s="364" t="s">
        <v>37</v>
      </c>
      <c r="E35" s="833">
        <v>2000</v>
      </c>
      <c r="F35" s="833">
        <f t="shared" si="0"/>
        <v>0</v>
      </c>
      <c r="G35" s="833">
        <f t="shared" si="1"/>
        <v>0</v>
      </c>
      <c r="H35" s="834">
        <v>1</v>
      </c>
      <c r="I35" s="835"/>
      <c r="J35" s="836"/>
      <c r="K35" s="836"/>
      <c r="L35" s="836"/>
      <c r="M35" s="836"/>
      <c r="N35" s="836"/>
      <c r="O35" s="836"/>
      <c r="P35" s="836"/>
      <c r="Q35" s="836"/>
      <c r="R35" s="837">
        <v>0.1</v>
      </c>
      <c r="T35" s="155">
        <v>2000</v>
      </c>
      <c r="U35" s="155"/>
      <c r="V35" s="155"/>
      <c r="AA35" s="180" t="str">
        <f>VLOOKUP(A35,[2]DG!$A:$C,3,0)</f>
        <v>Boulon 12x80+ 2 long đền vuông D14-50x50x3/Zn</v>
      </c>
    </row>
    <row r="36" spans="1:27" ht="20.100000000000001" hidden="1" customHeight="1">
      <c r="A36" s="872" t="s">
        <v>58</v>
      </c>
      <c r="B36" s="860"/>
      <c r="C36" s="416" t="s">
        <v>59</v>
      </c>
      <c r="D36" s="364" t="s">
        <v>37</v>
      </c>
      <c r="E36" s="833">
        <v>2800</v>
      </c>
      <c r="F36" s="833">
        <f t="shared" si="0"/>
        <v>0</v>
      </c>
      <c r="G36" s="833">
        <f t="shared" si="1"/>
        <v>0</v>
      </c>
      <c r="H36" s="834">
        <v>1</v>
      </c>
      <c r="I36" s="835"/>
      <c r="J36" s="836"/>
      <c r="K36" s="836"/>
      <c r="L36" s="836"/>
      <c r="M36" s="836"/>
      <c r="N36" s="836"/>
      <c r="O36" s="836"/>
      <c r="P36" s="836"/>
      <c r="Q36" s="836"/>
      <c r="R36" s="837">
        <v>0.1</v>
      </c>
      <c r="T36" s="155">
        <v>2800</v>
      </c>
      <c r="U36" s="155"/>
      <c r="V36" s="155"/>
      <c r="AA36" s="180" t="str">
        <f>VLOOKUP(A36,[2]DG!$A:$C,3,0)</f>
        <v>Boulon 12x100+ 2 long đền vuông D14-50x50x3/Zn</v>
      </c>
    </row>
    <row r="37" spans="1:27" ht="20.100000000000001" hidden="1" customHeight="1">
      <c r="A37" s="872" t="s">
        <v>60</v>
      </c>
      <c r="B37" s="860"/>
      <c r="C37" s="416" t="s">
        <v>61</v>
      </c>
      <c r="D37" s="364" t="s">
        <v>37</v>
      </c>
      <c r="E37" s="833">
        <v>3500</v>
      </c>
      <c r="F37" s="833">
        <f t="shared" si="0"/>
        <v>0</v>
      </c>
      <c r="G37" s="833">
        <f t="shared" si="1"/>
        <v>0</v>
      </c>
      <c r="H37" s="834">
        <v>1</v>
      </c>
      <c r="I37" s="835"/>
      <c r="J37" s="836"/>
      <c r="K37" s="836"/>
      <c r="L37" s="836"/>
      <c r="M37" s="836"/>
      <c r="N37" s="836"/>
      <c r="O37" s="836"/>
      <c r="P37" s="836"/>
      <c r="Q37" s="836"/>
      <c r="R37" s="837">
        <v>0.1</v>
      </c>
      <c r="T37" s="155">
        <v>3500</v>
      </c>
      <c r="U37" s="155"/>
      <c r="V37" s="155"/>
      <c r="AA37" s="180" t="str">
        <f>VLOOKUP(A37,[2]DG!$A:$C,3,0)</f>
        <v>Boulon 12x150+ 2 long đền vuông D14-50x50x3/Zn</v>
      </c>
    </row>
    <row r="38" spans="1:27" ht="20.100000000000001" hidden="1" customHeight="1">
      <c r="A38" s="872" t="s">
        <v>62</v>
      </c>
      <c r="B38" s="860"/>
      <c r="C38" s="416" t="s">
        <v>63</v>
      </c>
      <c r="D38" s="364" t="s">
        <v>37</v>
      </c>
      <c r="E38" s="833">
        <v>4200</v>
      </c>
      <c r="F38" s="833">
        <f t="shared" si="0"/>
        <v>0</v>
      </c>
      <c r="G38" s="833">
        <f t="shared" si="1"/>
        <v>0</v>
      </c>
      <c r="H38" s="834">
        <v>1</v>
      </c>
      <c r="I38" s="835"/>
      <c r="J38" s="836"/>
      <c r="K38" s="836"/>
      <c r="L38" s="836"/>
      <c r="M38" s="836"/>
      <c r="N38" s="836"/>
      <c r="O38" s="836"/>
      <c r="P38" s="836"/>
      <c r="Q38" s="836"/>
      <c r="R38" s="837">
        <v>0.1</v>
      </c>
      <c r="T38" s="155">
        <v>4200</v>
      </c>
      <c r="U38" s="155"/>
      <c r="V38" s="155"/>
      <c r="AA38" s="180" t="str">
        <f>VLOOKUP(A38,[2]DG!$A:$C,3,0)</f>
        <v>Boulon 12x200+ 2 long đền vuông D14-50x50x3/Zn</v>
      </c>
    </row>
    <row r="39" spans="1:27" ht="20.100000000000001" hidden="1" customHeight="1">
      <c r="A39" s="872" t="s">
        <v>64</v>
      </c>
      <c r="B39" s="860"/>
      <c r="C39" s="416" t="s">
        <v>65</v>
      </c>
      <c r="D39" s="364" t="s">
        <v>37</v>
      </c>
      <c r="E39" s="833">
        <v>5000</v>
      </c>
      <c r="F39" s="833">
        <f t="shared" si="0"/>
        <v>0</v>
      </c>
      <c r="G39" s="833">
        <f t="shared" si="1"/>
        <v>0</v>
      </c>
      <c r="H39" s="834">
        <v>1</v>
      </c>
      <c r="I39" s="835"/>
      <c r="J39" s="836"/>
      <c r="K39" s="836"/>
      <c r="L39" s="836"/>
      <c r="M39" s="836"/>
      <c r="N39" s="836"/>
      <c r="O39" s="836"/>
      <c r="P39" s="836"/>
      <c r="Q39" s="836"/>
      <c r="R39" s="837">
        <v>0.1</v>
      </c>
      <c r="T39" s="155">
        <v>5000</v>
      </c>
      <c r="U39" s="155"/>
      <c r="V39" s="155"/>
      <c r="AA39" s="180" t="str">
        <f>VLOOKUP(A39,[2]DG!$A:$C,3,0)</f>
        <v>Boulon thau 12x30 + 2 long đền vuông D14-50x50x3/Zn</v>
      </c>
    </row>
    <row r="40" spans="1:27" ht="20.100000000000001" hidden="1" customHeight="1">
      <c r="A40" s="872" t="s">
        <v>66</v>
      </c>
      <c r="B40" s="860"/>
      <c r="C40" s="416" t="s">
        <v>67</v>
      </c>
      <c r="D40" s="364" t="s">
        <v>37</v>
      </c>
      <c r="E40" s="833">
        <v>5000</v>
      </c>
      <c r="F40" s="833">
        <f t="shared" si="0"/>
        <v>0</v>
      </c>
      <c r="G40" s="833">
        <f t="shared" si="1"/>
        <v>0</v>
      </c>
      <c r="H40" s="834">
        <v>1</v>
      </c>
      <c r="I40" s="835"/>
      <c r="J40" s="836"/>
      <c r="K40" s="836"/>
      <c r="L40" s="836"/>
      <c r="M40" s="836"/>
      <c r="N40" s="836"/>
      <c r="O40" s="836"/>
      <c r="P40" s="836"/>
      <c r="Q40" s="836"/>
      <c r="R40" s="837">
        <v>0.1</v>
      </c>
      <c r="T40" s="155">
        <v>5000</v>
      </c>
      <c r="U40" s="155"/>
      <c r="V40" s="155"/>
      <c r="AA40" s="180" t="str">
        <f>VLOOKUP(A40,[2]DG!$A:$C,3,0)</f>
        <v>Boulon thau 12x40 + 2 long đền vuông D14-50x50x3/Zn</v>
      </c>
    </row>
    <row r="41" spans="1:27" ht="20.100000000000001" hidden="1" customHeight="1">
      <c r="A41" s="872" t="s">
        <v>68</v>
      </c>
      <c r="B41" s="860"/>
      <c r="C41" s="416" t="s">
        <v>69</v>
      </c>
      <c r="D41" s="364" t="s">
        <v>37</v>
      </c>
      <c r="E41" s="833">
        <v>5000</v>
      </c>
      <c r="F41" s="833">
        <f t="shared" si="0"/>
        <v>0</v>
      </c>
      <c r="G41" s="833">
        <f t="shared" si="1"/>
        <v>0</v>
      </c>
      <c r="H41" s="834">
        <v>1</v>
      </c>
      <c r="I41" s="835"/>
      <c r="J41" s="836"/>
      <c r="K41" s="836"/>
      <c r="L41" s="836"/>
      <c r="M41" s="836"/>
      <c r="N41" s="836"/>
      <c r="O41" s="836"/>
      <c r="P41" s="836"/>
      <c r="Q41" s="836"/>
      <c r="R41" s="837">
        <v>0.1</v>
      </c>
      <c r="T41" s="155">
        <v>5000</v>
      </c>
      <c r="U41" s="155"/>
      <c r="V41" s="155"/>
      <c r="AA41" s="180" t="str">
        <f>VLOOKUP(A41,[2]DG!$A:$C,3,0)</f>
        <v>Boulon thau 12x50 + 2 long đền vuông D14-50x50x3/Zn</v>
      </c>
    </row>
    <row r="42" spans="1:27" ht="20.100000000000001" hidden="1" customHeight="1">
      <c r="A42" s="872" t="s">
        <v>70</v>
      </c>
      <c r="B42" s="860"/>
      <c r="C42" s="416" t="s">
        <v>71</v>
      </c>
      <c r="D42" s="364" t="s">
        <v>37</v>
      </c>
      <c r="E42" s="833">
        <v>5000</v>
      </c>
      <c r="F42" s="833">
        <f t="shared" si="0"/>
        <v>0</v>
      </c>
      <c r="G42" s="833">
        <f t="shared" si="1"/>
        <v>0</v>
      </c>
      <c r="H42" s="834">
        <v>1</v>
      </c>
      <c r="I42" s="835"/>
      <c r="J42" s="836"/>
      <c r="K42" s="836"/>
      <c r="L42" s="836"/>
      <c r="M42" s="836"/>
      <c r="N42" s="836"/>
      <c r="O42" s="836"/>
      <c r="P42" s="836"/>
      <c r="Q42" s="836"/>
      <c r="R42" s="837">
        <v>0.1</v>
      </c>
      <c r="T42" s="155">
        <v>5000</v>
      </c>
      <c r="U42" s="155"/>
      <c r="V42" s="155"/>
      <c r="AA42" s="180" t="str">
        <f>VLOOKUP(A42,[2]DG!$A:$C,3,0)</f>
        <v>Boulon thau 12x60 + 2 long đền vuông D14-50x50x3/Zn</v>
      </c>
    </row>
    <row r="43" spans="1:27" ht="20.100000000000001" hidden="1" customHeight="1">
      <c r="A43" s="872" t="s">
        <v>72</v>
      </c>
      <c r="B43" s="860"/>
      <c r="C43" s="416" t="s">
        <v>73</v>
      </c>
      <c r="D43" s="364" t="s">
        <v>37</v>
      </c>
      <c r="E43" s="833">
        <v>5000</v>
      </c>
      <c r="F43" s="833">
        <f t="shared" si="0"/>
        <v>0</v>
      </c>
      <c r="G43" s="833">
        <f t="shared" si="1"/>
        <v>0</v>
      </c>
      <c r="H43" s="834">
        <v>1</v>
      </c>
      <c r="I43" s="835"/>
      <c r="J43" s="836"/>
      <c r="K43" s="836"/>
      <c r="L43" s="836"/>
      <c r="M43" s="836"/>
      <c r="N43" s="836"/>
      <c r="O43" s="836"/>
      <c r="P43" s="836"/>
      <c r="Q43" s="836"/>
      <c r="R43" s="837">
        <v>0.2</v>
      </c>
      <c r="T43" s="155">
        <v>5000</v>
      </c>
      <c r="U43" s="155"/>
      <c r="V43" s="155"/>
      <c r="AA43" s="180" t="str">
        <f>VLOOKUP(A43,[2]DG!$A:$C,3,0)</f>
        <v>Boulon 14x50+ 2 long đền vuông D16-50x50x3/Zn</v>
      </c>
    </row>
    <row r="44" spans="1:27" ht="20.100000000000001" hidden="1" customHeight="1">
      <c r="A44" s="872" t="s">
        <v>3443</v>
      </c>
      <c r="B44" s="860"/>
      <c r="C44" s="416" t="s">
        <v>73</v>
      </c>
      <c r="D44" s="364" t="s">
        <v>37</v>
      </c>
      <c r="E44" s="833">
        <v>5000</v>
      </c>
      <c r="F44" s="833">
        <f t="shared" ref="F44" si="8">IF(OR(I44="",J44=""),0,IF(K44*1=0,1,K44)*VLOOKUP(I44,TIENLUONG,4,0)*J44)</f>
        <v>0</v>
      </c>
      <c r="G44" s="833">
        <f t="shared" ref="G44" si="9">L44*VLOOKUP($L$1,CAMAY,2,0)+M44*VLOOKUP($M$1,CAMAY,2,0)+N44*VLOOKUP($N$1,CAMAY,2,0)+O44*VLOOKUP($O$1,CAMAY,2,0)+P44*VLOOKUP($P$1,CAMAY,2,0)</f>
        <v>0</v>
      </c>
      <c r="H44" s="834">
        <v>1</v>
      </c>
      <c r="I44" s="835"/>
      <c r="J44" s="836"/>
      <c r="K44" s="836"/>
      <c r="L44" s="836"/>
      <c r="M44" s="836"/>
      <c r="N44" s="836"/>
      <c r="O44" s="836"/>
      <c r="P44" s="836"/>
      <c r="Q44" s="836"/>
      <c r="R44" s="837">
        <v>0.2</v>
      </c>
      <c r="T44" s="155">
        <v>5000</v>
      </c>
      <c r="U44" s="155"/>
      <c r="V44" s="155"/>
      <c r="AA44" s="180" t="str">
        <f>VLOOKUP(A44,[2]DG!$A:$C,3,0)</f>
        <v>Boulon 14x100+ 2 long đền vuông D16-50x50x3/Zn</v>
      </c>
    </row>
    <row r="45" spans="1:27" ht="20.100000000000001" hidden="1" customHeight="1">
      <c r="A45" s="872" t="s">
        <v>2473</v>
      </c>
      <c r="B45" s="860">
        <v>0</v>
      </c>
      <c r="C45" s="416" t="s">
        <v>2474</v>
      </c>
      <c r="D45" s="364" t="s">
        <v>37</v>
      </c>
      <c r="E45" s="833">
        <v>12500</v>
      </c>
      <c r="F45" s="833">
        <f t="shared" si="0"/>
        <v>0</v>
      </c>
      <c r="G45" s="833">
        <f t="shared" si="1"/>
        <v>0</v>
      </c>
      <c r="H45" s="834" t="s">
        <v>4065</v>
      </c>
      <c r="I45" s="835"/>
      <c r="J45" s="836"/>
      <c r="K45" s="836"/>
      <c r="L45" s="836"/>
      <c r="M45" s="836"/>
      <c r="N45" s="836"/>
      <c r="O45" s="836"/>
      <c r="P45" s="836"/>
      <c r="Q45" s="836"/>
      <c r="R45" s="837">
        <v>0.1</v>
      </c>
      <c r="T45" s="155">
        <v>13300</v>
      </c>
      <c r="U45" s="155">
        <v>0</v>
      </c>
      <c r="V45" s="155">
        <v>0</v>
      </c>
      <c r="AA45" s="180" t="str">
        <f>VLOOKUP(A45,[2]DG!$A:$C,3,0)</f>
        <v>Boulon 14x150+ 2 long đền vuông D16-50x50x3/Zn</v>
      </c>
    </row>
    <row r="46" spans="1:27" ht="20.100000000000001" hidden="1" customHeight="1">
      <c r="A46" s="873" t="s">
        <v>74</v>
      </c>
      <c r="B46" s="860"/>
      <c r="C46" s="416" t="s">
        <v>75</v>
      </c>
      <c r="D46" s="364" t="s">
        <v>37</v>
      </c>
      <c r="E46" s="833" t="e">
        <f>7000+2*LD+TAN</f>
        <v>#REF!</v>
      </c>
      <c r="F46" s="833">
        <f t="shared" si="0"/>
        <v>0</v>
      </c>
      <c r="G46" s="833">
        <f t="shared" si="1"/>
        <v>0</v>
      </c>
      <c r="H46" s="834">
        <v>1</v>
      </c>
      <c r="I46" s="835"/>
      <c r="J46" s="836"/>
      <c r="K46" s="836"/>
      <c r="L46" s="836"/>
      <c r="M46" s="836"/>
      <c r="N46" s="836"/>
      <c r="O46" s="836"/>
      <c r="P46" s="836"/>
      <c r="Q46" s="836"/>
      <c r="R46" s="837">
        <v>0.2</v>
      </c>
      <c r="T46" s="155">
        <v>2500</v>
      </c>
      <c r="U46" s="155"/>
      <c r="V46" s="155"/>
      <c r="AA46" s="180" t="str">
        <f>VLOOKUP(A46,[2]DG!$A:$C,3,0)</f>
        <v>Boulon 16x40+ 2 long đền vuông D18-50x50x3/Zn</v>
      </c>
    </row>
    <row r="47" spans="1:27" ht="20.100000000000001" hidden="1" customHeight="1">
      <c r="A47" s="874" t="s">
        <v>76</v>
      </c>
      <c r="B47" s="859"/>
      <c r="C47" s="416" t="s">
        <v>77</v>
      </c>
      <c r="D47" s="364" t="s">
        <v>37</v>
      </c>
      <c r="E47" s="833" t="e">
        <f>7800+2*LD+TAN</f>
        <v>#REF!</v>
      </c>
      <c r="F47" s="833">
        <f t="shared" si="0"/>
        <v>0</v>
      </c>
      <c r="G47" s="833">
        <f t="shared" si="1"/>
        <v>0</v>
      </c>
      <c r="H47" s="834" t="s">
        <v>4065</v>
      </c>
      <c r="I47" s="835"/>
      <c r="J47" s="836"/>
      <c r="K47" s="836"/>
      <c r="L47" s="836"/>
      <c r="M47" s="836"/>
      <c r="N47" s="836"/>
      <c r="O47" s="836"/>
      <c r="P47" s="836"/>
      <c r="Q47" s="836"/>
      <c r="R47" s="837">
        <v>0.25</v>
      </c>
      <c r="T47" s="155">
        <v>11800</v>
      </c>
      <c r="U47" s="155">
        <v>0</v>
      </c>
      <c r="V47" s="155">
        <v>0</v>
      </c>
      <c r="AA47" s="180" t="str">
        <f>VLOOKUP(A47,[2]DG!$A:$C,3,0)</f>
        <v>Boulon 16x50+ 2 long đền vuông D18-50x50x3/Zn</v>
      </c>
    </row>
    <row r="48" spans="1:27" ht="20.100000000000001" hidden="1" customHeight="1">
      <c r="A48" s="874" t="s">
        <v>78</v>
      </c>
      <c r="B48" s="859"/>
      <c r="C48" s="416" t="s">
        <v>79</v>
      </c>
      <c r="D48" s="364" t="s">
        <v>37</v>
      </c>
      <c r="E48" s="833" t="e">
        <f>12000+2*LD+TAN</f>
        <v>#REF!</v>
      </c>
      <c r="F48" s="833">
        <f t="shared" si="0"/>
        <v>0</v>
      </c>
      <c r="G48" s="833">
        <f t="shared" si="1"/>
        <v>0</v>
      </c>
      <c r="H48" s="834">
        <v>1</v>
      </c>
      <c r="I48" s="835"/>
      <c r="J48" s="836"/>
      <c r="K48" s="836"/>
      <c r="L48" s="836"/>
      <c r="M48" s="836"/>
      <c r="N48" s="836"/>
      <c r="O48" s="836"/>
      <c r="P48" s="836"/>
      <c r="Q48" s="836"/>
      <c r="R48" s="837">
        <v>0.2</v>
      </c>
      <c r="T48" s="155">
        <v>3800</v>
      </c>
      <c r="U48" s="155"/>
      <c r="V48" s="155"/>
      <c r="AA48" s="180" t="str">
        <f>VLOOKUP(A48,[2]DG!$A:$C,3,0)</f>
        <v>Boulon 16x100+ 2 long đền vuông D18-50x50x3/Zn</v>
      </c>
    </row>
    <row r="49" spans="1:27" ht="20.100000000000001" hidden="1" customHeight="1">
      <c r="A49" s="874" t="s">
        <v>80</v>
      </c>
      <c r="B49" s="859"/>
      <c r="C49" s="416" t="s">
        <v>81</v>
      </c>
      <c r="D49" s="364" t="s">
        <v>37</v>
      </c>
      <c r="E49" s="833" t="e">
        <f>13000+2*LD+TAN</f>
        <v>#REF!</v>
      </c>
      <c r="F49" s="833">
        <f t="shared" si="0"/>
        <v>0</v>
      </c>
      <c r="G49" s="833">
        <f t="shared" si="1"/>
        <v>0</v>
      </c>
      <c r="H49" s="834">
        <v>1</v>
      </c>
      <c r="I49" s="835"/>
      <c r="J49" s="836"/>
      <c r="K49" s="836"/>
      <c r="L49" s="836"/>
      <c r="M49" s="836"/>
      <c r="N49" s="836"/>
      <c r="O49" s="836"/>
      <c r="P49" s="836"/>
      <c r="Q49" s="836"/>
      <c r="R49" s="837">
        <v>0.2</v>
      </c>
      <c r="T49" s="155">
        <v>5100</v>
      </c>
      <c r="U49" s="155"/>
      <c r="V49" s="155"/>
      <c r="AA49" s="180" t="str">
        <f>VLOOKUP(A49,[2]DG!$A:$C,3,0)</f>
        <v>Boulon 16x150+ 2 long đền vuông D18-50x50x3/Zn</v>
      </c>
    </row>
    <row r="50" spans="1:27" ht="20.100000000000001" hidden="1" customHeight="1">
      <c r="A50" s="874" t="s">
        <v>82</v>
      </c>
      <c r="B50" s="859"/>
      <c r="C50" s="416" t="s">
        <v>83</v>
      </c>
      <c r="D50" s="364" t="s">
        <v>37</v>
      </c>
      <c r="E50" s="833" t="e">
        <f>16000+2*LD+TAN</f>
        <v>#REF!</v>
      </c>
      <c r="F50" s="833">
        <f t="shared" si="0"/>
        <v>0</v>
      </c>
      <c r="G50" s="833">
        <f t="shared" si="1"/>
        <v>0</v>
      </c>
      <c r="H50" s="834">
        <v>1</v>
      </c>
      <c r="I50" s="835"/>
      <c r="J50" s="836"/>
      <c r="K50" s="836"/>
      <c r="L50" s="836"/>
      <c r="M50" s="836"/>
      <c r="N50" s="836"/>
      <c r="O50" s="836"/>
      <c r="P50" s="836"/>
      <c r="Q50" s="836"/>
      <c r="R50" s="837">
        <v>0.3</v>
      </c>
      <c r="T50" s="155">
        <v>5700</v>
      </c>
      <c r="U50" s="155"/>
      <c r="V50" s="155"/>
      <c r="AA50" s="180" t="str">
        <f>VLOOKUP(A50,[2]DG!$A:$C,3,0)</f>
        <v>Boulon 16x200+ 2 long đền vuông D18-50x50x3/Zn</v>
      </c>
    </row>
    <row r="51" spans="1:27" ht="20.100000000000001" hidden="1" customHeight="1">
      <c r="A51" s="872" t="s">
        <v>84</v>
      </c>
      <c r="B51" s="860">
        <v>0</v>
      </c>
      <c r="C51" s="416" t="s">
        <v>85</v>
      </c>
      <c r="D51" s="364" t="s">
        <v>37</v>
      </c>
      <c r="E51" s="833" t="e">
        <f>18000+2*LD+TAN</f>
        <v>#REF!</v>
      </c>
      <c r="F51" s="833">
        <f t="shared" si="0"/>
        <v>0</v>
      </c>
      <c r="G51" s="833">
        <f t="shared" si="1"/>
        <v>0</v>
      </c>
      <c r="H51" s="834" t="s">
        <v>4065</v>
      </c>
      <c r="I51" s="835"/>
      <c r="J51" s="836"/>
      <c r="K51" s="836"/>
      <c r="L51" s="836"/>
      <c r="M51" s="836"/>
      <c r="N51" s="836"/>
      <c r="O51" s="836"/>
      <c r="P51" s="836"/>
      <c r="Q51" s="836"/>
      <c r="R51" s="837">
        <v>0.23</v>
      </c>
      <c r="T51" s="155">
        <v>21600</v>
      </c>
      <c r="U51" s="155">
        <v>0</v>
      </c>
      <c r="V51" s="155">
        <v>0</v>
      </c>
      <c r="AA51" s="180" t="str">
        <f>VLOOKUP(A51,[2]DG!$A:$C,3,0)</f>
        <v>Boulon 16x250+ 2 long đền vuông D18-50x50x3/Zn</v>
      </c>
    </row>
    <row r="52" spans="1:27" ht="20.100000000000001" hidden="1" customHeight="1">
      <c r="A52" s="872" t="s">
        <v>86</v>
      </c>
      <c r="B52" s="860">
        <v>0</v>
      </c>
      <c r="C52" s="421" t="s">
        <v>87</v>
      </c>
      <c r="D52" s="364" t="s">
        <v>37</v>
      </c>
      <c r="E52" s="833" t="e">
        <f>21000+2*LD+TAN</f>
        <v>#REF!</v>
      </c>
      <c r="F52" s="833">
        <f t="shared" si="0"/>
        <v>0</v>
      </c>
      <c r="G52" s="833">
        <f t="shared" si="1"/>
        <v>0</v>
      </c>
      <c r="H52" s="834" t="s">
        <v>4065</v>
      </c>
      <c r="I52" s="835"/>
      <c r="J52" s="836"/>
      <c r="K52" s="836"/>
      <c r="L52" s="836"/>
      <c r="M52" s="836"/>
      <c r="N52" s="836"/>
      <c r="O52" s="836"/>
      <c r="P52" s="836"/>
      <c r="Q52" s="836"/>
      <c r="R52" s="837">
        <v>0.25</v>
      </c>
      <c r="T52" s="155">
        <v>24000</v>
      </c>
      <c r="U52" s="155">
        <v>0</v>
      </c>
      <c r="V52" s="155">
        <v>0</v>
      </c>
      <c r="AA52" s="180" t="str">
        <f>VLOOKUP(A52,[2]DG!$A:$C,3,0)</f>
        <v>Boulon 16x300+ 2 long đền vuông D18-50x50x3/Zn</v>
      </c>
    </row>
    <row r="53" spans="1:27" ht="20.100000000000001" hidden="1" customHeight="1">
      <c r="A53" s="874" t="s">
        <v>88</v>
      </c>
      <c r="B53" s="859">
        <v>0</v>
      </c>
      <c r="C53" s="416" t="s">
        <v>89</v>
      </c>
      <c r="D53" s="364" t="s">
        <v>37</v>
      </c>
      <c r="E53" s="833" t="e">
        <f>23000+2*LD+TAN</f>
        <v>#REF!</v>
      </c>
      <c r="F53" s="833">
        <f t="shared" si="0"/>
        <v>0</v>
      </c>
      <c r="G53" s="833">
        <f t="shared" si="1"/>
        <v>0</v>
      </c>
      <c r="H53" s="834">
        <v>42312</v>
      </c>
      <c r="I53" s="835"/>
      <c r="J53" s="836"/>
      <c r="K53" s="836"/>
      <c r="L53" s="836"/>
      <c r="M53" s="836"/>
      <c r="N53" s="836"/>
      <c r="O53" s="836"/>
      <c r="P53" s="836"/>
      <c r="Q53" s="836"/>
      <c r="R53" s="837">
        <v>0.3</v>
      </c>
      <c r="T53" s="155">
        <v>26500</v>
      </c>
      <c r="U53" s="155">
        <v>0</v>
      </c>
      <c r="V53" s="155">
        <v>0</v>
      </c>
      <c r="AA53" s="180" t="str">
        <f>VLOOKUP(A53,[2]DG!$A:$C,3,0)</f>
        <v>Boulon 16x350+ 2 long đền vuông D18-50x50x3/Zn</v>
      </c>
    </row>
    <row r="54" spans="1:27" ht="20.100000000000001" hidden="1" customHeight="1">
      <c r="A54" s="874" t="s">
        <v>90</v>
      </c>
      <c r="B54" s="859">
        <v>0</v>
      </c>
      <c r="C54" s="416" t="s">
        <v>91</v>
      </c>
      <c r="D54" s="364" t="s">
        <v>37</v>
      </c>
      <c r="E54" s="833" t="e">
        <f>26000+2*LD+TAN</f>
        <v>#REF!</v>
      </c>
      <c r="F54" s="833">
        <f t="shared" si="0"/>
        <v>0</v>
      </c>
      <c r="G54" s="833">
        <f t="shared" si="1"/>
        <v>0</v>
      </c>
      <c r="H54" s="834">
        <v>42312</v>
      </c>
      <c r="I54" s="835"/>
      <c r="J54" s="836"/>
      <c r="K54" s="836"/>
      <c r="L54" s="836"/>
      <c r="M54" s="836"/>
      <c r="N54" s="836"/>
      <c r="O54" s="836"/>
      <c r="P54" s="836"/>
      <c r="Q54" s="836"/>
      <c r="R54" s="837">
        <v>0.35</v>
      </c>
      <c r="T54" s="155">
        <v>29700</v>
      </c>
      <c r="U54" s="155">
        <v>0</v>
      </c>
      <c r="V54" s="155">
        <v>0</v>
      </c>
      <c r="AA54" s="180" t="str">
        <f>VLOOKUP(A54,[2]DG!$A:$C,3,0)</f>
        <v>Boulon 16x400+ 2 long đền vuông D18-50x50x3/Zn</v>
      </c>
    </row>
    <row r="55" spans="1:27" ht="20.100000000000001" hidden="1" customHeight="1">
      <c r="A55" s="874" t="s">
        <v>92</v>
      </c>
      <c r="B55" s="859">
        <v>0</v>
      </c>
      <c r="C55" s="416" t="s">
        <v>93</v>
      </c>
      <c r="D55" s="364" t="s">
        <v>37</v>
      </c>
      <c r="E55" s="833" t="e">
        <f>29000+2*LD+TAN</f>
        <v>#REF!</v>
      </c>
      <c r="F55" s="833">
        <f t="shared" si="0"/>
        <v>0</v>
      </c>
      <c r="G55" s="833">
        <f t="shared" si="1"/>
        <v>0</v>
      </c>
      <c r="H55" s="834" t="s">
        <v>4065</v>
      </c>
      <c r="I55" s="835"/>
      <c r="J55" s="836"/>
      <c r="K55" s="836"/>
      <c r="L55" s="836"/>
      <c r="M55" s="836"/>
      <c r="N55" s="836"/>
      <c r="O55" s="836"/>
      <c r="P55" s="836"/>
      <c r="Q55" s="836"/>
      <c r="R55" s="837">
        <v>0.35</v>
      </c>
      <c r="T55" s="155">
        <v>10500</v>
      </c>
      <c r="U55" s="155"/>
      <c r="V55" s="155"/>
      <c r="AA55" s="180" t="str">
        <f>VLOOKUP(A55,[2]DG!$A:$C,3,0)</f>
        <v>Boulon 16x450+ 2 long đền vuông D18-50x50x3/Zn</v>
      </c>
    </row>
    <row r="56" spans="1:27" ht="20.100000000000001" hidden="1" customHeight="1">
      <c r="A56" s="874" t="s">
        <v>94</v>
      </c>
      <c r="B56" s="859">
        <v>0</v>
      </c>
      <c r="C56" s="416" t="s">
        <v>95</v>
      </c>
      <c r="D56" s="364" t="s">
        <v>37</v>
      </c>
      <c r="E56" s="833" t="e">
        <f>31000+2*LD+TAN</f>
        <v>#REF!</v>
      </c>
      <c r="F56" s="833">
        <f t="shared" si="0"/>
        <v>0</v>
      </c>
      <c r="G56" s="833">
        <f t="shared" si="1"/>
        <v>0</v>
      </c>
      <c r="H56" s="834">
        <v>42525</v>
      </c>
      <c r="I56" s="835"/>
      <c r="J56" s="836"/>
      <c r="K56" s="836"/>
      <c r="L56" s="836"/>
      <c r="M56" s="836"/>
      <c r="N56" s="836"/>
      <c r="O56" s="836"/>
      <c r="P56" s="836"/>
      <c r="Q56" s="836"/>
      <c r="R56" s="837">
        <v>0.5</v>
      </c>
      <c r="T56" s="155">
        <v>33500</v>
      </c>
      <c r="U56" s="155">
        <v>0</v>
      </c>
      <c r="V56" s="155">
        <v>0</v>
      </c>
      <c r="AA56" s="180" t="str">
        <f>VLOOKUP(A56,[2]DG!$A:$C,3,0)</f>
        <v>Boulon 16x500+ 2 long đền vuông D18-50x50x3/Zn</v>
      </c>
    </row>
    <row r="57" spans="1:27" ht="20.100000000000001" hidden="1" customHeight="1">
      <c r="A57" s="874" t="s">
        <v>4416</v>
      </c>
      <c r="B57" s="859">
        <v>0</v>
      </c>
      <c r="C57" s="416" t="s">
        <v>4417</v>
      </c>
      <c r="D57" s="364" t="s">
        <v>37</v>
      </c>
      <c r="E57" s="833" t="e">
        <f>34000+2*LD+TAN</f>
        <v>#REF!</v>
      </c>
      <c r="F57" s="833">
        <f t="shared" ref="F57" si="10">IF(OR(I57="",J57=""),0,IF(K57*1=0,1,K57)*VLOOKUP(I57,TIENLUONG,4,0)*J57)</f>
        <v>0</v>
      </c>
      <c r="G57" s="833">
        <f t="shared" ref="G57" si="11">L57*VLOOKUP($L$1,CAMAY,2,0)+M57*VLOOKUP($M$1,CAMAY,2,0)+N57*VLOOKUP($N$1,CAMAY,2,0)+O57*VLOOKUP($O$1,CAMAY,2,0)+P57*VLOOKUP($P$1,CAMAY,2,0)</f>
        <v>0</v>
      </c>
      <c r="H57" s="834">
        <v>42525</v>
      </c>
      <c r="I57" s="835"/>
      <c r="J57" s="836"/>
      <c r="K57" s="836"/>
      <c r="L57" s="836"/>
      <c r="M57" s="836"/>
      <c r="N57" s="836"/>
      <c r="O57" s="836"/>
      <c r="P57" s="836"/>
      <c r="Q57" s="836"/>
      <c r="R57" s="837">
        <v>0.5</v>
      </c>
      <c r="T57" s="155">
        <v>33500</v>
      </c>
      <c r="U57" s="155">
        <v>0</v>
      </c>
      <c r="V57" s="155">
        <v>0</v>
      </c>
      <c r="AA57" s="180" t="str">
        <f>VLOOKUP(A57,[2]DG!$A:$C,3,0)</f>
        <v>Boulon 16x550+ long đền vuông D18-50x50x3/Zn</v>
      </c>
    </row>
    <row r="58" spans="1:27" ht="20.100000000000001" hidden="1" customHeight="1">
      <c r="A58" s="874" t="s">
        <v>96</v>
      </c>
      <c r="B58" s="859">
        <v>0</v>
      </c>
      <c r="C58" s="416" t="s">
        <v>97</v>
      </c>
      <c r="D58" s="364" t="s">
        <v>37</v>
      </c>
      <c r="E58" s="833" t="e">
        <f>37000+2*LD+TAN</f>
        <v>#REF!</v>
      </c>
      <c r="F58" s="833">
        <f t="shared" si="0"/>
        <v>0</v>
      </c>
      <c r="G58" s="833">
        <f t="shared" si="1"/>
        <v>0</v>
      </c>
      <c r="H58" s="834">
        <v>42525</v>
      </c>
      <c r="I58" s="835"/>
      <c r="J58" s="836"/>
      <c r="K58" s="836"/>
      <c r="L58" s="836"/>
      <c r="M58" s="836"/>
      <c r="N58" s="836"/>
      <c r="O58" s="836"/>
      <c r="P58" s="836"/>
      <c r="Q58" s="836"/>
      <c r="R58" s="837">
        <v>0.5</v>
      </c>
      <c r="T58" s="155">
        <v>40900</v>
      </c>
      <c r="U58" s="155">
        <v>0</v>
      </c>
      <c r="V58" s="155">
        <v>0</v>
      </c>
      <c r="AA58" s="180" t="str">
        <f>VLOOKUP(A58,[2]DG!$A:$C,3,0)</f>
        <v>Boulon 16x600+ 2 long đền vuông D18-50x50x3/Zn</v>
      </c>
    </row>
    <row r="59" spans="1:27" ht="20.100000000000001" customHeight="1">
      <c r="A59" s="874" t="s">
        <v>3444</v>
      </c>
      <c r="B59" s="859">
        <v>0</v>
      </c>
      <c r="C59" s="416" t="s">
        <v>3455</v>
      </c>
      <c r="D59" s="364" t="s">
        <v>37</v>
      </c>
      <c r="E59" s="833" t="e">
        <f>41000+2*LD+TAN</f>
        <v>#REF!</v>
      </c>
      <c r="F59" s="833">
        <f t="shared" ref="F59" si="12">IF(OR(I59="",J59=""),0,IF(K59*1=0,1,K59)*VLOOKUP(I59,TIENLUONG,4,0)*J59)</f>
        <v>0</v>
      </c>
      <c r="G59" s="833">
        <f t="shared" ref="G59" si="13">L59*VLOOKUP($L$1,CAMAY,2,0)+M59*VLOOKUP($M$1,CAMAY,2,0)+N59*VLOOKUP($N$1,CAMAY,2,0)+O59*VLOOKUP($O$1,CAMAY,2,0)+P59*VLOOKUP($P$1,CAMAY,2,0)</f>
        <v>0</v>
      </c>
      <c r="H59" s="834">
        <v>42525</v>
      </c>
      <c r="I59" s="835"/>
      <c r="J59" s="836"/>
      <c r="K59" s="836"/>
      <c r="L59" s="836"/>
      <c r="M59" s="836"/>
      <c r="N59" s="836"/>
      <c r="O59" s="836"/>
      <c r="P59" s="836"/>
      <c r="Q59" s="836"/>
      <c r="R59" s="837">
        <v>0.5</v>
      </c>
      <c r="T59" s="155">
        <v>40900</v>
      </c>
      <c r="U59" s="155">
        <v>0</v>
      </c>
      <c r="V59" s="155">
        <v>0</v>
      </c>
      <c r="AA59" s="180" t="str">
        <f>VLOOKUP(A59,[2]DG!$A:$C,3,0)</f>
        <v>Boulon 16x650+ 2 long đền vuông D18-50x50x3/Zn</v>
      </c>
    </row>
    <row r="60" spans="1:27" ht="20.100000000000001" customHeight="1">
      <c r="A60" s="874" t="s">
        <v>3450</v>
      </c>
      <c r="B60" s="859">
        <v>0</v>
      </c>
      <c r="C60" s="416" t="s">
        <v>3451</v>
      </c>
      <c r="D60" s="364" t="s">
        <v>37</v>
      </c>
      <c r="E60" s="833" t="e">
        <f>44000+2*LD+TAN</f>
        <v>#REF!</v>
      </c>
      <c r="F60" s="833">
        <f t="shared" ref="F60" si="14">IF(OR(I60="",J60=""),0,IF(K60*1=0,1,K60)*VLOOKUP(I60,TIENLUONG,4,0)*J60)</f>
        <v>0</v>
      </c>
      <c r="G60" s="833">
        <f t="shared" ref="G60" si="15">L60*VLOOKUP($L$1,CAMAY,2,0)+M60*VLOOKUP($M$1,CAMAY,2,0)+N60*VLOOKUP($N$1,CAMAY,2,0)+O60*VLOOKUP($O$1,CAMAY,2,0)+P60*VLOOKUP($P$1,CAMAY,2,0)</f>
        <v>0</v>
      </c>
      <c r="H60" s="834">
        <v>42525</v>
      </c>
      <c r="I60" s="835"/>
      <c r="J60" s="836"/>
      <c r="K60" s="836"/>
      <c r="L60" s="836"/>
      <c r="M60" s="836"/>
      <c r="N60" s="836"/>
      <c r="O60" s="836"/>
      <c r="P60" s="836"/>
      <c r="Q60" s="836"/>
      <c r="R60" s="837">
        <v>0.5</v>
      </c>
      <c r="T60" s="155">
        <v>40900</v>
      </c>
      <c r="U60" s="155">
        <v>0</v>
      </c>
      <c r="V60" s="155">
        <v>0</v>
      </c>
      <c r="AA60" s="180" t="str">
        <f>VLOOKUP(A60,[2]DG!$A:$C,3,0)</f>
        <v>Boulon 16x700+ 2 long đền vuông D18-50x50x3/Zn</v>
      </c>
    </row>
    <row r="61" spans="1:27" ht="20.100000000000001" hidden="1" customHeight="1">
      <c r="A61" s="874" t="s">
        <v>3445</v>
      </c>
      <c r="B61" s="859">
        <v>0</v>
      </c>
      <c r="C61" s="416" t="s">
        <v>3456</v>
      </c>
      <c r="D61" s="364" t="s">
        <v>37</v>
      </c>
      <c r="E61" s="833" t="e">
        <f>47000+2*LD+TAN</f>
        <v>#REF!</v>
      </c>
      <c r="F61" s="833">
        <f t="shared" ref="F61" si="16">IF(OR(I61="",J61=""),0,IF(K61*1=0,1,K61)*VLOOKUP(I61,TIENLUONG,4,0)*J61)</f>
        <v>0</v>
      </c>
      <c r="G61" s="833">
        <f t="shared" ref="G61" si="17">L61*VLOOKUP($L$1,CAMAY,2,0)+M61*VLOOKUP($M$1,CAMAY,2,0)+N61*VLOOKUP($N$1,CAMAY,2,0)+O61*VLOOKUP($O$1,CAMAY,2,0)+P61*VLOOKUP($P$1,CAMAY,2,0)</f>
        <v>0</v>
      </c>
      <c r="H61" s="834">
        <v>42525</v>
      </c>
      <c r="I61" s="835"/>
      <c r="J61" s="836"/>
      <c r="K61" s="836"/>
      <c r="L61" s="836"/>
      <c r="M61" s="836"/>
      <c r="N61" s="836"/>
      <c r="O61" s="836"/>
      <c r="P61" s="836"/>
      <c r="Q61" s="836"/>
      <c r="R61" s="837">
        <v>0.5</v>
      </c>
      <c r="T61" s="155">
        <v>40900</v>
      </c>
      <c r="U61" s="155">
        <v>0</v>
      </c>
      <c r="V61" s="155">
        <v>0</v>
      </c>
      <c r="AA61" s="180" t="str">
        <f>VLOOKUP(A61,[2]DG!$A:$C,3,0)</f>
        <v>Boulon 16x750+ 2 long đền vuông D18-50x50x3/Zn</v>
      </c>
    </row>
    <row r="62" spans="1:27" ht="20.100000000000001" hidden="1" customHeight="1">
      <c r="A62" s="873" t="s">
        <v>98</v>
      </c>
      <c r="B62" s="860"/>
      <c r="C62" s="421" t="s">
        <v>99</v>
      </c>
      <c r="D62" s="364" t="s">
        <v>37</v>
      </c>
      <c r="E62" s="833" t="e">
        <f>10000+4*LD+TAN</f>
        <v>#REF!</v>
      </c>
      <c r="F62" s="833">
        <f t="shared" si="0"/>
        <v>0</v>
      </c>
      <c r="G62" s="833">
        <f t="shared" si="1"/>
        <v>0</v>
      </c>
      <c r="H62" s="834">
        <v>1</v>
      </c>
      <c r="I62" s="835"/>
      <c r="J62" s="836"/>
      <c r="K62" s="836"/>
      <c r="L62" s="836"/>
      <c r="M62" s="836"/>
      <c r="N62" s="836"/>
      <c r="O62" s="836"/>
      <c r="P62" s="836"/>
      <c r="Q62" s="836"/>
      <c r="R62" s="837">
        <v>0.2</v>
      </c>
      <c r="T62" s="155">
        <v>5000</v>
      </c>
      <c r="U62" s="155"/>
      <c r="V62" s="155"/>
      <c r="AA62" s="180" t="str">
        <f>VLOOKUP(A62,[2]DG!$A:$C,3,0)</f>
        <v>Boulon 16x80VRS+ 4 long đền vuông D18-50x50x3/Zn</v>
      </c>
    </row>
    <row r="63" spans="1:27" ht="20.100000000000001" hidden="1" customHeight="1">
      <c r="A63" s="874" t="s">
        <v>100</v>
      </c>
      <c r="B63" s="859"/>
      <c r="C63" s="416" t="s">
        <v>101</v>
      </c>
      <c r="D63" s="364" t="s">
        <v>37</v>
      </c>
      <c r="E63" s="833" t="e">
        <f>13000+4*LD+TAN</f>
        <v>#REF!</v>
      </c>
      <c r="F63" s="833">
        <f t="shared" si="0"/>
        <v>0</v>
      </c>
      <c r="G63" s="833">
        <f t="shared" si="1"/>
        <v>0</v>
      </c>
      <c r="H63" s="834">
        <v>1</v>
      </c>
      <c r="I63" s="835"/>
      <c r="J63" s="836"/>
      <c r="K63" s="836"/>
      <c r="L63" s="836"/>
      <c r="M63" s="836"/>
      <c r="N63" s="836"/>
      <c r="O63" s="836"/>
      <c r="P63" s="836"/>
      <c r="Q63" s="836"/>
      <c r="R63" s="837">
        <v>0.2</v>
      </c>
      <c r="T63" s="155">
        <v>4000</v>
      </c>
      <c r="U63" s="155"/>
      <c r="V63" s="155"/>
      <c r="AA63" s="180" t="str">
        <f>VLOOKUP(A63,[2]DG!$A:$C,3,0)</f>
        <v>Boulon 16x100VRS+ 4 long đền vuông D18-50x50x3/Zn</v>
      </c>
    </row>
    <row r="64" spans="1:27" ht="20.100000000000001" hidden="1" customHeight="1">
      <c r="A64" s="872" t="s">
        <v>102</v>
      </c>
      <c r="B64" s="860"/>
      <c r="C64" s="416" t="s">
        <v>103</v>
      </c>
      <c r="D64" s="364" t="s">
        <v>37</v>
      </c>
      <c r="E64" s="833" t="e">
        <f>18000+4*LD+TAN</f>
        <v>#REF!</v>
      </c>
      <c r="F64" s="833">
        <f t="shared" si="0"/>
        <v>0</v>
      </c>
      <c r="G64" s="833">
        <f t="shared" si="1"/>
        <v>0</v>
      </c>
      <c r="H64" s="834">
        <v>1</v>
      </c>
      <c r="I64" s="835"/>
      <c r="J64" s="836"/>
      <c r="K64" s="836"/>
      <c r="L64" s="836"/>
      <c r="M64" s="836"/>
      <c r="N64" s="836"/>
      <c r="O64" s="836"/>
      <c r="P64" s="836"/>
      <c r="Q64" s="836"/>
      <c r="R64" s="837">
        <v>0.2</v>
      </c>
      <c r="T64" s="155">
        <v>6100</v>
      </c>
      <c r="U64" s="155"/>
      <c r="V64" s="155"/>
      <c r="AA64" s="180" t="str">
        <f>VLOOKUP(A64,[2]DG!$A:$C,3,0)</f>
        <v>Boulon 16x200VRS+ 4 long đền vuông D18-50x50x3/Zn</v>
      </c>
    </row>
    <row r="65" spans="1:27" ht="20.100000000000001" hidden="1" customHeight="1">
      <c r="A65" s="872" t="s">
        <v>104</v>
      </c>
      <c r="B65" s="860">
        <v>0</v>
      </c>
      <c r="C65" s="416" t="s">
        <v>105</v>
      </c>
      <c r="D65" s="364" t="s">
        <v>37</v>
      </c>
      <c r="E65" s="833" t="e">
        <f>21000+4*LD+TAN</f>
        <v>#REF!</v>
      </c>
      <c r="F65" s="833">
        <f t="shared" si="0"/>
        <v>0</v>
      </c>
      <c r="G65" s="833">
        <f t="shared" si="1"/>
        <v>0</v>
      </c>
      <c r="H65" s="834">
        <v>42525</v>
      </c>
      <c r="I65" s="835"/>
      <c r="J65" s="836"/>
      <c r="K65" s="836"/>
      <c r="L65" s="836"/>
      <c r="M65" s="836"/>
      <c r="N65" s="836"/>
      <c r="O65" s="836"/>
      <c r="P65" s="836"/>
      <c r="Q65" s="836"/>
      <c r="R65" s="837">
        <v>0.3</v>
      </c>
      <c r="T65" s="155">
        <v>19500</v>
      </c>
      <c r="U65" s="155">
        <v>0</v>
      </c>
      <c r="V65" s="155">
        <v>0</v>
      </c>
      <c r="AA65" s="180" t="str">
        <f>VLOOKUP(A65,[2]DG!$A:$C,3,0)</f>
        <v>Boulon 16x250VRS+ 4 long đền vuông D18-50x50x3/Zn</v>
      </c>
    </row>
    <row r="66" spans="1:27" ht="20.100000000000001" hidden="1" customHeight="1">
      <c r="A66" s="872" t="s">
        <v>106</v>
      </c>
      <c r="B66" s="860">
        <v>0</v>
      </c>
      <c r="C66" s="416" t="s">
        <v>107</v>
      </c>
      <c r="D66" s="364" t="s">
        <v>37</v>
      </c>
      <c r="E66" s="833" t="e">
        <f>23000+4*LD+TAN</f>
        <v>#REF!</v>
      </c>
      <c r="F66" s="833">
        <f t="shared" si="0"/>
        <v>0</v>
      </c>
      <c r="G66" s="833">
        <f t="shared" si="1"/>
        <v>0</v>
      </c>
      <c r="H66" s="834" t="s">
        <v>4065</v>
      </c>
      <c r="I66" s="835"/>
      <c r="J66" s="836"/>
      <c r="K66" s="836"/>
      <c r="L66" s="836"/>
      <c r="M66" s="836"/>
      <c r="N66" s="836"/>
      <c r="O66" s="836"/>
      <c r="P66" s="836"/>
      <c r="Q66" s="836"/>
      <c r="R66" s="837">
        <v>0.3</v>
      </c>
      <c r="T66" s="155">
        <v>21500</v>
      </c>
      <c r="U66" s="155">
        <v>0</v>
      </c>
      <c r="V66" s="155">
        <v>0</v>
      </c>
      <c r="AA66" s="180" t="str">
        <f>VLOOKUP(A66,[2]DG!$A:$C,3,0)</f>
        <v>Boulon 16x300VRS+ 4 long đền vuông D18-50x50x3/Zn</v>
      </c>
    </row>
    <row r="67" spans="1:27" ht="20.100000000000001" hidden="1" customHeight="1">
      <c r="A67" s="872" t="s">
        <v>108</v>
      </c>
      <c r="B67" s="860"/>
      <c r="C67" s="416" t="s">
        <v>109</v>
      </c>
      <c r="D67" s="364" t="s">
        <v>37</v>
      </c>
      <c r="E67" s="833" t="e">
        <f>25000+4*LD+TAN</f>
        <v>#REF!</v>
      </c>
      <c r="F67" s="833">
        <f t="shared" si="0"/>
        <v>0</v>
      </c>
      <c r="G67" s="833">
        <f t="shared" si="1"/>
        <v>0</v>
      </c>
      <c r="H67" s="834">
        <v>1</v>
      </c>
      <c r="I67" s="835"/>
      <c r="J67" s="836"/>
      <c r="K67" s="836"/>
      <c r="L67" s="836"/>
      <c r="M67" s="836"/>
      <c r="N67" s="836"/>
      <c r="O67" s="836"/>
      <c r="P67" s="836"/>
      <c r="Q67" s="836"/>
      <c r="R67" s="837">
        <v>0.35</v>
      </c>
      <c r="T67" s="155">
        <v>9300</v>
      </c>
      <c r="U67" s="155"/>
      <c r="V67" s="155"/>
      <c r="AA67" s="180" t="str">
        <f>VLOOKUP(A67,[2]DG!$A:$C,3,0)</f>
        <v>Boulon 16x350VRS+ 4 long đền vuông D18-50x50x3/Zn</v>
      </c>
    </row>
    <row r="68" spans="1:27" ht="20.100000000000001" hidden="1" customHeight="1">
      <c r="A68" s="874" t="s">
        <v>2257</v>
      </c>
      <c r="B68" s="859">
        <v>0</v>
      </c>
      <c r="C68" s="416" t="s">
        <v>111</v>
      </c>
      <c r="D68" s="364" t="s">
        <v>37</v>
      </c>
      <c r="E68" s="833" t="e">
        <f>28000+4*LD+TAN</f>
        <v>#REF!</v>
      </c>
      <c r="F68" s="833">
        <f t="shared" si="0"/>
        <v>0</v>
      </c>
      <c r="G68" s="833">
        <f t="shared" si="1"/>
        <v>0</v>
      </c>
      <c r="H68" s="834">
        <v>42312</v>
      </c>
      <c r="I68" s="835"/>
      <c r="J68" s="836"/>
      <c r="K68" s="836"/>
      <c r="L68" s="836"/>
      <c r="M68" s="836"/>
      <c r="N68" s="836"/>
      <c r="O68" s="836"/>
      <c r="P68" s="836"/>
      <c r="Q68" s="836"/>
      <c r="R68" s="837">
        <v>0.4</v>
      </c>
      <c r="T68" s="155">
        <v>31500</v>
      </c>
      <c r="U68" s="155">
        <v>0</v>
      </c>
      <c r="V68" s="155">
        <v>0</v>
      </c>
      <c r="AA68" s="180" t="str">
        <f>VLOOKUP(A68,[2]DG!$A:$C,3,0)</f>
        <v>Boulon 16x400VRS+ 4 long đền vuông D18-50x50x3/Zn</v>
      </c>
    </row>
    <row r="69" spans="1:27" ht="20.100000000000001" hidden="1" customHeight="1">
      <c r="A69" s="874" t="s">
        <v>3565</v>
      </c>
      <c r="B69" s="859">
        <v>0</v>
      </c>
      <c r="C69" s="416" t="s">
        <v>3452</v>
      </c>
      <c r="D69" s="364" t="s">
        <v>37</v>
      </c>
      <c r="E69" s="833" t="e">
        <f>31000+4*LD+TAN</f>
        <v>#REF!</v>
      </c>
      <c r="F69" s="833">
        <f t="shared" ref="F69" si="18">IF(OR(I69="",J69=""),0,IF(K69*1=0,1,K69)*VLOOKUP(I69,TIENLUONG,4,0)*J69)</f>
        <v>0</v>
      </c>
      <c r="G69" s="833">
        <f t="shared" ref="G69" si="19">L69*VLOOKUP($L$1,CAMAY,2,0)+M69*VLOOKUP($M$1,CAMAY,2,0)+N69*VLOOKUP($N$1,CAMAY,2,0)+O69*VLOOKUP($O$1,CAMAY,2,0)+P69*VLOOKUP($P$1,CAMAY,2,0)</f>
        <v>0</v>
      </c>
      <c r="H69" s="834">
        <v>42312</v>
      </c>
      <c r="I69" s="835"/>
      <c r="J69" s="836"/>
      <c r="K69" s="836"/>
      <c r="L69" s="836"/>
      <c r="M69" s="836"/>
      <c r="N69" s="836"/>
      <c r="O69" s="836"/>
      <c r="P69" s="836"/>
      <c r="Q69" s="836"/>
      <c r="R69" s="837">
        <v>0.4</v>
      </c>
      <c r="T69" s="155">
        <v>31500</v>
      </c>
      <c r="U69" s="155">
        <v>0</v>
      </c>
      <c r="V69" s="155">
        <v>0</v>
      </c>
      <c r="AA69" s="180" t="str">
        <f>VLOOKUP(A69,[2]DG!$A:$C,3,0)</f>
        <v>Boulon 16x450VRS+ 4 long đền vuông D18-50x50x3/Zn</v>
      </c>
    </row>
    <row r="70" spans="1:27" ht="20.100000000000001" hidden="1" customHeight="1">
      <c r="A70" s="872" t="s">
        <v>112</v>
      </c>
      <c r="B70" s="860">
        <v>0</v>
      </c>
      <c r="C70" s="416" t="s">
        <v>113</v>
      </c>
      <c r="D70" s="364" t="s">
        <v>37</v>
      </c>
      <c r="E70" s="833" t="e">
        <f>33000+4*LD+TAN</f>
        <v>#REF!</v>
      </c>
      <c r="F70" s="833">
        <f t="shared" si="0"/>
        <v>0</v>
      </c>
      <c r="G70" s="833">
        <f t="shared" si="1"/>
        <v>0</v>
      </c>
      <c r="H70" s="834">
        <v>42525</v>
      </c>
      <c r="I70" s="835"/>
      <c r="J70" s="836"/>
      <c r="K70" s="836"/>
      <c r="L70" s="836"/>
      <c r="M70" s="836"/>
      <c r="N70" s="836"/>
      <c r="O70" s="836"/>
      <c r="P70" s="836"/>
      <c r="Q70" s="836"/>
      <c r="R70" s="837">
        <v>0.5</v>
      </c>
      <c r="T70" s="155">
        <v>35000</v>
      </c>
      <c r="U70" s="155">
        <v>0</v>
      </c>
      <c r="V70" s="155">
        <v>0</v>
      </c>
      <c r="AA70" s="180" t="str">
        <f>VLOOKUP(A70,[2]DG!$A:$C,3,0)</f>
        <v>Boulon 16x500VRS+ 4 long đền vuông D18-50x50x3/Zn</v>
      </c>
    </row>
    <row r="71" spans="1:27" ht="20.100000000000001" hidden="1" customHeight="1">
      <c r="A71" s="872" t="s">
        <v>114</v>
      </c>
      <c r="B71" s="860">
        <v>0</v>
      </c>
      <c r="C71" s="416" t="s">
        <v>115</v>
      </c>
      <c r="D71" s="364" t="s">
        <v>37</v>
      </c>
      <c r="E71" s="833" t="e">
        <f>36000+4*LD+TAN</f>
        <v>#REF!</v>
      </c>
      <c r="F71" s="833">
        <f t="shared" ref="F71:F131" si="20">IF(OR(I71="",J71=""),0,IF(K71*1=0,1,K71)*VLOOKUP(I71,TIENLUONG,4,0)*J71)</f>
        <v>0</v>
      </c>
      <c r="G71" s="833">
        <f t="shared" ref="G71:G131" si="21">L71*VLOOKUP($L$1,CAMAY,2,0)+M71*VLOOKUP($M$1,CAMAY,2,0)+N71*VLOOKUP($N$1,CAMAY,2,0)+O71*VLOOKUP($O$1,CAMAY,2,0)+P71*VLOOKUP($P$1,CAMAY,2,0)</f>
        <v>0</v>
      </c>
      <c r="H71" s="834">
        <v>42525</v>
      </c>
      <c r="I71" s="835"/>
      <c r="J71" s="836"/>
      <c r="K71" s="836"/>
      <c r="L71" s="836"/>
      <c r="M71" s="836"/>
      <c r="N71" s="836"/>
      <c r="O71" s="836"/>
      <c r="P71" s="836"/>
      <c r="Q71" s="836"/>
      <c r="R71" s="837">
        <v>0.5</v>
      </c>
      <c r="T71" s="155">
        <v>43100</v>
      </c>
      <c r="U71" s="155">
        <v>0</v>
      </c>
      <c r="V71" s="155">
        <v>0</v>
      </c>
      <c r="AA71" s="180" t="str">
        <f>VLOOKUP(A71,[2]DG!$A:$C,3,0)</f>
        <v>Boulon 16x550VRS+ 4 long đền vuông D18-50x50x3/Zn</v>
      </c>
    </row>
    <row r="72" spans="1:27" ht="20.100000000000001" hidden="1" customHeight="1">
      <c r="A72" s="872" t="s">
        <v>116</v>
      </c>
      <c r="B72" s="860">
        <v>0</v>
      </c>
      <c r="C72" s="416" t="s">
        <v>117</v>
      </c>
      <c r="D72" s="364" t="s">
        <v>37</v>
      </c>
      <c r="E72" s="833" t="e">
        <f>39000+4*LD+TAN</f>
        <v>#REF!</v>
      </c>
      <c r="F72" s="833">
        <f t="shared" si="20"/>
        <v>0</v>
      </c>
      <c r="G72" s="833">
        <f t="shared" si="21"/>
        <v>0</v>
      </c>
      <c r="H72" s="834">
        <v>42525</v>
      </c>
      <c r="I72" s="835"/>
      <c r="J72" s="836"/>
      <c r="K72" s="836"/>
      <c r="L72" s="836"/>
      <c r="M72" s="836"/>
      <c r="N72" s="836"/>
      <c r="O72" s="836"/>
      <c r="P72" s="836"/>
      <c r="Q72" s="836"/>
      <c r="R72" s="837">
        <v>0.5</v>
      </c>
      <c r="T72" s="155">
        <v>45000</v>
      </c>
      <c r="U72" s="155">
        <v>0</v>
      </c>
      <c r="V72" s="155">
        <v>0</v>
      </c>
      <c r="AA72" s="180" t="str">
        <f>VLOOKUP(A72,[2]DG!$A:$C,3,0)</f>
        <v>Boulon 16x600VRS+ 4 long đền vuông D18-50x50x3/Zn</v>
      </c>
    </row>
    <row r="73" spans="1:27" ht="20.100000000000001" hidden="1" customHeight="1">
      <c r="A73" s="872" t="s">
        <v>118</v>
      </c>
      <c r="B73" s="860"/>
      <c r="C73" s="416" t="s">
        <v>119</v>
      </c>
      <c r="D73" s="364" t="s">
        <v>37</v>
      </c>
      <c r="E73" s="833" t="e">
        <f>41000+4*LD+TAN</f>
        <v>#REF!</v>
      </c>
      <c r="F73" s="833">
        <f t="shared" si="20"/>
        <v>0</v>
      </c>
      <c r="G73" s="833">
        <f t="shared" si="21"/>
        <v>0</v>
      </c>
      <c r="H73" s="834">
        <v>1</v>
      </c>
      <c r="I73" s="835"/>
      <c r="J73" s="836"/>
      <c r="K73" s="836"/>
      <c r="L73" s="836"/>
      <c r="M73" s="836"/>
      <c r="N73" s="836"/>
      <c r="O73" s="836"/>
      <c r="P73" s="836"/>
      <c r="Q73" s="836"/>
      <c r="R73" s="837">
        <v>0.5</v>
      </c>
      <c r="T73" s="155">
        <v>15700</v>
      </c>
      <c r="U73" s="155"/>
      <c r="V73" s="155"/>
      <c r="AA73" s="180" t="str">
        <f>VLOOKUP(A73,[2]DG!$A:$C,3,0)</f>
        <v>Boulon 16x650VRS+ 4 long đền vuông D18-50x50x3/Zn</v>
      </c>
    </row>
    <row r="74" spans="1:27" ht="20.100000000000001" hidden="1" customHeight="1">
      <c r="A74" s="872" t="s">
        <v>120</v>
      </c>
      <c r="B74" s="860">
        <v>0</v>
      </c>
      <c r="C74" s="416" t="s">
        <v>121</v>
      </c>
      <c r="D74" s="364" t="s">
        <v>37</v>
      </c>
      <c r="E74" s="833" t="e">
        <f>44000+4*LD+TAN</f>
        <v>#REF!</v>
      </c>
      <c r="F74" s="833">
        <f t="shared" si="20"/>
        <v>0</v>
      </c>
      <c r="G74" s="833">
        <f t="shared" si="21"/>
        <v>0</v>
      </c>
      <c r="H74" s="834">
        <v>42525</v>
      </c>
      <c r="I74" s="835"/>
      <c r="J74" s="836"/>
      <c r="K74" s="836"/>
      <c r="L74" s="836"/>
      <c r="M74" s="836"/>
      <c r="N74" s="836"/>
      <c r="O74" s="836"/>
      <c r="P74" s="836"/>
      <c r="Q74" s="836"/>
      <c r="R74" s="837">
        <v>0.7</v>
      </c>
      <c r="T74" s="155">
        <v>55000</v>
      </c>
      <c r="U74" s="155">
        <v>0</v>
      </c>
      <c r="V74" s="155">
        <v>0</v>
      </c>
      <c r="AA74" s="180" t="str">
        <f>VLOOKUP(A74,[2]DG!$A:$C,3,0)</f>
        <v>Boulon 16x700VRS+ 4 long đền vuông D18-50x50x3/Zn</v>
      </c>
    </row>
    <row r="75" spans="1:27" ht="20.100000000000001" hidden="1" customHeight="1">
      <c r="A75" s="872" t="s">
        <v>3453</v>
      </c>
      <c r="B75" s="860">
        <v>0</v>
      </c>
      <c r="C75" s="416" t="s">
        <v>3454</v>
      </c>
      <c r="D75" s="364" t="s">
        <v>37</v>
      </c>
      <c r="E75" s="833" t="e">
        <f>47000+4*LD+TAN</f>
        <v>#REF!</v>
      </c>
      <c r="F75" s="833">
        <f t="shared" ref="F75" si="22">IF(OR(I75="",J75=""),0,IF(K75*1=0,1,K75)*VLOOKUP(I75,TIENLUONG,4,0)*J75)</f>
        <v>0</v>
      </c>
      <c r="G75" s="833">
        <f t="shared" ref="G75" si="23">L75*VLOOKUP($L$1,CAMAY,2,0)+M75*VLOOKUP($M$1,CAMAY,2,0)+N75*VLOOKUP($N$1,CAMAY,2,0)+O75*VLOOKUP($O$1,CAMAY,2,0)+P75*VLOOKUP($P$1,CAMAY,2,0)</f>
        <v>0</v>
      </c>
      <c r="H75" s="834">
        <v>42525</v>
      </c>
      <c r="I75" s="835"/>
      <c r="J75" s="836"/>
      <c r="K75" s="836"/>
      <c r="L75" s="836"/>
      <c r="M75" s="836"/>
      <c r="N75" s="836"/>
      <c r="O75" s="836"/>
      <c r="P75" s="836"/>
      <c r="Q75" s="836"/>
      <c r="R75" s="837">
        <v>0.7</v>
      </c>
      <c r="T75" s="155">
        <v>55000</v>
      </c>
      <c r="U75" s="155">
        <v>0</v>
      </c>
      <c r="V75" s="155">
        <v>0</v>
      </c>
      <c r="AA75" s="180" t="str">
        <f>VLOOKUP(A75,[2]DG!$A:$C,3,0)</f>
        <v>Boulon 16x750VRS+ 4 long đền vuông D18-50x50x3/Zn</v>
      </c>
    </row>
    <row r="76" spans="1:27" ht="20.100000000000001" hidden="1" customHeight="1">
      <c r="A76" s="872" t="s">
        <v>122</v>
      </c>
      <c r="B76" s="860"/>
      <c r="C76" s="421" t="s">
        <v>123</v>
      </c>
      <c r="D76" s="364" t="s">
        <v>37</v>
      </c>
      <c r="E76" s="833" t="e">
        <f>56000+2*LD+TAN</f>
        <v>#REF!</v>
      </c>
      <c r="F76" s="833">
        <f t="shared" si="20"/>
        <v>0</v>
      </c>
      <c r="G76" s="833">
        <f t="shared" si="21"/>
        <v>0</v>
      </c>
      <c r="H76" s="834">
        <v>1</v>
      </c>
      <c r="I76" s="835"/>
      <c r="J76" s="836"/>
      <c r="K76" s="836"/>
      <c r="L76" s="836"/>
      <c r="M76" s="836"/>
      <c r="N76" s="836"/>
      <c r="O76" s="836"/>
      <c r="P76" s="836"/>
      <c r="Q76" s="836"/>
      <c r="R76" s="837">
        <v>0.6</v>
      </c>
      <c r="T76" s="155">
        <v>28000</v>
      </c>
      <c r="U76" s="155"/>
      <c r="V76" s="155"/>
      <c r="AA76" s="180" t="str">
        <f>VLOOKUP(A76,[2]DG!$A:$C,3,0)</f>
        <v>Boulon 22x450+ 2 long đền vuông D24-50x50x3/Zn</v>
      </c>
    </row>
    <row r="77" spans="1:27" ht="20.100000000000001" hidden="1" customHeight="1">
      <c r="A77" s="874" t="s">
        <v>124</v>
      </c>
      <c r="B77" s="859"/>
      <c r="C77" s="416" t="s">
        <v>125</v>
      </c>
      <c r="D77" s="364" t="s">
        <v>37</v>
      </c>
      <c r="E77" s="833" t="e">
        <f>60000+2*LD+TAN</f>
        <v>#REF!</v>
      </c>
      <c r="F77" s="833">
        <f t="shared" si="20"/>
        <v>0</v>
      </c>
      <c r="G77" s="833">
        <f t="shared" si="21"/>
        <v>0</v>
      </c>
      <c r="H77" s="834">
        <v>1</v>
      </c>
      <c r="I77" s="835"/>
      <c r="J77" s="836"/>
      <c r="K77" s="836"/>
      <c r="L77" s="836"/>
      <c r="M77" s="836"/>
      <c r="N77" s="836"/>
      <c r="O77" s="836"/>
      <c r="P77" s="836"/>
      <c r="Q77" s="836"/>
      <c r="R77" s="837">
        <v>0.6</v>
      </c>
      <c r="T77" s="155">
        <v>31000</v>
      </c>
      <c r="U77" s="155"/>
      <c r="V77" s="155"/>
      <c r="AA77" s="180" t="str">
        <f>VLOOKUP(A77,[2]DG!$A:$C,3,0)</f>
        <v>Boulon 22x500+ 2 long đền vuông D24-50x50x3/Zn</v>
      </c>
    </row>
    <row r="78" spans="1:27" ht="20.100000000000001" hidden="1" customHeight="1">
      <c r="A78" s="874" t="s">
        <v>126</v>
      </c>
      <c r="B78" s="859"/>
      <c r="C78" s="416" t="s">
        <v>4536</v>
      </c>
      <c r="D78" s="364" t="s">
        <v>37</v>
      </c>
      <c r="E78" s="833" t="e">
        <f>60000+2*LD+TAN</f>
        <v>#REF!</v>
      </c>
      <c r="F78" s="833">
        <f t="shared" ref="F78" si="24">IF(OR(I78="",J78=""),0,IF(K78*1=0,1,K78)*VLOOKUP(I78,TIENLUONG,4,0)*J78)</f>
        <v>0</v>
      </c>
      <c r="G78" s="833">
        <f t="shared" ref="G78" si="25">L78*VLOOKUP($L$1,CAMAY,2,0)+M78*VLOOKUP($M$1,CAMAY,2,0)+N78*VLOOKUP($N$1,CAMAY,2,0)+O78*VLOOKUP($O$1,CAMAY,2,0)+P78*VLOOKUP($P$1,CAMAY,2,0)</f>
        <v>0</v>
      </c>
      <c r="H78" s="834">
        <v>1</v>
      </c>
      <c r="I78" s="835"/>
      <c r="J78" s="836"/>
      <c r="K78" s="836"/>
      <c r="L78" s="836"/>
      <c r="M78" s="836"/>
      <c r="N78" s="836"/>
      <c r="O78" s="836"/>
      <c r="P78" s="836"/>
      <c r="Q78" s="836"/>
      <c r="R78" s="837">
        <v>0.6</v>
      </c>
      <c r="T78" s="155">
        <v>31000</v>
      </c>
      <c r="U78" s="155"/>
      <c r="V78" s="155"/>
      <c r="AA78" s="180" t="str">
        <f>VLOOKUP(A78,[2]DG!$A:$C,3,0)</f>
        <v>Boulon 22x550/100+ 2 long đền vuông D24-50x50x3/Zn</v>
      </c>
    </row>
    <row r="79" spans="1:27" ht="20.100000000000001" hidden="1" customHeight="1">
      <c r="A79" s="872" t="s">
        <v>127</v>
      </c>
      <c r="B79" s="860" t="s">
        <v>128</v>
      </c>
      <c r="C79" s="421" t="s">
        <v>129</v>
      </c>
      <c r="D79" s="364" t="s">
        <v>37</v>
      </c>
      <c r="E79" s="833" t="e">
        <f>69000+2*LD+TAN</f>
        <v>#REF!</v>
      </c>
      <c r="F79" s="833">
        <f t="shared" si="20"/>
        <v>0</v>
      </c>
      <c r="G79" s="833">
        <f t="shared" si="21"/>
        <v>0</v>
      </c>
      <c r="H79" s="834">
        <v>1</v>
      </c>
      <c r="I79" s="835"/>
      <c r="J79" s="836"/>
      <c r="K79" s="836"/>
      <c r="L79" s="836"/>
      <c r="M79" s="836"/>
      <c r="N79" s="836"/>
      <c r="O79" s="836"/>
      <c r="P79" s="836"/>
      <c r="Q79" s="836"/>
      <c r="R79" s="837">
        <v>0.6</v>
      </c>
      <c r="T79" s="155">
        <v>34500</v>
      </c>
      <c r="U79" s="155"/>
      <c r="V79" s="155"/>
      <c r="AA79" s="180" t="str">
        <f>VLOOKUP(A79,[2]DG!$A:$C,3,0)</f>
        <v>Boulon 22x600+ 2 long đền vuông D24-50x50x3/Zn</v>
      </c>
    </row>
    <row r="80" spans="1:27" ht="20.100000000000001" hidden="1" customHeight="1">
      <c r="A80" s="872" t="s">
        <v>130</v>
      </c>
      <c r="B80" s="860"/>
      <c r="C80" s="421" t="s">
        <v>131</v>
      </c>
      <c r="D80" s="364" t="s">
        <v>37</v>
      </c>
      <c r="E80" s="833" t="e">
        <f>73000+2*LD+TAN</f>
        <v>#REF!</v>
      </c>
      <c r="F80" s="833">
        <f t="shared" si="20"/>
        <v>0</v>
      </c>
      <c r="G80" s="833">
        <f t="shared" si="21"/>
        <v>0</v>
      </c>
      <c r="H80" s="834">
        <v>1</v>
      </c>
      <c r="I80" s="835"/>
      <c r="J80" s="836"/>
      <c r="K80" s="836"/>
      <c r="L80" s="836"/>
      <c r="M80" s="836"/>
      <c r="N80" s="836"/>
      <c r="O80" s="836"/>
      <c r="P80" s="836"/>
      <c r="Q80" s="836"/>
      <c r="R80" s="837">
        <v>0.6</v>
      </c>
      <c r="T80" s="155">
        <v>53200</v>
      </c>
      <c r="U80" s="155"/>
      <c r="V80" s="155"/>
      <c r="AA80" s="180" t="str">
        <f>VLOOKUP(A80,[2]DG!$A:$C,3,0)</f>
        <v>Boulon 22x650+ 2 long đền vuông D24-50x50x3/Zn</v>
      </c>
    </row>
    <row r="81" spans="1:27" ht="20.100000000000001" hidden="1" customHeight="1">
      <c r="A81" s="872" t="s">
        <v>132</v>
      </c>
      <c r="B81" s="860"/>
      <c r="C81" s="421" t="s">
        <v>133</v>
      </c>
      <c r="D81" s="364" t="s">
        <v>37</v>
      </c>
      <c r="E81" s="833" t="e">
        <f>78000+2*LD+TAN</f>
        <v>#REF!</v>
      </c>
      <c r="F81" s="833">
        <f t="shared" si="20"/>
        <v>0</v>
      </c>
      <c r="G81" s="833">
        <f t="shared" si="21"/>
        <v>0</v>
      </c>
      <c r="H81" s="834">
        <v>1</v>
      </c>
      <c r="I81" s="835"/>
      <c r="J81" s="836"/>
      <c r="K81" s="836"/>
      <c r="L81" s="836"/>
      <c r="M81" s="836"/>
      <c r="N81" s="836"/>
      <c r="O81" s="836"/>
      <c r="P81" s="836"/>
      <c r="Q81" s="836"/>
      <c r="R81" s="837">
        <v>1</v>
      </c>
      <c r="T81" s="155">
        <v>56400</v>
      </c>
      <c r="U81" s="155"/>
      <c r="V81" s="155"/>
      <c r="AA81" s="180" t="str">
        <f>VLOOKUP(A81,[2]DG!$A:$C,3,0)</f>
        <v>Boulon 22x700+ 2 long đền vuông D24-50x50x3/Zn</v>
      </c>
    </row>
    <row r="82" spans="1:27" ht="20.100000000000001" hidden="1" customHeight="1">
      <c r="A82" s="872" t="s">
        <v>134</v>
      </c>
      <c r="B82" s="860"/>
      <c r="C82" s="421" t="s">
        <v>135</v>
      </c>
      <c r="D82" s="364" t="s">
        <v>37</v>
      </c>
      <c r="E82" s="833" t="e">
        <f>83000+2*LD+TAN</f>
        <v>#REF!</v>
      </c>
      <c r="F82" s="833">
        <f t="shared" si="20"/>
        <v>0</v>
      </c>
      <c r="G82" s="833">
        <f t="shared" si="21"/>
        <v>0</v>
      </c>
      <c r="H82" s="834">
        <v>1</v>
      </c>
      <c r="I82" s="835"/>
      <c r="J82" s="836"/>
      <c r="K82" s="836"/>
      <c r="L82" s="836"/>
      <c r="M82" s="836"/>
      <c r="N82" s="836"/>
      <c r="O82" s="836"/>
      <c r="P82" s="836"/>
      <c r="Q82" s="836"/>
      <c r="R82" s="837">
        <v>1.1000000000000001</v>
      </c>
      <c r="T82" s="155">
        <v>59600</v>
      </c>
      <c r="U82" s="155"/>
      <c r="V82" s="155"/>
      <c r="AA82" s="180" t="str">
        <f>VLOOKUP(A82,[2]DG!$A:$C,3,0)</f>
        <v>Boulon 22x750+ 2 long đền vuông D24-50x50x3/Zn</v>
      </c>
    </row>
    <row r="83" spans="1:27" ht="20.100000000000001" hidden="1" customHeight="1">
      <c r="A83" s="872" t="s">
        <v>136</v>
      </c>
      <c r="B83" s="860">
        <v>0</v>
      </c>
      <c r="C83" s="421" t="s">
        <v>137</v>
      </c>
      <c r="D83" s="364" t="s">
        <v>37</v>
      </c>
      <c r="E83" s="833" t="e">
        <f>87000+2*LD+TAN</f>
        <v>#REF!</v>
      </c>
      <c r="F83" s="833">
        <f t="shared" si="20"/>
        <v>0</v>
      </c>
      <c r="G83" s="833">
        <f t="shared" si="21"/>
        <v>0</v>
      </c>
      <c r="H83" s="834">
        <v>42525</v>
      </c>
      <c r="I83" s="835"/>
      <c r="J83" s="836"/>
      <c r="K83" s="836"/>
      <c r="L83" s="836"/>
      <c r="M83" s="836"/>
      <c r="N83" s="836"/>
      <c r="O83" s="836"/>
      <c r="P83" s="836"/>
      <c r="Q83" s="836"/>
      <c r="R83" s="837">
        <v>1</v>
      </c>
      <c r="T83" s="155">
        <v>101100</v>
      </c>
      <c r="U83" s="155">
        <v>0</v>
      </c>
      <c r="V83" s="155">
        <v>0</v>
      </c>
      <c r="AA83" s="180" t="str">
        <f>VLOOKUP(A83,[2]DG!$A:$C,3,0)</f>
        <v>Boulon 22x800+ 2 long đền vuông D24-50x50x3/Zn</v>
      </c>
    </row>
    <row r="84" spans="1:27" ht="20.100000000000001" hidden="1" customHeight="1">
      <c r="A84" s="872" t="s">
        <v>138</v>
      </c>
      <c r="B84" s="860"/>
      <c r="C84" s="421" t="s">
        <v>139</v>
      </c>
      <c r="D84" s="364" t="s">
        <v>37</v>
      </c>
      <c r="E84" s="833" t="e">
        <f>92000+2*LD+TAN</f>
        <v>#REF!</v>
      </c>
      <c r="F84" s="833">
        <f t="shared" si="20"/>
        <v>0</v>
      </c>
      <c r="G84" s="833">
        <f t="shared" si="21"/>
        <v>0</v>
      </c>
      <c r="H84" s="834">
        <v>1</v>
      </c>
      <c r="I84" s="835"/>
      <c r="J84" s="836"/>
      <c r="K84" s="836"/>
      <c r="L84" s="836"/>
      <c r="M84" s="836"/>
      <c r="N84" s="836"/>
      <c r="O84" s="836"/>
      <c r="P84" s="836"/>
      <c r="Q84" s="836"/>
      <c r="R84" s="837">
        <v>1.2</v>
      </c>
      <c r="T84" s="155">
        <v>47000</v>
      </c>
      <c r="U84" s="155"/>
      <c r="V84" s="155"/>
      <c r="AA84" s="180" t="str">
        <f>VLOOKUP(A84,[2]DG!$A:$C,3,0)</f>
        <v>Boulon 22x850+ 2 long đền vuông D24-50x50x3/Zn</v>
      </c>
    </row>
    <row r="85" spans="1:27" ht="20.100000000000001" hidden="1" customHeight="1">
      <c r="A85" s="872" t="s">
        <v>140</v>
      </c>
      <c r="B85" s="860"/>
      <c r="C85" s="421" t="s">
        <v>141</v>
      </c>
      <c r="D85" s="364" t="s">
        <v>37</v>
      </c>
      <c r="E85" s="833" t="e">
        <f>105000+2*LD+TAN</f>
        <v>#REF!</v>
      </c>
      <c r="F85" s="833">
        <f t="shared" si="20"/>
        <v>0</v>
      </c>
      <c r="G85" s="833">
        <f t="shared" si="21"/>
        <v>0</v>
      </c>
      <c r="H85" s="834">
        <v>1</v>
      </c>
      <c r="I85" s="835"/>
      <c r="J85" s="836"/>
      <c r="K85" s="836"/>
      <c r="L85" s="836"/>
      <c r="M85" s="836"/>
      <c r="N85" s="836"/>
      <c r="O85" s="836"/>
      <c r="P85" s="836"/>
      <c r="Q85" s="836"/>
      <c r="R85" s="837">
        <v>2.5</v>
      </c>
      <c r="T85" s="155">
        <v>54200</v>
      </c>
      <c r="U85" s="155"/>
      <c r="V85" s="155"/>
      <c r="AA85" s="180" t="str">
        <f>VLOOKUP(A85,[2]DG!$A:$C,3,0)</f>
        <v>Boulon 22x1000+ 2 long đền vuông D24-50x50x3/Zn</v>
      </c>
    </row>
    <row r="86" spans="1:27" ht="20.100000000000001" customHeight="1">
      <c r="A86" s="872" t="s">
        <v>4529</v>
      </c>
      <c r="B86" s="860"/>
      <c r="C86" s="416" t="s">
        <v>4528</v>
      </c>
      <c r="D86" s="364" t="s">
        <v>37</v>
      </c>
      <c r="E86" s="833">
        <v>8000</v>
      </c>
      <c r="F86" s="833">
        <f t="shared" si="20"/>
        <v>0</v>
      </c>
      <c r="G86" s="833">
        <f t="shared" si="21"/>
        <v>0</v>
      </c>
      <c r="H86" s="834">
        <v>1</v>
      </c>
      <c r="I86" s="835"/>
      <c r="J86" s="836"/>
      <c r="K86" s="836"/>
      <c r="L86" s="836"/>
      <c r="M86" s="836"/>
      <c r="N86" s="836"/>
      <c r="O86" s="836"/>
      <c r="P86" s="836"/>
      <c r="Q86" s="836"/>
      <c r="R86" s="837">
        <v>0.3</v>
      </c>
      <c r="T86" s="155">
        <v>8000</v>
      </c>
      <c r="U86" s="155"/>
      <c r="V86" s="155"/>
      <c r="AA86" s="180" t="str">
        <f>VLOOKUP(A86,[2]DG!$A:$C,3,0)</f>
        <v>Boulon mắt 16x200+ 2 long đền vuông D18-50x50x3/Zn</v>
      </c>
    </row>
    <row r="87" spans="1:27" ht="20.100000000000001" hidden="1" customHeight="1">
      <c r="A87" s="872" t="s">
        <v>142</v>
      </c>
      <c r="B87" s="860">
        <v>0</v>
      </c>
      <c r="C87" s="416" t="s">
        <v>143</v>
      </c>
      <c r="D87" s="364" t="s">
        <v>37</v>
      </c>
      <c r="E87" s="833">
        <v>27300</v>
      </c>
      <c r="F87" s="833">
        <f t="shared" si="20"/>
        <v>0</v>
      </c>
      <c r="G87" s="833">
        <f t="shared" si="21"/>
        <v>0</v>
      </c>
      <c r="H87" s="834">
        <v>42312</v>
      </c>
      <c r="I87" s="835"/>
      <c r="J87" s="836"/>
      <c r="K87" s="836"/>
      <c r="L87" s="836"/>
      <c r="M87" s="836"/>
      <c r="N87" s="836"/>
      <c r="O87" s="836"/>
      <c r="P87" s="836"/>
      <c r="Q87" s="836"/>
      <c r="R87" s="837">
        <v>0.3</v>
      </c>
      <c r="T87" s="155">
        <v>27300</v>
      </c>
      <c r="U87" s="155">
        <v>0</v>
      </c>
      <c r="V87" s="155">
        <v>0</v>
      </c>
      <c r="AA87" s="180" t="str">
        <f>VLOOKUP(A87,[2]DG!$A:$C,3,0)</f>
        <v>Boulon mắt 16x250+ 2 long đền vuông D18-50x50x3/Zn</v>
      </c>
    </row>
    <row r="88" spans="1:27" ht="20.100000000000001" hidden="1" customHeight="1">
      <c r="A88" s="872" t="s">
        <v>144</v>
      </c>
      <c r="B88" s="860">
        <v>0</v>
      </c>
      <c r="C88" s="416" t="s">
        <v>145</v>
      </c>
      <c r="D88" s="364" t="s">
        <v>37</v>
      </c>
      <c r="E88" s="833">
        <v>30200</v>
      </c>
      <c r="F88" s="833">
        <f t="shared" si="20"/>
        <v>0</v>
      </c>
      <c r="G88" s="833">
        <f t="shared" si="21"/>
        <v>0</v>
      </c>
      <c r="H88" s="834" t="s">
        <v>4065</v>
      </c>
      <c r="I88" s="835"/>
      <c r="J88" s="836"/>
      <c r="K88" s="836"/>
      <c r="L88" s="836"/>
      <c r="M88" s="836"/>
      <c r="N88" s="836"/>
      <c r="O88" s="836"/>
      <c r="P88" s="836"/>
      <c r="Q88" s="836"/>
      <c r="R88" s="837">
        <v>0.3</v>
      </c>
      <c r="T88" s="418">
        <v>30000</v>
      </c>
      <c r="U88" s="155"/>
      <c r="V88" s="155"/>
      <c r="AA88" s="180" t="str">
        <f>VLOOKUP(A88,[2]DG!$A:$C,3,0)</f>
        <v>Boulon mắt 16x300+ 2 long đền vuông D18-50x50x3/Zn</v>
      </c>
    </row>
    <row r="89" spans="1:27" ht="20.100000000000001" hidden="1" customHeight="1">
      <c r="A89" s="872" t="s">
        <v>3051</v>
      </c>
      <c r="B89" s="860">
        <v>0</v>
      </c>
      <c r="C89" s="416" t="s">
        <v>3052</v>
      </c>
      <c r="D89" s="364" t="s">
        <v>37</v>
      </c>
      <c r="E89" s="833">
        <v>27500</v>
      </c>
      <c r="F89" s="833">
        <f t="shared" si="20"/>
        <v>0</v>
      </c>
      <c r="G89" s="833">
        <f t="shared" si="21"/>
        <v>0</v>
      </c>
      <c r="H89" s="834">
        <v>42525</v>
      </c>
      <c r="I89" s="835"/>
      <c r="J89" s="836"/>
      <c r="K89" s="836"/>
      <c r="L89" s="836"/>
      <c r="M89" s="836"/>
      <c r="N89" s="836"/>
      <c r="O89" s="836"/>
      <c r="P89" s="836"/>
      <c r="Q89" s="836"/>
      <c r="R89" s="837">
        <v>0.3</v>
      </c>
      <c r="T89" s="155">
        <v>27500</v>
      </c>
      <c r="U89" s="155">
        <v>0</v>
      </c>
      <c r="V89" s="155">
        <v>0</v>
      </c>
      <c r="AA89" s="180" t="str">
        <f>VLOOKUP(A89,[2]DG!$A:$C,3,0)</f>
        <v>Boulon móc 16x200</v>
      </c>
    </row>
    <row r="90" spans="1:27" ht="20.100000000000001" hidden="1" customHeight="1">
      <c r="A90" s="872" t="s">
        <v>146</v>
      </c>
      <c r="B90" s="860">
        <v>0</v>
      </c>
      <c r="C90" s="416" t="s">
        <v>147</v>
      </c>
      <c r="D90" s="364" t="s">
        <v>37</v>
      </c>
      <c r="E90" s="833">
        <v>29400</v>
      </c>
      <c r="F90" s="833">
        <f t="shared" si="20"/>
        <v>0</v>
      </c>
      <c r="G90" s="833">
        <f t="shared" si="21"/>
        <v>0</v>
      </c>
      <c r="H90" s="834">
        <v>42525</v>
      </c>
      <c r="I90" s="835"/>
      <c r="J90" s="836"/>
      <c r="K90" s="836"/>
      <c r="L90" s="836"/>
      <c r="M90" s="836"/>
      <c r="N90" s="836"/>
      <c r="O90" s="836"/>
      <c r="P90" s="836"/>
      <c r="Q90" s="836"/>
      <c r="R90" s="837">
        <v>0.3</v>
      </c>
      <c r="T90" s="155">
        <v>29400</v>
      </c>
      <c r="U90" s="155">
        <v>0</v>
      </c>
      <c r="V90" s="155">
        <v>0</v>
      </c>
      <c r="AA90" s="180" t="str">
        <f>VLOOKUP(A90,[2]DG!$A:$C,3,0)</f>
        <v>Boulon móc 16x250+ long đền vuông D18-50x50x3/Zn</v>
      </c>
    </row>
    <row r="91" spans="1:27" ht="20.100000000000001" hidden="1" customHeight="1">
      <c r="A91" s="872" t="s">
        <v>148</v>
      </c>
      <c r="B91" s="860"/>
      <c r="C91" s="416" t="s">
        <v>149</v>
      </c>
      <c r="D91" s="364" t="s">
        <v>37</v>
      </c>
      <c r="E91" s="833">
        <v>30000</v>
      </c>
      <c r="F91" s="833">
        <f t="shared" si="20"/>
        <v>0</v>
      </c>
      <c r="G91" s="833">
        <f t="shared" si="21"/>
        <v>0</v>
      </c>
      <c r="H91" s="834">
        <v>1</v>
      </c>
      <c r="I91" s="835"/>
      <c r="J91" s="836"/>
      <c r="K91" s="836"/>
      <c r="L91" s="836"/>
      <c r="M91" s="836"/>
      <c r="N91" s="836"/>
      <c r="O91" s="836"/>
      <c r="P91" s="836"/>
      <c r="Q91" s="836"/>
      <c r="R91" s="837">
        <v>0.3</v>
      </c>
      <c r="T91" s="155">
        <v>30000</v>
      </c>
      <c r="U91" s="155"/>
      <c r="V91" s="155"/>
      <c r="AA91" s="180" t="str">
        <f>VLOOKUP(A91,[2]DG!$A:$C,3,0)</f>
        <v>Boulon móc 16x300+ long đền vuông D18-50x50x3/Zn</v>
      </c>
    </row>
    <row r="92" spans="1:27" ht="20.100000000000001" customHeight="1">
      <c r="A92" s="875" t="s">
        <v>3566</v>
      </c>
      <c r="B92" s="860"/>
      <c r="C92" s="416" t="s">
        <v>4641</v>
      </c>
      <c r="D92" s="364" t="s">
        <v>182</v>
      </c>
      <c r="E92" s="833">
        <v>16500</v>
      </c>
      <c r="F92" s="833">
        <f t="shared" si="20"/>
        <v>0</v>
      </c>
      <c r="G92" s="833">
        <f t="shared" si="21"/>
        <v>0</v>
      </c>
      <c r="H92" s="834" t="s">
        <v>4065</v>
      </c>
      <c r="I92" s="835"/>
      <c r="J92" s="836"/>
      <c r="K92" s="836"/>
      <c r="L92" s="836"/>
      <c r="M92" s="836"/>
      <c r="N92" s="836"/>
      <c r="O92" s="836"/>
      <c r="P92" s="836"/>
      <c r="Q92" s="836"/>
      <c r="R92" s="837">
        <v>0.7</v>
      </c>
      <c r="T92" s="155">
        <v>16500</v>
      </c>
      <c r="U92" s="155"/>
      <c r="V92" s="155"/>
      <c r="AA92" s="180" t="str">
        <f>VLOOKUP(A92,[2]DG!$A:$C,3,0)</f>
        <v>Sắt tròn D10 (D=0,617kg/m)</v>
      </c>
    </row>
    <row r="93" spans="1:27" ht="20.100000000000001" customHeight="1">
      <c r="A93" s="875" t="s">
        <v>4640</v>
      </c>
      <c r="B93" s="860"/>
      <c r="C93" s="416" t="s">
        <v>4642</v>
      </c>
      <c r="D93" s="364" t="s">
        <v>182</v>
      </c>
      <c r="E93" s="833">
        <v>16500</v>
      </c>
      <c r="F93" s="833">
        <f t="shared" ref="F93" si="26">IF(OR(I93="",J93=""),0,IF(K93*1=0,1,K93)*VLOOKUP(I93,TIENLUONG,4,0)*J93)</f>
        <v>0</v>
      </c>
      <c r="G93" s="833">
        <f t="shared" ref="G93" si="27">L93*VLOOKUP($L$1,CAMAY,2,0)+M93*VLOOKUP($M$1,CAMAY,2,0)+N93*VLOOKUP($N$1,CAMAY,2,0)+O93*VLOOKUP($O$1,CAMAY,2,0)+P93*VLOOKUP($P$1,CAMAY,2,0)</f>
        <v>0</v>
      </c>
      <c r="H93" s="834" t="s">
        <v>4065</v>
      </c>
      <c r="I93" s="835"/>
      <c r="J93" s="836"/>
      <c r="K93" s="836"/>
      <c r="L93" s="836"/>
      <c r="M93" s="836"/>
      <c r="N93" s="836"/>
      <c r="O93" s="836"/>
      <c r="P93" s="836"/>
      <c r="Q93" s="836"/>
      <c r="R93" s="837">
        <v>0.7</v>
      </c>
      <c r="T93" s="155">
        <v>16500</v>
      </c>
      <c r="U93" s="155"/>
      <c r="V93" s="155"/>
      <c r="AA93" s="180" t="str">
        <f>VLOOKUP(A93,[2]DG!$A:$C,3,0)</f>
        <v>Sắt tròn D6 (D=0,222kg/m)</v>
      </c>
    </row>
    <row r="94" spans="1:27" ht="20.100000000000001" hidden="1" customHeight="1">
      <c r="A94" s="872" t="s">
        <v>3567</v>
      </c>
      <c r="B94" s="859"/>
      <c r="C94" s="421" t="s">
        <v>150</v>
      </c>
      <c r="D94" s="364" t="s">
        <v>9</v>
      </c>
      <c r="E94" s="833">
        <v>1500</v>
      </c>
      <c r="F94" s="833">
        <f t="shared" si="20"/>
        <v>0</v>
      </c>
      <c r="G94" s="833">
        <f t="shared" si="21"/>
        <v>0</v>
      </c>
      <c r="H94" s="834" t="s">
        <v>4065</v>
      </c>
      <c r="I94" s="835"/>
      <c r="J94" s="836"/>
      <c r="K94" s="836"/>
      <c r="L94" s="836"/>
      <c r="M94" s="836"/>
      <c r="N94" s="836"/>
      <c r="O94" s="836"/>
      <c r="P94" s="836"/>
      <c r="Q94" s="836"/>
      <c r="R94" s="837">
        <v>0.05</v>
      </c>
      <c r="T94" s="155">
        <v>1500</v>
      </c>
      <c r="U94" s="155"/>
      <c r="V94" s="155"/>
      <c r="AA94" s="180" t="str">
        <f>VLOOKUP(A94,[2]DG!$A:$C,3,0)</f>
        <v>Long đền tròn 12-14-16-18</v>
      </c>
    </row>
    <row r="95" spans="1:27" ht="20.100000000000001" hidden="1" customHeight="1">
      <c r="A95" s="872" t="s">
        <v>151</v>
      </c>
      <c r="B95" s="859"/>
      <c r="C95" s="421" t="s">
        <v>152</v>
      </c>
      <c r="D95" s="364" t="s">
        <v>9</v>
      </c>
      <c r="E95" s="833">
        <v>2200</v>
      </c>
      <c r="F95" s="833">
        <f t="shared" si="20"/>
        <v>0</v>
      </c>
      <c r="G95" s="833">
        <f t="shared" si="21"/>
        <v>0</v>
      </c>
      <c r="H95" s="834" t="s">
        <v>4065</v>
      </c>
      <c r="I95" s="835"/>
      <c r="J95" s="836"/>
      <c r="K95" s="836"/>
      <c r="L95" s="836"/>
      <c r="M95" s="836"/>
      <c r="N95" s="836"/>
      <c r="O95" s="836"/>
      <c r="P95" s="836"/>
      <c r="Q95" s="836"/>
      <c r="R95" s="837">
        <v>0.05</v>
      </c>
      <c r="T95" s="418">
        <v>2200</v>
      </c>
      <c r="U95" s="155"/>
      <c r="V95" s="155"/>
      <c r="AA95" s="180" t="str">
        <f>VLOOKUP(A95,[2]DG!$A:$C,3,0)</f>
        <v>Long đền vuông 14-22 (50x50x3)</v>
      </c>
    </row>
    <row r="96" spans="1:27" ht="20.100000000000001" hidden="1" customHeight="1">
      <c r="A96" s="872" t="s">
        <v>153</v>
      </c>
      <c r="B96" s="859"/>
      <c r="C96" s="421" t="s">
        <v>154</v>
      </c>
      <c r="D96" s="364" t="s">
        <v>9</v>
      </c>
      <c r="E96" s="833">
        <v>2600</v>
      </c>
      <c r="F96" s="833">
        <f t="shared" si="20"/>
        <v>0</v>
      </c>
      <c r="G96" s="833">
        <f t="shared" si="21"/>
        <v>0</v>
      </c>
      <c r="H96" s="834" t="s">
        <v>4065</v>
      </c>
      <c r="I96" s="835"/>
      <c r="J96" s="836"/>
      <c r="K96" s="836"/>
      <c r="L96" s="836"/>
      <c r="M96" s="836"/>
      <c r="N96" s="836"/>
      <c r="O96" s="836"/>
      <c r="P96" s="836"/>
      <c r="Q96" s="836"/>
      <c r="R96" s="837">
        <v>0.1</v>
      </c>
      <c r="T96" s="418">
        <v>2600</v>
      </c>
      <c r="U96" s="155"/>
      <c r="V96" s="155"/>
      <c r="AA96" s="180" t="str">
        <f>VLOOKUP(A96,[2]DG!$A:$C,3,0)</f>
        <v>Long đền vuông 18-24 (60x60x6)</v>
      </c>
    </row>
    <row r="97" spans="1:27" ht="20.100000000000001" hidden="1" customHeight="1">
      <c r="A97" s="872" t="s">
        <v>155</v>
      </c>
      <c r="B97" s="859"/>
      <c r="C97" s="421" t="s">
        <v>156</v>
      </c>
      <c r="D97" s="364" t="s">
        <v>37</v>
      </c>
      <c r="E97" s="833">
        <v>230000</v>
      </c>
      <c r="F97" s="833">
        <f t="shared" si="20"/>
        <v>0</v>
      </c>
      <c r="G97" s="833">
        <f t="shared" si="21"/>
        <v>0</v>
      </c>
      <c r="H97" s="834" t="s">
        <v>4065</v>
      </c>
      <c r="I97" s="835"/>
      <c r="J97" s="836"/>
      <c r="K97" s="836"/>
      <c r="L97" s="836"/>
      <c r="M97" s="836"/>
      <c r="N97" s="836"/>
      <c r="O97" s="836"/>
      <c r="P97" s="836"/>
      <c r="Q97" s="836"/>
      <c r="R97" s="837">
        <v>0.5</v>
      </c>
      <c r="T97" s="418">
        <v>230000</v>
      </c>
      <c r="U97" s="155"/>
      <c r="V97" s="155"/>
      <c r="AA97" s="180" t="str">
        <f>VLOOKUP(A97,[2]DG!$A:$C,3,0)</f>
        <v>Nắp che đầu cực FCO</v>
      </c>
    </row>
    <row r="98" spans="1:27" ht="20.100000000000001" hidden="1" customHeight="1">
      <c r="A98" s="872" t="s">
        <v>157</v>
      </c>
      <c r="B98" s="859"/>
      <c r="C98" s="421" t="s">
        <v>158</v>
      </c>
      <c r="D98" s="364" t="s">
        <v>9</v>
      </c>
      <c r="E98" s="833">
        <v>75000</v>
      </c>
      <c r="F98" s="833">
        <f t="shared" si="20"/>
        <v>0</v>
      </c>
      <c r="G98" s="833">
        <f t="shared" si="21"/>
        <v>0</v>
      </c>
      <c r="H98" s="834" t="s">
        <v>4065</v>
      </c>
      <c r="I98" s="835"/>
      <c r="J98" s="836"/>
      <c r="K98" s="836"/>
      <c r="L98" s="836"/>
      <c r="M98" s="836"/>
      <c r="N98" s="836"/>
      <c r="O98" s="836"/>
      <c r="P98" s="836"/>
      <c r="Q98" s="836"/>
      <c r="R98" s="837">
        <v>0.5</v>
      </c>
      <c r="T98" s="418">
        <v>75000</v>
      </c>
      <c r="U98" s="155"/>
      <c r="V98" s="155"/>
      <c r="AA98" s="180" t="str">
        <f>VLOOKUP(A98,[2]DG!$A:$C,3,0)</f>
        <v>Nắp che đầu cực LA</v>
      </c>
    </row>
    <row r="99" spans="1:27" ht="20.100000000000001" hidden="1" customHeight="1">
      <c r="A99" s="872" t="s">
        <v>159</v>
      </c>
      <c r="B99" s="859"/>
      <c r="C99" s="421" t="s">
        <v>160</v>
      </c>
      <c r="D99" s="364" t="s">
        <v>9</v>
      </c>
      <c r="E99" s="833">
        <v>75000</v>
      </c>
      <c r="F99" s="833">
        <f t="shared" si="20"/>
        <v>0</v>
      </c>
      <c r="G99" s="833">
        <f t="shared" si="21"/>
        <v>0</v>
      </c>
      <c r="H99" s="834" t="s">
        <v>4065</v>
      </c>
      <c r="I99" s="835"/>
      <c r="J99" s="836"/>
      <c r="K99" s="836"/>
      <c r="L99" s="836"/>
      <c r="M99" s="836"/>
      <c r="N99" s="836"/>
      <c r="O99" s="836"/>
      <c r="P99" s="836"/>
      <c r="Q99" s="836"/>
      <c r="R99" s="837">
        <v>0.5</v>
      </c>
      <c r="T99" s="418">
        <v>75000</v>
      </c>
      <c r="U99" s="155"/>
      <c r="V99" s="155"/>
      <c r="AA99" s="180" t="str">
        <f>VLOOKUP(A99,[2]DG!$A:$C,3,0)</f>
        <v>Nắp che đầu sứ MBA</v>
      </c>
    </row>
    <row r="100" spans="1:27" ht="20.100000000000001" hidden="1" customHeight="1">
      <c r="A100" s="872" t="s">
        <v>3031</v>
      </c>
      <c r="B100" s="859"/>
      <c r="C100" s="421" t="s">
        <v>2996</v>
      </c>
      <c r="D100" s="364" t="s">
        <v>9</v>
      </c>
      <c r="E100" s="833">
        <v>75000</v>
      </c>
      <c r="F100" s="833">
        <f t="shared" si="20"/>
        <v>0</v>
      </c>
      <c r="G100" s="833">
        <f t="shared" si="21"/>
        <v>0</v>
      </c>
      <c r="H100" s="834" t="s">
        <v>4065</v>
      </c>
      <c r="I100" s="835"/>
      <c r="J100" s="836"/>
      <c r="K100" s="836"/>
      <c r="L100" s="836"/>
      <c r="M100" s="836"/>
      <c r="N100" s="836"/>
      <c r="O100" s="836"/>
      <c r="P100" s="836"/>
      <c r="Q100" s="836"/>
      <c r="R100" s="837">
        <v>0.5</v>
      </c>
      <c r="T100" s="418">
        <v>75000</v>
      </c>
      <c r="U100" s="155"/>
      <c r="V100" s="155"/>
      <c r="AA100" s="180" t="str">
        <f>VLOOKUP(A100,[2]DG!$A:$C,3,0)</f>
        <v>Chụp cách điện kẹp quai</v>
      </c>
    </row>
    <row r="101" spans="1:27" ht="20.100000000000001" hidden="1" customHeight="1">
      <c r="A101" s="872" t="s">
        <v>161</v>
      </c>
      <c r="B101" s="860">
        <v>0</v>
      </c>
      <c r="C101" s="421" t="s">
        <v>162</v>
      </c>
      <c r="D101" s="422" t="s">
        <v>163</v>
      </c>
      <c r="E101" s="833">
        <v>42000</v>
      </c>
      <c r="F101" s="833">
        <f t="shared" si="20"/>
        <v>0</v>
      </c>
      <c r="G101" s="833">
        <f t="shared" si="21"/>
        <v>0</v>
      </c>
      <c r="H101" s="834" t="s">
        <v>4065</v>
      </c>
      <c r="I101" s="835"/>
      <c r="J101" s="836"/>
      <c r="K101" s="836"/>
      <c r="L101" s="836"/>
      <c r="M101" s="836"/>
      <c r="N101" s="836"/>
      <c r="O101" s="836"/>
      <c r="P101" s="836"/>
      <c r="Q101" s="836"/>
      <c r="R101" s="837">
        <v>0.5</v>
      </c>
      <c r="T101" s="423">
        <v>28000</v>
      </c>
      <c r="U101" s="424"/>
      <c r="V101" s="425"/>
      <c r="AA101" s="180" t="str">
        <f>VLOOKUP(A101,[2]DG!$A:$C,3,0)</f>
        <v>Bass LI bắt FCO</v>
      </c>
    </row>
    <row r="102" spans="1:27" ht="20.100000000000001" customHeight="1">
      <c r="A102" s="872" t="s">
        <v>164</v>
      </c>
      <c r="B102" s="860"/>
      <c r="C102" s="421" t="s">
        <v>165</v>
      </c>
      <c r="D102" s="422" t="s">
        <v>163</v>
      </c>
      <c r="E102" s="833">
        <v>28000</v>
      </c>
      <c r="F102" s="833">
        <f t="shared" si="20"/>
        <v>0</v>
      </c>
      <c r="G102" s="833">
        <f t="shared" si="21"/>
        <v>0</v>
      </c>
      <c r="H102" s="834" t="s">
        <v>4065</v>
      </c>
      <c r="I102" s="835"/>
      <c r="J102" s="836"/>
      <c r="K102" s="836"/>
      <c r="L102" s="836"/>
      <c r="M102" s="836"/>
      <c r="N102" s="836"/>
      <c r="O102" s="836"/>
      <c r="P102" s="836"/>
      <c r="Q102" s="836"/>
      <c r="R102" s="837">
        <v>0.5</v>
      </c>
      <c r="T102" s="423">
        <v>28000</v>
      </c>
      <c r="U102" s="424"/>
      <c r="V102" s="425"/>
      <c r="AA102" s="180" t="str">
        <f>VLOOKUP(A102,[2]DG!$A:$C,3,0)</f>
        <v>Bass LI bắt LA</v>
      </c>
    </row>
    <row r="103" spans="1:27" ht="20.100000000000001" hidden="1" customHeight="1">
      <c r="A103" s="873" t="s">
        <v>166</v>
      </c>
      <c r="B103" s="859">
        <v>0</v>
      </c>
      <c r="C103" s="421" t="s">
        <v>167</v>
      </c>
      <c r="D103" s="426" t="s">
        <v>37</v>
      </c>
      <c r="E103" s="833">
        <v>59000</v>
      </c>
      <c r="F103" s="833">
        <f t="shared" si="20"/>
        <v>0</v>
      </c>
      <c r="G103" s="833">
        <f t="shared" si="21"/>
        <v>0</v>
      </c>
      <c r="H103" s="834" t="s">
        <v>4065</v>
      </c>
      <c r="I103" s="835"/>
      <c r="J103" s="836"/>
      <c r="K103" s="836"/>
      <c r="L103" s="836"/>
      <c r="M103" s="836"/>
      <c r="N103" s="836"/>
      <c r="O103" s="836"/>
      <c r="P103" s="836"/>
      <c r="Q103" s="836"/>
      <c r="R103" s="837">
        <v>0.5</v>
      </c>
      <c r="T103" s="418">
        <v>56000</v>
      </c>
      <c r="U103" s="155">
        <v>0</v>
      </c>
      <c r="V103" s="155">
        <v>0</v>
      </c>
      <c r="AA103" s="180" t="str">
        <f>VLOOKUP(A103,[2]DG!$A:$C,3,0)</f>
        <v>Bass LL bắt FCO, LA</v>
      </c>
    </row>
    <row r="104" spans="1:27" ht="20.100000000000001" hidden="1" customHeight="1">
      <c r="A104" s="872" t="s">
        <v>168</v>
      </c>
      <c r="B104" s="860"/>
      <c r="C104" s="416" t="s">
        <v>170</v>
      </c>
      <c r="D104" s="426" t="s">
        <v>171</v>
      </c>
      <c r="E104" s="833">
        <v>7000</v>
      </c>
      <c r="F104" s="833">
        <f t="shared" si="20"/>
        <v>0</v>
      </c>
      <c r="G104" s="833">
        <f t="shared" si="21"/>
        <v>0</v>
      </c>
      <c r="H104" s="834">
        <v>1</v>
      </c>
      <c r="I104" s="835"/>
      <c r="J104" s="836"/>
      <c r="K104" s="836"/>
      <c r="L104" s="836"/>
      <c r="M104" s="836"/>
      <c r="N104" s="836"/>
      <c r="O104" s="836"/>
      <c r="P104" s="836"/>
      <c r="Q104" s="836"/>
      <c r="R104" s="837">
        <v>7</v>
      </c>
      <c r="T104" s="155">
        <v>7000</v>
      </c>
      <c r="U104" s="155">
        <v>1393.5</v>
      </c>
      <c r="V104" s="155"/>
      <c r="AA104" s="180" t="str">
        <f>VLOOKUP(A104,[2]DG!$A:$C,3,0)</f>
        <v>Cừ tràm 2,5m</v>
      </c>
    </row>
    <row r="105" spans="1:27" ht="20.100000000000001" hidden="1" customHeight="1">
      <c r="A105" s="872" t="s">
        <v>172</v>
      </c>
      <c r="B105" s="860"/>
      <c r="C105" s="421" t="s">
        <v>173</v>
      </c>
      <c r="D105" s="426" t="s">
        <v>171</v>
      </c>
      <c r="E105" s="833">
        <v>8000</v>
      </c>
      <c r="F105" s="833">
        <f t="shared" si="20"/>
        <v>0</v>
      </c>
      <c r="G105" s="833">
        <f t="shared" si="21"/>
        <v>0</v>
      </c>
      <c r="H105" s="834">
        <v>1</v>
      </c>
      <c r="I105" s="835"/>
      <c r="J105" s="836"/>
      <c r="K105" s="836"/>
      <c r="L105" s="836"/>
      <c r="M105" s="836"/>
      <c r="N105" s="836"/>
      <c r="O105" s="836"/>
      <c r="P105" s="836"/>
      <c r="Q105" s="836"/>
      <c r="R105" s="837">
        <v>10</v>
      </c>
      <c r="T105" s="155">
        <v>8000</v>
      </c>
      <c r="U105" s="155">
        <v>1672.1999999999998</v>
      </c>
      <c r="V105" s="155"/>
      <c r="AA105" s="180" t="str">
        <f>VLOOKUP(A105,[2]DG!$A:$C,3,0)</f>
        <v>Cừ tràm 3m</v>
      </c>
    </row>
    <row r="106" spans="1:27" ht="20.100000000000001" hidden="1" customHeight="1">
      <c r="A106" s="872" t="s">
        <v>3568</v>
      </c>
      <c r="B106" s="860"/>
      <c r="C106" s="421" t="s">
        <v>174</v>
      </c>
      <c r="D106" s="364" t="s">
        <v>9</v>
      </c>
      <c r="E106" s="833">
        <v>300000</v>
      </c>
      <c r="F106" s="833">
        <f t="shared" si="20"/>
        <v>0</v>
      </c>
      <c r="G106" s="833">
        <f t="shared" si="21"/>
        <v>0</v>
      </c>
      <c r="H106" s="834">
        <v>1</v>
      </c>
      <c r="I106" s="835"/>
      <c r="J106" s="836"/>
      <c r="K106" s="836"/>
      <c r="L106" s="836"/>
      <c r="M106" s="836"/>
      <c r="N106" s="836"/>
      <c r="O106" s="836"/>
      <c r="P106" s="836"/>
      <c r="Q106" s="836"/>
      <c r="R106" s="837">
        <v>5</v>
      </c>
      <c r="T106" s="155">
        <v>300000</v>
      </c>
      <c r="U106" s="155">
        <v>1672.1999999999998</v>
      </c>
      <c r="V106" s="155"/>
      <c r="AA106" s="180" t="str">
        <f>VLOOKUP(A106,[2]DG!$A:$C,3,0)</f>
        <v>Cong D1000x1000mm</v>
      </c>
    </row>
    <row r="107" spans="1:27" ht="20.100000000000001" hidden="1" customHeight="1">
      <c r="A107" s="872" t="s">
        <v>3569</v>
      </c>
      <c r="B107" s="860"/>
      <c r="C107" s="421" t="s">
        <v>175</v>
      </c>
      <c r="D107" s="364" t="s">
        <v>9</v>
      </c>
      <c r="E107" s="833">
        <v>150000</v>
      </c>
      <c r="F107" s="833">
        <f t="shared" si="20"/>
        <v>0</v>
      </c>
      <c r="G107" s="833">
        <f t="shared" si="21"/>
        <v>0</v>
      </c>
      <c r="H107" s="834">
        <v>1</v>
      </c>
      <c r="I107" s="835"/>
      <c r="J107" s="836"/>
      <c r="K107" s="836"/>
      <c r="L107" s="836"/>
      <c r="M107" s="836"/>
      <c r="N107" s="836"/>
      <c r="O107" s="836"/>
      <c r="P107" s="836"/>
      <c r="Q107" s="836"/>
      <c r="R107" s="837">
        <v>5</v>
      </c>
      <c r="T107" s="155">
        <v>150000</v>
      </c>
      <c r="U107" s="155">
        <v>1672.1999999999998</v>
      </c>
      <c r="V107" s="155"/>
      <c r="AA107" s="180" t="str">
        <f>VLOOKUP(A107,[2]DG!$A:$C,3,0)</f>
        <v>Cong D1000x400mm</v>
      </c>
    </row>
    <row r="108" spans="1:27" ht="20.100000000000001" hidden="1" customHeight="1">
      <c r="A108" s="872" t="s">
        <v>176</v>
      </c>
      <c r="B108" s="860"/>
      <c r="C108" s="421" t="s">
        <v>177</v>
      </c>
      <c r="D108" s="364" t="s">
        <v>171</v>
      </c>
      <c r="E108" s="833">
        <v>12000</v>
      </c>
      <c r="F108" s="833">
        <f t="shared" si="20"/>
        <v>0</v>
      </c>
      <c r="G108" s="833">
        <f t="shared" si="21"/>
        <v>0</v>
      </c>
      <c r="H108" s="834">
        <v>1</v>
      </c>
      <c r="I108" s="835"/>
      <c r="J108" s="836"/>
      <c r="K108" s="836"/>
      <c r="L108" s="836"/>
      <c r="M108" s="836"/>
      <c r="N108" s="836"/>
      <c r="O108" s="836"/>
      <c r="P108" s="836"/>
      <c r="Q108" s="836"/>
      <c r="R108" s="837">
        <v>15</v>
      </c>
      <c r="T108" s="155">
        <v>12000</v>
      </c>
      <c r="U108" s="155">
        <v>2787</v>
      </c>
      <c r="V108" s="155"/>
      <c r="AA108" s="180" t="str">
        <f>VLOOKUP(A108,[2]DG!$A:$C,3,0)</f>
        <v>Cừ tràm 5m</v>
      </c>
    </row>
    <row r="109" spans="1:27" ht="20.100000000000001" hidden="1" customHeight="1">
      <c r="A109" s="873" t="s">
        <v>3570</v>
      </c>
      <c r="B109" s="859"/>
      <c r="C109" s="421" t="s">
        <v>178</v>
      </c>
      <c r="D109" s="364" t="s">
        <v>179</v>
      </c>
      <c r="E109" s="833">
        <v>100000</v>
      </c>
      <c r="F109" s="833">
        <f t="shared" si="20"/>
        <v>0</v>
      </c>
      <c r="G109" s="833">
        <f t="shared" si="21"/>
        <v>0</v>
      </c>
      <c r="H109" s="834">
        <v>1</v>
      </c>
      <c r="I109" s="835"/>
      <c r="J109" s="836"/>
      <c r="K109" s="836"/>
      <c r="L109" s="836"/>
      <c r="M109" s="836"/>
      <c r="N109" s="836"/>
      <c r="O109" s="836"/>
      <c r="P109" s="836"/>
      <c r="Q109" s="836"/>
      <c r="R109" s="837">
        <v>25</v>
      </c>
      <c r="T109" s="155">
        <v>100000</v>
      </c>
      <c r="U109" s="155"/>
      <c r="V109" s="155"/>
      <c r="AA109" s="180" t="str">
        <f>VLOOKUP(A109,[2]DG!$A:$C,3,0)</f>
        <v>Móng đặt tủ bù (0,2x0,2x0,4)x4 móng</v>
      </c>
    </row>
    <row r="110" spans="1:27" ht="20.100000000000001" hidden="1" customHeight="1">
      <c r="A110" s="874" t="s">
        <v>180</v>
      </c>
      <c r="B110" s="859"/>
      <c r="C110" s="416" t="s">
        <v>181</v>
      </c>
      <c r="D110" s="364" t="s">
        <v>182</v>
      </c>
      <c r="E110" s="833">
        <v>159100</v>
      </c>
      <c r="F110" s="833">
        <f t="shared" si="20"/>
        <v>0</v>
      </c>
      <c r="G110" s="833">
        <f t="shared" si="21"/>
        <v>0</v>
      </c>
      <c r="H110" s="834">
        <v>1</v>
      </c>
      <c r="I110" s="835"/>
      <c r="J110" s="836"/>
      <c r="K110" s="836"/>
      <c r="L110" s="836"/>
      <c r="M110" s="836"/>
      <c r="N110" s="836"/>
      <c r="O110" s="836"/>
      <c r="P110" s="836"/>
      <c r="Q110" s="836"/>
      <c r="R110" s="837">
        <v>1</v>
      </c>
      <c r="T110" s="155">
        <v>159100</v>
      </c>
      <c r="U110" s="155"/>
      <c r="V110" s="155"/>
      <c r="AA110" s="180" t="str">
        <f>VLOOKUP(A110,[2]DG!$A:$C,3,0)</f>
        <v>Cáp đồng trần M11mm2</v>
      </c>
    </row>
    <row r="111" spans="1:27" ht="20.100000000000001" hidden="1" customHeight="1">
      <c r="A111" s="874" t="s">
        <v>183</v>
      </c>
      <c r="B111" s="859"/>
      <c r="C111" s="416" t="s">
        <v>184</v>
      </c>
      <c r="D111" s="364" t="s">
        <v>182</v>
      </c>
      <c r="E111" s="833">
        <v>157900</v>
      </c>
      <c r="F111" s="833">
        <f t="shared" si="20"/>
        <v>0</v>
      </c>
      <c r="G111" s="833">
        <f t="shared" si="21"/>
        <v>0</v>
      </c>
      <c r="H111" s="834">
        <v>1</v>
      </c>
      <c r="I111" s="835"/>
      <c r="J111" s="836"/>
      <c r="K111" s="836"/>
      <c r="L111" s="836"/>
      <c r="M111" s="836"/>
      <c r="N111" s="836"/>
      <c r="O111" s="836"/>
      <c r="P111" s="836"/>
      <c r="Q111" s="836"/>
      <c r="R111" s="837">
        <v>1</v>
      </c>
      <c r="T111" s="155">
        <v>157900</v>
      </c>
      <c r="U111" s="155"/>
      <c r="V111" s="155"/>
      <c r="AA111" s="180" t="str">
        <f>VLOOKUP(A111,[2]DG!$A:$C,3,0)</f>
        <v>Cáp đồng trần M22mm2</v>
      </c>
    </row>
    <row r="112" spans="1:27" ht="20.100000000000001" hidden="1" customHeight="1">
      <c r="A112" s="874" t="s">
        <v>185</v>
      </c>
      <c r="B112" s="859">
        <v>0</v>
      </c>
      <c r="C112" s="416" t="s">
        <v>186</v>
      </c>
      <c r="D112" s="364" t="s">
        <v>182</v>
      </c>
      <c r="E112" s="833">
        <v>255500</v>
      </c>
      <c r="F112" s="833">
        <f t="shared" si="20"/>
        <v>0</v>
      </c>
      <c r="G112" s="833">
        <f t="shared" si="21"/>
        <v>0</v>
      </c>
      <c r="H112" s="834">
        <v>43636</v>
      </c>
      <c r="I112" s="835"/>
      <c r="J112" s="836"/>
      <c r="K112" s="836"/>
      <c r="L112" s="836"/>
      <c r="M112" s="836"/>
      <c r="N112" s="836"/>
      <c r="O112" s="836"/>
      <c r="P112" s="836"/>
      <c r="Q112" s="836"/>
      <c r="R112" s="837">
        <v>1</v>
      </c>
      <c r="T112" s="418">
        <v>186600</v>
      </c>
      <c r="U112" s="155">
        <v>0</v>
      </c>
      <c r="V112" s="155">
        <v>0</v>
      </c>
      <c r="AA112" s="180" t="str">
        <f>VLOOKUP(A112,[2]DG!$A:$C,3,0)</f>
        <v>Cáp đồng trần M25mm2</v>
      </c>
    </row>
    <row r="113" spans="1:27" ht="20.100000000000001" hidden="1" customHeight="1">
      <c r="A113" s="874" t="s">
        <v>187</v>
      </c>
      <c r="B113" s="859"/>
      <c r="C113" s="416" t="s">
        <v>188</v>
      </c>
      <c r="D113" s="364" t="s">
        <v>182</v>
      </c>
      <c r="E113" s="833">
        <v>222300</v>
      </c>
      <c r="F113" s="833">
        <f t="shared" si="20"/>
        <v>0</v>
      </c>
      <c r="G113" s="833">
        <f t="shared" si="21"/>
        <v>0</v>
      </c>
      <c r="H113" s="834">
        <v>1</v>
      </c>
      <c r="I113" s="835"/>
      <c r="J113" s="836"/>
      <c r="K113" s="836"/>
      <c r="L113" s="836"/>
      <c r="M113" s="836"/>
      <c r="N113" s="836"/>
      <c r="O113" s="836"/>
      <c r="P113" s="836"/>
      <c r="Q113" s="836"/>
      <c r="R113" s="837">
        <v>1</v>
      </c>
      <c r="T113" s="155">
        <v>222300</v>
      </c>
      <c r="U113" s="155"/>
      <c r="V113" s="155"/>
      <c r="AA113" s="180" t="str">
        <f>VLOOKUP(A113,[2]DG!$A:$C,3,0)</f>
        <v>Cáp đồng trần M38mm2</v>
      </c>
    </row>
    <row r="114" spans="1:27" ht="20.100000000000001" hidden="1" customHeight="1">
      <c r="A114" s="873" t="s">
        <v>189</v>
      </c>
      <c r="B114" s="859"/>
      <c r="C114" s="421" t="s">
        <v>190</v>
      </c>
      <c r="D114" s="364" t="s">
        <v>191</v>
      </c>
      <c r="E114" s="833">
        <v>100000</v>
      </c>
      <c r="F114" s="833">
        <f t="shared" si="20"/>
        <v>0</v>
      </c>
      <c r="G114" s="833">
        <f t="shared" si="21"/>
        <v>0</v>
      </c>
      <c r="H114" s="834">
        <v>1</v>
      </c>
      <c r="I114" s="835"/>
      <c r="J114" s="836"/>
      <c r="K114" s="836"/>
      <c r="L114" s="836"/>
      <c r="M114" s="836"/>
      <c r="N114" s="836"/>
      <c r="O114" s="836"/>
      <c r="P114" s="836"/>
      <c r="Q114" s="836"/>
      <c r="R114" s="837">
        <v>25</v>
      </c>
      <c r="T114" s="155">
        <v>100000</v>
      </c>
      <c r="U114" s="155"/>
      <c r="V114" s="155"/>
      <c r="AA114" s="180" t="str">
        <f>VLOOKUP(A114,[2]DG!$A:$C,3,0)</f>
        <v>Bộ móng tủ bù 0,2x0,2x0,4x4móng</v>
      </c>
    </row>
    <row r="115" spans="1:27" ht="20.100000000000001" hidden="1" customHeight="1">
      <c r="A115" s="874" t="s">
        <v>192</v>
      </c>
      <c r="B115" s="859"/>
      <c r="C115" s="416" t="s">
        <v>193</v>
      </c>
      <c r="D115" s="364" t="s">
        <v>182</v>
      </c>
      <c r="E115" s="833">
        <v>222300</v>
      </c>
      <c r="F115" s="833">
        <f t="shared" si="20"/>
        <v>0</v>
      </c>
      <c r="G115" s="833">
        <f t="shared" si="21"/>
        <v>0</v>
      </c>
      <c r="H115" s="834">
        <v>1</v>
      </c>
      <c r="I115" s="835"/>
      <c r="J115" s="836"/>
      <c r="K115" s="836"/>
      <c r="L115" s="836"/>
      <c r="M115" s="836"/>
      <c r="N115" s="836"/>
      <c r="O115" s="836"/>
      <c r="P115" s="836"/>
      <c r="Q115" s="836"/>
      <c r="R115" s="837">
        <v>1</v>
      </c>
      <c r="T115" s="155">
        <v>222300</v>
      </c>
      <c r="U115" s="155"/>
      <c r="V115" s="155"/>
      <c r="AA115" s="180" t="str">
        <f>VLOOKUP(A115,[2]DG!$A:$C,3,0)</f>
        <v>Cáp đồng trần M50mm2</v>
      </c>
    </row>
    <row r="116" spans="1:27" ht="20.100000000000001" hidden="1" customHeight="1">
      <c r="A116" s="873" t="s">
        <v>194</v>
      </c>
      <c r="B116" s="859"/>
      <c r="C116" s="421" t="s">
        <v>195</v>
      </c>
      <c r="D116" s="364" t="s">
        <v>196</v>
      </c>
      <c r="E116" s="833">
        <v>84200</v>
      </c>
      <c r="F116" s="833">
        <f t="shared" si="20"/>
        <v>0</v>
      </c>
      <c r="G116" s="833">
        <f t="shared" si="21"/>
        <v>0</v>
      </c>
      <c r="H116" s="834">
        <v>1</v>
      </c>
      <c r="I116" s="835"/>
      <c r="J116" s="836"/>
      <c r="K116" s="836"/>
      <c r="L116" s="836"/>
      <c r="M116" s="836"/>
      <c r="N116" s="836"/>
      <c r="O116" s="836"/>
      <c r="P116" s="836"/>
      <c r="Q116" s="836"/>
      <c r="R116" s="837">
        <v>0.67</v>
      </c>
      <c r="T116" s="155">
        <v>84200</v>
      </c>
      <c r="U116" s="155"/>
      <c r="V116" s="155"/>
      <c r="AA116" s="180" t="str">
        <f>VLOOKUP(A116,[2]DG!$A:$C,3,0)</f>
        <v>Cáp 24KV C/XLPE/PVC 22mm2</v>
      </c>
    </row>
    <row r="117" spans="1:27" ht="20.100000000000001" hidden="1" customHeight="1">
      <c r="A117" s="873" t="s">
        <v>197</v>
      </c>
      <c r="B117" s="859">
        <v>0</v>
      </c>
      <c r="C117" s="421" t="s">
        <v>198</v>
      </c>
      <c r="D117" s="364" t="s">
        <v>196</v>
      </c>
      <c r="E117" s="833">
        <v>57600</v>
      </c>
      <c r="F117" s="833">
        <f t="shared" si="20"/>
        <v>0</v>
      </c>
      <c r="G117" s="833">
        <f t="shared" si="21"/>
        <v>0</v>
      </c>
      <c r="H117" s="834">
        <v>43636</v>
      </c>
      <c r="I117" s="835"/>
      <c r="J117" s="836"/>
      <c r="K117" s="836"/>
      <c r="L117" s="836"/>
      <c r="M117" s="836"/>
      <c r="N117" s="836"/>
      <c r="O117" s="836"/>
      <c r="P117" s="836"/>
      <c r="Q117" s="836"/>
      <c r="R117" s="837">
        <v>0.71</v>
      </c>
      <c r="T117" s="418">
        <v>96300</v>
      </c>
      <c r="U117" s="155">
        <v>0</v>
      </c>
      <c r="V117" s="155">
        <v>0</v>
      </c>
      <c r="AA117" s="180" t="str">
        <f>VLOOKUP(A117,[2]DG!$A:$C,3,0)</f>
        <v>Cáp 24KV C/XLPE/PVC 25mm2</v>
      </c>
    </row>
    <row r="118" spans="1:27" ht="20.100000000000001" hidden="1" customHeight="1">
      <c r="A118" s="873" t="s">
        <v>199</v>
      </c>
      <c r="B118" s="859"/>
      <c r="C118" s="421" t="s">
        <v>200</v>
      </c>
      <c r="D118" s="364" t="s">
        <v>196</v>
      </c>
      <c r="E118" s="833">
        <v>67300</v>
      </c>
      <c r="F118" s="833">
        <f t="shared" si="20"/>
        <v>0</v>
      </c>
      <c r="G118" s="833">
        <f t="shared" si="21"/>
        <v>0</v>
      </c>
      <c r="H118" s="834">
        <v>1</v>
      </c>
      <c r="I118" s="835"/>
      <c r="J118" s="836"/>
      <c r="K118" s="836"/>
      <c r="L118" s="836"/>
      <c r="M118" s="836"/>
      <c r="N118" s="836"/>
      <c r="O118" s="836"/>
      <c r="P118" s="836"/>
      <c r="Q118" s="836"/>
      <c r="R118" s="837">
        <v>0.85</v>
      </c>
      <c r="T118" s="155">
        <v>67300</v>
      </c>
      <c r="U118" s="155"/>
      <c r="V118" s="155"/>
      <c r="AA118" s="180" t="str">
        <f>VLOOKUP(A118,[2]DG!$A:$C,3,0)</f>
        <v>Cáp 24KV C/XLPE/PVC 35mm2</v>
      </c>
    </row>
    <row r="119" spans="1:27" ht="20.100000000000001" hidden="1" customHeight="1">
      <c r="A119" s="873" t="s">
        <v>201</v>
      </c>
      <c r="B119" s="859"/>
      <c r="C119" s="421" t="s">
        <v>202</v>
      </c>
      <c r="D119" s="364" t="s">
        <v>196</v>
      </c>
      <c r="E119" s="833">
        <v>91500</v>
      </c>
      <c r="F119" s="833">
        <f t="shared" si="20"/>
        <v>0</v>
      </c>
      <c r="G119" s="833">
        <f t="shared" si="21"/>
        <v>0</v>
      </c>
      <c r="H119" s="834">
        <v>1</v>
      </c>
      <c r="I119" s="835"/>
      <c r="J119" s="836"/>
      <c r="K119" s="836"/>
      <c r="L119" s="836"/>
      <c r="M119" s="836"/>
      <c r="N119" s="836"/>
      <c r="O119" s="836"/>
      <c r="P119" s="836"/>
      <c r="Q119" s="836"/>
      <c r="R119" s="837">
        <v>1.0049999999999999</v>
      </c>
      <c r="T119" s="427">
        <v>91500</v>
      </c>
      <c r="U119" s="155"/>
      <c r="V119" s="155"/>
      <c r="AA119" s="180" t="str">
        <f>VLOOKUP(A119,[2]DG!$A:$C,3,0)</f>
        <v>Cáp 24KV C/XLPE/PVC 50mm2</v>
      </c>
    </row>
    <row r="120" spans="1:27" ht="20.100000000000001" hidden="1" customHeight="1">
      <c r="A120" s="873" t="s">
        <v>203</v>
      </c>
      <c r="B120" s="859"/>
      <c r="C120" s="421" t="s">
        <v>204</v>
      </c>
      <c r="D120" s="364" t="s">
        <v>196</v>
      </c>
      <c r="E120" s="833">
        <v>121900</v>
      </c>
      <c r="F120" s="833">
        <f t="shared" si="20"/>
        <v>0</v>
      </c>
      <c r="G120" s="833">
        <f t="shared" si="21"/>
        <v>0</v>
      </c>
      <c r="H120" s="834">
        <v>1</v>
      </c>
      <c r="I120" s="835"/>
      <c r="J120" s="836"/>
      <c r="K120" s="836"/>
      <c r="L120" s="836"/>
      <c r="M120" s="836"/>
      <c r="N120" s="836"/>
      <c r="O120" s="836"/>
      <c r="P120" s="836"/>
      <c r="Q120" s="836"/>
      <c r="R120" s="837">
        <v>1.25</v>
      </c>
      <c r="T120" s="155">
        <v>121900</v>
      </c>
      <c r="U120" s="155"/>
      <c r="V120" s="155"/>
      <c r="AA120" s="180" t="str">
        <f>VLOOKUP(A120,[2]DG!$A:$C,3,0)</f>
        <v>Cáp 24KV C/XLPE/PVC 70mm2</v>
      </c>
    </row>
    <row r="121" spans="1:27" ht="20.100000000000001" hidden="1" customHeight="1">
      <c r="A121" s="873" t="s">
        <v>205</v>
      </c>
      <c r="B121" s="859"/>
      <c r="C121" s="421" t="s">
        <v>206</v>
      </c>
      <c r="D121" s="364" t="s">
        <v>196</v>
      </c>
      <c r="E121" s="833">
        <v>163800</v>
      </c>
      <c r="F121" s="833">
        <f t="shared" si="20"/>
        <v>0</v>
      </c>
      <c r="G121" s="833">
        <f t="shared" si="21"/>
        <v>0</v>
      </c>
      <c r="H121" s="834">
        <v>1</v>
      </c>
      <c r="I121" s="835"/>
      <c r="J121" s="836"/>
      <c r="K121" s="836"/>
      <c r="L121" s="836"/>
      <c r="M121" s="836"/>
      <c r="N121" s="836"/>
      <c r="O121" s="836"/>
      <c r="P121" s="836"/>
      <c r="Q121" s="836"/>
      <c r="R121" s="837">
        <v>1.55</v>
      </c>
      <c r="T121" s="155">
        <v>163800</v>
      </c>
      <c r="U121" s="155"/>
      <c r="V121" s="155"/>
      <c r="AA121" s="180" t="str">
        <f>VLOOKUP(A121,[2]DG!$A:$C,3,0)</f>
        <v>Cáp 24KV C/XLPE/PVC 95mm2</v>
      </c>
    </row>
    <row r="122" spans="1:27" ht="20.100000000000001" hidden="1" customHeight="1">
      <c r="A122" s="873" t="s">
        <v>207</v>
      </c>
      <c r="B122" s="859"/>
      <c r="C122" s="421" t="s">
        <v>208</v>
      </c>
      <c r="D122" s="364" t="s">
        <v>196</v>
      </c>
      <c r="E122" s="833">
        <v>198900</v>
      </c>
      <c r="F122" s="833">
        <f t="shared" si="20"/>
        <v>0</v>
      </c>
      <c r="G122" s="833">
        <f t="shared" si="21"/>
        <v>0</v>
      </c>
      <c r="H122" s="834">
        <v>1</v>
      </c>
      <c r="I122" s="835"/>
      <c r="J122" s="836"/>
      <c r="K122" s="836"/>
      <c r="L122" s="836"/>
      <c r="M122" s="836"/>
      <c r="N122" s="836"/>
      <c r="O122" s="836"/>
      <c r="P122" s="836"/>
      <c r="Q122" s="836"/>
      <c r="R122" s="837">
        <v>1.81</v>
      </c>
      <c r="T122" s="155">
        <v>198900</v>
      </c>
      <c r="U122" s="155"/>
      <c r="V122" s="155"/>
      <c r="AA122" s="180" t="str">
        <f>VLOOKUP(A122,[2]DG!$A:$C,3,0)</f>
        <v>Cáp 24KV C/XLPE/PVC 120mm2</v>
      </c>
    </row>
    <row r="123" spans="1:27" ht="20.100000000000001" hidden="1" customHeight="1">
      <c r="A123" s="873" t="s">
        <v>209</v>
      </c>
      <c r="B123" s="859"/>
      <c r="C123" s="421" t="s">
        <v>210</v>
      </c>
      <c r="D123" s="364" t="s">
        <v>196</v>
      </c>
      <c r="E123" s="833">
        <v>257400</v>
      </c>
      <c r="F123" s="833">
        <f t="shared" si="20"/>
        <v>0</v>
      </c>
      <c r="G123" s="833">
        <f t="shared" si="21"/>
        <v>0</v>
      </c>
      <c r="H123" s="834">
        <v>1</v>
      </c>
      <c r="I123" s="835"/>
      <c r="J123" s="836"/>
      <c r="K123" s="836"/>
      <c r="L123" s="836"/>
      <c r="M123" s="836"/>
      <c r="N123" s="836"/>
      <c r="O123" s="836"/>
      <c r="P123" s="836"/>
      <c r="Q123" s="836"/>
      <c r="R123" s="837">
        <v>2.2000000000000002</v>
      </c>
      <c r="T123" s="155">
        <v>257400</v>
      </c>
      <c r="U123" s="155"/>
      <c r="V123" s="155"/>
      <c r="AA123" s="180" t="str">
        <f>VLOOKUP(A123,[2]DG!$A:$C,3,0)</f>
        <v>Cáp 24KV C/XLPE/PVC 150mm2</v>
      </c>
    </row>
    <row r="124" spans="1:27" ht="20.100000000000001" hidden="1" customHeight="1">
      <c r="A124" s="873" t="s">
        <v>211</v>
      </c>
      <c r="B124" s="859"/>
      <c r="C124" s="421" t="s">
        <v>212</v>
      </c>
      <c r="D124" s="364" t="s">
        <v>196</v>
      </c>
      <c r="E124" s="833">
        <v>305700</v>
      </c>
      <c r="F124" s="833">
        <f t="shared" si="20"/>
        <v>0</v>
      </c>
      <c r="G124" s="833">
        <f t="shared" si="21"/>
        <v>0</v>
      </c>
      <c r="H124" s="834">
        <v>1</v>
      </c>
      <c r="I124" s="835"/>
      <c r="J124" s="836"/>
      <c r="K124" s="836"/>
      <c r="L124" s="836"/>
      <c r="M124" s="836"/>
      <c r="N124" s="836"/>
      <c r="O124" s="836"/>
      <c r="P124" s="836"/>
      <c r="Q124" s="836"/>
      <c r="R124" s="837">
        <v>2.54</v>
      </c>
      <c r="T124" s="155">
        <v>305700</v>
      </c>
      <c r="U124" s="155"/>
      <c r="V124" s="155"/>
      <c r="AA124" s="180" t="str">
        <f>VLOOKUP(A124,[2]DG!$A:$C,3,0)</f>
        <v>Cáp 24KV C/XLPE/PVC 185mm2</v>
      </c>
    </row>
    <row r="125" spans="1:27" ht="20.100000000000001" hidden="1" customHeight="1">
      <c r="A125" s="873" t="s">
        <v>213</v>
      </c>
      <c r="B125" s="859"/>
      <c r="C125" s="421" t="s">
        <v>214</v>
      </c>
      <c r="D125" s="364" t="s">
        <v>196</v>
      </c>
      <c r="E125" s="833">
        <v>397300</v>
      </c>
      <c r="F125" s="833">
        <f t="shared" si="20"/>
        <v>0</v>
      </c>
      <c r="G125" s="833">
        <f t="shared" si="21"/>
        <v>0</v>
      </c>
      <c r="H125" s="834">
        <v>1</v>
      </c>
      <c r="I125" s="835"/>
      <c r="J125" s="836"/>
      <c r="K125" s="836"/>
      <c r="L125" s="836"/>
      <c r="M125" s="836"/>
      <c r="N125" s="836"/>
      <c r="O125" s="836"/>
      <c r="P125" s="836"/>
      <c r="Q125" s="836"/>
      <c r="R125" s="837">
        <v>3.1669999999999998</v>
      </c>
      <c r="T125" s="155">
        <v>397300</v>
      </c>
      <c r="U125" s="155"/>
      <c r="V125" s="155"/>
      <c r="AA125" s="180" t="str">
        <f>VLOOKUP(A125,[2]DG!$A:$C,3,0)</f>
        <v>Cáp 24KV C/XLPE/PVC 240mm2</v>
      </c>
    </row>
    <row r="126" spans="1:27" ht="20.100000000000001" hidden="1" customHeight="1">
      <c r="A126" s="873" t="s">
        <v>215</v>
      </c>
      <c r="B126" s="859"/>
      <c r="C126" s="421" t="s">
        <v>216</v>
      </c>
      <c r="D126" s="364" t="s">
        <v>196</v>
      </c>
      <c r="E126" s="833">
        <v>437030.00000000006</v>
      </c>
      <c r="F126" s="833">
        <f t="shared" si="20"/>
        <v>0</v>
      </c>
      <c r="G126" s="833">
        <f t="shared" si="21"/>
        <v>0</v>
      </c>
      <c r="H126" s="834">
        <v>1</v>
      </c>
      <c r="I126" s="835"/>
      <c r="J126" s="836"/>
      <c r="K126" s="836"/>
      <c r="L126" s="836"/>
      <c r="M126" s="836"/>
      <c r="N126" s="836"/>
      <c r="O126" s="836"/>
      <c r="P126" s="836"/>
      <c r="Q126" s="836"/>
      <c r="R126" s="837">
        <v>3.35</v>
      </c>
      <c r="T126" s="155">
        <v>437030.00000000006</v>
      </c>
      <c r="U126" s="155"/>
      <c r="V126" s="155"/>
      <c r="AA126" s="180" t="str">
        <f>VLOOKUP(A126,[2]DG!$A:$C,3,0)</f>
        <v>Cáp 24KV C/XLPE/PVC 250mm2</v>
      </c>
    </row>
    <row r="127" spans="1:27" ht="20.100000000000001" hidden="1" customHeight="1">
      <c r="A127" s="873" t="s">
        <v>217</v>
      </c>
      <c r="B127" s="859"/>
      <c r="C127" s="421" t="s">
        <v>218</v>
      </c>
      <c r="D127" s="364" t="s">
        <v>196</v>
      </c>
      <c r="E127" s="833">
        <v>18230</v>
      </c>
      <c r="F127" s="833">
        <f t="shared" si="20"/>
        <v>0</v>
      </c>
      <c r="G127" s="833">
        <f t="shared" si="21"/>
        <v>0</v>
      </c>
      <c r="H127" s="834">
        <v>1</v>
      </c>
      <c r="I127" s="835"/>
      <c r="J127" s="836"/>
      <c r="K127" s="836"/>
      <c r="L127" s="836"/>
      <c r="M127" s="836"/>
      <c r="N127" s="836"/>
      <c r="O127" s="836"/>
      <c r="P127" s="836"/>
      <c r="Q127" s="836"/>
      <c r="R127" s="837">
        <v>0.3</v>
      </c>
      <c r="T127" s="155">
        <v>18230</v>
      </c>
      <c r="U127" s="155"/>
      <c r="V127" s="155"/>
      <c r="AA127" s="180" t="str">
        <f>VLOOKUP(A127,[2]DG!$A:$C,3,0)</f>
        <v>Cáp 24KV A/XLPE/PVC 25mm2</v>
      </c>
    </row>
    <row r="128" spans="1:27" ht="20.100000000000001" hidden="1" customHeight="1">
      <c r="A128" s="873" t="s">
        <v>219</v>
      </c>
      <c r="B128" s="859"/>
      <c r="C128" s="421" t="s">
        <v>220</v>
      </c>
      <c r="D128" s="364" t="s">
        <v>196</v>
      </c>
      <c r="E128" s="833">
        <v>21300</v>
      </c>
      <c r="F128" s="833">
        <f t="shared" si="20"/>
        <v>0</v>
      </c>
      <c r="G128" s="833">
        <f t="shared" si="21"/>
        <v>0</v>
      </c>
      <c r="H128" s="834">
        <v>1</v>
      </c>
      <c r="I128" s="835"/>
      <c r="J128" s="836"/>
      <c r="K128" s="836"/>
      <c r="L128" s="836"/>
      <c r="M128" s="836"/>
      <c r="N128" s="836"/>
      <c r="O128" s="836"/>
      <c r="P128" s="836"/>
      <c r="Q128" s="836"/>
      <c r="R128" s="837">
        <v>0.4</v>
      </c>
      <c r="T128" s="155">
        <v>21300</v>
      </c>
      <c r="U128" s="155"/>
      <c r="V128" s="155"/>
      <c r="AA128" s="180" t="str">
        <f>VLOOKUP(A128,[2]DG!$A:$C,3,0)</f>
        <v>Cáp 24KV A/XLPE/PVC 35mm2</v>
      </c>
    </row>
    <row r="129" spans="1:27" ht="20.100000000000001" hidden="1" customHeight="1">
      <c r="A129" s="873" t="s">
        <v>221</v>
      </c>
      <c r="B129" s="859">
        <v>150</v>
      </c>
      <c r="C129" s="421" t="s">
        <v>222</v>
      </c>
      <c r="D129" s="364" t="s">
        <v>196</v>
      </c>
      <c r="E129" s="833">
        <v>57600</v>
      </c>
      <c r="F129" s="833">
        <f t="shared" si="20"/>
        <v>0</v>
      </c>
      <c r="G129" s="833">
        <f t="shared" si="21"/>
        <v>0</v>
      </c>
      <c r="H129" s="834">
        <v>43636</v>
      </c>
      <c r="I129" s="835"/>
      <c r="J129" s="836"/>
      <c r="K129" s="836"/>
      <c r="L129" s="836"/>
      <c r="M129" s="836"/>
      <c r="N129" s="836"/>
      <c r="O129" s="836"/>
      <c r="P129" s="836"/>
      <c r="Q129" s="836"/>
      <c r="R129" s="837">
        <v>0.5</v>
      </c>
      <c r="T129" s="427">
        <v>61100</v>
      </c>
      <c r="U129" s="155">
        <v>0</v>
      </c>
      <c r="V129" s="155">
        <v>0</v>
      </c>
      <c r="AA129" s="180" t="str">
        <f>VLOOKUP(A129,[2]DG!$A:$C,3,0)</f>
        <v>Cáp 24KV AC/XLPE/PVC 50mm2</v>
      </c>
    </row>
    <row r="130" spans="1:27" ht="20.100000000000001" hidden="1" customHeight="1">
      <c r="A130" s="873" t="s">
        <v>2541</v>
      </c>
      <c r="B130" s="859"/>
      <c r="C130" s="421" t="s">
        <v>2896</v>
      </c>
      <c r="D130" s="364" t="s">
        <v>196</v>
      </c>
      <c r="E130" s="833">
        <v>68000</v>
      </c>
      <c r="F130" s="833">
        <f t="shared" si="20"/>
        <v>0</v>
      </c>
      <c r="G130" s="833">
        <f t="shared" si="21"/>
        <v>0</v>
      </c>
      <c r="H130" s="834">
        <v>42312</v>
      </c>
      <c r="I130" s="835"/>
      <c r="J130" s="836"/>
      <c r="K130" s="836"/>
      <c r="L130" s="836"/>
      <c r="M130" s="836"/>
      <c r="N130" s="836"/>
      <c r="O130" s="836"/>
      <c r="P130" s="836"/>
      <c r="Q130" s="836"/>
      <c r="R130" s="837">
        <v>0.5</v>
      </c>
      <c r="T130" s="155">
        <v>68000</v>
      </c>
      <c r="U130" s="155"/>
      <c r="V130" s="155"/>
      <c r="AA130" s="180" t="str">
        <f>VLOOKUP(A130,[2]DG!$A:$C,3,0)</f>
        <v>Cáp 24KV AC/XLPE/PVC 70mm2</v>
      </c>
    </row>
    <row r="131" spans="1:27" ht="20.100000000000001" hidden="1" customHeight="1">
      <c r="A131" s="873" t="s">
        <v>2542</v>
      </c>
      <c r="B131" s="859"/>
      <c r="C131" s="421" t="s">
        <v>2897</v>
      </c>
      <c r="D131" s="364" t="s">
        <v>196</v>
      </c>
      <c r="E131" s="833">
        <v>83900</v>
      </c>
      <c r="F131" s="833">
        <f t="shared" si="20"/>
        <v>0</v>
      </c>
      <c r="G131" s="833">
        <f t="shared" si="21"/>
        <v>0</v>
      </c>
      <c r="H131" s="834">
        <v>42312</v>
      </c>
      <c r="I131" s="835"/>
      <c r="J131" s="836"/>
      <c r="K131" s="836"/>
      <c r="L131" s="836"/>
      <c r="M131" s="836"/>
      <c r="N131" s="836"/>
      <c r="O131" s="836"/>
      <c r="P131" s="836"/>
      <c r="Q131" s="836"/>
      <c r="R131" s="837">
        <v>0.91</v>
      </c>
      <c r="T131" s="155">
        <v>83900</v>
      </c>
      <c r="U131" s="155"/>
      <c r="V131" s="155"/>
      <c r="AA131" s="180" t="str">
        <f>VLOOKUP(A131,[2]DG!$A:$C,3,0)</f>
        <v>Cáp 24KV AC/XLPE/PVC 95mm2</v>
      </c>
    </row>
    <row r="132" spans="1:27" ht="20.100000000000001" hidden="1" customHeight="1">
      <c r="A132" s="873" t="s">
        <v>2543</v>
      </c>
      <c r="B132" s="859"/>
      <c r="C132" s="421" t="s">
        <v>2898</v>
      </c>
      <c r="D132" s="364" t="s">
        <v>196</v>
      </c>
      <c r="E132" s="833">
        <v>98300</v>
      </c>
      <c r="F132" s="833">
        <f t="shared" ref="F132:F196" si="28">IF(OR(I132="",J132=""),0,IF(K132*1=0,1,K132)*VLOOKUP(I132,TIENLUONG,4,0)*J132)</f>
        <v>0</v>
      </c>
      <c r="G132" s="833">
        <f t="shared" ref="G132:G196" si="29">L132*VLOOKUP($L$1,CAMAY,2,0)+M132*VLOOKUP($M$1,CAMAY,2,0)+N132*VLOOKUP($N$1,CAMAY,2,0)+O132*VLOOKUP($O$1,CAMAY,2,0)+P132*VLOOKUP($P$1,CAMAY,2,0)</f>
        <v>0</v>
      </c>
      <c r="H132" s="834">
        <v>42312</v>
      </c>
      <c r="I132" s="835"/>
      <c r="J132" s="836"/>
      <c r="K132" s="836"/>
      <c r="L132" s="836"/>
      <c r="M132" s="836"/>
      <c r="N132" s="836"/>
      <c r="O132" s="836"/>
      <c r="P132" s="836"/>
      <c r="Q132" s="836"/>
      <c r="R132" s="837">
        <v>0.5</v>
      </c>
      <c r="T132" s="155">
        <v>98300</v>
      </c>
      <c r="U132" s="155"/>
      <c r="V132" s="155"/>
      <c r="AA132" s="180" t="str">
        <f>VLOOKUP(A132,[2]DG!$A:$C,3,0)</f>
        <v>Cáp 24KV AC/XLPE/PVC 120mm2</v>
      </c>
    </row>
    <row r="133" spans="1:27" ht="20.100000000000001" hidden="1" customHeight="1">
      <c r="A133" s="873" t="s">
        <v>2544</v>
      </c>
      <c r="B133" s="859"/>
      <c r="C133" s="421" t="s">
        <v>2899</v>
      </c>
      <c r="D133" s="364" t="s">
        <v>196</v>
      </c>
      <c r="E133" s="833">
        <v>110600</v>
      </c>
      <c r="F133" s="833">
        <f t="shared" si="28"/>
        <v>0</v>
      </c>
      <c r="G133" s="833">
        <f t="shared" si="29"/>
        <v>0</v>
      </c>
      <c r="H133" s="834">
        <v>42312</v>
      </c>
      <c r="I133" s="835"/>
      <c r="J133" s="836"/>
      <c r="K133" s="836"/>
      <c r="L133" s="836"/>
      <c r="M133" s="836"/>
      <c r="N133" s="836"/>
      <c r="O133" s="836"/>
      <c r="P133" s="836"/>
      <c r="Q133" s="836"/>
      <c r="R133" s="837">
        <v>0.5</v>
      </c>
      <c r="T133" s="155">
        <v>110600</v>
      </c>
      <c r="U133" s="155"/>
      <c r="V133" s="155"/>
      <c r="AA133" s="180" t="str">
        <f>VLOOKUP(A133,[2]DG!$A:$C,3,0)</f>
        <v>Cáp 24KV AC/XLPE/PVC 150mm2</v>
      </c>
    </row>
    <row r="134" spans="1:27" ht="20.100000000000001" hidden="1" customHeight="1">
      <c r="A134" s="873" t="s">
        <v>2545</v>
      </c>
      <c r="B134" s="859"/>
      <c r="C134" s="421" t="s">
        <v>2900</v>
      </c>
      <c r="D134" s="364" t="s">
        <v>196</v>
      </c>
      <c r="E134" s="833">
        <v>129100</v>
      </c>
      <c r="F134" s="833">
        <f t="shared" si="28"/>
        <v>0</v>
      </c>
      <c r="G134" s="833">
        <f t="shared" si="29"/>
        <v>0</v>
      </c>
      <c r="H134" s="834">
        <v>42312</v>
      </c>
      <c r="I134" s="835"/>
      <c r="J134" s="836"/>
      <c r="K134" s="836"/>
      <c r="L134" s="836"/>
      <c r="M134" s="836"/>
      <c r="N134" s="836"/>
      <c r="O134" s="836"/>
      <c r="P134" s="836"/>
      <c r="Q134" s="836"/>
      <c r="R134" s="837">
        <v>0.91</v>
      </c>
      <c r="T134" s="155">
        <v>129100</v>
      </c>
      <c r="U134" s="155"/>
      <c r="V134" s="155"/>
      <c r="AA134" s="180" t="str">
        <f>VLOOKUP(A134,[2]DG!$A:$C,3,0)</f>
        <v>Cáp 24KV AC/XLPE/PVC 185mm2</v>
      </c>
    </row>
    <row r="135" spans="1:27" ht="20.100000000000001" hidden="1" customHeight="1">
      <c r="A135" s="873" t="s">
        <v>2546</v>
      </c>
      <c r="B135" s="859"/>
      <c r="C135" s="421" t="s">
        <v>2901</v>
      </c>
      <c r="D135" s="364" t="s">
        <v>196</v>
      </c>
      <c r="E135" s="833">
        <v>154900</v>
      </c>
      <c r="F135" s="833">
        <f t="shared" si="28"/>
        <v>0</v>
      </c>
      <c r="G135" s="833">
        <f t="shared" si="29"/>
        <v>0</v>
      </c>
      <c r="H135" s="834">
        <v>42312</v>
      </c>
      <c r="I135" s="835"/>
      <c r="J135" s="836"/>
      <c r="K135" s="836"/>
      <c r="L135" s="836"/>
      <c r="M135" s="836"/>
      <c r="N135" s="836"/>
      <c r="O135" s="836"/>
      <c r="P135" s="836"/>
      <c r="Q135" s="836"/>
      <c r="R135" s="837">
        <v>0.5</v>
      </c>
      <c r="T135" s="155">
        <v>154900</v>
      </c>
      <c r="U135" s="155"/>
      <c r="V135" s="155"/>
      <c r="AA135" s="180" t="str">
        <f>VLOOKUP(A135,[2]DG!$A:$C,3,0)</f>
        <v>Cáp 24KV AC/XLPE/PVC 240mm2</v>
      </c>
    </row>
    <row r="136" spans="1:27" ht="20.100000000000001" hidden="1" customHeight="1">
      <c r="A136" s="873" t="s">
        <v>223</v>
      </c>
      <c r="B136" s="859"/>
      <c r="C136" s="421" t="s">
        <v>224</v>
      </c>
      <c r="D136" s="364" t="s">
        <v>196</v>
      </c>
      <c r="E136" s="833">
        <v>37900</v>
      </c>
      <c r="F136" s="833">
        <f t="shared" si="28"/>
        <v>0</v>
      </c>
      <c r="G136" s="833">
        <f t="shared" si="29"/>
        <v>0</v>
      </c>
      <c r="H136" s="834">
        <v>1</v>
      </c>
      <c r="I136" s="835"/>
      <c r="J136" s="836"/>
      <c r="K136" s="836"/>
      <c r="L136" s="836"/>
      <c r="M136" s="836"/>
      <c r="N136" s="836"/>
      <c r="O136" s="836"/>
      <c r="P136" s="836"/>
      <c r="Q136" s="836"/>
      <c r="R136" s="837">
        <v>0.38</v>
      </c>
      <c r="T136" s="155">
        <v>37900</v>
      </c>
      <c r="U136" s="155"/>
      <c r="V136" s="155"/>
      <c r="AA136" s="180" t="str">
        <f>VLOOKUP(A136,[2]DG!$A:$C,3,0)</f>
        <v>Cáp C/XLPE/PVC -0.6/1kV-2x11mm2</v>
      </c>
    </row>
    <row r="137" spans="1:27" ht="20.100000000000001" hidden="1" customHeight="1">
      <c r="A137" s="873" t="s">
        <v>225</v>
      </c>
      <c r="B137" s="859"/>
      <c r="C137" s="421" t="s">
        <v>226</v>
      </c>
      <c r="D137" s="364" t="s">
        <v>196</v>
      </c>
      <c r="E137" s="833">
        <v>52900</v>
      </c>
      <c r="F137" s="833">
        <f t="shared" si="28"/>
        <v>0</v>
      </c>
      <c r="G137" s="833">
        <f t="shared" si="29"/>
        <v>0</v>
      </c>
      <c r="H137" s="834">
        <v>1</v>
      </c>
      <c r="I137" s="835"/>
      <c r="J137" s="836"/>
      <c r="K137" s="836"/>
      <c r="L137" s="836"/>
      <c r="M137" s="836"/>
      <c r="N137" s="836"/>
      <c r="O137" s="836"/>
      <c r="P137" s="836"/>
      <c r="Q137" s="836"/>
      <c r="R137" s="837">
        <v>0.45</v>
      </c>
      <c r="T137" s="155">
        <v>52900</v>
      </c>
      <c r="U137" s="155"/>
      <c r="V137" s="155"/>
      <c r="AA137" s="180" t="str">
        <f>VLOOKUP(A137,[2]DG!$A:$C,3,0)</f>
        <v>Cáp C/XLPE/PVC -0.6/1kV-2x16mm2</v>
      </c>
    </row>
    <row r="138" spans="1:27" ht="20.100000000000001" hidden="1" customHeight="1">
      <c r="A138" s="873" t="s">
        <v>227</v>
      </c>
      <c r="B138" s="859"/>
      <c r="C138" s="421" t="s">
        <v>228</v>
      </c>
      <c r="D138" s="364" t="s">
        <v>196</v>
      </c>
      <c r="E138" s="833">
        <v>76400</v>
      </c>
      <c r="F138" s="833">
        <f t="shared" si="28"/>
        <v>0</v>
      </c>
      <c r="G138" s="833">
        <f t="shared" si="29"/>
        <v>0</v>
      </c>
      <c r="H138" s="834">
        <v>1</v>
      </c>
      <c r="I138" s="835"/>
      <c r="J138" s="836"/>
      <c r="K138" s="836"/>
      <c r="L138" s="836"/>
      <c r="M138" s="836"/>
      <c r="N138" s="836"/>
      <c r="O138" s="836"/>
      <c r="P138" s="836"/>
      <c r="Q138" s="836"/>
      <c r="R138" s="837">
        <v>0.62</v>
      </c>
      <c r="T138" s="155">
        <v>76400</v>
      </c>
      <c r="U138" s="155"/>
      <c r="V138" s="155"/>
      <c r="AA138" s="180" t="str">
        <f>VLOOKUP(A138,[2]DG!$A:$C,3,0)</f>
        <v>Cáp C/XLPE/PVC -0.6/1kV-3x16mm2</v>
      </c>
    </row>
    <row r="139" spans="1:27" ht="20.100000000000001" hidden="1" customHeight="1">
      <c r="A139" s="873" t="s">
        <v>229</v>
      </c>
      <c r="B139" s="859"/>
      <c r="C139" s="421" t="s">
        <v>230</v>
      </c>
      <c r="D139" s="364" t="s">
        <v>196</v>
      </c>
      <c r="E139" s="833">
        <v>224100</v>
      </c>
      <c r="F139" s="833">
        <f t="shared" si="28"/>
        <v>0</v>
      </c>
      <c r="G139" s="833">
        <f t="shared" si="29"/>
        <v>0</v>
      </c>
      <c r="H139" s="834">
        <v>1</v>
      </c>
      <c r="I139" s="835"/>
      <c r="J139" s="836"/>
      <c r="K139" s="836"/>
      <c r="L139" s="836"/>
      <c r="M139" s="836"/>
      <c r="N139" s="836"/>
      <c r="O139" s="836"/>
      <c r="P139" s="836"/>
      <c r="Q139" s="836"/>
      <c r="R139" s="837">
        <v>2.1</v>
      </c>
      <c r="T139" s="155">
        <v>224100</v>
      </c>
      <c r="U139" s="155"/>
      <c r="V139" s="155"/>
      <c r="AA139" s="180" t="str">
        <f>VLOOKUP(A139,[2]DG!$A:$C,3,0)</f>
        <v>Cáp C/XLPE/PVC -0.6/1kV-3x50mm2</v>
      </c>
    </row>
    <row r="140" spans="1:27" ht="20.100000000000001" hidden="1" customHeight="1">
      <c r="A140" s="873" t="s">
        <v>231</v>
      </c>
      <c r="B140" s="859"/>
      <c r="C140" s="421" t="s">
        <v>232</v>
      </c>
      <c r="D140" s="364" t="s">
        <v>196</v>
      </c>
      <c r="E140" s="833">
        <v>100400</v>
      </c>
      <c r="F140" s="833">
        <f t="shared" si="28"/>
        <v>0</v>
      </c>
      <c r="G140" s="833">
        <f t="shared" si="29"/>
        <v>0</v>
      </c>
      <c r="H140" s="834">
        <v>1</v>
      </c>
      <c r="I140" s="835"/>
      <c r="J140" s="836"/>
      <c r="K140" s="836"/>
      <c r="L140" s="836"/>
      <c r="M140" s="836"/>
      <c r="N140" s="836"/>
      <c r="O140" s="836"/>
      <c r="P140" s="836"/>
      <c r="Q140" s="836"/>
      <c r="R140" s="837">
        <v>0.81499999999999995</v>
      </c>
      <c r="T140" s="155">
        <v>100400</v>
      </c>
      <c r="U140" s="155"/>
      <c r="V140" s="155"/>
      <c r="AA140" s="180" t="str">
        <f>VLOOKUP(A140,[2]DG!$A:$C,3,0)</f>
        <v>Cáp C/XLPE/PVC -0.6/1kV-4x16mm2</v>
      </c>
    </row>
    <row r="141" spans="1:27" ht="20.100000000000001" hidden="1" customHeight="1">
      <c r="A141" s="873" t="s">
        <v>233</v>
      </c>
      <c r="B141" s="859"/>
      <c r="C141" s="421" t="s">
        <v>234</v>
      </c>
      <c r="D141" s="364" t="s">
        <v>196</v>
      </c>
      <c r="E141" s="833">
        <v>92700</v>
      </c>
      <c r="F141" s="833">
        <f t="shared" si="28"/>
        <v>0</v>
      </c>
      <c r="G141" s="833">
        <f t="shared" si="29"/>
        <v>0</v>
      </c>
      <c r="H141" s="834">
        <v>1</v>
      </c>
      <c r="I141" s="835"/>
      <c r="J141" s="836"/>
      <c r="K141" s="836"/>
      <c r="L141" s="836"/>
      <c r="M141" s="836"/>
      <c r="N141" s="836"/>
      <c r="O141" s="836"/>
      <c r="P141" s="836"/>
      <c r="Q141" s="836"/>
      <c r="R141" s="837">
        <v>1.2</v>
      </c>
      <c r="T141" s="155">
        <v>92700</v>
      </c>
      <c r="U141" s="155"/>
      <c r="V141" s="155"/>
      <c r="AA141" s="180" t="str">
        <f>VLOOKUP(A141,[2]DG!$A:$C,3,0)</f>
        <v>Cáp C/XLPE/PVC -0.6/1kV-3x16+10mm2</v>
      </c>
    </row>
    <row r="142" spans="1:27" ht="20.100000000000001" hidden="1" customHeight="1">
      <c r="A142" s="873" t="s">
        <v>235</v>
      </c>
      <c r="B142" s="859"/>
      <c r="C142" s="421" t="s">
        <v>236</v>
      </c>
      <c r="D142" s="364" t="s">
        <v>196</v>
      </c>
      <c r="E142" s="833">
        <v>277800</v>
      </c>
      <c r="F142" s="833">
        <f t="shared" si="28"/>
        <v>0</v>
      </c>
      <c r="G142" s="833">
        <f t="shared" si="29"/>
        <v>0</v>
      </c>
      <c r="H142" s="834">
        <v>1</v>
      </c>
      <c r="I142" s="835"/>
      <c r="J142" s="836"/>
      <c r="K142" s="836"/>
      <c r="L142" s="836"/>
      <c r="M142" s="836"/>
      <c r="N142" s="836"/>
      <c r="O142" s="836"/>
      <c r="P142" s="836"/>
      <c r="Q142" s="836"/>
      <c r="R142" s="837">
        <v>1.8</v>
      </c>
      <c r="T142" s="155">
        <v>277800</v>
      </c>
      <c r="U142" s="155"/>
      <c r="V142" s="155"/>
      <c r="AA142" s="180" t="str">
        <f>VLOOKUP(A142,[2]DG!$A:$C,3,0)</f>
        <v>Cáp C/XLPE/PVC -0.6/1kV-3x50+35mm2</v>
      </c>
    </row>
    <row r="143" spans="1:27" ht="20.100000000000001" hidden="1" customHeight="1">
      <c r="A143" s="873" t="s">
        <v>237</v>
      </c>
      <c r="B143" s="859"/>
      <c r="C143" s="421" t="s">
        <v>238</v>
      </c>
      <c r="D143" s="364" t="s">
        <v>196</v>
      </c>
      <c r="E143" s="833">
        <v>386800</v>
      </c>
      <c r="F143" s="833">
        <f t="shared" si="28"/>
        <v>0</v>
      </c>
      <c r="G143" s="833">
        <f t="shared" si="29"/>
        <v>0</v>
      </c>
      <c r="H143" s="834">
        <v>1</v>
      </c>
      <c r="I143" s="835"/>
      <c r="J143" s="836"/>
      <c r="K143" s="836"/>
      <c r="L143" s="836"/>
      <c r="M143" s="836"/>
      <c r="N143" s="836"/>
      <c r="O143" s="836"/>
      <c r="P143" s="836"/>
      <c r="Q143" s="836"/>
      <c r="R143" s="837">
        <v>3.8879999999999999</v>
      </c>
      <c r="T143" s="155">
        <v>386800</v>
      </c>
      <c r="U143" s="155"/>
      <c r="V143" s="155"/>
      <c r="AA143" s="180" t="str">
        <f>VLOOKUP(A143,[2]DG!$A:$C,3,0)</f>
        <v>Cáp C/XLPE/PVC -0.6/1kV-3x70+50mm2</v>
      </c>
    </row>
    <row r="144" spans="1:27" ht="20.100000000000001" hidden="1" customHeight="1">
      <c r="A144" s="873" t="s">
        <v>239</v>
      </c>
      <c r="B144" s="859"/>
      <c r="C144" s="421" t="s">
        <v>240</v>
      </c>
      <c r="D144" s="364" t="s">
        <v>196</v>
      </c>
      <c r="E144" s="833">
        <v>506600</v>
      </c>
      <c r="F144" s="833">
        <f t="shared" si="28"/>
        <v>0</v>
      </c>
      <c r="G144" s="833">
        <f t="shared" si="29"/>
        <v>0</v>
      </c>
      <c r="H144" s="834">
        <v>1</v>
      </c>
      <c r="I144" s="835"/>
      <c r="J144" s="836"/>
      <c r="K144" s="836"/>
      <c r="L144" s="836"/>
      <c r="M144" s="836"/>
      <c r="N144" s="836"/>
      <c r="O144" s="836"/>
      <c r="P144" s="836"/>
      <c r="Q144" s="836"/>
      <c r="R144" s="837">
        <v>3.742</v>
      </c>
      <c r="T144" s="155">
        <v>506600</v>
      </c>
      <c r="U144" s="155"/>
      <c r="V144" s="155"/>
      <c r="AA144" s="180" t="str">
        <f>VLOOKUP(A144,[2]DG!$A:$C,3,0)</f>
        <v>Cáp C/XLPE/PVC -0.6/1kV-3x95+50mm2</v>
      </c>
    </row>
    <row r="145" spans="1:27" ht="20.100000000000001" hidden="1" customHeight="1">
      <c r="A145" s="873" t="s">
        <v>241</v>
      </c>
      <c r="B145" s="859"/>
      <c r="C145" s="421" t="s">
        <v>242</v>
      </c>
      <c r="D145" s="364" t="s">
        <v>196</v>
      </c>
      <c r="E145" s="833">
        <v>634200</v>
      </c>
      <c r="F145" s="833">
        <f t="shared" si="28"/>
        <v>0</v>
      </c>
      <c r="G145" s="833">
        <f t="shared" si="29"/>
        <v>0</v>
      </c>
      <c r="H145" s="834">
        <v>1</v>
      </c>
      <c r="I145" s="835"/>
      <c r="J145" s="836"/>
      <c r="K145" s="836"/>
      <c r="L145" s="836"/>
      <c r="M145" s="836"/>
      <c r="N145" s="836"/>
      <c r="O145" s="836"/>
      <c r="P145" s="836"/>
      <c r="Q145" s="836"/>
      <c r="R145" s="837">
        <v>4.6900000000000004</v>
      </c>
      <c r="T145" s="155">
        <v>634200</v>
      </c>
      <c r="U145" s="155"/>
      <c r="V145" s="155"/>
      <c r="AA145" s="180" t="str">
        <f>VLOOKUP(A145,[2]DG!$A:$C,3,0)</f>
        <v>Cáp C/XLPE/PVC -0.6/1kV-3x120+70mm2</v>
      </c>
    </row>
    <row r="146" spans="1:27" ht="20.100000000000001" hidden="1" customHeight="1">
      <c r="A146" s="873" t="s">
        <v>243</v>
      </c>
      <c r="B146" s="859"/>
      <c r="C146" s="421" t="s">
        <v>244</v>
      </c>
      <c r="D146" s="364" t="s">
        <v>196</v>
      </c>
      <c r="E146" s="833">
        <v>842000</v>
      </c>
      <c r="F146" s="833">
        <f t="shared" si="28"/>
        <v>0</v>
      </c>
      <c r="G146" s="833">
        <f t="shared" si="29"/>
        <v>0</v>
      </c>
      <c r="H146" s="834">
        <v>1</v>
      </c>
      <c r="I146" s="835"/>
      <c r="J146" s="836"/>
      <c r="K146" s="836"/>
      <c r="L146" s="836"/>
      <c r="M146" s="836"/>
      <c r="N146" s="836"/>
      <c r="O146" s="836"/>
      <c r="P146" s="836"/>
      <c r="Q146" s="836"/>
      <c r="R146" s="837">
        <v>5.5</v>
      </c>
      <c r="T146" s="155">
        <v>842000</v>
      </c>
      <c r="U146" s="155"/>
      <c r="V146" s="155"/>
      <c r="AA146" s="180" t="str">
        <f>VLOOKUP(A146,[2]DG!$A:$C,3,0)</f>
        <v>Cáp C/XLPE/PVC -0.6/1kV-3x150+95mm2</v>
      </c>
    </row>
    <row r="147" spans="1:27" ht="20.100000000000001" hidden="1" customHeight="1">
      <c r="A147" s="873" t="s">
        <v>245</v>
      </c>
      <c r="B147" s="859"/>
      <c r="C147" s="421" t="s">
        <v>246</v>
      </c>
      <c r="D147" s="364" t="s">
        <v>196</v>
      </c>
      <c r="E147" s="833">
        <v>1012700</v>
      </c>
      <c r="F147" s="833">
        <f t="shared" si="28"/>
        <v>0</v>
      </c>
      <c r="G147" s="833">
        <f t="shared" si="29"/>
        <v>0</v>
      </c>
      <c r="H147" s="834">
        <v>1</v>
      </c>
      <c r="I147" s="835"/>
      <c r="J147" s="836"/>
      <c r="K147" s="836"/>
      <c r="L147" s="836"/>
      <c r="M147" s="836"/>
      <c r="N147" s="836"/>
      <c r="O147" s="836"/>
      <c r="P147" s="836"/>
      <c r="Q147" s="836"/>
      <c r="R147" s="837">
        <v>7.5</v>
      </c>
      <c r="T147" s="155">
        <v>1012700</v>
      </c>
      <c r="U147" s="155"/>
      <c r="V147" s="155"/>
      <c r="AA147" s="180" t="str">
        <f>VLOOKUP(A147,[2]DG!$A:$C,3,0)</f>
        <v>Cáp C/XLPE/PVC -0.6/1kV-3x185+120mm2</v>
      </c>
    </row>
    <row r="148" spans="1:27" ht="20.100000000000001" hidden="1" customHeight="1">
      <c r="A148" s="873" t="s">
        <v>247</v>
      </c>
      <c r="B148" s="859"/>
      <c r="C148" s="421" t="s">
        <v>248</v>
      </c>
      <c r="D148" s="364" t="s">
        <v>196</v>
      </c>
      <c r="E148" s="833">
        <v>306300</v>
      </c>
      <c r="F148" s="833">
        <f t="shared" si="28"/>
        <v>0</v>
      </c>
      <c r="G148" s="833">
        <f t="shared" si="29"/>
        <v>0</v>
      </c>
      <c r="H148" s="834">
        <v>1</v>
      </c>
      <c r="I148" s="835"/>
      <c r="J148" s="836"/>
      <c r="K148" s="836"/>
      <c r="L148" s="836"/>
      <c r="M148" s="836"/>
      <c r="N148" s="836"/>
      <c r="O148" s="836"/>
      <c r="P148" s="836"/>
      <c r="Q148" s="836"/>
      <c r="R148" s="837">
        <v>2.54</v>
      </c>
      <c r="T148" s="155">
        <v>306300</v>
      </c>
      <c r="U148" s="155"/>
      <c r="V148" s="155"/>
      <c r="AA148" s="180" t="str">
        <f>VLOOKUP(A148,[2]DG!$A:$C,3,0)</f>
        <v>Cáp C/XLPE/DSTA/PVC -0.6/1kV-3x50+35mm2</v>
      </c>
    </row>
    <row r="149" spans="1:27" ht="20.100000000000001" hidden="1" customHeight="1">
      <c r="A149" s="873" t="s">
        <v>249</v>
      </c>
      <c r="B149" s="859"/>
      <c r="C149" s="421" t="s">
        <v>250</v>
      </c>
      <c r="D149" s="364" t="s">
        <v>196</v>
      </c>
      <c r="E149" s="833">
        <v>274500</v>
      </c>
      <c r="F149" s="833">
        <f t="shared" si="28"/>
        <v>0</v>
      </c>
      <c r="G149" s="833">
        <f t="shared" si="29"/>
        <v>0</v>
      </c>
      <c r="H149" s="834">
        <v>1</v>
      </c>
      <c r="I149" s="835"/>
      <c r="J149" s="836"/>
      <c r="K149" s="836"/>
      <c r="L149" s="836"/>
      <c r="M149" s="836"/>
      <c r="N149" s="836"/>
      <c r="O149" s="836"/>
      <c r="P149" s="836"/>
      <c r="Q149" s="836"/>
      <c r="R149" s="837">
        <v>4.2</v>
      </c>
      <c r="T149" s="155">
        <v>274500</v>
      </c>
      <c r="U149" s="155"/>
      <c r="V149" s="155"/>
      <c r="AA149" s="180" t="str">
        <f>VLOOKUP(A149,[2]DG!$A:$C,3,0)</f>
        <v>Cáp 24kV C/XLPE/DSTA/PVC3x25</v>
      </c>
    </row>
    <row r="150" spans="1:27" ht="20.100000000000001" hidden="1" customHeight="1">
      <c r="A150" s="873" t="s">
        <v>251</v>
      </c>
      <c r="B150" s="859"/>
      <c r="C150" s="421" t="s">
        <v>252</v>
      </c>
      <c r="D150" s="364" t="s">
        <v>196</v>
      </c>
      <c r="E150" s="833">
        <v>734700</v>
      </c>
      <c r="F150" s="833">
        <f t="shared" si="28"/>
        <v>0</v>
      </c>
      <c r="G150" s="833">
        <f t="shared" si="29"/>
        <v>0</v>
      </c>
      <c r="H150" s="834">
        <v>43359</v>
      </c>
      <c r="I150" s="835"/>
      <c r="J150" s="836"/>
      <c r="K150" s="836"/>
      <c r="L150" s="836"/>
      <c r="M150" s="836"/>
      <c r="N150" s="836"/>
      <c r="O150" s="836"/>
      <c r="P150" s="836"/>
      <c r="Q150" s="836"/>
      <c r="R150" s="837">
        <v>5.39</v>
      </c>
      <c r="T150" s="427">
        <v>454500</v>
      </c>
      <c r="U150" s="155"/>
      <c r="V150" s="155"/>
      <c r="AA150" s="180" t="str">
        <f>VLOOKUP(A150,[2]DG!$A:$C,3,0)</f>
        <v>Cáp 24kV C/XLPE/DSTA/PVC3x50</v>
      </c>
    </row>
    <row r="151" spans="1:27" ht="20.100000000000001" hidden="1" customHeight="1">
      <c r="A151" s="873" t="s">
        <v>253</v>
      </c>
      <c r="B151" s="859"/>
      <c r="C151" s="421" t="s">
        <v>254</v>
      </c>
      <c r="D151" s="364" t="s">
        <v>196</v>
      </c>
      <c r="E151" s="833">
        <v>512600</v>
      </c>
      <c r="F151" s="833">
        <f t="shared" si="28"/>
        <v>0</v>
      </c>
      <c r="G151" s="833">
        <f t="shared" si="29"/>
        <v>0</v>
      </c>
      <c r="H151" s="834">
        <v>1</v>
      </c>
      <c r="I151" s="835"/>
      <c r="J151" s="836"/>
      <c r="K151" s="836"/>
      <c r="L151" s="836"/>
      <c r="M151" s="836"/>
      <c r="N151" s="836"/>
      <c r="O151" s="836"/>
      <c r="P151" s="836"/>
      <c r="Q151" s="836"/>
      <c r="R151" s="837">
        <v>6.2869999999999999</v>
      </c>
      <c r="T151" s="155">
        <v>512600</v>
      </c>
      <c r="U151" s="155"/>
      <c r="V151" s="155"/>
      <c r="AA151" s="180" t="str">
        <f>VLOOKUP(A151,[2]DG!$A:$C,3,0)</f>
        <v>Cáp 24kV C/XLPE/DSTA/PVC3x70mm2</v>
      </c>
    </row>
    <row r="152" spans="1:27" ht="20.100000000000001" hidden="1" customHeight="1">
      <c r="A152" s="873" t="s">
        <v>255</v>
      </c>
      <c r="B152" s="859"/>
      <c r="C152" s="421" t="s">
        <v>256</v>
      </c>
      <c r="D152" s="364" t="s">
        <v>196</v>
      </c>
      <c r="E152" s="833">
        <v>651200</v>
      </c>
      <c r="F152" s="833">
        <f t="shared" si="28"/>
        <v>0</v>
      </c>
      <c r="G152" s="833">
        <f t="shared" si="29"/>
        <v>0</v>
      </c>
      <c r="H152" s="834">
        <v>1</v>
      </c>
      <c r="I152" s="835"/>
      <c r="J152" s="836"/>
      <c r="K152" s="836"/>
      <c r="L152" s="836"/>
      <c r="M152" s="836"/>
      <c r="N152" s="836"/>
      <c r="O152" s="836"/>
      <c r="P152" s="836"/>
      <c r="Q152" s="836"/>
      <c r="R152" s="837">
        <v>7.4</v>
      </c>
      <c r="T152" s="155">
        <v>651200</v>
      </c>
      <c r="U152" s="155"/>
      <c r="V152" s="155"/>
      <c r="AA152" s="180" t="str">
        <f>VLOOKUP(A152,[2]DG!$A:$C,3,0)</f>
        <v>Cáp 24kV C/XLPE/DSTA/PVC3x95mm2</v>
      </c>
    </row>
    <row r="153" spans="1:27" ht="20.100000000000001" hidden="1" customHeight="1">
      <c r="A153" s="873" t="s">
        <v>257</v>
      </c>
      <c r="B153" s="859"/>
      <c r="C153" s="421" t="s">
        <v>258</v>
      </c>
      <c r="D153" s="364" t="s">
        <v>196</v>
      </c>
      <c r="E153" s="833">
        <v>765800</v>
      </c>
      <c r="F153" s="833">
        <f t="shared" si="28"/>
        <v>0</v>
      </c>
      <c r="G153" s="833">
        <f t="shared" si="29"/>
        <v>0</v>
      </c>
      <c r="H153" s="834">
        <v>1</v>
      </c>
      <c r="I153" s="835"/>
      <c r="J153" s="836"/>
      <c r="K153" s="836"/>
      <c r="L153" s="836"/>
      <c r="M153" s="836"/>
      <c r="N153" s="836"/>
      <c r="O153" s="836"/>
      <c r="P153" s="836"/>
      <c r="Q153" s="836"/>
      <c r="R153" s="837">
        <v>8.36</v>
      </c>
      <c r="T153" s="155">
        <v>765800</v>
      </c>
      <c r="U153" s="155"/>
      <c r="V153" s="155"/>
      <c r="AA153" s="180" t="str">
        <f>VLOOKUP(A153,[2]DG!$A:$C,3,0)</f>
        <v>Cáp 24kV C/XLPE/DSTA/PVC3x120mm2</v>
      </c>
    </row>
    <row r="154" spans="1:27" ht="20.100000000000001" hidden="1" customHeight="1">
      <c r="A154" s="873" t="s">
        <v>259</v>
      </c>
      <c r="B154" s="859"/>
      <c r="C154" s="421" t="s">
        <v>260</v>
      </c>
      <c r="D154" s="364" t="s">
        <v>196</v>
      </c>
      <c r="E154" s="833">
        <v>956600</v>
      </c>
      <c r="F154" s="833">
        <f t="shared" si="28"/>
        <v>0</v>
      </c>
      <c r="G154" s="833">
        <f t="shared" si="29"/>
        <v>0</v>
      </c>
      <c r="H154" s="834">
        <v>1</v>
      </c>
      <c r="I154" s="835"/>
      <c r="J154" s="836"/>
      <c r="K154" s="836"/>
      <c r="L154" s="836"/>
      <c r="M154" s="836"/>
      <c r="N154" s="836"/>
      <c r="O154" s="836"/>
      <c r="P154" s="836"/>
      <c r="Q154" s="836"/>
      <c r="R154" s="837">
        <v>9.84</v>
      </c>
      <c r="T154" s="155">
        <v>956600</v>
      </c>
      <c r="U154" s="155"/>
      <c r="V154" s="155"/>
      <c r="AA154" s="180" t="str">
        <f>VLOOKUP(A154,[2]DG!$A:$C,3,0)</f>
        <v>Cáp 24kV C/XLPE/DSTA/PVC3x150mm2</v>
      </c>
    </row>
    <row r="155" spans="1:27" ht="20.100000000000001" hidden="1" customHeight="1">
      <c r="A155" s="873" t="s">
        <v>261</v>
      </c>
      <c r="B155" s="859"/>
      <c r="C155" s="421" t="s">
        <v>262</v>
      </c>
      <c r="D155" s="364" t="s">
        <v>196</v>
      </c>
      <c r="E155" s="833">
        <v>1134500</v>
      </c>
      <c r="F155" s="833">
        <f t="shared" si="28"/>
        <v>0</v>
      </c>
      <c r="G155" s="833">
        <f t="shared" si="29"/>
        <v>0</v>
      </c>
      <c r="H155" s="834">
        <v>1</v>
      </c>
      <c r="I155" s="835"/>
      <c r="J155" s="836"/>
      <c r="K155" s="836"/>
      <c r="L155" s="836"/>
      <c r="M155" s="836"/>
      <c r="N155" s="836"/>
      <c r="O155" s="836"/>
      <c r="P155" s="836"/>
      <c r="Q155" s="836"/>
      <c r="R155" s="837">
        <v>11.2</v>
      </c>
      <c r="T155" s="155">
        <v>1134500</v>
      </c>
      <c r="U155" s="155"/>
      <c r="V155" s="155"/>
      <c r="AA155" s="180" t="str">
        <f>VLOOKUP(A155,[2]DG!$A:$C,3,0)</f>
        <v>Cáp 24kV C/XLPE/DSTA/PVC3x185mm2</v>
      </c>
    </row>
    <row r="156" spans="1:27" ht="20.100000000000001" hidden="1" customHeight="1">
      <c r="A156" s="873" t="s">
        <v>263</v>
      </c>
      <c r="B156" s="859"/>
      <c r="C156" s="421" t="s">
        <v>264</v>
      </c>
      <c r="D156" s="364" t="s">
        <v>196</v>
      </c>
      <c r="E156" s="833">
        <v>1429300</v>
      </c>
      <c r="F156" s="833">
        <f t="shared" si="28"/>
        <v>0</v>
      </c>
      <c r="G156" s="833">
        <f t="shared" si="29"/>
        <v>0</v>
      </c>
      <c r="H156" s="834">
        <v>1</v>
      </c>
      <c r="I156" s="835"/>
      <c r="J156" s="836"/>
      <c r="K156" s="836"/>
      <c r="L156" s="836"/>
      <c r="M156" s="836"/>
      <c r="N156" s="836"/>
      <c r="O156" s="836"/>
      <c r="P156" s="836"/>
      <c r="Q156" s="836"/>
      <c r="R156" s="837">
        <v>13.8</v>
      </c>
      <c r="T156" s="155">
        <v>1429300</v>
      </c>
      <c r="U156" s="155"/>
      <c r="V156" s="155"/>
      <c r="AA156" s="180" t="str">
        <f>VLOOKUP(A156,[2]DG!$A:$C,3,0)</f>
        <v>Cáp 24kV C/XLPE/DSTA/PVC3x240mm2</v>
      </c>
    </row>
    <row r="157" spans="1:27" ht="20.100000000000001" customHeight="1">
      <c r="A157" s="873" t="s">
        <v>4326</v>
      </c>
      <c r="B157" s="859"/>
      <c r="C157" s="421" t="s">
        <v>4327</v>
      </c>
      <c r="D157" s="364" t="s">
        <v>196</v>
      </c>
      <c r="E157" s="833">
        <v>1064000</v>
      </c>
      <c r="F157" s="833">
        <f t="shared" ref="F157" si="30">IF(OR(I157="",J157=""),0,IF(K157*1=0,1,K157)*VLOOKUP(I157,TIENLUONG,4,0)*J157)</f>
        <v>0</v>
      </c>
      <c r="G157" s="833">
        <f t="shared" ref="G157" si="31">L157*VLOOKUP($L$1,CAMAY,2,0)+M157*VLOOKUP($M$1,CAMAY,2,0)+N157*VLOOKUP($N$1,CAMAY,2,0)+O157*VLOOKUP($O$1,CAMAY,2,0)+P157*VLOOKUP($P$1,CAMAY,2,0)</f>
        <v>0</v>
      </c>
      <c r="H157" s="834" t="s">
        <v>4399</v>
      </c>
      <c r="I157" s="835"/>
      <c r="J157" s="836"/>
      <c r="K157" s="836"/>
      <c r="L157" s="836"/>
      <c r="M157" s="836"/>
      <c r="N157" s="836"/>
      <c r="O157" s="836"/>
      <c r="P157" s="836"/>
      <c r="Q157" s="836"/>
      <c r="R157" s="837">
        <v>13.8</v>
      </c>
      <c r="T157" s="155">
        <v>1429300</v>
      </c>
      <c r="U157" s="155"/>
      <c r="V157" s="155"/>
      <c r="AA157" s="180" t="str">
        <f>VLOOKUP(A157,[2]DG!$A:$C,3,0)</f>
        <v>Cáp 0,4/1kV C/XLPE/DSTA/PVC4x120mm2</v>
      </c>
    </row>
    <row r="158" spans="1:27" ht="20.100000000000001" hidden="1" customHeight="1">
      <c r="A158" s="873" t="s">
        <v>265</v>
      </c>
      <c r="B158" s="859"/>
      <c r="C158" s="421" t="s">
        <v>266</v>
      </c>
      <c r="D158" s="364" t="s">
        <v>196</v>
      </c>
      <c r="E158" s="833">
        <v>289900</v>
      </c>
      <c r="F158" s="833">
        <f t="shared" si="28"/>
        <v>0</v>
      </c>
      <c r="G158" s="833">
        <f t="shared" si="29"/>
        <v>0</v>
      </c>
      <c r="H158" s="834">
        <v>1</v>
      </c>
      <c r="I158" s="835"/>
      <c r="J158" s="836"/>
      <c r="K158" s="836"/>
      <c r="L158" s="836"/>
      <c r="M158" s="836"/>
      <c r="N158" s="836"/>
      <c r="O158" s="836"/>
      <c r="P158" s="836"/>
      <c r="Q158" s="836"/>
      <c r="R158" s="837">
        <v>2.528</v>
      </c>
      <c r="T158" s="155">
        <v>289900</v>
      </c>
      <c r="U158" s="155"/>
      <c r="V158" s="155"/>
      <c r="AA158" s="180" t="str">
        <f>VLOOKUP(A158,[2]DG!$A:$C,3,0)</f>
        <v>Cáp 0,6/1KV C/XLPE/PVC 200mm2</v>
      </c>
    </row>
    <row r="159" spans="1:27" ht="20.100000000000001" hidden="1" customHeight="1">
      <c r="A159" s="873" t="s">
        <v>267</v>
      </c>
      <c r="B159" s="859"/>
      <c r="C159" s="421" t="s">
        <v>268</v>
      </c>
      <c r="D159" s="364" t="s">
        <v>196</v>
      </c>
      <c r="E159" s="833">
        <v>358100</v>
      </c>
      <c r="F159" s="833">
        <f t="shared" si="28"/>
        <v>0</v>
      </c>
      <c r="G159" s="833">
        <f t="shared" si="29"/>
        <v>0</v>
      </c>
      <c r="H159" s="834">
        <v>1</v>
      </c>
      <c r="I159" s="835"/>
      <c r="J159" s="836"/>
      <c r="K159" s="836"/>
      <c r="L159" s="836"/>
      <c r="M159" s="836"/>
      <c r="N159" s="836"/>
      <c r="O159" s="836"/>
      <c r="P159" s="836"/>
      <c r="Q159" s="836"/>
      <c r="R159" s="837">
        <v>2.528</v>
      </c>
      <c r="T159" s="155">
        <v>358100</v>
      </c>
      <c r="U159" s="155"/>
      <c r="V159" s="155"/>
      <c r="AA159" s="180" t="str">
        <f>VLOOKUP(A159,[2]DG!$A:$C,3,0)</f>
        <v>Cáp 0,6/1KV C/XLPE/PVC 240mm2</v>
      </c>
    </row>
    <row r="160" spans="1:27" ht="20.100000000000001" hidden="1" customHeight="1">
      <c r="A160" s="873" t="s">
        <v>269</v>
      </c>
      <c r="B160" s="859"/>
      <c r="C160" s="421" t="s">
        <v>270</v>
      </c>
      <c r="D160" s="364" t="s">
        <v>196</v>
      </c>
      <c r="E160" s="833">
        <v>373700</v>
      </c>
      <c r="F160" s="833">
        <f t="shared" si="28"/>
        <v>0</v>
      </c>
      <c r="G160" s="833">
        <f t="shared" si="29"/>
        <v>0</v>
      </c>
      <c r="H160" s="834">
        <v>1</v>
      </c>
      <c r="I160" s="835"/>
      <c r="J160" s="836"/>
      <c r="K160" s="836"/>
      <c r="L160" s="836"/>
      <c r="M160" s="836"/>
      <c r="N160" s="836"/>
      <c r="O160" s="836"/>
      <c r="P160" s="836"/>
      <c r="Q160" s="836"/>
      <c r="R160" s="837">
        <v>2.6339999999999999</v>
      </c>
      <c r="T160" s="155">
        <v>373700</v>
      </c>
      <c r="U160" s="155"/>
      <c r="V160" s="155"/>
      <c r="AA160" s="180" t="str">
        <f>VLOOKUP(A160,[2]DG!$A:$C,3,0)</f>
        <v>Cáp 0,6/1KV C/XLPE/PVC 250mm2</v>
      </c>
    </row>
    <row r="161" spans="1:27" ht="20.100000000000001" hidden="1" customHeight="1">
      <c r="A161" s="873" t="s">
        <v>271</v>
      </c>
      <c r="B161" s="859"/>
      <c r="C161" s="421" t="s">
        <v>272</v>
      </c>
      <c r="D161" s="364" t="s">
        <v>196</v>
      </c>
      <c r="E161" s="833">
        <v>447700</v>
      </c>
      <c r="F161" s="833">
        <f t="shared" si="28"/>
        <v>0</v>
      </c>
      <c r="G161" s="833">
        <f t="shared" si="29"/>
        <v>0</v>
      </c>
      <c r="H161" s="834">
        <v>1</v>
      </c>
      <c r="I161" s="835"/>
      <c r="J161" s="836"/>
      <c r="K161" s="836"/>
      <c r="L161" s="836"/>
      <c r="M161" s="836"/>
      <c r="N161" s="836"/>
      <c r="O161" s="836"/>
      <c r="P161" s="836"/>
      <c r="Q161" s="836"/>
      <c r="R161" s="837">
        <v>3.1</v>
      </c>
      <c r="T161" s="155">
        <v>447700</v>
      </c>
      <c r="U161" s="155"/>
      <c r="V161" s="155"/>
      <c r="AA161" s="180" t="str">
        <f>VLOOKUP(A161,[2]DG!$A:$C,3,0)</f>
        <v>Cáp 0,6/1KV C/XLPE/PVC 300mm2</v>
      </c>
    </row>
    <row r="162" spans="1:27" ht="20.100000000000001" hidden="1" customHeight="1">
      <c r="A162" s="872" t="s">
        <v>273</v>
      </c>
      <c r="B162" s="860"/>
      <c r="C162" s="416" t="s">
        <v>274</v>
      </c>
      <c r="D162" s="364" t="s">
        <v>182</v>
      </c>
      <c r="E162" s="833">
        <v>35300</v>
      </c>
      <c r="F162" s="833">
        <f t="shared" si="28"/>
        <v>0</v>
      </c>
      <c r="G162" s="833">
        <f t="shared" si="29"/>
        <v>0</v>
      </c>
      <c r="H162" s="834">
        <v>1</v>
      </c>
      <c r="I162" s="835"/>
      <c r="J162" s="836"/>
      <c r="K162" s="836"/>
      <c r="L162" s="836"/>
      <c r="M162" s="836"/>
      <c r="N162" s="836"/>
      <c r="O162" s="836"/>
      <c r="P162" s="836"/>
      <c r="Q162" s="836"/>
      <c r="R162" s="837">
        <v>1</v>
      </c>
      <c r="T162" s="155">
        <v>35300</v>
      </c>
      <c r="U162" s="155"/>
      <c r="V162" s="155"/>
      <c r="AA162" s="180" t="str">
        <f>VLOOKUP(A162,[2]DG!$A:$C,3,0)</f>
        <v>Cáp nhôm lõi thép ACKP-35/6,2</v>
      </c>
    </row>
    <row r="163" spans="1:27" ht="20.100000000000001" hidden="1" customHeight="1">
      <c r="A163" s="872" t="s">
        <v>275</v>
      </c>
      <c r="B163" s="860"/>
      <c r="C163" s="416" t="s">
        <v>276</v>
      </c>
      <c r="D163" s="364" t="s">
        <v>182</v>
      </c>
      <c r="E163" s="833">
        <v>35300</v>
      </c>
      <c r="F163" s="833">
        <f t="shared" si="28"/>
        <v>0</v>
      </c>
      <c r="G163" s="833">
        <f t="shared" si="29"/>
        <v>0</v>
      </c>
      <c r="H163" s="834">
        <v>1</v>
      </c>
      <c r="I163" s="835"/>
      <c r="J163" s="836"/>
      <c r="K163" s="836"/>
      <c r="L163" s="836"/>
      <c r="M163" s="836"/>
      <c r="N163" s="836"/>
      <c r="O163" s="836"/>
      <c r="P163" s="836"/>
      <c r="Q163" s="836"/>
      <c r="R163" s="837">
        <v>1</v>
      </c>
      <c r="T163" s="155">
        <v>35300</v>
      </c>
      <c r="U163" s="155"/>
      <c r="V163" s="155"/>
      <c r="AA163" s="180" t="str">
        <f>VLOOKUP(A163,[2]DG!$A:$C,3,0)</f>
        <v>Cáp nhôm lõi thép ACKP-50/8</v>
      </c>
    </row>
    <row r="164" spans="1:27" ht="20.100000000000001" hidden="1" customHeight="1">
      <c r="A164" s="872" t="s">
        <v>277</v>
      </c>
      <c r="B164" s="860"/>
      <c r="C164" s="416" t="s">
        <v>278</v>
      </c>
      <c r="D164" s="364" t="s">
        <v>182</v>
      </c>
      <c r="E164" s="833">
        <v>35000</v>
      </c>
      <c r="F164" s="833">
        <f t="shared" si="28"/>
        <v>0</v>
      </c>
      <c r="G164" s="833">
        <f t="shared" si="29"/>
        <v>0</v>
      </c>
      <c r="H164" s="834">
        <v>1</v>
      </c>
      <c r="I164" s="835"/>
      <c r="J164" s="836"/>
      <c r="K164" s="836"/>
      <c r="L164" s="836"/>
      <c r="M164" s="836"/>
      <c r="N164" s="836"/>
      <c r="O164" s="836"/>
      <c r="P164" s="836"/>
      <c r="Q164" s="836"/>
      <c r="R164" s="837">
        <v>1</v>
      </c>
      <c r="T164" s="155">
        <v>35000</v>
      </c>
      <c r="U164" s="155"/>
      <c r="V164" s="155"/>
      <c r="AA164" s="180" t="str">
        <f>VLOOKUP(A164,[2]DG!$A:$C,3,0)</f>
        <v>Cáp nhôm lõi thép ACKP-70/11</v>
      </c>
    </row>
    <row r="165" spans="1:27" ht="20.100000000000001" hidden="1" customHeight="1">
      <c r="A165" s="874" t="s">
        <v>279</v>
      </c>
      <c r="B165" s="859"/>
      <c r="C165" s="416" t="s">
        <v>280</v>
      </c>
      <c r="D165" s="364" t="s">
        <v>182</v>
      </c>
      <c r="E165" s="833">
        <v>35000</v>
      </c>
      <c r="F165" s="833">
        <f t="shared" si="28"/>
        <v>0</v>
      </c>
      <c r="G165" s="833">
        <f t="shared" si="29"/>
        <v>0</v>
      </c>
      <c r="H165" s="834">
        <v>1</v>
      </c>
      <c r="I165" s="835"/>
      <c r="J165" s="836"/>
      <c r="K165" s="836"/>
      <c r="L165" s="836"/>
      <c r="M165" s="836"/>
      <c r="N165" s="836"/>
      <c r="O165" s="836"/>
      <c r="P165" s="836"/>
      <c r="Q165" s="836"/>
      <c r="R165" s="837">
        <v>1</v>
      </c>
      <c r="T165" s="155">
        <v>35000</v>
      </c>
      <c r="U165" s="155"/>
      <c r="V165" s="155"/>
      <c r="AA165" s="180" t="str">
        <f>VLOOKUP(A165,[2]DG!$A:$C,3,0)</f>
        <v>Cáp nhôm lõi thép ACKP-95/16</v>
      </c>
    </row>
    <row r="166" spans="1:27" ht="20.100000000000001" hidden="1" customHeight="1">
      <c r="A166" s="872" t="s">
        <v>281</v>
      </c>
      <c r="B166" s="860"/>
      <c r="C166" s="416" t="s">
        <v>282</v>
      </c>
      <c r="D166" s="364" t="s">
        <v>182</v>
      </c>
      <c r="E166" s="833">
        <v>35700</v>
      </c>
      <c r="F166" s="833">
        <f t="shared" si="28"/>
        <v>0</v>
      </c>
      <c r="G166" s="833">
        <f t="shared" si="29"/>
        <v>0</v>
      </c>
      <c r="H166" s="834">
        <v>1</v>
      </c>
      <c r="I166" s="835"/>
      <c r="J166" s="836"/>
      <c r="K166" s="836"/>
      <c r="L166" s="836"/>
      <c r="M166" s="836"/>
      <c r="N166" s="836"/>
      <c r="O166" s="836"/>
      <c r="P166" s="836"/>
      <c r="Q166" s="836"/>
      <c r="R166" s="837">
        <v>1</v>
      </c>
      <c r="T166" s="155">
        <v>35700</v>
      </c>
      <c r="U166" s="155"/>
      <c r="V166" s="155"/>
      <c r="AA166" s="180" t="str">
        <f>VLOOKUP(A166,[2]DG!$A:$C,3,0)</f>
        <v>Cáp nhôm lõi thép ACKP-120/19</v>
      </c>
    </row>
    <row r="167" spans="1:27" ht="20.100000000000001" hidden="1" customHeight="1">
      <c r="A167" s="872" t="s">
        <v>283</v>
      </c>
      <c r="B167" s="860"/>
      <c r="C167" s="416" t="s">
        <v>284</v>
      </c>
      <c r="D167" s="364" t="s">
        <v>182</v>
      </c>
      <c r="E167" s="833">
        <v>35700</v>
      </c>
      <c r="F167" s="833">
        <f t="shared" si="28"/>
        <v>0</v>
      </c>
      <c r="G167" s="833">
        <f t="shared" si="29"/>
        <v>0</v>
      </c>
      <c r="H167" s="834">
        <v>1</v>
      </c>
      <c r="I167" s="835"/>
      <c r="J167" s="836"/>
      <c r="K167" s="836"/>
      <c r="L167" s="836"/>
      <c r="M167" s="836"/>
      <c r="N167" s="836"/>
      <c r="O167" s="836"/>
      <c r="P167" s="836"/>
      <c r="Q167" s="836"/>
      <c r="R167" s="837">
        <v>1</v>
      </c>
      <c r="T167" s="155">
        <v>35700</v>
      </c>
      <c r="U167" s="155"/>
      <c r="V167" s="155"/>
      <c r="AA167" s="180" t="str">
        <f>VLOOKUP(A167,[2]DG!$A:$C,3,0)</f>
        <v>Cáp nhôm lõi thép ACKP-150/24</v>
      </c>
    </row>
    <row r="168" spans="1:27" ht="20.100000000000001" hidden="1" customHeight="1">
      <c r="A168" s="872" t="s">
        <v>285</v>
      </c>
      <c r="B168" s="860"/>
      <c r="C168" s="416" t="s">
        <v>286</v>
      </c>
      <c r="D168" s="364" t="s">
        <v>182</v>
      </c>
      <c r="E168" s="833">
        <v>35700</v>
      </c>
      <c r="F168" s="833">
        <f t="shared" si="28"/>
        <v>0</v>
      </c>
      <c r="G168" s="833">
        <f t="shared" si="29"/>
        <v>0</v>
      </c>
      <c r="H168" s="834">
        <v>1</v>
      </c>
      <c r="I168" s="835"/>
      <c r="J168" s="836"/>
      <c r="K168" s="836"/>
      <c r="L168" s="836"/>
      <c r="M168" s="836"/>
      <c r="N168" s="836"/>
      <c r="O168" s="836"/>
      <c r="P168" s="836"/>
      <c r="Q168" s="836"/>
      <c r="R168" s="837">
        <v>1</v>
      </c>
      <c r="T168" s="155">
        <v>35700</v>
      </c>
      <c r="U168" s="155"/>
      <c r="V168" s="155"/>
      <c r="AA168" s="180" t="str">
        <f>VLOOKUP(A168,[2]DG!$A:$C,3,0)</f>
        <v>Cáp nhôm lõi thép ACKP-185/29</v>
      </c>
    </row>
    <row r="169" spans="1:27" ht="20.100000000000001" hidden="1" customHeight="1">
      <c r="A169" s="872" t="s">
        <v>287</v>
      </c>
      <c r="B169" s="860"/>
      <c r="C169" s="416" t="s">
        <v>288</v>
      </c>
      <c r="D169" s="364" t="s">
        <v>182</v>
      </c>
      <c r="E169" s="833">
        <v>35700</v>
      </c>
      <c r="F169" s="833">
        <f t="shared" si="28"/>
        <v>0</v>
      </c>
      <c r="G169" s="833">
        <f t="shared" si="29"/>
        <v>0</v>
      </c>
      <c r="H169" s="834">
        <v>1</v>
      </c>
      <c r="I169" s="835"/>
      <c r="J169" s="836"/>
      <c r="K169" s="836"/>
      <c r="L169" s="836"/>
      <c r="M169" s="836"/>
      <c r="N169" s="836"/>
      <c r="O169" s="836"/>
      <c r="P169" s="836"/>
      <c r="Q169" s="836"/>
      <c r="R169" s="837">
        <v>1</v>
      </c>
      <c r="T169" s="155">
        <v>35700</v>
      </c>
      <c r="U169" s="155"/>
      <c r="V169" s="155"/>
      <c r="AA169" s="180" t="str">
        <f>VLOOKUP(A169,[2]DG!$A:$C,3,0)</f>
        <v>Cáp nhôm lõi thép ACKP-240/32</v>
      </c>
    </row>
    <row r="170" spans="1:27" ht="20.100000000000001" hidden="1" customHeight="1">
      <c r="A170" s="873" t="s">
        <v>289</v>
      </c>
      <c r="B170" s="859"/>
      <c r="C170" s="416" t="s">
        <v>290</v>
      </c>
      <c r="D170" s="364" t="s">
        <v>196</v>
      </c>
      <c r="E170" s="833">
        <v>43500</v>
      </c>
      <c r="F170" s="833">
        <f t="shared" si="28"/>
        <v>0</v>
      </c>
      <c r="G170" s="833">
        <f t="shared" si="29"/>
        <v>0</v>
      </c>
      <c r="H170" s="834">
        <v>1</v>
      </c>
      <c r="I170" s="835"/>
      <c r="J170" s="836"/>
      <c r="K170" s="836"/>
      <c r="L170" s="836"/>
      <c r="M170" s="836"/>
      <c r="N170" s="836"/>
      <c r="O170" s="836"/>
      <c r="P170" s="836"/>
      <c r="Q170" s="836"/>
      <c r="R170" s="837">
        <v>1</v>
      </c>
      <c r="T170" s="428">
        <v>43500</v>
      </c>
      <c r="U170" s="155"/>
      <c r="V170" s="155"/>
      <c r="AA170" s="180" t="str">
        <f>VLOOKUP(A170,[2]DG!$A:$C,3,0)</f>
        <v>Cáp 24KV ACX 50mm2</v>
      </c>
    </row>
    <row r="171" spans="1:27" ht="20.100000000000001" hidden="1" customHeight="1">
      <c r="A171" s="873" t="s">
        <v>291</v>
      </c>
      <c r="B171" s="859"/>
      <c r="C171" s="416" t="s">
        <v>292</v>
      </c>
      <c r="D171" s="364" t="s">
        <v>196</v>
      </c>
      <c r="E171" s="833">
        <v>80500</v>
      </c>
      <c r="F171" s="833">
        <f t="shared" si="28"/>
        <v>0</v>
      </c>
      <c r="G171" s="833">
        <f t="shared" si="29"/>
        <v>0</v>
      </c>
      <c r="H171" s="834">
        <v>1</v>
      </c>
      <c r="I171" s="835"/>
      <c r="J171" s="836"/>
      <c r="K171" s="836"/>
      <c r="L171" s="836"/>
      <c r="M171" s="836"/>
      <c r="N171" s="836"/>
      <c r="O171" s="836"/>
      <c r="P171" s="836"/>
      <c r="Q171" s="836"/>
      <c r="R171" s="837">
        <v>1.0049999999999999</v>
      </c>
      <c r="T171" s="428">
        <v>80500</v>
      </c>
      <c r="U171" s="155"/>
      <c r="V171" s="155"/>
      <c r="AA171" s="180" t="str">
        <f>VLOOKUP(A171,[2]DG!$A:$C,3,0)</f>
        <v>Cáp nhôm lõi thép bọc 24KV AC/XLPE/PVC150 mm2</v>
      </c>
    </row>
    <row r="172" spans="1:27" ht="20.100000000000001" hidden="1" customHeight="1">
      <c r="A172" s="872" t="s">
        <v>293</v>
      </c>
      <c r="B172" s="860"/>
      <c r="C172" s="416" t="s">
        <v>294</v>
      </c>
      <c r="D172" s="364" t="s">
        <v>182</v>
      </c>
      <c r="E172" s="833">
        <v>54000</v>
      </c>
      <c r="F172" s="833">
        <f t="shared" si="28"/>
        <v>0</v>
      </c>
      <c r="G172" s="833">
        <f t="shared" si="29"/>
        <v>0</v>
      </c>
      <c r="H172" s="834">
        <v>1</v>
      </c>
      <c r="I172" s="835"/>
      <c r="J172" s="836"/>
      <c r="K172" s="836"/>
      <c r="L172" s="836"/>
      <c r="M172" s="836"/>
      <c r="N172" s="836"/>
      <c r="O172" s="836"/>
      <c r="P172" s="836"/>
      <c r="Q172" s="836"/>
      <c r="R172" s="837">
        <v>2.5</v>
      </c>
      <c r="T172" s="428">
        <v>54000</v>
      </c>
      <c r="U172" s="155"/>
      <c r="V172" s="155"/>
      <c r="AA172" s="180" t="str">
        <f>VLOOKUP(A172,[2]DG!$A:$C,3,0)</f>
        <v>Cáp nhôm lõi thép AC-35/6,2</v>
      </c>
    </row>
    <row r="173" spans="1:27" ht="20.100000000000001" hidden="1" customHeight="1">
      <c r="A173" s="872" t="s">
        <v>295</v>
      </c>
      <c r="B173" s="860"/>
      <c r="C173" s="416" t="s">
        <v>296</v>
      </c>
      <c r="D173" s="364" t="s">
        <v>182</v>
      </c>
      <c r="E173" s="833">
        <v>60400</v>
      </c>
      <c r="F173" s="833">
        <f t="shared" si="28"/>
        <v>0</v>
      </c>
      <c r="G173" s="833">
        <f t="shared" si="29"/>
        <v>0</v>
      </c>
      <c r="H173" s="834" t="s">
        <v>4065</v>
      </c>
      <c r="I173" s="835"/>
      <c r="J173" s="836"/>
      <c r="K173" s="836"/>
      <c r="L173" s="836"/>
      <c r="M173" s="836"/>
      <c r="N173" s="836"/>
      <c r="O173" s="836"/>
      <c r="P173" s="836"/>
      <c r="Q173" s="836"/>
      <c r="R173" s="837">
        <v>1</v>
      </c>
      <c r="T173" s="428">
        <v>60200</v>
      </c>
      <c r="U173" s="155">
        <v>0</v>
      </c>
      <c r="V173" s="155">
        <v>0</v>
      </c>
      <c r="AA173" s="180" t="str">
        <f>VLOOKUP(A173,[2]DG!$A:$C,3,0)</f>
        <v>Cáp nhôm lõi thép AC-50/8</v>
      </c>
    </row>
    <row r="174" spans="1:27" ht="20.100000000000001" hidden="1" customHeight="1">
      <c r="A174" s="872" t="s">
        <v>297</v>
      </c>
      <c r="B174" s="860"/>
      <c r="C174" s="416" t="s">
        <v>298</v>
      </c>
      <c r="D174" s="364" t="s">
        <v>182</v>
      </c>
      <c r="E174" s="833">
        <v>71000</v>
      </c>
      <c r="F174" s="833">
        <f t="shared" si="28"/>
        <v>0</v>
      </c>
      <c r="G174" s="833">
        <f t="shared" si="29"/>
        <v>0</v>
      </c>
      <c r="H174" s="834">
        <v>42312</v>
      </c>
      <c r="I174" s="835"/>
      <c r="J174" s="836"/>
      <c r="K174" s="836"/>
      <c r="L174" s="836"/>
      <c r="M174" s="836"/>
      <c r="N174" s="836"/>
      <c r="O174" s="836"/>
      <c r="P174" s="836"/>
      <c r="Q174" s="836"/>
      <c r="R174" s="837">
        <v>1</v>
      </c>
      <c r="T174" s="428">
        <v>71000</v>
      </c>
      <c r="U174" s="155"/>
      <c r="V174" s="155"/>
      <c r="AA174" s="180" t="str">
        <f>VLOOKUP(A174,[2]DG!$A:$C,3,0)</f>
        <v>Cáp nhôm lõi thép AC-70/11</v>
      </c>
    </row>
    <row r="175" spans="1:27" ht="20.100000000000001" hidden="1" customHeight="1">
      <c r="A175" s="874" t="s">
        <v>299</v>
      </c>
      <c r="B175" s="859"/>
      <c r="C175" s="416" t="s">
        <v>300</v>
      </c>
      <c r="D175" s="364" t="s">
        <v>182</v>
      </c>
      <c r="E175" s="833">
        <v>73200</v>
      </c>
      <c r="F175" s="833">
        <f t="shared" si="28"/>
        <v>0</v>
      </c>
      <c r="G175" s="833">
        <f t="shared" si="29"/>
        <v>0</v>
      </c>
      <c r="H175" s="834">
        <v>42312</v>
      </c>
      <c r="I175" s="835"/>
      <c r="J175" s="836"/>
      <c r="K175" s="836"/>
      <c r="L175" s="836"/>
      <c r="M175" s="836"/>
      <c r="N175" s="836"/>
      <c r="O175" s="836"/>
      <c r="P175" s="836"/>
      <c r="Q175" s="836"/>
      <c r="R175" s="837">
        <v>1</v>
      </c>
      <c r="T175" s="428">
        <v>73200</v>
      </c>
      <c r="U175" s="155"/>
      <c r="V175" s="155"/>
      <c r="AA175" s="180" t="str">
        <f>VLOOKUP(A175,[2]DG!$A:$C,3,0)</f>
        <v>Cáp nhôm lõi thép AC-95/16</v>
      </c>
    </row>
    <row r="176" spans="1:27" ht="20.100000000000001" hidden="1" customHeight="1">
      <c r="A176" s="872" t="s">
        <v>301</v>
      </c>
      <c r="B176" s="860"/>
      <c r="C176" s="416" t="s">
        <v>302</v>
      </c>
      <c r="D176" s="364" t="s">
        <v>182</v>
      </c>
      <c r="E176" s="833">
        <v>73200</v>
      </c>
      <c r="F176" s="833">
        <f t="shared" si="28"/>
        <v>0</v>
      </c>
      <c r="G176" s="833">
        <f t="shared" si="29"/>
        <v>0</v>
      </c>
      <c r="H176" s="834">
        <v>42312</v>
      </c>
      <c r="I176" s="835"/>
      <c r="J176" s="836"/>
      <c r="K176" s="836"/>
      <c r="L176" s="836"/>
      <c r="M176" s="836"/>
      <c r="N176" s="836"/>
      <c r="O176" s="836"/>
      <c r="P176" s="836"/>
      <c r="Q176" s="836"/>
      <c r="R176" s="837">
        <v>1</v>
      </c>
      <c r="T176" s="428">
        <v>73200</v>
      </c>
      <c r="U176" s="155"/>
      <c r="V176" s="155"/>
      <c r="AA176" s="180" t="str">
        <f>VLOOKUP(A176,[2]DG!$A:$C,3,0)</f>
        <v>Cáp nhôm lõi thép AC-120/19</v>
      </c>
    </row>
    <row r="177" spans="1:27" ht="20.100000000000001" hidden="1" customHeight="1">
      <c r="A177" s="872" t="s">
        <v>303</v>
      </c>
      <c r="B177" s="860"/>
      <c r="C177" s="416" t="s">
        <v>304</v>
      </c>
      <c r="D177" s="364" t="s">
        <v>182</v>
      </c>
      <c r="E177" s="833">
        <v>73200</v>
      </c>
      <c r="F177" s="833">
        <f t="shared" si="28"/>
        <v>0</v>
      </c>
      <c r="G177" s="833">
        <f t="shared" si="29"/>
        <v>0</v>
      </c>
      <c r="H177" s="834">
        <v>42312</v>
      </c>
      <c r="I177" s="835"/>
      <c r="J177" s="836"/>
      <c r="K177" s="836"/>
      <c r="L177" s="836"/>
      <c r="M177" s="836"/>
      <c r="N177" s="836"/>
      <c r="O177" s="836"/>
      <c r="P177" s="836"/>
      <c r="Q177" s="836"/>
      <c r="R177" s="837">
        <v>1</v>
      </c>
      <c r="T177" s="428">
        <v>73200</v>
      </c>
      <c r="U177" s="155"/>
      <c r="V177" s="155"/>
      <c r="AA177" s="180" t="str">
        <f>VLOOKUP(A177,[2]DG!$A:$C,3,0)</f>
        <v>Cáp nhôm lõi thép AC-150/24</v>
      </c>
    </row>
    <row r="178" spans="1:27" ht="20.100000000000001" hidden="1" customHeight="1">
      <c r="A178" s="872" t="s">
        <v>305</v>
      </c>
      <c r="B178" s="860"/>
      <c r="C178" s="416" t="s">
        <v>306</v>
      </c>
      <c r="D178" s="364" t="s">
        <v>182</v>
      </c>
      <c r="E178" s="833">
        <v>73200</v>
      </c>
      <c r="F178" s="833">
        <f t="shared" si="28"/>
        <v>0</v>
      </c>
      <c r="G178" s="833">
        <f t="shared" si="29"/>
        <v>0</v>
      </c>
      <c r="H178" s="834">
        <v>42312</v>
      </c>
      <c r="I178" s="835"/>
      <c r="J178" s="836"/>
      <c r="K178" s="836"/>
      <c r="L178" s="836"/>
      <c r="M178" s="836"/>
      <c r="N178" s="836"/>
      <c r="O178" s="836"/>
      <c r="P178" s="836"/>
      <c r="Q178" s="836"/>
      <c r="R178" s="837">
        <v>1</v>
      </c>
      <c r="T178" s="428">
        <v>73200</v>
      </c>
      <c r="U178" s="155"/>
      <c r="V178" s="155"/>
      <c r="AA178" s="180" t="str">
        <f>VLOOKUP(A178,[2]DG!$A:$C,3,0)</f>
        <v>Cáp nhôm lõi thép AC-185/29</v>
      </c>
    </row>
    <row r="179" spans="1:27" ht="20.100000000000001" hidden="1" customHeight="1">
      <c r="A179" s="872" t="s">
        <v>307</v>
      </c>
      <c r="B179" s="860"/>
      <c r="C179" s="416" t="s">
        <v>308</v>
      </c>
      <c r="D179" s="364" t="s">
        <v>182</v>
      </c>
      <c r="E179" s="833">
        <v>73200</v>
      </c>
      <c r="F179" s="833">
        <f t="shared" si="28"/>
        <v>0</v>
      </c>
      <c r="G179" s="833">
        <f t="shared" si="29"/>
        <v>0</v>
      </c>
      <c r="H179" s="834">
        <v>42312</v>
      </c>
      <c r="I179" s="835"/>
      <c r="J179" s="836"/>
      <c r="K179" s="836"/>
      <c r="L179" s="836"/>
      <c r="M179" s="836"/>
      <c r="N179" s="836"/>
      <c r="O179" s="836"/>
      <c r="P179" s="836"/>
      <c r="Q179" s="836"/>
      <c r="R179" s="837">
        <v>1</v>
      </c>
      <c r="T179" s="428">
        <v>73200</v>
      </c>
      <c r="U179" s="155"/>
      <c r="V179" s="155"/>
      <c r="AA179" s="180" t="str">
        <f>VLOOKUP(A179,[2]DG!$A:$C,3,0)</f>
        <v>Cáp nhôm lõi thép AC-240/39</v>
      </c>
    </row>
    <row r="180" spans="1:27" ht="20.100000000000001" hidden="1" customHeight="1">
      <c r="A180" s="873" t="s">
        <v>3571</v>
      </c>
      <c r="B180" s="859"/>
      <c r="C180" s="421" t="s">
        <v>309</v>
      </c>
      <c r="D180" s="364" t="s">
        <v>196</v>
      </c>
      <c r="E180" s="833">
        <v>7390</v>
      </c>
      <c r="F180" s="833">
        <f t="shared" si="28"/>
        <v>0</v>
      </c>
      <c r="G180" s="833">
        <f t="shared" si="29"/>
        <v>0</v>
      </c>
      <c r="H180" s="834">
        <v>1</v>
      </c>
      <c r="I180" s="835"/>
      <c r="J180" s="836"/>
      <c r="K180" s="836"/>
      <c r="L180" s="836"/>
      <c r="M180" s="836"/>
      <c r="N180" s="836"/>
      <c r="O180" s="836"/>
      <c r="P180" s="836"/>
      <c r="Q180" s="836"/>
      <c r="R180" s="837">
        <v>0.17399999999999999</v>
      </c>
      <c r="T180" s="155">
        <v>7390</v>
      </c>
      <c r="U180" s="155"/>
      <c r="V180" s="155"/>
      <c r="AA180" s="180" t="str">
        <f>VLOOKUP(A180,[2]DG!$A:$C,3,0)</f>
        <v>Cáp nhôm bọc AV35</v>
      </c>
    </row>
    <row r="181" spans="1:27" ht="20.100000000000001" hidden="1" customHeight="1">
      <c r="A181" s="873" t="s">
        <v>3095</v>
      </c>
      <c r="B181" s="859"/>
      <c r="C181" s="421" t="s">
        <v>310</v>
      </c>
      <c r="D181" s="364" t="s">
        <v>196</v>
      </c>
      <c r="E181" s="833">
        <v>10520</v>
      </c>
      <c r="F181" s="833">
        <f t="shared" si="28"/>
        <v>0</v>
      </c>
      <c r="G181" s="833">
        <f t="shared" si="29"/>
        <v>0</v>
      </c>
      <c r="H181" s="834">
        <v>1</v>
      </c>
      <c r="I181" s="835"/>
      <c r="J181" s="836"/>
      <c r="K181" s="836"/>
      <c r="L181" s="836"/>
      <c r="M181" s="836"/>
      <c r="N181" s="836"/>
      <c r="O181" s="836"/>
      <c r="P181" s="836"/>
      <c r="Q181" s="836"/>
      <c r="R181" s="837">
        <v>0.22900000000000001</v>
      </c>
      <c r="T181" s="155">
        <v>10520</v>
      </c>
      <c r="U181" s="155"/>
      <c r="V181" s="155"/>
      <c r="AA181" s="180" t="str">
        <f>VLOOKUP(A181,[2]DG!$A:$C,3,0)</f>
        <v>Cáp nhôm bọc AV50</v>
      </c>
    </row>
    <row r="182" spans="1:27" ht="20.100000000000001" hidden="1" customHeight="1">
      <c r="A182" s="873" t="s">
        <v>3096</v>
      </c>
      <c r="B182" s="859"/>
      <c r="C182" s="421" t="s">
        <v>311</v>
      </c>
      <c r="D182" s="364" t="s">
        <v>196</v>
      </c>
      <c r="E182" s="833">
        <v>14240</v>
      </c>
      <c r="F182" s="833">
        <f t="shared" si="28"/>
        <v>0</v>
      </c>
      <c r="G182" s="833">
        <f t="shared" si="29"/>
        <v>0</v>
      </c>
      <c r="H182" s="834">
        <v>1</v>
      </c>
      <c r="I182" s="835"/>
      <c r="J182" s="836"/>
      <c r="K182" s="836"/>
      <c r="L182" s="836"/>
      <c r="M182" s="836"/>
      <c r="N182" s="836"/>
      <c r="O182" s="836"/>
      <c r="P182" s="836"/>
      <c r="Q182" s="836"/>
      <c r="R182" s="837">
        <v>0.30299999999999999</v>
      </c>
      <c r="T182" s="155">
        <v>14240</v>
      </c>
      <c r="U182" s="155"/>
      <c r="V182" s="155"/>
      <c r="AA182" s="180" t="str">
        <f>VLOOKUP(A182,[2]DG!$A:$C,3,0)</f>
        <v>Cáp nhôm bọc AV70</v>
      </c>
    </row>
    <row r="183" spans="1:27" ht="20.100000000000001" hidden="1" customHeight="1">
      <c r="A183" s="873" t="s">
        <v>3097</v>
      </c>
      <c r="B183" s="859"/>
      <c r="C183" s="421" t="s">
        <v>312</v>
      </c>
      <c r="D183" s="364" t="s">
        <v>196</v>
      </c>
      <c r="E183" s="833">
        <v>19460</v>
      </c>
      <c r="F183" s="833">
        <f t="shared" si="28"/>
        <v>0</v>
      </c>
      <c r="G183" s="833">
        <f t="shared" si="29"/>
        <v>0</v>
      </c>
      <c r="H183" s="834">
        <v>1</v>
      </c>
      <c r="I183" s="835"/>
      <c r="J183" s="836"/>
      <c r="K183" s="836"/>
      <c r="L183" s="836"/>
      <c r="M183" s="836"/>
      <c r="N183" s="836"/>
      <c r="O183" s="836"/>
      <c r="P183" s="836"/>
      <c r="Q183" s="836"/>
      <c r="R183" s="837">
        <v>0.39400000000000002</v>
      </c>
      <c r="T183" s="155">
        <v>19460</v>
      </c>
      <c r="U183" s="155"/>
      <c r="V183" s="155"/>
      <c r="AA183" s="180" t="str">
        <f>VLOOKUP(A183,[2]DG!$A:$C,3,0)</f>
        <v>Cáp nhôm bọc AV95</v>
      </c>
    </row>
    <row r="184" spans="1:27" ht="20.100000000000001" hidden="1" customHeight="1">
      <c r="A184" s="873" t="s">
        <v>3098</v>
      </c>
      <c r="B184" s="859"/>
      <c r="C184" s="421" t="s">
        <v>313</v>
      </c>
      <c r="D184" s="364" t="s">
        <v>196</v>
      </c>
      <c r="E184" s="833">
        <v>23400</v>
      </c>
      <c r="F184" s="833">
        <f t="shared" si="28"/>
        <v>0</v>
      </c>
      <c r="G184" s="833">
        <f t="shared" si="29"/>
        <v>0</v>
      </c>
      <c r="H184" s="834">
        <v>1</v>
      </c>
      <c r="I184" s="835"/>
      <c r="J184" s="836"/>
      <c r="K184" s="836"/>
      <c r="L184" s="836"/>
      <c r="M184" s="836"/>
      <c r="N184" s="836"/>
      <c r="O184" s="836"/>
      <c r="P184" s="836"/>
      <c r="Q184" s="836"/>
      <c r="R184" s="837">
        <v>0.48599999999999999</v>
      </c>
      <c r="T184" s="155">
        <v>23400</v>
      </c>
      <c r="U184" s="155"/>
      <c r="V184" s="155"/>
      <c r="AA184" s="180" t="str">
        <f>VLOOKUP(A184,[2]DG!$A:$C,3,0)</f>
        <v>Cáp nhôm bọc AV120</v>
      </c>
    </row>
    <row r="185" spans="1:27" ht="20.100000000000001" hidden="1" customHeight="1">
      <c r="A185" s="873" t="s">
        <v>3099</v>
      </c>
      <c r="B185" s="859"/>
      <c r="C185" s="421" t="s">
        <v>314</v>
      </c>
      <c r="D185" s="364" t="s">
        <v>196</v>
      </c>
      <c r="E185" s="833">
        <v>31100</v>
      </c>
      <c r="F185" s="833">
        <f t="shared" si="28"/>
        <v>0</v>
      </c>
      <c r="G185" s="833">
        <f t="shared" si="29"/>
        <v>0</v>
      </c>
      <c r="H185" s="834">
        <v>1</v>
      </c>
      <c r="I185" s="835"/>
      <c r="J185" s="836"/>
      <c r="K185" s="836"/>
      <c r="L185" s="836"/>
      <c r="M185" s="836"/>
      <c r="N185" s="836"/>
      <c r="O185" s="836"/>
      <c r="P185" s="836"/>
      <c r="Q185" s="836"/>
      <c r="R185" s="837">
        <v>0.59599999999999997</v>
      </c>
      <c r="T185" s="155">
        <v>31100</v>
      </c>
      <c r="U185" s="155"/>
      <c r="V185" s="155"/>
      <c r="AA185" s="180" t="str">
        <f>VLOOKUP(A185,[2]DG!$A:$C,3,0)</f>
        <v>Cáp nhôm bọc AV150</v>
      </c>
    </row>
    <row r="186" spans="1:27" ht="20.100000000000001" hidden="1" customHeight="1">
      <c r="A186" s="873" t="s">
        <v>3100</v>
      </c>
      <c r="B186" s="859"/>
      <c r="C186" s="421" t="s">
        <v>315</v>
      </c>
      <c r="D186" s="364" t="s">
        <v>196</v>
      </c>
      <c r="E186" s="833">
        <v>37300</v>
      </c>
      <c r="F186" s="833">
        <f t="shared" si="28"/>
        <v>0</v>
      </c>
      <c r="G186" s="833">
        <f t="shared" si="29"/>
        <v>0</v>
      </c>
      <c r="H186" s="834">
        <v>1</v>
      </c>
      <c r="I186" s="835"/>
      <c r="J186" s="836"/>
      <c r="K186" s="836"/>
      <c r="L186" s="836"/>
      <c r="M186" s="836"/>
      <c r="N186" s="836"/>
      <c r="O186" s="836"/>
      <c r="P186" s="836"/>
      <c r="Q186" s="836"/>
      <c r="R186" s="837">
        <v>0.72499999999999998</v>
      </c>
      <c r="T186" s="155">
        <v>37300</v>
      </c>
      <c r="U186" s="155"/>
      <c r="V186" s="155"/>
      <c r="AA186" s="180" t="str">
        <f>VLOOKUP(A186,[2]DG!$A:$C,3,0)</f>
        <v>Cáp nhôm bọc AV185</v>
      </c>
    </row>
    <row r="187" spans="1:27" ht="20.100000000000001" hidden="1" customHeight="1">
      <c r="A187" s="873" t="s">
        <v>3101</v>
      </c>
      <c r="B187" s="859"/>
      <c r="C187" s="421" t="s">
        <v>316</v>
      </c>
      <c r="D187" s="364" t="s">
        <v>196</v>
      </c>
      <c r="E187" s="833">
        <v>48600</v>
      </c>
      <c r="F187" s="833">
        <f t="shared" si="28"/>
        <v>0</v>
      </c>
      <c r="G187" s="833">
        <f t="shared" si="29"/>
        <v>0</v>
      </c>
      <c r="H187" s="834">
        <v>1</v>
      </c>
      <c r="I187" s="835"/>
      <c r="J187" s="836"/>
      <c r="K187" s="836"/>
      <c r="L187" s="836"/>
      <c r="M187" s="836"/>
      <c r="N187" s="836"/>
      <c r="O187" s="836"/>
      <c r="P187" s="836"/>
      <c r="Q187" s="836"/>
      <c r="R187" s="837">
        <v>0.92700000000000005</v>
      </c>
      <c r="T187" s="155">
        <v>48600</v>
      </c>
      <c r="U187" s="155"/>
      <c r="V187" s="155"/>
      <c r="AA187" s="180" t="str">
        <f>VLOOKUP(A187,[2]DG!$A:$C,3,0)</f>
        <v>Cáp nhôm bọc AV240</v>
      </c>
    </row>
    <row r="188" spans="1:27" ht="20.100000000000001" hidden="1" customHeight="1">
      <c r="A188" s="873" t="s">
        <v>3572</v>
      </c>
      <c r="B188" s="859"/>
      <c r="C188" s="421" t="s">
        <v>317</v>
      </c>
      <c r="D188" s="364" t="s">
        <v>196</v>
      </c>
      <c r="E188" s="833">
        <v>60700</v>
      </c>
      <c r="F188" s="833">
        <f t="shared" si="28"/>
        <v>0</v>
      </c>
      <c r="G188" s="833">
        <f t="shared" si="29"/>
        <v>0</v>
      </c>
      <c r="H188" s="834">
        <v>1</v>
      </c>
      <c r="I188" s="835"/>
      <c r="J188" s="836"/>
      <c r="K188" s="836"/>
      <c r="L188" s="836"/>
      <c r="M188" s="836"/>
      <c r="N188" s="836"/>
      <c r="O188" s="836"/>
      <c r="P188" s="836"/>
      <c r="Q188" s="836"/>
      <c r="R188" s="837">
        <v>1.147</v>
      </c>
      <c r="T188" s="155">
        <v>60700</v>
      </c>
      <c r="U188" s="155"/>
      <c r="V188" s="155"/>
      <c r="AA188" s="180" t="str">
        <f>VLOOKUP(A188,[2]DG!$A:$C,3,0)</f>
        <v>Cáp nhôm bọc AV300</v>
      </c>
    </row>
    <row r="189" spans="1:27" ht="18.95" customHeight="1">
      <c r="A189" s="875" t="s">
        <v>3573</v>
      </c>
      <c r="B189" s="859"/>
      <c r="C189" s="421" t="s">
        <v>3251</v>
      </c>
      <c r="D189" s="364" t="s">
        <v>196</v>
      </c>
      <c r="E189" s="833">
        <v>13650</v>
      </c>
      <c r="F189" s="833">
        <f t="shared" si="28"/>
        <v>0</v>
      </c>
      <c r="G189" s="833">
        <f t="shared" si="29"/>
        <v>0</v>
      </c>
      <c r="H189" s="834">
        <v>42312</v>
      </c>
      <c r="I189" s="835"/>
      <c r="J189" s="836"/>
      <c r="K189" s="836"/>
      <c r="L189" s="836"/>
      <c r="M189" s="836"/>
      <c r="N189" s="836"/>
      <c r="O189" s="836"/>
      <c r="P189" s="836"/>
      <c r="Q189" s="836"/>
      <c r="R189" s="837">
        <v>0.17499999999999999</v>
      </c>
      <c r="T189" s="155">
        <v>13650</v>
      </c>
      <c r="U189" s="155"/>
      <c r="V189" s="155"/>
      <c r="W189" s="180">
        <v>35</v>
      </c>
      <c r="X189" s="180">
        <v>0.17399999999999999</v>
      </c>
      <c r="AA189" s="180" t="str">
        <f>VLOOKUP(A189,[2]DG!$A:$C,3,0)</f>
        <v>Cáp nhôm ABC 2x16mm2</v>
      </c>
    </row>
    <row r="190" spans="1:27" ht="18.95" customHeight="1">
      <c r="A190" s="875" t="s">
        <v>3574</v>
      </c>
      <c r="B190" s="859"/>
      <c r="C190" s="421" t="s">
        <v>3250</v>
      </c>
      <c r="D190" s="364" t="s">
        <v>196</v>
      </c>
      <c r="E190" s="833">
        <v>18320</v>
      </c>
      <c r="F190" s="833">
        <f t="shared" si="28"/>
        <v>0</v>
      </c>
      <c r="G190" s="833">
        <f t="shared" si="29"/>
        <v>0</v>
      </c>
      <c r="H190" s="834">
        <v>42312</v>
      </c>
      <c r="I190" s="835"/>
      <c r="J190" s="836"/>
      <c r="K190" s="836"/>
      <c r="L190" s="836"/>
      <c r="M190" s="836"/>
      <c r="N190" s="836"/>
      <c r="O190" s="836"/>
      <c r="P190" s="836"/>
      <c r="Q190" s="836"/>
      <c r="R190" s="837">
        <v>0.3</v>
      </c>
      <c r="T190" s="155">
        <v>18320</v>
      </c>
      <c r="U190" s="155"/>
      <c r="V190" s="155"/>
      <c r="AA190" s="180" t="str">
        <f>VLOOKUP(A190,[2]DG!$A:$C,3,0)</f>
        <v>Cáp nhôm ABC 2x25mm2</v>
      </c>
    </row>
    <row r="191" spans="1:27" ht="20.100000000000001" customHeight="1">
      <c r="A191" s="875" t="s">
        <v>3575</v>
      </c>
      <c r="B191" s="859"/>
      <c r="C191" s="421" t="s">
        <v>3246</v>
      </c>
      <c r="D191" s="364" t="s">
        <v>196</v>
      </c>
      <c r="E191" s="833">
        <v>19700</v>
      </c>
      <c r="F191" s="833">
        <f t="shared" si="28"/>
        <v>0</v>
      </c>
      <c r="G191" s="833">
        <f t="shared" si="29"/>
        <v>0</v>
      </c>
      <c r="H191" s="834">
        <v>42312</v>
      </c>
      <c r="I191" s="835"/>
      <c r="J191" s="836"/>
      <c r="K191" s="836"/>
      <c r="L191" s="836"/>
      <c r="M191" s="836"/>
      <c r="N191" s="836"/>
      <c r="O191" s="836"/>
      <c r="P191" s="836"/>
      <c r="Q191" s="836"/>
      <c r="R191" s="837">
        <v>0.35</v>
      </c>
      <c r="T191" s="155">
        <v>19700</v>
      </c>
      <c r="U191" s="155"/>
      <c r="V191" s="155"/>
      <c r="AA191" s="180" t="str">
        <f>VLOOKUP(A191,[2]DG!$A:$C,3,0)</f>
        <v>Cáp nhôm ABC 3x16mm2</v>
      </c>
    </row>
    <row r="192" spans="1:27" ht="20.100000000000001" customHeight="1">
      <c r="A192" s="875" t="s">
        <v>3576</v>
      </c>
      <c r="B192" s="859"/>
      <c r="C192" s="421" t="s">
        <v>3244</v>
      </c>
      <c r="D192" s="364" t="s">
        <v>196</v>
      </c>
      <c r="E192" s="833">
        <v>26700</v>
      </c>
      <c r="F192" s="833">
        <f t="shared" si="28"/>
        <v>0</v>
      </c>
      <c r="G192" s="833">
        <f t="shared" si="29"/>
        <v>0</v>
      </c>
      <c r="H192" s="834">
        <v>42312</v>
      </c>
      <c r="I192" s="835"/>
      <c r="J192" s="836"/>
      <c r="K192" s="836"/>
      <c r="L192" s="836"/>
      <c r="M192" s="836"/>
      <c r="N192" s="836"/>
      <c r="O192" s="836"/>
      <c r="P192" s="836"/>
      <c r="Q192" s="836"/>
      <c r="R192" s="837">
        <v>0.4</v>
      </c>
      <c r="T192" s="155">
        <v>26700</v>
      </c>
      <c r="U192" s="155"/>
      <c r="V192" s="155"/>
      <c r="AA192" s="180" t="str">
        <f>VLOOKUP(A192,[2]DG!$A:$C,3,0)</f>
        <v>Cáp nhôm ABC 3x25mm2</v>
      </c>
    </row>
    <row r="193" spans="1:27" ht="20.100000000000001" hidden="1" customHeight="1">
      <c r="A193" s="875" t="s">
        <v>3577</v>
      </c>
      <c r="B193" s="859"/>
      <c r="C193" s="421" t="s">
        <v>318</v>
      </c>
      <c r="D193" s="364" t="s">
        <v>196</v>
      </c>
      <c r="E193" s="833">
        <v>67400</v>
      </c>
      <c r="F193" s="833">
        <f t="shared" si="28"/>
        <v>0</v>
      </c>
      <c r="G193" s="833">
        <f t="shared" si="29"/>
        <v>0</v>
      </c>
      <c r="H193" s="834">
        <v>42312</v>
      </c>
      <c r="I193" s="835"/>
      <c r="J193" s="836"/>
      <c r="K193" s="836"/>
      <c r="L193" s="836"/>
      <c r="M193" s="836"/>
      <c r="N193" s="836"/>
      <c r="O193" s="836"/>
      <c r="P193" s="836"/>
      <c r="Q193" s="836"/>
      <c r="R193" s="837">
        <v>1.1000000000000001</v>
      </c>
      <c r="T193" s="155">
        <v>67400</v>
      </c>
      <c r="U193" s="155"/>
      <c r="V193" s="155"/>
      <c r="AA193" s="180" t="str">
        <f>VLOOKUP(A193,[2]DG!$A:$C,3,0)</f>
        <v>Cáp nhôm ABC 4x50mm2</v>
      </c>
    </row>
    <row r="194" spans="1:27" ht="20.100000000000001" hidden="1" customHeight="1">
      <c r="A194" s="875" t="s">
        <v>3578</v>
      </c>
      <c r="B194" s="859"/>
      <c r="C194" s="421" t="s">
        <v>319</v>
      </c>
      <c r="D194" s="364" t="s">
        <v>196</v>
      </c>
      <c r="E194" s="833">
        <v>50900</v>
      </c>
      <c r="F194" s="833">
        <f t="shared" si="28"/>
        <v>0</v>
      </c>
      <c r="G194" s="833">
        <f t="shared" si="29"/>
        <v>0</v>
      </c>
      <c r="H194" s="834">
        <v>42312</v>
      </c>
      <c r="I194" s="835"/>
      <c r="J194" s="836"/>
      <c r="K194" s="836"/>
      <c r="L194" s="836"/>
      <c r="M194" s="836"/>
      <c r="N194" s="836"/>
      <c r="O194" s="836"/>
      <c r="P194" s="836"/>
      <c r="Q194" s="836"/>
      <c r="R194" s="837">
        <v>0.62</v>
      </c>
      <c r="T194" s="428">
        <v>50900</v>
      </c>
      <c r="U194" s="155"/>
      <c r="V194" s="155"/>
      <c r="AA194" s="180" t="str">
        <f>VLOOKUP(A194,[2]DG!$A:$C,3,0)</f>
        <v>Cáp nhôm ABC 3x50mm2</v>
      </c>
    </row>
    <row r="195" spans="1:27" ht="20.100000000000001" hidden="1" customHeight="1">
      <c r="A195" s="875" t="s">
        <v>3579</v>
      </c>
      <c r="B195" s="859"/>
      <c r="C195" s="421" t="s">
        <v>321</v>
      </c>
      <c r="D195" s="364" t="s">
        <v>196</v>
      </c>
      <c r="E195" s="833">
        <v>94300</v>
      </c>
      <c r="F195" s="833">
        <f t="shared" si="28"/>
        <v>0</v>
      </c>
      <c r="G195" s="833">
        <f t="shared" si="29"/>
        <v>0</v>
      </c>
      <c r="H195" s="834">
        <v>42312</v>
      </c>
      <c r="I195" s="835"/>
      <c r="J195" s="836"/>
      <c r="K195" s="836"/>
      <c r="L195" s="836"/>
      <c r="M195" s="836"/>
      <c r="N195" s="836"/>
      <c r="O195" s="836"/>
      <c r="P195" s="836"/>
      <c r="Q195" s="836"/>
      <c r="R195" s="837">
        <v>1.0049999999999999</v>
      </c>
      <c r="T195" s="428">
        <v>94300</v>
      </c>
      <c r="U195" s="155"/>
      <c r="V195" s="155"/>
      <c r="AA195" s="180" t="str">
        <f>VLOOKUP(A195,[2]DG!$A:$C,3,0)</f>
        <v>Cáp nhôm ABC 4x70mm2</v>
      </c>
    </row>
    <row r="196" spans="1:27" ht="20.100000000000001" hidden="1" customHeight="1">
      <c r="A196" s="875" t="s">
        <v>3580</v>
      </c>
      <c r="B196" s="859"/>
      <c r="C196" s="421" t="s">
        <v>322</v>
      </c>
      <c r="D196" s="364" t="s">
        <v>196</v>
      </c>
      <c r="E196" s="833">
        <v>70300</v>
      </c>
      <c r="F196" s="833">
        <f t="shared" si="28"/>
        <v>0</v>
      </c>
      <c r="G196" s="833">
        <f t="shared" si="29"/>
        <v>0</v>
      </c>
      <c r="H196" s="834">
        <v>42312</v>
      </c>
      <c r="I196" s="835"/>
      <c r="J196" s="836"/>
      <c r="K196" s="836"/>
      <c r="L196" s="836"/>
      <c r="M196" s="836"/>
      <c r="N196" s="836"/>
      <c r="O196" s="836"/>
      <c r="P196" s="836"/>
      <c r="Q196" s="836"/>
      <c r="R196" s="837">
        <v>0.92700000000000005</v>
      </c>
      <c r="T196" s="428">
        <v>70300</v>
      </c>
      <c r="U196" s="155"/>
      <c r="V196" s="155"/>
      <c r="AA196" s="180" t="str">
        <f>VLOOKUP(A196,[2]DG!$A:$C,3,0)</f>
        <v>Cáp nhôm ABC 3x70mm2</v>
      </c>
    </row>
    <row r="197" spans="1:27" ht="20.100000000000001" hidden="1" customHeight="1">
      <c r="A197" s="875" t="s">
        <v>3581</v>
      </c>
      <c r="B197" s="859"/>
      <c r="C197" s="421" t="s">
        <v>324</v>
      </c>
      <c r="D197" s="364" t="s">
        <v>196</v>
      </c>
      <c r="E197" s="833">
        <v>126000</v>
      </c>
      <c r="F197" s="833">
        <f t="shared" ref="F197:F264" si="32">IF(OR(I197="",J197=""),0,IF(K197*1=0,1,K197)*VLOOKUP(I197,TIENLUONG,4,0)*J197)</f>
        <v>0</v>
      </c>
      <c r="G197" s="833">
        <f t="shared" ref="G197:G264" si="33">L197*VLOOKUP($L$1,CAMAY,2,0)+M197*VLOOKUP($M$1,CAMAY,2,0)+N197*VLOOKUP($N$1,CAMAY,2,0)+O197*VLOOKUP($O$1,CAMAY,2,0)+P197*VLOOKUP($P$1,CAMAY,2,0)</f>
        <v>0</v>
      </c>
      <c r="H197" s="834">
        <v>42312</v>
      </c>
      <c r="I197" s="835"/>
      <c r="J197" s="836"/>
      <c r="K197" s="836"/>
      <c r="L197" s="836"/>
      <c r="M197" s="836"/>
      <c r="N197" s="836"/>
      <c r="O197" s="836"/>
      <c r="P197" s="836"/>
      <c r="Q197" s="836"/>
      <c r="R197" s="837">
        <v>1.5</v>
      </c>
      <c r="T197" s="428">
        <v>126000</v>
      </c>
      <c r="U197" s="155">
        <v>0</v>
      </c>
      <c r="V197" s="155">
        <v>0</v>
      </c>
      <c r="W197" s="180">
        <v>300</v>
      </c>
      <c r="X197" s="180">
        <v>1.147</v>
      </c>
      <c r="AA197" s="180" t="str">
        <f>VLOOKUP(A197,[2]DG!$A:$C,3,0)</f>
        <v>Cáp nhôm ABC 4x95mm2</v>
      </c>
    </row>
    <row r="198" spans="1:27" ht="20.100000000000001" hidden="1" customHeight="1">
      <c r="A198" s="875" t="s">
        <v>3582</v>
      </c>
      <c r="B198" s="859"/>
      <c r="C198" s="421" t="s">
        <v>326</v>
      </c>
      <c r="D198" s="364" t="s">
        <v>196</v>
      </c>
      <c r="E198" s="833">
        <v>95100</v>
      </c>
      <c r="F198" s="833">
        <f t="shared" si="32"/>
        <v>0</v>
      </c>
      <c r="G198" s="833">
        <f t="shared" si="33"/>
        <v>0</v>
      </c>
      <c r="H198" s="834">
        <v>42312</v>
      </c>
      <c r="I198" s="835"/>
      <c r="J198" s="836"/>
      <c r="K198" s="836"/>
      <c r="L198" s="836"/>
      <c r="M198" s="836"/>
      <c r="N198" s="836"/>
      <c r="O198" s="836"/>
      <c r="P198" s="836"/>
      <c r="Q198" s="836"/>
      <c r="R198" s="837">
        <v>1.1000000000000001</v>
      </c>
      <c r="T198" s="428">
        <v>95100</v>
      </c>
      <c r="U198" s="155"/>
      <c r="V198" s="155"/>
      <c r="AA198" s="180" t="str">
        <f>VLOOKUP(A198,[2]DG!$A:$C,3,0)</f>
        <v>Cáp nhôm ABC 3x95mm2</v>
      </c>
    </row>
    <row r="199" spans="1:27" ht="20.100000000000001" hidden="1" customHeight="1">
      <c r="A199" s="875" t="s">
        <v>3583</v>
      </c>
      <c r="B199" s="859">
        <v>20</v>
      </c>
      <c r="C199" s="421" t="s">
        <v>328</v>
      </c>
      <c r="D199" s="364" t="s">
        <v>196</v>
      </c>
      <c r="E199" s="833">
        <v>162000</v>
      </c>
      <c r="F199" s="833">
        <f t="shared" si="32"/>
        <v>0</v>
      </c>
      <c r="G199" s="833">
        <f t="shared" si="33"/>
        <v>0</v>
      </c>
      <c r="H199" s="834">
        <v>43636</v>
      </c>
      <c r="I199" s="835"/>
      <c r="J199" s="836"/>
      <c r="K199" s="836"/>
      <c r="L199" s="836"/>
      <c r="M199" s="836"/>
      <c r="N199" s="836"/>
      <c r="O199" s="836"/>
      <c r="P199" s="836"/>
      <c r="Q199" s="836"/>
      <c r="R199" s="837">
        <v>1.4</v>
      </c>
      <c r="T199" s="155">
        <v>138600</v>
      </c>
      <c r="U199" s="155">
        <v>0</v>
      </c>
      <c r="V199" s="155">
        <v>0</v>
      </c>
      <c r="AA199" s="180" t="str">
        <f>VLOOKUP(A199,[2]DG!$A:$C,3,0)</f>
        <v>Cáp nhôm ABC 4x120mm2</v>
      </c>
    </row>
    <row r="200" spans="1:27" ht="20.100000000000001" hidden="1" customHeight="1">
      <c r="A200" s="875" t="s">
        <v>3584</v>
      </c>
      <c r="B200" s="859"/>
      <c r="C200" s="421" t="s">
        <v>330</v>
      </c>
      <c r="D200" s="364" t="s">
        <v>196</v>
      </c>
      <c r="E200" s="833">
        <v>195300</v>
      </c>
      <c r="F200" s="833">
        <f t="shared" si="32"/>
        <v>0</v>
      </c>
      <c r="G200" s="833">
        <f t="shared" si="33"/>
        <v>0</v>
      </c>
      <c r="H200" s="834">
        <v>42312</v>
      </c>
      <c r="I200" s="835"/>
      <c r="J200" s="836"/>
      <c r="K200" s="836"/>
      <c r="L200" s="836"/>
      <c r="M200" s="836"/>
      <c r="N200" s="836"/>
      <c r="O200" s="836"/>
      <c r="P200" s="836"/>
      <c r="Q200" s="836"/>
      <c r="R200" s="837">
        <v>1.8</v>
      </c>
      <c r="T200" s="155">
        <v>195300</v>
      </c>
      <c r="U200" s="155"/>
      <c r="V200" s="155"/>
      <c r="AA200" s="180" t="str">
        <f>VLOOKUP(A200,[2]DG!$A:$C,3,0)</f>
        <v>Cáp nhôm ABC 4x150mm2</v>
      </c>
    </row>
    <row r="201" spans="1:27" ht="20.100000000000001" hidden="1" customHeight="1">
      <c r="A201" s="875" t="s">
        <v>3585</v>
      </c>
      <c r="B201" s="859"/>
      <c r="C201" s="421" t="s">
        <v>2568</v>
      </c>
      <c r="D201" s="364" t="s">
        <v>196</v>
      </c>
      <c r="E201" s="833">
        <v>92000</v>
      </c>
      <c r="F201" s="833">
        <f t="shared" si="32"/>
        <v>0</v>
      </c>
      <c r="G201" s="833">
        <f t="shared" si="33"/>
        <v>0</v>
      </c>
      <c r="H201" s="834" t="s">
        <v>4065</v>
      </c>
      <c r="I201" s="835"/>
      <c r="J201" s="836"/>
      <c r="K201" s="836"/>
      <c r="L201" s="836"/>
      <c r="M201" s="836"/>
      <c r="N201" s="836"/>
      <c r="O201" s="836"/>
      <c r="P201" s="836"/>
      <c r="Q201" s="836"/>
      <c r="R201" s="837">
        <v>1.3</v>
      </c>
      <c r="T201" s="155">
        <v>119400</v>
      </c>
      <c r="U201" s="155"/>
      <c r="V201" s="155"/>
      <c r="AA201" s="180" t="str">
        <f>VLOOKUP(A201,[2]DG!$A:$C,3,0)</f>
        <v>Cáp nhôm ABC 3x120mm2</v>
      </c>
    </row>
    <row r="202" spans="1:27" ht="20.100000000000001" customHeight="1">
      <c r="A202" s="875" t="s">
        <v>3586</v>
      </c>
      <c r="B202" s="859"/>
      <c r="C202" s="421" t="s">
        <v>3053</v>
      </c>
      <c r="D202" s="364" t="s">
        <v>196</v>
      </c>
      <c r="E202" s="833">
        <v>147300</v>
      </c>
      <c r="F202" s="833">
        <f t="shared" si="32"/>
        <v>0</v>
      </c>
      <c r="G202" s="833">
        <f t="shared" si="33"/>
        <v>0</v>
      </c>
      <c r="H202" s="834">
        <v>42312</v>
      </c>
      <c r="I202" s="835"/>
      <c r="J202" s="836"/>
      <c r="K202" s="836"/>
      <c r="L202" s="836"/>
      <c r="M202" s="836"/>
      <c r="N202" s="836"/>
      <c r="O202" s="836"/>
      <c r="P202" s="836"/>
      <c r="Q202" s="836"/>
      <c r="R202" s="837">
        <v>1.45</v>
      </c>
      <c r="T202" s="155">
        <v>147300</v>
      </c>
      <c r="U202" s="155"/>
      <c r="V202" s="155"/>
      <c r="AA202" s="180" t="str">
        <f>VLOOKUP(A202,[2]DG!$A:$C,3,0)</f>
        <v>Cáp nhôm ABC 3x150mm2</v>
      </c>
    </row>
    <row r="203" spans="1:27" ht="20.100000000000001" customHeight="1">
      <c r="A203" s="875" t="s">
        <v>3587</v>
      </c>
      <c r="B203" s="859"/>
      <c r="C203" s="421" t="s">
        <v>2917</v>
      </c>
      <c r="D203" s="364" t="s">
        <v>196</v>
      </c>
      <c r="E203" s="833">
        <v>87300</v>
      </c>
      <c r="F203" s="833">
        <f t="shared" si="32"/>
        <v>0</v>
      </c>
      <c r="G203" s="833">
        <f t="shared" si="33"/>
        <v>0</v>
      </c>
      <c r="H203" s="834">
        <v>42525</v>
      </c>
      <c r="I203" s="835"/>
      <c r="J203" s="836"/>
      <c r="K203" s="836"/>
      <c r="L203" s="836"/>
      <c r="M203" s="836"/>
      <c r="N203" s="836"/>
      <c r="O203" s="836"/>
      <c r="P203" s="836"/>
      <c r="Q203" s="836"/>
      <c r="R203" s="837">
        <v>1.2</v>
      </c>
      <c r="T203" s="155">
        <v>87300</v>
      </c>
      <c r="U203" s="155">
        <v>0</v>
      </c>
      <c r="V203" s="155">
        <v>0</v>
      </c>
      <c r="AA203" s="180" t="str">
        <f>VLOOKUP(A203,[2]DG!$A:$C,3,0)</f>
        <v>Cáp nhôm ABC 2x150mm2</v>
      </c>
    </row>
    <row r="204" spans="1:27" ht="20.100000000000001" hidden="1" customHeight="1">
      <c r="A204" s="873" t="s">
        <v>3588</v>
      </c>
      <c r="B204" s="860">
        <v>0</v>
      </c>
      <c r="C204" s="421" t="s">
        <v>763</v>
      </c>
      <c r="D204" s="364" t="s">
        <v>476</v>
      </c>
      <c r="E204" s="833">
        <v>390000</v>
      </c>
      <c r="F204" s="833">
        <f t="shared" si="32"/>
        <v>0</v>
      </c>
      <c r="G204" s="833">
        <f t="shared" si="33"/>
        <v>0</v>
      </c>
      <c r="H204" s="834">
        <v>43636</v>
      </c>
      <c r="I204" s="835"/>
      <c r="J204" s="836"/>
      <c r="K204" s="836"/>
      <c r="L204" s="836"/>
      <c r="M204" s="836"/>
      <c r="N204" s="836"/>
      <c r="O204" s="836"/>
      <c r="P204" s="836"/>
      <c r="Q204" s="836"/>
      <c r="R204" s="837">
        <v>0.1</v>
      </c>
      <c r="T204" s="155">
        <v>10740</v>
      </c>
      <c r="U204" s="155">
        <v>433</v>
      </c>
      <c r="V204" s="155"/>
      <c r="AA204" s="180" t="str">
        <f>VLOOKUP(A204,[2]DG!$A:$C,3,0)</f>
        <v xml:space="preserve">Cáp CVV 2x2,5mm2  </v>
      </c>
    </row>
    <row r="205" spans="1:27" ht="20.100000000000001" hidden="1" customHeight="1">
      <c r="A205" s="873" t="s">
        <v>333</v>
      </c>
      <c r="B205" s="860"/>
      <c r="C205" s="429" t="s">
        <v>334</v>
      </c>
      <c r="D205" s="364" t="s">
        <v>196</v>
      </c>
      <c r="E205" s="833">
        <v>76000</v>
      </c>
      <c r="F205" s="833">
        <f t="shared" si="32"/>
        <v>0</v>
      </c>
      <c r="G205" s="833">
        <f t="shared" si="33"/>
        <v>0</v>
      </c>
      <c r="H205" s="834">
        <v>1</v>
      </c>
      <c r="I205" s="835"/>
      <c r="J205" s="836"/>
      <c r="K205" s="836"/>
      <c r="L205" s="836"/>
      <c r="M205" s="836"/>
      <c r="N205" s="836"/>
      <c r="O205" s="836"/>
      <c r="P205" s="836"/>
      <c r="Q205" s="836"/>
      <c r="R205" s="837">
        <v>0.3</v>
      </c>
      <c r="T205" s="155">
        <v>76000</v>
      </c>
      <c r="U205" s="155">
        <v>433</v>
      </c>
      <c r="V205" s="430"/>
      <c r="AA205" s="180" t="str">
        <f>VLOOKUP(A205,[2]DG!$A:$C,3,0)</f>
        <v>Cáp CVV 3x16mm2</v>
      </c>
    </row>
    <row r="206" spans="1:27" ht="20.100000000000001" hidden="1" customHeight="1">
      <c r="A206" s="873" t="s">
        <v>335</v>
      </c>
      <c r="B206" s="860">
        <v>0</v>
      </c>
      <c r="C206" s="421" t="s">
        <v>3197</v>
      </c>
      <c r="D206" s="364" t="s">
        <v>196</v>
      </c>
      <c r="E206" s="833">
        <v>30000</v>
      </c>
      <c r="F206" s="833">
        <f t="shared" si="32"/>
        <v>0</v>
      </c>
      <c r="G206" s="833">
        <f t="shared" si="33"/>
        <v>0</v>
      </c>
      <c r="H206" s="834" t="s">
        <v>4065</v>
      </c>
      <c r="I206" s="835"/>
      <c r="J206" s="836"/>
      <c r="K206" s="836"/>
      <c r="L206" s="836"/>
      <c r="M206" s="836"/>
      <c r="N206" s="836"/>
      <c r="O206" s="836"/>
      <c r="P206" s="836"/>
      <c r="Q206" s="836"/>
      <c r="R206" s="837">
        <v>0.25</v>
      </c>
      <c r="T206" s="155">
        <v>29100</v>
      </c>
      <c r="U206" s="155">
        <v>433</v>
      </c>
      <c r="V206" s="155"/>
      <c r="AA206" s="180" t="str">
        <f>VLOOKUP(A206,[2]DG!$A:$C,3,0)</f>
        <v xml:space="preserve">Cáp CVV 4x2,5mm2  </v>
      </c>
    </row>
    <row r="207" spans="1:27" ht="20.100000000000001" hidden="1" customHeight="1">
      <c r="A207" s="873" t="s">
        <v>4526</v>
      </c>
      <c r="B207" s="860">
        <v>0</v>
      </c>
      <c r="C207" s="421" t="s">
        <v>4527</v>
      </c>
      <c r="D207" s="364" t="s">
        <v>196</v>
      </c>
      <c r="E207" s="833">
        <v>30000</v>
      </c>
      <c r="F207" s="833">
        <f t="shared" ref="F207" si="34">IF(OR(I207="",J207=""),0,IF(K207*1=0,1,K207)*VLOOKUP(I207,TIENLUONG,4,0)*J207)</f>
        <v>0</v>
      </c>
      <c r="G207" s="833">
        <f t="shared" ref="G207" si="35">L207*VLOOKUP($L$1,CAMAY,2,0)+M207*VLOOKUP($M$1,CAMAY,2,0)+N207*VLOOKUP($N$1,CAMAY,2,0)+O207*VLOOKUP($O$1,CAMAY,2,0)+P207*VLOOKUP($P$1,CAMAY,2,0)</f>
        <v>0</v>
      </c>
      <c r="H207" s="834" t="s">
        <v>4065</v>
      </c>
      <c r="I207" s="835"/>
      <c r="J207" s="836"/>
      <c r="K207" s="836"/>
      <c r="L207" s="836"/>
      <c r="M207" s="836"/>
      <c r="N207" s="836"/>
      <c r="O207" s="836"/>
      <c r="P207" s="836"/>
      <c r="Q207" s="836"/>
      <c r="R207" s="837">
        <v>0.25</v>
      </c>
      <c r="T207" s="155">
        <v>29100</v>
      </c>
      <c r="U207" s="155">
        <v>433</v>
      </c>
      <c r="V207" s="155"/>
      <c r="AA207" s="180" t="str">
        <f>VLOOKUP(A207,[2]DG!$A:$C,3,0)</f>
        <v xml:space="preserve">Cáp CVV 4x4mm2  </v>
      </c>
    </row>
    <row r="208" spans="1:27" ht="20.100000000000001" hidden="1" customHeight="1">
      <c r="A208" s="873" t="s">
        <v>338</v>
      </c>
      <c r="B208" s="859"/>
      <c r="C208" s="421" t="s">
        <v>339</v>
      </c>
      <c r="D208" s="364" t="s">
        <v>196</v>
      </c>
      <c r="E208" s="833">
        <v>4190</v>
      </c>
      <c r="F208" s="833">
        <f t="shared" si="32"/>
        <v>0</v>
      </c>
      <c r="G208" s="833">
        <f t="shared" si="33"/>
        <v>0</v>
      </c>
      <c r="H208" s="834">
        <v>1</v>
      </c>
      <c r="I208" s="835"/>
      <c r="J208" s="836"/>
      <c r="K208" s="836"/>
      <c r="L208" s="836"/>
      <c r="M208" s="836"/>
      <c r="N208" s="836"/>
      <c r="O208" s="836"/>
      <c r="P208" s="836"/>
      <c r="Q208" s="836"/>
      <c r="R208" s="837">
        <v>0.1</v>
      </c>
      <c r="T208" s="418">
        <v>4190</v>
      </c>
      <c r="U208" s="155">
        <v>1854</v>
      </c>
      <c r="V208" s="155"/>
      <c r="AA208" s="180" t="str">
        <f>VLOOKUP(A208,[2]DG!$A:$C,3,0)</f>
        <v>Cáp đồng mềm CV2,5</v>
      </c>
    </row>
    <row r="209" spans="1:27" ht="20.100000000000001" hidden="1" customHeight="1">
      <c r="A209" s="873" t="s">
        <v>3589</v>
      </c>
      <c r="B209" s="859"/>
      <c r="C209" s="421" t="s">
        <v>340</v>
      </c>
      <c r="D209" s="364" t="s">
        <v>196</v>
      </c>
      <c r="E209" s="833">
        <v>17000</v>
      </c>
      <c r="F209" s="833">
        <f t="shared" si="32"/>
        <v>0</v>
      </c>
      <c r="G209" s="833">
        <f t="shared" si="33"/>
        <v>0</v>
      </c>
      <c r="H209" s="834">
        <v>1</v>
      </c>
      <c r="I209" s="835"/>
      <c r="J209" s="836"/>
      <c r="K209" s="836"/>
      <c r="L209" s="836"/>
      <c r="M209" s="836"/>
      <c r="N209" s="836"/>
      <c r="O209" s="836"/>
      <c r="P209" s="836"/>
      <c r="Q209" s="836"/>
      <c r="R209" s="837">
        <v>0.1</v>
      </c>
      <c r="T209" s="418">
        <v>17000</v>
      </c>
      <c r="U209" s="155">
        <v>1854</v>
      </c>
      <c r="V209" s="155"/>
      <c r="AA209" s="180" t="str">
        <f>VLOOKUP(A209,[2]DG!$A:$C,3,0)</f>
        <v>Cáp đồng bọc CV11</v>
      </c>
    </row>
    <row r="210" spans="1:27" ht="20.100000000000001" hidden="1" customHeight="1">
      <c r="A210" s="873" t="s">
        <v>3590</v>
      </c>
      <c r="B210" s="859"/>
      <c r="C210" s="421" t="s">
        <v>340</v>
      </c>
      <c r="D210" s="364" t="s">
        <v>196</v>
      </c>
      <c r="E210" s="833">
        <v>17000</v>
      </c>
      <c r="F210" s="833">
        <f t="shared" si="32"/>
        <v>0</v>
      </c>
      <c r="G210" s="833">
        <f t="shared" si="33"/>
        <v>0</v>
      </c>
      <c r="H210" s="834">
        <v>1</v>
      </c>
      <c r="I210" s="835"/>
      <c r="J210" s="836"/>
      <c r="K210" s="836"/>
      <c r="L210" s="836"/>
      <c r="M210" s="836"/>
      <c r="N210" s="836"/>
      <c r="O210" s="836"/>
      <c r="P210" s="836"/>
      <c r="Q210" s="836"/>
      <c r="R210" s="837">
        <v>0.1</v>
      </c>
      <c r="T210" s="418">
        <v>17000</v>
      </c>
      <c r="U210" s="155">
        <v>1854</v>
      </c>
      <c r="V210" s="155"/>
      <c r="AA210" s="180" t="str">
        <f>VLOOKUP(A210,[2]DG!$A:$C,3,0)</f>
        <v>Cáp đồng bọc CV16</v>
      </c>
    </row>
    <row r="211" spans="1:27" ht="20.100000000000001" customHeight="1">
      <c r="A211" s="873" t="s">
        <v>2328</v>
      </c>
      <c r="B211" s="859"/>
      <c r="C211" s="421" t="s">
        <v>341</v>
      </c>
      <c r="D211" s="364" t="s">
        <v>196</v>
      </c>
      <c r="E211" s="833">
        <v>24300</v>
      </c>
      <c r="F211" s="833">
        <f t="shared" si="32"/>
        <v>0</v>
      </c>
      <c r="G211" s="833">
        <f t="shared" si="33"/>
        <v>0</v>
      </c>
      <c r="H211" s="834">
        <v>1</v>
      </c>
      <c r="I211" s="835"/>
      <c r="J211" s="836"/>
      <c r="K211" s="836"/>
      <c r="L211" s="836"/>
      <c r="M211" s="836"/>
      <c r="N211" s="836"/>
      <c r="O211" s="836"/>
      <c r="P211" s="836"/>
      <c r="Q211" s="836"/>
      <c r="R211" s="837">
        <v>0.1</v>
      </c>
      <c r="T211" s="418">
        <v>24300</v>
      </c>
      <c r="U211" s="155">
        <v>1854</v>
      </c>
      <c r="V211" s="155"/>
      <c r="AA211" s="180" t="str">
        <f>VLOOKUP(A211,[2]DG!$A:$C,3,0)</f>
        <v>Cáp đồng bọc CV22</v>
      </c>
    </row>
    <row r="212" spans="1:27" ht="20.100000000000001" hidden="1" customHeight="1">
      <c r="A212" s="873" t="s">
        <v>336</v>
      </c>
      <c r="B212" s="860"/>
      <c r="C212" s="421" t="s">
        <v>337</v>
      </c>
      <c r="D212" s="364" t="s">
        <v>196</v>
      </c>
      <c r="E212" s="833">
        <v>5000</v>
      </c>
      <c r="F212" s="833">
        <f t="shared" si="32"/>
        <v>0</v>
      </c>
      <c r="G212" s="833">
        <f t="shared" si="33"/>
        <v>0</v>
      </c>
      <c r="H212" s="834">
        <v>1</v>
      </c>
      <c r="I212" s="835"/>
      <c r="J212" s="836"/>
      <c r="K212" s="836"/>
      <c r="L212" s="836"/>
      <c r="M212" s="836"/>
      <c r="N212" s="836"/>
      <c r="O212" s="836"/>
      <c r="P212" s="836"/>
      <c r="Q212" s="836"/>
      <c r="R212" s="837">
        <v>0.1</v>
      </c>
      <c r="T212" s="155">
        <v>5000</v>
      </c>
      <c r="U212" s="155"/>
      <c r="V212" s="155"/>
      <c r="AA212" s="180" t="str">
        <f>VLOOKUP(A212,[2]DG!$A:$C,3,0)</f>
        <v>Dây đồng trần mềm dẹt</v>
      </c>
    </row>
    <row r="213" spans="1:27" ht="20.100000000000001" hidden="1" customHeight="1">
      <c r="A213" s="873" t="s">
        <v>2315</v>
      </c>
      <c r="B213" s="859">
        <v>0</v>
      </c>
      <c r="C213" s="421" t="s">
        <v>342</v>
      </c>
      <c r="D213" s="364" t="s">
        <v>196</v>
      </c>
      <c r="E213" s="833">
        <v>48800</v>
      </c>
      <c r="F213" s="833">
        <f t="shared" si="32"/>
        <v>0</v>
      </c>
      <c r="G213" s="833">
        <f t="shared" si="33"/>
        <v>0</v>
      </c>
      <c r="H213" s="834" t="s">
        <v>4065</v>
      </c>
      <c r="I213" s="835"/>
      <c r="J213" s="836"/>
      <c r="K213" s="836"/>
      <c r="L213" s="836"/>
      <c r="M213" s="836"/>
      <c r="N213" s="836"/>
      <c r="O213" s="836"/>
      <c r="P213" s="836"/>
      <c r="Q213" s="836"/>
      <c r="R213" s="837">
        <v>0.16500000000000001</v>
      </c>
      <c r="T213" s="418">
        <v>53900</v>
      </c>
      <c r="U213" s="155">
        <v>0</v>
      </c>
      <c r="V213" s="155">
        <v>0</v>
      </c>
      <c r="AA213" s="180" t="str">
        <f>VLOOKUP(A213,[2]DG!$A:$C,3,0)</f>
        <v>Cáp đồng bọc CV25</v>
      </c>
    </row>
    <row r="214" spans="1:27" ht="20.100000000000001" hidden="1" customHeight="1">
      <c r="A214" s="873" t="s">
        <v>3591</v>
      </c>
      <c r="B214" s="859"/>
      <c r="C214" s="421" t="s">
        <v>343</v>
      </c>
      <c r="D214" s="364" t="s">
        <v>196</v>
      </c>
      <c r="E214" s="833">
        <v>74300</v>
      </c>
      <c r="F214" s="833">
        <f t="shared" si="32"/>
        <v>0</v>
      </c>
      <c r="G214" s="833">
        <f t="shared" si="33"/>
        <v>0</v>
      </c>
      <c r="H214" s="834">
        <v>42312</v>
      </c>
      <c r="I214" s="835"/>
      <c r="J214" s="836"/>
      <c r="K214" s="836"/>
      <c r="L214" s="836"/>
      <c r="M214" s="836"/>
      <c r="N214" s="836"/>
      <c r="O214" s="836"/>
      <c r="P214" s="836"/>
      <c r="Q214" s="836"/>
      <c r="R214" s="837">
        <v>0.17399999999999999</v>
      </c>
      <c r="T214" s="418">
        <v>74300</v>
      </c>
      <c r="U214" s="155"/>
      <c r="V214" s="155"/>
      <c r="AA214" s="180" t="str">
        <f>VLOOKUP(A214,[2]DG!$A:$C,3,0)</f>
        <v>Cáp đồng bọc CV35</v>
      </c>
    </row>
    <row r="215" spans="1:27" ht="20.100000000000001" hidden="1" customHeight="1">
      <c r="A215" s="873" t="s">
        <v>2462</v>
      </c>
      <c r="B215" s="859">
        <v>0</v>
      </c>
      <c r="C215" s="421" t="s">
        <v>344</v>
      </c>
      <c r="D215" s="364" t="s">
        <v>196</v>
      </c>
      <c r="E215" s="833">
        <v>91800</v>
      </c>
      <c r="F215" s="833">
        <f t="shared" si="32"/>
        <v>0</v>
      </c>
      <c r="G215" s="833">
        <f t="shared" si="33"/>
        <v>0</v>
      </c>
      <c r="H215" s="834" t="s">
        <v>4065</v>
      </c>
      <c r="I215" s="835"/>
      <c r="J215" s="836"/>
      <c r="K215" s="836"/>
      <c r="L215" s="836"/>
      <c r="M215" s="836"/>
      <c r="N215" s="836"/>
      <c r="O215" s="836"/>
      <c r="P215" s="836"/>
      <c r="Q215" s="836"/>
      <c r="R215" s="837">
        <v>0.22900000000000001</v>
      </c>
      <c r="T215" s="427">
        <v>88400</v>
      </c>
      <c r="U215" s="155">
        <v>0</v>
      </c>
      <c r="V215" s="155">
        <v>0</v>
      </c>
      <c r="AA215" s="180" t="str">
        <f>VLOOKUP(A215,[2]DG!$A:$C,3,0)</f>
        <v>Cáp đồng bọc CV50</v>
      </c>
    </row>
    <row r="216" spans="1:27" ht="20.100000000000001" hidden="1" customHeight="1">
      <c r="A216" s="873" t="s">
        <v>2928</v>
      </c>
      <c r="B216" s="859">
        <v>0</v>
      </c>
      <c r="C216" s="421" t="s">
        <v>345</v>
      </c>
      <c r="D216" s="364" t="s">
        <v>196</v>
      </c>
      <c r="E216" s="833">
        <v>131100</v>
      </c>
      <c r="F216" s="833">
        <f t="shared" si="32"/>
        <v>0</v>
      </c>
      <c r="G216" s="833">
        <f t="shared" si="33"/>
        <v>0</v>
      </c>
      <c r="H216" s="834" t="s">
        <v>4065</v>
      </c>
      <c r="I216" s="835"/>
      <c r="J216" s="836"/>
      <c r="K216" s="836"/>
      <c r="L216" s="836"/>
      <c r="M216" s="836"/>
      <c r="N216" s="836"/>
      <c r="O216" s="836"/>
      <c r="P216" s="836"/>
      <c r="Q216" s="836"/>
      <c r="R216" s="837">
        <v>0.30299999999999999</v>
      </c>
      <c r="T216" s="427">
        <v>123600</v>
      </c>
      <c r="U216" s="155">
        <v>0</v>
      </c>
      <c r="V216" s="155">
        <v>0</v>
      </c>
      <c r="AA216" s="180" t="str">
        <f>VLOOKUP(A216,[2]DG!$A:$C,3,0)</f>
        <v>Cáp đồng bọc CV70</v>
      </c>
    </row>
    <row r="217" spans="1:27" ht="20.100000000000001" hidden="1" customHeight="1">
      <c r="A217" s="873" t="s">
        <v>3592</v>
      </c>
      <c r="B217" s="859">
        <v>0</v>
      </c>
      <c r="C217" s="421" t="s">
        <v>346</v>
      </c>
      <c r="D217" s="364" t="s">
        <v>196</v>
      </c>
      <c r="E217" s="833">
        <v>181500</v>
      </c>
      <c r="F217" s="833">
        <f t="shared" si="32"/>
        <v>0</v>
      </c>
      <c r="G217" s="833">
        <f t="shared" si="33"/>
        <v>0</v>
      </c>
      <c r="H217" s="834" t="s">
        <v>4065</v>
      </c>
      <c r="I217" s="835"/>
      <c r="J217" s="836"/>
      <c r="K217" s="836"/>
      <c r="L217" s="836"/>
      <c r="M217" s="836"/>
      <c r="N217" s="836"/>
      <c r="O217" s="836"/>
      <c r="P217" s="836"/>
      <c r="Q217" s="836"/>
      <c r="R217" s="837">
        <v>0.39400000000000002</v>
      </c>
      <c r="T217" s="427">
        <v>200500</v>
      </c>
      <c r="U217" s="155">
        <v>0</v>
      </c>
      <c r="V217" s="155">
        <v>0</v>
      </c>
      <c r="AA217" s="180" t="str">
        <f>VLOOKUP(A217,[2]DG!$A:$C,3,0)</f>
        <v>Cáp đồng bọc CV95</v>
      </c>
    </row>
    <row r="218" spans="1:27" ht="20.100000000000001" hidden="1" customHeight="1">
      <c r="A218" s="873" t="s">
        <v>3054</v>
      </c>
      <c r="B218" s="859">
        <v>0</v>
      </c>
      <c r="C218" s="421" t="s">
        <v>347</v>
      </c>
      <c r="D218" s="364" t="s">
        <v>196</v>
      </c>
      <c r="E218" s="833">
        <v>236300</v>
      </c>
      <c r="F218" s="833">
        <f t="shared" si="32"/>
        <v>0</v>
      </c>
      <c r="G218" s="833">
        <f t="shared" si="33"/>
        <v>0</v>
      </c>
      <c r="H218" s="834" t="s">
        <v>4065</v>
      </c>
      <c r="I218" s="835"/>
      <c r="J218" s="836"/>
      <c r="K218" s="836"/>
      <c r="L218" s="836"/>
      <c r="M218" s="836"/>
      <c r="N218" s="836"/>
      <c r="O218" s="836"/>
      <c r="P218" s="836"/>
      <c r="Q218" s="836"/>
      <c r="R218" s="837">
        <v>0.48599999999999999</v>
      </c>
      <c r="T218" s="427">
        <v>216800</v>
      </c>
      <c r="U218" s="155">
        <v>0</v>
      </c>
      <c r="V218" s="155">
        <v>0</v>
      </c>
      <c r="AA218" s="180" t="str">
        <f>VLOOKUP(A218,[2]DG!$A:$C,3,0)</f>
        <v>Cáp đồng bọc CV120</v>
      </c>
    </row>
    <row r="219" spans="1:27" ht="20.100000000000001" hidden="1" customHeight="1">
      <c r="A219" s="873" t="s">
        <v>3563</v>
      </c>
      <c r="B219" s="859">
        <v>0</v>
      </c>
      <c r="C219" s="421" t="s">
        <v>348</v>
      </c>
      <c r="D219" s="364" t="s">
        <v>196</v>
      </c>
      <c r="E219" s="833">
        <v>281900</v>
      </c>
      <c r="F219" s="833">
        <f t="shared" si="32"/>
        <v>0</v>
      </c>
      <c r="G219" s="833">
        <f t="shared" si="33"/>
        <v>0</v>
      </c>
      <c r="H219" s="834" t="s">
        <v>4065</v>
      </c>
      <c r="I219" s="835"/>
      <c r="J219" s="836"/>
      <c r="K219" s="836"/>
      <c r="L219" s="836"/>
      <c r="M219" s="836"/>
      <c r="N219" s="836"/>
      <c r="O219" s="836"/>
      <c r="P219" s="836"/>
      <c r="Q219" s="836"/>
      <c r="R219" s="837">
        <v>0.59599999999999997</v>
      </c>
      <c r="T219" s="427">
        <v>326500</v>
      </c>
      <c r="U219" s="155"/>
      <c r="V219" s="155"/>
      <c r="AA219" s="180" t="str">
        <f>VLOOKUP(A219,[2]DG!$A:$C,3,0)</f>
        <v>Cáp đồng bọc CV150</v>
      </c>
    </row>
    <row r="220" spans="1:27" ht="20.100000000000001" hidden="1" customHeight="1">
      <c r="A220" s="873" t="s">
        <v>3593</v>
      </c>
      <c r="B220" s="859">
        <v>0</v>
      </c>
      <c r="C220" s="421" t="s">
        <v>349</v>
      </c>
      <c r="D220" s="364" t="s">
        <v>196</v>
      </c>
      <c r="E220" s="833">
        <v>352100</v>
      </c>
      <c r="F220" s="833">
        <f t="shared" si="32"/>
        <v>0</v>
      </c>
      <c r="G220" s="833">
        <f t="shared" si="33"/>
        <v>0</v>
      </c>
      <c r="H220" s="834" t="s">
        <v>4065</v>
      </c>
      <c r="I220" s="835"/>
      <c r="J220" s="836"/>
      <c r="K220" s="836"/>
      <c r="L220" s="836"/>
      <c r="M220" s="836"/>
      <c r="N220" s="836"/>
      <c r="O220" s="836"/>
      <c r="P220" s="836"/>
      <c r="Q220" s="836"/>
      <c r="R220" s="837">
        <v>0.72499999999999998</v>
      </c>
      <c r="T220" s="418">
        <v>391500</v>
      </c>
      <c r="U220" s="155"/>
      <c r="V220" s="155"/>
      <c r="AA220" s="180" t="str">
        <f>VLOOKUP(A220,[2]DG!$A:$C,3,0)</f>
        <v>Cáp đồng bọc CV185</v>
      </c>
    </row>
    <row r="221" spans="1:27" ht="20.100000000000001" hidden="1" customHeight="1">
      <c r="A221" s="873" t="s">
        <v>3594</v>
      </c>
      <c r="B221" s="859"/>
      <c r="C221" s="421" t="s">
        <v>350</v>
      </c>
      <c r="D221" s="364" t="s">
        <v>196</v>
      </c>
      <c r="E221" s="833">
        <v>514200</v>
      </c>
      <c r="F221" s="833">
        <f t="shared" si="32"/>
        <v>0</v>
      </c>
      <c r="G221" s="833">
        <f t="shared" si="33"/>
        <v>0</v>
      </c>
      <c r="H221" s="834">
        <v>42312</v>
      </c>
      <c r="I221" s="835"/>
      <c r="J221" s="836"/>
      <c r="K221" s="836"/>
      <c r="L221" s="836"/>
      <c r="M221" s="836"/>
      <c r="N221" s="836"/>
      <c r="O221" s="836"/>
      <c r="P221" s="836"/>
      <c r="Q221" s="836"/>
      <c r="R221" s="837">
        <v>0.92700000000000005</v>
      </c>
      <c r="T221" s="418">
        <v>514200</v>
      </c>
      <c r="U221" s="155"/>
      <c r="V221" s="155"/>
      <c r="AA221" s="180" t="str">
        <f>VLOOKUP(A221,[2]DG!$A:$C,3,0)</f>
        <v>Cáp đồng bọc CV200</v>
      </c>
    </row>
    <row r="222" spans="1:27" ht="20.100000000000001" hidden="1" customHeight="1">
      <c r="A222" s="873" t="s">
        <v>3595</v>
      </c>
      <c r="B222" s="859"/>
      <c r="C222" s="421" t="s">
        <v>351</v>
      </c>
      <c r="D222" s="364" t="s">
        <v>196</v>
      </c>
      <c r="E222" s="833">
        <v>514200</v>
      </c>
      <c r="F222" s="833">
        <f t="shared" si="32"/>
        <v>0</v>
      </c>
      <c r="G222" s="833">
        <f t="shared" si="33"/>
        <v>0</v>
      </c>
      <c r="H222" s="834">
        <v>42312</v>
      </c>
      <c r="I222" s="835"/>
      <c r="J222" s="836"/>
      <c r="K222" s="836"/>
      <c r="L222" s="836"/>
      <c r="M222" s="836"/>
      <c r="N222" s="836"/>
      <c r="O222" s="836"/>
      <c r="P222" s="836"/>
      <c r="Q222" s="836"/>
      <c r="R222" s="837">
        <v>1.147</v>
      </c>
      <c r="T222" s="427">
        <v>514200</v>
      </c>
      <c r="U222" s="155"/>
      <c r="V222" s="155"/>
      <c r="AA222" s="180" t="str">
        <f>VLOOKUP(A222,[2]DG!$A:$C,3,0)</f>
        <v>Cáp đồng bọc CV240</v>
      </c>
    </row>
    <row r="223" spans="1:27" ht="20.100000000000001" hidden="1" customHeight="1">
      <c r="A223" s="873" t="s">
        <v>3596</v>
      </c>
      <c r="B223" s="859"/>
      <c r="C223" s="421" t="s">
        <v>352</v>
      </c>
      <c r="D223" s="364" t="s">
        <v>196</v>
      </c>
      <c r="E223" s="833">
        <v>514200</v>
      </c>
      <c r="F223" s="833">
        <f t="shared" si="32"/>
        <v>0</v>
      </c>
      <c r="G223" s="833">
        <f t="shared" si="33"/>
        <v>0</v>
      </c>
      <c r="H223" s="834">
        <v>42312</v>
      </c>
      <c r="I223" s="835"/>
      <c r="J223" s="836"/>
      <c r="K223" s="836"/>
      <c r="L223" s="836"/>
      <c r="M223" s="836"/>
      <c r="N223" s="836"/>
      <c r="O223" s="836"/>
      <c r="P223" s="836"/>
      <c r="Q223" s="836"/>
      <c r="R223" s="837">
        <v>1.1499999999999999</v>
      </c>
      <c r="T223" s="427">
        <v>514200</v>
      </c>
      <c r="U223" s="155"/>
      <c r="V223" s="155"/>
      <c r="AA223" s="180" t="str">
        <f>VLOOKUP(A223,[2]DG!$A:$C,3,0)</f>
        <v>Cáp đồng bọc CV250</v>
      </c>
    </row>
    <row r="224" spans="1:27" ht="20.100000000000001" hidden="1" customHeight="1">
      <c r="A224" s="873" t="s">
        <v>3597</v>
      </c>
      <c r="B224" s="859"/>
      <c r="C224" s="421" t="s">
        <v>353</v>
      </c>
      <c r="D224" s="364" t="s">
        <v>196</v>
      </c>
      <c r="E224" s="833">
        <v>644300</v>
      </c>
      <c r="F224" s="833">
        <f t="shared" si="32"/>
        <v>0</v>
      </c>
      <c r="G224" s="833">
        <f t="shared" si="33"/>
        <v>0</v>
      </c>
      <c r="H224" s="834">
        <v>42312</v>
      </c>
      <c r="I224" s="835"/>
      <c r="J224" s="836"/>
      <c r="K224" s="836"/>
      <c r="L224" s="836"/>
      <c r="M224" s="836"/>
      <c r="N224" s="836"/>
      <c r="O224" s="836"/>
      <c r="P224" s="836"/>
      <c r="Q224" s="836"/>
      <c r="R224" s="837">
        <v>1.35</v>
      </c>
      <c r="T224" s="427">
        <v>644300</v>
      </c>
      <c r="U224" s="155"/>
      <c r="V224" s="155"/>
      <c r="AA224" s="180" t="str">
        <f>VLOOKUP(A224,[2]DG!$A:$C,3,0)</f>
        <v>Cáp đồng bọc CV300</v>
      </c>
    </row>
    <row r="225" spans="1:27" ht="20.100000000000001" hidden="1" customHeight="1">
      <c r="A225" s="873" t="s">
        <v>3598</v>
      </c>
      <c r="B225" s="859"/>
      <c r="C225" s="421" t="s">
        <v>354</v>
      </c>
      <c r="D225" s="364" t="s">
        <v>196</v>
      </c>
      <c r="E225" s="833">
        <v>850600</v>
      </c>
      <c r="F225" s="833">
        <f t="shared" si="32"/>
        <v>0</v>
      </c>
      <c r="G225" s="833">
        <f t="shared" si="33"/>
        <v>0</v>
      </c>
      <c r="H225" s="834">
        <v>42312</v>
      </c>
      <c r="I225" s="835"/>
      <c r="J225" s="836"/>
      <c r="K225" s="836"/>
      <c r="L225" s="836"/>
      <c r="M225" s="836"/>
      <c r="N225" s="836"/>
      <c r="O225" s="836"/>
      <c r="P225" s="836"/>
      <c r="Q225" s="836"/>
      <c r="R225" s="837">
        <v>1.5</v>
      </c>
      <c r="T225" s="418">
        <v>850600</v>
      </c>
      <c r="U225" s="155"/>
      <c r="V225" s="155"/>
      <c r="AA225" s="180" t="str">
        <f>VLOOKUP(A225,[2]DG!$A:$C,3,0)</f>
        <v>Cáp đồng bọc CV400</v>
      </c>
    </row>
    <row r="226" spans="1:27" ht="20.100000000000001" hidden="1" customHeight="1">
      <c r="A226" s="873" t="s">
        <v>3599</v>
      </c>
      <c r="B226" s="859"/>
      <c r="C226" s="421" t="s">
        <v>355</v>
      </c>
      <c r="D226" s="364" t="s">
        <v>196</v>
      </c>
      <c r="E226" s="833">
        <v>530</v>
      </c>
      <c r="F226" s="833">
        <f t="shared" si="32"/>
        <v>0</v>
      </c>
      <c r="G226" s="833">
        <f t="shared" si="33"/>
        <v>0</v>
      </c>
      <c r="H226" s="834">
        <v>1</v>
      </c>
      <c r="I226" s="835"/>
      <c r="J226" s="836"/>
      <c r="K226" s="836"/>
      <c r="L226" s="836"/>
      <c r="M226" s="836"/>
      <c r="N226" s="836"/>
      <c r="O226" s="836"/>
      <c r="P226" s="836"/>
      <c r="Q226" s="836"/>
      <c r="R226" s="837">
        <v>0.22900000000000001</v>
      </c>
      <c r="T226" s="155">
        <v>530</v>
      </c>
      <c r="U226" s="155"/>
      <c r="V226" s="155"/>
      <c r="AA226" s="180" t="str">
        <f>VLOOKUP(A226,[2]DG!$A:$C,3,0)</f>
        <v>Cáp nhôm lõi thép ACV35</v>
      </c>
    </row>
    <row r="227" spans="1:27" ht="20.100000000000001" hidden="1" customHeight="1">
      <c r="A227" s="873" t="s">
        <v>3600</v>
      </c>
      <c r="B227" s="859"/>
      <c r="C227" s="421" t="s">
        <v>356</v>
      </c>
      <c r="D227" s="364" t="s">
        <v>196</v>
      </c>
      <c r="E227" s="833">
        <v>6660</v>
      </c>
      <c r="F227" s="833">
        <f t="shared" si="32"/>
        <v>0</v>
      </c>
      <c r="G227" s="833">
        <f t="shared" si="33"/>
        <v>0</v>
      </c>
      <c r="H227" s="834">
        <v>1</v>
      </c>
      <c r="I227" s="835"/>
      <c r="J227" s="836"/>
      <c r="K227" s="836"/>
      <c r="L227" s="836"/>
      <c r="M227" s="836"/>
      <c r="N227" s="836"/>
      <c r="O227" s="836"/>
      <c r="P227" s="836"/>
      <c r="Q227" s="836"/>
      <c r="R227" s="837">
        <v>0.30299999999999999</v>
      </c>
      <c r="T227" s="155">
        <v>6660</v>
      </c>
      <c r="U227" s="155"/>
      <c r="V227" s="155"/>
      <c r="AA227" s="180" t="str">
        <f>VLOOKUP(A227,[2]DG!$A:$C,3,0)</f>
        <v>Cáp nhôm lõi thép ACV50</v>
      </c>
    </row>
    <row r="228" spans="1:27" ht="20.100000000000001" hidden="1" customHeight="1">
      <c r="A228" s="873" t="s">
        <v>3601</v>
      </c>
      <c r="B228" s="859"/>
      <c r="C228" s="421" t="s">
        <v>357</v>
      </c>
      <c r="D228" s="364" t="s">
        <v>196</v>
      </c>
      <c r="E228" s="833">
        <v>9230</v>
      </c>
      <c r="F228" s="833">
        <f t="shared" si="32"/>
        <v>0</v>
      </c>
      <c r="G228" s="833">
        <f t="shared" si="33"/>
        <v>0</v>
      </c>
      <c r="H228" s="834">
        <v>1</v>
      </c>
      <c r="I228" s="835"/>
      <c r="J228" s="836"/>
      <c r="K228" s="836"/>
      <c r="L228" s="836"/>
      <c r="M228" s="836"/>
      <c r="N228" s="836"/>
      <c r="O228" s="836"/>
      <c r="P228" s="836"/>
      <c r="Q228" s="836"/>
      <c r="R228" s="837">
        <v>0.39400000000000002</v>
      </c>
      <c r="T228" s="155">
        <v>9230</v>
      </c>
      <c r="U228" s="155"/>
      <c r="V228" s="155"/>
      <c r="AA228" s="180" t="str">
        <f>VLOOKUP(A228,[2]DG!$A:$C,3,0)</f>
        <v>Cáp nhôm lõi thép ACV70</v>
      </c>
    </row>
    <row r="229" spans="1:27" ht="20.100000000000001" hidden="1" customHeight="1">
      <c r="A229" s="873" t="s">
        <v>3602</v>
      </c>
      <c r="B229" s="859"/>
      <c r="C229" s="421" t="s">
        <v>358</v>
      </c>
      <c r="D229" s="364" t="s">
        <v>196</v>
      </c>
      <c r="E229" s="833">
        <v>12650</v>
      </c>
      <c r="F229" s="833">
        <f t="shared" si="32"/>
        <v>0</v>
      </c>
      <c r="G229" s="833">
        <f t="shared" si="33"/>
        <v>0</v>
      </c>
      <c r="H229" s="834">
        <v>1</v>
      </c>
      <c r="I229" s="835"/>
      <c r="J229" s="836"/>
      <c r="K229" s="836"/>
      <c r="L229" s="836"/>
      <c r="M229" s="836"/>
      <c r="N229" s="836"/>
      <c r="O229" s="836"/>
      <c r="P229" s="836"/>
      <c r="Q229" s="836"/>
      <c r="R229" s="837">
        <v>0.48599999999999999</v>
      </c>
      <c r="T229" s="155">
        <v>12650</v>
      </c>
      <c r="U229" s="155"/>
      <c r="V229" s="155"/>
      <c r="AA229" s="180" t="str">
        <f>VLOOKUP(A229,[2]DG!$A:$C,3,0)</f>
        <v>Cáp nhôm lõi thép ACV95</v>
      </c>
    </row>
    <row r="230" spans="1:27" ht="20.100000000000001" hidden="1" customHeight="1">
      <c r="A230" s="873" t="s">
        <v>3603</v>
      </c>
      <c r="B230" s="859"/>
      <c r="C230" s="421" t="s">
        <v>359</v>
      </c>
      <c r="D230" s="364" t="s">
        <v>196</v>
      </c>
      <c r="E230" s="833">
        <v>15740</v>
      </c>
      <c r="F230" s="833">
        <f t="shared" si="32"/>
        <v>0</v>
      </c>
      <c r="G230" s="833">
        <f t="shared" si="33"/>
        <v>0</v>
      </c>
      <c r="H230" s="834">
        <v>1</v>
      </c>
      <c r="I230" s="835"/>
      <c r="J230" s="836"/>
      <c r="K230" s="836"/>
      <c r="L230" s="836"/>
      <c r="M230" s="836"/>
      <c r="N230" s="836"/>
      <c r="O230" s="836"/>
      <c r="P230" s="836"/>
      <c r="Q230" s="836"/>
      <c r="R230" s="837">
        <v>0.59599999999999997</v>
      </c>
      <c r="T230" s="155">
        <v>15740</v>
      </c>
      <c r="U230" s="155"/>
      <c r="V230" s="155"/>
      <c r="AA230" s="180" t="str">
        <f>VLOOKUP(A230,[2]DG!$A:$C,3,0)</f>
        <v>Cáp nhôm lõi thép ACV120</v>
      </c>
    </row>
    <row r="231" spans="1:27" ht="20.100000000000001" hidden="1" customHeight="1">
      <c r="A231" s="873" t="s">
        <v>3604</v>
      </c>
      <c r="B231" s="859"/>
      <c r="C231" s="421" t="s">
        <v>360</v>
      </c>
      <c r="D231" s="364" t="s">
        <v>196</v>
      </c>
      <c r="E231" s="833">
        <v>18770</v>
      </c>
      <c r="F231" s="833">
        <f t="shared" si="32"/>
        <v>0</v>
      </c>
      <c r="G231" s="833">
        <f t="shared" si="33"/>
        <v>0</v>
      </c>
      <c r="H231" s="834">
        <v>1</v>
      </c>
      <c r="I231" s="835"/>
      <c r="J231" s="836"/>
      <c r="K231" s="836"/>
      <c r="L231" s="836"/>
      <c r="M231" s="836"/>
      <c r="N231" s="836"/>
      <c r="O231" s="836"/>
      <c r="P231" s="836"/>
      <c r="Q231" s="836"/>
      <c r="R231" s="837">
        <v>0.72499999999999998</v>
      </c>
      <c r="T231" s="155">
        <v>18770</v>
      </c>
      <c r="U231" s="155"/>
      <c r="V231" s="155"/>
      <c r="AA231" s="180" t="str">
        <f>VLOOKUP(A231,[2]DG!$A:$C,3,0)</f>
        <v>Cáp nhôm lõi thép ACV150</v>
      </c>
    </row>
    <row r="232" spans="1:27" ht="20.100000000000001" hidden="1" customHeight="1">
      <c r="A232" s="873" t="s">
        <v>3605</v>
      </c>
      <c r="B232" s="859"/>
      <c r="C232" s="421" t="s">
        <v>361</v>
      </c>
      <c r="D232" s="364" t="s">
        <v>196</v>
      </c>
      <c r="E232" s="833">
        <v>23340</v>
      </c>
      <c r="F232" s="833">
        <f t="shared" si="32"/>
        <v>0</v>
      </c>
      <c r="G232" s="833">
        <f t="shared" si="33"/>
        <v>0</v>
      </c>
      <c r="H232" s="834">
        <v>1</v>
      </c>
      <c r="I232" s="835"/>
      <c r="J232" s="836"/>
      <c r="K232" s="836"/>
      <c r="L232" s="836"/>
      <c r="M232" s="836"/>
      <c r="N232" s="836"/>
      <c r="O232" s="836"/>
      <c r="P232" s="836"/>
      <c r="Q232" s="836"/>
      <c r="R232" s="837">
        <v>0.92700000000000005</v>
      </c>
      <c r="T232" s="155">
        <v>23340</v>
      </c>
      <c r="U232" s="155"/>
      <c r="V232" s="155"/>
      <c r="AA232" s="180" t="str">
        <f>VLOOKUP(A232,[2]DG!$A:$C,3,0)</f>
        <v>Cáp nhôm lõi thép ACV185</v>
      </c>
    </row>
    <row r="233" spans="1:27" ht="20.100000000000001" hidden="1" customHeight="1">
      <c r="A233" s="873" t="s">
        <v>3606</v>
      </c>
      <c r="B233" s="859"/>
      <c r="C233" s="421" t="s">
        <v>362</v>
      </c>
      <c r="D233" s="364" t="s">
        <v>196</v>
      </c>
      <c r="E233" s="833">
        <v>29750</v>
      </c>
      <c r="F233" s="833">
        <f t="shared" si="32"/>
        <v>0</v>
      </c>
      <c r="G233" s="833">
        <f t="shared" si="33"/>
        <v>0</v>
      </c>
      <c r="H233" s="834">
        <v>1</v>
      </c>
      <c r="I233" s="835"/>
      <c r="J233" s="836"/>
      <c r="K233" s="836"/>
      <c r="L233" s="836"/>
      <c r="M233" s="836"/>
      <c r="N233" s="836"/>
      <c r="O233" s="836"/>
      <c r="P233" s="836"/>
      <c r="Q233" s="836"/>
      <c r="R233" s="837">
        <v>1.2</v>
      </c>
      <c r="T233" s="155">
        <v>29750</v>
      </c>
      <c r="U233" s="155"/>
      <c r="V233" s="155"/>
      <c r="AA233" s="180" t="str">
        <f>VLOOKUP(A233,[2]DG!$A:$C,3,0)</f>
        <v>Cáp nhôm lõi thép ACV240</v>
      </c>
    </row>
    <row r="234" spans="1:27" ht="20.100000000000001" hidden="1" customHeight="1">
      <c r="A234" s="872" t="s">
        <v>363</v>
      </c>
      <c r="B234" s="860"/>
      <c r="C234" s="416" t="s">
        <v>364</v>
      </c>
      <c r="D234" s="364" t="s">
        <v>182</v>
      </c>
      <c r="E234" s="833">
        <v>93900</v>
      </c>
      <c r="F234" s="833">
        <f t="shared" si="32"/>
        <v>0</v>
      </c>
      <c r="G234" s="833">
        <f t="shared" si="33"/>
        <v>0</v>
      </c>
      <c r="H234" s="834">
        <v>42312</v>
      </c>
      <c r="I234" s="835"/>
      <c r="J234" s="836"/>
      <c r="K234" s="836"/>
      <c r="L234" s="836"/>
      <c r="M234" s="836"/>
      <c r="N234" s="836"/>
      <c r="O234" s="836"/>
      <c r="P234" s="836"/>
      <c r="Q234" s="836"/>
      <c r="R234" s="837">
        <v>1</v>
      </c>
      <c r="T234" s="155">
        <v>93900</v>
      </c>
      <c r="U234" s="155"/>
      <c r="V234" s="155"/>
      <c r="AA234" s="180" t="str">
        <f>VLOOKUP(A234,[2]DG!$A:$C,3,0)</f>
        <v>Cáp nhôm A-35</v>
      </c>
    </row>
    <row r="235" spans="1:27" ht="20.100000000000001" hidden="1" customHeight="1">
      <c r="A235" s="872" t="s">
        <v>365</v>
      </c>
      <c r="B235" s="860"/>
      <c r="C235" s="416" t="s">
        <v>366</v>
      </c>
      <c r="D235" s="364" t="s">
        <v>182</v>
      </c>
      <c r="E235" s="833">
        <v>93900</v>
      </c>
      <c r="F235" s="833">
        <f t="shared" si="32"/>
        <v>0</v>
      </c>
      <c r="G235" s="833">
        <f t="shared" si="33"/>
        <v>0</v>
      </c>
      <c r="H235" s="834">
        <v>42312</v>
      </c>
      <c r="I235" s="835"/>
      <c r="J235" s="836"/>
      <c r="K235" s="836"/>
      <c r="L235" s="836"/>
      <c r="M235" s="836"/>
      <c r="N235" s="836"/>
      <c r="O235" s="836"/>
      <c r="P235" s="836"/>
      <c r="Q235" s="836"/>
      <c r="R235" s="837">
        <v>1</v>
      </c>
      <c r="T235" s="155">
        <v>93900</v>
      </c>
      <c r="U235" s="155"/>
      <c r="V235" s="155"/>
      <c r="AA235" s="180" t="str">
        <f>VLOOKUP(A235,[2]DG!$A:$C,3,0)</f>
        <v>Cáp nhôm A-50</v>
      </c>
    </row>
    <row r="236" spans="1:27" ht="20.100000000000001" hidden="1" customHeight="1">
      <c r="A236" s="872" t="s">
        <v>367</v>
      </c>
      <c r="B236" s="860"/>
      <c r="C236" s="416" t="s">
        <v>368</v>
      </c>
      <c r="D236" s="364" t="s">
        <v>182</v>
      </c>
      <c r="E236" s="833">
        <v>89300</v>
      </c>
      <c r="F236" s="833">
        <f t="shared" si="32"/>
        <v>0</v>
      </c>
      <c r="G236" s="833">
        <f t="shared" si="33"/>
        <v>0</v>
      </c>
      <c r="H236" s="834">
        <v>42312</v>
      </c>
      <c r="I236" s="835"/>
      <c r="J236" s="836"/>
      <c r="K236" s="836"/>
      <c r="L236" s="836"/>
      <c r="M236" s="836"/>
      <c r="N236" s="836"/>
      <c r="O236" s="836"/>
      <c r="P236" s="836"/>
      <c r="Q236" s="836"/>
      <c r="R236" s="837">
        <v>1</v>
      </c>
      <c r="T236" s="427">
        <v>89300</v>
      </c>
      <c r="U236" s="155"/>
      <c r="V236" s="155"/>
      <c r="AA236" s="180" t="str">
        <f>VLOOKUP(A236,[2]DG!$A:$C,3,0)</f>
        <v>Cáp nhôm A-70</v>
      </c>
    </row>
    <row r="237" spans="1:27" ht="20.100000000000001" hidden="1" customHeight="1">
      <c r="A237" s="872" t="s">
        <v>369</v>
      </c>
      <c r="B237" s="860"/>
      <c r="C237" s="416" t="s">
        <v>370</v>
      </c>
      <c r="D237" s="364" t="s">
        <v>182</v>
      </c>
      <c r="E237" s="833">
        <v>89300</v>
      </c>
      <c r="F237" s="833">
        <f t="shared" si="32"/>
        <v>0</v>
      </c>
      <c r="G237" s="833">
        <f t="shared" si="33"/>
        <v>0</v>
      </c>
      <c r="H237" s="834">
        <v>42312</v>
      </c>
      <c r="I237" s="835"/>
      <c r="J237" s="836"/>
      <c r="K237" s="836"/>
      <c r="L237" s="836"/>
      <c r="M237" s="836"/>
      <c r="N237" s="836"/>
      <c r="O237" s="836"/>
      <c r="P237" s="836"/>
      <c r="Q237" s="836"/>
      <c r="R237" s="837">
        <v>1</v>
      </c>
      <c r="T237" s="427">
        <v>89300</v>
      </c>
      <c r="U237" s="155"/>
      <c r="V237" s="155"/>
      <c r="AA237" s="180" t="str">
        <f>VLOOKUP(A237,[2]DG!$A:$C,3,0)</f>
        <v>Cáp nhôm A-95</v>
      </c>
    </row>
    <row r="238" spans="1:27" ht="20.100000000000001" hidden="1" customHeight="1">
      <c r="A238" s="872" t="s">
        <v>371</v>
      </c>
      <c r="B238" s="860"/>
      <c r="C238" s="416" t="s">
        <v>372</v>
      </c>
      <c r="D238" s="364" t="s">
        <v>182</v>
      </c>
      <c r="E238" s="833">
        <v>89300</v>
      </c>
      <c r="F238" s="833">
        <f t="shared" si="32"/>
        <v>0</v>
      </c>
      <c r="G238" s="833">
        <f t="shared" si="33"/>
        <v>0</v>
      </c>
      <c r="H238" s="834">
        <v>42312</v>
      </c>
      <c r="I238" s="835"/>
      <c r="J238" s="836"/>
      <c r="K238" s="836"/>
      <c r="L238" s="836"/>
      <c r="M238" s="836"/>
      <c r="N238" s="836"/>
      <c r="O238" s="836"/>
      <c r="P238" s="836"/>
      <c r="Q238" s="836"/>
      <c r="R238" s="837">
        <v>1</v>
      </c>
      <c r="T238" s="427">
        <v>89300</v>
      </c>
      <c r="U238" s="155"/>
      <c r="V238" s="155"/>
      <c r="AA238" s="180" t="str">
        <f>VLOOKUP(A238,[2]DG!$A:$C,3,0)</f>
        <v>Cáp nhôm A-120</v>
      </c>
    </row>
    <row r="239" spans="1:27" ht="20.100000000000001" hidden="1" customHeight="1">
      <c r="A239" s="872" t="s">
        <v>373</v>
      </c>
      <c r="B239" s="860"/>
      <c r="C239" s="416" t="s">
        <v>374</v>
      </c>
      <c r="D239" s="364" t="s">
        <v>182</v>
      </c>
      <c r="E239" s="833">
        <v>89300</v>
      </c>
      <c r="F239" s="833">
        <f t="shared" si="32"/>
        <v>0</v>
      </c>
      <c r="G239" s="833">
        <f t="shared" si="33"/>
        <v>0</v>
      </c>
      <c r="H239" s="834">
        <v>42312</v>
      </c>
      <c r="I239" s="835"/>
      <c r="J239" s="836"/>
      <c r="K239" s="836"/>
      <c r="L239" s="836"/>
      <c r="M239" s="836"/>
      <c r="N239" s="836"/>
      <c r="O239" s="836"/>
      <c r="P239" s="836"/>
      <c r="Q239" s="836"/>
      <c r="R239" s="837">
        <v>1</v>
      </c>
      <c r="T239" s="427">
        <v>89300</v>
      </c>
      <c r="U239" s="155"/>
      <c r="V239" s="155"/>
      <c r="AA239" s="180" t="str">
        <f>VLOOKUP(A239,[2]DG!$A:$C,3,0)</f>
        <v>Cáp nhôm A-150</v>
      </c>
    </row>
    <row r="240" spans="1:27" ht="20.100000000000001" hidden="1" customHeight="1">
      <c r="A240" s="872" t="s">
        <v>375</v>
      </c>
      <c r="B240" s="860"/>
      <c r="C240" s="416" t="s">
        <v>376</v>
      </c>
      <c r="D240" s="364" t="s">
        <v>182</v>
      </c>
      <c r="E240" s="833">
        <v>89300</v>
      </c>
      <c r="F240" s="833">
        <f t="shared" si="32"/>
        <v>0</v>
      </c>
      <c r="G240" s="833">
        <f t="shared" si="33"/>
        <v>0</v>
      </c>
      <c r="H240" s="834">
        <v>42312</v>
      </c>
      <c r="I240" s="835"/>
      <c r="J240" s="836"/>
      <c r="K240" s="836"/>
      <c r="L240" s="836"/>
      <c r="M240" s="836"/>
      <c r="N240" s="836"/>
      <c r="O240" s="836"/>
      <c r="P240" s="836"/>
      <c r="Q240" s="836"/>
      <c r="R240" s="837">
        <v>1</v>
      </c>
      <c r="T240" s="427">
        <v>89300</v>
      </c>
      <c r="U240" s="155"/>
      <c r="V240" s="155"/>
      <c r="AA240" s="180" t="str">
        <f>VLOOKUP(A240,[2]DG!$A:$C,3,0)</f>
        <v>Cáp nhôm A-185</v>
      </c>
    </row>
    <row r="241" spans="1:27" ht="20.100000000000001" hidden="1" customHeight="1">
      <c r="A241" s="872" t="s">
        <v>377</v>
      </c>
      <c r="B241" s="860"/>
      <c r="C241" s="416" t="s">
        <v>378</v>
      </c>
      <c r="D241" s="364" t="s">
        <v>182</v>
      </c>
      <c r="E241" s="833">
        <v>89300</v>
      </c>
      <c r="F241" s="833">
        <f t="shared" si="32"/>
        <v>0</v>
      </c>
      <c r="G241" s="833">
        <f t="shared" si="33"/>
        <v>0</v>
      </c>
      <c r="H241" s="834">
        <v>42312</v>
      </c>
      <c r="I241" s="835"/>
      <c r="J241" s="836"/>
      <c r="K241" s="836"/>
      <c r="L241" s="836"/>
      <c r="M241" s="836"/>
      <c r="N241" s="836"/>
      <c r="O241" s="836"/>
      <c r="P241" s="836"/>
      <c r="Q241" s="836"/>
      <c r="R241" s="837">
        <v>1</v>
      </c>
      <c r="T241" s="427">
        <v>89300</v>
      </c>
      <c r="U241" s="155"/>
      <c r="V241" s="155"/>
      <c r="AA241" s="180" t="str">
        <f>VLOOKUP(A241,[2]DG!$A:$C,3,0)</f>
        <v>Cáp nhôm A-240</v>
      </c>
    </row>
    <row r="242" spans="1:27" ht="20.100000000000001" hidden="1" customHeight="1">
      <c r="A242" s="874" t="s">
        <v>379</v>
      </c>
      <c r="B242" s="859">
        <v>0</v>
      </c>
      <c r="C242" s="416" t="s">
        <v>380</v>
      </c>
      <c r="D242" s="364" t="s">
        <v>182</v>
      </c>
      <c r="E242" s="833">
        <v>42000</v>
      </c>
      <c r="F242" s="833">
        <f t="shared" si="32"/>
        <v>0</v>
      </c>
      <c r="G242" s="833">
        <f t="shared" si="33"/>
        <v>0</v>
      </c>
      <c r="H242" s="834">
        <v>43636</v>
      </c>
      <c r="I242" s="835"/>
      <c r="J242" s="836"/>
      <c r="K242" s="836"/>
      <c r="L242" s="836"/>
      <c r="M242" s="836"/>
      <c r="N242" s="836"/>
      <c r="O242" s="836"/>
      <c r="P242" s="836"/>
      <c r="Q242" s="836"/>
      <c r="R242" s="837">
        <v>1</v>
      </c>
      <c r="T242" s="418">
        <v>32000</v>
      </c>
      <c r="U242" s="155">
        <v>0</v>
      </c>
      <c r="V242" s="155">
        <v>0</v>
      </c>
      <c r="AA242" s="180" t="str">
        <f>VLOOKUP(A242,[2]DG!$A:$C,3,0)</f>
        <v>Cáp thép 3/8"</v>
      </c>
    </row>
    <row r="243" spans="1:27" ht="20.100000000000001" hidden="1" customHeight="1">
      <c r="A243" s="874" t="s">
        <v>381</v>
      </c>
      <c r="B243" s="859">
        <v>0</v>
      </c>
      <c r="C243" s="416" t="s">
        <v>4981</v>
      </c>
      <c r="D243" s="364" t="s">
        <v>182</v>
      </c>
      <c r="E243" s="833">
        <v>42000</v>
      </c>
      <c r="F243" s="833">
        <f t="shared" si="32"/>
        <v>0</v>
      </c>
      <c r="G243" s="833">
        <f t="shared" si="33"/>
        <v>0</v>
      </c>
      <c r="H243" s="834">
        <v>43636</v>
      </c>
      <c r="I243" s="835"/>
      <c r="J243" s="836"/>
      <c r="K243" s="836"/>
      <c r="L243" s="836"/>
      <c r="M243" s="836"/>
      <c r="N243" s="836"/>
      <c r="O243" s="836"/>
      <c r="P243" s="836"/>
      <c r="Q243" s="836"/>
      <c r="R243" s="837">
        <v>1</v>
      </c>
      <c r="T243" s="418">
        <v>37710</v>
      </c>
      <c r="U243" s="155"/>
      <c r="V243" s="155"/>
      <c r="AA243" s="180" t="str">
        <f>VLOOKUP(A243,[2]DG!$A:$C,3,0)</f>
        <v>Cáp thép 5/8"</v>
      </c>
    </row>
    <row r="244" spans="1:27" ht="20.100000000000001" hidden="1" customHeight="1">
      <c r="A244" s="872" t="s">
        <v>382</v>
      </c>
      <c r="B244" s="860">
        <v>0</v>
      </c>
      <c r="C244" s="416" t="s">
        <v>4279</v>
      </c>
      <c r="D244" s="431" t="s">
        <v>9</v>
      </c>
      <c r="E244" s="833">
        <v>118000</v>
      </c>
      <c r="F244" s="833">
        <f t="shared" si="32"/>
        <v>0</v>
      </c>
      <c r="G244" s="833">
        <f t="shared" si="33"/>
        <v>0</v>
      </c>
      <c r="H244" s="834" t="s">
        <v>4065</v>
      </c>
      <c r="I244" s="835"/>
      <c r="J244" s="836"/>
      <c r="K244" s="836"/>
      <c r="L244" s="836"/>
      <c r="M244" s="836"/>
      <c r="N244" s="836"/>
      <c r="O244" s="836"/>
      <c r="P244" s="836"/>
      <c r="Q244" s="836"/>
      <c r="R244" s="837">
        <v>5</v>
      </c>
      <c r="T244" s="427">
        <v>110000</v>
      </c>
      <c r="U244" s="155">
        <v>0</v>
      </c>
      <c r="V244" s="155">
        <v>0</v>
      </c>
      <c r="AA244" s="180" t="str">
        <f>VLOOKUP(A244,[2]DG!$A:$C,3,0)</f>
        <v>Chân sứ đỉnh thẳng dài 870mm</v>
      </c>
    </row>
    <row r="245" spans="1:27" ht="20.100000000000001" hidden="1" customHeight="1">
      <c r="A245" s="872" t="s">
        <v>383</v>
      </c>
      <c r="B245" s="860">
        <v>0</v>
      </c>
      <c r="C245" s="416" t="s">
        <v>2918</v>
      </c>
      <c r="D245" s="431" t="s">
        <v>9</v>
      </c>
      <c r="E245" s="833">
        <v>120000</v>
      </c>
      <c r="F245" s="833">
        <f t="shared" si="32"/>
        <v>0</v>
      </c>
      <c r="G245" s="833">
        <f t="shared" si="33"/>
        <v>0</v>
      </c>
      <c r="H245" s="834" t="s">
        <v>4065</v>
      </c>
      <c r="I245" s="835"/>
      <c r="J245" s="836"/>
      <c r="K245" s="836"/>
      <c r="L245" s="836"/>
      <c r="M245" s="836"/>
      <c r="N245" s="836"/>
      <c r="O245" s="836"/>
      <c r="P245" s="836"/>
      <c r="Q245" s="836"/>
      <c r="R245" s="837">
        <v>5</v>
      </c>
      <c r="T245" s="427">
        <v>132000</v>
      </c>
      <c r="U245" s="155">
        <v>0</v>
      </c>
      <c r="V245" s="155">
        <v>0</v>
      </c>
      <c r="AA245" s="180" t="str">
        <f>VLOOKUP(A245,[2]DG!$A:$C,3,0)</f>
        <v>Chân sứ đỉnh đỡ góc dài 870mm</v>
      </c>
    </row>
    <row r="246" spans="1:27" ht="20.100000000000001" hidden="1" customHeight="1">
      <c r="A246" s="874" t="s">
        <v>384</v>
      </c>
      <c r="B246" s="859">
        <v>0</v>
      </c>
      <c r="C246" s="421" t="s">
        <v>385</v>
      </c>
      <c r="D246" s="431" t="s">
        <v>9</v>
      </c>
      <c r="E246" s="833">
        <v>56000</v>
      </c>
      <c r="F246" s="833">
        <f t="shared" si="32"/>
        <v>0</v>
      </c>
      <c r="G246" s="833">
        <f t="shared" si="33"/>
        <v>0</v>
      </c>
      <c r="H246" s="834" t="s">
        <v>4065</v>
      </c>
      <c r="I246" s="835"/>
      <c r="J246" s="836"/>
      <c r="K246" s="836"/>
      <c r="L246" s="836"/>
      <c r="M246" s="836"/>
      <c r="N246" s="836"/>
      <c r="O246" s="836"/>
      <c r="P246" s="836"/>
      <c r="Q246" s="836"/>
      <c r="R246" s="837">
        <v>3</v>
      </c>
      <c r="T246" s="155">
        <v>56000</v>
      </c>
      <c r="U246" s="155">
        <v>0</v>
      </c>
      <c r="V246" s="155">
        <v>0</v>
      </c>
      <c r="AA246" s="180" t="str">
        <f>VLOOKUP(A246,[2]DG!$A:$C,3,0)</f>
        <v>Chân sứ đứng D20</v>
      </c>
    </row>
    <row r="247" spans="1:27" ht="20.100000000000001" hidden="1" customHeight="1">
      <c r="A247" s="872" t="s">
        <v>386</v>
      </c>
      <c r="B247" s="860"/>
      <c r="C247" s="421" t="s">
        <v>387</v>
      </c>
      <c r="D247" s="364" t="s">
        <v>182</v>
      </c>
      <c r="E247" s="833">
        <v>32000</v>
      </c>
      <c r="F247" s="833">
        <f t="shared" si="32"/>
        <v>0</v>
      </c>
      <c r="G247" s="833">
        <f t="shared" si="33"/>
        <v>0</v>
      </c>
      <c r="H247" s="834">
        <v>1</v>
      </c>
      <c r="I247" s="835"/>
      <c r="J247" s="836"/>
      <c r="K247" s="836"/>
      <c r="L247" s="836"/>
      <c r="M247" s="836"/>
      <c r="N247" s="836"/>
      <c r="O247" s="836"/>
      <c r="P247" s="836"/>
      <c r="Q247" s="836"/>
      <c r="R247" s="837">
        <v>1</v>
      </c>
      <c r="T247" s="155">
        <v>32000</v>
      </c>
      <c r="U247" s="155"/>
      <c r="V247" s="155"/>
      <c r="AA247" s="180" t="str">
        <f>VLOOKUP(A247,[2]DG!$A:$C,3,0)</f>
        <v xml:space="preserve">Dây nhôm buộc </v>
      </c>
    </row>
    <row r="248" spans="1:27" ht="20.100000000000001" customHeight="1">
      <c r="A248" s="872" t="s">
        <v>4865</v>
      </c>
      <c r="B248" s="860"/>
      <c r="C248" s="421" t="s">
        <v>4864</v>
      </c>
      <c r="D248" s="431" t="s">
        <v>9</v>
      </c>
      <c r="E248" s="833">
        <v>330000</v>
      </c>
      <c r="F248" s="833">
        <f t="shared" ref="F248" si="36">IF(OR(I248="",J248=""),0,IF(K248*1=0,1,K248)*VLOOKUP(I248,TIENLUONG,4,0)*J248)</f>
        <v>0</v>
      </c>
      <c r="G248" s="833">
        <f t="shared" ref="G248" si="37">L248*VLOOKUP($L$1,CAMAY,2,0)+M248*VLOOKUP($M$1,CAMAY,2,0)+N248*VLOOKUP($N$1,CAMAY,2,0)+O248*VLOOKUP($O$1,CAMAY,2,0)+P248*VLOOKUP($P$1,CAMAY,2,0)</f>
        <v>0</v>
      </c>
      <c r="H248" s="834">
        <v>1</v>
      </c>
      <c r="I248" s="835"/>
      <c r="J248" s="836"/>
      <c r="K248" s="836"/>
      <c r="L248" s="836"/>
      <c r="M248" s="836"/>
      <c r="N248" s="836"/>
      <c r="O248" s="836"/>
      <c r="P248" s="836"/>
      <c r="Q248" s="836"/>
      <c r="R248" s="837">
        <v>1</v>
      </c>
      <c r="T248" s="155">
        <v>32000</v>
      </c>
      <c r="U248" s="155"/>
      <c r="V248" s="155"/>
      <c r="AA248" s="180" t="str">
        <f>VLOOKUP(A248,[2]DG!$A:$C,3,0)</f>
        <v>Dây buộc cổ sứ phi kim cỡ 150mm2</v>
      </c>
    </row>
    <row r="249" spans="1:27" ht="20.100000000000001" customHeight="1">
      <c r="A249" s="872" t="s">
        <v>4866</v>
      </c>
      <c r="B249" s="860"/>
      <c r="C249" s="421" t="s">
        <v>4976</v>
      </c>
      <c r="D249" s="431" t="s">
        <v>9</v>
      </c>
      <c r="E249" s="833">
        <v>247250</v>
      </c>
      <c r="F249" s="833">
        <f t="shared" ref="F249" si="38">IF(OR(I249="",J249=""),0,IF(K249*1=0,1,K249)*VLOOKUP(I249,TIENLUONG,4,0)*J249)</f>
        <v>0</v>
      </c>
      <c r="G249" s="833">
        <f t="shared" ref="G249" si="39">L249*VLOOKUP($L$1,CAMAY,2,0)+M249*VLOOKUP($M$1,CAMAY,2,0)+N249*VLOOKUP($N$1,CAMAY,2,0)+O249*VLOOKUP($O$1,CAMAY,2,0)+P249*VLOOKUP($P$1,CAMAY,2,0)</f>
        <v>0</v>
      </c>
      <c r="H249" s="834">
        <v>1</v>
      </c>
      <c r="I249" s="835"/>
      <c r="J249" s="836"/>
      <c r="K249" s="836"/>
      <c r="L249" s="836"/>
      <c r="M249" s="836"/>
      <c r="N249" s="836"/>
      <c r="O249" s="836"/>
      <c r="P249" s="836"/>
      <c r="Q249" s="836"/>
      <c r="R249" s="837">
        <v>1</v>
      </c>
      <c r="T249" s="155">
        <v>32000</v>
      </c>
      <c r="U249" s="155"/>
      <c r="V249" s="155"/>
      <c r="AA249" s="180" t="str">
        <f>VLOOKUP(A249,[2]DG!$A:$C,3,0)</f>
        <v>Dây buộc cổ sứ phi kim cỡ 50mm2 (đỡ thẳng)</v>
      </c>
    </row>
    <row r="250" spans="1:27" ht="20.100000000000001" customHeight="1">
      <c r="A250" s="872" t="s">
        <v>4974</v>
      </c>
      <c r="B250" s="860"/>
      <c r="C250" s="421" t="s">
        <v>4977</v>
      </c>
      <c r="D250" s="431" t="s">
        <v>9</v>
      </c>
      <c r="E250" s="833">
        <v>258750</v>
      </c>
      <c r="F250" s="833">
        <f t="shared" ref="F250" si="40">IF(OR(I250="",J250=""),0,IF(K250*1=0,1,K250)*VLOOKUP(I250,TIENLUONG,4,0)*J250)</f>
        <v>0</v>
      </c>
      <c r="G250" s="833">
        <f t="shared" ref="G250" si="41">L250*VLOOKUP($L$1,CAMAY,2,0)+M250*VLOOKUP($M$1,CAMAY,2,0)+N250*VLOOKUP($N$1,CAMAY,2,0)+O250*VLOOKUP($O$1,CAMAY,2,0)+P250*VLOOKUP($P$1,CAMAY,2,0)</f>
        <v>0</v>
      </c>
      <c r="H250" s="834">
        <v>1</v>
      </c>
      <c r="I250" s="835"/>
      <c r="J250" s="836"/>
      <c r="K250" s="836"/>
      <c r="L250" s="836"/>
      <c r="M250" s="836"/>
      <c r="N250" s="836"/>
      <c r="O250" s="836"/>
      <c r="P250" s="836"/>
      <c r="Q250" s="836"/>
      <c r="R250" s="837">
        <v>1</v>
      </c>
      <c r="T250" s="155">
        <v>32000</v>
      </c>
      <c r="U250" s="155"/>
      <c r="V250" s="155"/>
      <c r="AA250" s="180" t="str">
        <f>VLOOKUP(A250,[2]DG!$A:$C,3,0)</f>
        <v>Dây buộc cổ sứ phi kim cỡ 50mm2 (đỡ góc)</v>
      </c>
    </row>
    <row r="251" spans="1:27" ht="20.100000000000001" hidden="1" customHeight="1">
      <c r="A251" s="872" t="s">
        <v>388</v>
      </c>
      <c r="B251" s="860"/>
      <c r="C251" s="421" t="s">
        <v>389</v>
      </c>
      <c r="D251" s="364" t="s">
        <v>37</v>
      </c>
      <c r="E251" s="833">
        <v>96000</v>
      </c>
      <c r="F251" s="833">
        <f t="shared" si="32"/>
        <v>0</v>
      </c>
      <c r="G251" s="833">
        <f t="shared" si="33"/>
        <v>0</v>
      </c>
      <c r="H251" s="834">
        <v>1</v>
      </c>
      <c r="I251" s="835"/>
      <c r="J251" s="836"/>
      <c r="K251" s="836"/>
      <c r="L251" s="836"/>
      <c r="M251" s="836"/>
      <c r="N251" s="836"/>
      <c r="O251" s="836"/>
      <c r="P251" s="836"/>
      <c r="Q251" s="836"/>
      <c r="R251" s="837">
        <v>3</v>
      </c>
      <c r="T251" s="418">
        <v>96000</v>
      </c>
      <c r="U251" s="155">
        <v>26505</v>
      </c>
      <c r="V251" s="155"/>
      <c r="AA251" s="180" t="str">
        <f>VLOOKUP(A251,[2]DG!$A:$C,3,0)</f>
        <v>Giá chữ "T" lắp FCO, LA (V63x63x6)</v>
      </c>
    </row>
    <row r="252" spans="1:27" ht="20.100000000000001" hidden="1" customHeight="1">
      <c r="A252" s="872" t="s">
        <v>390</v>
      </c>
      <c r="B252" s="860"/>
      <c r="C252" s="421" t="s">
        <v>391</v>
      </c>
      <c r="D252" s="364" t="s">
        <v>37</v>
      </c>
      <c r="E252" s="833">
        <v>55000</v>
      </c>
      <c r="F252" s="833">
        <f t="shared" si="32"/>
        <v>0</v>
      </c>
      <c r="G252" s="833">
        <f t="shared" si="33"/>
        <v>0</v>
      </c>
      <c r="H252" s="834">
        <v>1</v>
      </c>
      <c r="I252" s="835"/>
      <c r="J252" s="836"/>
      <c r="K252" s="836"/>
      <c r="L252" s="836"/>
      <c r="M252" s="836"/>
      <c r="N252" s="836"/>
      <c r="O252" s="836"/>
      <c r="P252" s="836"/>
      <c r="Q252" s="836"/>
      <c r="R252" s="837">
        <v>3</v>
      </c>
      <c r="T252" s="155">
        <v>55000</v>
      </c>
      <c r="U252" s="155">
        <v>26505</v>
      </c>
      <c r="V252" s="155"/>
      <c r="AA252" s="180" t="str">
        <f>VLOOKUP(A252,[2]DG!$A:$C,3,0)</f>
        <v>Giá U 80x600 lắp FCO</v>
      </c>
    </row>
    <row r="253" spans="1:27" ht="20.100000000000001" hidden="1" customHeight="1">
      <c r="A253" s="872" t="s">
        <v>392</v>
      </c>
      <c r="B253" s="860"/>
      <c r="C253" s="421" t="s">
        <v>393</v>
      </c>
      <c r="D253" s="364" t="s">
        <v>9</v>
      </c>
      <c r="E253" s="833">
        <v>28941</v>
      </c>
      <c r="F253" s="833">
        <f t="shared" si="32"/>
        <v>0</v>
      </c>
      <c r="G253" s="833">
        <f t="shared" si="33"/>
        <v>0</v>
      </c>
      <c r="H253" s="834">
        <v>1</v>
      </c>
      <c r="I253" s="835"/>
      <c r="J253" s="836"/>
      <c r="K253" s="836"/>
      <c r="L253" s="836"/>
      <c r="M253" s="836"/>
      <c r="N253" s="836"/>
      <c r="O253" s="836"/>
      <c r="P253" s="836"/>
      <c r="Q253" s="836"/>
      <c r="R253" s="837">
        <v>3</v>
      </c>
      <c r="T253" s="155">
        <v>28941</v>
      </c>
      <c r="U253" s="155">
        <v>26505</v>
      </c>
      <c r="V253" s="155"/>
      <c r="AA253" s="180" t="str">
        <f>VLOOKUP(A253,[2]DG!$A:$C,3,0)</f>
        <v>Giá chữ "T" lắp FCO, LA (V50x50x5)</v>
      </c>
    </row>
    <row r="254" spans="1:27" ht="20.100000000000001" hidden="1" customHeight="1">
      <c r="A254" s="872" t="s">
        <v>3607</v>
      </c>
      <c r="B254" s="860"/>
      <c r="C254" s="421" t="s">
        <v>395</v>
      </c>
      <c r="D254" s="364" t="s">
        <v>37</v>
      </c>
      <c r="E254" s="833">
        <v>0</v>
      </c>
      <c r="F254" s="833">
        <f t="shared" si="32"/>
        <v>0</v>
      </c>
      <c r="G254" s="833">
        <f t="shared" si="33"/>
        <v>0</v>
      </c>
      <c r="H254" s="834">
        <v>1</v>
      </c>
      <c r="I254" s="835"/>
      <c r="J254" s="836"/>
      <c r="K254" s="836"/>
      <c r="L254" s="836"/>
      <c r="M254" s="836"/>
      <c r="N254" s="836"/>
      <c r="O254" s="836"/>
      <c r="P254" s="836"/>
      <c r="Q254" s="836"/>
      <c r="R254" s="837"/>
      <c r="T254" s="155">
        <v>0</v>
      </c>
      <c r="U254" s="155">
        <v>0</v>
      </c>
      <c r="V254" s="155">
        <v>0</v>
      </c>
      <c r="AA254" s="180" t="str">
        <f>VLOOKUP(A254,[2]DG!$A:$C,3,0)</f>
        <v>Giá nới + Thanh cái tủ CB</v>
      </c>
    </row>
    <row r="255" spans="1:27" ht="20.100000000000001" hidden="1" customHeight="1">
      <c r="A255" s="872" t="s">
        <v>3608</v>
      </c>
      <c r="B255" s="860"/>
      <c r="C255" s="421" t="s">
        <v>395</v>
      </c>
      <c r="D255" s="364" t="s">
        <v>37</v>
      </c>
      <c r="E255" s="833">
        <v>22313720</v>
      </c>
      <c r="F255" s="833">
        <f t="shared" si="32"/>
        <v>0</v>
      </c>
      <c r="G255" s="833">
        <f t="shared" si="33"/>
        <v>0</v>
      </c>
      <c r="H255" s="834">
        <v>1</v>
      </c>
      <c r="I255" s="835"/>
      <c r="J255" s="836"/>
      <c r="K255" s="836"/>
      <c r="L255" s="836"/>
      <c r="M255" s="836"/>
      <c r="N255" s="836"/>
      <c r="O255" s="836"/>
      <c r="P255" s="836"/>
      <c r="Q255" s="836"/>
      <c r="R255" s="837">
        <v>1</v>
      </c>
      <c r="T255" s="155">
        <v>22313720</v>
      </c>
      <c r="U255" s="155"/>
      <c r="V255" s="155"/>
      <c r="AA255" s="180" t="str">
        <f>VLOOKUP(A255,[2]DG!$A:$C,3,0)</f>
        <v>Giá nới + Thanh cái tủ CB</v>
      </c>
    </row>
    <row r="256" spans="1:27" ht="20.100000000000001" hidden="1" customHeight="1">
      <c r="A256" s="872" t="s">
        <v>3609</v>
      </c>
      <c r="B256" s="860"/>
      <c r="C256" s="421" t="s">
        <v>395</v>
      </c>
      <c r="D256" s="364" t="s">
        <v>37</v>
      </c>
      <c r="E256" s="833">
        <v>200000</v>
      </c>
      <c r="F256" s="833">
        <f t="shared" si="32"/>
        <v>0</v>
      </c>
      <c r="G256" s="833">
        <f t="shared" si="33"/>
        <v>0</v>
      </c>
      <c r="H256" s="834">
        <v>1</v>
      </c>
      <c r="I256" s="835"/>
      <c r="J256" s="836"/>
      <c r="K256" s="836"/>
      <c r="L256" s="836"/>
      <c r="M256" s="836"/>
      <c r="N256" s="836"/>
      <c r="O256" s="836"/>
      <c r="P256" s="836"/>
      <c r="Q256" s="836"/>
      <c r="R256" s="837">
        <v>1</v>
      </c>
      <c r="T256" s="155">
        <v>200000</v>
      </c>
      <c r="U256" s="155"/>
      <c r="V256" s="155"/>
      <c r="AA256" s="180" t="str">
        <f>VLOOKUP(A256,[2]DG!$A:$C,3,0)</f>
        <v>Giá nới + Thanh cái tủ CB</v>
      </c>
    </row>
    <row r="257" spans="1:27" ht="20.100000000000001" hidden="1" customHeight="1">
      <c r="A257" s="872" t="s">
        <v>396</v>
      </c>
      <c r="B257" s="860"/>
      <c r="C257" s="421" t="s">
        <v>397</v>
      </c>
      <c r="D257" s="364" t="s">
        <v>182</v>
      </c>
      <c r="E257" s="833">
        <v>2500</v>
      </c>
      <c r="F257" s="833">
        <f t="shared" si="32"/>
        <v>0</v>
      </c>
      <c r="G257" s="833">
        <f t="shared" si="33"/>
        <v>0</v>
      </c>
      <c r="H257" s="834">
        <v>1</v>
      </c>
      <c r="I257" s="835"/>
      <c r="J257" s="836"/>
      <c r="K257" s="836"/>
      <c r="L257" s="836"/>
      <c r="M257" s="836"/>
      <c r="N257" s="836"/>
      <c r="O257" s="836"/>
      <c r="P257" s="836"/>
      <c r="Q257" s="836"/>
      <c r="R257" s="837">
        <v>1</v>
      </c>
      <c r="T257" s="155">
        <v>2500</v>
      </c>
      <c r="U257" s="155"/>
      <c r="V257" s="155"/>
      <c r="AA257" s="180" t="str">
        <f>VLOOKUP(A257,[2]DG!$A:$C,3,0)</f>
        <v>Gia công sắt thép</v>
      </c>
    </row>
    <row r="258" spans="1:27" ht="20.100000000000001" hidden="1" customHeight="1">
      <c r="A258" s="872" t="s">
        <v>398</v>
      </c>
      <c r="B258" s="860">
        <v>0</v>
      </c>
      <c r="C258" s="421" t="s">
        <v>399</v>
      </c>
      <c r="D258" s="364" t="s">
        <v>400</v>
      </c>
      <c r="E258" s="833"/>
      <c r="F258" s="833">
        <f t="shared" si="32"/>
        <v>0</v>
      </c>
      <c r="G258" s="833">
        <f t="shared" si="33"/>
        <v>0</v>
      </c>
      <c r="H258" s="834" t="s">
        <v>4065</v>
      </c>
      <c r="I258" s="835"/>
      <c r="J258" s="836"/>
      <c r="K258" s="836"/>
      <c r="L258" s="836"/>
      <c r="M258" s="836"/>
      <c r="N258" s="836"/>
      <c r="O258" s="836"/>
      <c r="P258" s="836"/>
      <c r="Q258" s="836"/>
      <c r="R258" s="837"/>
      <c r="T258" s="155">
        <v>17400</v>
      </c>
      <c r="U258" s="155">
        <v>0</v>
      </c>
      <c r="V258" s="155">
        <v>0</v>
      </c>
      <c r="AA258" s="180" t="str">
        <f>VLOOKUP(A258,[2]DG!$A:$C,3,0)</f>
        <v>Vật liệu dựng trụ</v>
      </c>
    </row>
    <row r="259" spans="1:27" ht="20.100000000000001" hidden="1" customHeight="1">
      <c r="A259" s="872" t="s">
        <v>401</v>
      </c>
      <c r="B259" s="860">
        <v>0</v>
      </c>
      <c r="C259" s="416" t="s">
        <v>4282</v>
      </c>
      <c r="D259" s="364" t="s">
        <v>9</v>
      </c>
      <c r="E259" s="833">
        <v>40000</v>
      </c>
      <c r="F259" s="833">
        <f t="shared" si="32"/>
        <v>0</v>
      </c>
      <c r="G259" s="833">
        <f t="shared" si="33"/>
        <v>0</v>
      </c>
      <c r="H259" s="834" t="s">
        <v>4065</v>
      </c>
      <c r="I259" s="835"/>
      <c r="J259" s="836"/>
      <c r="K259" s="836"/>
      <c r="L259" s="836"/>
      <c r="M259" s="836"/>
      <c r="N259" s="836"/>
      <c r="O259" s="836"/>
      <c r="P259" s="836"/>
      <c r="Q259" s="836"/>
      <c r="R259" s="837">
        <v>0.2</v>
      </c>
      <c r="T259" s="155">
        <v>42000</v>
      </c>
      <c r="U259" s="155">
        <v>0</v>
      </c>
      <c r="V259" s="155">
        <v>0</v>
      </c>
      <c r="AA259" s="180" t="str">
        <f>VLOOKUP(A259,[2]DG!$A:$C,3,0)</f>
        <v>Kẹp cáp 3 boulon</v>
      </c>
    </row>
    <row r="260" spans="1:27" ht="20.100000000000001" hidden="1" customHeight="1">
      <c r="A260" s="874" t="s">
        <v>402</v>
      </c>
      <c r="B260" s="859"/>
      <c r="C260" s="416" t="s">
        <v>403</v>
      </c>
      <c r="D260" s="364" t="s">
        <v>404</v>
      </c>
      <c r="E260" s="833">
        <v>248000</v>
      </c>
      <c r="F260" s="833">
        <f t="shared" si="32"/>
        <v>0</v>
      </c>
      <c r="G260" s="833">
        <f t="shared" si="33"/>
        <v>0</v>
      </c>
      <c r="H260" s="834">
        <v>1</v>
      </c>
      <c r="I260" s="835"/>
      <c r="J260" s="836"/>
      <c r="K260" s="836"/>
      <c r="L260" s="836"/>
      <c r="M260" s="836"/>
      <c r="N260" s="836"/>
      <c r="O260" s="836"/>
      <c r="P260" s="836"/>
      <c r="Q260" s="836"/>
      <c r="R260" s="837">
        <v>3.8</v>
      </c>
      <c r="T260" s="418">
        <v>248000</v>
      </c>
      <c r="U260" s="155"/>
      <c r="V260" s="155"/>
      <c r="AA260" s="180" t="str">
        <f>VLOOKUP(A260,[2]DG!$A:$C,3,0)</f>
        <v>Cọc tiếp đất Ø16 - 2,4m</v>
      </c>
    </row>
    <row r="261" spans="1:27" ht="20.100000000000001" hidden="1" customHeight="1">
      <c r="A261" s="874" t="s">
        <v>405</v>
      </c>
      <c r="B261" s="859">
        <v>0</v>
      </c>
      <c r="C261" s="416" t="s">
        <v>406</v>
      </c>
      <c r="D261" s="364" t="s">
        <v>37</v>
      </c>
      <c r="E261" s="833">
        <v>135000</v>
      </c>
      <c r="F261" s="833">
        <f t="shared" si="32"/>
        <v>0</v>
      </c>
      <c r="G261" s="833">
        <f t="shared" si="33"/>
        <v>0</v>
      </c>
      <c r="H261" s="834">
        <v>43636</v>
      </c>
      <c r="I261" s="835"/>
      <c r="J261" s="836"/>
      <c r="K261" s="836"/>
      <c r="L261" s="836"/>
      <c r="M261" s="836"/>
      <c r="N261" s="836"/>
      <c r="O261" s="836"/>
      <c r="P261" s="836"/>
      <c r="Q261" s="836"/>
      <c r="R261" s="837">
        <v>3.8</v>
      </c>
      <c r="T261" s="418">
        <v>112000</v>
      </c>
      <c r="U261" s="155">
        <v>0</v>
      </c>
      <c r="V261" s="155">
        <v>0</v>
      </c>
      <c r="AA261" s="180" t="str">
        <f>VLOOKUP(A261,[2]DG!$A:$C,3,0)</f>
        <v>Cọc tiếp đất Þ 16- 2,4m + kẹp cọc mạ đồng</v>
      </c>
    </row>
    <row r="262" spans="1:27" ht="20.100000000000001" hidden="1" customHeight="1">
      <c r="A262" s="873" t="s">
        <v>3610</v>
      </c>
      <c r="B262" s="859"/>
      <c r="C262" s="421" t="s">
        <v>407</v>
      </c>
      <c r="D262" s="364" t="s">
        <v>9</v>
      </c>
      <c r="E262" s="833">
        <v>2600</v>
      </c>
      <c r="F262" s="833">
        <f t="shared" si="32"/>
        <v>0</v>
      </c>
      <c r="G262" s="833">
        <f t="shared" si="33"/>
        <v>0</v>
      </c>
      <c r="H262" s="834">
        <v>1</v>
      </c>
      <c r="I262" s="835"/>
      <c r="J262" s="836"/>
      <c r="K262" s="836"/>
      <c r="L262" s="836"/>
      <c r="M262" s="836"/>
      <c r="N262" s="836"/>
      <c r="O262" s="836"/>
      <c r="P262" s="836"/>
      <c r="Q262" s="836"/>
      <c r="R262" s="837">
        <v>0.1</v>
      </c>
      <c r="T262" s="418">
        <v>2600</v>
      </c>
      <c r="U262" s="155"/>
      <c r="V262" s="155"/>
      <c r="AA262" s="180" t="str">
        <f>VLOOKUP(A262,[2]DG!$A:$C,3,0)</f>
        <v>Kẹp cọc tiếp đất Cu</v>
      </c>
    </row>
    <row r="263" spans="1:27" ht="20.100000000000001" hidden="1" customHeight="1">
      <c r="A263" s="872" t="s">
        <v>3611</v>
      </c>
      <c r="B263" s="859"/>
      <c r="C263" s="421" t="s">
        <v>408</v>
      </c>
      <c r="D263" s="364" t="s">
        <v>9</v>
      </c>
      <c r="E263" s="833">
        <v>8400</v>
      </c>
      <c r="F263" s="833">
        <f t="shared" si="32"/>
        <v>0</v>
      </c>
      <c r="G263" s="833">
        <f t="shared" si="33"/>
        <v>0</v>
      </c>
      <c r="H263" s="834">
        <v>1</v>
      </c>
      <c r="I263" s="835"/>
      <c r="J263" s="836"/>
      <c r="K263" s="836"/>
      <c r="L263" s="836"/>
      <c r="M263" s="836"/>
      <c r="N263" s="836"/>
      <c r="O263" s="836"/>
      <c r="P263" s="836"/>
      <c r="Q263" s="836"/>
      <c r="R263" s="837">
        <v>0.1</v>
      </c>
      <c r="T263" s="418">
        <v>8400</v>
      </c>
      <c r="U263" s="155"/>
      <c r="V263" s="155"/>
      <c r="AA263" s="180" t="str">
        <f>VLOOKUP(A263,[2]DG!$A:$C,3,0)</f>
        <v>Kẹp cọc tiếp đất Fe</v>
      </c>
    </row>
    <row r="264" spans="1:27" ht="20.100000000000001" hidden="1" customHeight="1">
      <c r="A264" s="874" t="s">
        <v>409</v>
      </c>
      <c r="B264" s="859"/>
      <c r="C264" s="416" t="s">
        <v>410</v>
      </c>
      <c r="D264" s="431" t="s">
        <v>9</v>
      </c>
      <c r="E264" s="833">
        <v>6400</v>
      </c>
      <c r="F264" s="833">
        <f t="shared" si="32"/>
        <v>0</v>
      </c>
      <c r="G264" s="833">
        <f t="shared" si="33"/>
        <v>0</v>
      </c>
      <c r="H264" s="834">
        <v>1</v>
      </c>
      <c r="I264" s="835"/>
      <c r="J264" s="836"/>
      <c r="K264" s="836"/>
      <c r="L264" s="836"/>
      <c r="M264" s="836"/>
      <c r="N264" s="836"/>
      <c r="O264" s="836"/>
      <c r="P264" s="836"/>
      <c r="Q264" s="836"/>
      <c r="R264" s="837">
        <v>0.2</v>
      </c>
      <c r="T264" s="155">
        <v>6400</v>
      </c>
      <c r="U264" s="155"/>
      <c r="V264" s="155"/>
      <c r="AA264" s="180" t="str">
        <f>VLOOKUP(A264,[2]DG!$A:$C,3,0)</f>
        <v>Kẹp 2 rãnh cỡ dây 35mm2</v>
      </c>
    </row>
    <row r="265" spans="1:27" ht="20.100000000000001" hidden="1" customHeight="1">
      <c r="A265" s="874" t="s">
        <v>411</v>
      </c>
      <c r="B265" s="859"/>
      <c r="C265" s="416" t="s">
        <v>412</v>
      </c>
      <c r="D265" s="431" t="s">
        <v>9</v>
      </c>
      <c r="E265" s="833">
        <v>6400</v>
      </c>
      <c r="F265" s="833">
        <f t="shared" ref="F265:F328" si="42">IF(OR(I265="",J265=""),0,IF(K265*1=0,1,K265)*VLOOKUP(I265,TIENLUONG,4,0)*J265)</f>
        <v>0</v>
      </c>
      <c r="G265" s="833">
        <f t="shared" ref="G265:G328" si="43">L265*VLOOKUP($L$1,CAMAY,2,0)+M265*VLOOKUP($M$1,CAMAY,2,0)+N265*VLOOKUP($N$1,CAMAY,2,0)+O265*VLOOKUP($O$1,CAMAY,2,0)+P265*VLOOKUP($P$1,CAMAY,2,0)</f>
        <v>0</v>
      </c>
      <c r="H265" s="834">
        <v>1</v>
      </c>
      <c r="I265" s="835"/>
      <c r="J265" s="836"/>
      <c r="K265" s="836"/>
      <c r="L265" s="836"/>
      <c r="M265" s="836"/>
      <c r="N265" s="836"/>
      <c r="O265" s="836"/>
      <c r="P265" s="836"/>
      <c r="Q265" s="836"/>
      <c r="R265" s="837">
        <v>0.2</v>
      </c>
      <c r="T265" s="155">
        <v>6400</v>
      </c>
      <c r="U265" s="155"/>
      <c r="V265" s="155"/>
      <c r="AA265" s="180" t="str">
        <f>VLOOKUP(A265,[2]DG!$A:$C,3,0)</f>
        <v>Kẹp 2 rãnh cỡ dây 50mm2</v>
      </c>
    </row>
    <row r="266" spans="1:27" ht="20.100000000000001" hidden="1" customHeight="1">
      <c r="A266" s="873" t="s">
        <v>413</v>
      </c>
      <c r="B266" s="860"/>
      <c r="C266" s="416" t="s">
        <v>414</v>
      </c>
      <c r="D266" s="364" t="s">
        <v>9</v>
      </c>
      <c r="E266" s="833">
        <v>6400</v>
      </c>
      <c r="F266" s="833">
        <f t="shared" si="42"/>
        <v>0</v>
      </c>
      <c r="G266" s="833">
        <f t="shared" si="43"/>
        <v>0</v>
      </c>
      <c r="H266" s="834">
        <v>1</v>
      </c>
      <c r="I266" s="835"/>
      <c r="J266" s="836"/>
      <c r="K266" s="836"/>
      <c r="L266" s="836"/>
      <c r="M266" s="836"/>
      <c r="N266" s="836"/>
      <c r="O266" s="836"/>
      <c r="P266" s="836"/>
      <c r="Q266" s="836"/>
      <c r="R266" s="837">
        <v>0.2</v>
      </c>
      <c r="T266" s="155">
        <v>6400</v>
      </c>
      <c r="U266" s="155"/>
      <c r="V266" s="155"/>
      <c r="AA266" s="180" t="str">
        <f>VLOOKUP(A266,[2]DG!$A:$C,3,0)</f>
        <v>Kẹp 2 rãnh cỡ dây 70mm2</v>
      </c>
    </row>
    <row r="267" spans="1:27" ht="20.100000000000001" hidden="1" customHeight="1">
      <c r="A267" s="873" t="s">
        <v>415</v>
      </c>
      <c r="B267" s="859"/>
      <c r="C267" s="416" t="s">
        <v>416</v>
      </c>
      <c r="D267" s="431" t="s">
        <v>9</v>
      </c>
      <c r="E267" s="833">
        <v>10600</v>
      </c>
      <c r="F267" s="833">
        <f t="shared" si="42"/>
        <v>0</v>
      </c>
      <c r="G267" s="833">
        <f t="shared" si="43"/>
        <v>0</v>
      </c>
      <c r="H267" s="834">
        <v>1</v>
      </c>
      <c r="I267" s="835"/>
      <c r="J267" s="836"/>
      <c r="K267" s="836"/>
      <c r="L267" s="836"/>
      <c r="M267" s="836"/>
      <c r="N267" s="836"/>
      <c r="O267" s="836"/>
      <c r="P267" s="836"/>
      <c r="Q267" s="836"/>
      <c r="R267" s="837">
        <v>0.2</v>
      </c>
      <c r="T267" s="155">
        <v>10600</v>
      </c>
      <c r="U267" s="155"/>
      <c r="V267" s="155"/>
      <c r="AA267" s="180" t="str">
        <f>VLOOKUP(A267,[2]DG!$A:$C,3,0)</f>
        <v>Kẹp 2 rãnh cỡ dây 95mm2</v>
      </c>
    </row>
    <row r="268" spans="1:27" ht="20.100000000000001" hidden="1" customHeight="1">
      <c r="A268" s="874" t="s">
        <v>417</v>
      </c>
      <c r="B268" s="859"/>
      <c r="C268" s="416" t="s">
        <v>418</v>
      </c>
      <c r="D268" s="431" t="s">
        <v>9</v>
      </c>
      <c r="E268" s="833">
        <v>16000</v>
      </c>
      <c r="F268" s="833">
        <f t="shared" si="42"/>
        <v>0</v>
      </c>
      <c r="G268" s="833">
        <f t="shared" si="43"/>
        <v>0</v>
      </c>
      <c r="H268" s="834">
        <v>1</v>
      </c>
      <c r="I268" s="835"/>
      <c r="J268" s="836"/>
      <c r="K268" s="836"/>
      <c r="L268" s="836"/>
      <c r="M268" s="836"/>
      <c r="N268" s="836"/>
      <c r="O268" s="836"/>
      <c r="P268" s="836"/>
      <c r="Q268" s="836"/>
      <c r="R268" s="837">
        <v>0.2</v>
      </c>
      <c r="T268" s="155">
        <v>16000</v>
      </c>
      <c r="U268" s="155"/>
      <c r="V268" s="155"/>
      <c r="AA268" s="180" t="str">
        <f>VLOOKUP(A268,[2]DG!$A:$C,3,0)</f>
        <v>Kẹp 2 rãnh cỡ dây 120mm2</v>
      </c>
    </row>
    <row r="269" spans="1:27" ht="20.100000000000001" hidden="1" customHeight="1">
      <c r="A269" s="874" t="s">
        <v>419</v>
      </c>
      <c r="B269" s="859"/>
      <c r="C269" s="416" t="s">
        <v>420</v>
      </c>
      <c r="D269" s="431" t="s">
        <v>9</v>
      </c>
      <c r="E269" s="833">
        <v>16000</v>
      </c>
      <c r="F269" s="833">
        <f t="shared" si="42"/>
        <v>0</v>
      </c>
      <c r="G269" s="833">
        <f t="shared" si="43"/>
        <v>0</v>
      </c>
      <c r="H269" s="834">
        <v>1</v>
      </c>
      <c r="I269" s="835"/>
      <c r="J269" s="836"/>
      <c r="K269" s="836"/>
      <c r="L269" s="836"/>
      <c r="M269" s="836"/>
      <c r="N269" s="836"/>
      <c r="O269" s="836"/>
      <c r="P269" s="836"/>
      <c r="Q269" s="836"/>
      <c r="R269" s="837">
        <v>0.2</v>
      </c>
      <c r="T269" s="155">
        <v>16000</v>
      </c>
      <c r="U269" s="155"/>
      <c r="V269" s="155"/>
      <c r="AA269" s="180" t="str">
        <f>VLOOKUP(A269,[2]DG!$A:$C,3,0)</f>
        <v>Kẹp 2 rãnh cỡ dây 150mm2</v>
      </c>
    </row>
    <row r="270" spans="1:27" ht="20.100000000000001" hidden="1" customHeight="1">
      <c r="A270" s="874" t="s">
        <v>421</v>
      </c>
      <c r="B270" s="859"/>
      <c r="C270" s="416" t="s">
        <v>422</v>
      </c>
      <c r="D270" s="431" t="s">
        <v>9</v>
      </c>
      <c r="E270" s="833">
        <v>19100</v>
      </c>
      <c r="F270" s="833">
        <f t="shared" si="42"/>
        <v>0</v>
      </c>
      <c r="G270" s="833">
        <f t="shared" si="43"/>
        <v>0</v>
      </c>
      <c r="H270" s="834">
        <v>1</v>
      </c>
      <c r="I270" s="835"/>
      <c r="J270" s="836"/>
      <c r="K270" s="836"/>
      <c r="L270" s="836"/>
      <c r="M270" s="836"/>
      <c r="N270" s="836"/>
      <c r="O270" s="836"/>
      <c r="P270" s="836"/>
      <c r="Q270" s="836"/>
      <c r="R270" s="837">
        <v>0.2</v>
      </c>
      <c r="T270" s="155">
        <v>19100</v>
      </c>
      <c r="U270" s="155"/>
      <c r="V270" s="155"/>
      <c r="AA270" s="180" t="str">
        <f>VLOOKUP(A270,[2]DG!$A:$C,3,0)</f>
        <v>Kẹp 2 rãnh cỡ dây 185mm2</v>
      </c>
    </row>
    <row r="271" spans="1:27" ht="20.100000000000001" hidden="1" customHeight="1">
      <c r="A271" s="874" t="s">
        <v>423</v>
      </c>
      <c r="B271" s="859"/>
      <c r="C271" s="416" t="s">
        <v>424</v>
      </c>
      <c r="D271" s="431" t="s">
        <v>9</v>
      </c>
      <c r="E271" s="833">
        <v>19100</v>
      </c>
      <c r="F271" s="833">
        <f t="shared" si="42"/>
        <v>0</v>
      </c>
      <c r="G271" s="833">
        <f t="shared" si="43"/>
        <v>0</v>
      </c>
      <c r="H271" s="834">
        <v>1</v>
      </c>
      <c r="I271" s="835"/>
      <c r="J271" s="836"/>
      <c r="K271" s="836"/>
      <c r="L271" s="836"/>
      <c r="M271" s="836"/>
      <c r="N271" s="836"/>
      <c r="O271" s="836"/>
      <c r="P271" s="836"/>
      <c r="Q271" s="836"/>
      <c r="R271" s="837">
        <v>0.2</v>
      </c>
      <c r="T271" s="155">
        <v>19100</v>
      </c>
      <c r="U271" s="155"/>
      <c r="V271" s="155"/>
      <c r="AA271" s="180" t="str">
        <f>VLOOKUP(A271,[2]DG!$A:$C,3,0)</f>
        <v>Kẹp 2 rãnh cỡ dây 240 mm2</v>
      </c>
    </row>
    <row r="272" spans="1:27" ht="20.100000000000001" hidden="1" customHeight="1">
      <c r="A272" s="876" t="s">
        <v>425</v>
      </c>
      <c r="B272" s="859"/>
      <c r="C272" s="421" t="s">
        <v>426</v>
      </c>
      <c r="D272" s="364" t="s">
        <v>9</v>
      </c>
      <c r="E272" s="833">
        <v>27000</v>
      </c>
      <c r="F272" s="833">
        <f t="shared" si="42"/>
        <v>0</v>
      </c>
      <c r="G272" s="833">
        <f t="shared" si="43"/>
        <v>0</v>
      </c>
      <c r="H272" s="834">
        <v>42312</v>
      </c>
      <c r="I272" s="835"/>
      <c r="J272" s="836"/>
      <c r="K272" s="836"/>
      <c r="L272" s="836"/>
      <c r="M272" s="836"/>
      <c r="N272" s="836"/>
      <c r="O272" s="836"/>
      <c r="P272" s="836"/>
      <c r="Q272" s="836"/>
      <c r="R272" s="837">
        <v>0.2</v>
      </c>
      <c r="T272" s="155">
        <v>27000</v>
      </c>
      <c r="U272" s="155"/>
      <c r="V272" s="155"/>
      <c r="AA272" s="180" t="str">
        <f>VLOOKUP(A272,[2]DG!$A:$C,3,0)</f>
        <v>Kẹp treo cáp ABC2x11mm2</v>
      </c>
    </row>
    <row r="273" spans="1:27" ht="20.100000000000001" hidden="1" customHeight="1">
      <c r="A273" s="876" t="s">
        <v>427</v>
      </c>
      <c r="B273" s="859"/>
      <c r="C273" s="421" t="s">
        <v>428</v>
      </c>
      <c r="D273" s="364" t="s">
        <v>9</v>
      </c>
      <c r="E273" s="833">
        <v>27000</v>
      </c>
      <c r="F273" s="833">
        <f t="shared" si="42"/>
        <v>0</v>
      </c>
      <c r="G273" s="833">
        <f t="shared" si="43"/>
        <v>0</v>
      </c>
      <c r="H273" s="834">
        <v>42312</v>
      </c>
      <c r="I273" s="835"/>
      <c r="J273" s="836"/>
      <c r="K273" s="836"/>
      <c r="L273" s="836"/>
      <c r="M273" s="836"/>
      <c r="N273" s="836"/>
      <c r="O273" s="836"/>
      <c r="P273" s="836"/>
      <c r="Q273" s="836"/>
      <c r="R273" s="837">
        <v>0.2</v>
      </c>
      <c r="T273" s="155">
        <v>27000</v>
      </c>
      <c r="U273" s="155"/>
      <c r="V273" s="155"/>
      <c r="AA273" s="180" t="str">
        <f>VLOOKUP(A273,[2]DG!$A:$C,3,0)</f>
        <v>Kẹp treo cáp ABC4x11mm2</v>
      </c>
    </row>
    <row r="274" spans="1:27" ht="20.100000000000001" hidden="1" customHeight="1">
      <c r="A274" s="876" t="s">
        <v>429</v>
      </c>
      <c r="B274" s="859"/>
      <c r="C274" s="421" t="s">
        <v>430</v>
      </c>
      <c r="D274" s="364" t="s">
        <v>9</v>
      </c>
      <c r="E274" s="833">
        <v>27000</v>
      </c>
      <c r="F274" s="833">
        <f t="shared" si="42"/>
        <v>0</v>
      </c>
      <c r="G274" s="833">
        <f t="shared" si="43"/>
        <v>0</v>
      </c>
      <c r="H274" s="834">
        <v>42312</v>
      </c>
      <c r="I274" s="835"/>
      <c r="J274" s="836"/>
      <c r="K274" s="836"/>
      <c r="L274" s="836"/>
      <c r="M274" s="836"/>
      <c r="N274" s="836"/>
      <c r="O274" s="836"/>
      <c r="P274" s="836"/>
      <c r="Q274" s="836"/>
      <c r="R274" s="837">
        <v>0.2</v>
      </c>
      <c r="T274" s="155">
        <v>27000</v>
      </c>
      <c r="U274" s="155"/>
      <c r="V274" s="155"/>
      <c r="AA274" s="180" t="str">
        <f>VLOOKUP(A274,[2]DG!$A:$C,3,0)</f>
        <v>Kẹp treo cáp ABC4x22mm2</v>
      </c>
    </row>
    <row r="275" spans="1:27" ht="20.100000000000001" hidden="1" customHeight="1">
      <c r="A275" s="876" t="s">
        <v>431</v>
      </c>
      <c r="B275" s="859"/>
      <c r="C275" s="421" t="s">
        <v>432</v>
      </c>
      <c r="D275" s="364" t="s">
        <v>9</v>
      </c>
      <c r="E275" s="833">
        <v>27000</v>
      </c>
      <c r="F275" s="833">
        <f t="shared" si="42"/>
        <v>0</v>
      </c>
      <c r="G275" s="833">
        <f t="shared" si="43"/>
        <v>0</v>
      </c>
      <c r="H275" s="834">
        <v>42312</v>
      </c>
      <c r="I275" s="835"/>
      <c r="J275" s="836"/>
      <c r="K275" s="836"/>
      <c r="L275" s="836"/>
      <c r="M275" s="836"/>
      <c r="N275" s="836"/>
      <c r="O275" s="836"/>
      <c r="P275" s="836"/>
      <c r="Q275" s="836"/>
      <c r="R275" s="837">
        <v>0.2</v>
      </c>
      <c r="T275" s="155">
        <v>27000</v>
      </c>
      <c r="U275" s="155"/>
      <c r="V275" s="155"/>
      <c r="AA275" s="180" t="str">
        <f>VLOOKUP(A275,[2]DG!$A:$C,3,0)</f>
        <v>Kẹp treo cáp ABC4x35mm2</v>
      </c>
    </row>
    <row r="276" spans="1:27" ht="20.100000000000001" hidden="1" customHeight="1">
      <c r="A276" s="876" t="s">
        <v>433</v>
      </c>
      <c r="B276" s="859"/>
      <c r="C276" s="421" t="s">
        <v>434</v>
      </c>
      <c r="D276" s="364" t="s">
        <v>9</v>
      </c>
      <c r="E276" s="833">
        <v>27000</v>
      </c>
      <c r="F276" s="833">
        <f t="shared" si="42"/>
        <v>0</v>
      </c>
      <c r="G276" s="833">
        <f t="shared" si="43"/>
        <v>0</v>
      </c>
      <c r="H276" s="834">
        <v>42312</v>
      </c>
      <c r="I276" s="835"/>
      <c r="J276" s="836"/>
      <c r="K276" s="836"/>
      <c r="L276" s="836"/>
      <c r="M276" s="836"/>
      <c r="N276" s="836"/>
      <c r="O276" s="836"/>
      <c r="P276" s="836"/>
      <c r="Q276" s="836"/>
      <c r="R276" s="837">
        <v>0.2</v>
      </c>
      <c r="T276" s="155">
        <v>27000</v>
      </c>
      <c r="U276" s="155"/>
      <c r="V276" s="155"/>
      <c r="AA276" s="180" t="str">
        <f>VLOOKUP(A276,[2]DG!$A:$C,3,0)</f>
        <v>Kẹp treo cáp ABC4x50mm2</v>
      </c>
    </row>
    <row r="277" spans="1:27" ht="20.100000000000001" hidden="1" customHeight="1">
      <c r="A277" s="876" t="s">
        <v>435</v>
      </c>
      <c r="B277" s="859"/>
      <c r="C277" s="421" t="s">
        <v>436</v>
      </c>
      <c r="D277" s="364" t="s">
        <v>9</v>
      </c>
      <c r="E277" s="833">
        <v>27000</v>
      </c>
      <c r="F277" s="833">
        <f t="shared" si="42"/>
        <v>0</v>
      </c>
      <c r="G277" s="833">
        <f t="shared" si="43"/>
        <v>0</v>
      </c>
      <c r="H277" s="834">
        <v>42312</v>
      </c>
      <c r="I277" s="835"/>
      <c r="J277" s="836"/>
      <c r="K277" s="836"/>
      <c r="L277" s="836"/>
      <c r="M277" s="836"/>
      <c r="N277" s="836"/>
      <c r="O277" s="836"/>
      <c r="P277" s="836"/>
      <c r="Q277" s="836"/>
      <c r="R277" s="837">
        <v>0.2</v>
      </c>
      <c r="T277" s="155">
        <v>27000</v>
      </c>
      <c r="U277" s="155"/>
      <c r="V277" s="155"/>
      <c r="AA277" s="180" t="str">
        <f>VLOOKUP(A277,[2]DG!$A:$C,3,0)</f>
        <v>Kẹp treo cáp ABC4x70mm2</v>
      </c>
    </row>
    <row r="278" spans="1:27" ht="20.100000000000001" hidden="1" customHeight="1">
      <c r="A278" s="876" t="s">
        <v>437</v>
      </c>
      <c r="B278" s="859"/>
      <c r="C278" s="421" t="s">
        <v>438</v>
      </c>
      <c r="D278" s="364" t="s">
        <v>9</v>
      </c>
      <c r="E278" s="833">
        <v>27000</v>
      </c>
      <c r="F278" s="833">
        <f t="shared" si="42"/>
        <v>0</v>
      </c>
      <c r="G278" s="833">
        <f t="shared" si="43"/>
        <v>0</v>
      </c>
      <c r="H278" s="834">
        <v>42312</v>
      </c>
      <c r="I278" s="835"/>
      <c r="J278" s="836"/>
      <c r="K278" s="836"/>
      <c r="L278" s="836"/>
      <c r="M278" s="836"/>
      <c r="N278" s="836"/>
      <c r="O278" s="836"/>
      <c r="P278" s="836"/>
      <c r="Q278" s="836"/>
      <c r="R278" s="837">
        <v>0.2</v>
      </c>
      <c r="T278" s="155">
        <v>27000</v>
      </c>
      <c r="U278" s="155"/>
      <c r="V278" s="155"/>
      <c r="AA278" s="180" t="str">
        <f>VLOOKUP(A278,[2]DG!$A:$C,3,0)</f>
        <v>Kẹp treo cáp ABC4x95mm2</v>
      </c>
    </row>
    <row r="279" spans="1:27" ht="20.100000000000001" hidden="1" customHeight="1">
      <c r="A279" s="876" t="s">
        <v>439</v>
      </c>
      <c r="B279" s="859"/>
      <c r="C279" s="421" t="s">
        <v>440</v>
      </c>
      <c r="D279" s="364" t="s">
        <v>9</v>
      </c>
      <c r="E279" s="833">
        <v>29000</v>
      </c>
      <c r="F279" s="833">
        <f t="shared" si="42"/>
        <v>0</v>
      </c>
      <c r="G279" s="833">
        <f t="shared" si="43"/>
        <v>0</v>
      </c>
      <c r="H279" s="834">
        <v>42312</v>
      </c>
      <c r="I279" s="835"/>
      <c r="J279" s="836"/>
      <c r="K279" s="836"/>
      <c r="L279" s="836"/>
      <c r="M279" s="836"/>
      <c r="N279" s="836"/>
      <c r="O279" s="836"/>
      <c r="P279" s="836"/>
      <c r="Q279" s="836"/>
      <c r="R279" s="837">
        <v>0.2</v>
      </c>
      <c r="T279" s="155">
        <v>29000</v>
      </c>
      <c r="U279" s="155"/>
      <c r="V279" s="155"/>
      <c r="AA279" s="180" t="str">
        <f>VLOOKUP(A279,[2]DG!$A:$C,3,0)</f>
        <v>Kẹp treo cáp ABC4x120mm2</v>
      </c>
    </row>
    <row r="280" spans="1:27" ht="20.100000000000001" hidden="1" customHeight="1">
      <c r="A280" s="876" t="s">
        <v>441</v>
      </c>
      <c r="B280" s="859"/>
      <c r="C280" s="421" t="s">
        <v>442</v>
      </c>
      <c r="D280" s="364" t="s">
        <v>9</v>
      </c>
      <c r="E280" s="833">
        <v>29000</v>
      </c>
      <c r="F280" s="833">
        <f t="shared" si="42"/>
        <v>0</v>
      </c>
      <c r="G280" s="833">
        <f t="shared" si="43"/>
        <v>0</v>
      </c>
      <c r="H280" s="834">
        <v>42312</v>
      </c>
      <c r="I280" s="835"/>
      <c r="J280" s="836"/>
      <c r="K280" s="836"/>
      <c r="L280" s="836"/>
      <c r="M280" s="836"/>
      <c r="N280" s="836"/>
      <c r="O280" s="836"/>
      <c r="P280" s="836"/>
      <c r="Q280" s="836"/>
      <c r="R280" s="837">
        <v>0.2</v>
      </c>
      <c r="T280" s="155">
        <v>29000</v>
      </c>
      <c r="U280" s="155"/>
      <c r="V280" s="155"/>
      <c r="AA280" s="180" t="str">
        <f>VLOOKUP(A280,[2]DG!$A:$C,3,0)</f>
        <v>Kẹp treo cáp ABC4x150mm2</v>
      </c>
    </row>
    <row r="281" spans="1:27" ht="20.100000000000001" customHeight="1">
      <c r="A281" s="872" t="s">
        <v>2800</v>
      </c>
      <c r="B281" s="859">
        <v>0</v>
      </c>
      <c r="C281" s="421" t="s">
        <v>443</v>
      </c>
      <c r="D281" s="364" t="s">
        <v>9</v>
      </c>
      <c r="E281" s="833">
        <v>37000</v>
      </c>
      <c r="F281" s="833">
        <f t="shared" si="42"/>
        <v>0</v>
      </c>
      <c r="G281" s="833">
        <f t="shared" si="43"/>
        <v>0</v>
      </c>
      <c r="H281" s="834" t="s">
        <v>4065</v>
      </c>
      <c r="I281" s="835"/>
      <c r="J281" s="836"/>
      <c r="K281" s="836"/>
      <c r="L281" s="836"/>
      <c r="M281" s="836"/>
      <c r="N281" s="836"/>
      <c r="O281" s="836"/>
      <c r="P281" s="836"/>
      <c r="Q281" s="836"/>
      <c r="R281" s="837">
        <v>0.5</v>
      </c>
      <c r="T281" s="155">
        <v>38000</v>
      </c>
      <c r="U281" s="155">
        <v>0</v>
      </c>
      <c r="V281" s="155">
        <v>0</v>
      </c>
      <c r="AA281" s="180" t="str">
        <f>VLOOKUP(A281,[2]DG!$A:$C,3,0)</f>
        <v>Móc treo chữ A</v>
      </c>
    </row>
    <row r="282" spans="1:27" ht="20.100000000000001" hidden="1" customHeight="1">
      <c r="A282" s="872" t="s">
        <v>444</v>
      </c>
      <c r="B282" s="859"/>
      <c r="C282" s="421" t="s">
        <v>445</v>
      </c>
      <c r="D282" s="364" t="s">
        <v>9</v>
      </c>
      <c r="E282" s="833">
        <v>11400</v>
      </c>
      <c r="F282" s="833">
        <f t="shared" si="42"/>
        <v>0</v>
      </c>
      <c r="G282" s="833">
        <f t="shared" si="43"/>
        <v>0</v>
      </c>
      <c r="H282" s="834">
        <v>1</v>
      </c>
      <c r="I282" s="835"/>
      <c r="J282" s="836"/>
      <c r="K282" s="836"/>
      <c r="L282" s="836"/>
      <c r="M282" s="836"/>
      <c r="N282" s="836"/>
      <c r="O282" s="836"/>
      <c r="P282" s="836"/>
      <c r="Q282" s="836"/>
      <c r="R282" s="837">
        <v>1</v>
      </c>
      <c r="T282" s="155">
        <v>11400</v>
      </c>
      <c r="U282" s="155"/>
      <c r="V282" s="155"/>
      <c r="AA282" s="180" t="str">
        <f>VLOOKUP(A282,[2]DG!$A:$C,3,0)</f>
        <v xml:space="preserve">Móc dừng </v>
      </c>
    </row>
    <row r="283" spans="1:27" ht="20.100000000000001" customHeight="1">
      <c r="A283" s="872" t="s">
        <v>2799</v>
      </c>
      <c r="B283" s="859">
        <v>0</v>
      </c>
      <c r="C283" s="421" t="s">
        <v>446</v>
      </c>
      <c r="D283" s="364" t="s">
        <v>9</v>
      </c>
      <c r="E283" s="833">
        <v>34000</v>
      </c>
      <c r="F283" s="833">
        <f t="shared" si="42"/>
        <v>0</v>
      </c>
      <c r="G283" s="833">
        <f t="shared" si="43"/>
        <v>0</v>
      </c>
      <c r="H283" s="834" t="s">
        <v>4065</v>
      </c>
      <c r="I283" s="835"/>
      <c r="J283" s="836"/>
      <c r="K283" s="836"/>
      <c r="L283" s="836"/>
      <c r="M283" s="836"/>
      <c r="N283" s="836"/>
      <c r="O283" s="836"/>
      <c r="P283" s="836"/>
      <c r="Q283" s="836"/>
      <c r="R283" s="837">
        <v>0.2</v>
      </c>
      <c r="T283" s="155">
        <v>27000</v>
      </c>
      <c r="U283" s="155">
        <v>0</v>
      </c>
      <c r="V283" s="155">
        <v>0</v>
      </c>
      <c r="AA283" s="180" t="str">
        <f>VLOOKUP(A283,[2]DG!$A:$C,3,0)</f>
        <v xml:space="preserve">Móc đơn treo cáp </v>
      </c>
    </row>
    <row r="284" spans="1:27" ht="20.100000000000001" hidden="1" customHeight="1">
      <c r="A284" s="876" t="s">
        <v>447</v>
      </c>
      <c r="B284" s="860" t="s">
        <v>4286</v>
      </c>
      <c r="C284" s="421" t="s">
        <v>448</v>
      </c>
      <c r="D284" s="364" t="s">
        <v>9</v>
      </c>
      <c r="E284" s="833">
        <v>50000</v>
      </c>
      <c r="F284" s="833">
        <f t="shared" si="42"/>
        <v>147234</v>
      </c>
      <c r="G284" s="833">
        <f t="shared" si="43"/>
        <v>0</v>
      </c>
      <c r="H284" s="834" t="s">
        <v>4065</v>
      </c>
      <c r="I284" s="835" t="s">
        <v>3370</v>
      </c>
      <c r="J284" s="836">
        <v>0.6</v>
      </c>
      <c r="K284" s="836"/>
      <c r="L284" s="836"/>
      <c r="M284" s="836"/>
      <c r="N284" s="836"/>
      <c r="O284" s="836"/>
      <c r="P284" s="836"/>
      <c r="Q284" s="836"/>
      <c r="R284" s="837">
        <v>1</v>
      </c>
      <c r="T284" s="155">
        <v>50000</v>
      </c>
      <c r="U284" s="155"/>
      <c r="V284" s="155"/>
      <c r="AA284" s="180" t="str">
        <f>VLOOKUP(A284,[2]DG!$A:$C,3,0)</f>
        <v>Kẹp ngừng cáp ABC2x11mm2</v>
      </c>
    </row>
    <row r="285" spans="1:27" ht="20.100000000000001" hidden="1" customHeight="1">
      <c r="A285" s="876" t="s">
        <v>449</v>
      </c>
      <c r="B285" s="860" t="s">
        <v>4286</v>
      </c>
      <c r="C285" s="421" t="s">
        <v>450</v>
      </c>
      <c r="D285" s="364" t="s">
        <v>9</v>
      </c>
      <c r="E285" s="833">
        <v>50000</v>
      </c>
      <c r="F285" s="833">
        <f t="shared" si="42"/>
        <v>147234</v>
      </c>
      <c r="G285" s="833">
        <f t="shared" si="43"/>
        <v>0</v>
      </c>
      <c r="H285" s="834" t="s">
        <v>4065</v>
      </c>
      <c r="I285" s="835" t="s">
        <v>3370</v>
      </c>
      <c r="J285" s="836">
        <v>0.6</v>
      </c>
      <c r="K285" s="836"/>
      <c r="L285" s="836"/>
      <c r="M285" s="836"/>
      <c r="N285" s="836"/>
      <c r="O285" s="836"/>
      <c r="P285" s="836"/>
      <c r="Q285" s="836"/>
      <c r="R285" s="837">
        <v>1</v>
      </c>
      <c r="T285" s="155">
        <v>50000</v>
      </c>
      <c r="U285" s="155"/>
      <c r="V285" s="155"/>
      <c r="AA285" s="180" t="str">
        <f>VLOOKUP(A285,[2]DG!$A:$C,3,0)</f>
        <v>Kẹp ngừng cáp ABC4x11mm2</v>
      </c>
    </row>
    <row r="286" spans="1:27" ht="20.100000000000001" hidden="1" customHeight="1">
      <c r="A286" s="876" t="s">
        <v>451</v>
      </c>
      <c r="B286" s="860" t="s">
        <v>4286</v>
      </c>
      <c r="C286" s="421" t="s">
        <v>452</v>
      </c>
      <c r="D286" s="364" t="s">
        <v>9</v>
      </c>
      <c r="E286" s="833">
        <v>50000</v>
      </c>
      <c r="F286" s="833">
        <f t="shared" si="42"/>
        <v>147234</v>
      </c>
      <c r="G286" s="833">
        <f t="shared" si="43"/>
        <v>0</v>
      </c>
      <c r="H286" s="834" t="s">
        <v>4065</v>
      </c>
      <c r="I286" s="835" t="s">
        <v>3370</v>
      </c>
      <c r="J286" s="836">
        <v>0.6</v>
      </c>
      <c r="K286" s="836"/>
      <c r="L286" s="836"/>
      <c r="M286" s="836"/>
      <c r="N286" s="836"/>
      <c r="O286" s="836"/>
      <c r="P286" s="836"/>
      <c r="Q286" s="836"/>
      <c r="R286" s="837">
        <v>1</v>
      </c>
      <c r="T286" s="155">
        <v>50000</v>
      </c>
      <c r="U286" s="155"/>
      <c r="V286" s="155"/>
      <c r="AA286" s="180" t="str">
        <f>VLOOKUP(A286,[2]DG!$A:$C,3,0)</f>
        <v>Kẹp ngừng cáp ABC4x22mm2</v>
      </c>
    </row>
    <row r="287" spans="1:27" ht="20.100000000000001" hidden="1" customHeight="1">
      <c r="A287" s="876" t="s">
        <v>453</v>
      </c>
      <c r="B287" s="860" t="s">
        <v>4286</v>
      </c>
      <c r="C287" s="421" t="s">
        <v>454</v>
      </c>
      <c r="D287" s="364" t="s">
        <v>9</v>
      </c>
      <c r="E287" s="833">
        <v>50000</v>
      </c>
      <c r="F287" s="833">
        <f t="shared" si="42"/>
        <v>147234</v>
      </c>
      <c r="G287" s="833">
        <f t="shared" si="43"/>
        <v>0</v>
      </c>
      <c r="H287" s="834" t="s">
        <v>4065</v>
      </c>
      <c r="I287" s="835" t="s">
        <v>3370</v>
      </c>
      <c r="J287" s="836">
        <v>0.6</v>
      </c>
      <c r="K287" s="836"/>
      <c r="L287" s="836"/>
      <c r="M287" s="836"/>
      <c r="N287" s="836"/>
      <c r="O287" s="836"/>
      <c r="P287" s="836"/>
      <c r="Q287" s="836"/>
      <c r="R287" s="837">
        <v>1</v>
      </c>
      <c r="T287" s="155">
        <v>50000</v>
      </c>
      <c r="U287" s="155"/>
      <c r="V287" s="155"/>
      <c r="AA287" s="180" t="str">
        <f>VLOOKUP(A287,[2]DG!$A:$C,3,0)</f>
        <v>Kẹp ngừng cáp ABC4x35mm2</v>
      </c>
    </row>
    <row r="288" spans="1:27" ht="20.100000000000001" hidden="1" customHeight="1">
      <c r="A288" s="876" t="s">
        <v>455</v>
      </c>
      <c r="B288" s="860" t="s">
        <v>4286</v>
      </c>
      <c r="C288" s="421" t="s">
        <v>456</v>
      </c>
      <c r="D288" s="364" t="s">
        <v>9</v>
      </c>
      <c r="E288" s="833">
        <v>50000</v>
      </c>
      <c r="F288" s="833">
        <f t="shared" si="42"/>
        <v>147234</v>
      </c>
      <c r="G288" s="833">
        <f t="shared" si="43"/>
        <v>0</v>
      </c>
      <c r="H288" s="834" t="s">
        <v>4065</v>
      </c>
      <c r="I288" s="835" t="s">
        <v>3370</v>
      </c>
      <c r="J288" s="836">
        <v>0.6</v>
      </c>
      <c r="K288" s="836"/>
      <c r="L288" s="836"/>
      <c r="M288" s="836"/>
      <c r="N288" s="836"/>
      <c r="O288" s="836"/>
      <c r="P288" s="836"/>
      <c r="Q288" s="836"/>
      <c r="R288" s="837">
        <v>1</v>
      </c>
      <c r="T288" s="155">
        <v>50000</v>
      </c>
      <c r="U288" s="155"/>
      <c r="V288" s="155"/>
      <c r="AA288" s="180" t="str">
        <f>VLOOKUP(A288,[2]DG!$A:$C,3,0)</f>
        <v>Kẹp ngừng cáp ABC4x50mm2</v>
      </c>
    </row>
    <row r="289" spans="1:27" ht="20.100000000000001" hidden="1" customHeight="1">
      <c r="A289" s="876" t="s">
        <v>457</v>
      </c>
      <c r="B289" s="860" t="s">
        <v>4286</v>
      </c>
      <c r="C289" s="421" t="s">
        <v>458</v>
      </c>
      <c r="D289" s="364" t="s">
        <v>9</v>
      </c>
      <c r="E289" s="833">
        <v>50000</v>
      </c>
      <c r="F289" s="833">
        <f t="shared" si="42"/>
        <v>176680.8</v>
      </c>
      <c r="G289" s="833">
        <f t="shared" si="43"/>
        <v>0</v>
      </c>
      <c r="H289" s="834" t="s">
        <v>4065</v>
      </c>
      <c r="I289" s="835" t="s">
        <v>3370</v>
      </c>
      <c r="J289" s="836">
        <v>0.72</v>
      </c>
      <c r="K289" s="836"/>
      <c r="L289" s="836"/>
      <c r="M289" s="836"/>
      <c r="N289" s="836"/>
      <c r="O289" s="836"/>
      <c r="P289" s="836"/>
      <c r="Q289" s="836"/>
      <c r="R289" s="837">
        <v>1</v>
      </c>
      <c r="T289" s="155">
        <v>50000</v>
      </c>
      <c r="U289" s="155"/>
      <c r="V289" s="155"/>
      <c r="AA289" s="180" t="str">
        <f>VLOOKUP(A289,[2]DG!$A:$C,3,0)</f>
        <v>Kẹp ngừng cáp ABC4x70mm2</v>
      </c>
    </row>
    <row r="290" spans="1:27" ht="20.100000000000001" hidden="1" customHeight="1">
      <c r="A290" s="876" t="s">
        <v>459</v>
      </c>
      <c r="B290" s="860" t="s">
        <v>4287</v>
      </c>
      <c r="C290" s="421" t="s">
        <v>460</v>
      </c>
      <c r="D290" s="364" t="s">
        <v>9</v>
      </c>
      <c r="E290" s="833">
        <v>50000</v>
      </c>
      <c r="F290" s="833">
        <f t="shared" si="42"/>
        <v>176680.8</v>
      </c>
      <c r="G290" s="833">
        <f t="shared" si="43"/>
        <v>0</v>
      </c>
      <c r="H290" s="834" t="s">
        <v>4065</v>
      </c>
      <c r="I290" s="835" t="s">
        <v>3370</v>
      </c>
      <c r="J290" s="836">
        <v>0.72</v>
      </c>
      <c r="K290" s="836"/>
      <c r="L290" s="836"/>
      <c r="M290" s="836"/>
      <c r="N290" s="836"/>
      <c r="O290" s="836"/>
      <c r="P290" s="836"/>
      <c r="Q290" s="836"/>
      <c r="R290" s="837">
        <v>1</v>
      </c>
      <c r="T290" s="155">
        <v>50000</v>
      </c>
      <c r="U290" s="155">
        <v>0</v>
      </c>
      <c r="V290" s="155">
        <v>0</v>
      </c>
      <c r="AA290" s="180" t="str">
        <f>VLOOKUP(A290,[2]DG!$A:$C,3,0)</f>
        <v>Kẹp ngừng cáp ABC4x95mm2</v>
      </c>
    </row>
    <row r="291" spans="1:27" ht="20.100000000000001" hidden="1" customHeight="1">
      <c r="A291" s="876" t="s">
        <v>461</v>
      </c>
      <c r="B291" s="860" t="s">
        <v>4287</v>
      </c>
      <c r="C291" s="421" t="s">
        <v>462</v>
      </c>
      <c r="D291" s="364" t="s">
        <v>9</v>
      </c>
      <c r="E291" s="833">
        <v>79000</v>
      </c>
      <c r="F291" s="833">
        <f t="shared" si="42"/>
        <v>176680.8</v>
      </c>
      <c r="G291" s="833">
        <f t="shared" si="43"/>
        <v>0</v>
      </c>
      <c r="H291" s="834" t="s">
        <v>4065</v>
      </c>
      <c r="I291" s="835" t="s">
        <v>3370</v>
      </c>
      <c r="J291" s="836">
        <v>0.72</v>
      </c>
      <c r="K291" s="836"/>
      <c r="L291" s="836"/>
      <c r="M291" s="836"/>
      <c r="N291" s="836"/>
      <c r="O291" s="836"/>
      <c r="P291" s="836"/>
      <c r="Q291" s="836"/>
      <c r="R291" s="837">
        <v>1</v>
      </c>
      <c r="T291" s="155">
        <v>74000</v>
      </c>
      <c r="U291" s="155"/>
      <c r="V291" s="155"/>
      <c r="AA291" s="180" t="str">
        <f>VLOOKUP(A291,[2]DG!$A:$C,3,0)</f>
        <v>Kẹp ngừng cáp ABC4x120mm2</v>
      </c>
    </row>
    <row r="292" spans="1:27" ht="20.100000000000001" hidden="1" customHeight="1">
      <c r="A292" s="876" t="s">
        <v>463</v>
      </c>
      <c r="B292" s="860" t="s">
        <v>4287</v>
      </c>
      <c r="C292" s="421" t="s">
        <v>464</v>
      </c>
      <c r="D292" s="364" t="s">
        <v>9</v>
      </c>
      <c r="E292" s="833">
        <v>74000</v>
      </c>
      <c r="F292" s="833">
        <f t="shared" si="42"/>
        <v>176680.8</v>
      </c>
      <c r="G292" s="833">
        <f t="shared" si="43"/>
        <v>0</v>
      </c>
      <c r="H292" s="834" t="s">
        <v>4065</v>
      </c>
      <c r="I292" s="835" t="s">
        <v>3370</v>
      </c>
      <c r="J292" s="836">
        <v>0.72</v>
      </c>
      <c r="K292" s="836"/>
      <c r="L292" s="836"/>
      <c r="M292" s="836"/>
      <c r="N292" s="836"/>
      <c r="O292" s="836"/>
      <c r="P292" s="836"/>
      <c r="Q292" s="836"/>
      <c r="R292" s="837">
        <v>1</v>
      </c>
      <c r="T292" s="155">
        <v>74000</v>
      </c>
      <c r="U292" s="155">
        <v>0</v>
      </c>
      <c r="V292" s="155">
        <v>0</v>
      </c>
      <c r="AA292" s="180" t="str">
        <f>VLOOKUP(A292,[2]DG!$A:$C,3,0)</f>
        <v>Kẹp ngừng cáp ABC4x150mm2</v>
      </c>
    </row>
    <row r="293" spans="1:27" ht="20.100000000000001" hidden="1" customHeight="1">
      <c r="A293" s="872" t="s">
        <v>3612</v>
      </c>
      <c r="B293" s="860"/>
      <c r="C293" s="421" t="s">
        <v>465</v>
      </c>
      <c r="D293" s="364" t="s">
        <v>9</v>
      </c>
      <c r="E293" s="833">
        <v>5000000</v>
      </c>
      <c r="F293" s="833">
        <f t="shared" si="42"/>
        <v>0</v>
      </c>
      <c r="G293" s="833">
        <f t="shared" si="43"/>
        <v>0</v>
      </c>
      <c r="H293" s="834">
        <v>1</v>
      </c>
      <c r="I293" s="835"/>
      <c r="J293" s="836"/>
      <c r="K293" s="836"/>
      <c r="L293" s="836"/>
      <c r="M293" s="836"/>
      <c r="N293" s="836"/>
      <c r="O293" s="836"/>
      <c r="P293" s="836"/>
      <c r="Q293" s="836"/>
      <c r="R293" s="837">
        <v>5</v>
      </c>
      <c r="T293" s="155">
        <v>5000000</v>
      </c>
      <c r="U293" s="155"/>
      <c r="V293" s="155"/>
      <c r="AA293" s="180" t="str">
        <f>VLOOKUP(A293,[2]DG!$A:$C,3,0)</f>
        <v>Hộp nối cáp ngầm 24kV 3x240mm2</v>
      </c>
    </row>
    <row r="294" spans="1:27" ht="20.100000000000001" hidden="1" customHeight="1">
      <c r="A294" s="872" t="s">
        <v>3613</v>
      </c>
      <c r="B294" s="860"/>
      <c r="C294" s="421" t="s">
        <v>466</v>
      </c>
      <c r="D294" s="364" t="s">
        <v>9</v>
      </c>
      <c r="E294" s="833">
        <v>5000000</v>
      </c>
      <c r="F294" s="833">
        <f t="shared" si="42"/>
        <v>0</v>
      </c>
      <c r="G294" s="833">
        <f t="shared" si="43"/>
        <v>0</v>
      </c>
      <c r="H294" s="834">
        <v>1</v>
      </c>
      <c r="I294" s="835"/>
      <c r="J294" s="836"/>
      <c r="K294" s="836"/>
      <c r="L294" s="836"/>
      <c r="M294" s="836"/>
      <c r="N294" s="836"/>
      <c r="O294" s="836"/>
      <c r="P294" s="836"/>
      <c r="Q294" s="836"/>
      <c r="R294" s="837">
        <v>5</v>
      </c>
      <c r="T294" s="155">
        <v>5000000</v>
      </c>
      <c r="U294" s="155"/>
      <c r="V294" s="155"/>
      <c r="AA294" s="180" t="str">
        <f>VLOOKUP(A294,[2]DG!$A:$C,3,0)</f>
        <v>Hộp nối cáp ngầm 24kV 3x185mm2</v>
      </c>
    </row>
    <row r="295" spans="1:27" ht="20.100000000000001" hidden="1" customHeight="1">
      <c r="A295" s="872" t="s">
        <v>3614</v>
      </c>
      <c r="B295" s="860"/>
      <c r="C295" s="421" t="s">
        <v>467</v>
      </c>
      <c r="D295" s="364" t="s">
        <v>9</v>
      </c>
      <c r="E295" s="833">
        <v>5000000</v>
      </c>
      <c r="F295" s="833">
        <f t="shared" si="42"/>
        <v>0</v>
      </c>
      <c r="G295" s="833">
        <f t="shared" si="43"/>
        <v>0</v>
      </c>
      <c r="H295" s="834">
        <v>1</v>
      </c>
      <c r="I295" s="835"/>
      <c r="J295" s="836"/>
      <c r="K295" s="836"/>
      <c r="L295" s="836"/>
      <c r="M295" s="836"/>
      <c r="N295" s="836"/>
      <c r="O295" s="836"/>
      <c r="P295" s="836"/>
      <c r="Q295" s="836"/>
      <c r="R295" s="837">
        <v>5</v>
      </c>
      <c r="T295" s="155">
        <v>5000000</v>
      </c>
      <c r="U295" s="155"/>
      <c r="V295" s="155"/>
      <c r="AA295" s="180" t="str">
        <f>VLOOKUP(A295,[2]DG!$A:$C,3,0)</f>
        <v>Hộp nối cáp ngầm 24kV 3x150mm2</v>
      </c>
    </row>
    <row r="296" spans="1:27" ht="20.100000000000001" hidden="1" customHeight="1">
      <c r="A296" s="872" t="s">
        <v>3615</v>
      </c>
      <c r="B296" s="860"/>
      <c r="C296" s="421" t="s">
        <v>468</v>
      </c>
      <c r="D296" s="364" t="s">
        <v>9</v>
      </c>
      <c r="E296" s="833">
        <v>5000000</v>
      </c>
      <c r="F296" s="833">
        <f t="shared" si="42"/>
        <v>0</v>
      </c>
      <c r="G296" s="833">
        <f t="shared" si="43"/>
        <v>0</v>
      </c>
      <c r="H296" s="834">
        <v>1</v>
      </c>
      <c r="I296" s="835"/>
      <c r="J296" s="836"/>
      <c r="K296" s="836"/>
      <c r="L296" s="836"/>
      <c r="M296" s="836"/>
      <c r="N296" s="836"/>
      <c r="O296" s="836"/>
      <c r="P296" s="836"/>
      <c r="Q296" s="836"/>
      <c r="R296" s="837">
        <v>5</v>
      </c>
      <c r="T296" s="155">
        <v>5000000</v>
      </c>
      <c r="U296" s="155"/>
      <c r="V296" s="155"/>
      <c r="AA296" s="180" t="str">
        <f>VLOOKUP(A296,[2]DG!$A:$C,3,0)</f>
        <v>Hộp nối cáp ngầm 24kV 3x120mm2</v>
      </c>
    </row>
    <row r="297" spans="1:27" ht="20.100000000000001" hidden="1" customHeight="1">
      <c r="A297" s="872" t="s">
        <v>3616</v>
      </c>
      <c r="B297" s="860"/>
      <c r="C297" s="421" t="s">
        <v>469</v>
      </c>
      <c r="D297" s="364" t="s">
        <v>9</v>
      </c>
      <c r="E297" s="833">
        <v>5000000</v>
      </c>
      <c r="F297" s="833">
        <f t="shared" si="42"/>
        <v>0</v>
      </c>
      <c r="G297" s="833">
        <f t="shared" si="43"/>
        <v>0</v>
      </c>
      <c r="H297" s="834">
        <v>1</v>
      </c>
      <c r="I297" s="835"/>
      <c r="J297" s="836"/>
      <c r="K297" s="836"/>
      <c r="L297" s="836"/>
      <c r="M297" s="836"/>
      <c r="N297" s="836"/>
      <c r="O297" s="836"/>
      <c r="P297" s="836"/>
      <c r="Q297" s="836"/>
      <c r="R297" s="837">
        <v>5</v>
      </c>
      <c r="T297" s="155">
        <v>5000000</v>
      </c>
      <c r="U297" s="155"/>
      <c r="V297" s="155"/>
      <c r="AA297" s="180" t="str">
        <f>VLOOKUP(A297,[2]DG!$A:$C,3,0)</f>
        <v>Hộp nối cáp ngầm 24kV 3x95mm2</v>
      </c>
    </row>
    <row r="298" spans="1:27" ht="20.100000000000001" hidden="1" customHeight="1">
      <c r="A298" s="872" t="s">
        <v>3617</v>
      </c>
      <c r="B298" s="860"/>
      <c r="C298" s="421" t="s">
        <v>470</v>
      </c>
      <c r="D298" s="364" t="s">
        <v>9</v>
      </c>
      <c r="E298" s="833">
        <v>5000000</v>
      </c>
      <c r="F298" s="833">
        <f t="shared" si="42"/>
        <v>0</v>
      </c>
      <c r="G298" s="833">
        <f t="shared" si="43"/>
        <v>0</v>
      </c>
      <c r="H298" s="834">
        <v>1</v>
      </c>
      <c r="I298" s="835"/>
      <c r="J298" s="836"/>
      <c r="K298" s="836"/>
      <c r="L298" s="836"/>
      <c r="M298" s="836"/>
      <c r="N298" s="836"/>
      <c r="O298" s="836"/>
      <c r="P298" s="836"/>
      <c r="Q298" s="836"/>
      <c r="R298" s="837">
        <v>5</v>
      </c>
      <c r="T298" s="155">
        <v>5000000</v>
      </c>
      <c r="U298" s="155"/>
      <c r="V298" s="155"/>
      <c r="AA298" s="180" t="str">
        <f>VLOOKUP(A298,[2]DG!$A:$C,3,0)</f>
        <v>Hộp nối cáp ngầm 24kV 3x70mm2</v>
      </c>
    </row>
    <row r="299" spans="1:27" ht="20.100000000000001" hidden="1" customHeight="1">
      <c r="A299" s="872" t="s">
        <v>3618</v>
      </c>
      <c r="B299" s="860"/>
      <c r="C299" s="421" t="s">
        <v>471</v>
      </c>
      <c r="D299" s="364" t="s">
        <v>9</v>
      </c>
      <c r="E299" s="833">
        <v>5000000</v>
      </c>
      <c r="F299" s="833">
        <f t="shared" si="42"/>
        <v>0</v>
      </c>
      <c r="G299" s="833">
        <f t="shared" si="43"/>
        <v>0</v>
      </c>
      <c r="H299" s="834">
        <v>1</v>
      </c>
      <c r="I299" s="835"/>
      <c r="J299" s="836"/>
      <c r="K299" s="836"/>
      <c r="L299" s="836"/>
      <c r="M299" s="836"/>
      <c r="N299" s="836"/>
      <c r="O299" s="836"/>
      <c r="P299" s="836"/>
      <c r="Q299" s="836"/>
      <c r="R299" s="837">
        <v>5</v>
      </c>
      <c r="T299" s="155">
        <v>5000000</v>
      </c>
      <c r="U299" s="155"/>
      <c r="V299" s="155"/>
      <c r="AA299" s="180" t="str">
        <f>VLOOKUP(A299,[2]DG!$A:$C,3,0)</f>
        <v>Hộp nối cáp ngầm 24kV 3x50mm2</v>
      </c>
    </row>
    <row r="300" spans="1:27" ht="20.100000000000001" hidden="1" customHeight="1">
      <c r="A300" s="876" t="s">
        <v>472</v>
      </c>
      <c r="B300" s="859" t="s">
        <v>3521</v>
      </c>
      <c r="C300" s="421" t="s">
        <v>4288</v>
      </c>
      <c r="D300" s="364" t="s">
        <v>9</v>
      </c>
      <c r="E300" s="833">
        <v>315000</v>
      </c>
      <c r="F300" s="833">
        <f t="shared" si="42"/>
        <v>138988.89599999998</v>
      </c>
      <c r="G300" s="833">
        <f t="shared" si="43"/>
        <v>0</v>
      </c>
      <c r="H300" s="834">
        <v>1</v>
      </c>
      <c r="I300" s="835" t="s">
        <v>3370</v>
      </c>
      <c r="J300" s="836">
        <v>0.94399999999999995</v>
      </c>
      <c r="K300" s="836">
        <v>0.6</v>
      </c>
      <c r="L300" s="836"/>
      <c r="M300" s="836"/>
      <c r="N300" s="836"/>
      <c r="O300" s="836"/>
      <c r="P300" s="836"/>
      <c r="Q300" s="836"/>
      <c r="R300" s="837">
        <v>2</v>
      </c>
      <c r="T300" s="418">
        <v>520000</v>
      </c>
      <c r="U300" s="155"/>
      <c r="V300" s="155"/>
      <c r="AA300" s="180" t="str">
        <f>VLOOKUP(A300,[2]DG!$A:$C,3,0)</f>
        <v>Hộp phân phối 9CB-32A( hộp rỗng)</v>
      </c>
    </row>
    <row r="301" spans="1:27" ht="20.100000000000001" hidden="1" customHeight="1">
      <c r="A301" s="876" t="s">
        <v>473</v>
      </c>
      <c r="B301" s="859" t="s">
        <v>3521</v>
      </c>
      <c r="C301" s="421" t="s">
        <v>4183</v>
      </c>
      <c r="D301" s="364" t="s">
        <v>9</v>
      </c>
      <c r="E301" s="833">
        <v>305000</v>
      </c>
      <c r="F301" s="833">
        <f t="shared" si="42"/>
        <v>138988.89599999998</v>
      </c>
      <c r="G301" s="833">
        <f t="shared" si="43"/>
        <v>0</v>
      </c>
      <c r="H301" s="834" t="s">
        <v>4065</v>
      </c>
      <c r="I301" s="835" t="s">
        <v>3370</v>
      </c>
      <c r="J301" s="836">
        <v>0.94399999999999995</v>
      </c>
      <c r="K301" s="836">
        <v>0.6</v>
      </c>
      <c r="L301" s="836"/>
      <c r="M301" s="836"/>
      <c r="N301" s="836"/>
      <c r="O301" s="836"/>
      <c r="P301" s="836"/>
      <c r="Q301" s="836"/>
      <c r="R301" s="837">
        <v>2</v>
      </c>
      <c r="T301" s="418">
        <v>351000</v>
      </c>
      <c r="U301" s="155">
        <v>73646</v>
      </c>
      <c r="V301" s="155">
        <v>0</v>
      </c>
      <c r="AA301" s="180" t="str">
        <f>VLOOKUP(A301,[2]DG!$A:$C,3,0)</f>
        <v>Hộp phân phối (hộp rỗng)</v>
      </c>
    </row>
    <row r="302" spans="1:27" ht="20.100000000000001" customHeight="1">
      <c r="A302" s="876" t="s">
        <v>3038</v>
      </c>
      <c r="B302" s="859" t="s">
        <v>3521</v>
      </c>
      <c r="C302" s="421" t="s">
        <v>3039</v>
      </c>
      <c r="D302" s="364" t="s">
        <v>9</v>
      </c>
      <c r="E302" s="833">
        <v>390000</v>
      </c>
      <c r="F302" s="833">
        <f t="shared" si="42"/>
        <v>347472.24</v>
      </c>
      <c r="G302" s="833">
        <f t="shared" si="43"/>
        <v>0</v>
      </c>
      <c r="H302" s="834" t="s">
        <v>4065</v>
      </c>
      <c r="I302" s="835" t="s">
        <v>3370</v>
      </c>
      <c r="J302" s="836">
        <v>1.4159999999999999</v>
      </c>
      <c r="K302" s="836"/>
      <c r="L302" s="836"/>
      <c r="M302" s="836"/>
      <c r="N302" s="836"/>
      <c r="O302" s="836"/>
      <c r="P302" s="836"/>
      <c r="Q302" s="836"/>
      <c r="R302" s="837">
        <v>2</v>
      </c>
      <c r="T302" s="418">
        <v>600000</v>
      </c>
      <c r="U302" s="155">
        <v>73646</v>
      </c>
      <c r="V302" s="155"/>
      <c r="AA302" s="180" t="str">
        <f>VLOOKUP(A302,[2]DG!$A:$C,3,0)</f>
        <v>Hộp MCCB phân đoạn</v>
      </c>
    </row>
    <row r="303" spans="1:27" ht="20.100000000000001" hidden="1" customHeight="1">
      <c r="A303" s="872" t="s">
        <v>474</v>
      </c>
      <c r="B303" s="860"/>
      <c r="C303" s="421" t="s">
        <v>475</v>
      </c>
      <c r="D303" s="364" t="s">
        <v>476</v>
      </c>
      <c r="E303" s="833">
        <v>732001.60000000009</v>
      </c>
      <c r="F303" s="833">
        <f t="shared" si="42"/>
        <v>0</v>
      </c>
      <c r="G303" s="833">
        <f t="shared" si="43"/>
        <v>0</v>
      </c>
      <c r="H303" s="834">
        <v>1</v>
      </c>
      <c r="I303" s="835"/>
      <c r="J303" s="836"/>
      <c r="K303" s="836"/>
      <c r="L303" s="836"/>
      <c r="M303" s="836"/>
      <c r="N303" s="836"/>
      <c r="O303" s="836"/>
      <c r="P303" s="836"/>
      <c r="Q303" s="836"/>
      <c r="R303" s="837">
        <v>1000</v>
      </c>
      <c r="T303" s="155">
        <v>732001.60000000009</v>
      </c>
      <c r="U303" s="155"/>
      <c r="V303" s="155"/>
      <c r="AA303" s="180" t="str">
        <f>VLOOKUP(A303,[2]DG!$A:$C,3,0)</f>
        <v>Bêtông nhựa nóng hạt thô</v>
      </c>
    </row>
    <row r="304" spans="1:27" ht="20.100000000000001" hidden="1" customHeight="1">
      <c r="A304" s="872" t="s">
        <v>3619</v>
      </c>
      <c r="B304" s="860"/>
      <c r="C304" s="421" t="s">
        <v>477</v>
      </c>
      <c r="D304" s="364" t="s">
        <v>476</v>
      </c>
      <c r="E304" s="833">
        <v>742000.60000000009</v>
      </c>
      <c r="F304" s="833">
        <f t="shared" si="42"/>
        <v>0</v>
      </c>
      <c r="G304" s="833">
        <f t="shared" si="43"/>
        <v>0</v>
      </c>
      <c r="H304" s="834">
        <v>1</v>
      </c>
      <c r="I304" s="835"/>
      <c r="J304" s="836"/>
      <c r="K304" s="836"/>
      <c r="L304" s="836"/>
      <c r="M304" s="836"/>
      <c r="N304" s="836"/>
      <c r="O304" s="836"/>
      <c r="P304" s="836"/>
      <c r="Q304" s="836"/>
      <c r="R304" s="837">
        <v>1000</v>
      </c>
      <c r="T304" s="155">
        <v>742000.60000000009</v>
      </c>
      <c r="U304" s="155"/>
      <c r="V304" s="155"/>
      <c r="AA304" s="180" t="str">
        <f>VLOOKUP(A304,[2]DG!$A:$C,3,0)</f>
        <v>Bêtông nhựa nóng hạt mịn</v>
      </c>
    </row>
    <row r="305" spans="1:27" ht="20.100000000000001" hidden="1" customHeight="1">
      <c r="A305" s="872" t="s">
        <v>478</v>
      </c>
      <c r="B305" s="860" t="s">
        <v>479</v>
      </c>
      <c r="C305" s="421" t="s">
        <v>480</v>
      </c>
      <c r="D305" s="364" t="s">
        <v>481</v>
      </c>
      <c r="E305" s="833"/>
      <c r="F305" s="833">
        <f t="shared" si="42"/>
        <v>0</v>
      </c>
      <c r="G305" s="833">
        <f t="shared" si="43"/>
        <v>0</v>
      </c>
      <c r="H305" s="834">
        <v>1</v>
      </c>
      <c r="I305" s="835"/>
      <c r="J305" s="836"/>
      <c r="K305" s="836"/>
      <c r="L305" s="836"/>
      <c r="M305" s="836"/>
      <c r="N305" s="836"/>
      <c r="O305" s="836"/>
      <c r="P305" s="836"/>
      <c r="Q305" s="836"/>
      <c r="R305" s="837"/>
      <c r="T305" s="155"/>
      <c r="U305" s="155">
        <v>338.22</v>
      </c>
      <c r="V305" s="155">
        <v>1269.0999999999999</v>
      </c>
      <c r="AA305" s="180" t="str">
        <f>VLOOKUP(A305,[2]DG!$A:$C,3,0)</f>
        <v>Tái lập bêtông nhựa nóng hạt thô 7mm</v>
      </c>
    </row>
    <row r="306" spans="1:27" ht="20.100000000000001" hidden="1" customHeight="1">
      <c r="A306" s="872" t="s">
        <v>3620</v>
      </c>
      <c r="B306" s="860" t="s">
        <v>482</v>
      </c>
      <c r="C306" s="421" t="s">
        <v>483</v>
      </c>
      <c r="D306" s="364" t="s">
        <v>481</v>
      </c>
      <c r="E306" s="833"/>
      <c r="F306" s="833">
        <f t="shared" si="42"/>
        <v>0</v>
      </c>
      <c r="G306" s="833">
        <f t="shared" si="43"/>
        <v>0</v>
      </c>
      <c r="H306" s="834">
        <v>1</v>
      </c>
      <c r="I306" s="835"/>
      <c r="J306" s="836"/>
      <c r="K306" s="836"/>
      <c r="L306" s="836"/>
      <c r="M306" s="836"/>
      <c r="N306" s="836"/>
      <c r="O306" s="836"/>
      <c r="P306" s="836"/>
      <c r="Q306" s="836"/>
      <c r="R306" s="837"/>
      <c r="T306" s="155"/>
      <c r="U306" s="155">
        <v>150.69999999999999</v>
      </c>
      <c r="V306" s="155">
        <v>855.17</v>
      </c>
      <c r="AA306" s="180" t="str">
        <f>VLOOKUP(A306,[2]DG!$A:$C,3,0)</f>
        <v>Tái lập bêtông nhựa nóng hạt mịn 3mm</v>
      </c>
    </row>
    <row r="307" spans="1:27" ht="20.100000000000001" hidden="1" customHeight="1">
      <c r="A307" s="872" t="s">
        <v>484</v>
      </c>
      <c r="B307" s="859" t="s">
        <v>485</v>
      </c>
      <c r="C307" s="421" t="s">
        <v>486</v>
      </c>
      <c r="D307" s="364" t="s">
        <v>481</v>
      </c>
      <c r="E307" s="833">
        <v>5849</v>
      </c>
      <c r="F307" s="833">
        <f t="shared" si="42"/>
        <v>0</v>
      </c>
      <c r="G307" s="833">
        <f t="shared" si="43"/>
        <v>0</v>
      </c>
      <c r="H307" s="834">
        <v>1</v>
      </c>
      <c r="I307" s="835"/>
      <c r="J307" s="836"/>
      <c r="K307" s="836"/>
      <c r="L307" s="836"/>
      <c r="M307" s="836"/>
      <c r="N307" s="836"/>
      <c r="O307" s="836"/>
      <c r="P307" s="836"/>
      <c r="Q307" s="836"/>
      <c r="R307" s="837">
        <v>100</v>
      </c>
      <c r="T307" s="155">
        <v>5849</v>
      </c>
      <c r="U307" s="432">
        <v>1083.8</v>
      </c>
      <c r="V307" s="155"/>
      <c r="AA307" s="180" t="str">
        <f>VLOOKUP(A307,[2]DG!$A:$C,3,0)</f>
        <v>Bitum</v>
      </c>
    </row>
    <row r="308" spans="1:27" ht="20.100000000000001" hidden="1" customHeight="1">
      <c r="A308" s="876" t="s">
        <v>487</v>
      </c>
      <c r="B308" s="859">
        <v>0</v>
      </c>
      <c r="C308" s="421" t="s">
        <v>488</v>
      </c>
      <c r="D308" s="364" t="s">
        <v>9</v>
      </c>
      <c r="E308" s="833">
        <v>3000</v>
      </c>
      <c r="F308" s="833">
        <f t="shared" si="42"/>
        <v>0</v>
      </c>
      <c r="G308" s="833">
        <f t="shared" si="43"/>
        <v>0</v>
      </c>
      <c r="H308" s="834">
        <v>42525</v>
      </c>
      <c r="I308" s="835"/>
      <c r="J308" s="836"/>
      <c r="K308" s="836"/>
      <c r="L308" s="836"/>
      <c r="M308" s="836"/>
      <c r="N308" s="836"/>
      <c r="O308" s="836"/>
      <c r="P308" s="836"/>
      <c r="Q308" s="836"/>
      <c r="R308" s="837">
        <v>0.1</v>
      </c>
      <c r="T308" s="155">
        <v>3000</v>
      </c>
      <c r="U308" s="155">
        <v>0</v>
      </c>
      <c r="V308" s="155">
        <v>0</v>
      </c>
      <c r="AA308" s="180" t="str">
        <f>VLOOKUP(A308,[2]DG!$A:$C,3,0)</f>
        <v>Nắp bịt đầu cáp ABC150mm2</v>
      </c>
    </row>
    <row r="309" spans="1:27" ht="20.100000000000001" hidden="1" customHeight="1">
      <c r="A309" s="876" t="s">
        <v>489</v>
      </c>
      <c r="B309" s="859">
        <v>0</v>
      </c>
      <c r="C309" s="421" t="s">
        <v>2916</v>
      </c>
      <c r="D309" s="364" t="s">
        <v>400</v>
      </c>
      <c r="E309" s="833">
        <v>5950000</v>
      </c>
      <c r="F309" s="833">
        <f t="shared" si="42"/>
        <v>0</v>
      </c>
      <c r="G309" s="833">
        <f t="shared" si="43"/>
        <v>0</v>
      </c>
      <c r="H309" s="834">
        <v>43151</v>
      </c>
      <c r="I309" s="835"/>
      <c r="J309" s="836"/>
      <c r="K309" s="836"/>
      <c r="L309" s="836"/>
      <c r="M309" s="836"/>
      <c r="N309" s="836"/>
      <c r="O309" s="836"/>
      <c r="P309" s="836"/>
      <c r="Q309" s="836"/>
      <c r="R309" s="837">
        <v>0.1</v>
      </c>
      <c r="T309" s="155">
        <v>1600</v>
      </c>
      <c r="U309" s="155"/>
      <c r="V309" s="155"/>
      <c r="AA309" s="180" t="str">
        <f>VLOOKUP(A309,[2]DG!$A:$C,3,0)</f>
        <v>Nắp bịt đầu cáp ABC120mm2</v>
      </c>
    </row>
    <row r="310" spans="1:27" ht="20.100000000000001" hidden="1" customHeight="1">
      <c r="A310" s="876" t="s">
        <v>490</v>
      </c>
      <c r="B310" s="859">
        <v>0</v>
      </c>
      <c r="C310" s="421" t="s">
        <v>491</v>
      </c>
      <c r="D310" s="364" t="s">
        <v>9</v>
      </c>
      <c r="E310" s="833">
        <v>3900</v>
      </c>
      <c r="F310" s="833">
        <f t="shared" si="42"/>
        <v>0</v>
      </c>
      <c r="G310" s="833">
        <f t="shared" si="43"/>
        <v>0</v>
      </c>
      <c r="H310" s="834" t="s">
        <v>4065</v>
      </c>
      <c r="I310" s="835"/>
      <c r="J310" s="836"/>
      <c r="K310" s="836"/>
      <c r="L310" s="836"/>
      <c r="M310" s="836"/>
      <c r="N310" s="836"/>
      <c r="O310" s="836"/>
      <c r="P310" s="836"/>
      <c r="Q310" s="836"/>
      <c r="R310" s="837">
        <v>0.1</v>
      </c>
      <c r="T310" s="155">
        <v>3500</v>
      </c>
      <c r="U310" s="155">
        <v>0</v>
      </c>
      <c r="V310" s="155">
        <v>0</v>
      </c>
      <c r="AA310" s="180" t="str">
        <f>VLOOKUP(A310,[2]DG!$A:$C,3,0)</f>
        <v>Nắp bịt đầu cáp ABC95mm2</v>
      </c>
    </row>
    <row r="311" spans="1:27" ht="20.100000000000001" hidden="1" customHeight="1">
      <c r="A311" s="876" t="s">
        <v>492</v>
      </c>
      <c r="B311" s="859"/>
      <c r="C311" s="421" t="s">
        <v>493</v>
      </c>
      <c r="D311" s="364" t="s">
        <v>9</v>
      </c>
      <c r="E311" s="833">
        <v>1600</v>
      </c>
      <c r="F311" s="833">
        <f t="shared" si="42"/>
        <v>0</v>
      </c>
      <c r="G311" s="833">
        <f t="shared" si="43"/>
        <v>0</v>
      </c>
      <c r="H311" s="834">
        <v>1</v>
      </c>
      <c r="I311" s="835"/>
      <c r="J311" s="836"/>
      <c r="K311" s="836"/>
      <c r="L311" s="836"/>
      <c r="M311" s="836"/>
      <c r="N311" s="836"/>
      <c r="O311" s="836"/>
      <c r="P311" s="836"/>
      <c r="Q311" s="836"/>
      <c r="R311" s="837">
        <v>0.1</v>
      </c>
      <c r="T311" s="155">
        <v>1600</v>
      </c>
      <c r="U311" s="155"/>
      <c r="V311" s="155"/>
      <c r="AA311" s="180" t="str">
        <f>VLOOKUP(A311,[2]DG!$A:$C,3,0)</f>
        <v>Nắp bịt đầu cáp ABC70mm2</v>
      </c>
    </row>
    <row r="312" spans="1:27" ht="20.100000000000001" hidden="1" customHeight="1">
      <c r="A312" s="876" t="s">
        <v>494</v>
      </c>
      <c r="B312" s="859"/>
      <c r="C312" s="421" t="s">
        <v>495</v>
      </c>
      <c r="D312" s="364" t="s">
        <v>9</v>
      </c>
      <c r="E312" s="833">
        <v>1600</v>
      </c>
      <c r="F312" s="833">
        <f t="shared" si="42"/>
        <v>0</v>
      </c>
      <c r="G312" s="833">
        <f t="shared" si="43"/>
        <v>0</v>
      </c>
      <c r="H312" s="834">
        <v>1</v>
      </c>
      <c r="I312" s="835"/>
      <c r="J312" s="836"/>
      <c r="K312" s="836"/>
      <c r="L312" s="836"/>
      <c r="M312" s="836"/>
      <c r="N312" s="836"/>
      <c r="O312" s="836"/>
      <c r="P312" s="836"/>
      <c r="Q312" s="836"/>
      <c r="R312" s="837">
        <v>0.1</v>
      </c>
      <c r="T312" s="155">
        <v>1600</v>
      </c>
      <c r="U312" s="155"/>
      <c r="V312" s="155"/>
      <c r="AA312" s="180" t="str">
        <f>VLOOKUP(A312,[2]DG!$A:$C,3,0)</f>
        <v>Nắp bịt đầu cáp ABC50mm2</v>
      </c>
    </row>
    <row r="313" spans="1:27" ht="20.100000000000001" hidden="1" customHeight="1">
      <c r="A313" s="873" t="s">
        <v>496</v>
      </c>
      <c r="B313" s="859" t="s">
        <v>4115</v>
      </c>
      <c r="C313" s="416" t="s">
        <v>497</v>
      </c>
      <c r="D313" s="364" t="s">
        <v>9</v>
      </c>
      <c r="E313" s="833">
        <v>14000</v>
      </c>
      <c r="F313" s="833">
        <f t="shared" si="42"/>
        <v>259648.56000000003</v>
      </c>
      <c r="G313" s="833">
        <f t="shared" si="43"/>
        <v>4712.5600000000004</v>
      </c>
      <c r="H313" s="834" t="s">
        <v>4065</v>
      </c>
      <c r="I313" s="835" t="s">
        <v>3377</v>
      </c>
      <c r="J313" s="836">
        <v>0.93</v>
      </c>
      <c r="K313" s="836"/>
      <c r="L313" s="836"/>
      <c r="M313" s="836"/>
      <c r="N313" s="836"/>
      <c r="O313" s="836"/>
      <c r="P313" s="836">
        <v>0.08</v>
      </c>
      <c r="Q313" s="836"/>
      <c r="R313" s="837">
        <v>0.2</v>
      </c>
      <c r="T313" s="418">
        <v>14000</v>
      </c>
      <c r="U313" s="155"/>
      <c r="V313" s="155"/>
      <c r="AA313" s="180" t="str">
        <f>VLOOKUP(A313,[2]DG!$A:$C,3,0)</f>
        <v>Kẹp ép cỡ dây 25mm2</v>
      </c>
    </row>
    <row r="314" spans="1:27" ht="20.100000000000001" hidden="1" customHeight="1">
      <c r="A314" s="873" t="s">
        <v>498</v>
      </c>
      <c r="B314" s="859" t="s">
        <v>4115</v>
      </c>
      <c r="C314" s="416" t="s">
        <v>499</v>
      </c>
      <c r="D314" s="364" t="s">
        <v>9</v>
      </c>
      <c r="E314" s="833">
        <v>14000</v>
      </c>
      <c r="F314" s="833">
        <f t="shared" si="42"/>
        <v>259648.56000000003</v>
      </c>
      <c r="G314" s="833">
        <f t="shared" si="43"/>
        <v>4712.5600000000004</v>
      </c>
      <c r="H314" s="834" t="s">
        <v>4065</v>
      </c>
      <c r="I314" s="835" t="s">
        <v>3377</v>
      </c>
      <c r="J314" s="836">
        <v>0.93</v>
      </c>
      <c r="K314" s="836"/>
      <c r="L314" s="836"/>
      <c r="M314" s="836"/>
      <c r="N314" s="836"/>
      <c r="O314" s="836"/>
      <c r="P314" s="836">
        <v>0.08</v>
      </c>
      <c r="Q314" s="836"/>
      <c r="R314" s="837">
        <v>0.2</v>
      </c>
      <c r="T314" s="418">
        <v>14000</v>
      </c>
      <c r="U314" s="155"/>
      <c r="V314" s="155"/>
      <c r="AA314" s="180" t="str">
        <f>VLOOKUP(A314,[2]DG!$A:$C,3,0)</f>
        <v>Kẹp ép WR cỡ dây 35mm2</v>
      </c>
    </row>
    <row r="315" spans="1:27" ht="20.100000000000001" hidden="1" customHeight="1">
      <c r="A315" s="873" t="s">
        <v>500</v>
      </c>
      <c r="B315" s="859" t="s">
        <v>4115</v>
      </c>
      <c r="C315" s="416" t="s">
        <v>501</v>
      </c>
      <c r="D315" s="364" t="s">
        <v>9</v>
      </c>
      <c r="E315" s="833">
        <v>13000</v>
      </c>
      <c r="F315" s="833">
        <f t="shared" si="42"/>
        <v>259648.56000000003</v>
      </c>
      <c r="G315" s="833">
        <f t="shared" si="43"/>
        <v>4712.5600000000004</v>
      </c>
      <c r="H315" s="834" t="s">
        <v>4065</v>
      </c>
      <c r="I315" s="835" t="s">
        <v>3377</v>
      </c>
      <c r="J315" s="836">
        <v>0.93</v>
      </c>
      <c r="K315" s="836"/>
      <c r="L315" s="836"/>
      <c r="M315" s="836"/>
      <c r="N315" s="836"/>
      <c r="O315" s="836"/>
      <c r="P315" s="836">
        <v>0.08</v>
      </c>
      <c r="Q315" s="836"/>
      <c r="R315" s="837">
        <v>0.2</v>
      </c>
      <c r="T315" s="427">
        <v>13000</v>
      </c>
      <c r="U315" s="155">
        <v>0</v>
      </c>
      <c r="V315" s="155">
        <v>0</v>
      </c>
      <c r="AA315" s="180" t="str">
        <f>VLOOKUP(A315,[2]DG!$A:$C,3,0)</f>
        <v>Kẹp ép WR cỡ dây 50mm2</v>
      </c>
    </row>
    <row r="316" spans="1:27" ht="20.100000000000001" hidden="1" customHeight="1">
      <c r="A316" s="873" t="s">
        <v>502</v>
      </c>
      <c r="B316" s="859" t="s">
        <v>4115</v>
      </c>
      <c r="C316" s="416" t="s">
        <v>503</v>
      </c>
      <c r="D316" s="364" t="s">
        <v>9</v>
      </c>
      <c r="E316" s="833">
        <v>14000</v>
      </c>
      <c r="F316" s="833">
        <f t="shared" si="42"/>
        <v>259648.56000000003</v>
      </c>
      <c r="G316" s="833">
        <f t="shared" si="43"/>
        <v>4712.5600000000004</v>
      </c>
      <c r="H316" s="834" t="s">
        <v>4065</v>
      </c>
      <c r="I316" s="835" t="s">
        <v>3377</v>
      </c>
      <c r="J316" s="836">
        <v>0.93</v>
      </c>
      <c r="K316" s="836"/>
      <c r="L316" s="836"/>
      <c r="M316" s="836"/>
      <c r="N316" s="836"/>
      <c r="O316" s="836"/>
      <c r="P316" s="836">
        <v>0.08</v>
      </c>
      <c r="Q316" s="836"/>
      <c r="R316" s="837">
        <v>0.2</v>
      </c>
      <c r="T316" s="418">
        <v>14000</v>
      </c>
      <c r="U316" s="155"/>
      <c r="V316" s="155"/>
      <c r="AA316" s="180" t="str">
        <f>VLOOKUP(A316,[2]DG!$A:$C,3,0)</f>
        <v>Kẹp ép WR cỡ dây 70mm2</v>
      </c>
    </row>
    <row r="317" spans="1:27" ht="20.100000000000001" hidden="1" customHeight="1">
      <c r="A317" s="873" t="s">
        <v>504</v>
      </c>
      <c r="B317" s="859" t="s">
        <v>4115</v>
      </c>
      <c r="C317" s="416" t="s">
        <v>505</v>
      </c>
      <c r="D317" s="364" t="s">
        <v>9</v>
      </c>
      <c r="E317" s="833">
        <v>14000</v>
      </c>
      <c r="F317" s="833">
        <f t="shared" si="42"/>
        <v>259648.56000000003</v>
      </c>
      <c r="G317" s="833">
        <f t="shared" si="43"/>
        <v>4712.5600000000004</v>
      </c>
      <c r="H317" s="834" t="s">
        <v>4065</v>
      </c>
      <c r="I317" s="835" t="s">
        <v>3377</v>
      </c>
      <c r="J317" s="836">
        <v>0.93</v>
      </c>
      <c r="K317" s="836"/>
      <c r="L317" s="836"/>
      <c r="M317" s="836"/>
      <c r="N317" s="836"/>
      <c r="O317" s="836"/>
      <c r="P317" s="836">
        <v>0.08</v>
      </c>
      <c r="Q317" s="836"/>
      <c r="R317" s="837">
        <v>0.2</v>
      </c>
      <c r="T317" s="418">
        <v>14000</v>
      </c>
      <c r="U317" s="155"/>
      <c r="V317" s="155"/>
      <c r="AA317" s="180" t="str">
        <f>VLOOKUP(A317,[2]DG!$A:$C,3,0)</f>
        <v>Kẹp ép WR cỡ dây 95mm2</v>
      </c>
    </row>
    <row r="318" spans="1:27" ht="20.100000000000001" hidden="1" customHeight="1">
      <c r="A318" s="873" t="s">
        <v>506</v>
      </c>
      <c r="B318" s="859" t="s">
        <v>4115</v>
      </c>
      <c r="C318" s="416" t="s">
        <v>507</v>
      </c>
      <c r="D318" s="364" t="s">
        <v>9</v>
      </c>
      <c r="E318" s="833">
        <v>10800</v>
      </c>
      <c r="F318" s="833">
        <f t="shared" si="42"/>
        <v>259648.56000000003</v>
      </c>
      <c r="G318" s="833">
        <f t="shared" si="43"/>
        <v>4712.5600000000004</v>
      </c>
      <c r="H318" s="834" t="s">
        <v>4065</v>
      </c>
      <c r="I318" s="835" t="s">
        <v>3377</v>
      </c>
      <c r="J318" s="836">
        <v>0.93</v>
      </c>
      <c r="K318" s="836"/>
      <c r="L318" s="836"/>
      <c r="M318" s="836"/>
      <c r="N318" s="836"/>
      <c r="O318" s="836"/>
      <c r="P318" s="836">
        <v>0.08</v>
      </c>
      <c r="Q318" s="836"/>
      <c r="R318" s="837">
        <v>0.2</v>
      </c>
      <c r="T318" s="427">
        <v>10800</v>
      </c>
      <c r="U318" s="155"/>
      <c r="V318" s="155"/>
      <c r="AA318" s="180" t="str">
        <f>VLOOKUP(A318,[2]DG!$A:$C,3,0)</f>
        <v>Kẹp ép WR cỡ dây 120mm2</v>
      </c>
    </row>
    <row r="319" spans="1:27" ht="20.100000000000001" hidden="1" customHeight="1">
      <c r="A319" s="873" t="s">
        <v>508</v>
      </c>
      <c r="B319" s="859" t="s">
        <v>4116</v>
      </c>
      <c r="C319" s="416" t="s">
        <v>509</v>
      </c>
      <c r="D319" s="364" t="s">
        <v>9</v>
      </c>
      <c r="E319" s="833">
        <v>16000</v>
      </c>
      <c r="F319" s="833">
        <f t="shared" si="42"/>
        <v>326654.63999999996</v>
      </c>
      <c r="G319" s="833">
        <f t="shared" si="43"/>
        <v>4712.5600000000004</v>
      </c>
      <c r="H319" s="834" t="s">
        <v>4065</v>
      </c>
      <c r="I319" s="835" t="s">
        <v>3377</v>
      </c>
      <c r="J319" s="836">
        <v>1.17</v>
      </c>
      <c r="K319" s="836"/>
      <c r="L319" s="836"/>
      <c r="M319" s="836"/>
      <c r="N319" s="836"/>
      <c r="O319" s="836"/>
      <c r="P319" s="836">
        <v>0.08</v>
      </c>
      <c r="Q319" s="836"/>
      <c r="R319" s="837">
        <v>0.2</v>
      </c>
      <c r="T319" s="418">
        <v>16000</v>
      </c>
      <c r="U319" s="155"/>
      <c r="V319" s="155"/>
      <c r="AA319" s="180" t="str">
        <f>VLOOKUP(A319,[2]DG!$A:$C,3,0)</f>
        <v>Kẹp ép WR cỡ dây 150mm2</v>
      </c>
    </row>
    <row r="320" spans="1:27" ht="20.100000000000001" hidden="1" customHeight="1">
      <c r="A320" s="873" t="s">
        <v>510</v>
      </c>
      <c r="B320" s="859" t="s">
        <v>4117</v>
      </c>
      <c r="C320" s="416" t="s">
        <v>511</v>
      </c>
      <c r="D320" s="364" t="s">
        <v>9</v>
      </c>
      <c r="E320" s="833">
        <v>21200</v>
      </c>
      <c r="F320" s="833">
        <f t="shared" si="42"/>
        <v>402036.47999999998</v>
      </c>
      <c r="G320" s="833">
        <f t="shared" si="43"/>
        <v>4712.5600000000004</v>
      </c>
      <c r="H320" s="834" t="s">
        <v>4065</v>
      </c>
      <c r="I320" s="835" t="s">
        <v>3377</v>
      </c>
      <c r="J320" s="836">
        <v>1.44</v>
      </c>
      <c r="K320" s="836"/>
      <c r="L320" s="836"/>
      <c r="M320" s="836"/>
      <c r="N320" s="836"/>
      <c r="O320" s="836"/>
      <c r="P320" s="836">
        <v>0.08</v>
      </c>
      <c r="Q320" s="836"/>
      <c r="R320" s="837">
        <v>0.2</v>
      </c>
      <c r="T320" s="418">
        <v>21200</v>
      </c>
      <c r="U320" s="155"/>
      <c r="V320" s="155"/>
      <c r="AA320" s="180" t="str">
        <f>VLOOKUP(A320,[2]DG!$A:$C,3,0)</f>
        <v>Kẹp ép WR cỡ dây 185mm2</v>
      </c>
    </row>
    <row r="321" spans="1:27" ht="20.100000000000001" hidden="1" customHeight="1">
      <c r="A321" s="873" t="s">
        <v>512</v>
      </c>
      <c r="B321" s="859" t="s">
        <v>4118</v>
      </c>
      <c r="C321" s="416" t="s">
        <v>513</v>
      </c>
      <c r="D321" s="364" t="s">
        <v>9</v>
      </c>
      <c r="E321" s="833">
        <v>25000</v>
      </c>
      <c r="F321" s="833">
        <f t="shared" si="42"/>
        <v>522089.04000000004</v>
      </c>
      <c r="G321" s="833">
        <f t="shared" si="43"/>
        <v>5890.7000000000007</v>
      </c>
      <c r="H321" s="834" t="s">
        <v>4065</v>
      </c>
      <c r="I321" s="835" t="s">
        <v>3377</v>
      </c>
      <c r="J321" s="836">
        <v>1.87</v>
      </c>
      <c r="K321" s="836"/>
      <c r="L321" s="836"/>
      <c r="M321" s="836"/>
      <c r="N321" s="836"/>
      <c r="O321" s="836"/>
      <c r="P321" s="836">
        <v>0.1</v>
      </c>
      <c r="Q321" s="836"/>
      <c r="R321" s="837">
        <v>0.2</v>
      </c>
      <c r="T321" s="418">
        <v>25000</v>
      </c>
      <c r="U321" s="155"/>
      <c r="V321" s="155"/>
      <c r="AA321" s="180" t="str">
        <f>VLOOKUP(A321,[2]DG!$A:$C,3,0)</f>
        <v>Kẹp ép WR cỡ dây 240mm2</v>
      </c>
    </row>
    <row r="322" spans="1:27" ht="20.100000000000001" hidden="1" customHeight="1">
      <c r="A322" s="872" t="s">
        <v>514</v>
      </c>
      <c r="B322" s="860"/>
      <c r="C322" s="416" t="s">
        <v>515</v>
      </c>
      <c r="D322" s="431" t="s">
        <v>9</v>
      </c>
      <c r="E322" s="833">
        <v>4600</v>
      </c>
      <c r="F322" s="833">
        <f t="shared" si="42"/>
        <v>0</v>
      </c>
      <c r="G322" s="833">
        <f t="shared" si="43"/>
        <v>0</v>
      </c>
      <c r="H322" s="834">
        <v>1</v>
      </c>
      <c r="I322" s="835"/>
      <c r="J322" s="836"/>
      <c r="K322" s="836"/>
      <c r="L322" s="836"/>
      <c r="M322" s="836"/>
      <c r="N322" s="836"/>
      <c r="O322" s="836"/>
      <c r="P322" s="836"/>
      <c r="Q322" s="836"/>
      <c r="R322" s="837">
        <v>0.1</v>
      </c>
      <c r="T322" s="418">
        <v>4600</v>
      </c>
      <c r="U322" s="155"/>
      <c r="V322" s="155"/>
      <c r="AA322" s="180" t="str">
        <f>VLOOKUP(A322,[2]DG!$A:$C,3,0)</f>
        <v>Kẹp nối đồng-nhôm</v>
      </c>
    </row>
    <row r="323" spans="1:27" ht="20.100000000000001" hidden="1" customHeight="1">
      <c r="A323" s="872" t="s">
        <v>516</v>
      </c>
      <c r="B323" s="860"/>
      <c r="C323" s="416" t="s">
        <v>517</v>
      </c>
      <c r="D323" s="431" t="s">
        <v>9</v>
      </c>
      <c r="E323" s="833">
        <v>4600</v>
      </c>
      <c r="F323" s="833">
        <f t="shared" si="42"/>
        <v>0</v>
      </c>
      <c r="G323" s="833">
        <f t="shared" si="43"/>
        <v>0</v>
      </c>
      <c r="H323" s="834">
        <v>1</v>
      </c>
      <c r="I323" s="835"/>
      <c r="J323" s="836"/>
      <c r="K323" s="836"/>
      <c r="L323" s="836"/>
      <c r="M323" s="836"/>
      <c r="N323" s="836"/>
      <c r="O323" s="836"/>
      <c r="P323" s="836"/>
      <c r="Q323" s="836"/>
      <c r="R323" s="837">
        <v>0.1</v>
      </c>
      <c r="T323" s="418">
        <v>4600</v>
      </c>
      <c r="U323" s="155"/>
      <c r="V323" s="155"/>
      <c r="AA323" s="180" t="str">
        <f>VLOOKUP(A323,[2]DG!$A:$C,3,0)</f>
        <v>Kẹp nối đồng-nhôm 60mm2</v>
      </c>
    </row>
    <row r="324" spans="1:27" ht="20.100000000000001" hidden="1" customHeight="1">
      <c r="A324" s="872" t="s">
        <v>518</v>
      </c>
      <c r="B324" s="861" t="s">
        <v>4289</v>
      </c>
      <c r="C324" s="421" t="s">
        <v>520</v>
      </c>
      <c r="D324" s="431" t="s">
        <v>9</v>
      </c>
      <c r="E324" s="833">
        <v>35200</v>
      </c>
      <c r="F324" s="833">
        <f t="shared" si="42"/>
        <v>98156</v>
      </c>
      <c r="G324" s="833">
        <f t="shared" si="43"/>
        <v>0</v>
      </c>
      <c r="H324" s="834" t="s">
        <v>4065</v>
      </c>
      <c r="I324" s="835" t="s">
        <v>3370</v>
      </c>
      <c r="J324" s="836">
        <v>0.4</v>
      </c>
      <c r="K324" s="836"/>
      <c r="L324" s="836"/>
      <c r="M324" s="836"/>
      <c r="N324" s="836"/>
      <c r="O324" s="836"/>
      <c r="P324" s="836"/>
      <c r="Q324" s="836"/>
      <c r="R324" s="837">
        <v>0.1</v>
      </c>
      <c r="T324" s="418">
        <v>35200</v>
      </c>
      <c r="U324" s="155">
        <v>12978</v>
      </c>
      <c r="V324" s="155"/>
      <c r="AA324" s="180" t="str">
        <f>VLOOKUP(A324,[2]DG!$A:$C,3,0)</f>
        <v>Kẹp quai 2/0</v>
      </c>
    </row>
    <row r="325" spans="1:27" ht="20.100000000000001" hidden="1" customHeight="1">
      <c r="A325" s="872" t="s">
        <v>521</v>
      </c>
      <c r="B325" s="861" t="s">
        <v>4289</v>
      </c>
      <c r="C325" s="421" t="s">
        <v>522</v>
      </c>
      <c r="D325" s="431" t="s">
        <v>9</v>
      </c>
      <c r="E325" s="833">
        <v>81000</v>
      </c>
      <c r="F325" s="833">
        <f>IF(OR(I325="",J325=""),0,IF(K325*1=0,1,K325)*VLOOKUP(I325,TIENLUONG,4,0)*J325)</f>
        <v>98156</v>
      </c>
      <c r="G325" s="833">
        <f t="shared" si="43"/>
        <v>0</v>
      </c>
      <c r="H325" s="834" t="s">
        <v>4065</v>
      </c>
      <c r="I325" s="835" t="s">
        <v>3370</v>
      </c>
      <c r="J325" s="836">
        <v>0.4</v>
      </c>
      <c r="K325" s="836"/>
      <c r="L325" s="836"/>
      <c r="M325" s="836"/>
      <c r="N325" s="836"/>
      <c r="O325" s="836"/>
      <c r="P325" s="836"/>
      <c r="Q325" s="836"/>
      <c r="R325" s="837">
        <v>0.1</v>
      </c>
      <c r="T325" s="418">
        <v>81000</v>
      </c>
      <c r="U325" s="155">
        <v>12978</v>
      </c>
      <c r="V325" s="155">
        <v>0</v>
      </c>
      <c r="AA325" s="180" t="str">
        <f>VLOOKUP(A325,[2]DG!$A:$C,3,0)</f>
        <v>Kẹp quai 4/0</v>
      </c>
    </row>
    <row r="326" spans="1:27" ht="20.100000000000001" hidden="1" customHeight="1">
      <c r="A326" s="872" t="s">
        <v>523</v>
      </c>
      <c r="B326" s="861" t="s">
        <v>4290</v>
      </c>
      <c r="C326" s="421" t="s">
        <v>524</v>
      </c>
      <c r="D326" s="431" t="s">
        <v>9</v>
      </c>
      <c r="E326" s="833">
        <v>77000</v>
      </c>
      <c r="F326" s="833">
        <f>IF(OR(I326="",J326=""),0,IF(K326*1=0,1,K326)*VLOOKUP(I326,TIENLUONG,4,0)*J326)</f>
        <v>122695</v>
      </c>
      <c r="G326" s="833">
        <f t="shared" si="43"/>
        <v>0</v>
      </c>
      <c r="H326" s="834" t="s">
        <v>4065</v>
      </c>
      <c r="I326" s="835" t="s">
        <v>3370</v>
      </c>
      <c r="J326" s="836">
        <v>0.5</v>
      </c>
      <c r="K326" s="836"/>
      <c r="L326" s="836"/>
      <c r="M326" s="836"/>
      <c r="N326" s="836"/>
      <c r="O326" s="836"/>
      <c r="P326" s="836"/>
      <c r="Q326" s="836"/>
      <c r="R326" s="837">
        <v>0.1</v>
      </c>
      <c r="T326" s="418">
        <v>77000</v>
      </c>
      <c r="U326" s="155">
        <v>12978</v>
      </c>
      <c r="V326" s="155">
        <v>0</v>
      </c>
      <c r="AA326" s="180" t="str">
        <f>VLOOKUP(A326,[2]DG!$A:$C,3,0)</f>
        <v>Kẹp hotline 2/0</v>
      </c>
    </row>
    <row r="327" spans="1:27" ht="20.100000000000001" hidden="1" customHeight="1">
      <c r="A327" s="872" t="s">
        <v>525</v>
      </c>
      <c r="B327" s="861" t="s">
        <v>4290</v>
      </c>
      <c r="C327" s="421" t="s">
        <v>526</v>
      </c>
      <c r="D327" s="431" t="s">
        <v>9</v>
      </c>
      <c r="E327" s="833">
        <v>55000</v>
      </c>
      <c r="F327" s="833">
        <f t="shared" si="42"/>
        <v>122695</v>
      </c>
      <c r="G327" s="833">
        <f t="shared" si="43"/>
        <v>0</v>
      </c>
      <c r="H327" s="834" t="s">
        <v>4065</v>
      </c>
      <c r="I327" s="835" t="s">
        <v>3370</v>
      </c>
      <c r="J327" s="836">
        <v>0.5</v>
      </c>
      <c r="K327" s="836"/>
      <c r="L327" s="836"/>
      <c r="M327" s="836"/>
      <c r="N327" s="836"/>
      <c r="O327" s="836"/>
      <c r="P327" s="836"/>
      <c r="Q327" s="836"/>
      <c r="R327" s="837">
        <v>0.1</v>
      </c>
      <c r="T327" s="418">
        <v>55000</v>
      </c>
      <c r="U327" s="155">
        <v>12978</v>
      </c>
      <c r="V327" s="155"/>
      <c r="AA327" s="180" t="str">
        <f>VLOOKUP(A327,[2]DG!$A:$C,3,0)</f>
        <v>Kẹp hotline 4/0</v>
      </c>
    </row>
    <row r="328" spans="1:27" ht="20.100000000000001" hidden="1" customHeight="1">
      <c r="A328" s="872" t="s">
        <v>527</v>
      </c>
      <c r="B328" s="859" t="s">
        <v>519</v>
      </c>
      <c r="C328" s="421" t="s">
        <v>528</v>
      </c>
      <c r="D328" s="431" t="s">
        <v>9</v>
      </c>
      <c r="E328" s="833">
        <v>42400</v>
      </c>
      <c r="F328" s="833">
        <f t="shared" si="42"/>
        <v>0</v>
      </c>
      <c r="G328" s="833">
        <f t="shared" si="43"/>
        <v>0</v>
      </c>
      <c r="H328" s="834">
        <v>1</v>
      </c>
      <c r="I328" s="835"/>
      <c r="J328" s="836"/>
      <c r="K328" s="836"/>
      <c r="L328" s="836"/>
      <c r="M328" s="836"/>
      <c r="N328" s="836"/>
      <c r="O328" s="836"/>
      <c r="P328" s="836"/>
      <c r="Q328" s="836"/>
      <c r="R328" s="837">
        <v>0.1</v>
      </c>
      <c r="T328" s="418">
        <v>42400</v>
      </c>
      <c r="U328" s="155">
        <v>12978</v>
      </c>
      <c r="V328" s="155"/>
      <c r="AA328" s="180" t="str">
        <f>VLOOKUP(A328,[2]DG!$A:$C,3,0)</f>
        <v>Kẹp hotline 350MCM</v>
      </c>
    </row>
    <row r="329" spans="1:27" ht="20.100000000000001" hidden="1" customHeight="1">
      <c r="A329" s="872" t="s">
        <v>529</v>
      </c>
      <c r="B329" s="860"/>
      <c r="C329" s="421" t="s">
        <v>530</v>
      </c>
      <c r="D329" s="364" t="s">
        <v>9</v>
      </c>
      <c r="E329" s="833">
        <v>7400</v>
      </c>
      <c r="F329" s="833">
        <f t="shared" ref="F329:F395" si="44">IF(OR(I329="",J329=""),0,IF(K329*1=0,1,K329)*VLOOKUP(I329,TIENLUONG,4,0)*J329)</f>
        <v>0</v>
      </c>
      <c r="G329" s="833">
        <f t="shared" ref="G329:G395" si="45">L329*VLOOKUP($L$1,CAMAY,2,0)+M329*VLOOKUP($M$1,CAMAY,2,0)+N329*VLOOKUP($N$1,CAMAY,2,0)+O329*VLOOKUP($O$1,CAMAY,2,0)+P329*VLOOKUP($P$1,CAMAY,2,0)</f>
        <v>0</v>
      </c>
      <c r="H329" s="834">
        <v>1</v>
      </c>
      <c r="I329" s="835"/>
      <c r="J329" s="836"/>
      <c r="K329" s="836"/>
      <c r="L329" s="836"/>
      <c r="M329" s="836"/>
      <c r="N329" s="836"/>
      <c r="O329" s="836"/>
      <c r="P329" s="836"/>
      <c r="Q329" s="836"/>
      <c r="R329" s="837">
        <v>0.1</v>
      </c>
      <c r="T329" s="418">
        <v>7400</v>
      </c>
      <c r="U329" s="155"/>
      <c r="V329" s="155"/>
      <c r="AA329" s="180" t="str">
        <f>VLOOKUP(A329,[2]DG!$A:$C,3,0)</f>
        <v>Kẹp U bolt dây 35mm2</v>
      </c>
    </row>
    <row r="330" spans="1:27" ht="20.100000000000001" hidden="1" customHeight="1">
      <c r="A330" s="872" t="s">
        <v>531</v>
      </c>
      <c r="B330" s="860"/>
      <c r="C330" s="421" t="s">
        <v>532</v>
      </c>
      <c r="D330" s="364" t="s">
        <v>9</v>
      </c>
      <c r="E330" s="833">
        <v>10100</v>
      </c>
      <c r="F330" s="833">
        <f t="shared" si="44"/>
        <v>0</v>
      </c>
      <c r="G330" s="833">
        <f t="shared" si="45"/>
        <v>0</v>
      </c>
      <c r="H330" s="834">
        <v>1</v>
      </c>
      <c r="I330" s="835"/>
      <c r="J330" s="836"/>
      <c r="K330" s="836"/>
      <c r="L330" s="836"/>
      <c r="M330" s="836"/>
      <c r="N330" s="836"/>
      <c r="O330" s="836"/>
      <c r="P330" s="836"/>
      <c r="Q330" s="836"/>
      <c r="R330" s="837">
        <v>0.1</v>
      </c>
      <c r="T330" s="418">
        <v>10100</v>
      </c>
      <c r="U330" s="155"/>
      <c r="V330" s="155"/>
      <c r="AA330" s="180" t="str">
        <f>VLOOKUP(A330,[2]DG!$A:$C,3,0)</f>
        <v>Kẹp U bolt dây 50mm2</v>
      </c>
    </row>
    <row r="331" spans="1:27" ht="20.100000000000001" hidden="1" customHeight="1">
      <c r="A331" s="872" t="s">
        <v>533</v>
      </c>
      <c r="B331" s="860"/>
      <c r="C331" s="421" t="s">
        <v>534</v>
      </c>
      <c r="D331" s="364" t="s">
        <v>9</v>
      </c>
      <c r="E331" s="833">
        <v>10100</v>
      </c>
      <c r="F331" s="833">
        <f t="shared" si="44"/>
        <v>0</v>
      </c>
      <c r="G331" s="833">
        <f t="shared" si="45"/>
        <v>0</v>
      </c>
      <c r="H331" s="834">
        <v>1</v>
      </c>
      <c r="I331" s="835"/>
      <c r="J331" s="836"/>
      <c r="K331" s="836"/>
      <c r="L331" s="836"/>
      <c r="M331" s="836"/>
      <c r="N331" s="836"/>
      <c r="O331" s="836"/>
      <c r="P331" s="836"/>
      <c r="Q331" s="836"/>
      <c r="R331" s="837">
        <v>0.1</v>
      </c>
      <c r="T331" s="418">
        <v>10100</v>
      </c>
      <c r="U331" s="155"/>
      <c r="V331" s="155"/>
      <c r="AA331" s="180" t="str">
        <f>VLOOKUP(A331,[2]DG!$A:$C,3,0)</f>
        <v>Kẹp U bolt dây 70mm2</v>
      </c>
    </row>
    <row r="332" spans="1:27" ht="20.100000000000001" hidden="1" customHeight="1">
      <c r="A332" s="872" t="s">
        <v>535</v>
      </c>
      <c r="B332" s="860"/>
      <c r="C332" s="421" t="s">
        <v>536</v>
      </c>
      <c r="D332" s="364" t="s">
        <v>9</v>
      </c>
      <c r="E332" s="833">
        <v>17000</v>
      </c>
      <c r="F332" s="833">
        <f t="shared" si="44"/>
        <v>0</v>
      </c>
      <c r="G332" s="833">
        <f t="shared" si="45"/>
        <v>0</v>
      </c>
      <c r="H332" s="834">
        <v>1</v>
      </c>
      <c r="I332" s="835"/>
      <c r="J332" s="836"/>
      <c r="K332" s="836"/>
      <c r="L332" s="836"/>
      <c r="M332" s="836"/>
      <c r="N332" s="836"/>
      <c r="O332" s="836"/>
      <c r="P332" s="836"/>
      <c r="Q332" s="836"/>
      <c r="R332" s="837">
        <v>0.1</v>
      </c>
      <c r="T332" s="418">
        <v>17000</v>
      </c>
      <c r="U332" s="155"/>
      <c r="V332" s="155"/>
      <c r="AA332" s="180" t="str">
        <f>VLOOKUP(A332,[2]DG!$A:$C,3,0)</f>
        <v>Kẹp U bolt dây 95mm2</v>
      </c>
    </row>
    <row r="333" spans="1:27" ht="20.100000000000001" hidden="1" customHeight="1">
      <c r="A333" s="874" t="s">
        <v>2300</v>
      </c>
      <c r="B333" s="859"/>
      <c r="C333" s="416" t="s">
        <v>537</v>
      </c>
      <c r="D333" s="431" t="s">
        <v>9</v>
      </c>
      <c r="E333" s="833">
        <v>21727</v>
      </c>
      <c r="F333" s="833">
        <f t="shared" si="44"/>
        <v>0</v>
      </c>
      <c r="G333" s="833">
        <f t="shared" si="45"/>
        <v>0</v>
      </c>
      <c r="H333" s="834">
        <v>1</v>
      </c>
      <c r="I333" s="835"/>
      <c r="J333" s="836"/>
      <c r="K333" s="836"/>
      <c r="L333" s="836"/>
      <c r="M333" s="836"/>
      <c r="N333" s="836"/>
      <c r="O333" s="836"/>
      <c r="P333" s="836"/>
      <c r="Q333" s="836"/>
      <c r="R333" s="837">
        <v>0.5</v>
      </c>
      <c r="T333" s="155">
        <v>21727</v>
      </c>
      <c r="U333" s="155"/>
      <c r="V333" s="155"/>
      <c r="AA333" s="180" t="str">
        <f>VLOOKUP(A333,[2]DG!$A:$C,3,0)</f>
        <v>Khóa đỡ dây cỡ dây 50</v>
      </c>
    </row>
    <row r="334" spans="1:27" ht="20.100000000000001" hidden="1" customHeight="1">
      <c r="A334" s="874" t="s">
        <v>2299</v>
      </c>
      <c r="B334" s="859"/>
      <c r="C334" s="416" t="s">
        <v>538</v>
      </c>
      <c r="D334" s="431" t="s">
        <v>9</v>
      </c>
      <c r="E334" s="833">
        <v>21727</v>
      </c>
      <c r="F334" s="833">
        <f t="shared" si="44"/>
        <v>0</v>
      </c>
      <c r="G334" s="833">
        <f t="shared" si="45"/>
        <v>0</v>
      </c>
      <c r="H334" s="834">
        <v>1</v>
      </c>
      <c r="I334" s="835"/>
      <c r="J334" s="836"/>
      <c r="K334" s="836"/>
      <c r="L334" s="836"/>
      <c r="M334" s="836"/>
      <c r="N334" s="836"/>
      <c r="O334" s="836"/>
      <c r="P334" s="836"/>
      <c r="Q334" s="836"/>
      <c r="R334" s="837">
        <v>0.5</v>
      </c>
      <c r="T334" s="155">
        <v>21727</v>
      </c>
      <c r="U334" s="155"/>
      <c r="V334" s="155"/>
      <c r="AA334" s="180" t="str">
        <f>VLOOKUP(A334,[2]DG!$A:$C,3,0)</f>
        <v>Khóa đỡ dây cỡ dây 70</v>
      </c>
    </row>
    <row r="335" spans="1:27" ht="20.100000000000001" hidden="1" customHeight="1">
      <c r="A335" s="874" t="s">
        <v>2298</v>
      </c>
      <c r="B335" s="859"/>
      <c r="C335" s="416" t="s">
        <v>539</v>
      </c>
      <c r="D335" s="431" t="s">
        <v>9</v>
      </c>
      <c r="E335" s="833">
        <v>23545</v>
      </c>
      <c r="F335" s="833">
        <f t="shared" si="44"/>
        <v>0</v>
      </c>
      <c r="G335" s="833">
        <f t="shared" si="45"/>
        <v>0</v>
      </c>
      <c r="H335" s="834">
        <v>1</v>
      </c>
      <c r="I335" s="835"/>
      <c r="J335" s="836"/>
      <c r="K335" s="836"/>
      <c r="L335" s="836"/>
      <c r="M335" s="836"/>
      <c r="N335" s="836"/>
      <c r="O335" s="836"/>
      <c r="P335" s="836"/>
      <c r="Q335" s="836"/>
      <c r="R335" s="837">
        <v>0.5</v>
      </c>
      <c r="T335" s="155">
        <v>23545</v>
      </c>
      <c r="U335" s="155"/>
      <c r="V335" s="155"/>
      <c r="AA335" s="180" t="str">
        <f>VLOOKUP(A335,[2]DG!$A:$C,3,0)</f>
        <v>Khóa đỡ dây cỡ dây 95</v>
      </c>
    </row>
    <row r="336" spans="1:27" ht="20.100000000000001" hidden="1" customHeight="1">
      <c r="A336" s="874" t="s">
        <v>2297</v>
      </c>
      <c r="B336" s="859"/>
      <c r="C336" s="416" t="s">
        <v>540</v>
      </c>
      <c r="D336" s="431" t="s">
        <v>9</v>
      </c>
      <c r="E336" s="833">
        <v>23545</v>
      </c>
      <c r="F336" s="833">
        <f t="shared" si="44"/>
        <v>0</v>
      </c>
      <c r="G336" s="833">
        <f t="shared" si="45"/>
        <v>0</v>
      </c>
      <c r="H336" s="834">
        <v>1</v>
      </c>
      <c r="I336" s="835"/>
      <c r="J336" s="836"/>
      <c r="K336" s="836"/>
      <c r="L336" s="836"/>
      <c r="M336" s="836"/>
      <c r="N336" s="836"/>
      <c r="O336" s="836"/>
      <c r="P336" s="836"/>
      <c r="Q336" s="836"/>
      <c r="R336" s="837">
        <v>0.5</v>
      </c>
      <c r="T336" s="155">
        <v>23545</v>
      </c>
      <c r="U336" s="155"/>
      <c r="V336" s="155"/>
      <c r="AA336" s="180" t="str">
        <f>VLOOKUP(A336,[2]DG!$A:$C,3,0)</f>
        <v>Khóa đỡ dây cỡ dây 120</v>
      </c>
    </row>
    <row r="337" spans="1:27" ht="20.100000000000001" hidden="1" customHeight="1">
      <c r="A337" s="874" t="s">
        <v>2296</v>
      </c>
      <c r="B337" s="859"/>
      <c r="C337" s="416" t="s">
        <v>541</v>
      </c>
      <c r="D337" s="431" t="s">
        <v>9</v>
      </c>
      <c r="E337" s="833">
        <v>38091</v>
      </c>
      <c r="F337" s="833">
        <f t="shared" si="44"/>
        <v>0</v>
      </c>
      <c r="G337" s="833">
        <f t="shared" si="45"/>
        <v>0</v>
      </c>
      <c r="H337" s="834">
        <v>1</v>
      </c>
      <c r="I337" s="835"/>
      <c r="J337" s="836"/>
      <c r="K337" s="836"/>
      <c r="L337" s="836"/>
      <c r="M337" s="836"/>
      <c r="N337" s="836"/>
      <c r="O337" s="836"/>
      <c r="P337" s="836"/>
      <c r="Q337" s="836"/>
      <c r="R337" s="837">
        <v>0.5</v>
      </c>
      <c r="T337" s="155">
        <v>38091</v>
      </c>
      <c r="U337" s="155"/>
      <c r="V337" s="155"/>
      <c r="AA337" s="180" t="str">
        <f>VLOOKUP(A337,[2]DG!$A:$C,3,0)</f>
        <v>Khóa đỡ dây cỡ dây 150</v>
      </c>
    </row>
    <row r="338" spans="1:27" ht="20.100000000000001" hidden="1" customHeight="1">
      <c r="A338" s="874" t="s">
        <v>2295</v>
      </c>
      <c r="B338" s="859"/>
      <c r="C338" s="416" t="s">
        <v>542</v>
      </c>
      <c r="D338" s="431" t="s">
        <v>9</v>
      </c>
      <c r="E338" s="833">
        <v>38091</v>
      </c>
      <c r="F338" s="833">
        <f t="shared" si="44"/>
        <v>0</v>
      </c>
      <c r="G338" s="833">
        <f t="shared" si="45"/>
        <v>0</v>
      </c>
      <c r="H338" s="834">
        <v>1</v>
      </c>
      <c r="I338" s="835"/>
      <c r="J338" s="836"/>
      <c r="K338" s="836"/>
      <c r="L338" s="836"/>
      <c r="M338" s="836"/>
      <c r="N338" s="836"/>
      <c r="O338" s="836"/>
      <c r="P338" s="836"/>
      <c r="Q338" s="836"/>
      <c r="R338" s="837">
        <v>0.5</v>
      </c>
      <c r="T338" s="155">
        <v>38091</v>
      </c>
      <c r="U338" s="155"/>
      <c r="V338" s="155"/>
      <c r="AA338" s="180" t="str">
        <f>VLOOKUP(A338,[2]DG!$A:$C,3,0)</f>
        <v>Khóa đỡ dây cỡ dây 185</v>
      </c>
    </row>
    <row r="339" spans="1:27" ht="20.100000000000001" hidden="1" customHeight="1">
      <c r="A339" s="874" t="s">
        <v>2294</v>
      </c>
      <c r="B339" s="859"/>
      <c r="C339" s="416" t="s">
        <v>543</v>
      </c>
      <c r="D339" s="431" t="s">
        <v>9</v>
      </c>
      <c r="E339" s="833">
        <v>38091</v>
      </c>
      <c r="F339" s="833">
        <f t="shared" si="44"/>
        <v>0</v>
      </c>
      <c r="G339" s="833">
        <f t="shared" si="45"/>
        <v>0</v>
      </c>
      <c r="H339" s="834">
        <v>1</v>
      </c>
      <c r="I339" s="835"/>
      <c r="J339" s="836"/>
      <c r="K339" s="836"/>
      <c r="L339" s="836"/>
      <c r="M339" s="836"/>
      <c r="N339" s="836"/>
      <c r="O339" s="836"/>
      <c r="P339" s="836"/>
      <c r="Q339" s="836"/>
      <c r="R339" s="837">
        <v>0.5</v>
      </c>
      <c r="T339" s="155">
        <v>38091</v>
      </c>
      <c r="U339" s="155"/>
      <c r="V339" s="155"/>
      <c r="AA339" s="180" t="str">
        <f>VLOOKUP(A339,[2]DG!$A:$C,3,0)</f>
        <v>Khóa đỡ dây cỡ dây 240</v>
      </c>
    </row>
    <row r="340" spans="1:27" ht="20.100000000000001" hidden="1" customHeight="1">
      <c r="A340" s="874" t="s">
        <v>544</v>
      </c>
      <c r="B340" s="859"/>
      <c r="C340" s="416" t="s">
        <v>545</v>
      </c>
      <c r="D340" s="431" t="s">
        <v>9</v>
      </c>
      <c r="E340" s="833">
        <v>21727</v>
      </c>
      <c r="F340" s="833">
        <f t="shared" si="44"/>
        <v>0</v>
      </c>
      <c r="G340" s="833">
        <f t="shared" si="45"/>
        <v>0</v>
      </c>
      <c r="H340" s="834">
        <v>1</v>
      </c>
      <c r="I340" s="835"/>
      <c r="J340" s="836"/>
      <c r="K340" s="836"/>
      <c r="L340" s="836"/>
      <c r="M340" s="836"/>
      <c r="N340" s="836"/>
      <c r="O340" s="836"/>
      <c r="P340" s="836"/>
      <c r="Q340" s="836"/>
      <c r="R340" s="837">
        <v>0.1</v>
      </c>
      <c r="T340" s="155">
        <v>21727</v>
      </c>
      <c r="U340" s="155"/>
      <c r="V340" s="155"/>
      <c r="AA340" s="180" t="str">
        <f>VLOOKUP(A340,[2]DG!$A:$C,3,0)</f>
        <v>Khóa đỡ Đ357</v>
      </c>
    </row>
    <row r="341" spans="1:27" ht="20.100000000000001" hidden="1" customHeight="1">
      <c r="A341" s="874" t="s">
        <v>546</v>
      </c>
      <c r="B341" s="859"/>
      <c r="C341" s="416" t="s">
        <v>547</v>
      </c>
      <c r="D341" s="431" t="s">
        <v>9</v>
      </c>
      <c r="E341" s="833">
        <v>37000</v>
      </c>
      <c r="F341" s="833">
        <f t="shared" si="44"/>
        <v>0</v>
      </c>
      <c r="G341" s="833">
        <f t="shared" si="45"/>
        <v>0</v>
      </c>
      <c r="H341" s="834">
        <v>1</v>
      </c>
      <c r="I341" s="835"/>
      <c r="J341" s="836"/>
      <c r="K341" s="836"/>
      <c r="L341" s="836"/>
      <c r="M341" s="836"/>
      <c r="N341" s="836"/>
      <c r="O341" s="836"/>
      <c r="P341" s="836"/>
      <c r="Q341" s="836"/>
      <c r="R341" s="837">
        <v>0.1</v>
      </c>
      <c r="T341" s="155">
        <v>37000</v>
      </c>
      <c r="U341" s="155"/>
      <c r="V341" s="155"/>
      <c r="AA341" s="180" t="str">
        <f>VLOOKUP(A341,[2]DG!$A:$C,3,0)</f>
        <v>Khóa đỡ Đ912</v>
      </c>
    </row>
    <row r="342" spans="1:27" ht="20.100000000000001" hidden="1" customHeight="1">
      <c r="A342" s="874" t="s">
        <v>548</v>
      </c>
      <c r="B342" s="859"/>
      <c r="C342" s="416" t="s">
        <v>549</v>
      </c>
      <c r="D342" s="431" t="s">
        <v>9</v>
      </c>
      <c r="E342" s="833">
        <v>44000</v>
      </c>
      <c r="F342" s="833">
        <f t="shared" si="44"/>
        <v>0</v>
      </c>
      <c r="G342" s="833">
        <f t="shared" si="45"/>
        <v>0</v>
      </c>
      <c r="H342" s="834">
        <v>1</v>
      </c>
      <c r="I342" s="835"/>
      <c r="J342" s="836"/>
      <c r="K342" s="836"/>
      <c r="L342" s="836"/>
      <c r="M342" s="836"/>
      <c r="N342" s="836"/>
      <c r="O342" s="836"/>
      <c r="P342" s="836"/>
      <c r="Q342" s="836"/>
      <c r="R342" s="837">
        <v>0.1</v>
      </c>
      <c r="T342" s="155">
        <v>44000</v>
      </c>
      <c r="U342" s="155"/>
      <c r="V342" s="155"/>
      <c r="AA342" s="180" t="str">
        <f>VLOOKUP(A342,[2]DG!$A:$C,3,0)</f>
        <v>Khóa đỡ Đ158</v>
      </c>
    </row>
    <row r="343" spans="1:27" ht="20.100000000000001" hidden="1" customHeight="1">
      <c r="A343" s="873" t="s">
        <v>550</v>
      </c>
      <c r="B343" s="860"/>
      <c r="C343" s="416" t="s">
        <v>551</v>
      </c>
      <c r="D343" s="431" t="s">
        <v>9</v>
      </c>
      <c r="E343" s="833">
        <v>29700</v>
      </c>
      <c r="F343" s="833">
        <f t="shared" si="44"/>
        <v>0</v>
      </c>
      <c r="G343" s="833">
        <f t="shared" si="45"/>
        <v>0</v>
      </c>
      <c r="H343" s="834">
        <v>1</v>
      </c>
      <c r="I343" s="835"/>
      <c r="J343" s="836"/>
      <c r="K343" s="836"/>
      <c r="L343" s="836"/>
      <c r="M343" s="836"/>
      <c r="N343" s="836"/>
      <c r="O343" s="836"/>
      <c r="P343" s="836"/>
      <c r="Q343" s="836"/>
      <c r="R343" s="837">
        <v>0.5</v>
      </c>
      <c r="T343" s="155">
        <v>29700</v>
      </c>
      <c r="U343" s="155"/>
      <c r="V343" s="155"/>
      <c r="AA343" s="180" t="str">
        <f>VLOOKUP(A343,[2]DG!$A:$C,3,0)</f>
        <v>Khóa néo dây cỡ dây 35</v>
      </c>
    </row>
    <row r="344" spans="1:27" ht="20.100000000000001" hidden="1" customHeight="1">
      <c r="A344" s="873" t="s">
        <v>552</v>
      </c>
      <c r="B344" s="860">
        <v>0</v>
      </c>
      <c r="C344" s="416" t="s">
        <v>4561</v>
      </c>
      <c r="D344" s="431" t="s">
        <v>9</v>
      </c>
      <c r="E344" s="833">
        <v>62700</v>
      </c>
      <c r="F344" s="833">
        <f t="shared" si="44"/>
        <v>0</v>
      </c>
      <c r="G344" s="833">
        <f t="shared" si="45"/>
        <v>0</v>
      </c>
      <c r="H344" s="834" t="s">
        <v>4065</v>
      </c>
      <c r="I344" s="835"/>
      <c r="J344" s="836"/>
      <c r="K344" s="836"/>
      <c r="L344" s="836"/>
      <c r="M344" s="836"/>
      <c r="N344" s="836"/>
      <c r="O344" s="836"/>
      <c r="P344" s="836"/>
      <c r="Q344" s="836"/>
      <c r="R344" s="837">
        <v>0.5</v>
      </c>
      <c r="T344" s="418">
        <v>62600</v>
      </c>
      <c r="U344" s="155"/>
      <c r="V344" s="155"/>
      <c r="AA344" s="180" t="str">
        <f>VLOOKUP(A344,[2]DG!$A:$C,3,0)</f>
        <v>Khóa néo dây cỡ dây 50</v>
      </c>
    </row>
    <row r="345" spans="1:27" ht="20.100000000000001" customHeight="1">
      <c r="A345" s="873" t="s">
        <v>4562</v>
      </c>
      <c r="B345" s="860">
        <v>0</v>
      </c>
      <c r="C345" s="416" t="s">
        <v>4563</v>
      </c>
      <c r="D345" s="431" t="s">
        <v>9</v>
      </c>
      <c r="E345" s="833">
        <v>62700</v>
      </c>
      <c r="F345" s="833">
        <f t="shared" ref="F345" si="46">IF(OR(I345="",J345=""),0,IF(K345*1=0,1,K345)*VLOOKUP(I345,TIENLUONG,4,0)*J345)</f>
        <v>0</v>
      </c>
      <c r="G345" s="833">
        <f t="shared" ref="G345" si="47">L345*VLOOKUP($L$1,CAMAY,2,0)+M345*VLOOKUP($M$1,CAMAY,2,0)+N345*VLOOKUP($N$1,CAMAY,2,0)+O345*VLOOKUP($O$1,CAMAY,2,0)+P345*VLOOKUP($P$1,CAMAY,2,0)</f>
        <v>0</v>
      </c>
      <c r="H345" s="834" t="s">
        <v>4065</v>
      </c>
      <c r="I345" s="835"/>
      <c r="J345" s="836"/>
      <c r="K345" s="836"/>
      <c r="L345" s="836"/>
      <c r="M345" s="836"/>
      <c r="N345" s="836"/>
      <c r="O345" s="836"/>
      <c r="P345" s="836"/>
      <c r="Q345" s="836"/>
      <c r="R345" s="837">
        <v>0.5</v>
      </c>
      <c r="T345" s="418">
        <v>62600</v>
      </c>
      <c r="U345" s="155"/>
      <c r="V345" s="155"/>
      <c r="AA345" s="180" t="str">
        <f>VLOOKUP(A345,[2]DG!$A:$C,3,0)</f>
        <v>Khóa néo dây cỡ dây 50 (3U)</v>
      </c>
    </row>
    <row r="346" spans="1:27" ht="20.100000000000001" hidden="1" customHeight="1">
      <c r="A346" s="874" t="s">
        <v>553</v>
      </c>
      <c r="B346" s="859"/>
      <c r="C346" s="416" t="s">
        <v>554</v>
      </c>
      <c r="D346" s="431" t="s">
        <v>9</v>
      </c>
      <c r="E346" s="833">
        <v>41300</v>
      </c>
      <c r="F346" s="833">
        <f t="shared" si="44"/>
        <v>0</v>
      </c>
      <c r="G346" s="833">
        <f t="shared" si="45"/>
        <v>0</v>
      </c>
      <c r="H346" s="834">
        <v>1</v>
      </c>
      <c r="I346" s="835"/>
      <c r="J346" s="836"/>
      <c r="K346" s="836"/>
      <c r="L346" s="836"/>
      <c r="M346" s="836"/>
      <c r="N346" s="836"/>
      <c r="O346" s="836"/>
      <c r="P346" s="836"/>
      <c r="Q346" s="836"/>
      <c r="R346" s="837">
        <v>0.5</v>
      </c>
      <c r="T346" s="418">
        <v>41300</v>
      </c>
      <c r="U346" s="155"/>
      <c r="V346" s="155"/>
      <c r="AA346" s="180" t="str">
        <f>VLOOKUP(A346,[2]DG!$A:$C,3,0)</f>
        <v>Khóa néo dây cỡ dây 70</v>
      </c>
    </row>
    <row r="347" spans="1:27" ht="20.100000000000001" hidden="1" customHeight="1">
      <c r="A347" s="874" t="s">
        <v>555</v>
      </c>
      <c r="B347" s="859"/>
      <c r="C347" s="416" t="s">
        <v>556</v>
      </c>
      <c r="D347" s="431" t="s">
        <v>9</v>
      </c>
      <c r="E347" s="833">
        <v>66000</v>
      </c>
      <c r="F347" s="833">
        <f t="shared" si="44"/>
        <v>0</v>
      </c>
      <c r="G347" s="833">
        <f t="shared" si="45"/>
        <v>0</v>
      </c>
      <c r="H347" s="834">
        <v>1</v>
      </c>
      <c r="I347" s="835"/>
      <c r="J347" s="836"/>
      <c r="K347" s="836"/>
      <c r="L347" s="836"/>
      <c r="M347" s="836"/>
      <c r="N347" s="836"/>
      <c r="O347" s="836"/>
      <c r="P347" s="836"/>
      <c r="Q347" s="836"/>
      <c r="R347" s="837">
        <v>0.5</v>
      </c>
      <c r="T347" s="418">
        <v>66000</v>
      </c>
      <c r="U347" s="155"/>
      <c r="V347" s="155"/>
      <c r="AA347" s="180" t="str">
        <f>VLOOKUP(A347,[2]DG!$A:$C,3,0)</f>
        <v>Khóa néo dây cỡ dây 95</v>
      </c>
    </row>
    <row r="348" spans="1:27" ht="20.100000000000001" hidden="1" customHeight="1">
      <c r="A348" s="874" t="s">
        <v>557</v>
      </c>
      <c r="B348" s="859"/>
      <c r="C348" s="416" t="s">
        <v>558</v>
      </c>
      <c r="D348" s="431" t="s">
        <v>9</v>
      </c>
      <c r="E348" s="833">
        <v>66000</v>
      </c>
      <c r="F348" s="833">
        <f t="shared" si="44"/>
        <v>0</v>
      </c>
      <c r="G348" s="833">
        <f t="shared" si="45"/>
        <v>0</v>
      </c>
      <c r="H348" s="834">
        <v>1</v>
      </c>
      <c r="I348" s="835"/>
      <c r="J348" s="836"/>
      <c r="K348" s="836"/>
      <c r="L348" s="836"/>
      <c r="M348" s="836"/>
      <c r="N348" s="836"/>
      <c r="O348" s="836"/>
      <c r="P348" s="836"/>
      <c r="Q348" s="836"/>
      <c r="R348" s="837">
        <v>0.5</v>
      </c>
      <c r="T348" s="418">
        <v>66000</v>
      </c>
      <c r="U348" s="155"/>
      <c r="V348" s="155"/>
      <c r="AA348" s="180" t="str">
        <f>VLOOKUP(A348,[2]DG!$A:$C,3,0)</f>
        <v>Khóa néo dây cỡ dây 120</v>
      </c>
    </row>
    <row r="349" spans="1:27" ht="20.100000000000001" hidden="1" customHeight="1">
      <c r="A349" s="874" t="s">
        <v>559</v>
      </c>
      <c r="B349" s="859"/>
      <c r="C349" s="416" t="s">
        <v>560</v>
      </c>
      <c r="D349" s="431" t="s">
        <v>9</v>
      </c>
      <c r="E349" s="833">
        <v>77500</v>
      </c>
      <c r="F349" s="833">
        <f t="shared" si="44"/>
        <v>0</v>
      </c>
      <c r="G349" s="833">
        <f t="shared" si="45"/>
        <v>0</v>
      </c>
      <c r="H349" s="834">
        <v>1</v>
      </c>
      <c r="I349" s="835"/>
      <c r="J349" s="836"/>
      <c r="K349" s="836"/>
      <c r="L349" s="836"/>
      <c r="M349" s="836"/>
      <c r="N349" s="836"/>
      <c r="O349" s="836"/>
      <c r="P349" s="836"/>
      <c r="Q349" s="836"/>
      <c r="R349" s="837">
        <v>0.5</v>
      </c>
      <c r="T349" s="418">
        <v>77500</v>
      </c>
      <c r="U349" s="155"/>
      <c r="V349" s="155"/>
      <c r="AA349" s="180" t="str">
        <f>VLOOKUP(A349,[2]DG!$A:$C,3,0)</f>
        <v>Khóa néo dây cỡ dây 150</v>
      </c>
    </row>
    <row r="350" spans="1:27" ht="20.100000000000001" hidden="1" customHeight="1">
      <c r="A350" s="874" t="s">
        <v>561</v>
      </c>
      <c r="B350" s="859"/>
      <c r="C350" s="416" t="s">
        <v>562</v>
      </c>
      <c r="D350" s="431" t="s">
        <v>9</v>
      </c>
      <c r="E350" s="833">
        <v>88000</v>
      </c>
      <c r="F350" s="833">
        <f t="shared" si="44"/>
        <v>0</v>
      </c>
      <c r="G350" s="833">
        <f t="shared" si="45"/>
        <v>0</v>
      </c>
      <c r="H350" s="834">
        <v>1</v>
      </c>
      <c r="I350" s="835"/>
      <c r="J350" s="836"/>
      <c r="K350" s="836"/>
      <c r="L350" s="836"/>
      <c r="M350" s="836"/>
      <c r="N350" s="836"/>
      <c r="O350" s="836"/>
      <c r="P350" s="836"/>
      <c r="Q350" s="836"/>
      <c r="R350" s="837">
        <v>0.5</v>
      </c>
      <c r="T350" s="427">
        <v>88000</v>
      </c>
      <c r="U350" s="155"/>
      <c r="V350" s="155"/>
      <c r="AA350" s="180" t="str">
        <f>VLOOKUP(A350,[2]DG!$A:$C,3,0)</f>
        <v>Khóa néo dây cỡ dây 185</v>
      </c>
    </row>
    <row r="351" spans="1:27" ht="20.100000000000001" hidden="1" customHeight="1">
      <c r="A351" s="874" t="s">
        <v>563</v>
      </c>
      <c r="B351" s="859"/>
      <c r="C351" s="416" t="s">
        <v>564</v>
      </c>
      <c r="D351" s="431" t="s">
        <v>9</v>
      </c>
      <c r="E351" s="833">
        <v>82000</v>
      </c>
      <c r="F351" s="833">
        <f t="shared" si="44"/>
        <v>0</v>
      </c>
      <c r="G351" s="833">
        <f t="shared" si="45"/>
        <v>0</v>
      </c>
      <c r="H351" s="834">
        <v>1</v>
      </c>
      <c r="I351" s="835"/>
      <c r="J351" s="836"/>
      <c r="K351" s="836"/>
      <c r="L351" s="836"/>
      <c r="M351" s="836"/>
      <c r="N351" s="836"/>
      <c r="O351" s="836"/>
      <c r="P351" s="836"/>
      <c r="Q351" s="836"/>
      <c r="R351" s="837">
        <v>0.5</v>
      </c>
      <c r="T351" s="418">
        <v>82000</v>
      </c>
      <c r="U351" s="155"/>
      <c r="V351" s="155"/>
      <c r="AA351" s="180" t="str">
        <f>VLOOKUP(A351,[2]DG!$A:$C,3,0)</f>
        <v>Khóa néo dây cỡ dây 240</v>
      </c>
    </row>
    <row r="352" spans="1:27" ht="20.100000000000001" hidden="1" customHeight="1">
      <c r="A352" s="874" t="s">
        <v>565</v>
      </c>
      <c r="B352" s="859"/>
      <c r="C352" s="416" t="s">
        <v>566</v>
      </c>
      <c r="D352" s="431" t="s">
        <v>9</v>
      </c>
      <c r="E352" s="833">
        <v>45000</v>
      </c>
      <c r="F352" s="833">
        <f t="shared" si="44"/>
        <v>0</v>
      </c>
      <c r="G352" s="833">
        <f t="shared" si="45"/>
        <v>0</v>
      </c>
      <c r="H352" s="834">
        <v>1</v>
      </c>
      <c r="I352" s="835"/>
      <c r="J352" s="836"/>
      <c r="K352" s="836"/>
      <c r="L352" s="836"/>
      <c r="M352" s="836"/>
      <c r="N352" s="836"/>
      <c r="O352" s="836"/>
      <c r="P352" s="836"/>
      <c r="Q352" s="836"/>
      <c r="R352" s="837">
        <v>0.5</v>
      </c>
      <c r="T352" s="155">
        <v>45000</v>
      </c>
      <c r="U352" s="155"/>
      <c r="V352" s="155"/>
      <c r="AA352" s="180" t="str">
        <f>VLOOKUP(A352,[2]DG!$A:$C,3,0)</f>
        <v>Khóa néo N158</v>
      </c>
    </row>
    <row r="353" spans="1:27" ht="20.100000000000001" hidden="1" customHeight="1">
      <c r="A353" s="874" t="s">
        <v>567</v>
      </c>
      <c r="B353" s="859"/>
      <c r="C353" s="416" t="s">
        <v>568</v>
      </c>
      <c r="D353" s="431" t="s">
        <v>9</v>
      </c>
      <c r="E353" s="833">
        <v>37000</v>
      </c>
      <c r="F353" s="833">
        <f t="shared" si="44"/>
        <v>0</v>
      </c>
      <c r="G353" s="833">
        <f t="shared" si="45"/>
        <v>0</v>
      </c>
      <c r="H353" s="834">
        <v>1</v>
      </c>
      <c r="I353" s="835"/>
      <c r="J353" s="836"/>
      <c r="K353" s="836"/>
      <c r="L353" s="836"/>
      <c r="M353" s="836"/>
      <c r="N353" s="836"/>
      <c r="O353" s="836"/>
      <c r="P353" s="836"/>
      <c r="Q353" s="836"/>
      <c r="R353" s="837">
        <v>0.5</v>
      </c>
      <c r="T353" s="155">
        <v>37000</v>
      </c>
      <c r="U353" s="155"/>
      <c r="V353" s="155"/>
      <c r="AA353" s="180" t="str">
        <f>VLOOKUP(A353,[2]DG!$A:$C,3,0)</f>
        <v>Khóa néo N912</v>
      </c>
    </row>
    <row r="354" spans="1:27" ht="20.100000000000001" hidden="1" customHeight="1">
      <c r="A354" s="874" t="s">
        <v>569</v>
      </c>
      <c r="B354" s="859"/>
      <c r="C354" s="416" t="s">
        <v>570</v>
      </c>
      <c r="D354" s="431" t="s">
        <v>9</v>
      </c>
      <c r="E354" s="833">
        <v>26381</v>
      </c>
      <c r="F354" s="833">
        <f t="shared" si="44"/>
        <v>0</v>
      </c>
      <c r="G354" s="833">
        <f t="shared" si="45"/>
        <v>0</v>
      </c>
      <c r="H354" s="834">
        <v>1</v>
      </c>
      <c r="I354" s="835"/>
      <c r="J354" s="836"/>
      <c r="K354" s="836"/>
      <c r="L354" s="836"/>
      <c r="M354" s="836"/>
      <c r="N354" s="836"/>
      <c r="O354" s="836"/>
      <c r="P354" s="836"/>
      <c r="Q354" s="836"/>
      <c r="R354" s="837">
        <v>0.5</v>
      </c>
      <c r="T354" s="155">
        <v>26381</v>
      </c>
      <c r="U354" s="155"/>
      <c r="V354" s="155"/>
      <c r="AA354" s="180" t="str">
        <f>VLOOKUP(A354,[2]DG!$A:$C,3,0)</f>
        <v>Khóa néo N357</v>
      </c>
    </row>
    <row r="355" spans="1:27" ht="20.100000000000001" customHeight="1">
      <c r="A355" s="873" t="s">
        <v>571</v>
      </c>
      <c r="B355" s="859"/>
      <c r="C355" s="421" t="s">
        <v>572</v>
      </c>
      <c r="D355" s="431" t="s">
        <v>9</v>
      </c>
      <c r="E355" s="833">
        <v>250000</v>
      </c>
      <c r="F355" s="833">
        <f t="shared" si="44"/>
        <v>0</v>
      </c>
      <c r="G355" s="833">
        <f t="shared" si="45"/>
        <v>0</v>
      </c>
      <c r="H355" s="834">
        <v>1</v>
      </c>
      <c r="I355" s="835"/>
      <c r="J355" s="836"/>
      <c r="K355" s="836"/>
      <c r="L355" s="836"/>
      <c r="M355" s="836"/>
      <c r="N355" s="836"/>
      <c r="O355" s="836"/>
      <c r="P355" s="836"/>
      <c r="Q355" s="836"/>
      <c r="R355" s="837">
        <v>1</v>
      </c>
      <c r="T355" s="155">
        <v>250000</v>
      </c>
      <c r="U355" s="155"/>
      <c r="V355" s="155"/>
      <c r="AA355" s="180" t="str">
        <f>VLOOKUP(A355,[2]DG!$A:$C,3,0)</f>
        <v>Giáp níu dừng dây bọc 185</v>
      </c>
    </row>
    <row r="356" spans="1:27" ht="20.100000000000001" customHeight="1">
      <c r="A356" s="873" t="s">
        <v>4862</v>
      </c>
      <c r="B356" s="859"/>
      <c r="C356" s="421" t="s">
        <v>4863</v>
      </c>
      <c r="D356" s="431" t="s">
        <v>9</v>
      </c>
      <c r="E356" s="833">
        <v>250000</v>
      </c>
      <c r="F356" s="833">
        <f t="shared" ref="F356" si="48">IF(OR(I356="",J356=""),0,IF(K356*1=0,1,K356)*VLOOKUP(I356,TIENLUONG,4,0)*J356)</f>
        <v>0</v>
      </c>
      <c r="G356" s="833">
        <f t="shared" ref="G356" si="49">L356*VLOOKUP($L$1,CAMAY,2,0)+M356*VLOOKUP($M$1,CAMAY,2,0)+N356*VLOOKUP($N$1,CAMAY,2,0)+O356*VLOOKUP($O$1,CAMAY,2,0)+P356*VLOOKUP($P$1,CAMAY,2,0)</f>
        <v>0</v>
      </c>
      <c r="H356" s="834">
        <v>1</v>
      </c>
      <c r="I356" s="835"/>
      <c r="J356" s="836"/>
      <c r="K356" s="836"/>
      <c r="L356" s="836"/>
      <c r="M356" s="836"/>
      <c r="N356" s="836"/>
      <c r="O356" s="836"/>
      <c r="P356" s="836"/>
      <c r="Q356" s="836"/>
      <c r="R356" s="837">
        <v>1</v>
      </c>
      <c r="T356" s="155">
        <v>250000</v>
      </c>
      <c r="U356" s="155"/>
      <c r="V356" s="155"/>
      <c r="AA356" s="180" t="str">
        <f>VLOOKUP(A356,[2]DG!$A:$C,3,0)</f>
        <v>Giáp níu dừng dây bọc 150</v>
      </c>
    </row>
    <row r="357" spans="1:27" ht="20.100000000000001" customHeight="1">
      <c r="A357" s="873" t="s">
        <v>573</v>
      </c>
      <c r="B357" s="859"/>
      <c r="C357" s="421" t="s">
        <v>574</v>
      </c>
      <c r="D357" s="431" t="s">
        <v>9</v>
      </c>
      <c r="E357" s="833">
        <v>250000</v>
      </c>
      <c r="F357" s="833">
        <f t="shared" si="44"/>
        <v>0</v>
      </c>
      <c r="G357" s="833">
        <f t="shared" si="45"/>
        <v>0</v>
      </c>
      <c r="H357" s="834">
        <v>1</v>
      </c>
      <c r="I357" s="835"/>
      <c r="J357" s="836"/>
      <c r="K357" s="836"/>
      <c r="L357" s="836"/>
      <c r="M357" s="836"/>
      <c r="N357" s="836"/>
      <c r="O357" s="836"/>
      <c r="P357" s="836"/>
      <c r="Q357" s="836"/>
      <c r="R357" s="837">
        <v>1</v>
      </c>
      <c r="T357" s="155">
        <v>250000</v>
      </c>
      <c r="U357" s="155"/>
      <c r="V357" s="155"/>
      <c r="AA357" s="180" t="str">
        <f>VLOOKUP(A357,[2]DG!$A:$C,3,0)</f>
        <v>Giáp níu dừng dây bọc 95</v>
      </c>
    </row>
    <row r="358" spans="1:27" ht="20.100000000000001" customHeight="1">
      <c r="A358" s="873" t="s">
        <v>575</v>
      </c>
      <c r="B358" s="859"/>
      <c r="C358" s="421" t="s">
        <v>576</v>
      </c>
      <c r="D358" s="431" t="s">
        <v>9</v>
      </c>
      <c r="E358" s="833">
        <v>200000</v>
      </c>
      <c r="F358" s="833">
        <f t="shared" si="44"/>
        <v>0</v>
      </c>
      <c r="G358" s="833">
        <f t="shared" si="45"/>
        <v>0</v>
      </c>
      <c r="H358" s="834">
        <v>1</v>
      </c>
      <c r="I358" s="835"/>
      <c r="J358" s="836"/>
      <c r="K358" s="836"/>
      <c r="L358" s="836"/>
      <c r="M358" s="836"/>
      <c r="N358" s="836"/>
      <c r="O358" s="836"/>
      <c r="P358" s="836"/>
      <c r="Q358" s="836"/>
      <c r="R358" s="837">
        <v>1</v>
      </c>
      <c r="T358" s="155">
        <v>200000</v>
      </c>
      <c r="U358" s="155"/>
      <c r="V358" s="155"/>
      <c r="AA358" s="180" t="str">
        <f>VLOOKUP(A358,[2]DG!$A:$C,3,0)</f>
        <v>Giáp níu dừng dây bọc 70</v>
      </c>
    </row>
    <row r="359" spans="1:27" ht="20.100000000000001" hidden="1" customHeight="1">
      <c r="A359" s="873" t="s">
        <v>2850</v>
      </c>
      <c r="B359" s="859">
        <v>0</v>
      </c>
      <c r="C359" s="421" t="s">
        <v>2849</v>
      </c>
      <c r="D359" s="431" t="s">
        <v>9</v>
      </c>
      <c r="E359" s="833">
        <v>190000</v>
      </c>
      <c r="F359" s="833">
        <f t="shared" si="44"/>
        <v>0</v>
      </c>
      <c r="G359" s="833">
        <f t="shared" si="45"/>
        <v>0</v>
      </c>
      <c r="H359" s="834" t="s">
        <v>4065</v>
      </c>
      <c r="I359" s="835"/>
      <c r="J359" s="836"/>
      <c r="K359" s="836"/>
      <c r="L359" s="836"/>
      <c r="M359" s="836"/>
      <c r="N359" s="836"/>
      <c r="O359" s="836"/>
      <c r="P359" s="836"/>
      <c r="Q359" s="836"/>
      <c r="R359" s="837">
        <v>1</v>
      </c>
      <c r="T359" s="155">
        <v>190000</v>
      </c>
      <c r="U359" s="155">
        <v>0</v>
      </c>
      <c r="V359" s="155">
        <v>0</v>
      </c>
      <c r="AA359" s="180" t="str">
        <f>VLOOKUP(A359,[2]DG!$A:$C,3,0)</f>
        <v>Giáp níu dừng dây bọc 50mm2 + yếm móng U + Mắt nối yếm</v>
      </c>
    </row>
    <row r="360" spans="1:27" ht="20.100000000000001" hidden="1" customHeight="1">
      <c r="A360" s="872" t="s">
        <v>577</v>
      </c>
      <c r="B360" s="860">
        <v>0</v>
      </c>
      <c r="C360" s="421" t="s">
        <v>2888</v>
      </c>
      <c r="D360" s="364" t="s">
        <v>9</v>
      </c>
      <c r="E360" s="833">
        <v>55000</v>
      </c>
      <c r="F360" s="833">
        <f t="shared" si="44"/>
        <v>0</v>
      </c>
      <c r="G360" s="833">
        <f t="shared" si="45"/>
        <v>0</v>
      </c>
      <c r="H360" s="834" t="s">
        <v>4065</v>
      </c>
      <c r="I360" s="835"/>
      <c r="J360" s="836"/>
      <c r="K360" s="836"/>
      <c r="L360" s="836"/>
      <c r="M360" s="836"/>
      <c r="N360" s="836"/>
      <c r="O360" s="836"/>
      <c r="P360" s="836"/>
      <c r="Q360" s="836"/>
      <c r="R360" s="837">
        <v>1</v>
      </c>
      <c r="T360" s="155">
        <v>55000</v>
      </c>
      <c r="U360" s="155">
        <v>0</v>
      </c>
      <c r="V360" s="155">
        <v>0</v>
      </c>
      <c r="AA360" s="180" t="str">
        <f>VLOOKUP(A360,[2]DG!$A:$C,3,0)</f>
        <v>Máng che dây chằng dày 1,6mm</v>
      </c>
    </row>
    <row r="361" spans="1:27" ht="20.100000000000001" hidden="1" customHeight="1">
      <c r="A361" s="872" t="s">
        <v>578</v>
      </c>
      <c r="B361" s="860"/>
      <c r="C361" s="421" t="s">
        <v>579</v>
      </c>
      <c r="D361" s="364" t="s">
        <v>9</v>
      </c>
      <c r="E361" s="833">
        <v>41000</v>
      </c>
      <c r="F361" s="833">
        <f t="shared" si="44"/>
        <v>0</v>
      </c>
      <c r="G361" s="833">
        <f t="shared" si="45"/>
        <v>0</v>
      </c>
      <c r="H361" s="834">
        <v>1</v>
      </c>
      <c r="I361" s="835"/>
      <c r="J361" s="836"/>
      <c r="K361" s="836"/>
      <c r="L361" s="836"/>
      <c r="M361" s="836"/>
      <c r="N361" s="836"/>
      <c r="O361" s="836"/>
      <c r="P361" s="836"/>
      <c r="Q361" s="836"/>
      <c r="R361" s="837">
        <v>0.5</v>
      </c>
      <c r="T361" s="155">
        <v>41000</v>
      </c>
      <c r="U361" s="155"/>
      <c r="V361" s="155"/>
      <c r="AA361" s="180" t="str">
        <f>VLOOKUP(A361,[2]DG!$A:$C,3,0)</f>
        <v>Mắt nối đơn</v>
      </c>
    </row>
    <row r="362" spans="1:27" ht="20.100000000000001" hidden="1" customHeight="1">
      <c r="A362" s="872" t="s">
        <v>580</v>
      </c>
      <c r="B362" s="860"/>
      <c r="C362" s="421" t="s">
        <v>581</v>
      </c>
      <c r="D362" s="364" t="s">
        <v>9</v>
      </c>
      <c r="E362" s="833">
        <v>7200</v>
      </c>
      <c r="F362" s="833">
        <f t="shared" si="44"/>
        <v>0</v>
      </c>
      <c r="G362" s="833">
        <f t="shared" si="45"/>
        <v>0</v>
      </c>
      <c r="H362" s="834">
        <v>1</v>
      </c>
      <c r="I362" s="835"/>
      <c r="J362" s="836"/>
      <c r="K362" s="836"/>
      <c r="L362" s="836"/>
      <c r="M362" s="836"/>
      <c r="N362" s="836"/>
      <c r="O362" s="836"/>
      <c r="P362" s="836"/>
      <c r="Q362" s="836"/>
      <c r="R362" s="837">
        <v>0.5</v>
      </c>
      <c r="T362" s="155">
        <v>7200</v>
      </c>
      <c r="U362" s="155"/>
      <c r="V362" s="155"/>
      <c r="AA362" s="180" t="str">
        <f>VLOOKUP(A362,[2]DG!$A:$C,3,0)</f>
        <v xml:space="preserve">Mắt nối t/ gian </v>
      </c>
    </row>
    <row r="363" spans="1:27" ht="20.100000000000001" hidden="1" customHeight="1">
      <c r="A363" s="872" t="s">
        <v>582</v>
      </c>
      <c r="B363" s="860">
        <v>0</v>
      </c>
      <c r="C363" s="416" t="s">
        <v>583</v>
      </c>
      <c r="D363" s="431" t="s">
        <v>9</v>
      </c>
      <c r="E363" s="833">
        <v>28000</v>
      </c>
      <c r="F363" s="833">
        <f t="shared" si="44"/>
        <v>0</v>
      </c>
      <c r="G363" s="833">
        <f t="shared" si="45"/>
        <v>0</v>
      </c>
      <c r="H363" s="834" t="s">
        <v>4065</v>
      </c>
      <c r="I363" s="835"/>
      <c r="J363" s="836"/>
      <c r="K363" s="836"/>
      <c r="L363" s="836"/>
      <c r="M363" s="836"/>
      <c r="N363" s="836"/>
      <c r="O363" s="836"/>
      <c r="P363" s="836"/>
      <c r="Q363" s="836"/>
      <c r="R363" s="837">
        <v>0.5</v>
      </c>
      <c r="T363" s="155">
        <v>27000</v>
      </c>
      <c r="U363" s="155"/>
      <c r="V363" s="155"/>
      <c r="AA363" s="180" t="str">
        <f>VLOOKUP(A363,[2]DG!$A:$C,3,0)</f>
        <v xml:space="preserve">Móc treo chữ U </v>
      </c>
    </row>
    <row r="364" spans="1:27" ht="20.100000000000001" hidden="1" customHeight="1">
      <c r="A364" s="872" t="s">
        <v>584</v>
      </c>
      <c r="B364" s="860"/>
      <c r="C364" s="416" t="s">
        <v>585</v>
      </c>
      <c r="D364" s="431" t="s">
        <v>9</v>
      </c>
      <c r="E364" s="833">
        <v>7386</v>
      </c>
      <c r="F364" s="833">
        <f t="shared" si="44"/>
        <v>0</v>
      </c>
      <c r="G364" s="833">
        <f t="shared" si="45"/>
        <v>0</v>
      </c>
      <c r="H364" s="834">
        <v>1</v>
      </c>
      <c r="I364" s="835"/>
      <c r="J364" s="836"/>
      <c r="K364" s="836"/>
      <c r="L364" s="836"/>
      <c r="M364" s="836"/>
      <c r="N364" s="836"/>
      <c r="O364" s="836"/>
      <c r="P364" s="836"/>
      <c r="Q364" s="836"/>
      <c r="R364" s="837">
        <v>0.2</v>
      </c>
      <c r="T364" s="155">
        <v>7386</v>
      </c>
      <c r="U364" s="155"/>
      <c r="V364" s="155"/>
      <c r="AA364" s="180" t="str">
        <f>VLOOKUP(A364,[2]DG!$A:$C,3,0)</f>
        <v>Móc treo CK61A</v>
      </c>
    </row>
    <row r="365" spans="1:27" ht="20.100000000000001" hidden="1" customHeight="1">
      <c r="A365" s="872" t="s">
        <v>586</v>
      </c>
      <c r="B365" s="860"/>
      <c r="C365" s="416" t="s">
        <v>587</v>
      </c>
      <c r="D365" s="364" t="s">
        <v>9</v>
      </c>
      <c r="E365" s="833">
        <v>4700</v>
      </c>
      <c r="F365" s="833">
        <f t="shared" si="44"/>
        <v>0</v>
      </c>
      <c r="G365" s="833">
        <f t="shared" si="45"/>
        <v>0</v>
      </c>
      <c r="H365" s="834">
        <v>1</v>
      </c>
      <c r="I365" s="835"/>
      <c r="J365" s="836"/>
      <c r="K365" s="836"/>
      <c r="L365" s="836"/>
      <c r="M365" s="836"/>
      <c r="N365" s="836"/>
      <c r="O365" s="836"/>
      <c r="P365" s="836"/>
      <c r="Q365" s="836"/>
      <c r="R365" s="837">
        <v>0.5</v>
      </c>
      <c r="T365" s="155">
        <v>4700</v>
      </c>
      <c r="U365" s="155"/>
      <c r="V365" s="155"/>
      <c r="AA365" s="180" t="str">
        <f>VLOOKUP(A365,[2]DG!$A:$C,3,0)</f>
        <v>Vòng treo đầu tròn</v>
      </c>
    </row>
    <row r="366" spans="1:27" ht="20.100000000000001" hidden="1" customHeight="1">
      <c r="A366" s="874" t="s">
        <v>588</v>
      </c>
      <c r="B366" s="859"/>
      <c r="C366" s="416" t="s">
        <v>589</v>
      </c>
      <c r="D366" s="431" t="s">
        <v>9</v>
      </c>
      <c r="E366" s="833">
        <v>152000</v>
      </c>
      <c r="F366" s="833">
        <f t="shared" si="44"/>
        <v>0</v>
      </c>
      <c r="G366" s="833">
        <f t="shared" si="45"/>
        <v>0</v>
      </c>
      <c r="H366" s="834">
        <v>1</v>
      </c>
      <c r="I366" s="835"/>
      <c r="J366" s="836"/>
      <c r="K366" s="836"/>
      <c r="L366" s="836"/>
      <c r="M366" s="836"/>
      <c r="N366" s="836"/>
      <c r="O366" s="836"/>
      <c r="P366" s="836"/>
      <c r="Q366" s="836"/>
      <c r="R366" s="837">
        <v>0.2</v>
      </c>
      <c r="T366" s="155">
        <v>152000</v>
      </c>
      <c r="U366" s="155"/>
      <c r="V366" s="155"/>
      <c r="AA366" s="180" t="str">
        <f>VLOOKUP(A366,[2]DG!$A:$C,3,0)</f>
        <v>Ống nối dây A-240</v>
      </c>
    </row>
    <row r="367" spans="1:27" ht="20.100000000000001" hidden="1" customHeight="1">
      <c r="A367" s="874" t="s">
        <v>590</v>
      </c>
      <c r="B367" s="859"/>
      <c r="C367" s="416" t="s">
        <v>591</v>
      </c>
      <c r="D367" s="431" t="s">
        <v>9</v>
      </c>
      <c r="E367" s="833">
        <v>142000</v>
      </c>
      <c r="F367" s="833">
        <f t="shared" si="44"/>
        <v>0</v>
      </c>
      <c r="G367" s="833">
        <f t="shared" si="45"/>
        <v>0</v>
      </c>
      <c r="H367" s="834">
        <v>1</v>
      </c>
      <c r="I367" s="835"/>
      <c r="J367" s="836"/>
      <c r="K367" s="836"/>
      <c r="L367" s="836"/>
      <c r="M367" s="836"/>
      <c r="N367" s="836"/>
      <c r="O367" s="836"/>
      <c r="P367" s="836"/>
      <c r="Q367" s="836"/>
      <c r="R367" s="837">
        <v>0.2</v>
      </c>
      <c r="T367" s="155">
        <v>142000</v>
      </c>
      <c r="U367" s="155"/>
      <c r="V367" s="155"/>
      <c r="AA367" s="180" t="str">
        <f>VLOOKUP(A367,[2]DG!$A:$C,3,0)</f>
        <v>Ống nối dây A-185</v>
      </c>
    </row>
    <row r="368" spans="1:27" ht="20.100000000000001" hidden="1" customHeight="1">
      <c r="A368" s="874" t="s">
        <v>592</v>
      </c>
      <c r="B368" s="859"/>
      <c r="C368" s="416" t="s">
        <v>593</v>
      </c>
      <c r="D368" s="431" t="s">
        <v>9</v>
      </c>
      <c r="E368" s="833">
        <v>122000</v>
      </c>
      <c r="F368" s="833">
        <f t="shared" si="44"/>
        <v>0</v>
      </c>
      <c r="G368" s="833">
        <f t="shared" si="45"/>
        <v>0</v>
      </c>
      <c r="H368" s="834">
        <v>1</v>
      </c>
      <c r="I368" s="835"/>
      <c r="J368" s="836"/>
      <c r="K368" s="836"/>
      <c r="L368" s="836"/>
      <c r="M368" s="836"/>
      <c r="N368" s="836"/>
      <c r="O368" s="836"/>
      <c r="P368" s="836"/>
      <c r="Q368" s="836"/>
      <c r="R368" s="837">
        <v>0.2</v>
      </c>
      <c r="T368" s="155">
        <v>122000</v>
      </c>
      <c r="U368" s="155"/>
      <c r="V368" s="155"/>
      <c r="AA368" s="180" t="str">
        <f>VLOOKUP(A368,[2]DG!$A:$C,3,0)</f>
        <v>Ống nối dây A-120</v>
      </c>
    </row>
    <row r="369" spans="1:27" ht="20.100000000000001" hidden="1" customHeight="1">
      <c r="A369" s="872" t="s">
        <v>594</v>
      </c>
      <c r="B369" s="860"/>
      <c r="C369" s="421" t="s">
        <v>595</v>
      </c>
      <c r="D369" s="431" t="s">
        <v>9</v>
      </c>
      <c r="E369" s="833">
        <v>77000</v>
      </c>
      <c r="F369" s="833">
        <f t="shared" si="44"/>
        <v>0</v>
      </c>
      <c r="G369" s="833">
        <f t="shared" si="45"/>
        <v>0</v>
      </c>
      <c r="H369" s="834">
        <v>1</v>
      </c>
      <c r="I369" s="835"/>
      <c r="J369" s="836"/>
      <c r="K369" s="836"/>
      <c r="L369" s="836"/>
      <c r="M369" s="836"/>
      <c r="N369" s="836"/>
      <c r="O369" s="836"/>
      <c r="P369" s="836"/>
      <c r="Q369" s="836"/>
      <c r="R369" s="837">
        <v>0.2</v>
      </c>
      <c r="T369" s="155">
        <v>77000</v>
      </c>
      <c r="U369" s="155"/>
      <c r="V369" s="155"/>
      <c r="AA369" s="180" t="str">
        <f>VLOOKUP(A369,[2]DG!$A:$C,3,0)</f>
        <v>Ống nối dây A-95</v>
      </c>
    </row>
    <row r="370" spans="1:27" ht="20.100000000000001" hidden="1" customHeight="1">
      <c r="A370" s="874" t="s">
        <v>596</v>
      </c>
      <c r="B370" s="859"/>
      <c r="C370" s="416" t="s">
        <v>597</v>
      </c>
      <c r="D370" s="431" t="s">
        <v>9</v>
      </c>
      <c r="E370" s="833">
        <v>68000</v>
      </c>
      <c r="F370" s="833">
        <f t="shared" si="44"/>
        <v>0</v>
      </c>
      <c r="G370" s="833">
        <f t="shared" si="45"/>
        <v>0</v>
      </c>
      <c r="H370" s="834">
        <v>1</v>
      </c>
      <c r="I370" s="835"/>
      <c r="J370" s="836"/>
      <c r="K370" s="836"/>
      <c r="L370" s="836"/>
      <c r="M370" s="836"/>
      <c r="N370" s="836"/>
      <c r="O370" s="836"/>
      <c r="P370" s="836"/>
      <c r="Q370" s="836"/>
      <c r="R370" s="837">
        <v>0.2</v>
      </c>
      <c r="T370" s="155">
        <v>68000</v>
      </c>
      <c r="U370" s="155"/>
      <c r="V370" s="155"/>
      <c r="AA370" s="180" t="str">
        <f>VLOOKUP(A370,[2]DG!$A:$C,3,0)</f>
        <v>Ống nối dây A-70</v>
      </c>
    </row>
    <row r="371" spans="1:27" ht="20.100000000000001" hidden="1" customHeight="1">
      <c r="A371" s="874" t="s">
        <v>598</v>
      </c>
      <c r="B371" s="859"/>
      <c r="C371" s="416" t="s">
        <v>599</v>
      </c>
      <c r="D371" s="431" t="s">
        <v>9</v>
      </c>
      <c r="E371" s="833">
        <v>60000</v>
      </c>
      <c r="F371" s="833">
        <f t="shared" si="44"/>
        <v>0</v>
      </c>
      <c r="G371" s="833">
        <f t="shared" si="45"/>
        <v>0</v>
      </c>
      <c r="H371" s="834">
        <v>1</v>
      </c>
      <c r="I371" s="835"/>
      <c r="J371" s="836"/>
      <c r="K371" s="836"/>
      <c r="L371" s="836"/>
      <c r="M371" s="836"/>
      <c r="N371" s="836"/>
      <c r="O371" s="836"/>
      <c r="P371" s="836"/>
      <c r="Q371" s="836"/>
      <c r="R371" s="837">
        <v>0.2</v>
      </c>
      <c r="T371" s="155">
        <v>60000</v>
      </c>
      <c r="U371" s="155"/>
      <c r="V371" s="155"/>
      <c r="AA371" s="180" t="str">
        <f>VLOOKUP(A371,[2]DG!$A:$C,3,0)</f>
        <v>Ống nối dây A-50</v>
      </c>
    </row>
    <row r="372" spans="1:27" ht="20.100000000000001" hidden="1" customHeight="1">
      <c r="A372" s="874" t="s">
        <v>600</v>
      </c>
      <c r="B372" s="859"/>
      <c r="C372" s="416" t="s">
        <v>601</v>
      </c>
      <c r="D372" s="431" t="s">
        <v>9</v>
      </c>
      <c r="E372" s="833">
        <v>36000</v>
      </c>
      <c r="F372" s="833">
        <f t="shared" si="44"/>
        <v>0</v>
      </c>
      <c r="G372" s="833">
        <f t="shared" si="45"/>
        <v>0</v>
      </c>
      <c r="H372" s="834">
        <v>1</v>
      </c>
      <c r="I372" s="835"/>
      <c r="J372" s="836"/>
      <c r="K372" s="836"/>
      <c r="L372" s="836"/>
      <c r="M372" s="836"/>
      <c r="N372" s="836"/>
      <c r="O372" s="836"/>
      <c r="P372" s="836"/>
      <c r="Q372" s="836"/>
      <c r="R372" s="837">
        <v>0.2</v>
      </c>
      <c r="T372" s="155">
        <v>36000</v>
      </c>
      <c r="U372" s="155"/>
      <c r="V372" s="155"/>
      <c r="AA372" s="180" t="str">
        <f>VLOOKUP(A372,[2]DG!$A:$C,3,0)</f>
        <v>Ống nối dây A-35</v>
      </c>
    </row>
    <row r="373" spans="1:27" ht="20.100000000000001" hidden="1" customHeight="1">
      <c r="A373" s="874" t="s">
        <v>602</v>
      </c>
      <c r="B373" s="859" t="s">
        <v>4115</v>
      </c>
      <c r="C373" s="416" t="s">
        <v>603</v>
      </c>
      <c r="D373" s="431" t="s">
        <v>9</v>
      </c>
      <c r="E373" s="833">
        <v>36000</v>
      </c>
      <c r="F373" s="833">
        <f t="shared" si="44"/>
        <v>259648.56000000003</v>
      </c>
      <c r="G373" s="833">
        <f t="shared" si="45"/>
        <v>4712.5600000000004</v>
      </c>
      <c r="H373" s="834" t="s">
        <v>4065</v>
      </c>
      <c r="I373" s="835" t="s">
        <v>3377</v>
      </c>
      <c r="J373" s="836">
        <v>0.93</v>
      </c>
      <c r="K373" s="836"/>
      <c r="L373" s="836"/>
      <c r="M373" s="836"/>
      <c r="N373" s="836"/>
      <c r="O373" s="836"/>
      <c r="P373" s="836">
        <v>0.08</v>
      </c>
      <c r="Q373" s="836"/>
      <c r="R373" s="837">
        <v>0.2</v>
      </c>
      <c r="T373" s="155">
        <v>36000</v>
      </c>
      <c r="U373" s="155"/>
      <c r="V373" s="155"/>
      <c r="AA373" s="180" t="str">
        <f>VLOOKUP(A373,[2]DG!$A:$C,3,0)</f>
        <v>Ống nối dây cỡ 35mm2</v>
      </c>
    </row>
    <row r="374" spans="1:27" ht="20.100000000000001" hidden="1" customHeight="1">
      <c r="A374" s="874" t="s">
        <v>604</v>
      </c>
      <c r="B374" s="859" t="s">
        <v>4115</v>
      </c>
      <c r="C374" s="416" t="s">
        <v>605</v>
      </c>
      <c r="D374" s="431" t="s">
        <v>9</v>
      </c>
      <c r="E374" s="833">
        <v>56000</v>
      </c>
      <c r="F374" s="833">
        <f t="shared" si="44"/>
        <v>259648.56000000003</v>
      </c>
      <c r="G374" s="833">
        <f t="shared" si="45"/>
        <v>4712.5600000000004</v>
      </c>
      <c r="H374" s="834" t="s">
        <v>4065</v>
      </c>
      <c r="I374" s="835" t="s">
        <v>3377</v>
      </c>
      <c r="J374" s="836">
        <v>0.93</v>
      </c>
      <c r="K374" s="836"/>
      <c r="L374" s="836"/>
      <c r="M374" s="836"/>
      <c r="N374" s="836"/>
      <c r="O374" s="836"/>
      <c r="P374" s="836">
        <v>0.08</v>
      </c>
      <c r="Q374" s="836"/>
      <c r="R374" s="837">
        <v>0.2</v>
      </c>
      <c r="T374" s="155">
        <v>60000</v>
      </c>
      <c r="U374" s="155"/>
      <c r="V374" s="155"/>
      <c r="AA374" s="180" t="str">
        <f>VLOOKUP(A374,[2]DG!$A:$C,3,0)</f>
        <v>Ống nối dây cỡ 50mm2</v>
      </c>
    </row>
    <row r="375" spans="1:27" ht="20.100000000000001" hidden="1" customHeight="1">
      <c r="A375" s="874" t="s">
        <v>606</v>
      </c>
      <c r="B375" s="859" t="s">
        <v>4115</v>
      </c>
      <c r="C375" s="416" t="s">
        <v>607</v>
      </c>
      <c r="D375" s="431" t="s">
        <v>9</v>
      </c>
      <c r="E375" s="833">
        <v>68000</v>
      </c>
      <c r="F375" s="833">
        <f t="shared" si="44"/>
        <v>259648.56000000003</v>
      </c>
      <c r="G375" s="833">
        <f t="shared" si="45"/>
        <v>4712.5600000000004</v>
      </c>
      <c r="H375" s="834" t="s">
        <v>4065</v>
      </c>
      <c r="I375" s="835" t="s">
        <v>3377</v>
      </c>
      <c r="J375" s="836">
        <v>0.93</v>
      </c>
      <c r="K375" s="836"/>
      <c r="L375" s="836"/>
      <c r="M375" s="836"/>
      <c r="N375" s="836"/>
      <c r="O375" s="836"/>
      <c r="P375" s="836">
        <v>0.08</v>
      </c>
      <c r="Q375" s="836"/>
      <c r="R375" s="837">
        <v>0.2</v>
      </c>
      <c r="T375" s="155">
        <v>68000</v>
      </c>
      <c r="U375" s="155"/>
      <c r="V375" s="155"/>
      <c r="AA375" s="180" t="str">
        <f>VLOOKUP(A375,[2]DG!$A:$C,3,0)</f>
        <v>Ống nối dây cỡ 70mm2</v>
      </c>
    </row>
    <row r="376" spans="1:27" ht="20.100000000000001" hidden="1" customHeight="1">
      <c r="A376" s="872" t="s">
        <v>608</v>
      </c>
      <c r="B376" s="859" t="s">
        <v>4115</v>
      </c>
      <c r="C376" s="421" t="s">
        <v>609</v>
      </c>
      <c r="D376" s="431" t="s">
        <v>9</v>
      </c>
      <c r="E376" s="833">
        <v>77000</v>
      </c>
      <c r="F376" s="833">
        <f t="shared" si="44"/>
        <v>259648.56000000003</v>
      </c>
      <c r="G376" s="833">
        <f t="shared" si="45"/>
        <v>4712.5600000000004</v>
      </c>
      <c r="H376" s="834" t="s">
        <v>4065</v>
      </c>
      <c r="I376" s="835" t="s">
        <v>3377</v>
      </c>
      <c r="J376" s="836">
        <v>0.93</v>
      </c>
      <c r="K376" s="836"/>
      <c r="L376" s="836"/>
      <c r="M376" s="836"/>
      <c r="N376" s="836"/>
      <c r="O376" s="836"/>
      <c r="P376" s="836">
        <v>0.08</v>
      </c>
      <c r="Q376" s="836"/>
      <c r="R376" s="837">
        <v>0.2</v>
      </c>
      <c r="T376" s="155">
        <v>77000</v>
      </c>
      <c r="U376" s="155"/>
      <c r="V376" s="155"/>
      <c r="AA376" s="180" t="str">
        <f>VLOOKUP(A376,[2]DG!$A:$C,3,0)</f>
        <v>Ống nối dây cỡ 95mm2</v>
      </c>
    </row>
    <row r="377" spans="1:27" ht="20.100000000000001" hidden="1" customHeight="1">
      <c r="A377" s="874" t="s">
        <v>610</v>
      </c>
      <c r="B377" s="859"/>
      <c r="C377" s="421" t="s">
        <v>611</v>
      </c>
      <c r="D377" s="431" t="s">
        <v>9</v>
      </c>
      <c r="E377" s="833">
        <v>122000</v>
      </c>
      <c r="F377" s="833">
        <f t="shared" si="44"/>
        <v>259648.56000000003</v>
      </c>
      <c r="G377" s="833">
        <f t="shared" si="45"/>
        <v>0</v>
      </c>
      <c r="H377" s="834" t="s">
        <v>4065</v>
      </c>
      <c r="I377" s="835" t="s">
        <v>3377</v>
      </c>
      <c r="J377" s="836">
        <v>0.93</v>
      </c>
      <c r="K377" s="836"/>
      <c r="L377" s="836"/>
      <c r="M377" s="836"/>
      <c r="N377" s="836"/>
      <c r="O377" s="836"/>
      <c r="P377" s="836"/>
      <c r="Q377" s="836"/>
      <c r="R377" s="837">
        <v>0.2</v>
      </c>
      <c r="T377" s="155">
        <v>122000</v>
      </c>
      <c r="U377" s="155"/>
      <c r="V377" s="155"/>
      <c r="AA377" s="180" t="str">
        <f>VLOOKUP(A377,[2]DG!$A:$C,3,0)</f>
        <v>Ống nối dây cỡ 120mm2</v>
      </c>
    </row>
    <row r="378" spans="1:27" ht="20.100000000000001" hidden="1" customHeight="1">
      <c r="A378" s="874" t="s">
        <v>612</v>
      </c>
      <c r="B378" s="859" t="s">
        <v>4116</v>
      </c>
      <c r="C378" s="421" t="s">
        <v>613</v>
      </c>
      <c r="D378" s="431" t="s">
        <v>9</v>
      </c>
      <c r="E378" s="833">
        <v>132000</v>
      </c>
      <c r="F378" s="833">
        <f t="shared" si="44"/>
        <v>326654.63999999996</v>
      </c>
      <c r="G378" s="833">
        <f t="shared" si="45"/>
        <v>4712.5600000000004</v>
      </c>
      <c r="H378" s="834" t="s">
        <v>4065</v>
      </c>
      <c r="I378" s="835" t="s">
        <v>3377</v>
      </c>
      <c r="J378" s="836">
        <v>1.17</v>
      </c>
      <c r="K378" s="836"/>
      <c r="L378" s="836"/>
      <c r="M378" s="836"/>
      <c r="N378" s="836"/>
      <c r="O378" s="836"/>
      <c r="P378" s="836">
        <v>0.08</v>
      </c>
      <c r="Q378" s="836"/>
      <c r="R378" s="837">
        <v>0.2</v>
      </c>
      <c r="T378" s="155">
        <v>132000</v>
      </c>
      <c r="U378" s="155"/>
      <c r="V378" s="155"/>
      <c r="AA378" s="180" t="str">
        <f>VLOOKUP(A378,[2]DG!$A:$C,3,0)</f>
        <v>Ống nối dây cỡ 150mm2</v>
      </c>
    </row>
    <row r="379" spans="1:27" ht="20.100000000000001" hidden="1" customHeight="1">
      <c r="A379" s="874" t="s">
        <v>614</v>
      </c>
      <c r="B379" s="859" t="s">
        <v>4117</v>
      </c>
      <c r="C379" s="421" t="s">
        <v>615</v>
      </c>
      <c r="D379" s="431" t="s">
        <v>9</v>
      </c>
      <c r="E379" s="833">
        <v>142000</v>
      </c>
      <c r="F379" s="833">
        <f t="shared" si="44"/>
        <v>402036.47999999998</v>
      </c>
      <c r="G379" s="833">
        <f t="shared" si="45"/>
        <v>4712.5600000000004</v>
      </c>
      <c r="H379" s="834" t="s">
        <v>4065</v>
      </c>
      <c r="I379" s="835" t="s">
        <v>3377</v>
      </c>
      <c r="J379" s="836">
        <v>1.44</v>
      </c>
      <c r="K379" s="836"/>
      <c r="L379" s="836"/>
      <c r="M379" s="836"/>
      <c r="N379" s="836"/>
      <c r="O379" s="836"/>
      <c r="P379" s="836">
        <v>0.08</v>
      </c>
      <c r="Q379" s="836"/>
      <c r="R379" s="837">
        <v>0.2</v>
      </c>
      <c r="T379" s="155">
        <v>142000</v>
      </c>
      <c r="U379" s="155"/>
      <c r="V379" s="155"/>
      <c r="AA379" s="180" t="str">
        <f>VLOOKUP(A379,[2]DG!$A:$C,3,0)</f>
        <v>Ống nối dây cỡ 185mm2</v>
      </c>
    </row>
    <row r="380" spans="1:27" ht="20.100000000000001" hidden="1" customHeight="1">
      <c r="A380" s="874" t="s">
        <v>616</v>
      </c>
      <c r="B380" s="859" t="s">
        <v>4118</v>
      </c>
      <c r="C380" s="421" t="s">
        <v>617</v>
      </c>
      <c r="D380" s="431" t="s">
        <v>9</v>
      </c>
      <c r="E380" s="833">
        <v>152000</v>
      </c>
      <c r="F380" s="833">
        <f t="shared" si="44"/>
        <v>522089.04000000004</v>
      </c>
      <c r="G380" s="833">
        <f t="shared" si="45"/>
        <v>5890.7000000000007</v>
      </c>
      <c r="H380" s="834" t="s">
        <v>4065</v>
      </c>
      <c r="I380" s="835" t="s">
        <v>3377</v>
      </c>
      <c r="J380" s="836">
        <v>1.87</v>
      </c>
      <c r="K380" s="836"/>
      <c r="L380" s="836"/>
      <c r="M380" s="836"/>
      <c r="N380" s="836"/>
      <c r="O380" s="836"/>
      <c r="P380" s="836">
        <v>0.1</v>
      </c>
      <c r="Q380" s="836"/>
      <c r="R380" s="837">
        <v>0.2</v>
      </c>
      <c r="T380" s="155">
        <v>152000</v>
      </c>
      <c r="U380" s="155"/>
      <c r="V380" s="155"/>
      <c r="AA380" s="180" t="str">
        <f>VLOOKUP(A380,[2]DG!$A:$C,3,0)</f>
        <v>Ống nối dây cỡ 240mm2</v>
      </c>
    </row>
    <row r="381" spans="1:27" ht="20.100000000000001" hidden="1" customHeight="1">
      <c r="A381" s="872" t="s">
        <v>618</v>
      </c>
      <c r="B381" s="860"/>
      <c r="C381" s="416" t="s">
        <v>619</v>
      </c>
      <c r="D381" s="364" t="s">
        <v>9</v>
      </c>
      <c r="E381" s="833">
        <v>16500</v>
      </c>
      <c r="F381" s="833">
        <f t="shared" si="44"/>
        <v>0</v>
      </c>
      <c r="G381" s="833">
        <f t="shared" si="45"/>
        <v>0</v>
      </c>
      <c r="H381" s="834">
        <v>1</v>
      </c>
      <c r="I381" s="835"/>
      <c r="J381" s="836"/>
      <c r="K381" s="836"/>
      <c r="L381" s="836"/>
      <c r="M381" s="836"/>
      <c r="N381" s="836"/>
      <c r="O381" s="836"/>
      <c r="P381" s="836"/>
      <c r="Q381" s="836"/>
      <c r="R381" s="837">
        <v>0.2</v>
      </c>
      <c r="T381" s="155">
        <v>16500</v>
      </c>
      <c r="U381" s="155"/>
      <c r="V381" s="155"/>
      <c r="AA381" s="180" t="str">
        <f>VLOOKUP(A381,[2]DG!$A:$C,3,0)</f>
        <v>Ống nối dây chịu sức căng cỡ 50mm2</v>
      </c>
    </row>
    <row r="382" spans="1:27" ht="20.100000000000001" hidden="1" customHeight="1">
      <c r="A382" s="872" t="s">
        <v>620</v>
      </c>
      <c r="B382" s="860"/>
      <c r="C382" s="421" t="s">
        <v>621</v>
      </c>
      <c r="D382" s="364" t="s">
        <v>9</v>
      </c>
      <c r="E382" s="833">
        <v>25000</v>
      </c>
      <c r="F382" s="833">
        <f t="shared" si="44"/>
        <v>0</v>
      </c>
      <c r="G382" s="833">
        <f t="shared" si="45"/>
        <v>0</v>
      </c>
      <c r="H382" s="834">
        <v>1</v>
      </c>
      <c r="I382" s="835"/>
      <c r="J382" s="836"/>
      <c r="K382" s="836"/>
      <c r="L382" s="836"/>
      <c r="M382" s="836"/>
      <c r="N382" s="836"/>
      <c r="O382" s="836"/>
      <c r="P382" s="836"/>
      <c r="Q382" s="836"/>
      <c r="R382" s="837">
        <v>1</v>
      </c>
      <c r="T382" s="155">
        <v>25000</v>
      </c>
      <c r="U382" s="155"/>
      <c r="V382" s="155"/>
      <c r="AA382" s="180" t="str">
        <f>VLOOKUP(A382,[2]DG!$A:$C,3,0)</f>
        <v>Puli</v>
      </c>
    </row>
    <row r="383" spans="1:27" ht="20.100000000000001" hidden="1" customHeight="1">
      <c r="A383" s="872" t="s">
        <v>622</v>
      </c>
      <c r="B383" s="860">
        <v>0</v>
      </c>
      <c r="C383" s="421" t="s">
        <v>4161</v>
      </c>
      <c r="D383" s="364" t="s">
        <v>37</v>
      </c>
      <c r="E383" s="833">
        <v>17000</v>
      </c>
      <c r="F383" s="833">
        <f t="shared" si="44"/>
        <v>0</v>
      </c>
      <c r="G383" s="833">
        <f t="shared" si="45"/>
        <v>0</v>
      </c>
      <c r="H383" s="834" t="s">
        <v>4065</v>
      </c>
      <c r="I383" s="835"/>
      <c r="J383" s="836"/>
      <c r="K383" s="836"/>
      <c r="L383" s="836"/>
      <c r="M383" s="836"/>
      <c r="N383" s="836"/>
      <c r="O383" s="836"/>
      <c r="P383" s="836"/>
      <c r="Q383" s="836"/>
      <c r="R383" s="837">
        <v>2.5</v>
      </c>
      <c r="T383" s="155">
        <v>37200</v>
      </c>
      <c r="U383" s="155">
        <v>0</v>
      </c>
      <c r="V383" s="155">
        <v>0</v>
      </c>
      <c r="AA383" s="180" t="str">
        <f>VLOOKUP(A383,[2]DG!$A:$C,3,0)</f>
        <v>Uclevis + sứ ống chỉ</v>
      </c>
    </row>
    <row r="384" spans="1:27" ht="20.100000000000001" hidden="1" customHeight="1">
      <c r="A384" s="872" t="s">
        <v>623</v>
      </c>
      <c r="B384" s="860"/>
      <c r="C384" s="416" t="s">
        <v>4162</v>
      </c>
      <c r="D384" s="364" t="s">
        <v>37</v>
      </c>
      <c r="E384" s="833">
        <v>75000</v>
      </c>
      <c r="F384" s="833">
        <f t="shared" si="44"/>
        <v>0</v>
      </c>
      <c r="G384" s="833">
        <f t="shared" si="45"/>
        <v>0</v>
      </c>
      <c r="H384" s="834">
        <v>1</v>
      </c>
      <c r="I384" s="835"/>
      <c r="J384" s="836"/>
      <c r="K384" s="836"/>
      <c r="L384" s="836"/>
      <c r="M384" s="836"/>
      <c r="N384" s="836"/>
      <c r="O384" s="836"/>
      <c r="P384" s="836"/>
      <c r="Q384" s="836"/>
      <c r="R384" s="837">
        <v>3</v>
      </c>
      <c r="T384" s="155">
        <v>75000</v>
      </c>
      <c r="U384" s="155"/>
      <c r="V384" s="155"/>
      <c r="AA384" s="180" t="str">
        <f>VLOOKUP(A384,[2]DG!$A:$C,3,0)</f>
        <v>Rack 2 sứ + sứ ống chỉ</v>
      </c>
    </row>
    <row r="385" spans="1:27" ht="20.100000000000001" hidden="1" customHeight="1">
      <c r="A385" s="872" t="s">
        <v>624</v>
      </c>
      <c r="B385" s="860"/>
      <c r="C385" s="416" t="s">
        <v>4163</v>
      </c>
      <c r="D385" s="364" t="s">
        <v>37</v>
      </c>
      <c r="E385" s="833">
        <v>108800</v>
      </c>
      <c r="F385" s="833">
        <f t="shared" si="44"/>
        <v>0</v>
      </c>
      <c r="G385" s="833">
        <f t="shared" si="45"/>
        <v>0</v>
      </c>
      <c r="H385" s="834">
        <v>1</v>
      </c>
      <c r="I385" s="835"/>
      <c r="J385" s="836"/>
      <c r="K385" s="836"/>
      <c r="L385" s="836"/>
      <c r="M385" s="836"/>
      <c r="N385" s="836"/>
      <c r="O385" s="836"/>
      <c r="P385" s="836"/>
      <c r="Q385" s="836"/>
      <c r="R385" s="837">
        <v>3.5</v>
      </c>
      <c r="T385" s="155">
        <v>108800</v>
      </c>
      <c r="U385" s="155"/>
      <c r="V385" s="155"/>
      <c r="AA385" s="180" t="str">
        <f>VLOOKUP(A385,[2]DG!$A:$C,3,0)</f>
        <v>Rack 3 sứ + sứ ống chỉ</v>
      </c>
    </row>
    <row r="386" spans="1:27" ht="20.100000000000001" hidden="1" customHeight="1">
      <c r="A386" s="872" t="s">
        <v>625</v>
      </c>
      <c r="B386" s="860"/>
      <c r="C386" s="416" t="s">
        <v>4164</v>
      </c>
      <c r="D386" s="364" t="s">
        <v>37</v>
      </c>
      <c r="E386" s="833">
        <v>135800</v>
      </c>
      <c r="F386" s="833">
        <f t="shared" si="44"/>
        <v>0</v>
      </c>
      <c r="G386" s="833">
        <f t="shared" si="45"/>
        <v>0</v>
      </c>
      <c r="H386" s="834">
        <v>1</v>
      </c>
      <c r="I386" s="835"/>
      <c r="J386" s="836"/>
      <c r="K386" s="836"/>
      <c r="L386" s="836"/>
      <c r="M386" s="836"/>
      <c r="N386" s="836"/>
      <c r="O386" s="836"/>
      <c r="P386" s="836"/>
      <c r="Q386" s="836"/>
      <c r="R386" s="837">
        <v>3.5</v>
      </c>
      <c r="T386" s="155">
        <v>135800</v>
      </c>
      <c r="U386" s="155"/>
      <c r="V386" s="155"/>
      <c r="AA386" s="180" t="str">
        <f>VLOOKUP(A386,[2]DG!$A:$C,3,0)</f>
        <v>Rack 4</v>
      </c>
    </row>
    <row r="387" spans="1:27" ht="20.100000000000001" hidden="1" customHeight="1">
      <c r="A387" s="872" t="s">
        <v>626</v>
      </c>
      <c r="B387" s="860" t="s">
        <v>4275</v>
      </c>
      <c r="C387" s="416" t="s">
        <v>627</v>
      </c>
      <c r="D387" s="364" t="s">
        <v>9</v>
      </c>
      <c r="E387" s="833">
        <v>185000</v>
      </c>
      <c r="F387" s="833">
        <f t="shared" si="44"/>
        <v>55458.14</v>
      </c>
      <c r="G387" s="833">
        <f t="shared" si="45"/>
        <v>0</v>
      </c>
      <c r="H387" s="834" t="s">
        <v>4065</v>
      </c>
      <c r="I387" s="835" t="s">
        <v>3370</v>
      </c>
      <c r="J387" s="836">
        <v>0.22600000000000001</v>
      </c>
      <c r="K387" s="836"/>
      <c r="L387" s="836"/>
      <c r="M387" s="836"/>
      <c r="N387" s="836"/>
      <c r="O387" s="836"/>
      <c r="P387" s="836"/>
      <c r="Q387" s="836"/>
      <c r="R387" s="837">
        <v>4</v>
      </c>
      <c r="T387" s="418">
        <v>180000</v>
      </c>
      <c r="U387" s="155">
        <v>0</v>
      </c>
      <c r="V387" s="155">
        <v>0</v>
      </c>
      <c r="AA387" s="180" t="str">
        <f>VLOOKUP(A387,[2]DG!$A:$C,3,0)</f>
        <v xml:space="preserve">Sứ đứng 24KV </v>
      </c>
    </row>
    <row r="388" spans="1:27" ht="20.100000000000001" hidden="1" customHeight="1">
      <c r="A388" s="872" t="s">
        <v>628</v>
      </c>
      <c r="B388" s="860"/>
      <c r="C388" s="416" t="s">
        <v>629</v>
      </c>
      <c r="D388" s="364" t="s">
        <v>37</v>
      </c>
      <c r="E388" s="833">
        <v>134000</v>
      </c>
      <c r="F388" s="833">
        <f t="shared" si="44"/>
        <v>0</v>
      </c>
      <c r="G388" s="833">
        <f t="shared" si="45"/>
        <v>0</v>
      </c>
      <c r="H388" s="834">
        <v>1</v>
      </c>
      <c r="I388" s="835"/>
      <c r="J388" s="836"/>
      <c r="K388" s="836"/>
      <c r="L388" s="836"/>
      <c r="M388" s="836"/>
      <c r="N388" s="836"/>
      <c r="O388" s="836"/>
      <c r="P388" s="836"/>
      <c r="Q388" s="836"/>
      <c r="R388" s="837">
        <v>4</v>
      </c>
      <c r="T388" s="155">
        <v>134000</v>
      </c>
      <c r="U388" s="155"/>
      <c r="V388" s="155"/>
      <c r="AA388" s="180" t="str">
        <f>VLOOKUP(A388,[2]DG!$A:$C,3,0)</f>
        <v>Sứ đứng 35KV + ty</v>
      </c>
    </row>
    <row r="389" spans="1:27" ht="20.100000000000001" hidden="1" customHeight="1">
      <c r="A389" s="872" t="s">
        <v>630</v>
      </c>
      <c r="B389" s="860"/>
      <c r="C389" s="416" t="s">
        <v>631</v>
      </c>
      <c r="D389" s="364" t="s">
        <v>37</v>
      </c>
      <c r="E389" s="833">
        <v>150000</v>
      </c>
      <c r="F389" s="833">
        <f t="shared" si="44"/>
        <v>0</v>
      </c>
      <c r="G389" s="833">
        <f t="shared" si="45"/>
        <v>0</v>
      </c>
      <c r="H389" s="834">
        <v>1</v>
      </c>
      <c r="I389" s="835"/>
      <c r="J389" s="836"/>
      <c r="K389" s="836"/>
      <c r="L389" s="836"/>
      <c r="M389" s="836"/>
      <c r="N389" s="836"/>
      <c r="O389" s="836"/>
      <c r="P389" s="836"/>
      <c r="Q389" s="836"/>
      <c r="R389" s="837">
        <v>4</v>
      </c>
      <c r="T389" s="155">
        <v>150000</v>
      </c>
      <c r="U389" s="155"/>
      <c r="V389" s="155"/>
      <c r="AA389" s="180" t="str">
        <f>VLOOKUP(A389,[2]DG!$A:$C,3,0)</f>
        <v>Sứ đứng 35KV + ty sứ đỉnh</v>
      </c>
    </row>
    <row r="390" spans="1:27" ht="20.100000000000001" hidden="1" customHeight="1">
      <c r="A390" s="872" t="s">
        <v>632</v>
      </c>
      <c r="B390" s="860"/>
      <c r="C390" s="416" t="s">
        <v>633</v>
      </c>
      <c r="D390" s="364" t="s">
        <v>9</v>
      </c>
      <c r="E390" s="833">
        <v>117000</v>
      </c>
      <c r="F390" s="833">
        <f t="shared" si="44"/>
        <v>0</v>
      </c>
      <c r="G390" s="833">
        <f t="shared" si="45"/>
        <v>0</v>
      </c>
      <c r="H390" s="834">
        <v>1</v>
      </c>
      <c r="I390" s="835"/>
      <c r="J390" s="836"/>
      <c r="K390" s="836"/>
      <c r="L390" s="836"/>
      <c r="M390" s="836"/>
      <c r="N390" s="836"/>
      <c r="O390" s="836"/>
      <c r="P390" s="836"/>
      <c r="Q390" s="836"/>
      <c r="R390" s="837">
        <v>4</v>
      </c>
      <c r="T390" s="155">
        <v>117000</v>
      </c>
      <c r="U390" s="155"/>
      <c r="V390" s="155"/>
      <c r="AA390" s="180" t="str">
        <f>VLOOKUP(A390,[2]DG!$A:$C,3,0)</f>
        <v>Sứ đứng 24KV chống nhiễm mặn</v>
      </c>
    </row>
    <row r="391" spans="1:27" ht="20.100000000000001" hidden="1" customHeight="1">
      <c r="A391" s="872" t="s">
        <v>634</v>
      </c>
      <c r="B391" s="860">
        <v>0</v>
      </c>
      <c r="C391" s="421" t="s">
        <v>2887</v>
      </c>
      <c r="D391" s="364" t="s">
        <v>9</v>
      </c>
      <c r="E391" s="833">
        <v>47000</v>
      </c>
      <c r="F391" s="833">
        <f t="shared" si="44"/>
        <v>0</v>
      </c>
      <c r="G391" s="833">
        <f t="shared" si="45"/>
        <v>0</v>
      </c>
      <c r="H391" s="834" t="s">
        <v>4065</v>
      </c>
      <c r="I391" s="835"/>
      <c r="J391" s="836"/>
      <c r="K391" s="836"/>
      <c r="L391" s="836"/>
      <c r="M391" s="836"/>
      <c r="N391" s="836"/>
      <c r="O391" s="836"/>
      <c r="P391" s="836"/>
      <c r="Q391" s="836"/>
      <c r="R391" s="837">
        <v>0.3</v>
      </c>
      <c r="T391" s="418">
        <v>40000</v>
      </c>
      <c r="U391" s="155">
        <v>0</v>
      </c>
      <c r="V391" s="155">
        <v>0</v>
      </c>
      <c r="AA391" s="180" t="str">
        <f>VLOOKUP(A391,[2]DG!$A:$C,3,0)</f>
        <v>Sứ chằng</v>
      </c>
    </row>
    <row r="392" spans="1:27" ht="20.100000000000001" customHeight="1">
      <c r="A392" s="872" t="s">
        <v>4283</v>
      </c>
      <c r="B392" s="860">
        <v>0</v>
      </c>
      <c r="C392" s="421" t="s">
        <v>4284</v>
      </c>
      <c r="D392" s="364" t="s">
        <v>9</v>
      </c>
      <c r="E392" s="833">
        <v>83000</v>
      </c>
      <c r="F392" s="833">
        <f t="shared" ref="F392" si="50">IF(OR(I392="",J392=""),0,IF(K392*1=0,1,K392)*VLOOKUP(I392,TIENLUONG,4,0)*J392)</f>
        <v>0</v>
      </c>
      <c r="G392" s="833">
        <f t="shared" ref="G392" si="51">L392*VLOOKUP($L$1,CAMAY,2,0)+M392*VLOOKUP($M$1,CAMAY,2,0)+N392*VLOOKUP($N$1,CAMAY,2,0)+O392*VLOOKUP($O$1,CAMAY,2,0)+P392*VLOOKUP($P$1,CAMAY,2,0)</f>
        <v>0</v>
      </c>
      <c r="H392" s="834" t="s">
        <v>4065</v>
      </c>
      <c r="I392" s="835"/>
      <c r="J392" s="836"/>
      <c r="K392" s="836"/>
      <c r="L392" s="836"/>
      <c r="M392" s="836"/>
      <c r="N392" s="836"/>
      <c r="O392" s="836"/>
      <c r="P392" s="836"/>
      <c r="Q392" s="836"/>
      <c r="R392" s="837">
        <v>0.3</v>
      </c>
      <c r="T392" s="418">
        <v>40000</v>
      </c>
      <c r="U392" s="155">
        <v>0</v>
      </c>
      <c r="V392" s="155">
        <v>0</v>
      </c>
      <c r="AA392" s="180" t="str">
        <f>VLOOKUP(A392,[2]DG!$A:$C,3,0)</f>
        <v>Sứ chằng lớn</v>
      </c>
    </row>
    <row r="393" spans="1:27" ht="20.100000000000001" hidden="1" customHeight="1">
      <c r="A393" s="872" t="s">
        <v>635</v>
      </c>
      <c r="B393" s="860" t="s">
        <v>4276</v>
      </c>
      <c r="C393" s="421" t="s">
        <v>636</v>
      </c>
      <c r="D393" s="431" t="s">
        <v>9</v>
      </c>
      <c r="E393" s="833">
        <v>20001</v>
      </c>
      <c r="F393" s="833">
        <f t="shared" si="44"/>
        <v>14723.4</v>
      </c>
      <c r="G393" s="833">
        <f t="shared" si="45"/>
        <v>0</v>
      </c>
      <c r="H393" s="834" t="s">
        <v>4065</v>
      </c>
      <c r="I393" s="835" t="s">
        <v>3370</v>
      </c>
      <c r="J393" s="836">
        <v>0.06</v>
      </c>
      <c r="K393" s="836"/>
      <c r="L393" s="836"/>
      <c r="M393" s="836"/>
      <c r="N393" s="836"/>
      <c r="O393" s="836"/>
      <c r="P393" s="836"/>
      <c r="Q393" s="836"/>
      <c r="R393" s="837">
        <v>0.3</v>
      </c>
      <c r="T393" s="418">
        <v>6600</v>
      </c>
      <c r="U393" s="155"/>
      <c r="V393" s="155"/>
      <c r="AA393" s="180" t="str">
        <f>VLOOKUP(A393,[2]DG!$A:$C,3,0)</f>
        <v xml:space="preserve">Sứ ống chỉ </v>
      </c>
    </row>
    <row r="394" spans="1:27" ht="20.100000000000001" hidden="1" customHeight="1">
      <c r="A394" s="872" t="s">
        <v>637</v>
      </c>
      <c r="B394" s="860"/>
      <c r="C394" s="416" t="s">
        <v>638</v>
      </c>
      <c r="D394" s="431" t="s">
        <v>639</v>
      </c>
      <c r="E394" s="833">
        <v>73500</v>
      </c>
      <c r="F394" s="833">
        <f t="shared" si="44"/>
        <v>0</v>
      </c>
      <c r="G394" s="833">
        <f t="shared" si="45"/>
        <v>0</v>
      </c>
      <c r="H394" s="834">
        <v>1</v>
      </c>
      <c r="I394" s="835"/>
      <c r="J394" s="836"/>
      <c r="K394" s="836"/>
      <c r="L394" s="836"/>
      <c r="M394" s="836"/>
      <c r="N394" s="836"/>
      <c r="O394" s="836"/>
      <c r="P394" s="836"/>
      <c r="Q394" s="836"/>
      <c r="R394" s="837">
        <v>2</v>
      </c>
      <c r="T394" s="155">
        <v>73500</v>
      </c>
      <c r="U394" s="155"/>
      <c r="V394" s="155"/>
      <c r="AA394" s="180" t="str">
        <f>VLOOKUP(A394,[2]DG!$A:$C,3,0)</f>
        <v>Sứ treo loại 70kN</v>
      </c>
    </row>
    <row r="395" spans="1:27" ht="20.100000000000001" hidden="1" customHeight="1">
      <c r="A395" s="872" t="s">
        <v>640</v>
      </c>
      <c r="B395" s="860"/>
      <c r="C395" s="416" t="s">
        <v>641</v>
      </c>
      <c r="D395" s="431" t="s">
        <v>639</v>
      </c>
      <c r="E395" s="833">
        <v>120000</v>
      </c>
      <c r="F395" s="833">
        <f t="shared" si="44"/>
        <v>0</v>
      </c>
      <c r="G395" s="833">
        <f t="shared" si="45"/>
        <v>0</v>
      </c>
      <c r="H395" s="834">
        <v>1</v>
      </c>
      <c r="I395" s="835"/>
      <c r="J395" s="836"/>
      <c r="K395" s="836"/>
      <c r="L395" s="836"/>
      <c r="M395" s="836"/>
      <c r="N395" s="836"/>
      <c r="O395" s="836"/>
      <c r="P395" s="836"/>
      <c r="Q395" s="836"/>
      <c r="R395" s="837">
        <v>2</v>
      </c>
      <c r="T395" s="155">
        <v>120000</v>
      </c>
      <c r="U395" s="155"/>
      <c r="V395" s="155"/>
      <c r="AA395" s="180" t="str">
        <f>VLOOKUP(A395,[2]DG!$A:$C,3,0)</f>
        <v>Sứ treo loại 120kN</v>
      </c>
    </row>
    <row r="396" spans="1:27" ht="20.100000000000001" hidden="1" customHeight="1">
      <c r="A396" s="872" t="s">
        <v>3621</v>
      </c>
      <c r="B396" s="860" t="s">
        <v>4274</v>
      </c>
      <c r="C396" s="421" t="s">
        <v>642</v>
      </c>
      <c r="D396" s="364" t="s">
        <v>643</v>
      </c>
      <c r="E396" s="833">
        <v>220000</v>
      </c>
      <c r="F396" s="833">
        <f t="shared" ref="F396:F460" si="52">IF(OR(I396="",J396=""),0,IF(K396*1=0,1,K396)*VLOOKUP(I396,TIENLUONG,4,0)*J396)</f>
        <v>59708.88</v>
      </c>
      <c r="G396" s="833">
        <f t="shared" ref="G396:G460" si="53">L396*VLOOKUP($L$1,CAMAY,2,0)+M396*VLOOKUP($M$1,CAMAY,2,0)+N396*VLOOKUP($N$1,CAMAY,2,0)+O396*VLOOKUP($O$1,CAMAY,2,0)+P396*VLOOKUP($P$1,CAMAY,2,0)</f>
        <v>0</v>
      </c>
      <c r="H396" s="834" t="s">
        <v>4065</v>
      </c>
      <c r="I396" s="835" t="s">
        <v>3372</v>
      </c>
      <c r="J396" s="836">
        <v>0.252</v>
      </c>
      <c r="K396" s="836"/>
      <c r="L396" s="836"/>
      <c r="M396" s="836"/>
      <c r="N396" s="836"/>
      <c r="O396" s="836"/>
      <c r="P396" s="836"/>
      <c r="Q396" s="836"/>
      <c r="R396" s="837">
        <v>2</v>
      </c>
      <c r="T396" s="427">
        <v>220000</v>
      </c>
      <c r="U396" s="155">
        <v>0</v>
      </c>
      <c r="V396" s="155">
        <v>0</v>
      </c>
      <c r="AA396" s="180" t="str">
        <f>VLOOKUP(A396,[2]DG!$A:$C,3,0)</f>
        <v>Sứ treo polymer</v>
      </c>
    </row>
    <row r="397" spans="1:27" ht="20.100000000000001" hidden="1" customHeight="1">
      <c r="A397" s="872" t="s">
        <v>3622</v>
      </c>
      <c r="B397" s="860"/>
      <c r="C397" s="421" t="s">
        <v>644</v>
      </c>
      <c r="D397" s="364" t="s">
        <v>9</v>
      </c>
      <c r="E397" s="833">
        <v>35000</v>
      </c>
      <c r="F397" s="833">
        <f t="shared" si="52"/>
        <v>0</v>
      </c>
      <c r="G397" s="833">
        <f t="shared" si="53"/>
        <v>0</v>
      </c>
      <c r="H397" s="834">
        <v>1</v>
      </c>
      <c r="I397" s="835"/>
      <c r="J397" s="836"/>
      <c r="K397" s="836"/>
      <c r="L397" s="836"/>
      <c r="M397" s="836"/>
      <c r="N397" s="836"/>
      <c r="O397" s="836"/>
      <c r="P397" s="836"/>
      <c r="Q397" s="836"/>
      <c r="R397" s="837">
        <v>2</v>
      </c>
      <c r="T397" s="155">
        <v>35000</v>
      </c>
      <c r="U397" s="155"/>
      <c r="V397" s="155"/>
      <c r="AA397" s="180" t="str">
        <f>VLOOKUP(A397,[2]DG!$A:$C,3,0)</f>
        <v>Sứ polymer cách điện hạ thế thanh cái tủ</v>
      </c>
    </row>
    <row r="398" spans="1:27" ht="20.100000000000001" hidden="1" customHeight="1">
      <c r="A398" s="872" t="s">
        <v>645</v>
      </c>
      <c r="B398" s="860"/>
      <c r="C398" s="416" t="s">
        <v>646</v>
      </c>
      <c r="D398" s="364" t="s">
        <v>182</v>
      </c>
      <c r="E398" s="833">
        <v>28941</v>
      </c>
      <c r="F398" s="833">
        <f t="shared" si="52"/>
        <v>0</v>
      </c>
      <c r="G398" s="833">
        <f t="shared" si="53"/>
        <v>0</v>
      </c>
      <c r="H398" s="834">
        <v>1</v>
      </c>
      <c r="I398" s="835"/>
      <c r="J398" s="836"/>
      <c r="K398" s="836"/>
      <c r="L398" s="836"/>
      <c r="M398" s="836"/>
      <c r="N398" s="836"/>
      <c r="O398" s="836"/>
      <c r="P398" s="836"/>
      <c r="Q398" s="836"/>
      <c r="R398" s="837">
        <v>1</v>
      </c>
      <c r="T398" s="155">
        <v>28941</v>
      </c>
      <c r="U398" s="155"/>
      <c r="V398" s="155"/>
      <c r="AA398" s="180" t="str">
        <f>VLOOKUP(A398,[2]DG!$A:$C,3,0)</f>
        <v>Sắt dẹt 40 x 4</v>
      </c>
    </row>
    <row r="399" spans="1:27" ht="20.100000000000001" hidden="1" customHeight="1">
      <c r="A399" s="872" t="s">
        <v>647</v>
      </c>
      <c r="B399" s="860"/>
      <c r="C399" s="416" t="s">
        <v>648</v>
      </c>
      <c r="D399" s="364" t="s">
        <v>182</v>
      </c>
      <c r="E399" s="833">
        <v>28941</v>
      </c>
      <c r="F399" s="833">
        <f t="shared" si="52"/>
        <v>0</v>
      </c>
      <c r="G399" s="833">
        <f t="shared" si="53"/>
        <v>0</v>
      </c>
      <c r="H399" s="834">
        <v>1</v>
      </c>
      <c r="I399" s="835"/>
      <c r="J399" s="836"/>
      <c r="K399" s="836"/>
      <c r="L399" s="836"/>
      <c r="M399" s="836"/>
      <c r="N399" s="836"/>
      <c r="O399" s="836"/>
      <c r="P399" s="836"/>
      <c r="Q399" s="836"/>
      <c r="R399" s="837">
        <v>1</v>
      </c>
      <c r="T399" s="155">
        <v>28941</v>
      </c>
      <c r="U399" s="155"/>
      <c r="V399" s="155"/>
      <c r="AA399" s="180" t="str">
        <f>VLOOKUP(A399,[2]DG!$A:$C,3,0)</f>
        <v>Sắt dẹt 50x5</v>
      </c>
    </row>
    <row r="400" spans="1:27" ht="20.100000000000001" hidden="1" customHeight="1">
      <c r="A400" s="872" t="s">
        <v>649</v>
      </c>
      <c r="B400" s="860"/>
      <c r="C400" s="416" t="s">
        <v>650</v>
      </c>
      <c r="D400" s="364" t="s">
        <v>182</v>
      </c>
      <c r="E400" s="833">
        <v>28941</v>
      </c>
      <c r="F400" s="833">
        <f t="shared" si="52"/>
        <v>0</v>
      </c>
      <c r="G400" s="833">
        <f t="shared" si="53"/>
        <v>0</v>
      </c>
      <c r="H400" s="834">
        <v>1</v>
      </c>
      <c r="I400" s="835"/>
      <c r="J400" s="836"/>
      <c r="K400" s="836"/>
      <c r="L400" s="836"/>
      <c r="M400" s="836"/>
      <c r="N400" s="836"/>
      <c r="O400" s="836"/>
      <c r="P400" s="836"/>
      <c r="Q400" s="836"/>
      <c r="R400" s="837">
        <v>1</v>
      </c>
      <c r="T400" s="155">
        <v>28941</v>
      </c>
      <c r="U400" s="155"/>
      <c r="V400" s="155"/>
      <c r="AA400" s="180" t="str">
        <f>VLOOKUP(A400,[2]DG!$A:$C,3,0)</f>
        <v>Sắt dẹt 60 x 6</v>
      </c>
    </row>
    <row r="401" spans="1:27" ht="20.100000000000001" hidden="1" customHeight="1">
      <c r="A401" s="872" t="s">
        <v>651</v>
      </c>
      <c r="B401" s="860"/>
      <c r="C401" s="416" t="s">
        <v>652</v>
      </c>
      <c r="D401" s="364" t="s">
        <v>182</v>
      </c>
      <c r="E401" s="833">
        <v>28941</v>
      </c>
      <c r="F401" s="833">
        <f t="shared" si="52"/>
        <v>0</v>
      </c>
      <c r="G401" s="833">
        <f t="shared" si="53"/>
        <v>0</v>
      </c>
      <c r="H401" s="834">
        <v>1</v>
      </c>
      <c r="I401" s="835"/>
      <c r="J401" s="836"/>
      <c r="K401" s="836"/>
      <c r="L401" s="836"/>
      <c r="M401" s="836"/>
      <c r="N401" s="836"/>
      <c r="O401" s="836"/>
      <c r="P401" s="836"/>
      <c r="Q401" s="836"/>
      <c r="R401" s="837">
        <v>1</v>
      </c>
      <c r="T401" s="155">
        <v>28941</v>
      </c>
      <c r="U401" s="155"/>
      <c r="V401" s="155"/>
      <c r="AA401" s="180" t="str">
        <f>VLOOKUP(A401,[2]DG!$A:$C,3,0)</f>
        <v>Sắt dẹt 70 x 7</v>
      </c>
    </row>
    <row r="402" spans="1:27" ht="20.100000000000001" hidden="1" customHeight="1">
      <c r="A402" s="874" t="s">
        <v>653</v>
      </c>
      <c r="B402" s="859"/>
      <c r="C402" s="416" t="s">
        <v>654</v>
      </c>
      <c r="D402" s="364" t="s">
        <v>182</v>
      </c>
      <c r="E402" s="833">
        <v>28941</v>
      </c>
      <c r="F402" s="833">
        <f t="shared" si="52"/>
        <v>0</v>
      </c>
      <c r="G402" s="833">
        <f t="shared" si="53"/>
        <v>0</v>
      </c>
      <c r="H402" s="834">
        <v>1</v>
      </c>
      <c r="I402" s="835"/>
      <c r="J402" s="836"/>
      <c r="K402" s="836"/>
      <c r="L402" s="836"/>
      <c r="M402" s="836"/>
      <c r="N402" s="836"/>
      <c r="O402" s="836"/>
      <c r="P402" s="836"/>
      <c r="Q402" s="836"/>
      <c r="R402" s="837">
        <v>1</v>
      </c>
      <c r="T402" s="155">
        <v>28941</v>
      </c>
      <c r="U402" s="155"/>
      <c r="V402" s="155"/>
      <c r="AA402" s="180" t="str">
        <f>VLOOKUP(A402,[2]DG!$A:$C,3,0)</f>
        <v>Sắt dẹt 80 x 6</v>
      </c>
    </row>
    <row r="403" spans="1:27" ht="20.100000000000001" hidden="1" customHeight="1">
      <c r="A403" s="874" t="s">
        <v>655</v>
      </c>
      <c r="B403" s="859"/>
      <c r="C403" s="416" t="s">
        <v>656</v>
      </c>
      <c r="D403" s="364" t="s">
        <v>182</v>
      </c>
      <c r="E403" s="833">
        <v>28941</v>
      </c>
      <c r="F403" s="833">
        <f t="shared" si="52"/>
        <v>0</v>
      </c>
      <c r="G403" s="833">
        <f t="shared" si="53"/>
        <v>0</v>
      </c>
      <c r="H403" s="834">
        <v>1</v>
      </c>
      <c r="I403" s="835"/>
      <c r="J403" s="836"/>
      <c r="K403" s="836"/>
      <c r="L403" s="836"/>
      <c r="M403" s="836"/>
      <c r="N403" s="836"/>
      <c r="O403" s="836"/>
      <c r="P403" s="836"/>
      <c r="Q403" s="836"/>
      <c r="R403" s="837">
        <v>1</v>
      </c>
      <c r="T403" s="155">
        <v>28941</v>
      </c>
      <c r="U403" s="155"/>
      <c r="V403" s="155"/>
      <c r="AA403" s="180" t="str">
        <f>VLOOKUP(A403,[2]DG!$A:$C,3,0)</f>
        <v>Sắt dẹt 80 x 8</v>
      </c>
    </row>
    <row r="404" spans="1:27" ht="20.100000000000001" hidden="1" customHeight="1">
      <c r="A404" s="873" t="s">
        <v>657</v>
      </c>
      <c r="B404" s="860"/>
      <c r="C404" s="416" t="s">
        <v>658</v>
      </c>
      <c r="D404" s="364" t="s">
        <v>182</v>
      </c>
      <c r="E404" s="833">
        <v>28941</v>
      </c>
      <c r="F404" s="833">
        <f t="shared" si="52"/>
        <v>0</v>
      </c>
      <c r="G404" s="833">
        <f t="shared" si="53"/>
        <v>0</v>
      </c>
      <c r="H404" s="834">
        <v>1</v>
      </c>
      <c r="I404" s="835"/>
      <c r="J404" s="836"/>
      <c r="K404" s="836"/>
      <c r="L404" s="836"/>
      <c r="M404" s="836"/>
      <c r="N404" s="836"/>
      <c r="O404" s="836"/>
      <c r="P404" s="836"/>
      <c r="Q404" s="836"/>
      <c r="R404" s="837">
        <v>1</v>
      </c>
      <c r="T404" s="155">
        <v>28941</v>
      </c>
      <c r="U404" s="155"/>
      <c r="V404" s="155"/>
      <c r="AA404" s="180" t="str">
        <f>VLOOKUP(A404,[2]DG!$A:$C,3,0)</f>
        <v>Sắt dẹt 100 x 8</v>
      </c>
    </row>
    <row r="405" spans="1:27" ht="20.100000000000001" hidden="1" customHeight="1">
      <c r="A405" s="874" t="s">
        <v>659</v>
      </c>
      <c r="B405" s="859"/>
      <c r="C405" s="416" t="s">
        <v>660</v>
      </c>
      <c r="D405" s="364" t="s">
        <v>182</v>
      </c>
      <c r="E405" s="833">
        <v>28941</v>
      </c>
      <c r="F405" s="833">
        <f t="shared" si="52"/>
        <v>0</v>
      </c>
      <c r="G405" s="833">
        <f t="shared" si="53"/>
        <v>0</v>
      </c>
      <c r="H405" s="834">
        <v>1</v>
      </c>
      <c r="I405" s="835"/>
      <c r="J405" s="836"/>
      <c r="K405" s="836"/>
      <c r="L405" s="836"/>
      <c r="M405" s="836"/>
      <c r="N405" s="836"/>
      <c r="O405" s="836"/>
      <c r="P405" s="836"/>
      <c r="Q405" s="836"/>
      <c r="R405" s="837">
        <v>1</v>
      </c>
      <c r="T405" s="155">
        <v>28941</v>
      </c>
      <c r="U405" s="155"/>
      <c r="V405" s="155"/>
      <c r="AA405" s="180" t="str">
        <f>VLOOKUP(A405,[2]DG!$A:$C,3,0)</f>
        <v>Sắt góc L32 x 32 x 3</v>
      </c>
    </row>
    <row r="406" spans="1:27" ht="20.100000000000001" hidden="1" customHeight="1">
      <c r="A406" s="874" t="s">
        <v>661</v>
      </c>
      <c r="B406" s="859"/>
      <c r="C406" s="416" t="s">
        <v>662</v>
      </c>
      <c r="D406" s="364" t="s">
        <v>182</v>
      </c>
      <c r="E406" s="833">
        <v>28941</v>
      </c>
      <c r="F406" s="833">
        <f t="shared" si="52"/>
        <v>0</v>
      </c>
      <c r="G406" s="833">
        <f t="shared" si="53"/>
        <v>0</v>
      </c>
      <c r="H406" s="834">
        <v>1</v>
      </c>
      <c r="I406" s="835"/>
      <c r="J406" s="836"/>
      <c r="K406" s="836"/>
      <c r="L406" s="836"/>
      <c r="M406" s="836"/>
      <c r="N406" s="836"/>
      <c r="O406" s="836"/>
      <c r="P406" s="836"/>
      <c r="Q406" s="836"/>
      <c r="R406" s="837">
        <v>1</v>
      </c>
      <c r="T406" s="155">
        <v>28941</v>
      </c>
      <c r="U406" s="155"/>
      <c r="V406" s="155"/>
      <c r="AA406" s="180" t="str">
        <f>VLOOKUP(A406,[2]DG!$A:$C,3,0)</f>
        <v>Sắt góc L40 x40 x4</v>
      </c>
    </row>
    <row r="407" spans="1:27" ht="20.100000000000001" hidden="1" customHeight="1">
      <c r="A407" s="872" t="s">
        <v>663</v>
      </c>
      <c r="B407" s="860"/>
      <c r="C407" s="416" t="s">
        <v>664</v>
      </c>
      <c r="D407" s="364" t="s">
        <v>182</v>
      </c>
      <c r="E407" s="833">
        <v>28941</v>
      </c>
      <c r="F407" s="833">
        <f t="shared" si="52"/>
        <v>0</v>
      </c>
      <c r="G407" s="833">
        <f t="shared" si="53"/>
        <v>0</v>
      </c>
      <c r="H407" s="834">
        <v>1</v>
      </c>
      <c r="I407" s="835"/>
      <c r="J407" s="836"/>
      <c r="K407" s="836"/>
      <c r="L407" s="836"/>
      <c r="M407" s="836"/>
      <c r="N407" s="836"/>
      <c r="O407" s="836"/>
      <c r="P407" s="836"/>
      <c r="Q407" s="836"/>
      <c r="R407" s="837">
        <v>1</v>
      </c>
      <c r="T407" s="155">
        <v>28941</v>
      </c>
      <c r="U407" s="155"/>
      <c r="V407" s="155"/>
      <c r="AA407" s="180" t="str">
        <f>VLOOKUP(A407,[2]DG!$A:$C,3,0)</f>
        <v>Sắt góc L45 x45 x 4</v>
      </c>
    </row>
    <row r="408" spans="1:27" ht="20.100000000000001" hidden="1" customHeight="1">
      <c r="A408" s="874" t="s">
        <v>665</v>
      </c>
      <c r="B408" s="859">
        <v>0</v>
      </c>
      <c r="C408" s="416" t="s">
        <v>666</v>
      </c>
      <c r="D408" s="364" t="s">
        <v>182</v>
      </c>
      <c r="E408" s="833">
        <v>28961</v>
      </c>
      <c r="F408" s="833">
        <f t="shared" si="52"/>
        <v>0</v>
      </c>
      <c r="G408" s="833">
        <f t="shared" si="53"/>
        <v>0</v>
      </c>
      <c r="H408" s="834">
        <v>42312</v>
      </c>
      <c r="I408" s="835"/>
      <c r="J408" s="836"/>
      <c r="K408" s="836"/>
      <c r="L408" s="836"/>
      <c r="M408" s="836"/>
      <c r="N408" s="836"/>
      <c r="O408" s="836"/>
      <c r="P408" s="836"/>
      <c r="Q408" s="836"/>
      <c r="R408" s="837">
        <v>1</v>
      </c>
      <c r="T408" s="155">
        <v>28961</v>
      </c>
      <c r="U408" s="433">
        <v>0</v>
      </c>
      <c r="V408" s="155">
        <v>0</v>
      </c>
      <c r="AA408" s="180" t="str">
        <f>VLOOKUP(A408,[2]DG!$A:$C,3,0)</f>
        <v>Sắt góc L50 x50 x5</v>
      </c>
    </row>
    <row r="409" spans="1:27" ht="20.100000000000001" hidden="1" customHeight="1">
      <c r="A409" s="872" t="s">
        <v>667</v>
      </c>
      <c r="B409" s="860"/>
      <c r="C409" s="416" t="s">
        <v>668</v>
      </c>
      <c r="D409" s="364" t="s">
        <v>182</v>
      </c>
      <c r="E409" s="833">
        <v>28941</v>
      </c>
      <c r="F409" s="833">
        <f t="shared" si="52"/>
        <v>0</v>
      </c>
      <c r="G409" s="833">
        <f t="shared" si="53"/>
        <v>0</v>
      </c>
      <c r="H409" s="834">
        <v>1</v>
      </c>
      <c r="I409" s="835"/>
      <c r="J409" s="836"/>
      <c r="K409" s="836"/>
      <c r="L409" s="836"/>
      <c r="M409" s="836"/>
      <c r="N409" s="836"/>
      <c r="O409" s="836"/>
      <c r="P409" s="836"/>
      <c r="Q409" s="836"/>
      <c r="R409" s="837">
        <v>1</v>
      </c>
      <c r="T409" s="155">
        <v>28941</v>
      </c>
      <c r="U409" s="433"/>
      <c r="V409" s="155"/>
      <c r="AA409" s="180" t="str">
        <f>VLOOKUP(A409,[2]DG!$A:$C,3,0)</f>
        <v>Sắt góc L70 x70 x7</v>
      </c>
    </row>
    <row r="410" spans="1:27" ht="20.100000000000001" hidden="1" customHeight="1">
      <c r="A410" s="872" t="s">
        <v>669</v>
      </c>
      <c r="B410" s="860">
        <v>0</v>
      </c>
      <c r="C410" s="416" t="s">
        <v>3307</v>
      </c>
      <c r="D410" s="364" t="s">
        <v>182</v>
      </c>
      <c r="E410" s="833">
        <v>28961</v>
      </c>
      <c r="F410" s="833">
        <f t="shared" si="52"/>
        <v>0</v>
      </c>
      <c r="G410" s="833">
        <f t="shared" si="53"/>
        <v>0</v>
      </c>
      <c r="H410" s="834">
        <v>42312</v>
      </c>
      <c r="I410" s="835"/>
      <c r="J410" s="836"/>
      <c r="K410" s="836"/>
      <c r="L410" s="836"/>
      <c r="M410" s="836"/>
      <c r="N410" s="836"/>
      <c r="O410" s="836"/>
      <c r="P410" s="836"/>
      <c r="Q410" s="836"/>
      <c r="R410" s="837">
        <v>1</v>
      </c>
      <c r="T410" s="155">
        <v>28961</v>
      </c>
      <c r="U410" s="155">
        <v>0</v>
      </c>
      <c r="V410" s="155">
        <v>0</v>
      </c>
      <c r="AA410" s="180" t="str">
        <f>VLOOKUP(A410,[2]DG!$A:$C,3,0)</f>
        <v>Sắt góc L75 x75 x8</v>
      </c>
    </row>
    <row r="411" spans="1:27" ht="20.100000000000001" hidden="1" customHeight="1">
      <c r="A411" s="872" t="s">
        <v>670</v>
      </c>
      <c r="B411" s="860"/>
      <c r="C411" s="416" t="s">
        <v>3198</v>
      </c>
      <c r="D411" s="364" t="s">
        <v>182</v>
      </c>
      <c r="E411" s="833">
        <v>8050</v>
      </c>
      <c r="F411" s="833">
        <f t="shared" si="52"/>
        <v>0</v>
      </c>
      <c r="G411" s="833">
        <f t="shared" si="53"/>
        <v>0</v>
      </c>
      <c r="H411" s="834">
        <v>1</v>
      </c>
      <c r="I411" s="835"/>
      <c r="J411" s="836"/>
      <c r="K411" s="836"/>
      <c r="L411" s="836"/>
      <c r="M411" s="836"/>
      <c r="N411" s="836"/>
      <c r="O411" s="836"/>
      <c r="P411" s="836"/>
      <c r="Q411" s="836"/>
      <c r="R411" s="837">
        <v>1</v>
      </c>
      <c r="T411" s="418">
        <v>8050</v>
      </c>
      <c r="U411" s="155"/>
      <c r="V411" s="155"/>
      <c r="AA411" s="180" t="str">
        <f>VLOOKUP(A411,[2]DG!$A:$C,3,0)</f>
        <v>Sắt Ø6</v>
      </c>
    </row>
    <row r="412" spans="1:27" ht="20.100000000000001" hidden="1" customHeight="1">
      <c r="A412" s="872" t="s">
        <v>671</v>
      </c>
      <c r="B412" s="860">
        <v>0</v>
      </c>
      <c r="C412" s="416" t="s">
        <v>3199</v>
      </c>
      <c r="D412" s="364" t="s">
        <v>182</v>
      </c>
      <c r="E412" s="833">
        <v>16000</v>
      </c>
      <c r="F412" s="833">
        <f t="shared" si="52"/>
        <v>0</v>
      </c>
      <c r="G412" s="833">
        <f t="shared" si="53"/>
        <v>0</v>
      </c>
      <c r="H412" s="834">
        <v>42583</v>
      </c>
      <c r="I412" s="835"/>
      <c r="J412" s="836"/>
      <c r="K412" s="836"/>
      <c r="L412" s="836"/>
      <c r="M412" s="836"/>
      <c r="N412" s="836"/>
      <c r="O412" s="836"/>
      <c r="P412" s="836"/>
      <c r="Q412" s="836"/>
      <c r="R412" s="837">
        <v>1</v>
      </c>
      <c r="T412" s="418">
        <v>16000</v>
      </c>
      <c r="U412" s="155">
        <v>0</v>
      </c>
      <c r="V412" s="155">
        <v>0</v>
      </c>
      <c r="AA412" s="180" t="str">
        <f>VLOOKUP(A412,[2]DG!$A:$C,3,0)</f>
        <v>Sắt Ø8</v>
      </c>
    </row>
    <row r="413" spans="1:27" ht="20.100000000000001" hidden="1" customHeight="1">
      <c r="A413" s="872" t="s">
        <v>672</v>
      </c>
      <c r="B413" s="860">
        <v>0</v>
      </c>
      <c r="C413" s="416" t="s">
        <v>3200</v>
      </c>
      <c r="D413" s="364" t="s">
        <v>182</v>
      </c>
      <c r="E413" s="833">
        <v>14545</v>
      </c>
      <c r="F413" s="833">
        <f t="shared" si="52"/>
        <v>0</v>
      </c>
      <c r="G413" s="833">
        <f t="shared" si="53"/>
        <v>0</v>
      </c>
      <c r="H413" s="834">
        <v>43636</v>
      </c>
      <c r="I413" s="835"/>
      <c r="J413" s="836"/>
      <c r="K413" s="836"/>
      <c r="L413" s="836"/>
      <c r="M413" s="836"/>
      <c r="N413" s="836"/>
      <c r="O413" s="836"/>
      <c r="P413" s="836"/>
      <c r="Q413" s="836"/>
      <c r="R413" s="837">
        <v>1</v>
      </c>
      <c r="T413" s="418">
        <v>8500</v>
      </c>
      <c r="U413" s="155"/>
      <c r="V413" s="155"/>
      <c r="AA413" s="180" t="str">
        <f>VLOOKUP(A413,[2]DG!$A:$C,3,0)</f>
        <v>Sắt Ø10</v>
      </c>
    </row>
    <row r="414" spans="1:27" ht="20.100000000000001" hidden="1" customHeight="1">
      <c r="A414" s="872" t="s">
        <v>673</v>
      </c>
      <c r="B414" s="860"/>
      <c r="C414" s="416" t="s">
        <v>3201</v>
      </c>
      <c r="D414" s="364" t="s">
        <v>182</v>
      </c>
      <c r="E414" s="833">
        <v>8500</v>
      </c>
      <c r="F414" s="833">
        <f t="shared" si="52"/>
        <v>0</v>
      </c>
      <c r="G414" s="833">
        <f t="shared" si="53"/>
        <v>0</v>
      </c>
      <c r="H414" s="834">
        <v>1</v>
      </c>
      <c r="I414" s="835"/>
      <c r="J414" s="836"/>
      <c r="K414" s="836"/>
      <c r="L414" s="836"/>
      <c r="M414" s="836"/>
      <c r="N414" s="836"/>
      <c r="O414" s="836"/>
      <c r="P414" s="836"/>
      <c r="Q414" s="836"/>
      <c r="R414" s="837">
        <v>1</v>
      </c>
      <c r="T414" s="418">
        <v>8500</v>
      </c>
      <c r="U414" s="155"/>
      <c r="V414" s="155"/>
      <c r="AA414" s="180" t="str">
        <f>VLOOKUP(A414,[2]DG!$A:$C,3,0)</f>
        <v>Sắt Ø12</v>
      </c>
    </row>
    <row r="415" spans="1:27" ht="20.100000000000001" hidden="1" customHeight="1">
      <c r="A415" s="872" t="s">
        <v>674</v>
      </c>
      <c r="B415" s="860"/>
      <c r="C415" s="416" t="s">
        <v>3202</v>
      </c>
      <c r="D415" s="364" t="s">
        <v>182</v>
      </c>
      <c r="E415" s="833">
        <v>8500</v>
      </c>
      <c r="F415" s="833">
        <f t="shared" si="52"/>
        <v>0</v>
      </c>
      <c r="G415" s="833">
        <f t="shared" si="53"/>
        <v>0</v>
      </c>
      <c r="H415" s="834">
        <v>1</v>
      </c>
      <c r="I415" s="835"/>
      <c r="J415" s="836"/>
      <c r="K415" s="836"/>
      <c r="L415" s="836"/>
      <c r="M415" s="836"/>
      <c r="N415" s="836"/>
      <c r="O415" s="836"/>
      <c r="P415" s="836"/>
      <c r="Q415" s="836"/>
      <c r="R415" s="837">
        <v>1</v>
      </c>
      <c r="T415" s="418">
        <v>8500</v>
      </c>
      <c r="U415" s="155"/>
      <c r="V415" s="155"/>
      <c r="AA415" s="180" t="str">
        <f>VLOOKUP(A415,[2]DG!$A:$C,3,0)</f>
        <v>Sắt Ø16</v>
      </c>
    </row>
    <row r="416" spans="1:27" ht="20.100000000000001" hidden="1" customHeight="1">
      <c r="A416" s="872" t="s">
        <v>675</v>
      </c>
      <c r="B416" s="860"/>
      <c r="C416" s="416" t="s">
        <v>3203</v>
      </c>
      <c r="D416" s="364" t="s">
        <v>182</v>
      </c>
      <c r="E416" s="833">
        <v>8500</v>
      </c>
      <c r="F416" s="833">
        <f t="shared" si="52"/>
        <v>0</v>
      </c>
      <c r="G416" s="833">
        <f t="shared" si="53"/>
        <v>0</v>
      </c>
      <c r="H416" s="834">
        <v>1</v>
      </c>
      <c r="I416" s="835"/>
      <c r="J416" s="836"/>
      <c r="K416" s="836"/>
      <c r="L416" s="836"/>
      <c r="M416" s="836"/>
      <c r="N416" s="836"/>
      <c r="O416" s="836"/>
      <c r="P416" s="836"/>
      <c r="Q416" s="836"/>
      <c r="R416" s="837">
        <v>1</v>
      </c>
      <c r="T416" s="418">
        <v>8500</v>
      </c>
      <c r="U416" s="155"/>
      <c r="V416" s="155"/>
      <c r="AA416" s="180" t="str">
        <f>VLOOKUP(A416,[2]DG!$A:$C,3,0)</f>
        <v>Sắt Ø24</v>
      </c>
    </row>
    <row r="417" spans="1:27" ht="20.100000000000001" hidden="1" customHeight="1">
      <c r="A417" s="872" t="s">
        <v>676</v>
      </c>
      <c r="B417" s="860"/>
      <c r="C417" s="421" t="s">
        <v>677</v>
      </c>
      <c r="D417" s="364" t="s">
        <v>182</v>
      </c>
      <c r="E417" s="833">
        <v>28941</v>
      </c>
      <c r="F417" s="833">
        <f t="shared" si="52"/>
        <v>0</v>
      </c>
      <c r="G417" s="833">
        <f t="shared" si="53"/>
        <v>0</v>
      </c>
      <c r="H417" s="834">
        <v>1</v>
      </c>
      <c r="I417" s="835"/>
      <c r="J417" s="836"/>
      <c r="K417" s="836"/>
      <c r="L417" s="836"/>
      <c r="M417" s="836"/>
      <c r="N417" s="836"/>
      <c r="O417" s="836"/>
      <c r="P417" s="836"/>
      <c r="Q417" s="836"/>
      <c r="R417" s="837">
        <v>1</v>
      </c>
      <c r="T417" s="155">
        <v>28941</v>
      </c>
      <c r="U417" s="155"/>
      <c r="V417" s="155"/>
      <c r="AA417" s="180" t="str">
        <f>VLOOKUP(A417,[2]DG!$A:$C,3,0)</f>
        <v>Ê KE 5x300x300\Zn</v>
      </c>
    </row>
    <row r="418" spans="1:27" ht="20.100000000000001" hidden="1" customHeight="1">
      <c r="A418" s="872" t="s">
        <v>3623</v>
      </c>
      <c r="B418" s="860"/>
      <c r="C418" s="421" t="s">
        <v>678</v>
      </c>
      <c r="D418" s="364" t="s">
        <v>182</v>
      </c>
      <c r="E418" s="833">
        <v>28961</v>
      </c>
      <c r="F418" s="833">
        <f t="shared" si="52"/>
        <v>0</v>
      </c>
      <c r="G418" s="833">
        <f t="shared" si="53"/>
        <v>0</v>
      </c>
      <c r="H418" s="834" t="s">
        <v>4065</v>
      </c>
      <c r="I418" s="835"/>
      <c r="J418" s="836"/>
      <c r="K418" s="836"/>
      <c r="L418" s="836"/>
      <c r="M418" s="836"/>
      <c r="N418" s="836"/>
      <c r="O418" s="836"/>
      <c r="P418" s="836"/>
      <c r="Q418" s="836"/>
      <c r="R418" s="837">
        <v>1</v>
      </c>
      <c r="T418" s="155">
        <v>4450</v>
      </c>
      <c r="U418" s="155"/>
      <c r="V418" s="155"/>
      <c r="AA418" s="180" t="str">
        <f>VLOOKUP(A418,[2]DG!$A:$C,3,0)</f>
        <v>Thép tấm 6mm</v>
      </c>
    </row>
    <row r="419" spans="1:27" ht="20.100000000000001" hidden="1" customHeight="1">
      <c r="A419" s="872" t="s">
        <v>3624</v>
      </c>
      <c r="B419" s="860"/>
      <c r="C419" s="421" t="s">
        <v>4628</v>
      </c>
      <c r="D419" s="364" t="s">
        <v>182</v>
      </c>
      <c r="E419" s="833">
        <v>28961</v>
      </c>
      <c r="F419" s="833">
        <f t="shared" si="52"/>
        <v>0</v>
      </c>
      <c r="G419" s="833">
        <f t="shared" si="53"/>
        <v>0</v>
      </c>
      <c r="H419" s="834" t="s">
        <v>4065</v>
      </c>
      <c r="I419" s="835"/>
      <c r="J419" s="836"/>
      <c r="K419" s="836"/>
      <c r="L419" s="836"/>
      <c r="M419" s="836"/>
      <c r="N419" s="836"/>
      <c r="O419" s="836"/>
      <c r="P419" s="836"/>
      <c r="Q419" s="836"/>
      <c r="R419" s="837">
        <v>1</v>
      </c>
      <c r="T419" s="155">
        <v>4450</v>
      </c>
      <c r="U419" s="155"/>
      <c r="V419" s="155"/>
      <c r="AA419" s="180" t="str">
        <f>VLOOKUP(A419,[2]DG!$A:$C,3,0)</f>
        <v>Thép tấm 5mm</v>
      </c>
    </row>
    <row r="420" spans="1:27" ht="20.100000000000001" hidden="1" customHeight="1">
      <c r="A420" s="872" t="s">
        <v>3625</v>
      </c>
      <c r="B420" s="860"/>
      <c r="C420" s="421" t="s">
        <v>680</v>
      </c>
      <c r="D420" s="364" t="s">
        <v>182</v>
      </c>
      <c r="E420" s="833">
        <v>28961</v>
      </c>
      <c r="F420" s="833">
        <f t="shared" si="52"/>
        <v>0</v>
      </c>
      <c r="G420" s="833">
        <f t="shared" si="53"/>
        <v>0</v>
      </c>
      <c r="H420" s="834" t="s">
        <v>4065</v>
      </c>
      <c r="I420" s="835"/>
      <c r="J420" s="836"/>
      <c r="K420" s="836"/>
      <c r="L420" s="836"/>
      <c r="M420" s="836"/>
      <c r="N420" s="836"/>
      <c r="O420" s="836"/>
      <c r="P420" s="836"/>
      <c r="Q420" s="836"/>
      <c r="R420" s="837">
        <v>1</v>
      </c>
      <c r="T420" s="155">
        <v>4450</v>
      </c>
      <c r="U420" s="155"/>
      <c r="V420" s="155"/>
      <c r="AA420" s="180" t="str">
        <f>VLOOKUP(A420,[2]DG!$A:$C,3,0)</f>
        <v>Thép tấm 4mm</v>
      </c>
    </row>
    <row r="421" spans="1:27" ht="20.100000000000001" customHeight="1">
      <c r="A421" s="872" t="s">
        <v>4625</v>
      </c>
      <c r="B421" s="860"/>
      <c r="C421" s="421" t="s">
        <v>4626</v>
      </c>
      <c r="D421" s="364" t="s">
        <v>182</v>
      </c>
      <c r="E421" s="833">
        <v>28961</v>
      </c>
      <c r="F421" s="833">
        <f t="shared" ref="F421" si="54">IF(OR(I421="",J421=""),0,IF(K421*1=0,1,K421)*VLOOKUP(I421,TIENLUONG,4,0)*J421)</f>
        <v>0</v>
      </c>
      <c r="G421" s="833">
        <f t="shared" ref="G421" si="55">L421*VLOOKUP($L$1,CAMAY,2,0)+M421*VLOOKUP($M$1,CAMAY,2,0)+N421*VLOOKUP($N$1,CAMAY,2,0)+O421*VLOOKUP($O$1,CAMAY,2,0)+P421*VLOOKUP($P$1,CAMAY,2,0)</f>
        <v>0</v>
      </c>
      <c r="H421" s="834" t="s">
        <v>4065</v>
      </c>
      <c r="I421" s="835"/>
      <c r="J421" s="836"/>
      <c r="K421" s="836"/>
      <c r="L421" s="836"/>
      <c r="M421" s="836"/>
      <c r="N421" s="836"/>
      <c r="O421" s="836"/>
      <c r="P421" s="836"/>
      <c r="Q421" s="836"/>
      <c r="R421" s="837">
        <v>1</v>
      </c>
      <c r="T421" s="155">
        <v>4450</v>
      </c>
      <c r="U421" s="155"/>
      <c r="V421" s="155"/>
      <c r="AA421" s="180" t="str">
        <f>VLOOKUP(A421,[2]DG!$A:$C,3,0)</f>
        <v>Thép tấm 3mm mạ kẽm (23.55kg/m2)</v>
      </c>
    </row>
    <row r="422" spans="1:27" ht="20.100000000000001" hidden="1" customHeight="1">
      <c r="A422" s="872" t="s">
        <v>3626</v>
      </c>
      <c r="B422" s="860"/>
      <c r="C422" s="421" t="s">
        <v>681</v>
      </c>
      <c r="D422" s="364" t="s">
        <v>182</v>
      </c>
      <c r="E422" s="833">
        <v>28961</v>
      </c>
      <c r="F422" s="833">
        <f t="shared" si="52"/>
        <v>0</v>
      </c>
      <c r="G422" s="833">
        <f t="shared" si="53"/>
        <v>0</v>
      </c>
      <c r="H422" s="834" t="s">
        <v>4065</v>
      </c>
      <c r="I422" s="835"/>
      <c r="J422" s="836"/>
      <c r="K422" s="836"/>
      <c r="L422" s="836"/>
      <c r="M422" s="836"/>
      <c r="N422" s="836"/>
      <c r="O422" s="836"/>
      <c r="P422" s="836"/>
      <c r="Q422" s="836"/>
      <c r="R422" s="837">
        <v>1</v>
      </c>
      <c r="T422" s="155">
        <v>4572</v>
      </c>
      <c r="U422" s="155"/>
      <c r="V422" s="155"/>
      <c r="AA422" s="180" t="str">
        <f>VLOOKUP(A422,[2]DG!$A:$C,3,0)</f>
        <v>Thép tấm 2mm</v>
      </c>
    </row>
    <row r="423" spans="1:27" ht="20.100000000000001" hidden="1" customHeight="1">
      <c r="A423" s="872" t="s">
        <v>682</v>
      </c>
      <c r="B423" s="860">
        <v>0</v>
      </c>
      <c r="C423" s="421" t="s">
        <v>4281</v>
      </c>
      <c r="D423" s="364" t="s">
        <v>37</v>
      </c>
      <c r="E423" s="833">
        <v>291000</v>
      </c>
      <c r="F423" s="833">
        <f t="shared" si="52"/>
        <v>0</v>
      </c>
      <c r="G423" s="833">
        <f t="shared" si="53"/>
        <v>0</v>
      </c>
      <c r="H423" s="834" t="s">
        <v>4065</v>
      </c>
      <c r="I423" s="835"/>
      <c r="J423" s="836"/>
      <c r="K423" s="836"/>
      <c r="L423" s="836"/>
      <c r="M423" s="836"/>
      <c r="N423" s="836"/>
      <c r="O423" s="836"/>
      <c r="P423" s="836"/>
      <c r="Q423" s="836"/>
      <c r="R423" s="837">
        <v>8</v>
      </c>
      <c r="T423" s="434">
        <v>278000</v>
      </c>
      <c r="U423" s="155">
        <v>0</v>
      </c>
      <c r="V423" s="155">
        <v>0</v>
      </c>
      <c r="AA423" s="180" t="str">
        <f>VLOOKUP(A423,[2]DG!$A:$C,3,0)</f>
        <v>Bộ chống chằng hẹp Ø60/50x1500+2BL12x40+BL16x250/80</v>
      </c>
    </row>
    <row r="424" spans="1:27" ht="20.100000000000001" hidden="1" customHeight="1">
      <c r="A424" s="872" t="s">
        <v>683</v>
      </c>
      <c r="B424" s="860">
        <v>0</v>
      </c>
      <c r="C424" s="421" t="s">
        <v>4280</v>
      </c>
      <c r="D424" s="364" t="s">
        <v>37</v>
      </c>
      <c r="E424" s="833">
        <v>252000</v>
      </c>
      <c r="F424" s="833">
        <f t="shared" si="52"/>
        <v>0</v>
      </c>
      <c r="G424" s="833">
        <f t="shared" si="53"/>
        <v>0</v>
      </c>
      <c r="H424" s="834" t="s">
        <v>4065</v>
      </c>
      <c r="I424" s="835"/>
      <c r="J424" s="836"/>
      <c r="K424" s="836"/>
      <c r="L424" s="836"/>
      <c r="M424" s="836"/>
      <c r="N424" s="836"/>
      <c r="O424" s="836"/>
      <c r="P424" s="836"/>
      <c r="Q424" s="836"/>
      <c r="R424" s="837">
        <v>8</v>
      </c>
      <c r="T424" s="418">
        <v>245000</v>
      </c>
      <c r="U424" s="155">
        <v>0</v>
      </c>
      <c r="V424" s="155">
        <v>0</v>
      </c>
      <c r="AA424" s="180" t="str">
        <f>VLOOKUP(A424,[2]DG!$A:$C,3,0)</f>
        <v>Bộ chống chằng hẹp Ø60/50x1200+2BL12x40+BL16x200/50</v>
      </c>
    </row>
    <row r="425" spans="1:27" ht="20.100000000000001" hidden="1" customHeight="1">
      <c r="A425" s="874" t="s">
        <v>684</v>
      </c>
      <c r="B425" s="859"/>
      <c r="C425" s="416" t="s">
        <v>685</v>
      </c>
      <c r="D425" s="364" t="s">
        <v>9</v>
      </c>
      <c r="E425" s="833">
        <v>45600</v>
      </c>
      <c r="F425" s="833">
        <f t="shared" si="52"/>
        <v>0</v>
      </c>
      <c r="G425" s="833">
        <f t="shared" si="53"/>
        <v>0</v>
      </c>
      <c r="H425" s="834">
        <v>1</v>
      </c>
      <c r="I425" s="835"/>
      <c r="J425" s="836"/>
      <c r="K425" s="836"/>
      <c r="L425" s="836"/>
      <c r="M425" s="836"/>
      <c r="N425" s="836"/>
      <c r="O425" s="836"/>
      <c r="P425" s="836"/>
      <c r="Q425" s="836"/>
      <c r="R425" s="837">
        <v>3.5</v>
      </c>
      <c r="T425" s="155">
        <v>45600</v>
      </c>
      <c r="U425" s="155"/>
      <c r="V425" s="155"/>
      <c r="AA425" s="180" t="str">
        <f>VLOOKUP(A425,[2]DG!$A:$C,3,0)</f>
        <v>Ty neo Ø16x1800</v>
      </c>
    </row>
    <row r="426" spans="1:27" ht="20.100000000000001" hidden="1" customHeight="1">
      <c r="A426" s="874" t="s">
        <v>686</v>
      </c>
      <c r="B426" s="859">
        <v>0</v>
      </c>
      <c r="C426" s="416" t="s">
        <v>687</v>
      </c>
      <c r="D426" s="364" t="s">
        <v>9</v>
      </c>
      <c r="E426" s="833">
        <v>185000</v>
      </c>
      <c r="F426" s="833">
        <f t="shared" si="52"/>
        <v>0</v>
      </c>
      <c r="G426" s="833">
        <f t="shared" si="53"/>
        <v>0</v>
      </c>
      <c r="H426" s="834">
        <v>43636</v>
      </c>
      <c r="I426" s="835"/>
      <c r="J426" s="836"/>
      <c r="K426" s="836"/>
      <c r="L426" s="836"/>
      <c r="M426" s="836"/>
      <c r="N426" s="836"/>
      <c r="O426" s="836"/>
      <c r="P426" s="836"/>
      <c r="Q426" s="836"/>
      <c r="R426" s="837">
        <v>3.5</v>
      </c>
      <c r="T426" s="418">
        <v>126000</v>
      </c>
      <c r="U426" s="155">
        <v>0</v>
      </c>
      <c r="V426" s="155">
        <v>0</v>
      </c>
      <c r="AA426" s="180" t="str">
        <f>VLOOKUP(A426,[2]DG!$A:$C,3,0)</f>
        <v>Ty neo Ø16x2400</v>
      </c>
    </row>
    <row r="427" spans="1:27" ht="20.100000000000001" hidden="1" customHeight="1">
      <c r="A427" s="874" t="s">
        <v>688</v>
      </c>
      <c r="B427" s="859"/>
      <c r="C427" s="416" t="s">
        <v>689</v>
      </c>
      <c r="D427" s="364" t="s">
        <v>9</v>
      </c>
      <c r="E427" s="833">
        <v>78500</v>
      </c>
      <c r="F427" s="833">
        <f t="shared" si="52"/>
        <v>0</v>
      </c>
      <c r="G427" s="833">
        <f t="shared" si="53"/>
        <v>0</v>
      </c>
      <c r="H427" s="834">
        <v>1</v>
      </c>
      <c r="I427" s="835"/>
      <c r="J427" s="836"/>
      <c r="K427" s="836"/>
      <c r="L427" s="836"/>
      <c r="M427" s="836"/>
      <c r="N427" s="836"/>
      <c r="O427" s="836"/>
      <c r="P427" s="836"/>
      <c r="Q427" s="836"/>
      <c r="R427" s="837">
        <v>4</v>
      </c>
      <c r="T427" s="155">
        <v>78500</v>
      </c>
      <c r="U427" s="155"/>
      <c r="V427" s="155"/>
      <c r="AA427" s="180" t="str">
        <f>VLOOKUP(A427,[2]DG!$A:$C,3,0)</f>
        <v>Ty neo Ø18x2400</v>
      </c>
    </row>
    <row r="428" spans="1:27" ht="20.100000000000001" hidden="1" customHeight="1">
      <c r="A428" s="874" t="s">
        <v>690</v>
      </c>
      <c r="B428" s="859">
        <v>0</v>
      </c>
      <c r="C428" s="416" t="s">
        <v>691</v>
      </c>
      <c r="D428" s="364" t="s">
        <v>9</v>
      </c>
      <c r="E428" s="833">
        <v>362000</v>
      </c>
      <c r="F428" s="833">
        <f t="shared" si="52"/>
        <v>0</v>
      </c>
      <c r="G428" s="833">
        <f t="shared" si="53"/>
        <v>0</v>
      </c>
      <c r="H428" s="834">
        <v>43636</v>
      </c>
      <c r="I428" s="835"/>
      <c r="J428" s="836"/>
      <c r="K428" s="836"/>
      <c r="L428" s="836"/>
      <c r="M428" s="836"/>
      <c r="N428" s="836"/>
      <c r="O428" s="836"/>
      <c r="P428" s="836"/>
      <c r="Q428" s="836"/>
      <c r="R428" s="837">
        <v>8</v>
      </c>
      <c r="T428" s="155">
        <v>226000</v>
      </c>
      <c r="U428" s="155">
        <v>0</v>
      </c>
      <c r="V428" s="155">
        <v>0</v>
      </c>
      <c r="AA428" s="180" t="str">
        <f>VLOOKUP(A428,[2]DG!$A:$C,3,0)</f>
        <v>Ty neo Ø22x2400</v>
      </c>
    </row>
    <row r="429" spans="1:27" ht="20.100000000000001" hidden="1" customHeight="1">
      <c r="A429" s="874" t="s">
        <v>692</v>
      </c>
      <c r="B429" s="859"/>
      <c r="C429" s="416" t="s">
        <v>693</v>
      </c>
      <c r="D429" s="364" t="s">
        <v>9</v>
      </c>
      <c r="E429" s="833">
        <v>142000</v>
      </c>
      <c r="F429" s="833">
        <f t="shared" si="52"/>
        <v>0</v>
      </c>
      <c r="G429" s="833">
        <f t="shared" si="53"/>
        <v>0</v>
      </c>
      <c r="H429" s="834">
        <v>1</v>
      </c>
      <c r="I429" s="835"/>
      <c r="J429" s="836"/>
      <c r="K429" s="836"/>
      <c r="L429" s="836"/>
      <c r="M429" s="836"/>
      <c r="N429" s="836"/>
      <c r="O429" s="836"/>
      <c r="P429" s="836"/>
      <c r="Q429" s="836"/>
      <c r="R429" s="837">
        <v>3.5</v>
      </c>
      <c r="T429" s="155">
        <v>142000</v>
      </c>
      <c r="U429" s="155"/>
      <c r="V429" s="155"/>
      <c r="AA429" s="180" t="str">
        <f>VLOOKUP(A429,[2]DG!$A:$C,3,0)</f>
        <v>Ty neo Ø22x3000</v>
      </c>
    </row>
    <row r="430" spans="1:27" ht="20.100000000000001" hidden="1" customHeight="1">
      <c r="A430" s="874" t="s">
        <v>694</v>
      </c>
      <c r="B430" s="859"/>
      <c r="C430" s="416" t="s">
        <v>695</v>
      </c>
      <c r="D430" s="364" t="s">
        <v>9</v>
      </c>
      <c r="E430" s="833">
        <v>170000</v>
      </c>
      <c r="F430" s="833">
        <f t="shared" si="52"/>
        <v>0</v>
      </c>
      <c r="G430" s="833">
        <f t="shared" si="53"/>
        <v>0</v>
      </c>
      <c r="H430" s="834">
        <v>1</v>
      </c>
      <c r="I430" s="835"/>
      <c r="J430" s="836"/>
      <c r="K430" s="836"/>
      <c r="L430" s="836"/>
      <c r="M430" s="836"/>
      <c r="N430" s="836"/>
      <c r="O430" s="836"/>
      <c r="P430" s="836"/>
      <c r="Q430" s="836"/>
      <c r="R430" s="837">
        <v>6</v>
      </c>
      <c r="T430" s="155">
        <v>170000</v>
      </c>
      <c r="U430" s="155"/>
      <c r="V430" s="155"/>
      <c r="AA430" s="180" t="str">
        <f>VLOOKUP(A430,[2]DG!$A:$C,3,0)</f>
        <v>Ty neo Ø22x3700</v>
      </c>
    </row>
    <row r="431" spans="1:27" ht="20.100000000000001" hidden="1" customHeight="1">
      <c r="A431" s="873" t="s">
        <v>696</v>
      </c>
      <c r="B431" s="859"/>
      <c r="C431" s="421" t="s">
        <v>697</v>
      </c>
      <c r="D431" s="364" t="s">
        <v>9</v>
      </c>
      <c r="E431" s="833">
        <v>83000</v>
      </c>
      <c r="F431" s="833">
        <f t="shared" si="52"/>
        <v>0</v>
      </c>
      <c r="G431" s="833">
        <f t="shared" si="53"/>
        <v>0</v>
      </c>
      <c r="H431" s="834" t="s">
        <v>4065</v>
      </c>
      <c r="I431" s="835"/>
      <c r="J431" s="836"/>
      <c r="K431" s="836"/>
      <c r="L431" s="836"/>
      <c r="M431" s="836"/>
      <c r="N431" s="836"/>
      <c r="O431" s="836"/>
      <c r="P431" s="836"/>
      <c r="Q431" s="836"/>
      <c r="R431" s="837">
        <v>5</v>
      </c>
      <c r="T431" s="418">
        <v>64000</v>
      </c>
      <c r="U431" s="155">
        <v>67874</v>
      </c>
      <c r="V431" s="155">
        <v>0</v>
      </c>
      <c r="AA431" s="180" t="str">
        <f>VLOOKUP(A431,[2]DG!$A:$C,3,0)</f>
        <v>Neo xòe 8 hướng (dày 3,2mm)</v>
      </c>
    </row>
    <row r="432" spans="1:27" ht="20.100000000000001" hidden="1" customHeight="1">
      <c r="A432" s="873" t="s">
        <v>698</v>
      </c>
      <c r="B432" s="860"/>
      <c r="C432" s="421" t="s">
        <v>700</v>
      </c>
      <c r="D432" s="364" t="s">
        <v>37</v>
      </c>
      <c r="E432" s="833">
        <v>135000</v>
      </c>
      <c r="F432" s="833">
        <f t="shared" si="52"/>
        <v>0</v>
      </c>
      <c r="G432" s="833">
        <f t="shared" si="53"/>
        <v>0</v>
      </c>
      <c r="H432" s="834">
        <v>1</v>
      </c>
      <c r="I432" s="835"/>
      <c r="J432" s="836"/>
      <c r="K432" s="836"/>
      <c r="L432" s="836"/>
      <c r="M432" s="836"/>
      <c r="N432" s="836"/>
      <c r="O432" s="836"/>
      <c r="P432" s="836"/>
      <c r="Q432" s="836"/>
      <c r="R432" s="837">
        <v>2</v>
      </c>
      <c r="T432" s="155">
        <v>135000</v>
      </c>
      <c r="U432" s="155">
        <v>11455</v>
      </c>
      <c r="V432" s="155"/>
      <c r="AA432" s="180" t="str">
        <f>VLOOKUP(A432,[2]DG!$A:$C,3,0)</f>
        <v>Cổ dê CD.X-142</v>
      </c>
    </row>
    <row r="433" spans="1:27" ht="20.100000000000001" hidden="1" customHeight="1">
      <c r="A433" s="873" t="s">
        <v>3627</v>
      </c>
      <c r="B433" s="860"/>
      <c r="C433" s="421" t="s">
        <v>701</v>
      </c>
      <c r="D433" s="364" t="s">
        <v>37</v>
      </c>
      <c r="E433" s="833">
        <v>135000</v>
      </c>
      <c r="F433" s="833">
        <f t="shared" si="52"/>
        <v>0</v>
      </c>
      <c r="G433" s="833">
        <f t="shared" si="53"/>
        <v>0</v>
      </c>
      <c r="H433" s="834">
        <v>1</v>
      </c>
      <c r="I433" s="835"/>
      <c r="J433" s="836"/>
      <c r="K433" s="836"/>
      <c r="L433" s="836"/>
      <c r="M433" s="836"/>
      <c r="N433" s="836"/>
      <c r="O433" s="836"/>
      <c r="P433" s="836"/>
      <c r="Q433" s="836"/>
      <c r="R433" s="837">
        <v>2</v>
      </c>
      <c r="T433" s="155">
        <v>135000</v>
      </c>
      <c r="U433" s="155">
        <v>11455</v>
      </c>
      <c r="V433" s="155"/>
      <c r="AA433" s="180" t="str">
        <f>VLOOKUP(A433,[2]DG!$A:$C,3,0)</f>
        <v>Cổ dê CD.X-142A</v>
      </c>
    </row>
    <row r="434" spans="1:27" ht="20.100000000000001" hidden="1" customHeight="1">
      <c r="A434" s="873" t="s">
        <v>702</v>
      </c>
      <c r="B434" s="860"/>
      <c r="C434" s="421" t="s">
        <v>703</v>
      </c>
      <c r="D434" s="364" t="s">
        <v>37</v>
      </c>
      <c r="E434" s="833">
        <v>135000</v>
      </c>
      <c r="F434" s="833">
        <f t="shared" si="52"/>
        <v>0</v>
      </c>
      <c r="G434" s="833">
        <f t="shared" si="53"/>
        <v>0</v>
      </c>
      <c r="H434" s="834">
        <v>1</v>
      </c>
      <c r="I434" s="835"/>
      <c r="J434" s="836"/>
      <c r="K434" s="836"/>
      <c r="L434" s="836"/>
      <c r="M434" s="836"/>
      <c r="N434" s="836"/>
      <c r="O434" s="836"/>
      <c r="P434" s="836"/>
      <c r="Q434" s="836"/>
      <c r="R434" s="837">
        <v>2</v>
      </c>
      <c r="T434" s="155">
        <v>135000</v>
      </c>
      <c r="U434" s="155">
        <v>11455</v>
      </c>
      <c r="V434" s="155"/>
      <c r="AA434" s="180" t="str">
        <f>VLOOKUP(A434,[2]DG!$A:$C,3,0)</f>
        <v>Cổ dê CD.X-146</v>
      </c>
    </row>
    <row r="435" spans="1:27" ht="20.100000000000001" hidden="1" customHeight="1">
      <c r="A435" s="873" t="s">
        <v>3628</v>
      </c>
      <c r="B435" s="860"/>
      <c r="C435" s="421" t="s">
        <v>704</v>
      </c>
      <c r="D435" s="364" t="s">
        <v>37</v>
      </c>
      <c r="E435" s="833">
        <v>135000</v>
      </c>
      <c r="F435" s="833">
        <f t="shared" si="52"/>
        <v>0</v>
      </c>
      <c r="G435" s="833">
        <f t="shared" si="53"/>
        <v>0</v>
      </c>
      <c r="H435" s="834">
        <v>1</v>
      </c>
      <c r="I435" s="835"/>
      <c r="J435" s="836"/>
      <c r="K435" s="836"/>
      <c r="L435" s="836"/>
      <c r="M435" s="836"/>
      <c r="N435" s="836"/>
      <c r="O435" s="836"/>
      <c r="P435" s="836"/>
      <c r="Q435" s="836"/>
      <c r="R435" s="837">
        <v>2</v>
      </c>
      <c r="T435" s="155">
        <v>135000</v>
      </c>
      <c r="U435" s="155">
        <v>11455</v>
      </c>
      <c r="V435" s="155"/>
      <c r="AA435" s="180" t="str">
        <f>VLOOKUP(A435,[2]DG!$A:$C,3,0)</f>
        <v>Cổ dê CD.X-146A</v>
      </c>
    </row>
    <row r="436" spans="1:27" ht="20.100000000000001" hidden="1" customHeight="1">
      <c r="A436" s="873" t="s">
        <v>705</v>
      </c>
      <c r="B436" s="860"/>
      <c r="C436" s="421" t="s">
        <v>706</v>
      </c>
      <c r="D436" s="364" t="s">
        <v>37</v>
      </c>
      <c r="E436" s="833">
        <v>135000</v>
      </c>
      <c r="F436" s="833">
        <f t="shared" si="52"/>
        <v>0</v>
      </c>
      <c r="G436" s="833">
        <f t="shared" si="53"/>
        <v>0</v>
      </c>
      <c r="H436" s="834">
        <v>1</v>
      </c>
      <c r="I436" s="835"/>
      <c r="J436" s="836"/>
      <c r="K436" s="836"/>
      <c r="L436" s="836"/>
      <c r="M436" s="836"/>
      <c r="N436" s="836"/>
      <c r="O436" s="836"/>
      <c r="P436" s="836"/>
      <c r="Q436" s="836"/>
      <c r="R436" s="837">
        <v>2</v>
      </c>
      <c r="T436" s="155">
        <v>135000</v>
      </c>
      <c r="U436" s="155">
        <v>11455</v>
      </c>
      <c r="V436" s="155"/>
      <c r="AA436" s="180" t="str">
        <f>VLOOKUP(A436,[2]DG!$A:$C,3,0)</f>
        <v>Cổ dê 6,82kg</v>
      </c>
    </row>
    <row r="437" spans="1:27" ht="20.100000000000001" hidden="1" customHeight="1">
      <c r="A437" s="873" t="s">
        <v>707</v>
      </c>
      <c r="B437" s="860" t="s">
        <v>4560</v>
      </c>
      <c r="C437" s="421" t="s">
        <v>708</v>
      </c>
      <c r="D437" s="364" t="s">
        <v>37</v>
      </c>
      <c r="E437" s="833">
        <v>0</v>
      </c>
      <c r="F437" s="833">
        <f t="shared" si="52"/>
        <v>82929</v>
      </c>
      <c r="G437" s="833">
        <f t="shared" si="53"/>
        <v>0</v>
      </c>
      <c r="H437" s="834" t="s">
        <v>4065</v>
      </c>
      <c r="I437" s="835" t="s">
        <v>3372</v>
      </c>
      <c r="J437" s="836">
        <v>0.35</v>
      </c>
      <c r="K437" s="836"/>
      <c r="L437" s="836"/>
      <c r="M437" s="836"/>
      <c r="N437" s="836"/>
      <c r="O437" s="836"/>
      <c r="P437" s="836"/>
      <c r="Q437" s="836"/>
      <c r="R437" s="837"/>
      <c r="T437" s="155">
        <v>0</v>
      </c>
      <c r="U437" s="155">
        <v>11455</v>
      </c>
      <c r="V437" s="155"/>
      <c r="AA437" s="180" t="str">
        <f>VLOOKUP(A437,[2]DG!$A:$C,3,0)</f>
        <v>Lắp cổ dê</v>
      </c>
    </row>
    <row r="438" spans="1:27" ht="20.100000000000001" hidden="1" customHeight="1">
      <c r="A438" s="873" t="s">
        <v>709</v>
      </c>
      <c r="B438" s="860"/>
      <c r="C438" s="421" t="s">
        <v>710</v>
      </c>
      <c r="D438" s="364" t="s">
        <v>37</v>
      </c>
      <c r="E438" s="833">
        <v>43000</v>
      </c>
      <c r="F438" s="833">
        <f t="shared" si="52"/>
        <v>0</v>
      </c>
      <c r="G438" s="833">
        <f t="shared" si="53"/>
        <v>0</v>
      </c>
      <c r="H438" s="834" t="s">
        <v>4065</v>
      </c>
      <c r="I438" s="835" t="s">
        <v>3372</v>
      </c>
      <c r="J438" s="836">
        <f>0.35*0</f>
        <v>0</v>
      </c>
      <c r="K438" s="836"/>
      <c r="L438" s="836"/>
      <c r="M438" s="836"/>
      <c r="N438" s="836"/>
      <c r="O438" s="836"/>
      <c r="P438" s="836"/>
      <c r="Q438" s="836"/>
      <c r="R438" s="837">
        <v>2</v>
      </c>
      <c r="T438" s="418">
        <v>43000</v>
      </c>
      <c r="U438" s="155"/>
      <c r="V438" s="155">
        <v>0</v>
      </c>
      <c r="AA438" s="180" t="str">
        <f>VLOOKUP(A438,[2]DG!$A:$C,3,0)</f>
        <v>Cổ dê kẹp ống PVC  21</v>
      </c>
    </row>
    <row r="439" spans="1:27" ht="20.100000000000001" hidden="1" customHeight="1">
      <c r="A439" s="873" t="s">
        <v>711</v>
      </c>
      <c r="B439" s="860"/>
      <c r="C439" s="421" t="s">
        <v>712</v>
      </c>
      <c r="D439" s="364" t="s">
        <v>182</v>
      </c>
      <c r="E439" s="833">
        <v>22000</v>
      </c>
      <c r="F439" s="833">
        <f t="shared" si="52"/>
        <v>0</v>
      </c>
      <c r="G439" s="833">
        <f t="shared" si="53"/>
        <v>0</v>
      </c>
      <c r="H439" s="834">
        <v>1</v>
      </c>
      <c r="I439" s="835"/>
      <c r="J439" s="836"/>
      <c r="K439" s="836"/>
      <c r="L439" s="836"/>
      <c r="M439" s="836"/>
      <c r="N439" s="836"/>
      <c r="O439" s="836"/>
      <c r="P439" s="836"/>
      <c r="Q439" s="836"/>
      <c r="R439" s="837">
        <v>1</v>
      </c>
      <c r="T439" s="427">
        <v>22000</v>
      </c>
      <c r="U439" s="155">
        <v>11455</v>
      </c>
      <c r="V439" s="155"/>
      <c r="AA439" s="180" t="str">
        <f>VLOOKUP(A439,[2]DG!$A:$C,3,0)</f>
        <v>Cổ dê kẹp ống PVC Ø 60</v>
      </c>
    </row>
    <row r="440" spans="1:27" ht="20.100000000000001" hidden="1" customHeight="1">
      <c r="A440" s="873" t="s">
        <v>713</v>
      </c>
      <c r="B440" s="860"/>
      <c r="C440" s="421" t="s">
        <v>4539</v>
      </c>
      <c r="D440" s="364" t="s">
        <v>37</v>
      </c>
      <c r="E440" s="833">
        <v>56000</v>
      </c>
      <c r="F440" s="833">
        <f t="shared" si="52"/>
        <v>0</v>
      </c>
      <c r="G440" s="833">
        <f t="shared" si="53"/>
        <v>0</v>
      </c>
      <c r="H440" s="834" t="s">
        <v>4065</v>
      </c>
      <c r="I440" s="835" t="s">
        <v>3372</v>
      </c>
      <c r="J440" s="836">
        <f>0.35*0</f>
        <v>0</v>
      </c>
      <c r="K440" s="836"/>
      <c r="L440" s="836"/>
      <c r="M440" s="836"/>
      <c r="N440" s="836"/>
      <c r="O440" s="836"/>
      <c r="P440" s="836"/>
      <c r="Q440" s="836"/>
      <c r="R440" s="837">
        <v>2</v>
      </c>
      <c r="T440" s="418">
        <v>49000</v>
      </c>
      <c r="U440" s="155">
        <v>11455</v>
      </c>
      <c r="V440" s="155">
        <v>0</v>
      </c>
      <c r="AA440" s="180" t="str">
        <f>VLOOKUP(A440,[2]DG!$A:$C,3,0)</f>
        <v>Cổ dê kẹp ống PVC Ø 90</v>
      </c>
    </row>
    <row r="441" spans="1:27" ht="20.100000000000001" hidden="1" customHeight="1">
      <c r="A441" s="873" t="s">
        <v>714</v>
      </c>
      <c r="B441" s="860"/>
      <c r="C441" s="421" t="s">
        <v>4540</v>
      </c>
      <c r="D441" s="364" t="s">
        <v>37</v>
      </c>
      <c r="E441" s="833">
        <v>59000</v>
      </c>
      <c r="F441" s="833">
        <f t="shared" si="52"/>
        <v>0</v>
      </c>
      <c r="G441" s="833">
        <f t="shared" si="53"/>
        <v>0</v>
      </c>
      <c r="H441" s="834" t="s">
        <v>4065</v>
      </c>
      <c r="I441" s="835"/>
      <c r="J441" s="836"/>
      <c r="K441" s="836"/>
      <c r="L441" s="836"/>
      <c r="M441" s="836"/>
      <c r="N441" s="836"/>
      <c r="O441" s="836"/>
      <c r="P441" s="836"/>
      <c r="Q441" s="836"/>
      <c r="R441" s="837">
        <v>2</v>
      </c>
      <c r="T441" s="427">
        <v>53000</v>
      </c>
      <c r="U441" s="155">
        <v>11455</v>
      </c>
      <c r="V441" s="155"/>
      <c r="AA441" s="180" t="str">
        <f>VLOOKUP(A441,[2]DG!$A:$C,3,0)</f>
        <v>Cổ dê kẹp ống PVC Ø 114</v>
      </c>
    </row>
    <row r="442" spans="1:27" ht="20.100000000000001" hidden="1" customHeight="1">
      <c r="A442" s="873" t="s">
        <v>715</v>
      </c>
      <c r="B442" s="860"/>
      <c r="C442" s="421" t="s">
        <v>4541</v>
      </c>
      <c r="D442" s="364" t="s">
        <v>37</v>
      </c>
      <c r="E442" s="833">
        <v>40000</v>
      </c>
      <c r="F442" s="833">
        <f t="shared" si="52"/>
        <v>0</v>
      </c>
      <c r="G442" s="833">
        <f t="shared" si="53"/>
        <v>0</v>
      </c>
      <c r="H442" s="834">
        <v>1</v>
      </c>
      <c r="I442" s="835"/>
      <c r="J442" s="836"/>
      <c r="K442" s="836"/>
      <c r="L442" s="836"/>
      <c r="M442" s="836"/>
      <c r="N442" s="836"/>
      <c r="O442" s="836"/>
      <c r="P442" s="836"/>
      <c r="Q442" s="836"/>
      <c r="R442" s="837">
        <v>2</v>
      </c>
      <c r="T442" s="427">
        <v>40000</v>
      </c>
      <c r="U442" s="155">
        <v>11455</v>
      </c>
      <c r="V442" s="155"/>
      <c r="AA442" s="180" t="str">
        <f>VLOOKUP(A442,[2]DG!$A:$C,3,0)</f>
        <v>Cổ dê kẹp ống PVC Ø 140</v>
      </c>
    </row>
    <row r="443" spans="1:27" ht="20.100000000000001" hidden="1" customHeight="1">
      <c r="A443" s="873" t="s">
        <v>716</v>
      </c>
      <c r="B443" s="860"/>
      <c r="C443" s="421" t="s">
        <v>4542</v>
      </c>
      <c r="D443" s="364" t="s">
        <v>37</v>
      </c>
      <c r="E443" s="833">
        <v>22000</v>
      </c>
      <c r="F443" s="833">
        <f t="shared" si="52"/>
        <v>0</v>
      </c>
      <c r="G443" s="833">
        <f t="shared" si="53"/>
        <v>0</v>
      </c>
      <c r="H443" s="834">
        <v>1</v>
      </c>
      <c r="I443" s="835"/>
      <c r="J443" s="836"/>
      <c r="K443" s="836"/>
      <c r="L443" s="836"/>
      <c r="M443" s="836"/>
      <c r="N443" s="836"/>
      <c r="O443" s="836"/>
      <c r="P443" s="836"/>
      <c r="Q443" s="836"/>
      <c r="R443" s="837">
        <v>2</v>
      </c>
      <c r="T443" s="427">
        <v>22000</v>
      </c>
      <c r="U443" s="155">
        <v>11455</v>
      </c>
      <c r="V443" s="155"/>
      <c r="AA443" s="180" t="str">
        <f>VLOOKUP(A443,[2]DG!$A:$C,3,0)</f>
        <v>Cổ dê kẹp ống sắt Ø 140</v>
      </c>
    </row>
    <row r="444" spans="1:27" ht="20.100000000000001" hidden="1" customHeight="1">
      <c r="A444" s="873" t="s">
        <v>717</v>
      </c>
      <c r="B444" s="860"/>
      <c r="C444" s="421" t="s">
        <v>4543</v>
      </c>
      <c r="D444" s="364" t="s">
        <v>394</v>
      </c>
      <c r="E444" s="833">
        <v>22000</v>
      </c>
      <c r="F444" s="833">
        <f t="shared" si="52"/>
        <v>0</v>
      </c>
      <c r="G444" s="833">
        <f t="shared" si="53"/>
        <v>0</v>
      </c>
      <c r="H444" s="834">
        <v>1</v>
      </c>
      <c r="I444" s="835"/>
      <c r="J444" s="836"/>
      <c r="K444" s="836"/>
      <c r="L444" s="836"/>
      <c r="M444" s="836"/>
      <c r="N444" s="836"/>
      <c r="O444" s="836"/>
      <c r="P444" s="836"/>
      <c r="Q444" s="836"/>
      <c r="R444" s="837">
        <v>1</v>
      </c>
      <c r="T444" s="427">
        <v>22000</v>
      </c>
      <c r="U444" s="155">
        <v>11455</v>
      </c>
      <c r="V444" s="155"/>
      <c r="AA444" s="180" t="str">
        <f>VLOOKUP(A444,[2]DG!$A:$C,3,0)</f>
        <v>Cổ dê Ø 195 nẹp trụ</v>
      </c>
    </row>
    <row r="445" spans="1:27" ht="20.100000000000001" hidden="1" customHeight="1">
      <c r="A445" s="873" t="s">
        <v>718</v>
      </c>
      <c r="B445" s="860"/>
      <c r="C445" s="421" t="s">
        <v>4544</v>
      </c>
      <c r="D445" s="364" t="s">
        <v>394</v>
      </c>
      <c r="E445" s="833">
        <v>22000</v>
      </c>
      <c r="F445" s="833">
        <f t="shared" si="52"/>
        <v>0</v>
      </c>
      <c r="G445" s="833">
        <f t="shared" si="53"/>
        <v>0</v>
      </c>
      <c r="H445" s="834">
        <v>1</v>
      </c>
      <c r="I445" s="835"/>
      <c r="J445" s="836"/>
      <c r="K445" s="836"/>
      <c r="L445" s="836"/>
      <c r="M445" s="836"/>
      <c r="N445" s="836"/>
      <c r="O445" s="836"/>
      <c r="P445" s="836"/>
      <c r="Q445" s="836"/>
      <c r="R445" s="837">
        <v>1</v>
      </c>
      <c r="T445" s="427">
        <v>22000</v>
      </c>
      <c r="U445" s="155">
        <v>11455</v>
      </c>
      <c r="V445" s="155"/>
      <c r="AA445" s="180" t="str">
        <f>VLOOKUP(A445,[2]DG!$A:$C,3,0)</f>
        <v>Cổ dê Ø 207 nẹp trụ</v>
      </c>
    </row>
    <row r="446" spans="1:27" ht="20.100000000000001" hidden="1" customHeight="1">
      <c r="A446" s="873" t="s">
        <v>719</v>
      </c>
      <c r="B446" s="860"/>
      <c r="C446" s="421" t="s">
        <v>4545</v>
      </c>
      <c r="D446" s="364" t="s">
        <v>394</v>
      </c>
      <c r="E446" s="833">
        <v>22000</v>
      </c>
      <c r="F446" s="833">
        <f t="shared" si="52"/>
        <v>0</v>
      </c>
      <c r="G446" s="833">
        <f t="shared" si="53"/>
        <v>0</v>
      </c>
      <c r="H446" s="834">
        <v>1</v>
      </c>
      <c r="I446" s="835"/>
      <c r="J446" s="836"/>
      <c r="K446" s="836"/>
      <c r="L446" s="836"/>
      <c r="M446" s="836"/>
      <c r="N446" s="836"/>
      <c r="O446" s="836"/>
      <c r="P446" s="836"/>
      <c r="Q446" s="836"/>
      <c r="R446" s="837">
        <v>1</v>
      </c>
      <c r="T446" s="427">
        <v>22000</v>
      </c>
      <c r="U446" s="155">
        <v>11455</v>
      </c>
      <c r="V446" s="155"/>
      <c r="AA446" s="180" t="str">
        <f>VLOOKUP(A446,[2]DG!$A:$C,3,0)</f>
        <v>Cổ dê Ø 220 nẹp trụ</v>
      </c>
    </row>
    <row r="447" spans="1:27" ht="20.100000000000001" hidden="1" customHeight="1">
      <c r="A447" s="873" t="s">
        <v>720</v>
      </c>
      <c r="B447" s="860"/>
      <c r="C447" s="421" t="s">
        <v>4546</v>
      </c>
      <c r="D447" s="364" t="s">
        <v>394</v>
      </c>
      <c r="E447" s="833">
        <v>15140.380999999999</v>
      </c>
      <c r="F447" s="833">
        <f t="shared" si="52"/>
        <v>0</v>
      </c>
      <c r="G447" s="833">
        <f t="shared" si="53"/>
        <v>0</v>
      </c>
      <c r="H447" s="834">
        <v>1</v>
      </c>
      <c r="I447" s="835"/>
      <c r="J447" s="836"/>
      <c r="K447" s="836"/>
      <c r="L447" s="836"/>
      <c r="M447" s="836"/>
      <c r="N447" s="836"/>
      <c r="O447" s="836"/>
      <c r="P447" s="836"/>
      <c r="Q447" s="836"/>
      <c r="R447" s="837">
        <v>1</v>
      </c>
      <c r="T447" s="155">
        <v>15140.380999999999</v>
      </c>
      <c r="U447" s="155">
        <v>11455</v>
      </c>
      <c r="V447" s="155"/>
      <c r="AA447" s="180" t="str">
        <f>VLOOKUP(A447,[2]DG!$A:$C,3,0)</f>
        <v>Cổ dê  Ø 240-Fe 8x100</v>
      </c>
    </row>
    <row r="448" spans="1:27" ht="20.100000000000001" hidden="1" customHeight="1">
      <c r="A448" s="873" t="s">
        <v>721</v>
      </c>
      <c r="B448" s="860"/>
      <c r="C448" s="421" t="s">
        <v>4547</v>
      </c>
      <c r="D448" s="364" t="s">
        <v>394</v>
      </c>
      <c r="E448" s="833">
        <v>15140.380999999999</v>
      </c>
      <c r="F448" s="833">
        <f t="shared" si="52"/>
        <v>0</v>
      </c>
      <c r="G448" s="833">
        <f t="shared" si="53"/>
        <v>0</v>
      </c>
      <c r="H448" s="834">
        <v>1</v>
      </c>
      <c r="I448" s="835"/>
      <c r="J448" s="836"/>
      <c r="K448" s="836"/>
      <c r="L448" s="836"/>
      <c r="M448" s="836"/>
      <c r="N448" s="836"/>
      <c r="O448" s="836"/>
      <c r="P448" s="836"/>
      <c r="Q448" s="836"/>
      <c r="R448" s="837">
        <v>1</v>
      </c>
      <c r="T448" s="155">
        <v>15140.380999999999</v>
      </c>
      <c r="U448" s="155">
        <v>11455</v>
      </c>
      <c r="V448" s="155"/>
      <c r="AA448" s="180" t="str">
        <f>VLOOKUP(A448,[2]DG!$A:$C,3,0)</f>
        <v>Cổ dê Ø 250-Fe 8x100</v>
      </c>
    </row>
    <row r="449" spans="1:27" ht="20.100000000000001" hidden="1" customHeight="1">
      <c r="A449" s="873" t="s">
        <v>722</v>
      </c>
      <c r="B449" s="860"/>
      <c r="C449" s="421" t="s">
        <v>4548</v>
      </c>
      <c r="D449" s="364" t="s">
        <v>9</v>
      </c>
      <c r="E449" s="833">
        <v>54000</v>
      </c>
      <c r="F449" s="833">
        <f t="shared" si="52"/>
        <v>0</v>
      </c>
      <c r="G449" s="833">
        <f t="shared" si="53"/>
        <v>0</v>
      </c>
      <c r="H449" s="834" t="s">
        <v>4065</v>
      </c>
      <c r="I449" s="835"/>
      <c r="J449" s="836"/>
      <c r="K449" s="836"/>
      <c r="L449" s="836"/>
      <c r="M449" s="836"/>
      <c r="N449" s="836"/>
      <c r="O449" s="836"/>
      <c r="P449" s="836"/>
      <c r="Q449" s="836"/>
      <c r="R449" s="837">
        <v>1</v>
      </c>
      <c r="T449" s="427">
        <v>22000</v>
      </c>
      <c r="U449" s="155">
        <v>11455</v>
      </c>
      <c r="V449" s="155"/>
      <c r="AA449" s="180" t="str">
        <f>VLOOKUP(A449,[2]DG!$A:$C,3,0)</f>
        <v>Cổ dê CDĐKĐT( bắt thùng điện kế)</v>
      </c>
    </row>
    <row r="450" spans="1:27" ht="20.100000000000001" hidden="1" customHeight="1">
      <c r="A450" s="873" t="s">
        <v>3629</v>
      </c>
      <c r="B450" s="860"/>
      <c r="C450" s="421" t="s">
        <v>4549</v>
      </c>
      <c r="D450" s="364" t="s">
        <v>394</v>
      </c>
      <c r="E450" s="833">
        <v>15140.380999999999</v>
      </c>
      <c r="F450" s="833">
        <f t="shared" si="52"/>
        <v>0</v>
      </c>
      <c r="G450" s="833">
        <f t="shared" si="53"/>
        <v>0</v>
      </c>
      <c r="H450" s="834">
        <v>1</v>
      </c>
      <c r="I450" s="835"/>
      <c r="J450" s="836"/>
      <c r="K450" s="836"/>
      <c r="L450" s="836"/>
      <c r="M450" s="836"/>
      <c r="N450" s="836"/>
      <c r="O450" s="836"/>
      <c r="P450" s="836"/>
      <c r="Q450" s="836"/>
      <c r="R450" s="837">
        <v>1</v>
      </c>
      <c r="T450" s="155">
        <v>15140.380999999999</v>
      </c>
      <c r="U450" s="155">
        <v>11455</v>
      </c>
      <c r="V450" s="155"/>
      <c r="AA450" s="180" t="str">
        <f>VLOOKUP(A450,[2]DG!$A:$C,3,0)</f>
        <v>Cổ dê trụ đôi bắt sứ treo</v>
      </c>
    </row>
    <row r="451" spans="1:27" ht="20.100000000000001" hidden="1" customHeight="1">
      <c r="A451" s="873" t="s">
        <v>3630</v>
      </c>
      <c r="B451" s="860"/>
      <c r="C451" s="421" t="s">
        <v>4550</v>
      </c>
      <c r="D451" s="364" t="s">
        <v>394</v>
      </c>
      <c r="E451" s="833">
        <v>15140.380999999999</v>
      </c>
      <c r="F451" s="833">
        <f t="shared" si="52"/>
        <v>0</v>
      </c>
      <c r="G451" s="833">
        <f t="shared" si="53"/>
        <v>0</v>
      </c>
      <c r="H451" s="834">
        <v>1</v>
      </c>
      <c r="I451" s="835"/>
      <c r="J451" s="836"/>
      <c r="K451" s="836"/>
      <c r="L451" s="836"/>
      <c r="M451" s="836"/>
      <c r="N451" s="836"/>
      <c r="O451" s="836"/>
      <c r="P451" s="836"/>
      <c r="Q451" s="836"/>
      <c r="R451" s="837">
        <v>1</v>
      </c>
      <c r="T451" s="155">
        <v>15140.380999999999</v>
      </c>
      <c r="U451" s="155">
        <v>11455</v>
      </c>
      <c r="V451" s="155"/>
      <c r="AA451" s="180" t="str">
        <f>VLOOKUP(A451,[2]DG!$A:$C,3,0)</f>
        <v xml:space="preserve">Cổ dê trụ đôi 8,4m bắt móc dừng </v>
      </c>
    </row>
    <row r="452" spans="1:27" ht="20.100000000000001" hidden="1" customHeight="1">
      <c r="A452" s="873" t="s">
        <v>3631</v>
      </c>
      <c r="B452" s="860"/>
      <c r="C452" s="421" t="s">
        <v>4551</v>
      </c>
      <c r="D452" s="364" t="s">
        <v>394</v>
      </c>
      <c r="E452" s="833">
        <v>15140.380999999999</v>
      </c>
      <c r="F452" s="833">
        <f t="shared" si="52"/>
        <v>0</v>
      </c>
      <c r="G452" s="833">
        <f t="shared" si="53"/>
        <v>0</v>
      </c>
      <c r="H452" s="834">
        <v>1</v>
      </c>
      <c r="I452" s="835"/>
      <c r="J452" s="836"/>
      <c r="K452" s="836"/>
      <c r="L452" s="836"/>
      <c r="M452" s="836"/>
      <c r="N452" s="836"/>
      <c r="O452" s="836"/>
      <c r="P452" s="836"/>
      <c r="Q452" s="836"/>
      <c r="R452" s="837">
        <v>1</v>
      </c>
      <c r="T452" s="155">
        <v>15140.380999999999</v>
      </c>
      <c r="U452" s="155">
        <v>11455</v>
      </c>
      <c r="V452" s="155"/>
      <c r="AA452" s="180" t="str">
        <f>VLOOKUP(A452,[2]DG!$A:$C,3,0)</f>
        <v xml:space="preserve">Cổ dê giữ dầu cáp+Bulon </v>
      </c>
    </row>
    <row r="453" spans="1:27" ht="20.100000000000001" hidden="1" customHeight="1">
      <c r="A453" s="873" t="s">
        <v>3632</v>
      </c>
      <c r="B453" s="860"/>
      <c r="C453" s="421" t="s">
        <v>4552</v>
      </c>
      <c r="D453" s="364" t="s">
        <v>394</v>
      </c>
      <c r="E453" s="833">
        <v>15140.380999999999</v>
      </c>
      <c r="F453" s="833">
        <f t="shared" si="52"/>
        <v>0</v>
      </c>
      <c r="G453" s="833">
        <f t="shared" si="53"/>
        <v>0</v>
      </c>
      <c r="H453" s="834">
        <v>1</v>
      </c>
      <c r="I453" s="835"/>
      <c r="J453" s="836"/>
      <c r="K453" s="836"/>
      <c r="L453" s="836"/>
      <c r="M453" s="836"/>
      <c r="N453" s="836"/>
      <c r="O453" s="836"/>
      <c r="P453" s="836"/>
      <c r="Q453" s="836"/>
      <c r="R453" s="837">
        <v>1</v>
      </c>
      <c r="T453" s="155">
        <v>15140.380999999999</v>
      </c>
      <c r="U453" s="155">
        <v>11455</v>
      </c>
      <c r="V453" s="155"/>
      <c r="AA453" s="180" t="str">
        <f>VLOOKUP(A453,[2]DG!$A:$C,3,0)</f>
        <v xml:space="preserve">Cổ dê giữ ống D140 vào trụ đôi + Bulon </v>
      </c>
    </row>
    <row r="454" spans="1:27" ht="20.100000000000001" hidden="1" customHeight="1">
      <c r="A454" s="873" t="s">
        <v>3633</v>
      </c>
      <c r="B454" s="860"/>
      <c r="C454" s="421" t="s">
        <v>4553</v>
      </c>
      <c r="D454" s="364" t="s">
        <v>394</v>
      </c>
      <c r="E454" s="833">
        <v>15140.380999999999</v>
      </c>
      <c r="F454" s="833">
        <f t="shared" si="52"/>
        <v>0</v>
      </c>
      <c r="G454" s="833">
        <f t="shared" si="53"/>
        <v>0</v>
      </c>
      <c r="H454" s="834">
        <v>1</v>
      </c>
      <c r="I454" s="835"/>
      <c r="J454" s="836"/>
      <c r="K454" s="836"/>
      <c r="L454" s="836"/>
      <c r="M454" s="836"/>
      <c r="N454" s="836"/>
      <c r="O454" s="836"/>
      <c r="P454" s="836"/>
      <c r="Q454" s="836"/>
      <c r="R454" s="837">
        <v>1</v>
      </c>
      <c r="T454" s="155">
        <v>15140.380999999999</v>
      </c>
      <c r="U454" s="155">
        <v>11455</v>
      </c>
      <c r="V454" s="155"/>
      <c r="AA454" s="180" t="str">
        <f>VLOOKUP(A454,[2]DG!$A:$C,3,0)</f>
        <v xml:space="preserve">Cổ dê giữ ống D140 vào trụ + Bulon </v>
      </c>
    </row>
    <row r="455" spans="1:27" ht="20.100000000000001" hidden="1" customHeight="1">
      <c r="A455" s="873" t="s">
        <v>3634</v>
      </c>
      <c r="B455" s="860"/>
      <c r="C455" s="421" t="s">
        <v>4554</v>
      </c>
      <c r="D455" s="364" t="s">
        <v>394</v>
      </c>
      <c r="E455" s="833">
        <v>15140.380999999999</v>
      </c>
      <c r="F455" s="833">
        <f t="shared" si="52"/>
        <v>0</v>
      </c>
      <c r="G455" s="833">
        <f t="shared" si="53"/>
        <v>0</v>
      </c>
      <c r="H455" s="834">
        <v>1</v>
      </c>
      <c r="I455" s="835"/>
      <c r="J455" s="836"/>
      <c r="K455" s="836"/>
      <c r="L455" s="836"/>
      <c r="M455" s="836"/>
      <c r="N455" s="836"/>
      <c r="O455" s="836"/>
      <c r="P455" s="836"/>
      <c r="Q455" s="836"/>
      <c r="R455" s="837">
        <v>1</v>
      </c>
      <c r="T455" s="155">
        <v>15140.380999999999</v>
      </c>
      <c r="U455" s="155">
        <v>11455</v>
      </c>
      <c r="V455" s="155"/>
      <c r="AA455" s="180" t="str">
        <f>VLOOKUP(A455,[2]DG!$A:$C,3,0)</f>
        <v xml:space="preserve">Cổ dê giữ ống PVC D168+Bulon </v>
      </c>
    </row>
    <row r="456" spans="1:27" ht="20.100000000000001" hidden="1" customHeight="1">
      <c r="A456" s="873" t="s">
        <v>3635</v>
      </c>
      <c r="B456" s="860"/>
      <c r="C456" s="419" t="s">
        <v>724</v>
      </c>
      <c r="D456" s="364" t="s">
        <v>394</v>
      </c>
      <c r="E456" s="833">
        <v>15140.380999999999</v>
      </c>
      <c r="F456" s="833">
        <f t="shared" si="52"/>
        <v>0</v>
      </c>
      <c r="G456" s="833">
        <f t="shared" si="53"/>
        <v>0</v>
      </c>
      <c r="H456" s="834">
        <v>1</v>
      </c>
      <c r="I456" s="835"/>
      <c r="J456" s="836"/>
      <c r="K456" s="836"/>
      <c r="L456" s="836"/>
      <c r="M456" s="836"/>
      <c r="N456" s="836"/>
      <c r="O456" s="836"/>
      <c r="P456" s="836"/>
      <c r="Q456" s="836"/>
      <c r="R456" s="837">
        <v>1</v>
      </c>
      <c r="T456" s="155">
        <v>15140.380999999999</v>
      </c>
      <c r="U456" s="155">
        <v>11455</v>
      </c>
      <c r="V456" s="155"/>
      <c r="AA456" s="180" t="str">
        <f>VLOOKUP(A456,[2]DG!$A:$C,3,0)</f>
        <v>Cổ dê bắt xà + bulon</v>
      </c>
    </row>
    <row r="457" spans="1:27" ht="20.100000000000001" hidden="1" customHeight="1">
      <c r="A457" s="873" t="s">
        <v>3636</v>
      </c>
      <c r="B457" s="860"/>
      <c r="C457" s="421" t="s">
        <v>725</v>
      </c>
      <c r="D457" s="364" t="s">
        <v>394</v>
      </c>
      <c r="E457" s="833">
        <v>15140.380999999999</v>
      </c>
      <c r="F457" s="833">
        <f t="shared" si="52"/>
        <v>0</v>
      </c>
      <c r="G457" s="833">
        <f t="shared" si="53"/>
        <v>0</v>
      </c>
      <c r="H457" s="834">
        <v>1</v>
      </c>
      <c r="I457" s="835"/>
      <c r="J457" s="836"/>
      <c r="K457" s="836"/>
      <c r="L457" s="836"/>
      <c r="M457" s="836"/>
      <c r="N457" s="836"/>
      <c r="O457" s="836"/>
      <c r="P457" s="836"/>
      <c r="Q457" s="836"/>
      <c r="R457" s="837">
        <v>1</v>
      </c>
      <c r="T457" s="155">
        <v>15140.380999999999</v>
      </c>
      <c r="U457" s="155">
        <v>11455</v>
      </c>
      <c r="V457" s="155"/>
      <c r="AA457" s="180" t="str">
        <f>VLOOKUP(A457,[2]DG!$A:$C,3,0)</f>
        <v>Côllier 30x3 (290-320)</v>
      </c>
    </row>
    <row r="458" spans="1:27" ht="20.100000000000001" hidden="1" customHeight="1">
      <c r="A458" s="873" t="s">
        <v>3637</v>
      </c>
      <c r="B458" s="860"/>
      <c r="C458" s="421" t="s">
        <v>726</v>
      </c>
      <c r="D458" s="364" t="s">
        <v>394</v>
      </c>
      <c r="E458" s="833">
        <v>15140.380999999999</v>
      </c>
      <c r="F458" s="833">
        <f t="shared" si="52"/>
        <v>0</v>
      </c>
      <c r="G458" s="833">
        <f t="shared" si="53"/>
        <v>0</v>
      </c>
      <c r="H458" s="834">
        <v>1</v>
      </c>
      <c r="I458" s="835"/>
      <c r="J458" s="836"/>
      <c r="K458" s="836"/>
      <c r="L458" s="836"/>
      <c r="M458" s="836"/>
      <c r="N458" s="836"/>
      <c r="O458" s="836"/>
      <c r="P458" s="836"/>
      <c r="Q458" s="836"/>
      <c r="R458" s="837">
        <v>1</v>
      </c>
      <c r="T458" s="155">
        <v>15140.380999999999</v>
      </c>
      <c r="U458" s="155">
        <v>11455</v>
      </c>
      <c r="V458" s="155"/>
      <c r="AA458" s="180" t="str">
        <f>VLOOKUP(A458,[2]DG!$A:$C,3,0)</f>
        <v>Côllier 25x2</v>
      </c>
    </row>
    <row r="459" spans="1:27" ht="20.100000000000001" hidden="1" customHeight="1">
      <c r="A459" s="873" t="s">
        <v>727</v>
      </c>
      <c r="B459" s="860"/>
      <c r="C459" s="421" t="s">
        <v>4559</v>
      </c>
      <c r="D459" s="364" t="s">
        <v>394</v>
      </c>
      <c r="E459" s="833">
        <v>15140.380999999999</v>
      </c>
      <c r="F459" s="833">
        <f t="shared" si="52"/>
        <v>0</v>
      </c>
      <c r="G459" s="833">
        <f t="shared" si="53"/>
        <v>0</v>
      </c>
      <c r="H459" s="834">
        <v>1</v>
      </c>
      <c r="I459" s="835"/>
      <c r="J459" s="836"/>
      <c r="K459" s="836"/>
      <c r="L459" s="836"/>
      <c r="M459" s="836"/>
      <c r="N459" s="836"/>
      <c r="O459" s="836"/>
      <c r="P459" s="836"/>
      <c r="Q459" s="836"/>
      <c r="R459" s="837">
        <v>1</v>
      </c>
      <c r="T459" s="155">
        <v>15140.380999999999</v>
      </c>
      <c r="U459" s="155">
        <v>11455</v>
      </c>
      <c r="V459" s="155"/>
      <c r="AA459" s="180" t="str">
        <f>VLOOKUP(A459,[2]DG!$A:$C,3,0)</f>
        <v>Cổ dê giữ ống PVC Ø 21 vào tường + Bulon + long đền + tắc kê sắt</v>
      </c>
    </row>
    <row r="460" spans="1:27" ht="20.100000000000001" hidden="1" customHeight="1">
      <c r="A460" s="873" t="s">
        <v>3638</v>
      </c>
      <c r="B460" s="860"/>
      <c r="C460" s="421" t="s">
        <v>4558</v>
      </c>
      <c r="D460" s="364" t="s">
        <v>9</v>
      </c>
      <c r="E460" s="833">
        <v>59000</v>
      </c>
      <c r="F460" s="833">
        <f t="shared" si="52"/>
        <v>0</v>
      </c>
      <c r="G460" s="833">
        <f t="shared" si="53"/>
        <v>0</v>
      </c>
      <c r="H460" s="834" t="s">
        <v>4065</v>
      </c>
      <c r="I460" s="835"/>
      <c r="J460" s="836"/>
      <c r="K460" s="836"/>
      <c r="L460" s="836"/>
      <c r="M460" s="836"/>
      <c r="N460" s="836"/>
      <c r="O460" s="836"/>
      <c r="P460" s="836"/>
      <c r="Q460" s="836"/>
      <c r="R460" s="837">
        <v>1</v>
      </c>
      <c r="T460" s="155">
        <v>15140.380999999999</v>
      </c>
      <c r="U460" s="155">
        <v>11455</v>
      </c>
      <c r="V460" s="155"/>
      <c r="AA460" s="180" t="str">
        <f>VLOOKUP(A460,[2]DG!$A:$C,3,0)</f>
        <v>Cổ dê giữ ống PVC D42</v>
      </c>
    </row>
    <row r="461" spans="1:27" ht="20.100000000000001" hidden="1" customHeight="1">
      <c r="A461" s="873" t="s">
        <v>3639</v>
      </c>
      <c r="B461" s="860"/>
      <c r="C461" s="421" t="s">
        <v>4557</v>
      </c>
      <c r="D461" s="364" t="s">
        <v>394</v>
      </c>
      <c r="E461" s="833">
        <v>15140.380999999999</v>
      </c>
      <c r="F461" s="833">
        <f t="shared" ref="F461:F525" si="56">IF(OR(I461="",J461=""),0,IF(K461*1=0,1,K461)*VLOOKUP(I461,TIENLUONG,4,0)*J461)</f>
        <v>0</v>
      </c>
      <c r="G461" s="833">
        <f t="shared" ref="G461:G525" si="57">L461*VLOOKUP($L$1,CAMAY,2,0)+M461*VLOOKUP($M$1,CAMAY,2,0)+N461*VLOOKUP($N$1,CAMAY,2,0)+O461*VLOOKUP($O$1,CAMAY,2,0)+P461*VLOOKUP($P$1,CAMAY,2,0)</f>
        <v>0</v>
      </c>
      <c r="H461" s="834">
        <v>1</v>
      </c>
      <c r="I461" s="835"/>
      <c r="J461" s="836"/>
      <c r="K461" s="836"/>
      <c r="L461" s="836"/>
      <c r="M461" s="836"/>
      <c r="N461" s="836"/>
      <c r="O461" s="836"/>
      <c r="P461" s="836"/>
      <c r="Q461" s="836"/>
      <c r="R461" s="837">
        <v>1</v>
      </c>
      <c r="T461" s="155">
        <v>15140.380999999999</v>
      </c>
      <c r="U461" s="155">
        <v>11455</v>
      </c>
      <c r="V461" s="155"/>
      <c r="AA461" s="180" t="str">
        <f>VLOOKUP(A461,[2]DG!$A:$C,3,0)</f>
        <v>Cổ dê giữ 2 ống PVC D114 vào tường+Boulon+long đền+tắc ke sắt</v>
      </c>
    </row>
    <row r="462" spans="1:27" ht="20.100000000000001" hidden="1" customHeight="1">
      <c r="A462" s="873" t="s">
        <v>3640</v>
      </c>
      <c r="B462" s="860"/>
      <c r="C462" s="421" t="s">
        <v>4556</v>
      </c>
      <c r="D462" s="364" t="s">
        <v>394</v>
      </c>
      <c r="E462" s="833">
        <v>15140.380999999999</v>
      </c>
      <c r="F462" s="833">
        <f t="shared" si="56"/>
        <v>0</v>
      </c>
      <c r="G462" s="833">
        <f t="shared" si="57"/>
        <v>0</v>
      </c>
      <c r="H462" s="834">
        <v>1</v>
      </c>
      <c r="I462" s="835"/>
      <c r="J462" s="836"/>
      <c r="K462" s="836"/>
      <c r="L462" s="836"/>
      <c r="M462" s="836"/>
      <c r="N462" s="836"/>
      <c r="O462" s="836"/>
      <c r="P462" s="836"/>
      <c r="Q462" s="836"/>
      <c r="R462" s="837">
        <v>1</v>
      </c>
      <c r="T462" s="155">
        <v>15140.380999999999</v>
      </c>
      <c r="U462" s="155">
        <v>11455</v>
      </c>
      <c r="V462" s="155"/>
      <c r="AA462" s="180" t="str">
        <f>VLOOKUP(A462,[2]DG!$A:$C,3,0)</f>
        <v>Cổ dê giữ ống STK D140 vào tường+Boulon+long đền+tắc ke sắt</v>
      </c>
    </row>
    <row r="463" spans="1:27" ht="20.100000000000001" hidden="1" customHeight="1">
      <c r="A463" s="873" t="s">
        <v>2460</v>
      </c>
      <c r="B463" s="860"/>
      <c r="C463" s="421" t="s">
        <v>4555</v>
      </c>
      <c r="D463" s="364" t="s">
        <v>37</v>
      </c>
      <c r="E463" s="833">
        <v>185000</v>
      </c>
      <c r="F463" s="833">
        <f t="shared" si="56"/>
        <v>0</v>
      </c>
      <c r="G463" s="833">
        <f t="shared" si="57"/>
        <v>0</v>
      </c>
      <c r="H463" s="834" t="s">
        <v>4065</v>
      </c>
      <c r="I463" s="835" t="s">
        <v>3372</v>
      </c>
      <c r="J463" s="836">
        <f>0.35*0</f>
        <v>0</v>
      </c>
      <c r="K463" s="836"/>
      <c r="L463" s="836"/>
      <c r="M463" s="836"/>
      <c r="N463" s="836"/>
      <c r="O463" s="836"/>
      <c r="P463" s="836"/>
      <c r="Q463" s="836"/>
      <c r="R463" s="837">
        <v>4</v>
      </c>
      <c r="T463" s="418">
        <v>185000</v>
      </c>
      <c r="U463" s="155">
        <v>11455</v>
      </c>
      <c r="V463" s="155"/>
      <c r="AA463" s="180" t="str">
        <f>VLOOKUP(A463,[2]DG!$A:$C,3,0)</f>
        <v>Cổ dê bắt tủ</v>
      </c>
    </row>
    <row r="464" spans="1:27" ht="20.100000000000001" hidden="1" customHeight="1">
      <c r="A464" s="873" t="s">
        <v>728</v>
      </c>
      <c r="B464" s="859"/>
      <c r="C464" s="421" t="s">
        <v>729</v>
      </c>
      <c r="D464" s="364" t="s">
        <v>394</v>
      </c>
      <c r="E464" s="833">
        <v>15140.380999999999</v>
      </c>
      <c r="F464" s="833">
        <f t="shared" si="56"/>
        <v>0</v>
      </c>
      <c r="G464" s="833">
        <f t="shared" si="57"/>
        <v>0</v>
      </c>
      <c r="H464" s="834">
        <v>1</v>
      </c>
      <c r="I464" s="835"/>
      <c r="J464" s="836"/>
      <c r="K464" s="836"/>
      <c r="L464" s="836"/>
      <c r="M464" s="836"/>
      <c r="N464" s="836"/>
      <c r="O464" s="836"/>
      <c r="P464" s="836"/>
      <c r="Q464" s="836"/>
      <c r="R464" s="837">
        <v>1</v>
      </c>
      <c r="T464" s="155">
        <v>15140.380999999999</v>
      </c>
      <c r="U464" s="155">
        <v>11455</v>
      </c>
      <c r="V464" s="155"/>
      <c r="AA464" s="180" t="str">
        <f>VLOOKUP(A464,[2]DG!$A:$C,3,0)</f>
        <v xml:space="preserve">Cổ dê chống lắc 8x80x800 </v>
      </c>
    </row>
    <row r="465" spans="1:27" ht="20.100000000000001" hidden="1" customHeight="1">
      <c r="A465" s="872" t="s">
        <v>730</v>
      </c>
      <c r="B465" s="860"/>
      <c r="C465" s="416" t="s">
        <v>731</v>
      </c>
      <c r="D465" s="364" t="s">
        <v>400</v>
      </c>
      <c r="E465" s="833">
        <v>936364</v>
      </c>
      <c r="F465" s="833">
        <f t="shared" si="56"/>
        <v>0</v>
      </c>
      <c r="G465" s="833">
        <f t="shared" si="57"/>
        <v>0</v>
      </c>
      <c r="H465" s="834">
        <v>1</v>
      </c>
      <c r="I465" s="835"/>
      <c r="J465" s="836"/>
      <c r="K465" s="836"/>
      <c r="L465" s="836"/>
      <c r="M465" s="836"/>
      <c r="N465" s="836"/>
      <c r="O465" s="836"/>
      <c r="P465" s="836"/>
      <c r="Q465" s="836"/>
      <c r="R465" s="837">
        <v>600</v>
      </c>
      <c r="T465" s="428">
        <v>936364</v>
      </c>
      <c r="U465" s="155"/>
      <c r="V465" s="155"/>
      <c r="AA465" s="180" t="str">
        <f>VLOOKUP(A465,[2]DG!$A:$C,3,0)</f>
        <v>Trụ BTLT 7,5m F200 dự ứng lực</v>
      </c>
    </row>
    <row r="466" spans="1:27" ht="20.100000000000001" hidden="1" customHeight="1">
      <c r="A466" s="872" t="s">
        <v>732</v>
      </c>
      <c r="B466" s="860">
        <v>0</v>
      </c>
      <c r="C466" s="416" t="s">
        <v>733</v>
      </c>
      <c r="D466" s="364" t="s">
        <v>400</v>
      </c>
      <c r="E466" s="833">
        <v>2450000</v>
      </c>
      <c r="F466" s="833">
        <f t="shared" si="56"/>
        <v>0</v>
      </c>
      <c r="G466" s="833">
        <f t="shared" si="57"/>
        <v>0</v>
      </c>
      <c r="H466" s="834">
        <v>42583</v>
      </c>
      <c r="I466" s="835"/>
      <c r="J466" s="836"/>
      <c r="K466" s="836"/>
      <c r="L466" s="836"/>
      <c r="M466" s="836"/>
      <c r="N466" s="836"/>
      <c r="O466" s="836"/>
      <c r="P466" s="836"/>
      <c r="Q466" s="836"/>
      <c r="R466" s="837">
        <v>600</v>
      </c>
      <c r="T466" s="155">
        <v>2450000</v>
      </c>
      <c r="U466" s="155">
        <v>0</v>
      </c>
      <c r="V466" s="155">
        <v>0</v>
      </c>
      <c r="AA466" s="180" t="str">
        <f>VLOOKUP(A466,[2]DG!$A:$C,3,0)</f>
        <v>Trụ BTLT 8,4m F200 dự ứng lực</v>
      </c>
    </row>
    <row r="467" spans="1:27" ht="20.100000000000001" hidden="1" customHeight="1">
      <c r="A467" s="872" t="s">
        <v>734</v>
      </c>
      <c r="B467" s="860"/>
      <c r="C467" s="416" t="s">
        <v>735</v>
      </c>
      <c r="D467" s="364" t="s">
        <v>400</v>
      </c>
      <c r="E467" s="833">
        <v>1027273</v>
      </c>
      <c r="F467" s="833">
        <f t="shared" si="56"/>
        <v>0</v>
      </c>
      <c r="G467" s="833">
        <f t="shared" si="57"/>
        <v>0</v>
      </c>
      <c r="H467" s="834">
        <v>1</v>
      </c>
      <c r="I467" s="835"/>
      <c r="J467" s="836"/>
      <c r="K467" s="836"/>
      <c r="L467" s="836"/>
      <c r="M467" s="836"/>
      <c r="N467" s="836"/>
      <c r="O467" s="836"/>
      <c r="P467" s="836"/>
      <c r="Q467" s="836"/>
      <c r="R467" s="837">
        <v>750</v>
      </c>
      <c r="T467" s="428">
        <v>1027273</v>
      </c>
      <c r="U467" s="155"/>
      <c r="V467" s="155"/>
      <c r="AA467" s="180" t="str">
        <f>VLOOKUP(A467,[2]DG!$A:$C,3,0)</f>
        <v>Trụ BTLT 8,5m F200 dự ứng lực</v>
      </c>
    </row>
    <row r="468" spans="1:27" ht="20.100000000000001" customHeight="1">
      <c r="A468" s="872" t="s">
        <v>736</v>
      </c>
      <c r="B468" s="860"/>
      <c r="C468" s="416" t="s">
        <v>737</v>
      </c>
      <c r="D468" s="364" t="s">
        <v>400</v>
      </c>
      <c r="E468" s="833">
        <v>1163636</v>
      </c>
      <c r="F468" s="833">
        <f t="shared" si="56"/>
        <v>0</v>
      </c>
      <c r="G468" s="833">
        <f t="shared" si="57"/>
        <v>0</v>
      </c>
      <c r="H468" s="834">
        <v>1</v>
      </c>
      <c r="I468" s="835"/>
      <c r="J468" s="836"/>
      <c r="K468" s="836"/>
      <c r="L468" s="836"/>
      <c r="M468" s="836"/>
      <c r="N468" s="836"/>
      <c r="O468" s="836"/>
      <c r="P468" s="836"/>
      <c r="Q468" s="836"/>
      <c r="R468" s="837">
        <v>760</v>
      </c>
      <c r="T468" s="428">
        <v>1163636</v>
      </c>
      <c r="U468" s="155"/>
      <c r="V468" s="155"/>
      <c r="AA468" s="180" t="str">
        <f>VLOOKUP(A468,[2]DG!$A:$C,3,0)</f>
        <v>Trụ BTLT 8,5m F300 dự ứng lực</v>
      </c>
    </row>
    <row r="469" spans="1:27" ht="20.100000000000001" hidden="1" customHeight="1">
      <c r="A469" s="872" t="s">
        <v>738</v>
      </c>
      <c r="B469" s="860"/>
      <c r="C469" s="416" t="s">
        <v>739</v>
      </c>
      <c r="D469" s="364" t="s">
        <v>400</v>
      </c>
      <c r="E469" s="833">
        <v>1220000</v>
      </c>
      <c r="F469" s="833">
        <f t="shared" si="56"/>
        <v>0</v>
      </c>
      <c r="G469" s="833">
        <f t="shared" si="57"/>
        <v>0</v>
      </c>
      <c r="H469" s="834">
        <v>1</v>
      </c>
      <c r="I469" s="835"/>
      <c r="J469" s="836"/>
      <c r="K469" s="836"/>
      <c r="L469" s="836"/>
      <c r="M469" s="836"/>
      <c r="N469" s="836"/>
      <c r="O469" s="836"/>
      <c r="P469" s="836"/>
      <c r="Q469" s="836"/>
      <c r="R469" s="837">
        <v>900</v>
      </c>
      <c r="T469" s="155">
        <v>1220000</v>
      </c>
      <c r="U469" s="155"/>
      <c r="V469" s="155"/>
      <c r="AA469" s="180" t="str">
        <f>VLOOKUP(A469,[2]DG!$A:$C,3,0)</f>
        <v>Trụ BTLT 10,5m F480 dự ứng lực</v>
      </c>
    </row>
    <row r="470" spans="1:27" ht="20.100000000000001" hidden="1" customHeight="1">
      <c r="A470" s="872" t="s">
        <v>740</v>
      </c>
      <c r="B470" s="860"/>
      <c r="C470" s="416" t="s">
        <v>741</v>
      </c>
      <c r="D470" s="364" t="s">
        <v>400</v>
      </c>
      <c r="E470" s="833">
        <v>1727832</v>
      </c>
      <c r="F470" s="833">
        <f t="shared" si="56"/>
        <v>0</v>
      </c>
      <c r="G470" s="833">
        <f t="shared" si="57"/>
        <v>0</v>
      </c>
      <c r="H470" s="834">
        <v>1</v>
      </c>
      <c r="I470" s="835"/>
      <c r="J470" s="836"/>
      <c r="K470" s="836"/>
      <c r="L470" s="836"/>
      <c r="M470" s="836"/>
      <c r="N470" s="836"/>
      <c r="O470" s="836"/>
      <c r="P470" s="836"/>
      <c r="Q470" s="836"/>
      <c r="R470" s="837">
        <v>900</v>
      </c>
      <c r="T470" s="155">
        <v>1727832</v>
      </c>
      <c r="U470" s="155"/>
      <c r="V470" s="155"/>
      <c r="AA470" s="180" t="str">
        <f>VLOOKUP(A470,[2]DG!$A:$C,3,0)</f>
        <v>Trụ BTLT 10,5m F350 dự ứng lực</v>
      </c>
    </row>
    <row r="471" spans="1:27" ht="20.100000000000001" hidden="1" customHeight="1">
      <c r="A471" s="872" t="s">
        <v>742</v>
      </c>
      <c r="B471" s="860">
        <v>0</v>
      </c>
      <c r="C471" s="416" t="s">
        <v>2916</v>
      </c>
      <c r="D471" s="364" t="s">
        <v>400</v>
      </c>
      <c r="E471" s="833">
        <v>4550000</v>
      </c>
      <c r="F471" s="833">
        <f t="shared" si="56"/>
        <v>0</v>
      </c>
      <c r="G471" s="833">
        <f t="shared" si="57"/>
        <v>0</v>
      </c>
      <c r="H471" s="834" t="s">
        <v>4065</v>
      </c>
      <c r="I471" s="835"/>
      <c r="J471" s="836"/>
      <c r="K471" s="836"/>
      <c r="L471" s="836"/>
      <c r="M471" s="836"/>
      <c r="N471" s="836"/>
      <c r="O471" s="836"/>
      <c r="P471" s="836"/>
      <c r="Q471" s="836"/>
      <c r="R471" s="837">
        <v>1100</v>
      </c>
      <c r="T471" s="418">
        <v>4212155</v>
      </c>
      <c r="U471" s="155">
        <v>0</v>
      </c>
      <c r="V471" s="155">
        <v>0</v>
      </c>
      <c r="AA471" s="180" t="str">
        <f>VLOOKUP(A471,[2]DG!$A:$C,3,0)</f>
        <v>Trụ BTLT 12m F540 dự ứng lực</v>
      </c>
    </row>
    <row r="472" spans="1:27" ht="20.100000000000001" hidden="1" customHeight="1">
      <c r="A472" s="872" t="s">
        <v>743</v>
      </c>
      <c r="B472" s="860">
        <v>0</v>
      </c>
      <c r="C472" s="416" t="s">
        <v>744</v>
      </c>
      <c r="D472" s="364" t="s">
        <v>400</v>
      </c>
      <c r="E472" s="833">
        <v>8181818</v>
      </c>
      <c r="F472" s="833">
        <f t="shared" si="56"/>
        <v>0</v>
      </c>
      <c r="G472" s="833">
        <f t="shared" si="57"/>
        <v>0</v>
      </c>
      <c r="H472" s="834">
        <v>43636</v>
      </c>
      <c r="I472" s="835"/>
      <c r="J472" s="836"/>
      <c r="K472" s="836"/>
      <c r="L472" s="836"/>
      <c r="M472" s="836"/>
      <c r="N472" s="836"/>
      <c r="O472" s="836"/>
      <c r="P472" s="836"/>
      <c r="Q472" s="836"/>
      <c r="R472" s="837">
        <v>1390</v>
      </c>
      <c r="T472" s="155">
        <v>3468182</v>
      </c>
      <c r="U472" s="155"/>
      <c r="V472" s="155"/>
      <c r="AA472" s="180" t="str">
        <f>VLOOKUP(A472,[2]DG!$A:$C,3,0)</f>
        <v>Trụ BTLT 14m F650 dự ứng lực</v>
      </c>
    </row>
    <row r="473" spans="1:27" ht="20.100000000000001" hidden="1" customHeight="1">
      <c r="A473" s="872" t="s">
        <v>745</v>
      </c>
      <c r="B473" s="860"/>
      <c r="C473" s="416" t="s">
        <v>746</v>
      </c>
      <c r="D473" s="364" t="s">
        <v>400</v>
      </c>
      <c r="E473" s="833">
        <v>8720000</v>
      </c>
      <c r="F473" s="833">
        <f t="shared" si="56"/>
        <v>0</v>
      </c>
      <c r="G473" s="833">
        <f t="shared" si="57"/>
        <v>0</v>
      </c>
      <c r="H473" s="834">
        <v>1</v>
      </c>
      <c r="I473" s="835"/>
      <c r="J473" s="836"/>
      <c r="K473" s="836"/>
      <c r="L473" s="836"/>
      <c r="M473" s="836"/>
      <c r="N473" s="836"/>
      <c r="O473" s="836"/>
      <c r="P473" s="836"/>
      <c r="Q473" s="836"/>
      <c r="R473" s="837">
        <v>2720</v>
      </c>
      <c r="T473" s="155">
        <v>8720000</v>
      </c>
      <c r="U473" s="155"/>
      <c r="V473" s="155"/>
      <c r="AA473" s="180" t="str">
        <f>VLOOKUP(A473,[2]DG!$A:$C,3,0)</f>
        <v>Trụ BTLT 20m F1000 dự ứng lực</v>
      </c>
    </row>
    <row r="474" spans="1:27" ht="20.100000000000001" hidden="1" customHeight="1">
      <c r="A474" s="872" t="s">
        <v>747</v>
      </c>
      <c r="B474" s="860"/>
      <c r="C474" s="421" t="s">
        <v>748</v>
      </c>
      <c r="D474" s="364" t="s">
        <v>182</v>
      </c>
      <c r="E474" s="833">
        <v>32000</v>
      </c>
      <c r="F474" s="833">
        <f t="shared" si="56"/>
        <v>0</v>
      </c>
      <c r="G474" s="833">
        <f t="shared" si="57"/>
        <v>0</v>
      </c>
      <c r="H474" s="834">
        <v>1</v>
      </c>
      <c r="I474" s="835"/>
      <c r="J474" s="836"/>
      <c r="K474" s="836"/>
      <c r="L474" s="836"/>
      <c r="M474" s="836"/>
      <c r="N474" s="836"/>
      <c r="O474" s="836"/>
      <c r="P474" s="836"/>
      <c r="Q474" s="836"/>
      <c r="R474" s="837">
        <v>1</v>
      </c>
      <c r="T474" s="155">
        <v>32000</v>
      </c>
      <c r="U474" s="155"/>
      <c r="V474" s="155"/>
      <c r="AA474" s="180" t="str">
        <f>VLOOKUP(A474,[2]DG!$A:$C,3,0)</f>
        <v>Sơn màu</v>
      </c>
    </row>
    <row r="475" spans="1:27" ht="20.100000000000001" hidden="1" customHeight="1">
      <c r="A475" s="872" t="s">
        <v>749</v>
      </c>
      <c r="B475" s="860"/>
      <c r="C475" s="421" t="s">
        <v>750</v>
      </c>
      <c r="D475" s="364" t="s">
        <v>182</v>
      </c>
      <c r="E475" s="833">
        <v>27400</v>
      </c>
      <c r="F475" s="833">
        <f t="shared" si="56"/>
        <v>0</v>
      </c>
      <c r="G475" s="833">
        <f t="shared" si="57"/>
        <v>0</v>
      </c>
      <c r="H475" s="834">
        <v>1</v>
      </c>
      <c r="I475" s="835"/>
      <c r="J475" s="836"/>
      <c r="K475" s="836"/>
      <c r="L475" s="836"/>
      <c r="M475" s="836"/>
      <c r="N475" s="836"/>
      <c r="O475" s="836"/>
      <c r="P475" s="836"/>
      <c r="Q475" s="836"/>
      <c r="R475" s="837">
        <v>1</v>
      </c>
      <c r="T475" s="155">
        <v>27400</v>
      </c>
      <c r="U475" s="155"/>
      <c r="V475" s="155"/>
      <c r="AA475" s="180" t="str">
        <f>VLOOKUP(A475,[2]DG!$A:$C,3,0)</f>
        <v>Sơn chống rỉ</v>
      </c>
    </row>
    <row r="476" spans="1:27" ht="20.100000000000001" hidden="1" customHeight="1">
      <c r="A476" s="872" t="s">
        <v>751</v>
      </c>
      <c r="B476" s="860"/>
      <c r="C476" s="421" t="s">
        <v>752</v>
      </c>
      <c r="D476" s="364" t="s">
        <v>476</v>
      </c>
      <c r="E476" s="833">
        <v>15000</v>
      </c>
      <c r="F476" s="833">
        <f t="shared" si="56"/>
        <v>0</v>
      </c>
      <c r="G476" s="833">
        <f t="shared" si="57"/>
        <v>0</v>
      </c>
      <c r="H476" s="834">
        <v>1</v>
      </c>
      <c r="I476" s="835"/>
      <c r="J476" s="836"/>
      <c r="K476" s="836"/>
      <c r="L476" s="836"/>
      <c r="M476" s="836"/>
      <c r="N476" s="836"/>
      <c r="O476" s="836"/>
      <c r="P476" s="836"/>
      <c r="Q476" s="836"/>
      <c r="R476" s="837">
        <v>1000</v>
      </c>
      <c r="T476" s="155">
        <v>15000</v>
      </c>
      <c r="U476" s="155"/>
      <c r="V476" s="155"/>
      <c r="AA476" s="180" t="str">
        <f>VLOOKUP(A476,[2]DG!$A:$C,3,0)</f>
        <v>Nước đổ bê tông</v>
      </c>
    </row>
    <row r="477" spans="1:27" ht="20.100000000000001" hidden="1" customHeight="1">
      <c r="A477" s="872" t="s">
        <v>753</v>
      </c>
      <c r="B477" s="860"/>
      <c r="C477" s="421" t="s">
        <v>754</v>
      </c>
      <c r="D477" s="364" t="s">
        <v>476</v>
      </c>
      <c r="E477" s="833">
        <v>1818000</v>
      </c>
      <c r="F477" s="833">
        <f t="shared" si="56"/>
        <v>0</v>
      </c>
      <c r="G477" s="833">
        <f t="shared" si="57"/>
        <v>0</v>
      </c>
      <c r="H477" s="834">
        <v>1</v>
      </c>
      <c r="I477" s="835"/>
      <c r="J477" s="836"/>
      <c r="K477" s="836"/>
      <c r="L477" s="836"/>
      <c r="M477" s="836"/>
      <c r="N477" s="836"/>
      <c r="O477" s="836"/>
      <c r="P477" s="836"/>
      <c r="Q477" s="836"/>
      <c r="R477" s="837">
        <v>1000</v>
      </c>
      <c r="T477" s="155">
        <v>1818000</v>
      </c>
      <c r="U477" s="155"/>
      <c r="V477" s="155"/>
      <c r="AA477" s="180" t="str">
        <f>VLOOKUP(A477,[2]DG!$A:$C,3,0)</f>
        <v>Gỗ ván khuôn</v>
      </c>
    </row>
    <row r="478" spans="1:27" ht="20.100000000000001" hidden="1" customHeight="1">
      <c r="A478" s="872" t="s">
        <v>755</v>
      </c>
      <c r="B478" s="860"/>
      <c r="C478" s="421" t="s">
        <v>756</v>
      </c>
      <c r="D478" s="364" t="s">
        <v>182</v>
      </c>
      <c r="E478" s="833">
        <v>7500</v>
      </c>
      <c r="F478" s="833">
        <f t="shared" si="56"/>
        <v>0</v>
      </c>
      <c r="G478" s="833">
        <f t="shared" si="57"/>
        <v>0</v>
      </c>
      <c r="H478" s="834">
        <v>1</v>
      </c>
      <c r="I478" s="835"/>
      <c r="J478" s="836"/>
      <c r="K478" s="836"/>
      <c r="L478" s="836"/>
      <c r="M478" s="836"/>
      <c r="N478" s="836"/>
      <c r="O478" s="836"/>
      <c r="P478" s="836"/>
      <c r="Q478" s="836"/>
      <c r="R478" s="837">
        <v>1</v>
      </c>
      <c r="T478" s="155">
        <v>7500</v>
      </c>
      <c r="U478" s="155"/>
      <c r="V478" s="155"/>
      <c r="AA478" s="180" t="str">
        <f>VLOOKUP(A478,[2]DG!$A:$C,3,0)</f>
        <v>Đinh các loại</v>
      </c>
    </row>
    <row r="479" spans="1:27" ht="20.100000000000001" hidden="1" customHeight="1">
      <c r="A479" s="872" t="s">
        <v>2159</v>
      </c>
      <c r="B479" s="859">
        <v>0</v>
      </c>
      <c r="C479" s="421" t="s">
        <v>757</v>
      </c>
      <c r="D479" s="364" t="s">
        <v>476</v>
      </c>
      <c r="E479" s="833">
        <v>400000</v>
      </c>
      <c r="F479" s="833">
        <f t="shared" si="56"/>
        <v>0</v>
      </c>
      <c r="G479" s="833">
        <f t="shared" si="57"/>
        <v>0</v>
      </c>
      <c r="H479" s="834">
        <v>43636</v>
      </c>
      <c r="I479" s="835"/>
      <c r="J479" s="836"/>
      <c r="K479" s="836"/>
      <c r="L479" s="836"/>
      <c r="M479" s="836"/>
      <c r="N479" s="836"/>
      <c r="O479" s="836"/>
      <c r="P479" s="836"/>
      <c r="Q479" s="836"/>
      <c r="R479" s="837">
        <v>900</v>
      </c>
      <c r="T479" s="418">
        <v>200000</v>
      </c>
      <c r="U479" s="155">
        <v>0</v>
      </c>
      <c r="V479" s="155">
        <v>0</v>
      </c>
      <c r="AA479" s="180" t="str">
        <f>VLOOKUP(A479,[2]DG!$A:$C,3,0)</f>
        <v>Đá 1x2</v>
      </c>
    </row>
    <row r="480" spans="1:27" ht="20.100000000000001" hidden="1" customHeight="1">
      <c r="A480" s="872" t="s">
        <v>3641</v>
      </c>
      <c r="B480" s="859"/>
      <c r="C480" s="421" t="s">
        <v>758</v>
      </c>
      <c r="D480" s="364" t="s">
        <v>476</v>
      </c>
      <c r="E480" s="833">
        <v>74513</v>
      </c>
      <c r="F480" s="833">
        <f t="shared" si="56"/>
        <v>0</v>
      </c>
      <c r="G480" s="833">
        <f t="shared" si="57"/>
        <v>0</v>
      </c>
      <c r="H480" s="834">
        <v>1</v>
      </c>
      <c r="I480" s="835"/>
      <c r="J480" s="836"/>
      <c r="K480" s="836"/>
      <c r="L480" s="836"/>
      <c r="M480" s="836"/>
      <c r="N480" s="836"/>
      <c r="O480" s="836"/>
      <c r="P480" s="836"/>
      <c r="Q480" s="836"/>
      <c r="R480" s="837">
        <v>1500</v>
      </c>
      <c r="T480" s="155">
        <v>74513</v>
      </c>
      <c r="U480" s="155"/>
      <c r="V480" s="155"/>
      <c r="AA480" s="180" t="str">
        <f>VLOOKUP(A480,[2]DG!$A:$C,3,0)</f>
        <v>Đá 0x4</v>
      </c>
    </row>
    <row r="481" spans="1:27" ht="20.100000000000001" hidden="1" customHeight="1">
      <c r="A481" s="872" t="s">
        <v>2151</v>
      </c>
      <c r="B481" s="859">
        <v>0</v>
      </c>
      <c r="C481" s="421" t="s">
        <v>760</v>
      </c>
      <c r="D481" s="364" t="s">
        <v>476</v>
      </c>
      <c r="E481" s="833">
        <v>320000</v>
      </c>
      <c r="F481" s="833">
        <f t="shared" si="56"/>
        <v>0</v>
      </c>
      <c r="G481" s="833">
        <f t="shared" si="57"/>
        <v>0</v>
      </c>
      <c r="H481" s="834" t="s">
        <v>4065</v>
      </c>
      <c r="I481" s="835"/>
      <c r="J481" s="836"/>
      <c r="K481" s="836"/>
      <c r="L481" s="836"/>
      <c r="M481" s="836"/>
      <c r="N481" s="836"/>
      <c r="O481" s="836"/>
      <c r="P481" s="836"/>
      <c r="Q481" s="836"/>
      <c r="R481" s="837">
        <v>1500</v>
      </c>
      <c r="T481" s="155">
        <v>97231</v>
      </c>
      <c r="U481" s="155"/>
      <c r="V481" s="155"/>
      <c r="AA481" s="180" t="str">
        <f>VLOOKUP(A481,[2]DG!$A:$C,3,0)</f>
        <v>Đá 2x4</v>
      </c>
    </row>
    <row r="482" spans="1:27" ht="20.100000000000001" hidden="1" customHeight="1">
      <c r="A482" s="872" t="s">
        <v>3030</v>
      </c>
      <c r="B482" s="860"/>
      <c r="C482" s="421" t="s">
        <v>761</v>
      </c>
      <c r="D482" s="364" t="s">
        <v>476</v>
      </c>
      <c r="E482" s="833">
        <v>113524</v>
      </c>
      <c r="F482" s="833">
        <f t="shared" si="56"/>
        <v>0</v>
      </c>
      <c r="G482" s="833">
        <f t="shared" si="57"/>
        <v>0</v>
      </c>
      <c r="H482" s="834">
        <v>1</v>
      </c>
      <c r="I482" s="835"/>
      <c r="J482" s="836"/>
      <c r="K482" s="836"/>
      <c r="L482" s="836"/>
      <c r="M482" s="836"/>
      <c r="N482" s="836"/>
      <c r="O482" s="836"/>
      <c r="P482" s="836"/>
      <c r="Q482" s="836"/>
      <c r="R482" s="837">
        <v>1500</v>
      </c>
      <c r="T482" s="418">
        <v>113524</v>
      </c>
      <c r="U482" s="155"/>
      <c r="V482" s="155"/>
      <c r="AA482" s="180" t="str">
        <f>VLOOKUP(A482,[2]DG!$A:$C,3,0)</f>
        <v>Đá 4x6</v>
      </c>
    </row>
    <row r="483" spans="1:27" ht="20.100000000000001" hidden="1" customHeight="1">
      <c r="A483" s="872" t="s">
        <v>762</v>
      </c>
      <c r="B483" s="860">
        <v>0</v>
      </c>
      <c r="C483" s="421" t="s">
        <v>763</v>
      </c>
      <c r="D483" s="364" t="s">
        <v>476</v>
      </c>
      <c r="E483" s="833">
        <v>320000</v>
      </c>
      <c r="F483" s="833">
        <f t="shared" si="56"/>
        <v>0</v>
      </c>
      <c r="G483" s="833">
        <f t="shared" si="57"/>
        <v>0</v>
      </c>
      <c r="H483" s="834" t="s">
        <v>4065</v>
      </c>
      <c r="I483" s="835"/>
      <c r="J483" s="836"/>
      <c r="K483" s="836"/>
      <c r="L483" s="836"/>
      <c r="M483" s="836"/>
      <c r="N483" s="836"/>
      <c r="O483" s="836"/>
      <c r="P483" s="836"/>
      <c r="Q483" s="836"/>
      <c r="R483" s="837">
        <v>1500</v>
      </c>
      <c r="T483" s="155">
        <v>300000</v>
      </c>
      <c r="U483" s="155">
        <v>0</v>
      </c>
      <c r="V483" s="155">
        <v>0</v>
      </c>
      <c r="AA483" s="180" t="str">
        <f>VLOOKUP(A483,[2]DG!$A:$C,3,0)</f>
        <v>Cát vàng</v>
      </c>
    </row>
    <row r="484" spans="1:27" ht="20.100000000000001" hidden="1" customHeight="1">
      <c r="A484" s="872" t="s">
        <v>3642</v>
      </c>
      <c r="B484" s="860"/>
      <c r="C484" s="421" t="s">
        <v>764</v>
      </c>
      <c r="D484" s="364" t="s">
        <v>765</v>
      </c>
      <c r="E484" s="833">
        <v>255</v>
      </c>
      <c r="F484" s="833">
        <f t="shared" si="56"/>
        <v>0</v>
      </c>
      <c r="G484" s="833">
        <f t="shared" si="57"/>
        <v>0</v>
      </c>
      <c r="H484" s="834">
        <v>1</v>
      </c>
      <c r="I484" s="835"/>
      <c r="J484" s="836"/>
      <c r="K484" s="836"/>
      <c r="L484" s="836"/>
      <c r="M484" s="836"/>
      <c r="N484" s="836"/>
      <c r="O484" s="836"/>
      <c r="P484" s="836"/>
      <c r="Q484" s="836"/>
      <c r="R484" s="837">
        <v>0.5</v>
      </c>
      <c r="T484" s="155">
        <v>255</v>
      </c>
      <c r="U484" s="155"/>
      <c r="V484" s="155"/>
      <c r="AA484" s="180" t="str">
        <f>VLOOKUP(A484,[2]DG!$A:$C,3,0)</f>
        <v>Gạch ống</v>
      </c>
    </row>
    <row r="485" spans="1:27" ht="20.100000000000001" hidden="1" customHeight="1">
      <c r="A485" s="872" t="s">
        <v>3643</v>
      </c>
      <c r="B485" s="860">
        <v>0</v>
      </c>
      <c r="C485" s="421" t="s">
        <v>4306</v>
      </c>
      <c r="D485" s="364" t="s">
        <v>765</v>
      </c>
      <c r="E485" s="833">
        <v>6000</v>
      </c>
      <c r="F485" s="833">
        <f t="shared" si="56"/>
        <v>0</v>
      </c>
      <c r="G485" s="833">
        <f t="shared" si="57"/>
        <v>0</v>
      </c>
      <c r="H485" s="834" t="s">
        <v>4065</v>
      </c>
      <c r="I485" s="835"/>
      <c r="J485" s="836"/>
      <c r="K485" s="836"/>
      <c r="L485" s="836"/>
      <c r="M485" s="836"/>
      <c r="N485" s="836"/>
      <c r="O485" s="836"/>
      <c r="P485" s="836"/>
      <c r="Q485" s="836"/>
      <c r="R485" s="837">
        <v>0.2</v>
      </c>
      <c r="T485" s="155">
        <v>3000</v>
      </c>
      <c r="U485" s="155"/>
      <c r="V485" s="155"/>
      <c r="AA485" s="180" t="str">
        <f>VLOOKUP(A485,[2]DG!$A:$C,3,0)</f>
        <v>Gạch tàu</v>
      </c>
    </row>
    <row r="486" spans="1:27" ht="20.100000000000001" hidden="1" customHeight="1">
      <c r="A486" s="872" t="s">
        <v>3644</v>
      </c>
      <c r="B486" s="860"/>
      <c r="C486" s="421" t="s">
        <v>4648</v>
      </c>
      <c r="D486" s="364" t="s">
        <v>765</v>
      </c>
      <c r="E486" s="833">
        <v>1350</v>
      </c>
      <c r="F486" s="833">
        <f t="shared" si="56"/>
        <v>0</v>
      </c>
      <c r="G486" s="833">
        <f t="shared" si="57"/>
        <v>0</v>
      </c>
      <c r="H486" s="834">
        <v>1</v>
      </c>
      <c r="I486" s="835"/>
      <c r="J486" s="836"/>
      <c r="K486" s="836"/>
      <c r="L486" s="836"/>
      <c r="M486" s="836"/>
      <c r="N486" s="836"/>
      <c r="O486" s="836"/>
      <c r="P486" s="836"/>
      <c r="Q486" s="836"/>
      <c r="R486" s="837">
        <v>0.5</v>
      </c>
      <c r="T486" s="155">
        <v>345</v>
      </c>
      <c r="U486" s="155"/>
      <c r="V486" s="155"/>
      <c r="AA486" s="180" t="str">
        <f>VLOOKUP(A486,[2]DG!$A:$C,3,0)</f>
        <v>Gạch thẻ</v>
      </c>
    </row>
    <row r="487" spans="1:27" ht="20.100000000000001" hidden="1" customHeight="1">
      <c r="A487" s="872" t="s">
        <v>767</v>
      </c>
      <c r="B487" s="860">
        <v>0</v>
      </c>
      <c r="C487" s="416" t="s">
        <v>768</v>
      </c>
      <c r="D487" s="364" t="s">
        <v>182</v>
      </c>
      <c r="E487" s="833">
        <v>1800</v>
      </c>
      <c r="F487" s="833">
        <f t="shared" si="56"/>
        <v>0</v>
      </c>
      <c r="G487" s="833">
        <f t="shared" si="57"/>
        <v>0</v>
      </c>
      <c r="H487" s="834">
        <v>43636</v>
      </c>
      <c r="I487" s="835"/>
      <c r="J487" s="836"/>
      <c r="K487" s="836"/>
      <c r="L487" s="836"/>
      <c r="M487" s="836"/>
      <c r="N487" s="836"/>
      <c r="O487" s="836"/>
      <c r="P487" s="836"/>
      <c r="Q487" s="836"/>
      <c r="R487" s="837">
        <v>1</v>
      </c>
      <c r="T487" s="155">
        <v>1720</v>
      </c>
      <c r="U487" s="155">
        <v>0</v>
      </c>
      <c r="V487" s="155">
        <v>0</v>
      </c>
      <c r="AA487" s="180" t="str">
        <f>VLOOKUP(A487,[2]DG!$A:$C,3,0)</f>
        <v>Ximăng (PC40)</v>
      </c>
    </row>
    <row r="488" spans="1:27" ht="20.100000000000001" hidden="1" customHeight="1">
      <c r="A488" s="872" t="s">
        <v>3645</v>
      </c>
      <c r="B488" s="860"/>
      <c r="C488" s="421" t="s">
        <v>4629</v>
      </c>
      <c r="D488" s="364" t="s">
        <v>182</v>
      </c>
      <c r="E488" s="833">
        <v>40000</v>
      </c>
      <c r="F488" s="833">
        <f t="shared" si="56"/>
        <v>0</v>
      </c>
      <c r="G488" s="833">
        <f t="shared" si="57"/>
        <v>0</v>
      </c>
      <c r="H488" s="834">
        <v>1</v>
      </c>
      <c r="I488" s="835"/>
      <c r="J488" s="836"/>
      <c r="K488" s="836"/>
      <c r="L488" s="836"/>
      <c r="M488" s="836"/>
      <c r="N488" s="836"/>
      <c r="O488" s="836"/>
      <c r="P488" s="836"/>
      <c r="Q488" s="836"/>
      <c r="R488" s="837">
        <v>1</v>
      </c>
      <c r="T488" s="155">
        <v>7000</v>
      </c>
      <c r="U488" s="155"/>
      <c r="V488" s="155"/>
      <c r="AA488" s="180" t="str">
        <f>VLOOKUP(A488,[2]DG!$A:$C,3,0)</f>
        <v>Que hàn điện</v>
      </c>
    </row>
    <row r="489" spans="1:27" ht="20.100000000000001" hidden="1" customHeight="1">
      <c r="A489" s="872" t="s">
        <v>3646</v>
      </c>
      <c r="B489" s="860"/>
      <c r="C489" s="421" t="s">
        <v>769</v>
      </c>
      <c r="D489" s="364" t="s">
        <v>9</v>
      </c>
      <c r="E489" s="833">
        <v>5000</v>
      </c>
      <c r="F489" s="833">
        <f t="shared" si="56"/>
        <v>0</v>
      </c>
      <c r="G489" s="833">
        <f t="shared" si="57"/>
        <v>0</v>
      </c>
      <c r="H489" s="834">
        <v>1</v>
      </c>
      <c r="I489" s="835"/>
      <c r="J489" s="836"/>
      <c r="K489" s="836"/>
      <c r="L489" s="836"/>
      <c r="M489" s="836"/>
      <c r="N489" s="836"/>
      <c r="O489" s="836"/>
      <c r="P489" s="836"/>
      <c r="Q489" s="836"/>
      <c r="R489" s="837">
        <v>0.1</v>
      </c>
      <c r="T489" s="155">
        <v>5000</v>
      </c>
      <c r="U489" s="155"/>
      <c r="V489" s="155"/>
      <c r="AA489" s="180" t="str">
        <f>VLOOKUP(A489,[2]DG!$A:$C,3,0)</f>
        <v>Cọ sơn</v>
      </c>
    </row>
    <row r="490" spans="1:27" ht="20.100000000000001" hidden="1" customHeight="1">
      <c r="A490" s="873" t="s">
        <v>3647</v>
      </c>
      <c r="B490" s="859">
        <v>0</v>
      </c>
      <c r="C490" s="421" t="s">
        <v>771</v>
      </c>
      <c r="D490" s="364" t="s">
        <v>481</v>
      </c>
      <c r="E490" s="833">
        <v>6000</v>
      </c>
      <c r="F490" s="833">
        <f t="shared" si="56"/>
        <v>0</v>
      </c>
      <c r="G490" s="833">
        <f t="shared" si="57"/>
        <v>0</v>
      </c>
      <c r="H490" s="834" t="s">
        <v>4065</v>
      </c>
      <c r="I490" s="835"/>
      <c r="J490" s="836"/>
      <c r="K490" s="836"/>
      <c r="L490" s="836"/>
      <c r="M490" s="836"/>
      <c r="N490" s="836"/>
      <c r="O490" s="836"/>
      <c r="P490" s="836"/>
      <c r="Q490" s="836"/>
      <c r="R490" s="837">
        <v>0.1</v>
      </c>
      <c r="T490" s="155">
        <v>5000</v>
      </c>
      <c r="U490" s="155"/>
      <c r="V490" s="155"/>
      <c r="AA490" s="180" t="str">
        <f>VLOOKUP(A490,[2]DG!$A:$C,3,0)</f>
        <v>Tấm nilông màu cảnh báo</v>
      </c>
    </row>
    <row r="491" spans="1:27" ht="20.100000000000001" hidden="1" customHeight="1">
      <c r="A491" s="872" t="s">
        <v>772</v>
      </c>
      <c r="B491" s="860"/>
      <c r="C491" s="421" t="s">
        <v>773</v>
      </c>
      <c r="D491" s="364" t="s">
        <v>774</v>
      </c>
      <c r="E491" s="833">
        <v>3000</v>
      </c>
      <c r="F491" s="833">
        <f t="shared" si="56"/>
        <v>0</v>
      </c>
      <c r="G491" s="833">
        <f t="shared" si="57"/>
        <v>0</v>
      </c>
      <c r="H491" s="834">
        <v>1</v>
      </c>
      <c r="I491" s="835"/>
      <c r="J491" s="836"/>
      <c r="K491" s="836"/>
      <c r="L491" s="836"/>
      <c r="M491" s="836"/>
      <c r="N491" s="836"/>
      <c r="O491" s="836"/>
      <c r="P491" s="836"/>
      <c r="Q491" s="836"/>
      <c r="R491" s="837">
        <v>0.1</v>
      </c>
      <c r="T491" s="155">
        <v>3000</v>
      </c>
      <c r="U491" s="155"/>
      <c r="V491" s="155"/>
      <c r="AA491" s="180" t="str">
        <f>VLOOKUP(A491,[2]DG!$A:$C,3,0)</f>
        <v>Nylon làm dấu khổ 0.6m</v>
      </c>
    </row>
    <row r="492" spans="1:27" ht="20.100000000000001" hidden="1" customHeight="1">
      <c r="A492" s="872" t="s">
        <v>3648</v>
      </c>
      <c r="B492" s="860"/>
      <c r="C492" s="421" t="s">
        <v>776</v>
      </c>
      <c r="D492" s="364" t="s">
        <v>182</v>
      </c>
      <c r="E492" s="833">
        <v>6000</v>
      </c>
      <c r="F492" s="833">
        <f t="shared" si="56"/>
        <v>0</v>
      </c>
      <c r="G492" s="833">
        <f t="shared" si="57"/>
        <v>0</v>
      </c>
      <c r="H492" s="834">
        <v>1</v>
      </c>
      <c r="I492" s="835"/>
      <c r="J492" s="836"/>
      <c r="K492" s="836"/>
      <c r="L492" s="836"/>
      <c r="M492" s="836"/>
      <c r="N492" s="836"/>
      <c r="O492" s="836"/>
      <c r="P492" s="836"/>
      <c r="Q492" s="836"/>
      <c r="R492" s="837">
        <v>1</v>
      </c>
      <c r="T492" s="155">
        <v>6000</v>
      </c>
      <c r="U492" s="155"/>
      <c r="V492" s="155"/>
      <c r="AA492" s="180" t="str">
        <f>VLOOKUP(A492,[2]DG!$A:$C,3,0)</f>
        <v>Dây thép buộc A70</v>
      </c>
    </row>
    <row r="493" spans="1:27" ht="20.100000000000001" hidden="1" customHeight="1">
      <c r="A493" s="872" t="s">
        <v>3649</v>
      </c>
      <c r="B493" s="860"/>
      <c r="C493" s="421" t="s">
        <v>4404</v>
      </c>
      <c r="D493" s="364" t="s">
        <v>9</v>
      </c>
      <c r="E493" s="833">
        <v>2221971</v>
      </c>
      <c r="F493" s="833">
        <f t="shared" si="56"/>
        <v>0</v>
      </c>
      <c r="G493" s="833">
        <f t="shared" si="57"/>
        <v>0</v>
      </c>
      <c r="H493" s="834">
        <v>1</v>
      </c>
      <c r="I493" s="835"/>
      <c r="J493" s="836"/>
      <c r="K493" s="836"/>
      <c r="L493" s="836"/>
      <c r="M493" s="836"/>
      <c r="N493" s="836"/>
      <c r="O493" s="836"/>
      <c r="P493" s="836"/>
      <c r="Q493" s="836"/>
      <c r="R493" s="837">
        <v>5</v>
      </c>
      <c r="T493" s="155">
        <v>2221971</v>
      </c>
      <c r="U493" s="155"/>
      <c r="V493" s="155"/>
      <c r="AA493" s="180" t="str">
        <f>VLOOKUP(A493,[2]DG!$A:$C,3,0)</f>
        <v>Đầu cáp ngầm 24KV 3x50mm2 outdoor</v>
      </c>
    </row>
    <row r="494" spans="1:27" ht="20.100000000000001" hidden="1" customHeight="1">
      <c r="A494" s="872" t="s">
        <v>3650</v>
      </c>
      <c r="B494" s="860"/>
      <c r="C494" s="421" t="s">
        <v>4405</v>
      </c>
      <c r="D494" s="364" t="s">
        <v>9</v>
      </c>
      <c r="E494" s="833">
        <v>2689755</v>
      </c>
      <c r="F494" s="833">
        <f t="shared" si="56"/>
        <v>0</v>
      </c>
      <c r="G494" s="833">
        <f t="shared" si="57"/>
        <v>0</v>
      </c>
      <c r="H494" s="834">
        <v>1</v>
      </c>
      <c r="I494" s="835"/>
      <c r="J494" s="836"/>
      <c r="K494" s="836"/>
      <c r="L494" s="836"/>
      <c r="M494" s="836"/>
      <c r="N494" s="836"/>
      <c r="O494" s="836"/>
      <c r="P494" s="836"/>
      <c r="Q494" s="836"/>
      <c r="R494" s="837">
        <v>5</v>
      </c>
      <c r="T494" s="155">
        <v>2689755</v>
      </c>
      <c r="U494" s="155"/>
      <c r="V494" s="155"/>
      <c r="AA494" s="180" t="str">
        <f>VLOOKUP(A494,[2]DG!$A:$C,3,0)</f>
        <v>Đầu cáp ngầm 24KV 3x70mm2 outdoor</v>
      </c>
    </row>
    <row r="495" spans="1:27" ht="20.100000000000001" hidden="1" customHeight="1">
      <c r="A495" s="872" t="s">
        <v>3651</v>
      </c>
      <c r="B495" s="860"/>
      <c r="C495" s="421" t="s">
        <v>4406</v>
      </c>
      <c r="D495" s="364" t="s">
        <v>9</v>
      </c>
      <c r="E495" s="833">
        <v>2689755</v>
      </c>
      <c r="F495" s="833">
        <f t="shared" si="56"/>
        <v>0</v>
      </c>
      <c r="G495" s="833">
        <f t="shared" si="57"/>
        <v>0</v>
      </c>
      <c r="H495" s="834">
        <v>1</v>
      </c>
      <c r="I495" s="835"/>
      <c r="J495" s="836"/>
      <c r="K495" s="836"/>
      <c r="L495" s="836"/>
      <c r="M495" s="836"/>
      <c r="N495" s="836"/>
      <c r="O495" s="836"/>
      <c r="P495" s="836"/>
      <c r="Q495" s="836"/>
      <c r="R495" s="837">
        <v>5</v>
      </c>
      <c r="T495" s="155">
        <v>2689755</v>
      </c>
      <c r="U495" s="155"/>
      <c r="V495" s="155"/>
      <c r="AA495" s="180" t="str">
        <f>VLOOKUP(A495,[2]DG!$A:$C,3,0)</f>
        <v>Đầu cáp ngầm 24KV 3x95mm2 outdoor</v>
      </c>
    </row>
    <row r="496" spans="1:27" ht="20.100000000000001" hidden="1" customHeight="1">
      <c r="A496" s="872" t="s">
        <v>3652</v>
      </c>
      <c r="B496" s="860"/>
      <c r="C496" s="421" t="s">
        <v>4407</v>
      </c>
      <c r="D496" s="364" t="s">
        <v>9</v>
      </c>
      <c r="E496" s="833">
        <v>2689755</v>
      </c>
      <c r="F496" s="833">
        <f t="shared" si="56"/>
        <v>0</v>
      </c>
      <c r="G496" s="833">
        <f t="shared" si="57"/>
        <v>0</v>
      </c>
      <c r="H496" s="834">
        <v>1</v>
      </c>
      <c r="I496" s="835"/>
      <c r="J496" s="836"/>
      <c r="K496" s="836"/>
      <c r="L496" s="836"/>
      <c r="M496" s="836"/>
      <c r="N496" s="836"/>
      <c r="O496" s="836"/>
      <c r="P496" s="836"/>
      <c r="Q496" s="836"/>
      <c r="R496" s="837">
        <v>5</v>
      </c>
      <c r="T496" s="155">
        <v>2689755</v>
      </c>
      <c r="U496" s="155"/>
      <c r="V496" s="155"/>
      <c r="AA496" s="180" t="str">
        <f>VLOOKUP(A496,[2]DG!$A:$C,3,0)</f>
        <v>Đầu cáp ngầm 24KV 3x120mm2 outdoor</v>
      </c>
    </row>
    <row r="497" spans="1:27" ht="20.100000000000001" hidden="1" customHeight="1">
      <c r="A497" s="872" t="s">
        <v>3653</v>
      </c>
      <c r="B497" s="860"/>
      <c r="C497" s="421" t="s">
        <v>777</v>
      </c>
      <c r="D497" s="364" t="s">
        <v>9</v>
      </c>
      <c r="E497" s="833">
        <v>2656341</v>
      </c>
      <c r="F497" s="833">
        <f t="shared" si="56"/>
        <v>0</v>
      </c>
      <c r="G497" s="833">
        <f t="shared" si="57"/>
        <v>0</v>
      </c>
      <c r="H497" s="834">
        <v>1</v>
      </c>
      <c r="I497" s="835"/>
      <c r="J497" s="836"/>
      <c r="K497" s="836"/>
      <c r="L497" s="836"/>
      <c r="M497" s="836"/>
      <c r="N497" s="836"/>
      <c r="O497" s="836"/>
      <c r="P497" s="836"/>
      <c r="Q497" s="836"/>
      <c r="R497" s="837">
        <v>5</v>
      </c>
      <c r="T497" s="155">
        <v>2656341</v>
      </c>
      <c r="U497" s="155"/>
      <c r="V497" s="155"/>
      <c r="AA497" s="180" t="str">
        <f>VLOOKUP(A497,[2]DG!$A:$C,3,0)</f>
        <v>Đầu cáp ngầm 24kV 3x150mm2 outdoor</v>
      </c>
    </row>
    <row r="498" spans="1:27" ht="20.100000000000001" hidden="1" customHeight="1">
      <c r="A498" s="872" t="s">
        <v>3654</v>
      </c>
      <c r="B498" s="860"/>
      <c r="C498" s="421" t="s">
        <v>778</v>
      </c>
      <c r="D498" s="364" t="s">
        <v>9</v>
      </c>
      <c r="E498" s="833">
        <v>2656341</v>
      </c>
      <c r="F498" s="833">
        <f t="shared" si="56"/>
        <v>0</v>
      </c>
      <c r="G498" s="833">
        <f t="shared" si="57"/>
        <v>0</v>
      </c>
      <c r="H498" s="834">
        <v>1</v>
      </c>
      <c r="I498" s="835"/>
      <c r="J498" s="836"/>
      <c r="K498" s="836"/>
      <c r="L498" s="836"/>
      <c r="M498" s="836"/>
      <c r="N498" s="836"/>
      <c r="O498" s="836"/>
      <c r="P498" s="836"/>
      <c r="Q498" s="836"/>
      <c r="R498" s="837">
        <v>5</v>
      </c>
      <c r="T498" s="155">
        <v>2656341</v>
      </c>
      <c r="U498" s="155"/>
      <c r="V498" s="155"/>
      <c r="AA498" s="180" t="str">
        <f>VLOOKUP(A498,[2]DG!$A:$C,3,0)</f>
        <v>Đầu cáp ngầm 24kV 3x185mm2 outdoor</v>
      </c>
    </row>
    <row r="499" spans="1:27" ht="20.100000000000001" hidden="1" customHeight="1">
      <c r="A499" s="872" t="s">
        <v>3655</v>
      </c>
      <c r="B499" s="860"/>
      <c r="C499" s="421" t="s">
        <v>779</v>
      </c>
      <c r="D499" s="364" t="s">
        <v>9</v>
      </c>
      <c r="E499" s="833">
        <v>2656341</v>
      </c>
      <c r="F499" s="833">
        <f t="shared" si="56"/>
        <v>0</v>
      </c>
      <c r="G499" s="833">
        <f t="shared" si="57"/>
        <v>0</v>
      </c>
      <c r="H499" s="834">
        <v>1</v>
      </c>
      <c r="I499" s="835"/>
      <c r="J499" s="836"/>
      <c r="K499" s="836"/>
      <c r="L499" s="836"/>
      <c r="M499" s="836"/>
      <c r="N499" s="836"/>
      <c r="O499" s="836"/>
      <c r="P499" s="836"/>
      <c r="Q499" s="836"/>
      <c r="R499" s="837">
        <v>5</v>
      </c>
      <c r="T499" s="155">
        <v>2656341</v>
      </c>
      <c r="U499" s="155"/>
      <c r="V499" s="155"/>
      <c r="AA499" s="180" t="str">
        <f>VLOOKUP(A499,[2]DG!$A:$C,3,0)</f>
        <v>Đầu cáp ngầm 24kV 3x240mm2 outdoor</v>
      </c>
    </row>
    <row r="500" spans="1:27" ht="20.100000000000001" hidden="1" customHeight="1">
      <c r="A500" s="872" t="s">
        <v>3656</v>
      </c>
      <c r="B500" s="860"/>
      <c r="C500" s="421" t="s">
        <v>4408</v>
      </c>
      <c r="D500" s="364" t="s">
        <v>9</v>
      </c>
      <c r="E500" s="833">
        <v>1804307</v>
      </c>
      <c r="F500" s="833">
        <f t="shared" si="56"/>
        <v>0</v>
      </c>
      <c r="G500" s="833">
        <f t="shared" si="57"/>
        <v>0</v>
      </c>
      <c r="H500" s="834">
        <v>1</v>
      </c>
      <c r="I500" s="835"/>
      <c r="J500" s="836"/>
      <c r="K500" s="836"/>
      <c r="L500" s="836"/>
      <c r="M500" s="836"/>
      <c r="N500" s="836"/>
      <c r="O500" s="836"/>
      <c r="P500" s="836"/>
      <c r="Q500" s="836"/>
      <c r="R500" s="837">
        <v>5</v>
      </c>
      <c r="T500" s="155">
        <v>1804307</v>
      </c>
      <c r="U500" s="155"/>
      <c r="V500" s="155"/>
      <c r="AA500" s="180" t="str">
        <f>VLOOKUP(A500,[2]DG!$A:$C,3,0)</f>
        <v>Đầu cáp ngầm 24KV 3x50mm2 indoor</v>
      </c>
    </row>
    <row r="501" spans="1:27" ht="20.100000000000001" hidden="1" customHeight="1">
      <c r="A501" s="872" t="s">
        <v>3657</v>
      </c>
      <c r="B501" s="860"/>
      <c r="C501" s="421" t="s">
        <v>4409</v>
      </c>
      <c r="D501" s="364" t="s">
        <v>9</v>
      </c>
      <c r="E501" s="833">
        <v>2272091</v>
      </c>
      <c r="F501" s="833">
        <f t="shared" si="56"/>
        <v>0</v>
      </c>
      <c r="G501" s="833">
        <f t="shared" si="57"/>
        <v>0</v>
      </c>
      <c r="H501" s="834">
        <v>1</v>
      </c>
      <c r="I501" s="835"/>
      <c r="J501" s="836"/>
      <c r="K501" s="836"/>
      <c r="L501" s="836"/>
      <c r="M501" s="836"/>
      <c r="N501" s="836"/>
      <c r="O501" s="836"/>
      <c r="P501" s="836"/>
      <c r="Q501" s="836"/>
      <c r="R501" s="837">
        <v>5</v>
      </c>
      <c r="T501" s="155">
        <v>2272091</v>
      </c>
      <c r="U501" s="155"/>
      <c r="V501" s="155"/>
      <c r="AA501" s="180" t="str">
        <f>VLOOKUP(A501,[2]DG!$A:$C,3,0)</f>
        <v>Đầu cáp ngầm 24KV 3x70mm2 indoor</v>
      </c>
    </row>
    <row r="502" spans="1:27" ht="20.100000000000001" hidden="1" customHeight="1">
      <c r="A502" s="872" t="s">
        <v>3658</v>
      </c>
      <c r="B502" s="860"/>
      <c r="C502" s="421" t="s">
        <v>4410</v>
      </c>
      <c r="D502" s="364" t="s">
        <v>9</v>
      </c>
      <c r="E502" s="833">
        <v>2272091</v>
      </c>
      <c r="F502" s="833">
        <f t="shared" si="56"/>
        <v>0</v>
      </c>
      <c r="G502" s="833">
        <f t="shared" si="57"/>
        <v>0</v>
      </c>
      <c r="H502" s="834">
        <v>1</v>
      </c>
      <c r="I502" s="835"/>
      <c r="J502" s="836"/>
      <c r="K502" s="836"/>
      <c r="L502" s="836"/>
      <c r="M502" s="836"/>
      <c r="N502" s="836"/>
      <c r="O502" s="836"/>
      <c r="P502" s="836"/>
      <c r="Q502" s="836"/>
      <c r="R502" s="837">
        <v>5</v>
      </c>
      <c r="T502" s="155">
        <v>2272091</v>
      </c>
      <c r="U502" s="155"/>
      <c r="V502" s="155"/>
      <c r="AA502" s="180" t="str">
        <f>VLOOKUP(A502,[2]DG!$A:$C,3,0)</f>
        <v>Đầu cáp ngầm 24KV 3x95mm2 indoor</v>
      </c>
    </row>
    <row r="503" spans="1:27" ht="20.100000000000001" hidden="1" customHeight="1">
      <c r="A503" s="872" t="s">
        <v>3659</v>
      </c>
      <c r="B503" s="860"/>
      <c r="C503" s="421" t="s">
        <v>4411</v>
      </c>
      <c r="D503" s="364" t="s">
        <v>9</v>
      </c>
      <c r="E503" s="833">
        <v>2272091</v>
      </c>
      <c r="F503" s="833">
        <f t="shared" si="56"/>
        <v>0</v>
      </c>
      <c r="G503" s="833">
        <f t="shared" si="57"/>
        <v>0</v>
      </c>
      <c r="H503" s="834">
        <v>1</v>
      </c>
      <c r="I503" s="835"/>
      <c r="J503" s="836"/>
      <c r="K503" s="836"/>
      <c r="L503" s="836"/>
      <c r="M503" s="836"/>
      <c r="N503" s="836"/>
      <c r="O503" s="836"/>
      <c r="P503" s="836"/>
      <c r="Q503" s="836"/>
      <c r="R503" s="837">
        <v>5</v>
      </c>
      <c r="T503" s="155">
        <v>2272091</v>
      </c>
      <c r="U503" s="155"/>
      <c r="V503" s="155"/>
      <c r="AA503" s="180" t="str">
        <f>VLOOKUP(A503,[2]DG!$A:$C,3,0)</f>
        <v>Đầu cáp ngầm 24KV 3x120mm2 indoor</v>
      </c>
    </row>
    <row r="504" spans="1:27" ht="20.100000000000001" hidden="1" customHeight="1">
      <c r="A504" s="872" t="s">
        <v>3660</v>
      </c>
      <c r="B504" s="860"/>
      <c r="C504" s="421" t="s">
        <v>780</v>
      </c>
      <c r="D504" s="364" t="s">
        <v>9</v>
      </c>
      <c r="E504" s="833">
        <v>2322210</v>
      </c>
      <c r="F504" s="833">
        <f t="shared" si="56"/>
        <v>0</v>
      </c>
      <c r="G504" s="833">
        <f t="shared" si="57"/>
        <v>0</v>
      </c>
      <c r="H504" s="834">
        <v>1</v>
      </c>
      <c r="I504" s="835"/>
      <c r="J504" s="836"/>
      <c r="K504" s="836"/>
      <c r="L504" s="836"/>
      <c r="M504" s="836"/>
      <c r="N504" s="836"/>
      <c r="O504" s="836"/>
      <c r="P504" s="836"/>
      <c r="Q504" s="836"/>
      <c r="R504" s="837">
        <v>5</v>
      </c>
      <c r="T504" s="155">
        <v>2322210</v>
      </c>
      <c r="U504" s="155"/>
      <c r="V504" s="155"/>
      <c r="AA504" s="180" t="str">
        <f>VLOOKUP(A504,[2]DG!$A:$C,3,0)</f>
        <v>Đầu cáp ngầm 24kV 3x150mm2 indoor</v>
      </c>
    </row>
    <row r="505" spans="1:27" ht="20.100000000000001" hidden="1" customHeight="1">
      <c r="A505" s="872" t="s">
        <v>3661</v>
      </c>
      <c r="B505" s="860"/>
      <c r="C505" s="421" t="s">
        <v>781</v>
      </c>
      <c r="D505" s="364" t="s">
        <v>9</v>
      </c>
      <c r="E505" s="833">
        <v>2322210</v>
      </c>
      <c r="F505" s="833">
        <f t="shared" si="56"/>
        <v>0</v>
      </c>
      <c r="G505" s="833">
        <f t="shared" si="57"/>
        <v>0</v>
      </c>
      <c r="H505" s="834">
        <v>1</v>
      </c>
      <c r="I505" s="835"/>
      <c r="J505" s="836"/>
      <c r="K505" s="836"/>
      <c r="L505" s="836"/>
      <c r="M505" s="836"/>
      <c r="N505" s="836"/>
      <c r="O505" s="836"/>
      <c r="P505" s="836"/>
      <c r="Q505" s="836"/>
      <c r="R505" s="837">
        <v>5</v>
      </c>
      <c r="T505" s="155">
        <v>2322210</v>
      </c>
      <c r="U505" s="155"/>
      <c r="V505" s="155"/>
      <c r="AA505" s="180" t="str">
        <f>VLOOKUP(A505,[2]DG!$A:$C,3,0)</f>
        <v>Đầu cáp ngầm 24kV 3x185mm2 indoor</v>
      </c>
    </row>
    <row r="506" spans="1:27" ht="20.100000000000001" hidden="1" customHeight="1">
      <c r="A506" s="872" t="s">
        <v>3662</v>
      </c>
      <c r="B506" s="860"/>
      <c r="C506" s="421" t="s">
        <v>782</v>
      </c>
      <c r="D506" s="364" t="s">
        <v>9</v>
      </c>
      <c r="E506" s="833">
        <v>2322210</v>
      </c>
      <c r="F506" s="833">
        <f t="shared" si="56"/>
        <v>0</v>
      </c>
      <c r="G506" s="833">
        <f t="shared" si="57"/>
        <v>0</v>
      </c>
      <c r="H506" s="834">
        <v>1</v>
      </c>
      <c r="I506" s="835"/>
      <c r="J506" s="836"/>
      <c r="K506" s="836"/>
      <c r="L506" s="836"/>
      <c r="M506" s="836"/>
      <c r="N506" s="836"/>
      <c r="O506" s="836"/>
      <c r="P506" s="836"/>
      <c r="Q506" s="836"/>
      <c r="R506" s="837">
        <v>5</v>
      </c>
      <c r="T506" s="155">
        <v>2322210</v>
      </c>
      <c r="U506" s="155"/>
      <c r="V506" s="155"/>
      <c r="AA506" s="180" t="str">
        <f>VLOOKUP(A506,[2]DG!$A:$C,3,0)</f>
        <v>Đầu cáp ngầm 24kV 3x240mm2 indoor</v>
      </c>
    </row>
    <row r="507" spans="1:27" ht="20.100000000000001" hidden="1" customHeight="1">
      <c r="A507" s="872" t="s">
        <v>783</v>
      </c>
      <c r="B507" s="859"/>
      <c r="C507" s="421" t="s">
        <v>784</v>
      </c>
      <c r="D507" s="364" t="s">
        <v>9</v>
      </c>
      <c r="E507" s="833">
        <v>568023</v>
      </c>
      <c r="F507" s="833">
        <f t="shared" si="56"/>
        <v>0</v>
      </c>
      <c r="G507" s="833">
        <f t="shared" si="57"/>
        <v>0</v>
      </c>
      <c r="H507" s="834">
        <v>1</v>
      </c>
      <c r="I507" s="835"/>
      <c r="J507" s="836"/>
      <c r="K507" s="836"/>
      <c r="L507" s="836"/>
      <c r="M507" s="836"/>
      <c r="N507" s="836"/>
      <c r="O507" s="836"/>
      <c r="P507" s="836"/>
      <c r="Q507" s="836"/>
      <c r="R507" s="837">
        <v>5</v>
      </c>
      <c r="T507" s="155">
        <v>568023</v>
      </c>
      <c r="U507" s="155"/>
      <c r="V507" s="155"/>
      <c r="AA507" s="180" t="str">
        <f>VLOOKUP(A507,[2]DG!$A:$C,3,0)</f>
        <v>Đầu cáp ngầm hạ thế 3x185+120mm2</v>
      </c>
    </row>
    <row r="508" spans="1:27" ht="20.100000000000001" hidden="1" customHeight="1">
      <c r="A508" s="872" t="s">
        <v>785</v>
      </c>
      <c r="B508" s="859"/>
      <c r="C508" s="421" t="s">
        <v>786</v>
      </c>
      <c r="D508" s="364" t="s">
        <v>9</v>
      </c>
      <c r="E508" s="833">
        <v>568023</v>
      </c>
      <c r="F508" s="833">
        <f t="shared" si="56"/>
        <v>0</v>
      </c>
      <c r="G508" s="833">
        <f t="shared" si="57"/>
        <v>0</v>
      </c>
      <c r="H508" s="834">
        <v>1</v>
      </c>
      <c r="I508" s="835"/>
      <c r="J508" s="836"/>
      <c r="K508" s="836"/>
      <c r="L508" s="836"/>
      <c r="M508" s="836"/>
      <c r="N508" s="836"/>
      <c r="O508" s="836"/>
      <c r="P508" s="836"/>
      <c r="Q508" s="836"/>
      <c r="R508" s="837">
        <v>5</v>
      </c>
      <c r="T508" s="155">
        <v>568023</v>
      </c>
      <c r="U508" s="155"/>
      <c r="V508" s="155"/>
      <c r="AA508" s="180" t="str">
        <f>VLOOKUP(A508,[2]DG!$A:$C,3,0)</f>
        <v>Đầu cáp ngầm hạ thế 3x120+70mm2</v>
      </c>
    </row>
    <row r="509" spans="1:27" ht="20.100000000000001" hidden="1" customHeight="1">
      <c r="A509" s="872" t="s">
        <v>787</v>
      </c>
      <c r="B509" s="859"/>
      <c r="C509" s="421" t="s">
        <v>788</v>
      </c>
      <c r="D509" s="364" t="s">
        <v>9</v>
      </c>
      <c r="E509" s="833">
        <v>568023</v>
      </c>
      <c r="F509" s="833">
        <f t="shared" si="56"/>
        <v>0</v>
      </c>
      <c r="G509" s="833">
        <f t="shared" si="57"/>
        <v>0</v>
      </c>
      <c r="H509" s="834">
        <v>1</v>
      </c>
      <c r="I509" s="835"/>
      <c r="J509" s="836"/>
      <c r="K509" s="836"/>
      <c r="L509" s="836"/>
      <c r="M509" s="836"/>
      <c r="N509" s="836"/>
      <c r="O509" s="836"/>
      <c r="P509" s="836"/>
      <c r="Q509" s="836"/>
      <c r="R509" s="837">
        <v>5</v>
      </c>
      <c r="T509" s="155">
        <v>568023</v>
      </c>
      <c r="U509" s="155"/>
      <c r="V509" s="155"/>
      <c r="AA509" s="180" t="str">
        <f>VLOOKUP(A509,[2]DG!$A:$C,3,0)</f>
        <v>Đầu cáp ngầm hạ thế 3x95+50mm2</v>
      </c>
    </row>
    <row r="510" spans="1:27" ht="20.100000000000001" hidden="1" customHeight="1">
      <c r="A510" s="872" t="s">
        <v>789</v>
      </c>
      <c r="B510" s="859"/>
      <c r="C510" s="421" t="s">
        <v>790</v>
      </c>
      <c r="D510" s="364" t="s">
        <v>9</v>
      </c>
      <c r="E510" s="833">
        <v>501197</v>
      </c>
      <c r="F510" s="833">
        <f t="shared" si="56"/>
        <v>0</v>
      </c>
      <c r="G510" s="833">
        <f t="shared" si="57"/>
        <v>0</v>
      </c>
      <c r="H510" s="834">
        <v>1</v>
      </c>
      <c r="I510" s="835"/>
      <c r="J510" s="836"/>
      <c r="K510" s="836"/>
      <c r="L510" s="836"/>
      <c r="M510" s="836"/>
      <c r="N510" s="836"/>
      <c r="O510" s="836"/>
      <c r="P510" s="836"/>
      <c r="Q510" s="836"/>
      <c r="R510" s="837">
        <v>5</v>
      </c>
      <c r="T510" s="155">
        <v>501197</v>
      </c>
      <c r="U510" s="155"/>
      <c r="V510" s="155"/>
      <c r="AA510" s="180" t="str">
        <f>VLOOKUP(A510,[2]DG!$A:$C,3,0)</f>
        <v>Đầu cáp ngầm hạ thế 3x70+50mm2</v>
      </c>
    </row>
    <row r="511" spans="1:27" ht="20.100000000000001" hidden="1" customHeight="1">
      <c r="A511" s="872" t="s">
        <v>792</v>
      </c>
      <c r="B511" s="859"/>
      <c r="C511" s="421" t="s">
        <v>791</v>
      </c>
      <c r="D511" s="364" t="s">
        <v>9</v>
      </c>
      <c r="E511" s="833">
        <v>501197</v>
      </c>
      <c r="F511" s="833">
        <f t="shared" si="56"/>
        <v>0</v>
      </c>
      <c r="G511" s="833">
        <f t="shared" si="57"/>
        <v>0</v>
      </c>
      <c r="H511" s="834">
        <v>1</v>
      </c>
      <c r="I511" s="835"/>
      <c r="J511" s="836"/>
      <c r="K511" s="836"/>
      <c r="L511" s="836"/>
      <c r="M511" s="836"/>
      <c r="N511" s="836"/>
      <c r="O511" s="836"/>
      <c r="P511" s="836"/>
      <c r="Q511" s="836"/>
      <c r="R511" s="837">
        <v>5</v>
      </c>
      <c r="T511" s="155">
        <v>501197</v>
      </c>
      <c r="U511" s="155"/>
      <c r="V511" s="155"/>
      <c r="AA511" s="180" t="str">
        <f>VLOOKUP(A511,[2]DG!$A:$C,3,0)</f>
        <v>Đầu cáp ngầm hạ thế 3x50</v>
      </c>
    </row>
    <row r="512" spans="1:27" ht="20.100000000000001" customHeight="1">
      <c r="A512" s="872" t="s">
        <v>4328</v>
      </c>
      <c r="B512" s="859"/>
      <c r="C512" s="421" t="s">
        <v>4329</v>
      </c>
      <c r="D512" s="364" t="s">
        <v>9</v>
      </c>
      <c r="E512" s="833">
        <v>1920000</v>
      </c>
      <c r="F512" s="833">
        <f t="shared" si="56"/>
        <v>0</v>
      </c>
      <c r="G512" s="833">
        <f t="shared" si="57"/>
        <v>0</v>
      </c>
      <c r="H512" s="834">
        <v>1</v>
      </c>
      <c r="I512" s="835"/>
      <c r="J512" s="836"/>
      <c r="K512" s="836"/>
      <c r="L512" s="836"/>
      <c r="M512" s="836"/>
      <c r="N512" s="836"/>
      <c r="O512" s="836"/>
      <c r="P512" s="836"/>
      <c r="Q512" s="836"/>
      <c r="R512" s="837">
        <v>5</v>
      </c>
      <c r="T512" s="155">
        <v>501197</v>
      </c>
      <c r="U512" s="155"/>
      <c r="V512" s="155"/>
      <c r="AA512" s="180" t="str">
        <f>VLOOKUP(A512,[2]DG!$A:$C,3,0)</f>
        <v>Đầu cáp ngầm hạ thế 4x120mm2</v>
      </c>
    </row>
    <row r="513" spans="1:27" ht="20.100000000000001" hidden="1" customHeight="1">
      <c r="A513" s="872" t="s">
        <v>2331</v>
      </c>
      <c r="B513" s="859"/>
      <c r="C513" s="421" t="s">
        <v>2129</v>
      </c>
      <c r="D513" s="364" t="s">
        <v>196</v>
      </c>
      <c r="E513" s="833">
        <v>42000</v>
      </c>
      <c r="F513" s="833">
        <f t="shared" si="56"/>
        <v>0</v>
      </c>
      <c r="G513" s="833">
        <f t="shared" si="57"/>
        <v>0</v>
      </c>
      <c r="H513" s="834">
        <v>1</v>
      </c>
      <c r="I513" s="835"/>
      <c r="J513" s="836"/>
      <c r="K513" s="836"/>
      <c r="L513" s="836"/>
      <c r="M513" s="836"/>
      <c r="N513" s="836"/>
      <c r="O513" s="836"/>
      <c r="P513" s="836"/>
      <c r="Q513" s="836"/>
      <c r="R513" s="837">
        <v>1</v>
      </c>
      <c r="T513" s="155">
        <v>42000</v>
      </c>
      <c r="U513" s="155"/>
      <c r="V513" s="155"/>
      <c r="AA513" s="180" t="str">
        <f>VLOOKUP(A513,[2]DG!$A:$C,3,0)</f>
        <v>ÔÁng sắt tráng kẽm D42</v>
      </c>
    </row>
    <row r="514" spans="1:27" ht="20.100000000000001" hidden="1" customHeight="1">
      <c r="A514" s="872" t="s">
        <v>2330</v>
      </c>
      <c r="B514" s="859"/>
      <c r="C514" s="421" t="s">
        <v>2130</v>
      </c>
      <c r="D514" s="364" t="s">
        <v>196</v>
      </c>
      <c r="E514" s="833">
        <v>69500</v>
      </c>
      <c r="F514" s="833">
        <f t="shared" si="56"/>
        <v>0</v>
      </c>
      <c r="G514" s="833">
        <f t="shared" si="57"/>
        <v>0</v>
      </c>
      <c r="H514" s="834">
        <v>1</v>
      </c>
      <c r="I514" s="835"/>
      <c r="J514" s="836"/>
      <c r="K514" s="836"/>
      <c r="L514" s="836"/>
      <c r="M514" s="836"/>
      <c r="N514" s="836"/>
      <c r="O514" s="836"/>
      <c r="P514" s="836"/>
      <c r="Q514" s="836"/>
      <c r="R514" s="837">
        <v>1</v>
      </c>
      <c r="T514" s="155">
        <v>69500</v>
      </c>
      <c r="U514" s="155"/>
      <c r="V514" s="155"/>
      <c r="AA514" s="180" t="str">
        <f>VLOOKUP(A514,[2]DG!$A:$C,3,0)</f>
        <v>ÔÁng sắt tráng kẽm D60</v>
      </c>
    </row>
    <row r="515" spans="1:27" ht="20.100000000000001" hidden="1" customHeight="1">
      <c r="A515" s="872" t="s">
        <v>3663</v>
      </c>
      <c r="B515" s="859" t="s">
        <v>4378</v>
      </c>
      <c r="C515" s="421" t="s">
        <v>2131</v>
      </c>
      <c r="D515" s="364" t="s">
        <v>196</v>
      </c>
      <c r="E515" s="833">
        <v>182000</v>
      </c>
      <c r="F515" s="833">
        <f t="shared" si="56"/>
        <v>104266.211</v>
      </c>
      <c r="G515" s="833">
        <f t="shared" si="57"/>
        <v>0</v>
      </c>
      <c r="H515" s="834" t="s">
        <v>4301</v>
      </c>
      <c r="I515" s="835" t="s">
        <v>4377</v>
      </c>
      <c r="J515" s="836">
        <f>42.49/100</f>
        <v>0.4249</v>
      </c>
      <c r="K515" s="836"/>
      <c r="L515" s="836"/>
      <c r="M515" s="836"/>
      <c r="N515" s="836"/>
      <c r="O515" s="836"/>
      <c r="P515" s="836"/>
      <c r="Q515" s="836"/>
      <c r="R515" s="837">
        <v>1</v>
      </c>
      <c r="T515" s="155">
        <v>100000</v>
      </c>
      <c r="U515" s="155">
        <v>6579</v>
      </c>
      <c r="V515" s="155"/>
      <c r="AA515" s="180" t="str">
        <f>VLOOKUP(A515,[2]DG!$A:$C,3,0)</f>
        <v>ÔÁng sắt tráng kẽm D90</v>
      </c>
    </row>
    <row r="516" spans="1:27" ht="20.100000000000001" hidden="1" customHeight="1">
      <c r="A516" s="872" t="s">
        <v>3664</v>
      </c>
      <c r="B516" s="859" t="s">
        <v>4379</v>
      </c>
      <c r="C516" s="421" t="s">
        <v>2132</v>
      </c>
      <c r="D516" s="364" t="s">
        <v>196</v>
      </c>
      <c r="E516" s="833">
        <v>232000</v>
      </c>
      <c r="F516" s="833">
        <f t="shared" si="56"/>
        <v>120952.731</v>
      </c>
      <c r="G516" s="833">
        <f t="shared" si="57"/>
        <v>0</v>
      </c>
      <c r="H516" s="834" t="s">
        <v>4302</v>
      </c>
      <c r="I516" s="835" t="s">
        <v>4377</v>
      </c>
      <c r="J516" s="836">
        <f>49.29/100</f>
        <v>0.4929</v>
      </c>
      <c r="K516" s="836"/>
      <c r="L516" s="836"/>
      <c r="M516" s="836"/>
      <c r="N516" s="836"/>
      <c r="O516" s="836"/>
      <c r="P516" s="836"/>
      <c r="Q516" s="836"/>
      <c r="R516" s="837">
        <v>1</v>
      </c>
      <c r="T516" s="155">
        <v>120000</v>
      </c>
      <c r="U516" s="155">
        <v>6579</v>
      </c>
      <c r="V516" s="155"/>
      <c r="AA516" s="180" t="str">
        <f>VLOOKUP(A516,[2]DG!$A:$C,3,0)</f>
        <v>ÔÁng sắt tráng kẽm D114</v>
      </c>
    </row>
    <row r="517" spans="1:27" ht="20.100000000000001" hidden="1" customHeight="1">
      <c r="A517" s="872" t="s">
        <v>3665</v>
      </c>
      <c r="B517" s="859" t="s">
        <v>4379</v>
      </c>
      <c r="C517" s="421" t="s">
        <v>2133</v>
      </c>
      <c r="D517" s="364" t="s">
        <v>196</v>
      </c>
      <c r="E517" s="833">
        <v>278000</v>
      </c>
      <c r="F517" s="833">
        <f t="shared" si="56"/>
        <v>120952.731</v>
      </c>
      <c r="G517" s="833">
        <f t="shared" si="57"/>
        <v>0</v>
      </c>
      <c r="H517" s="834">
        <v>1</v>
      </c>
      <c r="I517" s="835" t="s">
        <v>4377</v>
      </c>
      <c r="J517" s="836">
        <f t="shared" ref="J517:J519" si="58">49.29/100</f>
        <v>0.4929</v>
      </c>
      <c r="K517" s="836"/>
      <c r="L517" s="836"/>
      <c r="M517" s="836"/>
      <c r="N517" s="836"/>
      <c r="O517" s="836"/>
      <c r="P517" s="836"/>
      <c r="Q517" s="836"/>
      <c r="R517" s="837">
        <v>1</v>
      </c>
      <c r="T517" s="155">
        <v>278000</v>
      </c>
      <c r="U517" s="155">
        <v>6579</v>
      </c>
      <c r="V517" s="155"/>
      <c r="AA517" s="180" t="str">
        <f>VLOOKUP(A517,[2]DG!$A:$C,3,0)</f>
        <v>ÔÁng sắt tráng kẽm D140</v>
      </c>
    </row>
    <row r="518" spans="1:27" ht="20.100000000000001" hidden="1" customHeight="1">
      <c r="A518" s="872" t="s">
        <v>3666</v>
      </c>
      <c r="B518" s="859" t="s">
        <v>4379</v>
      </c>
      <c r="C518" s="421" t="s">
        <v>2134</v>
      </c>
      <c r="D518" s="364" t="s">
        <v>196</v>
      </c>
      <c r="E518" s="833">
        <v>278000</v>
      </c>
      <c r="F518" s="833">
        <f t="shared" si="56"/>
        <v>120952.731</v>
      </c>
      <c r="G518" s="833">
        <f t="shared" si="57"/>
        <v>0</v>
      </c>
      <c r="H518" s="834">
        <v>1</v>
      </c>
      <c r="I518" s="835" t="s">
        <v>4377</v>
      </c>
      <c r="J518" s="836">
        <f t="shared" si="58"/>
        <v>0.4929</v>
      </c>
      <c r="K518" s="836"/>
      <c r="L518" s="836"/>
      <c r="M518" s="836"/>
      <c r="N518" s="836"/>
      <c r="O518" s="836"/>
      <c r="P518" s="836"/>
      <c r="Q518" s="836"/>
      <c r="R518" s="837">
        <v>1</v>
      </c>
      <c r="T518" s="155">
        <v>278000</v>
      </c>
      <c r="U518" s="155">
        <v>6579</v>
      </c>
      <c r="V518" s="155"/>
      <c r="AA518" s="180" t="str">
        <f>VLOOKUP(A518,[2]DG!$A:$C,3,0)</f>
        <v>ÔÁng sắt tráng kẽm D160</v>
      </c>
    </row>
    <row r="519" spans="1:27" ht="20.100000000000001" hidden="1" customHeight="1">
      <c r="A519" s="872" t="s">
        <v>3667</v>
      </c>
      <c r="B519" s="859" t="s">
        <v>4379</v>
      </c>
      <c r="C519" s="421" t="s">
        <v>2135</v>
      </c>
      <c r="D519" s="364" t="s">
        <v>196</v>
      </c>
      <c r="E519" s="833">
        <v>328000</v>
      </c>
      <c r="F519" s="833">
        <f t="shared" si="56"/>
        <v>120952.731</v>
      </c>
      <c r="G519" s="833">
        <f t="shared" si="57"/>
        <v>0</v>
      </c>
      <c r="H519" s="834">
        <v>1</v>
      </c>
      <c r="I519" s="835" t="s">
        <v>4377</v>
      </c>
      <c r="J519" s="836">
        <f t="shared" si="58"/>
        <v>0.4929</v>
      </c>
      <c r="K519" s="836"/>
      <c r="L519" s="836"/>
      <c r="M519" s="836"/>
      <c r="N519" s="836"/>
      <c r="O519" s="836"/>
      <c r="P519" s="836"/>
      <c r="Q519" s="836"/>
      <c r="R519" s="837">
        <v>1</v>
      </c>
      <c r="T519" s="155">
        <v>328000</v>
      </c>
      <c r="U519" s="155">
        <v>6579</v>
      </c>
      <c r="V519" s="155"/>
      <c r="AA519" s="180" t="str">
        <f>VLOOKUP(A519,[2]DG!$A:$C,3,0)</f>
        <v>ÔÁng sắt tráng kẽm D168</v>
      </c>
    </row>
    <row r="520" spans="1:27" ht="20.100000000000001" hidden="1" customHeight="1">
      <c r="A520" s="872" t="s">
        <v>3668</v>
      </c>
      <c r="B520" s="859"/>
      <c r="C520" s="421" t="s">
        <v>794</v>
      </c>
      <c r="D520" s="364" t="s">
        <v>9</v>
      </c>
      <c r="E520" s="833">
        <v>25000</v>
      </c>
      <c r="F520" s="833">
        <f t="shared" si="56"/>
        <v>0</v>
      </c>
      <c r="G520" s="833">
        <f t="shared" si="57"/>
        <v>0</v>
      </c>
      <c r="H520" s="834">
        <v>1</v>
      </c>
      <c r="I520" s="835"/>
      <c r="J520" s="836"/>
      <c r="K520" s="836"/>
      <c r="L520" s="836"/>
      <c r="M520" s="836"/>
      <c r="N520" s="836"/>
      <c r="O520" s="836"/>
      <c r="P520" s="836"/>
      <c r="Q520" s="836"/>
      <c r="R520" s="837">
        <v>1</v>
      </c>
      <c r="T520" s="155">
        <v>25000</v>
      </c>
      <c r="U520" s="155"/>
      <c r="V520" s="155"/>
      <c r="AA520" s="180" t="str">
        <f>VLOOKUP(A520,[2]DG!$A:$C,3,0)</f>
        <v>Măng sông STK 114</v>
      </c>
    </row>
    <row r="521" spans="1:27" ht="20.100000000000001" hidden="1" customHeight="1">
      <c r="A521" s="872" t="s">
        <v>3669</v>
      </c>
      <c r="B521" s="860"/>
      <c r="C521" s="421" t="s">
        <v>795</v>
      </c>
      <c r="D521" s="364" t="s">
        <v>9</v>
      </c>
      <c r="E521" s="833">
        <v>7000</v>
      </c>
      <c r="F521" s="833">
        <f t="shared" si="56"/>
        <v>0</v>
      </c>
      <c r="G521" s="833">
        <f t="shared" si="57"/>
        <v>0</v>
      </c>
      <c r="H521" s="834">
        <v>1</v>
      </c>
      <c r="I521" s="835"/>
      <c r="J521" s="836"/>
      <c r="K521" s="836"/>
      <c r="L521" s="836"/>
      <c r="M521" s="836"/>
      <c r="N521" s="836"/>
      <c r="O521" s="836"/>
      <c r="P521" s="836"/>
      <c r="Q521" s="836"/>
      <c r="R521" s="837">
        <v>1</v>
      </c>
      <c r="T521" s="155">
        <v>7000</v>
      </c>
      <c r="U521" s="155"/>
      <c r="V521" s="155"/>
      <c r="AA521" s="180" t="str">
        <f>VLOOKUP(A521,[2]DG!$A:$C,3,0)</f>
        <v>Măng sông STK 90</v>
      </c>
    </row>
    <row r="522" spans="1:27" ht="20.100000000000001" hidden="1" customHeight="1">
      <c r="A522" s="872" t="s">
        <v>796</v>
      </c>
      <c r="B522" s="860">
        <v>0</v>
      </c>
      <c r="C522" s="416" t="s">
        <v>797</v>
      </c>
      <c r="D522" s="364" t="s">
        <v>9</v>
      </c>
      <c r="E522" s="833">
        <v>5300</v>
      </c>
      <c r="F522" s="833">
        <f t="shared" si="56"/>
        <v>0</v>
      </c>
      <c r="G522" s="833">
        <f t="shared" si="57"/>
        <v>0</v>
      </c>
      <c r="H522" s="834" t="s">
        <v>4065</v>
      </c>
      <c r="I522" s="835"/>
      <c r="J522" s="836"/>
      <c r="K522" s="836"/>
      <c r="L522" s="836"/>
      <c r="M522" s="836"/>
      <c r="N522" s="836"/>
      <c r="O522" s="836"/>
      <c r="P522" s="836"/>
      <c r="Q522" s="836"/>
      <c r="R522" s="837">
        <v>0.3</v>
      </c>
      <c r="T522" s="155">
        <v>7200</v>
      </c>
      <c r="U522" s="155">
        <v>0</v>
      </c>
      <c r="V522" s="155">
        <v>0</v>
      </c>
      <c r="AA522" s="180" t="str">
        <f>VLOOKUP(A522,[2]DG!$A:$C,3,0)</f>
        <v>Yếm cáp dày 2mm</v>
      </c>
    </row>
    <row r="523" spans="1:27" ht="20.100000000000001" customHeight="1">
      <c r="A523" s="872" t="s">
        <v>4632</v>
      </c>
      <c r="B523" s="860">
        <v>0</v>
      </c>
      <c r="C523" s="416" t="s">
        <v>4633</v>
      </c>
      <c r="D523" s="364" t="s">
        <v>9</v>
      </c>
      <c r="E523" s="833">
        <v>23500</v>
      </c>
      <c r="F523" s="833">
        <f t="shared" ref="F523" si="59">IF(OR(I523="",J523=""),0,IF(K523*1=0,1,K523)*VLOOKUP(I523,TIENLUONG,4,0)*J523)</f>
        <v>0</v>
      </c>
      <c r="G523" s="833">
        <f t="shared" ref="G523" si="60">L523*VLOOKUP($L$1,CAMAY,2,0)+M523*VLOOKUP($M$1,CAMAY,2,0)+N523*VLOOKUP($N$1,CAMAY,2,0)+O523*VLOOKUP($O$1,CAMAY,2,0)+P523*VLOOKUP($P$1,CAMAY,2,0)</f>
        <v>0</v>
      </c>
      <c r="H523" s="834" t="s">
        <v>4065</v>
      </c>
      <c r="I523" s="835"/>
      <c r="J523" s="836"/>
      <c r="K523" s="836"/>
      <c r="L523" s="836"/>
      <c r="M523" s="836"/>
      <c r="N523" s="836"/>
      <c r="O523" s="836"/>
      <c r="P523" s="836"/>
      <c r="Q523" s="836"/>
      <c r="R523" s="837">
        <v>0.3</v>
      </c>
      <c r="T523" s="155">
        <v>7200</v>
      </c>
      <c r="U523" s="155">
        <v>0</v>
      </c>
      <c r="V523" s="155">
        <v>0</v>
      </c>
      <c r="AA523" s="180" t="str">
        <f>VLOOKUP(A523,[2]DG!$A:$C,3,0)</f>
        <v>Bass bắt khung rào thép mạ kẽm 5mm</v>
      </c>
    </row>
    <row r="524" spans="1:27" ht="20.100000000000001" customHeight="1">
      <c r="A524" s="872" t="s">
        <v>2793</v>
      </c>
      <c r="B524" s="860"/>
      <c r="C524" s="421"/>
      <c r="D524" s="435"/>
      <c r="E524" s="833"/>
      <c r="F524" s="833">
        <f t="shared" si="56"/>
        <v>0</v>
      </c>
      <c r="G524" s="833">
        <f t="shared" si="57"/>
        <v>0</v>
      </c>
      <c r="H524" s="834">
        <v>1</v>
      </c>
      <c r="I524" s="835"/>
      <c r="J524" s="836"/>
      <c r="K524" s="836"/>
      <c r="L524" s="836"/>
      <c r="M524" s="836"/>
      <c r="N524" s="836"/>
      <c r="O524" s="836"/>
      <c r="P524" s="836"/>
      <c r="Q524" s="836"/>
      <c r="R524" s="837">
        <v>1</v>
      </c>
      <c r="T524" s="435"/>
      <c r="U524" s="155"/>
      <c r="V524" s="430"/>
      <c r="AA524" s="180">
        <f>VLOOKUP(A524,[2]DG!$A:$C,3,0)</f>
        <v>0</v>
      </c>
    </row>
    <row r="525" spans="1:27" ht="20.100000000000001" customHeight="1">
      <c r="A525" s="872" t="s">
        <v>3670</v>
      </c>
      <c r="B525" s="860"/>
      <c r="C525" s="421"/>
      <c r="D525" s="435"/>
      <c r="E525" s="833"/>
      <c r="F525" s="833">
        <f t="shared" si="56"/>
        <v>0</v>
      </c>
      <c r="G525" s="833">
        <f t="shared" si="57"/>
        <v>0</v>
      </c>
      <c r="H525" s="834">
        <v>1</v>
      </c>
      <c r="I525" s="835"/>
      <c r="J525" s="836"/>
      <c r="K525" s="836"/>
      <c r="L525" s="836"/>
      <c r="M525" s="836"/>
      <c r="N525" s="836"/>
      <c r="O525" s="836"/>
      <c r="P525" s="836"/>
      <c r="Q525" s="836"/>
      <c r="R525" s="837"/>
      <c r="T525" s="435"/>
      <c r="U525" s="155"/>
      <c r="V525" s="430"/>
      <c r="AA525" s="180">
        <f>VLOOKUP(A525,[2]DG!$A:$C,3,0)</f>
        <v>0</v>
      </c>
    </row>
    <row r="526" spans="1:27" ht="20.100000000000001" customHeight="1">
      <c r="A526" s="851" t="s">
        <v>4767</v>
      </c>
      <c r="B526" s="858"/>
      <c r="C526" s="851"/>
      <c r="D526" s="852"/>
      <c r="E526" s="846"/>
      <c r="F526" s="846">
        <f t="shared" ref="F526:F589" si="61">IF(OR(I526="",J526=""),0,IF(K526*1=0,1,K526)*VLOOKUP(I526,TIENLUONG,4,0)*J526)</f>
        <v>0</v>
      </c>
      <c r="G526" s="846">
        <f t="shared" ref="G526:G589" si="62">L526*VLOOKUP($L$1,CAMAY,2,0)+M526*VLOOKUP($M$1,CAMAY,2,0)+N526*VLOOKUP($N$1,CAMAY,2,0)+O526*VLOOKUP($O$1,CAMAY,2,0)+P526*VLOOKUP($P$1,CAMAY,2,0)</f>
        <v>0</v>
      </c>
      <c r="H526" s="847">
        <v>1</v>
      </c>
      <c r="I526" s="848"/>
      <c r="J526" s="849"/>
      <c r="K526" s="849"/>
      <c r="L526" s="849"/>
      <c r="M526" s="849"/>
      <c r="N526" s="849"/>
      <c r="O526" s="849"/>
      <c r="P526" s="849"/>
      <c r="Q526" s="849"/>
      <c r="R526" s="850"/>
      <c r="T526" s="435"/>
      <c r="U526" s="155"/>
      <c r="V526" s="430"/>
      <c r="AA526" s="180">
        <f>VLOOKUP(A526,[2]DG!$A:$C,3,0)</f>
        <v>0</v>
      </c>
    </row>
    <row r="527" spans="1:27" ht="20.100000000000001" customHeight="1">
      <c r="A527" s="872" t="s">
        <v>3670</v>
      </c>
      <c r="B527" s="860"/>
      <c r="C527" s="421"/>
      <c r="D527" s="435"/>
      <c r="E527" s="833"/>
      <c r="F527" s="833">
        <f t="shared" si="61"/>
        <v>0</v>
      </c>
      <c r="G527" s="833">
        <f t="shared" si="62"/>
        <v>0</v>
      </c>
      <c r="H527" s="834">
        <v>1</v>
      </c>
      <c r="I527" s="835"/>
      <c r="J527" s="836"/>
      <c r="K527" s="836"/>
      <c r="L527" s="836"/>
      <c r="M527" s="836"/>
      <c r="N527" s="836"/>
      <c r="O527" s="836"/>
      <c r="P527" s="836"/>
      <c r="Q527" s="836"/>
      <c r="R527" s="837"/>
      <c r="T527" s="435"/>
      <c r="U527" s="155"/>
      <c r="V527" s="430"/>
      <c r="AA527" s="180">
        <f>VLOOKUP(A527,[2]DG!$A:$C,3,0)</f>
        <v>0</v>
      </c>
    </row>
    <row r="528" spans="1:27" ht="20.100000000000001" hidden="1" customHeight="1">
      <c r="A528" s="877" t="s">
        <v>2137</v>
      </c>
      <c r="B528" s="862" t="s">
        <v>1</v>
      </c>
      <c r="C528" s="362" t="s">
        <v>798</v>
      </c>
      <c r="D528" s="363" t="s">
        <v>2</v>
      </c>
      <c r="E528" s="833" t="s">
        <v>3</v>
      </c>
      <c r="F528" s="833">
        <f t="shared" si="61"/>
        <v>0</v>
      </c>
      <c r="G528" s="833">
        <f t="shared" si="62"/>
        <v>0</v>
      </c>
      <c r="H528" s="834">
        <v>1</v>
      </c>
      <c r="I528" s="835"/>
      <c r="J528" s="836"/>
      <c r="K528" s="836"/>
      <c r="L528" s="836"/>
      <c r="M528" s="836"/>
      <c r="N528" s="836"/>
      <c r="O528" s="836"/>
      <c r="P528" s="836"/>
      <c r="Q528" s="836"/>
      <c r="R528" s="837"/>
      <c r="T528" s="364" t="s">
        <v>3</v>
      </c>
      <c r="U528" s="363" t="s">
        <v>4</v>
      </c>
      <c r="V528" s="366" t="s">
        <v>5</v>
      </c>
      <c r="AA528" s="180" t="str">
        <f>VLOOKUP(A528,[2]DG!$A:$C,3,0)</f>
        <v>Công việc</v>
      </c>
    </row>
    <row r="529" spans="1:27" ht="20.100000000000001" customHeight="1">
      <c r="A529" s="877" t="s">
        <v>3671</v>
      </c>
      <c r="B529" s="862">
        <v>2</v>
      </c>
      <c r="C529" s="362">
        <v>3</v>
      </c>
      <c r="D529" s="363">
        <v>4</v>
      </c>
      <c r="E529" s="833" t="s">
        <v>2450</v>
      </c>
      <c r="F529" s="833">
        <f t="shared" si="61"/>
        <v>0</v>
      </c>
      <c r="G529" s="833">
        <f t="shared" si="62"/>
        <v>0</v>
      </c>
      <c r="H529" s="834">
        <v>1</v>
      </c>
      <c r="I529" s="835"/>
      <c r="J529" s="836"/>
      <c r="K529" s="836"/>
      <c r="L529" s="836"/>
      <c r="M529" s="836"/>
      <c r="N529" s="836"/>
      <c r="O529" s="836"/>
      <c r="P529" s="836"/>
      <c r="Q529" s="836"/>
      <c r="R529" s="837"/>
      <c r="T529" s="367" t="s">
        <v>2450</v>
      </c>
      <c r="U529" s="368">
        <v>6</v>
      </c>
      <c r="V529" s="369">
        <v>7</v>
      </c>
      <c r="AA529" s="180">
        <f>VLOOKUP(A529,[2]DG!$A:$C,3,0)</f>
        <v>3</v>
      </c>
    </row>
    <row r="530" spans="1:27" ht="20.100000000000001" hidden="1" customHeight="1">
      <c r="A530" s="874" t="s">
        <v>799</v>
      </c>
      <c r="B530" s="859" t="s">
        <v>800</v>
      </c>
      <c r="C530" s="416" t="s">
        <v>801</v>
      </c>
      <c r="D530" s="364" t="s">
        <v>476</v>
      </c>
      <c r="E530" s="833"/>
      <c r="F530" s="833">
        <f t="shared" si="61"/>
        <v>0</v>
      </c>
      <c r="G530" s="833">
        <f t="shared" si="62"/>
        <v>0</v>
      </c>
      <c r="H530" s="834">
        <v>1</v>
      </c>
      <c r="I530" s="835"/>
      <c r="J530" s="836"/>
      <c r="K530" s="836"/>
      <c r="L530" s="836"/>
      <c r="M530" s="836"/>
      <c r="N530" s="836"/>
      <c r="O530" s="836"/>
      <c r="P530" s="836"/>
      <c r="Q530" s="836"/>
      <c r="R530" s="837"/>
      <c r="T530" s="155"/>
      <c r="U530" s="155">
        <v>117655</v>
      </c>
      <c r="V530" s="430"/>
      <c r="AA530" s="180" t="str">
        <f>VLOOKUP(A530,[2]DG!$A:$C,3,0)</f>
        <v>Phá đá chân hố móng, đá cấp I</v>
      </c>
    </row>
    <row r="531" spans="1:27" ht="20.100000000000001" hidden="1" customHeight="1">
      <c r="A531" s="874" t="s">
        <v>802</v>
      </c>
      <c r="B531" s="859" t="s">
        <v>800</v>
      </c>
      <c r="C531" s="416" t="s">
        <v>803</v>
      </c>
      <c r="D531" s="364" t="s">
        <v>476</v>
      </c>
      <c r="E531" s="833"/>
      <c r="F531" s="833">
        <f t="shared" si="61"/>
        <v>0</v>
      </c>
      <c r="G531" s="833">
        <f t="shared" si="62"/>
        <v>0</v>
      </c>
      <c r="H531" s="834">
        <v>1</v>
      </c>
      <c r="I531" s="835"/>
      <c r="J531" s="836"/>
      <c r="K531" s="836"/>
      <c r="L531" s="836"/>
      <c r="M531" s="836"/>
      <c r="N531" s="836"/>
      <c r="O531" s="836"/>
      <c r="P531" s="836"/>
      <c r="Q531" s="836"/>
      <c r="R531" s="837"/>
      <c r="T531" s="155"/>
      <c r="U531" s="155">
        <v>93946</v>
      </c>
      <c r="V531" s="430"/>
      <c r="AA531" s="180" t="str">
        <f>VLOOKUP(A531,[2]DG!$A:$C,3,0)</f>
        <v>Phá đá chân hố móng, đá cấp II</v>
      </c>
    </row>
    <row r="532" spans="1:27" ht="20.100000000000001" hidden="1" customHeight="1">
      <c r="A532" s="874" t="s">
        <v>804</v>
      </c>
      <c r="B532" s="859" t="s">
        <v>805</v>
      </c>
      <c r="C532" s="416" t="s">
        <v>806</v>
      </c>
      <c r="D532" s="364" t="s">
        <v>476</v>
      </c>
      <c r="E532" s="833"/>
      <c r="F532" s="833">
        <f t="shared" si="61"/>
        <v>0</v>
      </c>
      <c r="G532" s="833">
        <f t="shared" si="62"/>
        <v>0</v>
      </c>
      <c r="H532" s="834">
        <v>1</v>
      </c>
      <c r="I532" s="835"/>
      <c r="J532" s="836"/>
      <c r="K532" s="836"/>
      <c r="L532" s="836"/>
      <c r="M532" s="836"/>
      <c r="N532" s="836"/>
      <c r="O532" s="836"/>
      <c r="P532" s="836"/>
      <c r="Q532" s="836"/>
      <c r="R532" s="837"/>
      <c r="T532" s="155"/>
      <c r="U532" s="155">
        <v>16300</v>
      </c>
      <c r="V532" s="430"/>
      <c r="AA532" s="180" t="str">
        <f>VLOOKUP(A532,[2]DG!$A:$C,3,0)</f>
        <v>Đào hố móng đất cấp 1 sâu &lt;=1m</v>
      </c>
    </row>
    <row r="533" spans="1:27" ht="20.100000000000001" hidden="1" customHeight="1">
      <c r="A533" s="873" t="s">
        <v>807</v>
      </c>
      <c r="B533" s="859" t="s">
        <v>808</v>
      </c>
      <c r="C533" s="416" t="s">
        <v>809</v>
      </c>
      <c r="D533" s="364" t="s">
        <v>476</v>
      </c>
      <c r="E533" s="833"/>
      <c r="F533" s="833">
        <f t="shared" si="61"/>
        <v>0</v>
      </c>
      <c r="G533" s="833">
        <f t="shared" si="62"/>
        <v>0</v>
      </c>
      <c r="H533" s="834">
        <v>1</v>
      </c>
      <c r="I533" s="835"/>
      <c r="J533" s="836"/>
      <c r="K533" s="836"/>
      <c r="L533" s="836"/>
      <c r="M533" s="836"/>
      <c r="N533" s="836"/>
      <c r="O533" s="836"/>
      <c r="P533" s="836"/>
      <c r="Q533" s="836"/>
      <c r="R533" s="837"/>
      <c r="T533" s="155"/>
      <c r="U533" s="155">
        <v>25191</v>
      </c>
      <c r="V533" s="430"/>
      <c r="AA533" s="180" t="str">
        <f>VLOOKUP(A533,[2]DG!$A:$C,3,0)</f>
        <v>Đào hố móng đất cấp 2 sâu &lt;=1m</v>
      </c>
    </row>
    <row r="534" spans="1:27" ht="20.100000000000001" hidden="1" customHeight="1">
      <c r="A534" s="874" t="s">
        <v>810</v>
      </c>
      <c r="B534" s="859" t="s">
        <v>4267</v>
      </c>
      <c r="C534" s="416" t="s">
        <v>811</v>
      </c>
      <c r="D534" s="364" t="s">
        <v>476</v>
      </c>
      <c r="E534" s="833"/>
      <c r="F534" s="833">
        <f t="shared" si="61"/>
        <v>418738.31999999995</v>
      </c>
      <c r="G534" s="833">
        <f t="shared" si="62"/>
        <v>0</v>
      </c>
      <c r="H534" s="834">
        <v>1</v>
      </c>
      <c r="I534" s="835" t="s">
        <v>3346</v>
      </c>
      <c r="J534" s="836">
        <v>2.34</v>
      </c>
      <c r="K534" s="836"/>
      <c r="L534" s="836"/>
      <c r="M534" s="836"/>
      <c r="N534" s="836"/>
      <c r="O534" s="836"/>
      <c r="P534" s="836"/>
      <c r="Q534" s="836"/>
      <c r="R534" s="837"/>
      <c r="T534" s="155"/>
      <c r="U534" s="155">
        <v>40898</v>
      </c>
      <c r="V534" s="430"/>
      <c r="AA534" s="180" t="str">
        <f>VLOOKUP(A534,[2]DG!$A:$C,3,0)</f>
        <v>Đào hố móng đất cấp 3 sâu &lt;=1m</v>
      </c>
    </row>
    <row r="535" spans="1:27" ht="20.100000000000001" hidden="1" customHeight="1">
      <c r="A535" s="874" t="s">
        <v>812</v>
      </c>
      <c r="B535" s="859" t="s">
        <v>813</v>
      </c>
      <c r="C535" s="416" t="s">
        <v>814</v>
      </c>
      <c r="D535" s="364" t="s">
        <v>476</v>
      </c>
      <c r="E535" s="833"/>
      <c r="F535" s="833">
        <f t="shared" si="61"/>
        <v>0</v>
      </c>
      <c r="G535" s="833">
        <f t="shared" si="62"/>
        <v>0</v>
      </c>
      <c r="H535" s="834">
        <v>1</v>
      </c>
      <c r="I535" s="835"/>
      <c r="J535" s="836"/>
      <c r="K535" s="836"/>
      <c r="L535" s="836"/>
      <c r="M535" s="836"/>
      <c r="N535" s="836"/>
      <c r="O535" s="836"/>
      <c r="P535" s="836"/>
      <c r="Q535" s="836"/>
      <c r="R535" s="837"/>
      <c r="T535" s="155"/>
      <c r="U535" s="155">
        <v>65199</v>
      </c>
      <c r="V535" s="430"/>
      <c r="AA535" s="180" t="str">
        <f>VLOOKUP(A535,[2]DG!$A:$C,3,0)</f>
        <v>Đào hố móng đất cấp 4 sâu &lt;=1m</v>
      </c>
    </row>
    <row r="536" spans="1:27" ht="20.100000000000001" hidden="1" customHeight="1">
      <c r="A536" s="874" t="s">
        <v>815</v>
      </c>
      <c r="B536" s="859" t="s">
        <v>816</v>
      </c>
      <c r="C536" s="416" t="s">
        <v>817</v>
      </c>
      <c r="D536" s="364" t="s">
        <v>476</v>
      </c>
      <c r="E536" s="833"/>
      <c r="F536" s="833">
        <f t="shared" si="61"/>
        <v>0</v>
      </c>
      <c r="G536" s="833">
        <f t="shared" si="62"/>
        <v>0</v>
      </c>
      <c r="H536" s="834">
        <v>1</v>
      </c>
      <c r="I536" s="835"/>
      <c r="J536" s="836"/>
      <c r="K536" s="836"/>
      <c r="L536" s="836"/>
      <c r="M536" s="836"/>
      <c r="N536" s="836"/>
      <c r="O536" s="836"/>
      <c r="P536" s="836"/>
      <c r="Q536" s="836"/>
      <c r="R536" s="837"/>
      <c r="T536" s="155"/>
      <c r="U536" s="155">
        <v>16776</v>
      </c>
      <c r="V536" s="430"/>
      <c r="AA536" s="180" t="str">
        <f>VLOOKUP(A536,[2]DG!$A:$C,3,0)</f>
        <v>Đào hố móng đất cấp 2 sâu &gt;1m</v>
      </c>
    </row>
    <row r="537" spans="1:27" ht="20.100000000000001" hidden="1" customHeight="1">
      <c r="A537" s="874" t="s">
        <v>818</v>
      </c>
      <c r="B537" s="859" t="s">
        <v>4267</v>
      </c>
      <c r="C537" s="416" t="s">
        <v>4270</v>
      </c>
      <c r="D537" s="364" t="s">
        <v>476</v>
      </c>
      <c r="E537" s="833">
        <v>0</v>
      </c>
      <c r="F537" s="833">
        <f t="shared" si="61"/>
        <v>418738.31999999995</v>
      </c>
      <c r="G537" s="833">
        <f t="shared" si="62"/>
        <v>0</v>
      </c>
      <c r="H537" s="834" t="s">
        <v>4065</v>
      </c>
      <c r="I537" s="835" t="s">
        <v>3346</v>
      </c>
      <c r="J537" s="836">
        <v>2.34</v>
      </c>
      <c r="K537" s="836"/>
      <c r="L537" s="836"/>
      <c r="M537" s="836"/>
      <c r="N537" s="836"/>
      <c r="O537" s="836"/>
      <c r="P537" s="836"/>
      <c r="Q537" s="836"/>
      <c r="R537" s="837"/>
      <c r="T537" s="155">
        <v>0</v>
      </c>
      <c r="U537" s="155">
        <v>142162</v>
      </c>
      <c r="V537" s="430">
        <v>0</v>
      </c>
      <c r="AA537" s="180" t="str">
        <f>VLOOKUP(A537,[2]DG!$A:$C,3,0)</f>
        <v>Đào hố móng đất cấp 3 sâu &gt;1m</v>
      </c>
    </row>
    <row r="538" spans="1:27" ht="20.100000000000001" hidden="1" customHeight="1">
      <c r="A538" s="878" t="s">
        <v>820</v>
      </c>
      <c r="B538" s="859" t="s">
        <v>819</v>
      </c>
      <c r="C538" s="421" t="s">
        <v>821</v>
      </c>
      <c r="D538" s="364" t="s">
        <v>476</v>
      </c>
      <c r="E538" s="833"/>
      <c r="F538" s="833">
        <f t="shared" si="61"/>
        <v>0</v>
      </c>
      <c r="G538" s="833">
        <f t="shared" si="62"/>
        <v>0</v>
      </c>
      <c r="H538" s="834">
        <v>1</v>
      </c>
      <c r="I538" s="835"/>
      <c r="J538" s="836"/>
      <c r="K538" s="836"/>
      <c r="L538" s="836"/>
      <c r="M538" s="836"/>
      <c r="N538" s="836"/>
      <c r="O538" s="836"/>
      <c r="P538" s="836"/>
      <c r="Q538" s="836"/>
      <c r="R538" s="837"/>
      <c r="T538" s="155"/>
      <c r="U538" s="368">
        <v>24385</v>
      </c>
      <c r="V538" s="369"/>
      <c r="AA538" s="180" t="str">
        <f>VLOOKUP(A538,[2]DG!$A:$C,3,0)</f>
        <v>Khoan cắt BT bằng máy khoan cằm tay</v>
      </c>
    </row>
    <row r="539" spans="1:27" ht="20.100000000000001" hidden="1" customHeight="1">
      <c r="A539" s="874" t="s">
        <v>822</v>
      </c>
      <c r="B539" s="859" t="s">
        <v>823</v>
      </c>
      <c r="C539" s="416" t="s">
        <v>824</v>
      </c>
      <c r="D539" s="364" t="s">
        <v>476</v>
      </c>
      <c r="E539" s="833"/>
      <c r="F539" s="833">
        <f t="shared" si="61"/>
        <v>0</v>
      </c>
      <c r="G539" s="833">
        <f t="shared" si="62"/>
        <v>0</v>
      </c>
      <c r="H539" s="834">
        <v>1</v>
      </c>
      <c r="I539" s="835"/>
      <c r="J539" s="836"/>
      <c r="K539" s="836"/>
      <c r="L539" s="836"/>
      <c r="M539" s="836"/>
      <c r="N539" s="836"/>
      <c r="O539" s="836"/>
      <c r="P539" s="836"/>
      <c r="Q539" s="836"/>
      <c r="R539" s="837"/>
      <c r="T539" s="155"/>
      <c r="U539" s="155">
        <v>67274</v>
      </c>
      <c r="V539" s="430"/>
      <c r="AA539" s="180" t="str">
        <f>VLOOKUP(A539,[2]DG!$A:$C,3,0)</f>
        <v>Đào hố móng đất cấp 4 sâu &gt;1m</v>
      </c>
    </row>
    <row r="540" spans="1:27" ht="20.100000000000001" hidden="1" customHeight="1">
      <c r="A540" s="874" t="s">
        <v>825</v>
      </c>
      <c r="B540" s="859" t="s">
        <v>826</v>
      </c>
      <c r="C540" s="416" t="s">
        <v>827</v>
      </c>
      <c r="D540" s="364" t="s">
        <v>476</v>
      </c>
      <c r="E540" s="833"/>
      <c r="F540" s="833">
        <f t="shared" si="61"/>
        <v>0</v>
      </c>
      <c r="G540" s="833">
        <f t="shared" si="62"/>
        <v>0</v>
      </c>
      <c r="H540" s="834">
        <v>1</v>
      </c>
      <c r="I540" s="835"/>
      <c r="J540" s="836"/>
      <c r="K540" s="836"/>
      <c r="L540" s="836"/>
      <c r="M540" s="836"/>
      <c r="N540" s="836"/>
      <c r="O540" s="836"/>
      <c r="P540" s="836"/>
      <c r="Q540" s="836"/>
      <c r="R540" s="837"/>
      <c r="T540" s="155"/>
      <c r="U540" s="155">
        <v>7505</v>
      </c>
      <c r="V540" s="430"/>
      <c r="AA540" s="180" t="str">
        <f>VLOOKUP(A540,[2]DG!$A:$C,3,0)</f>
        <v>Đắp đất hố móng, đất cấp 1</v>
      </c>
    </row>
    <row r="541" spans="1:27" ht="20.100000000000001" hidden="1" customHeight="1">
      <c r="A541" s="874" t="s">
        <v>828</v>
      </c>
      <c r="B541" s="859" t="s">
        <v>829</v>
      </c>
      <c r="C541" s="416" t="s">
        <v>830</v>
      </c>
      <c r="D541" s="364" t="s">
        <v>476</v>
      </c>
      <c r="E541" s="833"/>
      <c r="F541" s="833">
        <f t="shared" si="61"/>
        <v>0</v>
      </c>
      <c r="G541" s="833">
        <f t="shared" si="62"/>
        <v>0</v>
      </c>
      <c r="H541" s="834">
        <v>1</v>
      </c>
      <c r="I541" s="835"/>
      <c r="J541" s="836"/>
      <c r="K541" s="836"/>
      <c r="L541" s="836"/>
      <c r="M541" s="836"/>
      <c r="N541" s="836"/>
      <c r="O541" s="836"/>
      <c r="P541" s="836"/>
      <c r="Q541" s="836"/>
      <c r="R541" s="837"/>
      <c r="T541" s="155"/>
      <c r="U541" s="155">
        <v>9712</v>
      </c>
      <c r="V541" s="430"/>
      <c r="AA541" s="180" t="str">
        <f>VLOOKUP(A541,[2]DG!$A:$C,3,0)</f>
        <v>Đắp đất hố móng, đất cấp 2</v>
      </c>
    </row>
    <row r="542" spans="1:27" ht="20.100000000000001" hidden="1" customHeight="1">
      <c r="A542" s="874" t="s">
        <v>831</v>
      </c>
      <c r="B542" s="859" t="s">
        <v>4268</v>
      </c>
      <c r="C542" s="416" t="s">
        <v>4269</v>
      </c>
      <c r="D542" s="364" t="s">
        <v>476</v>
      </c>
      <c r="E542" s="833">
        <v>0</v>
      </c>
      <c r="F542" s="833">
        <f t="shared" si="61"/>
        <v>100210.88</v>
      </c>
      <c r="G542" s="833">
        <f t="shared" si="62"/>
        <v>0</v>
      </c>
      <c r="H542" s="834" t="s">
        <v>4065</v>
      </c>
      <c r="I542" s="835" t="s">
        <v>3346</v>
      </c>
      <c r="J542" s="836">
        <v>0.56000000000000005</v>
      </c>
      <c r="K542" s="836"/>
      <c r="L542" s="836"/>
      <c r="M542" s="836"/>
      <c r="N542" s="836"/>
      <c r="O542" s="836"/>
      <c r="P542" s="836"/>
      <c r="Q542" s="836"/>
      <c r="R542" s="837"/>
      <c r="T542" s="155"/>
      <c r="U542" s="155">
        <v>63374</v>
      </c>
      <c r="V542" s="430"/>
      <c r="AA542" s="180" t="str">
        <f>VLOOKUP(A542,[2]DG!$A:$C,3,0)</f>
        <v>Đắp đất hố móng, độ chặt k=0,95</v>
      </c>
    </row>
    <row r="543" spans="1:27" ht="20.100000000000001" hidden="1" customHeight="1">
      <c r="A543" s="874" t="s">
        <v>833</v>
      </c>
      <c r="B543" s="859" t="s">
        <v>832</v>
      </c>
      <c r="C543" s="416" t="s">
        <v>834</v>
      </c>
      <c r="D543" s="364" t="s">
        <v>476</v>
      </c>
      <c r="E543" s="833"/>
      <c r="F543" s="833">
        <f t="shared" si="61"/>
        <v>0</v>
      </c>
      <c r="G543" s="833">
        <f t="shared" si="62"/>
        <v>0</v>
      </c>
      <c r="H543" s="834">
        <v>1</v>
      </c>
      <c r="I543" s="835"/>
      <c r="J543" s="836"/>
      <c r="K543" s="836"/>
      <c r="L543" s="836"/>
      <c r="M543" s="836"/>
      <c r="N543" s="836"/>
      <c r="O543" s="836"/>
      <c r="P543" s="836"/>
      <c r="Q543" s="836"/>
      <c r="R543" s="837"/>
      <c r="T543" s="155"/>
      <c r="U543" s="155">
        <v>21931</v>
      </c>
      <c r="V543" s="430"/>
      <c r="AA543" s="180" t="str">
        <f>VLOOKUP(A543,[2]DG!$A:$C,3,0)</f>
        <v>Đắp đất hố móng, đất cấp 4</v>
      </c>
    </row>
    <row r="544" spans="1:27" ht="20.100000000000001" hidden="1" customHeight="1">
      <c r="A544" s="873" t="s">
        <v>835</v>
      </c>
      <c r="B544" s="859" t="s">
        <v>836</v>
      </c>
      <c r="C544" s="416" t="s">
        <v>837</v>
      </c>
      <c r="D544" s="364" t="s">
        <v>476</v>
      </c>
      <c r="E544" s="833"/>
      <c r="F544" s="833">
        <f t="shared" si="61"/>
        <v>0</v>
      </c>
      <c r="G544" s="833">
        <f t="shared" si="62"/>
        <v>0</v>
      </c>
      <c r="H544" s="834">
        <v>1</v>
      </c>
      <c r="I544" s="835"/>
      <c r="J544" s="836"/>
      <c r="K544" s="836"/>
      <c r="L544" s="836"/>
      <c r="M544" s="836"/>
      <c r="N544" s="836"/>
      <c r="O544" s="836"/>
      <c r="P544" s="836"/>
      <c r="Q544" s="836"/>
      <c r="R544" s="837"/>
      <c r="T544" s="155"/>
      <c r="U544" s="155">
        <v>29636</v>
      </c>
      <c r="V544" s="430"/>
      <c r="AA544" s="180" t="str">
        <f>VLOOKUP(A544,[2]DG!$A:$C,3,0)</f>
        <v>Đào mương cáp ngầm đất cấp 2</v>
      </c>
    </row>
    <row r="545" spans="1:27" ht="20.100000000000001" hidden="1" customHeight="1">
      <c r="A545" s="873" t="s">
        <v>838</v>
      </c>
      <c r="B545" s="859" t="s">
        <v>839</v>
      </c>
      <c r="C545" s="416" t="s">
        <v>840</v>
      </c>
      <c r="D545" s="364" t="s">
        <v>476</v>
      </c>
      <c r="E545" s="833"/>
      <c r="F545" s="833">
        <f t="shared" si="61"/>
        <v>0</v>
      </c>
      <c r="G545" s="833">
        <f t="shared" si="62"/>
        <v>0</v>
      </c>
      <c r="H545" s="834">
        <v>1</v>
      </c>
      <c r="I545" s="835"/>
      <c r="J545" s="836"/>
      <c r="K545" s="836"/>
      <c r="L545" s="836"/>
      <c r="M545" s="836"/>
      <c r="N545" s="836"/>
      <c r="O545" s="836"/>
      <c r="P545" s="836"/>
      <c r="Q545" s="836"/>
      <c r="R545" s="837"/>
      <c r="T545" s="155"/>
      <c r="U545" s="155">
        <v>44158</v>
      </c>
      <c r="V545" s="430"/>
      <c r="AA545" s="180" t="str">
        <f>VLOOKUP(A545,[2]DG!$A:$C,3,0)</f>
        <v>Đào mương cáp ngầm đất cấp 3</v>
      </c>
    </row>
    <row r="546" spans="1:27" ht="20.100000000000001" hidden="1" customHeight="1">
      <c r="A546" s="873" t="s">
        <v>841</v>
      </c>
      <c r="B546" s="859" t="s">
        <v>842</v>
      </c>
      <c r="C546" s="416" t="s">
        <v>843</v>
      </c>
      <c r="D546" s="364" t="s">
        <v>476</v>
      </c>
      <c r="E546" s="833"/>
      <c r="F546" s="833">
        <f t="shared" si="61"/>
        <v>0</v>
      </c>
      <c r="G546" s="833">
        <f t="shared" si="62"/>
        <v>0</v>
      </c>
      <c r="H546" s="834">
        <v>1</v>
      </c>
      <c r="I546" s="835"/>
      <c r="J546" s="836"/>
      <c r="K546" s="836"/>
      <c r="L546" s="836"/>
      <c r="M546" s="836"/>
      <c r="N546" s="836"/>
      <c r="O546" s="836"/>
      <c r="P546" s="836"/>
      <c r="Q546" s="836"/>
      <c r="R546" s="837"/>
      <c r="T546" s="155"/>
      <c r="U546" s="155">
        <v>67274</v>
      </c>
      <c r="V546" s="430"/>
      <c r="AA546" s="180" t="str">
        <f>VLOOKUP(A546,[2]DG!$A:$C,3,0)</f>
        <v>Đào mương cáp ngầm đất cấp 4</v>
      </c>
    </row>
    <row r="547" spans="1:27" ht="20.100000000000001" hidden="1" customHeight="1">
      <c r="A547" s="873" t="s">
        <v>844</v>
      </c>
      <c r="B547" s="859" t="s">
        <v>845</v>
      </c>
      <c r="C547" s="416" t="s">
        <v>846</v>
      </c>
      <c r="D547" s="364" t="s">
        <v>476</v>
      </c>
      <c r="E547" s="833"/>
      <c r="F547" s="833">
        <f t="shared" si="61"/>
        <v>0</v>
      </c>
      <c r="G547" s="833">
        <f t="shared" si="62"/>
        <v>0</v>
      </c>
      <c r="H547" s="834">
        <v>1</v>
      </c>
      <c r="I547" s="835"/>
      <c r="J547" s="836"/>
      <c r="K547" s="836"/>
      <c r="L547" s="836"/>
      <c r="M547" s="836"/>
      <c r="N547" s="836"/>
      <c r="O547" s="836"/>
      <c r="P547" s="836"/>
      <c r="Q547" s="836"/>
      <c r="R547" s="837"/>
      <c r="T547" s="155"/>
      <c r="U547" s="155">
        <v>17485</v>
      </c>
      <c r="V547" s="430"/>
      <c r="AA547" s="180" t="str">
        <f>VLOOKUP(A547,[2]DG!$A:$C,3,0)</f>
        <v>Đắp đất mương cáp ngầm, đất cấp 2</v>
      </c>
    </row>
    <row r="548" spans="1:27" ht="20.100000000000001" hidden="1" customHeight="1">
      <c r="A548" s="873" t="s">
        <v>847</v>
      </c>
      <c r="B548" s="859" t="s">
        <v>848</v>
      </c>
      <c r="C548" s="416" t="s">
        <v>849</v>
      </c>
      <c r="D548" s="364" t="s">
        <v>476</v>
      </c>
      <c r="E548" s="833"/>
      <c r="F548" s="833">
        <f t="shared" si="61"/>
        <v>0</v>
      </c>
      <c r="G548" s="833">
        <f t="shared" si="62"/>
        <v>0</v>
      </c>
      <c r="H548" s="834">
        <v>1</v>
      </c>
      <c r="I548" s="835"/>
      <c r="J548" s="836"/>
      <c r="K548" s="836"/>
      <c r="L548" s="836"/>
      <c r="M548" s="836"/>
      <c r="N548" s="836"/>
      <c r="O548" s="836"/>
      <c r="P548" s="836"/>
      <c r="Q548" s="836"/>
      <c r="R548" s="837"/>
      <c r="T548" s="155"/>
      <c r="U548" s="155">
        <v>20152</v>
      </c>
      <c r="V548" s="430"/>
      <c r="AA548" s="180" t="str">
        <f>VLOOKUP(A548,[2]DG!$A:$C,3,0)</f>
        <v>Đắp đất mương cáp ngầm, đất cấp 3</v>
      </c>
    </row>
    <row r="549" spans="1:27" ht="20.100000000000001" hidden="1" customHeight="1">
      <c r="A549" s="873" t="s">
        <v>850</v>
      </c>
      <c r="B549" s="859" t="s">
        <v>848</v>
      </c>
      <c r="C549" s="416" t="s">
        <v>851</v>
      </c>
      <c r="D549" s="364" t="s">
        <v>476</v>
      </c>
      <c r="E549" s="833"/>
      <c r="F549" s="833">
        <f t="shared" si="61"/>
        <v>0</v>
      </c>
      <c r="G549" s="833">
        <f t="shared" si="62"/>
        <v>0</v>
      </c>
      <c r="H549" s="834">
        <v>1</v>
      </c>
      <c r="I549" s="835"/>
      <c r="J549" s="836"/>
      <c r="K549" s="836"/>
      <c r="L549" s="836"/>
      <c r="M549" s="836"/>
      <c r="N549" s="836"/>
      <c r="O549" s="836"/>
      <c r="P549" s="836"/>
      <c r="Q549" s="836"/>
      <c r="R549" s="837"/>
      <c r="T549" s="155"/>
      <c r="U549" s="155">
        <v>20152</v>
      </c>
      <c r="V549" s="430"/>
      <c r="AA549" s="180" t="str">
        <f>VLOOKUP(A549,[2]DG!$A:$C,3,0)</f>
        <v>Đắp đất mương cáp ngầm, đất cấp 4</v>
      </c>
    </row>
    <row r="550" spans="1:27" ht="20.100000000000001" hidden="1" customHeight="1">
      <c r="A550" s="873" t="s">
        <v>852</v>
      </c>
      <c r="B550" s="859" t="s">
        <v>853</v>
      </c>
      <c r="C550" s="421" t="s">
        <v>854</v>
      </c>
      <c r="D550" s="364" t="s">
        <v>476</v>
      </c>
      <c r="E550" s="833"/>
      <c r="F550" s="833">
        <f t="shared" si="61"/>
        <v>0</v>
      </c>
      <c r="G550" s="833">
        <f t="shared" si="62"/>
        <v>0</v>
      </c>
      <c r="H550" s="834">
        <v>1</v>
      </c>
      <c r="I550" s="835"/>
      <c r="J550" s="836"/>
      <c r="K550" s="836"/>
      <c r="L550" s="836"/>
      <c r="M550" s="836"/>
      <c r="N550" s="836"/>
      <c r="O550" s="836"/>
      <c r="P550" s="836"/>
      <c r="Q550" s="836"/>
      <c r="R550" s="837"/>
      <c r="T550" s="155"/>
      <c r="U550" s="155">
        <v>18374</v>
      </c>
      <c r="V550" s="430"/>
      <c r="AA550" s="180" t="str">
        <f>VLOOKUP(A550,[2]DG!$A:$C,3,0)</f>
        <v xml:space="preserve">Đắp cát </v>
      </c>
    </row>
    <row r="551" spans="1:27" ht="20.100000000000001" hidden="1" customHeight="1">
      <c r="A551" s="873" t="s">
        <v>3672</v>
      </c>
      <c r="B551" s="859" t="s">
        <v>853</v>
      </c>
      <c r="C551" s="421" t="s">
        <v>855</v>
      </c>
      <c r="D551" s="364" t="s">
        <v>476</v>
      </c>
      <c r="E551" s="833"/>
      <c r="F551" s="833">
        <f t="shared" si="61"/>
        <v>0</v>
      </c>
      <c r="G551" s="833">
        <f t="shared" si="62"/>
        <v>0</v>
      </c>
      <c r="H551" s="834">
        <v>1</v>
      </c>
      <c r="I551" s="835"/>
      <c r="J551" s="836"/>
      <c r="K551" s="836"/>
      <c r="L551" s="836"/>
      <c r="M551" s="836"/>
      <c r="N551" s="836"/>
      <c r="O551" s="836"/>
      <c r="P551" s="836"/>
      <c r="Q551" s="836"/>
      <c r="R551" s="837"/>
      <c r="T551" s="155"/>
      <c r="U551" s="155">
        <v>18374</v>
      </c>
      <c r="V551" s="430"/>
      <c r="AA551" s="180" t="str">
        <f>VLOOKUP(A551,[2]DG!$A:$C,3,0)</f>
        <v>Đắp đá 1x2</v>
      </c>
    </row>
    <row r="552" spans="1:27" ht="20.100000000000001" hidden="1" customHeight="1">
      <c r="A552" s="873" t="s">
        <v>3673</v>
      </c>
      <c r="B552" s="859" t="s">
        <v>853</v>
      </c>
      <c r="C552" s="421" t="s">
        <v>856</v>
      </c>
      <c r="D552" s="364" t="s">
        <v>476</v>
      </c>
      <c r="E552" s="833"/>
      <c r="F552" s="833">
        <f t="shared" si="61"/>
        <v>0</v>
      </c>
      <c r="G552" s="833">
        <f t="shared" si="62"/>
        <v>0</v>
      </c>
      <c r="H552" s="834">
        <v>1</v>
      </c>
      <c r="I552" s="835"/>
      <c r="J552" s="836"/>
      <c r="K552" s="836"/>
      <c r="L552" s="836"/>
      <c r="M552" s="836"/>
      <c r="N552" s="836"/>
      <c r="O552" s="836"/>
      <c r="P552" s="836"/>
      <c r="Q552" s="836"/>
      <c r="R552" s="837"/>
      <c r="T552" s="155"/>
      <c r="U552" s="155">
        <v>18374</v>
      </c>
      <c r="V552" s="430"/>
      <c r="AA552" s="180" t="str">
        <f>VLOOKUP(A552,[2]DG!$A:$C,3,0)</f>
        <v>Đắp đá 2x4</v>
      </c>
    </row>
    <row r="553" spans="1:27" ht="20.100000000000001" hidden="1" customHeight="1">
      <c r="A553" s="873" t="s">
        <v>857</v>
      </c>
      <c r="B553" s="859" t="s">
        <v>836</v>
      </c>
      <c r="C553" s="421" t="s">
        <v>858</v>
      </c>
      <c r="D553" s="364" t="s">
        <v>476</v>
      </c>
      <c r="E553" s="833"/>
      <c r="F553" s="833">
        <f t="shared" si="61"/>
        <v>0</v>
      </c>
      <c r="G553" s="833">
        <f t="shared" si="62"/>
        <v>0</v>
      </c>
      <c r="H553" s="834">
        <v>1</v>
      </c>
      <c r="I553" s="835"/>
      <c r="J553" s="836"/>
      <c r="K553" s="836"/>
      <c r="L553" s="836"/>
      <c r="M553" s="836"/>
      <c r="N553" s="836"/>
      <c r="O553" s="836"/>
      <c r="P553" s="836"/>
      <c r="Q553" s="836"/>
      <c r="R553" s="837"/>
      <c r="T553" s="155"/>
      <c r="U553" s="155">
        <v>29636</v>
      </c>
      <c r="V553" s="430"/>
      <c r="AA553" s="180" t="str">
        <f>VLOOKUP(A553,[2]DG!$A:$C,3,0)</f>
        <v>Đào rãnh tiếp địa đất cấp 2</v>
      </c>
    </row>
    <row r="554" spans="1:27" ht="20.100000000000001" hidden="1" customHeight="1">
      <c r="A554" s="873" t="s">
        <v>859</v>
      </c>
      <c r="B554" s="859" t="s">
        <v>4273</v>
      </c>
      <c r="C554" s="421" t="s">
        <v>4432</v>
      </c>
      <c r="D554" s="364" t="s">
        <v>476</v>
      </c>
      <c r="E554" s="833">
        <v>0</v>
      </c>
      <c r="F554" s="833">
        <f t="shared" si="61"/>
        <v>241579.80000000002</v>
      </c>
      <c r="G554" s="833">
        <f t="shared" si="62"/>
        <v>0</v>
      </c>
      <c r="H554" s="834" t="s">
        <v>4065</v>
      </c>
      <c r="I554" s="835" t="s">
        <v>3346</v>
      </c>
      <c r="J554" s="836">
        <v>1.35</v>
      </c>
      <c r="K554" s="836"/>
      <c r="L554" s="836"/>
      <c r="M554" s="836"/>
      <c r="N554" s="836"/>
      <c r="O554" s="836"/>
      <c r="P554" s="836"/>
      <c r="Q554" s="836"/>
      <c r="R554" s="837"/>
      <c r="T554" s="155">
        <v>0</v>
      </c>
      <c r="U554" s="155">
        <v>142162</v>
      </c>
      <c r="V554" s="430">
        <v>0</v>
      </c>
      <c r="AA554" s="180" t="str">
        <f>VLOOKUP(A554,[2]DG!$A:$C,3,0)</f>
        <v>Đào rãnh tiếp địa đất cấp 3</v>
      </c>
    </row>
    <row r="555" spans="1:27" ht="20.100000000000001" hidden="1" customHeight="1">
      <c r="A555" s="873" t="s">
        <v>860</v>
      </c>
      <c r="B555" s="859" t="s">
        <v>839</v>
      </c>
      <c r="C555" s="421" t="s">
        <v>861</v>
      </c>
      <c r="D555" s="364" t="s">
        <v>476</v>
      </c>
      <c r="E555" s="833"/>
      <c r="F555" s="833">
        <f t="shared" si="61"/>
        <v>0</v>
      </c>
      <c r="G555" s="833">
        <f t="shared" si="62"/>
        <v>0</v>
      </c>
      <c r="H555" s="834">
        <v>1</v>
      </c>
      <c r="I555" s="835"/>
      <c r="J555" s="836"/>
      <c r="K555" s="836"/>
      <c r="L555" s="836"/>
      <c r="M555" s="836"/>
      <c r="N555" s="836"/>
      <c r="O555" s="836"/>
      <c r="P555" s="836"/>
      <c r="Q555" s="836"/>
      <c r="R555" s="837"/>
      <c r="T555" s="155"/>
      <c r="U555" s="155">
        <v>67274</v>
      </c>
      <c r="V555" s="430"/>
      <c r="AA555" s="180" t="str">
        <f>VLOOKUP(A555,[2]DG!$A:$C,3,0)</f>
        <v>Đào rãnh tiếp địa đất cấp 4</v>
      </c>
    </row>
    <row r="556" spans="1:27" ht="20.100000000000001" hidden="1" customHeight="1">
      <c r="A556" s="873" t="s">
        <v>862</v>
      </c>
      <c r="B556" s="859" t="s">
        <v>845</v>
      </c>
      <c r="C556" s="416" t="s">
        <v>863</v>
      </c>
      <c r="D556" s="364" t="s">
        <v>476</v>
      </c>
      <c r="E556" s="833"/>
      <c r="F556" s="833">
        <f t="shared" si="61"/>
        <v>0</v>
      </c>
      <c r="G556" s="833">
        <f t="shared" si="62"/>
        <v>0</v>
      </c>
      <c r="H556" s="834">
        <v>1</v>
      </c>
      <c r="I556" s="835"/>
      <c r="J556" s="836"/>
      <c r="K556" s="836"/>
      <c r="L556" s="836"/>
      <c r="M556" s="836"/>
      <c r="N556" s="836"/>
      <c r="O556" s="836"/>
      <c r="P556" s="836"/>
      <c r="Q556" s="836"/>
      <c r="R556" s="837"/>
      <c r="T556" s="155"/>
      <c r="U556" s="155">
        <v>17485</v>
      </c>
      <c r="V556" s="430"/>
      <c r="AA556" s="180" t="str">
        <f>VLOOKUP(A556,[2]DG!$A:$C,3,0)</f>
        <v>Đắp đất rãnh tiếp địa cấp 2</v>
      </c>
    </row>
    <row r="557" spans="1:27" ht="20.100000000000001" hidden="1" customHeight="1">
      <c r="A557" s="873" t="s">
        <v>864</v>
      </c>
      <c r="B557" s="859" t="s">
        <v>4272</v>
      </c>
      <c r="C557" s="416" t="s">
        <v>4433</v>
      </c>
      <c r="D557" s="364" t="s">
        <v>476</v>
      </c>
      <c r="E557" s="833">
        <v>0</v>
      </c>
      <c r="F557" s="833">
        <f t="shared" si="61"/>
        <v>107368.8</v>
      </c>
      <c r="G557" s="833">
        <f t="shared" si="62"/>
        <v>0</v>
      </c>
      <c r="H557" s="834" t="s">
        <v>4065</v>
      </c>
      <c r="I557" s="835" t="s">
        <v>3346</v>
      </c>
      <c r="J557" s="836">
        <v>0.6</v>
      </c>
      <c r="K557" s="836"/>
      <c r="L557" s="836"/>
      <c r="M557" s="836"/>
      <c r="N557" s="836"/>
      <c r="O557" s="836"/>
      <c r="P557" s="836"/>
      <c r="Q557" s="836"/>
      <c r="R557" s="837"/>
      <c r="T557" s="155">
        <v>0</v>
      </c>
      <c r="U557" s="155">
        <v>63374</v>
      </c>
      <c r="V557" s="430">
        <v>0</v>
      </c>
      <c r="AA557" s="180" t="str">
        <f>VLOOKUP(A557,[2]DG!$A:$C,3,0)</f>
        <v>Đắp đất rãnh tiếp độ chặt k=0,85</v>
      </c>
    </row>
    <row r="558" spans="1:27" ht="20.100000000000001" hidden="1" customHeight="1">
      <c r="A558" s="873" t="s">
        <v>865</v>
      </c>
      <c r="B558" s="859" t="s">
        <v>848</v>
      </c>
      <c r="C558" s="416" t="s">
        <v>866</v>
      </c>
      <c r="D558" s="364" t="s">
        <v>476</v>
      </c>
      <c r="E558" s="833"/>
      <c r="F558" s="833">
        <f t="shared" si="61"/>
        <v>0</v>
      </c>
      <c r="G558" s="833">
        <f t="shared" si="62"/>
        <v>0</v>
      </c>
      <c r="H558" s="834">
        <v>1</v>
      </c>
      <c r="I558" s="835"/>
      <c r="J558" s="836"/>
      <c r="K558" s="836"/>
      <c r="L558" s="836"/>
      <c r="M558" s="836"/>
      <c r="N558" s="836"/>
      <c r="O558" s="836"/>
      <c r="P558" s="836"/>
      <c r="Q558" s="836"/>
      <c r="R558" s="837"/>
      <c r="T558" s="155"/>
      <c r="U558" s="155">
        <v>20152</v>
      </c>
      <c r="V558" s="430"/>
      <c r="AA558" s="180" t="str">
        <f>VLOOKUP(A558,[2]DG!$A:$C,3,0)</f>
        <v>Đắp đất rãnh tiếp địa cấp 4</v>
      </c>
    </row>
    <row r="559" spans="1:27" ht="20.100000000000001" hidden="1" customHeight="1">
      <c r="A559" s="873" t="s">
        <v>867</v>
      </c>
      <c r="B559" s="859" t="s">
        <v>868</v>
      </c>
      <c r="C559" s="429" t="s">
        <v>869</v>
      </c>
      <c r="D559" s="364" t="s">
        <v>37</v>
      </c>
      <c r="E559" s="833"/>
      <c r="F559" s="833">
        <f t="shared" si="61"/>
        <v>0</v>
      </c>
      <c r="G559" s="833">
        <f t="shared" si="62"/>
        <v>0</v>
      </c>
      <c r="H559" s="834">
        <v>1</v>
      </c>
      <c r="I559" s="835"/>
      <c r="J559" s="836"/>
      <c r="K559" s="836"/>
      <c r="L559" s="836"/>
      <c r="M559" s="836"/>
      <c r="N559" s="836"/>
      <c r="O559" s="836"/>
      <c r="P559" s="836"/>
      <c r="Q559" s="836"/>
      <c r="R559" s="837"/>
      <c r="T559" s="155"/>
      <c r="U559" s="155">
        <v>26505</v>
      </c>
      <c r="V559" s="430"/>
      <c r="AA559" s="180" t="str">
        <f>VLOOKUP(A559,[2]DG!$A:$C,3,0)</f>
        <v>Lắp Giá đỡ cáp</v>
      </c>
    </row>
    <row r="560" spans="1:27" ht="20.100000000000001" hidden="1" customHeight="1">
      <c r="A560" s="873" t="s">
        <v>3674</v>
      </c>
      <c r="B560" s="860" t="s">
        <v>519</v>
      </c>
      <c r="C560" s="429" t="s">
        <v>870</v>
      </c>
      <c r="D560" s="364" t="s">
        <v>37</v>
      </c>
      <c r="E560" s="833"/>
      <c r="F560" s="833">
        <f t="shared" si="61"/>
        <v>0</v>
      </c>
      <c r="G560" s="833">
        <f t="shared" si="62"/>
        <v>0</v>
      </c>
      <c r="H560" s="834">
        <v>1</v>
      </c>
      <c r="I560" s="835"/>
      <c r="J560" s="836"/>
      <c r="K560" s="836"/>
      <c r="L560" s="836"/>
      <c r="M560" s="836"/>
      <c r="N560" s="836"/>
      <c r="O560" s="836"/>
      <c r="P560" s="836"/>
      <c r="Q560" s="836"/>
      <c r="R560" s="837"/>
      <c r="T560" s="155"/>
      <c r="U560" s="155">
        <v>12978</v>
      </c>
      <c r="V560" s="430"/>
      <c r="AA560" s="180" t="str">
        <f>VLOOKUP(A560,[2]DG!$A:$C,3,0)</f>
        <v>Lắp kẹp các loại</v>
      </c>
    </row>
    <row r="561" spans="1:27" ht="20.100000000000001" hidden="1" customHeight="1">
      <c r="A561" s="873" t="s">
        <v>871</v>
      </c>
      <c r="B561" s="859" t="s">
        <v>872</v>
      </c>
      <c r="C561" s="421" t="s">
        <v>873</v>
      </c>
      <c r="D561" s="364" t="s">
        <v>765</v>
      </c>
      <c r="E561" s="833"/>
      <c r="F561" s="833">
        <f t="shared" si="61"/>
        <v>0</v>
      </c>
      <c r="G561" s="833">
        <f t="shared" si="62"/>
        <v>0</v>
      </c>
      <c r="H561" s="834">
        <v>1</v>
      </c>
      <c r="I561" s="835"/>
      <c r="J561" s="836"/>
      <c r="K561" s="836"/>
      <c r="L561" s="836"/>
      <c r="M561" s="836"/>
      <c r="N561" s="836"/>
      <c r="O561" s="836"/>
      <c r="P561" s="836"/>
      <c r="Q561" s="836"/>
      <c r="R561" s="837"/>
      <c r="T561" s="155"/>
      <c r="U561" s="155">
        <v>119</v>
      </c>
      <c r="V561" s="430"/>
      <c r="AA561" s="180" t="str">
        <f>VLOOKUP(A561,[2]DG!$A:$C,3,0)</f>
        <v>Lắp gạch làm dấu</v>
      </c>
    </row>
    <row r="562" spans="1:27" ht="20.100000000000001" hidden="1" customHeight="1">
      <c r="A562" s="873" t="s">
        <v>874</v>
      </c>
      <c r="B562" s="859"/>
      <c r="C562" s="421" t="s">
        <v>875</v>
      </c>
      <c r="D562" s="364" t="s">
        <v>476</v>
      </c>
      <c r="E562" s="833"/>
      <c r="F562" s="833">
        <f t="shared" si="61"/>
        <v>0</v>
      </c>
      <c r="G562" s="833">
        <f t="shared" si="62"/>
        <v>0</v>
      </c>
      <c r="H562" s="834">
        <v>1</v>
      </c>
      <c r="I562" s="835"/>
      <c r="J562" s="836"/>
      <c r="K562" s="836"/>
      <c r="L562" s="836"/>
      <c r="M562" s="836"/>
      <c r="N562" s="836"/>
      <c r="O562" s="836"/>
      <c r="P562" s="836"/>
      <c r="Q562" s="836"/>
      <c r="R562" s="837"/>
      <c r="T562" s="155"/>
      <c r="U562" s="155"/>
      <c r="V562" s="430"/>
      <c r="AA562" s="180" t="str">
        <f>VLOOKUP(A562,[2]DG!$A:$C,3,0)</f>
        <v>Lắp Nylon làm dấu</v>
      </c>
    </row>
    <row r="563" spans="1:27" ht="20.100000000000001" hidden="1" customHeight="1">
      <c r="A563" s="874" t="s">
        <v>876</v>
      </c>
      <c r="B563" s="859" t="s">
        <v>7</v>
      </c>
      <c r="C563" s="416" t="s">
        <v>877</v>
      </c>
      <c r="D563" s="364" t="s">
        <v>9</v>
      </c>
      <c r="E563" s="833"/>
      <c r="F563" s="833">
        <f t="shared" si="61"/>
        <v>0</v>
      </c>
      <c r="G563" s="833">
        <f t="shared" si="62"/>
        <v>0</v>
      </c>
      <c r="H563" s="834">
        <v>1</v>
      </c>
      <c r="I563" s="835"/>
      <c r="J563" s="836"/>
      <c r="K563" s="836"/>
      <c r="L563" s="836"/>
      <c r="M563" s="836"/>
      <c r="N563" s="836"/>
      <c r="O563" s="836"/>
      <c r="P563" s="836"/>
      <c r="Q563" s="836"/>
      <c r="R563" s="837"/>
      <c r="T563" s="155"/>
      <c r="U563" s="155">
        <v>22255</v>
      </c>
      <c r="V563" s="430"/>
      <c r="AA563" s="180" t="str">
        <f>VLOOKUP(A563,[2]DG!$A:$C,3,0)</f>
        <v>Móng M12</v>
      </c>
    </row>
    <row r="564" spans="1:27" ht="20.100000000000001" hidden="1" customHeight="1">
      <c r="A564" s="873" t="s">
        <v>878</v>
      </c>
      <c r="B564" s="859" t="s">
        <v>7</v>
      </c>
      <c r="C564" s="416" t="s">
        <v>879</v>
      </c>
      <c r="D564" s="364" t="s">
        <v>9</v>
      </c>
      <c r="E564" s="833"/>
      <c r="F564" s="833">
        <f t="shared" si="61"/>
        <v>0</v>
      </c>
      <c r="G564" s="833">
        <f t="shared" si="62"/>
        <v>0</v>
      </c>
      <c r="H564" s="834">
        <v>1</v>
      </c>
      <c r="I564" s="835"/>
      <c r="J564" s="836"/>
      <c r="K564" s="836"/>
      <c r="L564" s="836"/>
      <c r="M564" s="836"/>
      <c r="N564" s="836"/>
      <c r="O564" s="836"/>
      <c r="P564" s="836"/>
      <c r="Q564" s="836"/>
      <c r="R564" s="837"/>
      <c r="T564" s="155"/>
      <c r="U564" s="155">
        <v>48765</v>
      </c>
      <c r="V564" s="430"/>
      <c r="AA564" s="180" t="str">
        <f>VLOOKUP(A564,[2]DG!$A:$C,3,0)</f>
        <v>Đặt đà cản 1,5m</v>
      </c>
    </row>
    <row r="565" spans="1:27" ht="20.100000000000001" hidden="1" customHeight="1">
      <c r="A565" s="873" t="s">
        <v>880</v>
      </c>
      <c r="B565" s="859" t="s">
        <v>13</v>
      </c>
      <c r="C565" s="416" t="s">
        <v>881</v>
      </c>
      <c r="D565" s="364" t="s">
        <v>9</v>
      </c>
      <c r="E565" s="833"/>
      <c r="F565" s="833">
        <f t="shared" si="61"/>
        <v>0</v>
      </c>
      <c r="G565" s="833">
        <f t="shared" si="62"/>
        <v>0</v>
      </c>
      <c r="H565" s="834">
        <v>1</v>
      </c>
      <c r="I565" s="835"/>
      <c r="J565" s="836"/>
      <c r="K565" s="836"/>
      <c r="L565" s="836"/>
      <c r="M565" s="836"/>
      <c r="N565" s="836"/>
      <c r="O565" s="836"/>
      <c r="P565" s="836"/>
      <c r="Q565" s="836"/>
      <c r="R565" s="837"/>
      <c r="T565" s="155"/>
      <c r="U565" s="155">
        <v>48765</v>
      </c>
      <c r="V565" s="430"/>
      <c r="AA565" s="180" t="str">
        <f>VLOOKUP(A565,[2]DG!$A:$C,3,0)</f>
        <v xml:space="preserve">Đặt đà cản 2,5m </v>
      </c>
    </row>
    <row r="566" spans="1:27" ht="20.100000000000001" hidden="1" customHeight="1">
      <c r="A566" s="873" t="s">
        <v>882</v>
      </c>
      <c r="B566" s="859" t="s">
        <v>169</v>
      </c>
      <c r="C566" s="421" t="s">
        <v>883</v>
      </c>
      <c r="D566" s="364" t="s">
        <v>171</v>
      </c>
      <c r="E566" s="833"/>
      <c r="F566" s="833">
        <f t="shared" si="61"/>
        <v>0</v>
      </c>
      <c r="G566" s="833">
        <f t="shared" si="62"/>
        <v>0</v>
      </c>
      <c r="H566" s="834">
        <v>1</v>
      </c>
      <c r="I566" s="835"/>
      <c r="J566" s="836"/>
      <c r="K566" s="836"/>
      <c r="L566" s="836"/>
      <c r="M566" s="836"/>
      <c r="N566" s="836"/>
      <c r="O566" s="836"/>
      <c r="P566" s="836"/>
      <c r="Q566" s="836"/>
      <c r="R566" s="837"/>
      <c r="T566" s="155"/>
      <c r="U566" s="155">
        <v>1393.5</v>
      </c>
      <c r="V566" s="430"/>
      <c r="AA566" s="180" t="str">
        <f>VLOOKUP(A566,[2]DG!$A:$C,3,0)</f>
        <v>Đóng cừ tràm 2,5 m</v>
      </c>
    </row>
    <row r="567" spans="1:27" ht="20.100000000000001" hidden="1" customHeight="1">
      <c r="A567" s="873" t="s">
        <v>884</v>
      </c>
      <c r="B567" s="859" t="s">
        <v>169</v>
      </c>
      <c r="C567" s="421" t="s">
        <v>885</v>
      </c>
      <c r="D567" s="364" t="s">
        <v>171</v>
      </c>
      <c r="E567" s="833"/>
      <c r="F567" s="833">
        <f t="shared" si="61"/>
        <v>0</v>
      </c>
      <c r="G567" s="833">
        <f t="shared" si="62"/>
        <v>0</v>
      </c>
      <c r="H567" s="834">
        <v>1</v>
      </c>
      <c r="I567" s="835"/>
      <c r="J567" s="836"/>
      <c r="K567" s="836"/>
      <c r="L567" s="836"/>
      <c r="M567" s="836"/>
      <c r="N567" s="836"/>
      <c r="O567" s="836"/>
      <c r="P567" s="836"/>
      <c r="Q567" s="836"/>
      <c r="R567" s="837"/>
      <c r="T567" s="155"/>
      <c r="U567" s="155">
        <v>1672.1999999999998</v>
      </c>
      <c r="V567" s="430"/>
      <c r="AA567" s="180" t="str">
        <f>VLOOKUP(A567,[2]DG!$A:$C,3,0)</f>
        <v>Đóng cừ tràm 3 m</v>
      </c>
    </row>
    <row r="568" spans="1:27" ht="20.100000000000001" hidden="1" customHeight="1">
      <c r="A568" s="873" t="s">
        <v>886</v>
      </c>
      <c r="B568" s="859" t="s">
        <v>169</v>
      </c>
      <c r="C568" s="421" t="s">
        <v>887</v>
      </c>
      <c r="D568" s="364" t="s">
        <v>171</v>
      </c>
      <c r="E568" s="833"/>
      <c r="F568" s="833">
        <f t="shared" si="61"/>
        <v>0</v>
      </c>
      <c r="G568" s="833">
        <f t="shared" si="62"/>
        <v>0</v>
      </c>
      <c r="H568" s="834">
        <v>1</v>
      </c>
      <c r="I568" s="835"/>
      <c r="J568" s="836"/>
      <c r="K568" s="836"/>
      <c r="L568" s="836"/>
      <c r="M568" s="836"/>
      <c r="N568" s="836"/>
      <c r="O568" s="836"/>
      <c r="P568" s="836"/>
      <c r="Q568" s="836"/>
      <c r="R568" s="837"/>
      <c r="T568" s="155"/>
      <c r="U568" s="155">
        <v>2787</v>
      </c>
      <c r="V568" s="430"/>
      <c r="AA568" s="180" t="str">
        <f>VLOOKUP(A568,[2]DG!$A:$C,3,0)</f>
        <v>Đóng cừ tràm 5 m</v>
      </c>
    </row>
    <row r="569" spans="1:27" ht="20.100000000000001" hidden="1" customHeight="1">
      <c r="A569" s="873" t="s">
        <v>888</v>
      </c>
      <c r="B569" s="859" t="s">
        <v>485</v>
      </c>
      <c r="C569" s="421" t="s">
        <v>889</v>
      </c>
      <c r="D569" s="364" t="s">
        <v>481</v>
      </c>
      <c r="E569" s="833"/>
      <c r="F569" s="833">
        <f t="shared" si="61"/>
        <v>0</v>
      </c>
      <c r="G569" s="833">
        <f t="shared" si="62"/>
        <v>0</v>
      </c>
      <c r="H569" s="834">
        <v>1</v>
      </c>
      <c r="I569" s="835"/>
      <c r="J569" s="836"/>
      <c r="K569" s="836"/>
      <c r="L569" s="836"/>
      <c r="M569" s="836"/>
      <c r="N569" s="836"/>
      <c r="O569" s="836"/>
      <c r="P569" s="836"/>
      <c r="Q569" s="836"/>
      <c r="R569" s="837"/>
      <c r="T569" s="155"/>
      <c r="U569" s="432">
        <v>1083.8</v>
      </c>
      <c r="V569" s="430"/>
      <c r="AA569" s="180" t="str">
        <f>VLOOKUP(A569,[2]DG!$A:$C,3,0)</f>
        <v>Quét nhựa bi tum nóng (0,2kg/m2)</v>
      </c>
    </row>
    <row r="570" spans="1:27" ht="20.100000000000001" hidden="1" customHeight="1">
      <c r="A570" s="873" t="s">
        <v>890</v>
      </c>
      <c r="B570" s="859" t="s">
        <v>891</v>
      </c>
      <c r="C570" s="416" t="s">
        <v>892</v>
      </c>
      <c r="D570" s="364" t="s">
        <v>893</v>
      </c>
      <c r="E570" s="833"/>
      <c r="F570" s="833">
        <f t="shared" si="61"/>
        <v>0</v>
      </c>
      <c r="G570" s="833">
        <f t="shared" si="62"/>
        <v>0</v>
      </c>
      <c r="H570" s="834">
        <v>1</v>
      </c>
      <c r="I570" s="835"/>
      <c r="J570" s="836"/>
      <c r="K570" s="836"/>
      <c r="L570" s="836"/>
      <c r="M570" s="836"/>
      <c r="N570" s="836"/>
      <c r="O570" s="836"/>
      <c r="P570" s="836"/>
      <c r="Q570" s="836"/>
      <c r="R570" s="837"/>
      <c r="T570" s="155"/>
      <c r="U570" s="155">
        <v>181669</v>
      </c>
      <c r="V570" s="430"/>
      <c r="AA570" s="180" t="str">
        <f>VLOOKUP(A570,[2]DG!$A:$C,3,0)</f>
        <v>V/c đà cản vào vị trí (cự ly &lt;=100m)</v>
      </c>
    </row>
    <row r="571" spans="1:27" ht="20.100000000000001" hidden="1" customHeight="1">
      <c r="A571" s="873" t="s">
        <v>894</v>
      </c>
      <c r="B571" s="859" t="s">
        <v>895</v>
      </c>
      <c r="C571" s="416" t="s">
        <v>896</v>
      </c>
      <c r="D571" s="364" t="s">
        <v>893</v>
      </c>
      <c r="E571" s="833"/>
      <c r="F571" s="833">
        <f t="shared" si="61"/>
        <v>0</v>
      </c>
      <c r="G571" s="833">
        <f t="shared" si="62"/>
        <v>0</v>
      </c>
      <c r="H571" s="834">
        <v>1</v>
      </c>
      <c r="I571" s="835"/>
      <c r="J571" s="836"/>
      <c r="K571" s="836"/>
      <c r="L571" s="836"/>
      <c r="M571" s="836"/>
      <c r="N571" s="836"/>
      <c r="O571" s="836"/>
      <c r="P571" s="836"/>
      <c r="Q571" s="836"/>
      <c r="R571" s="837"/>
      <c r="T571" s="155"/>
      <c r="U571" s="155">
        <v>170407</v>
      </c>
      <c r="V571" s="430"/>
      <c r="AA571" s="180" t="str">
        <f>VLOOKUP(A571,[2]DG!$A:$C,3,0)</f>
        <v>V/c đà cản vào vị trí (cự ly &lt;=300m)</v>
      </c>
    </row>
    <row r="572" spans="1:27" ht="20.100000000000001" hidden="1" customHeight="1">
      <c r="A572" s="873" t="s">
        <v>897</v>
      </c>
      <c r="B572" s="859" t="s">
        <v>898</v>
      </c>
      <c r="C572" s="416" t="s">
        <v>899</v>
      </c>
      <c r="D572" s="364" t="s">
        <v>893</v>
      </c>
      <c r="E572" s="833"/>
      <c r="F572" s="833">
        <f t="shared" si="61"/>
        <v>0</v>
      </c>
      <c r="G572" s="833">
        <f t="shared" si="62"/>
        <v>0</v>
      </c>
      <c r="H572" s="834">
        <v>1</v>
      </c>
      <c r="I572" s="835"/>
      <c r="J572" s="836"/>
      <c r="K572" s="836"/>
      <c r="L572" s="836"/>
      <c r="M572" s="836"/>
      <c r="N572" s="836"/>
      <c r="O572" s="836"/>
      <c r="P572" s="836"/>
      <c r="Q572" s="836"/>
      <c r="R572" s="837"/>
      <c r="T572" s="155"/>
      <c r="U572" s="155">
        <v>168332</v>
      </c>
      <c r="V572" s="430"/>
      <c r="AA572" s="180" t="str">
        <f>VLOOKUP(A572,[2]DG!$A:$C,3,0)</f>
        <v>V/c đà cản vào vị trí (cự ly &lt;=500m)</v>
      </c>
    </row>
    <row r="573" spans="1:27" ht="20.100000000000001" hidden="1" customHeight="1">
      <c r="A573" s="873" t="s">
        <v>900</v>
      </c>
      <c r="B573" s="859" t="s">
        <v>901</v>
      </c>
      <c r="C573" s="416" t="s">
        <v>902</v>
      </c>
      <c r="D573" s="364" t="s">
        <v>893</v>
      </c>
      <c r="E573" s="833"/>
      <c r="F573" s="833">
        <f t="shared" si="61"/>
        <v>0</v>
      </c>
      <c r="G573" s="833">
        <f t="shared" si="62"/>
        <v>0</v>
      </c>
      <c r="H573" s="834">
        <v>1</v>
      </c>
      <c r="I573" s="835"/>
      <c r="J573" s="836"/>
      <c r="K573" s="836"/>
      <c r="L573" s="836"/>
      <c r="M573" s="836"/>
      <c r="N573" s="836"/>
      <c r="O573" s="836"/>
      <c r="P573" s="836"/>
      <c r="Q573" s="836"/>
      <c r="R573" s="837"/>
      <c r="T573" s="155"/>
      <c r="U573" s="155">
        <v>166554</v>
      </c>
      <c r="V573" s="430"/>
      <c r="AA573" s="180" t="str">
        <f>VLOOKUP(A573,[2]DG!$A:$C,3,0)</f>
        <v>V/c đà cản vào vị trí (cự ly&gt;500m)</v>
      </c>
    </row>
    <row r="574" spans="1:27" ht="20.100000000000001" hidden="1" customHeight="1">
      <c r="A574" s="873" t="s">
        <v>903</v>
      </c>
      <c r="B574" s="859" t="s">
        <v>891</v>
      </c>
      <c r="C574" s="416" t="s">
        <v>904</v>
      </c>
      <c r="D574" s="364" t="s">
        <v>893</v>
      </c>
      <c r="E574" s="833"/>
      <c r="F574" s="833">
        <f t="shared" si="61"/>
        <v>0</v>
      </c>
      <c r="G574" s="833">
        <f t="shared" si="62"/>
        <v>0</v>
      </c>
      <c r="H574" s="834">
        <v>1</v>
      </c>
      <c r="I574" s="835"/>
      <c r="J574" s="836"/>
      <c r="K574" s="836"/>
      <c r="L574" s="836"/>
      <c r="M574" s="836"/>
      <c r="N574" s="836"/>
      <c r="O574" s="836"/>
      <c r="P574" s="836"/>
      <c r="Q574" s="836"/>
      <c r="R574" s="837"/>
      <c r="T574" s="155"/>
      <c r="U574" s="155">
        <v>181669</v>
      </c>
      <c r="V574" s="430"/>
      <c r="AA574" s="180" t="str">
        <f>VLOOKUP(A574,[2]DG!$A:$C,3,0)</f>
        <v>V/c đế néo vào vị trí (cự ly &lt;=100m)</v>
      </c>
    </row>
    <row r="575" spans="1:27" ht="20.100000000000001" hidden="1" customHeight="1">
      <c r="A575" s="873" t="s">
        <v>905</v>
      </c>
      <c r="B575" s="859" t="s">
        <v>895</v>
      </c>
      <c r="C575" s="416" t="s">
        <v>906</v>
      </c>
      <c r="D575" s="364" t="s">
        <v>893</v>
      </c>
      <c r="E575" s="833"/>
      <c r="F575" s="833">
        <f t="shared" si="61"/>
        <v>0</v>
      </c>
      <c r="G575" s="833">
        <f t="shared" si="62"/>
        <v>0</v>
      </c>
      <c r="H575" s="834">
        <v>1</v>
      </c>
      <c r="I575" s="835"/>
      <c r="J575" s="836"/>
      <c r="K575" s="836"/>
      <c r="L575" s="836"/>
      <c r="M575" s="836"/>
      <c r="N575" s="836"/>
      <c r="O575" s="836"/>
      <c r="P575" s="836"/>
      <c r="Q575" s="836"/>
      <c r="R575" s="837"/>
      <c r="T575" s="155"/>
      <c r="U575" s="155">
        <v>170407</v>
      </c>
      <c r="V575" s="430"/>
      <c r="AA575" s="180" t="str">
        <f>VLOOKUP(A575,[2]DG!$A:$C,3,0)</f>
        <v>V/c đế néo vào vị trí (cự ly &lt;=300m)</v>
      </c>
    </row>
    <row r="576" spans="1:27" ht="20.100000000000001" hidden="1" customHeight="1">
      <c r="A576" s="873" t="s">
        <v>907</v>
      </c>
      <c r="B576" s="859" t="s">
        <v>898</v>
      </c>
      <c r="C576" s="416" t="s">
        <v>908</v>
      </c>
      <c r="D576" s="364" t="s">
        <v>893</v>
      </c>
      <c r="E576" s="833"/>
      <c r="F576" s="833">
        <f t="shared" si="61"/>
        <v>0</v>
      </c>
      <c r="G576" s="833">
        <f t="shared" si="62"/>
        <v>0</v>
      </c>
      <c r="H576" s="834">
        <v>1</v>
      </c>
      <c r="I576" s="835"/>
      <c r="J576" s="836"/>
      <c r="K576" s="836"/>
      <c r="L576" s="836"/>
      <c r="M576" s="836"/>
      <c r="N576" s="836"/>
      <c r="O576" s="836"/>
      <c r="P576" s="836"/>
      <c r="Q576" s="836"/>
      <c r="R576" s="837"/>
      <c r="T576" s="155"/>
      <c r="U576" s="155">
        <v>168332</v>
      </c>
      <c r="V576" s="430"/>
      <c r="AA576" s="180" t="str">
        <f>VLOOKUP(A576,[2]DG!$A:$C,3,0)</f>
        <v>V/c đế néo vào vị trí (cự ly &lt;=500m)</v>
      </c>
    </row>
    <row r="577" spans="1:27" ht="20.100000000000001" hidden="1" customHeight="1">
      <c r="A577" s="873" t="s">
        <v>909</v>
      </c>
      <c r="B577" s="859" t="s">
        <v>901</v>
      </c>
      <c r="C577" s="416" t="s">
        <v>910</v>
      </c>
      <c r="D577" s="364" t="s">
        <v>893</v>
      </c>
      <c r="E577" s="833"/>
      <c r="F577" s="833">
        <f t="shared" si="61"/>
        <v>0</v>
      </c>
      <c r="G577" s="833">
        <f t="shared" si="62"/>
        <v>0</v>
      </c>
      <c r="H577" s="834">
        <v>1</v>
      </c>
      <c r="I577" s="835"/>
      <c r="J577" s="836"/>
      <c r="K577" s="836"/>
      <c r="L577" s="836"/>
      <c r="M577" s="836"/>
      <c r="N577" s="836"/>
      <c r="O577" s="836"/>
      <c r="P577" s="836"/>
      <c r="Q577" s="836"/>
      <c r="R577" s="837"/>
      <c r="T577" s="155"/>
      <c r="U577" s="155">
        <v>166554</v>
      </c>
      <c r="V577" s="430"/>
      <c r="AA577" s="180" t="str">
        <f>VLOOKUP(A577,[2]DG!$A:$C,3,0)</f>
        <v>V/c đế néo vào vị trí (cự ly&gt;500m)</v>
      </c>
    </row>
    <row r="578" spans="1:27" ht="20.100000000000001" hidden="1" customHeight="1">
      <c r="A578" s="873" t="s">
        <v>911</v>
      </c>
      <c r="B578" s="859" t="s">
        <v>912</v>
      </c>
      <c r="C578" s="416" t="s">
        <v>913</v>
      </c>
      <c r="D578" s="364" t="s">
        <v>893</v>
      </c>
      <c r="E578" s="833"/>
      <c r="F578" s="833">
        <f t="shared" si="61"/>
        <v>0</v>
      </c>
      <c r="G578" s="833">
        <f t="shared" si="62"/>
        <v>0</v>
      </c>
      <c r="H578" s="834">
        <v>1</v>
      </c>
      <c r="I578" s="835"/>
      <c r="J578" s="836"/>
      <c r="K578" s="836"/>
      <c r="L578" s="836"/>
      <c r="M578" s="836"/>
      <c r="N578" s="836"/>
      <c r="O578" s="836"/>
      <c r="P578" s="836"/>
      <c r="Q578" s="836"/>
      <c r="R578" s="837"/>
      <c r="T578" s="155"/>
      <c r="U578" s="155">
        <v>199747</v>
      </c>
      <c r="V578" s="430"/>
      <c r="AA578" s="180" t="str">
        <f>VLOOKUP(A578,[2]DG!$A:$C,3,0)</f>
        <v>V/c neo xòe vào vị trí (cự ly &lt;=100m)</v>
      </c>
    </row>
    <row r="579" spans="1:27" ht="20.100000000000001" hidden="1" customHeight="1">
      <c r="A579" s="873" t="s">
        <v>914</v>
      </c>
      <c r="B579" s="859" t="s">
        <v>915</v>
      </c>
      <c r="C579" s="416" t="s">
        <v>916</v>
      </c>
      <c r="D579" s="364" t="s">
        <v>893</v>
      </c>
      <c r="E579" s="833"/>
      <c r="F579" s="833">
        <f t="shared" si="61"/>
        <v>0</v>
      </c>
      <c r="G579" s="833">
        <f t="shared" si="62"/>
        <v>0</v>
      </c>
      <c r="H579" s="834">
        <v>1</v>
      </c>
      <c r="I579" s="835"/>
      <c r="J579" s="836"/>
      <c r="K579" s="836"/>
      <c r="L579" s="836"/>
      <c r="M579" s="836"/>
      <c r="N579" s="836"/>
      <c r="O579" s="836"/>
      <c r="P579" s="836"/>
      <c r="Q579" s="836"/>
      <c r="R579" s="837"/>
      <c r="T579" s="155"/>
      <c r="U579" s="155">
        <v>187596</v>
      </c>
      <c r="V579" s="430"/>
      <c r="AA579" s="180" t="str">
        <f>VLOOKUP(A579,[2]DG!$A:$C,3,0)</f>
        <v>V/c neo xòe vào vị trí (cự ly &lt;=300m)</v>
      </c>
    </row>
    <row r="580" spans="1:27" ht="20.100000000000001" hidden="1" customHeight="1">
      <c r="A580" s="873" t="s">
        <v>917</v>
      </c>
      <c r="B580" s="859" t="s">
        <v>918</v>
      </c>
      <c r="C580" s="416" t="s">
        <v>919</v>
      </c>
      <c r="D580" s="364" t="s">
        <v>893</v>
      </c>
      <c r="E580" s="833"/>
      <c r="F580" s="833">
        <f t="shared" si="61"/>
        <v>0</v>
      </c>
      <c r="G580" s="833">
        <f t="shared" si="62"/>
        <v>0</v>
      </c>
      <c r="H580" s="834">
        <v>1</v>
      </c>
      <c r="I580" s="835"/>
      <c r="J580" s="836"/>
      <c r="K580" s="836"/>
      <c r="L580" s="836"/>
      <c r="M580" s="836"/>
      <c r="N580" s="836"/>
      <c r="O580" s="836"/>
      <c r="P580" s="836"/>
      <c r="Q580" s="836"/>
      <c r="R580" s="837"/>
      <c r="T580" s="155"/>
      <c r="U580" s="155">
        <v>185225</v>
      </c>
      <c r="V580" s="430"/>
      <c r="AA580" s="180" t="str">
        <f>VLOOKUP(A580,[2]DG!$A:$C,3,0)</f>
        <v>V/c neo xòe vào vị trí (cự ly &lt;=500m)</v>
      </c>
    </row>
    <row r="581" spans="1:27" ht="20.100000000000001" hidden="1" customHeight="1">
      <c r="A581" s="873" t="s">
        <v>920</v>
      </c>
      <c r="B581" s="859" t="s">
        <v>921</v>
      </c>
      <c r="C581" s="416" t="s">
        <v>922</v>
      </c>
      <c r="D581" s="364" t="s">
        <v>893</v>
      </c>
      <c r="E581" s="833"/>
      <c r="F581" s="833">
        <f t="shared" si="61"/>
        <v>0</v>
      </c>
      <c r="G581" s="833">
        <f t="shared" si="62"/>
        <v>0</v>
      </c>
      <c r="H581" s="834">
        <v>1</v>
      </c>
      <c r="I581" s="835"/>
      <c r="J581" s="836"/>
      <c r="K581" s="836"/>
      <c r="L581" s="836"/>
      <c r="M581" s="836"/>
      <c r="N581" s="836"/>
      <c r="O581" s="836"/>
      <c r="P581" s="836"/>
      <c r="Q581" s="836"/>
      <c r="R581" s="837"/>
      <c r="T581" s="155"/>
      <c r="U581" s="155">
        <v>183150</v>
      </c>
      <c r="V581" s="430"/>
      <c r="AA581" s="180" t="str">
        <f>VLOOKUP(A581,[2]DG!$A:$C,3,0)</f>
        <v>V/c neo xòe vào vị trí (cự ly&gt;500m)</v>
      </c>
    </row>
    <row r="582" spans="1:27" ht="20.100000000000001" hidden="1" customHeight="1">
      <c r="A582" s="873" t="s">
        <v>923</v>
      </c>
      <c r="B582" s="859" t="s">
        <v>924</v>
      </c>
      <c r="C582" s="416" t="s">
        <v>925</v>
      </c>
      <c r="D582" s="364" t="s">
        <v>893</v>
      </c>
      <c r="E582" s="833"/>
      <c r="F582" s="833">
        <f t="shared" si="61"/>
        <v>0</v>
      </c>
      <c r="G582" s="833">
        <f t="shared" si="62"/>
        <v>0</v>
      </c>
      <c r="H582" s="834">
        <v>1</v>
      </c>
      <c r="I582" s="835"/>
      <c r="J582" s="836"/>
      <c r="K582" s="836"/>
      <c r="L582" s="836"/>
      <c r="M582" s="836"/>
      <c r="N582" s="836"/>
      <c r="O582" s="836"/>
      <c r="P582" s="836"/>
      <c r="Q582" s="836"/>
      <c r="R582" s="837"/>
      <c r="T582" s="155"/>
      <c r="U582" s="155">
        <v>282431</v>
      </c>
      <c r="V582" s="430"/>
      <c r="AA582" s="180" t="str">
        <f>VLOOKUP(A582,[2]DG!$A:$C,3,0)</f>
        <v>V/c cột vào vị trí (cự ly &lt;=100m)</v>
      </c>
    </row>
    <row r="583" spans="1:27" ht="20.100000000000001" hidden="1" customHeight="1">
      <c r="A583" s="873" t="s">
        <v>926</v>
      </c>
      <c r="B583" s="859" t="s">
        <v>927</v>
      </c>
      <c r="C583" s="416" t="s">
        <v>928</v>
      </c>
      <c r="D583" s="364" t="s">
        <v>893</v>
      </c>
      <c r="E583" s="833"/>
      <c r="F583" s="833">
        <f t="shared" si="61"/>
        <v>0</v>
      </c>
      <c r="G583" s="833">
        <f t="shared" si="62"/>
        <v>0</v>
      </c>
      <c r="H583" s="834">
        <v>1</v>
      </c>
      <c r="I583" s="835"/>
      <c r="J583" s="836"/>
      <c r="K583" s="836"/>
      <c r="L583" s="836"/>
      <c r="M583" s="836"/>
      <c r="N583" s="836"/>
      <c r="O583" s="836"/>
      <c r="P583" s="836"/>
      <c r="Q583" s="836"/>
      <c r="R583" s="837"/>
      <c r="T583" s="155"/>
      <c r="U583" s="155">
        <v>265242</v>
      </c>
      <c r="V583" s="430"/>
      <c r="AA583" s="180" t="str">
        <f>VLOOKUP(A583,[2]DG!$A:$C,3,0)</f>
        <v>V/c cột vào vị trí (cự ly &lt;=300m)</v>
      </c>
    </row>
    <row r="584" spans="1:27" ht="20.100000000000001" hidden="1" customHeight="1">
      <c r="A584" s="873" t="s">
        <v>929</v>
      </c>
      <c r="B584" s="859" t="s">
        <v>930</v>
      </c>
      <c r="C584" s="416" t="s">
        <v>931</v>
      </c>
      <c r="D584" s="364" t="s">
        <v>893</v>
      </c>
      <c r="E584" s="833"/>
      <c r="F584" s="833">
        <f t="shared" si="61"/>
        <v>0</v>
      </c>
      <c r="G584" s="833">
        <f t="shared" si="62"/>
        <v>0</v>
      </c>
      <c r="H584" s="834">
        <v>1</v>
      </c>
      <c r="I584" s="835"/>
      <c r="J584" s="836"/>
      <c r="K584" s="836"/>
      <c r="L584" s="836"/>
      <c r="M584" s="836"/>
      <c r="N584" s="836"/>
      <c r="O584" s="836"/>
      <c r="P584" s="836"/>
      <c r="Q584" s="836"/>
      <c r="R584" s="837"/>
      <c r="T584" s="155"/>
      <c r="U584" s="155">
        <v>261686</v>
      </c>
      <c r="V584" s="430"/>
      <c r="AA584" s="180" t="str">
        <f>VLOOKUP(A584,[2]DG!$A:$C,3,0)</f>
        <v>V/c cột vào vị trí (cự ly &lt;=500m)</v>
      </c>
    </row>
    <row r="585" spans="1:27" ht="20.100000000000001" hidden="1" customHeight="1">
      <c r="A585" s="873" t="s">
        <v>932</v>
      </c>
      <c r="B585" s="859" t="s">
        <v>933</v>
      </c>
      <c r="C585" s="416" t="s">
        <v>934</v>
      </c>
      <c r="D585" s="364" t="s">
        <v>893</v>
      </c>
      <c r="E585" s="833"/>
      <c r="F585" s="833">
        <f t="shared" si="61"/>
        <v>0</v>
      </c>
      <c r="G585" s="833">
        <f t="shared" si="62"/>
        <v>0</v>
      </c>
      <c r="H585" s="834">
        <v>1</v>
      </c>
      <c r="I585" s="835"/>
      <c r="J585" s="836"/>
      <c r="K585" s="836"/>
      <c r="L585" s="836"/>
      <c r="M585" s="836"/>
      <c r="N585" s="836"/>
      <c r="O585" s="836"/>
      <c r="P585" s="836"/>
      <c r="Q585" s="836"/>
      <c r="R585" s="837"/>
      <c r="T585" s="155"/>
      <c r="U585" s="155">
        <v>25315</v>
      </c>
      <c r="V585" s="430"/>
      <c r="AA585" s="180" t="str">
        <f>VLOOKUP(A585,[2]DG!$A:$C,3,0)</f>
        <v>V/c cột vào vị trí (cự ly &gt;500m)</v>
      </c>
    </row>
    <row r="586" spans="1:27" ht="20.100000000000001" hidden="1" customHeight="1">
      <c r="A586" s="873" t="s">
        <v>935</v>
      </c>
      <c r="B586" s="859" t="s">
        <v>912</v>
      </c>
      <c r="C586" s="421" t="s">
        <v>936</v>
      </c>
      <c r="D586" s="364" t="s">
        <v>893</v>
      </c>
      <c r="E586" s="833"/>
      <c r="F586" s="833">
        <f t="shared" si="61"/>
        <v>0</v>
      </c>
      <c r="G586" s="833">
        <f t="shared" si="62"/>
        <v>0</v>
      </c>
      <c r="H586" s="834">
        <v>1</v>
      </c>
      <c r="I586" s="835"/>
      <c r="J586" s="836"/>
      <c r="K586" s="836"/>
      <c r="L586" s="836"/>
      <c r="M586" s="836"/>
      <c r="N586" s="836"/>
      <c r="O586" s="836"/>
      <c r="P586" s="836"/>
      <c r="Q586" s="836"/>
      <c r="R586" s="837"/>
      <c r="T586" s="155"/>
      <c r="U586" s="155">
        <v>199747</v>
      </c>
      <c r="V586" s="430"/>
      <c r="AA586" s="180" t="str">
        <f>VLOOKUP(A586,[2]DG!$A:$C,3,0)</f>
        <v>V/c phụ kiện vào vị trí ( cự ly &lt;=100m)</v>
      </c>
    </row>
    <row r="587" spans="1:27" ht="20.100000000000001" hidden="1" customHeight="1">
      <c r="A587" s="873" t="s">
        <v>937</v>
      </c>
      <c r="B587" s="859" t="s">
        <v>915</v>
      </c>
      <c r="C587" s="421" t="s">
        <v>938</v>
      </c>
      <c r="D587" s="364" t="s">
        <v>893</v>
      </c>
      <c r="E587" s="833"/>
      <c r="F587" s="833">
        <f t="shared" si="61"/>
        <v>0</v>
      </c>
      <c r="G587" s="833">
        <f t="shared" si="62"/>
        <v>0</v>
      </c>
      <c r="H587" s="834">
        <v>1</v>
      </c>
      <c r="I587" s="835"/>
      <c r="J587" s="836"/>
      <c r="K587" s="836"/>
      <c r="L587" s="836"/>
      <c r="M587" s="836"/>
      <c r="N587" s="836"/>
      <c r="O587" s="836"/>
      <c r="P587" s="836"/>
      <c r="Q587" s="836"/>
      <c r="R587" s="837"/>
      <c r="T587" s="155"/>
      <c r="U587" s="155">
        <v>187596</v>
      </c>
      <c r="V587" s="430"/>
      <c r="AA587" s="180" t="str">
        <f>VLOOKUP(A587,[2]DG!$A:$C,3,0)</f>
        <v>V/c phụ kiện vào vị trí ( cự ly &lt;=300m)</v>
      </c>
    </row>
    <row r="588" spans="1:27" ht="20.100000000000001" hidden="1" customHeight="1">
      <c r="A588" s="873" t="s">
        <v>939</v>
      </c>
      <c r="B588" s="859" t="s">
        <v>918</v>
      </c>
      <c r="C588" s="421" t="s">
        <v>940</v>
      </c>
      <c r="D588" s="364" t="s">
        <v>893</v>
      </c>
      <c r="E588" s="833"/>
      <c r="F588" s="833">
        <f t="shared" si="61"/>
        <v>0</v>
      </c>
      <c r="G588" s="833">
        <f t="shared" si="62"/>
        <v>0</v>
      </c>
      <c r="H588" s="834">
        <v>1</v>
      </c>
      <c r="I588" s="835"/>
      <c r="J588" s="836"/>
      <c r="K588" s="836"/>
      <c r="L588" s="836"/>
      <c r="M588" s="836"/>
      <c r="N588" s="836"/>
      <c r="O588" s="836"/>
      <c r="P588" s="836"/>
      <c r="Q588" s="836"/>
      <c r="R588" s="837"/>
      <c r="T588" s="155"/>
      <c r="U588" s="155">
        <v>185225</v>
      </c>
      <c r="V588" s="430"/>
      <c r="AA588" s="180" t="str">
        <f>VLOOKUP(A588,[2]DG!$A:$C,3,0)</f>
        <v>V/c phụ kiện vào vị trí ( cự ly &lt;=500m)</v>
      </c>
    </row>
    <row r="589" spans="1:27" ht="20.100000000000001" hidden="1" customHeight="1">
      <c r="A589" s="873" t="s">
        <v>941</v>
      </c>
      <c r="B589" s="859" t="s">
        <v>921</v>
      </c>
      <c r="C589" s="421" t="s">
        <v>942</v>
      </c>
      <c r="D589" s="364" t="s">
        <v>893</v>
      </c>
      <c r="E589" s="833"/>
      <c r="F589" s="833">
        <f t="shared" si="61"/>
        <v>0</v>
      </c>
      <c r="G589" s="833">
        <f t="shared" si="62"/>
        <v>0</v>
      </c>
      <c r="H589" s="834">
        <v>1</v>
      </c>
      <c r="I589" s="835"/>
      <c r="J589" s="836"/>
      <c r="K589" s="836"/>
      <c r="L589" s="836"/>
      <c r="M589" s="836"/>
      <c r="N589" s="836"/>
      <c r="O589" s="836"/>
      <c r="P589" s="836"/>
      <c r="Q589" s="836"/>
      <c r="R589" s="837"/>
      <c r="T589" s="155"/>
      <c r="U589" s="155">
        <v>183150</v>
      </c>
      <c r="V589" s="430"/>
      <c r="AA589" s="180" t="str">
        <f>VLOOKUP(A589,[2]DG!$A:$C,3,0)</f>
        <v>V/c phụ kiện vào vị trí ( cự ly &gt;500m)</v>
      </c>
    </row>
    <row r="590" spans="1:27" ht="20.100000000000001" hidden="1" customHeight="1">
      <c r="A590" s="873" t="s">
        <v>943</v>
      </c>
      <c r="B590" s="859" t="s">
        <v>944</v>
      </c>
      <c r="C590" s="421" t="s">
        <v>945</v>
      </c>
      <c r="D590" s="364" t="s">
        <v>893</v>
      </c>
      <c r="E590" s="833"/>
      <c r="F590" s="833">
        <f t="shared" ref="F590:F653" si="63">IF(OR(I590="",J590=""),0,IF(K590*1=0,1,K590)*VLOOKUP(I590,TIENLUONG,4,0)*J590)</f>
        <v>0</v>
      </c>
      <c r="G590" s="833">
        <f t="shared" ref="G590:G653" si="64">L590*VLOOKUP($L$1,CAMAY,2,0)+M590*VLOOKUP($M$1,CAMAY,2,0)+N590*VLOOKUP($N$1,CAMAY,2,0)+O590*VLOOKUP($O$1,CAMAY,2,0)+P590*VLOOKUP($P$1,CAMAY,2,0)</f>
        <v>0</v>
      </c>
      <c r="H590" s="834">
        <v>1</v>
      </c>
      <c r="I590" s="835"/>
      <c r="J590" s="836"/>
      <c r="K590" s="836"/>
      <c r="L590" s="836"/>
      <c r="M590" s="836"/>
      <c r="N590" s="836"/>
      <c r="O590" s="836"/>
      <c r="P590" s="836"/>
      <c r="Q590" s="836"/>
      <c r="R590" s="837"/>
      <c r="T590" s="155"/>
      <c r="U590" s="155">
        <v>221974</v>
      </c>
      <c r="V590" s="430"/>
      <c r="AA590" s="180" t="str">
        <f>VLOOKUP(A590,[2]DG!$A:$C,3,0)</f>
        <v>V/c tiếp địa vào vị trí ( cự ly &lt;=100m)</v>
      </c>
    </row>
    <row r="591" spans="1:27" ht="20.100000000000001" hidden="1" customHeight="1">
      <c r="A591" s="873" t="s">
        <v>946</v>
      </c>
      <c r="B591" s="859" t="s">
        <v>947</v>
      </c>
      <c r="C591" s="421" t="s">
        <v>948</v>
      </c>
      <c r="D591" s="364" t="s">
        <v>893</v>
      </c>
      <c r="E591" s="833"/>
      <c r="F591" s="833">
        <f t="shared" si="63"/>
        <v>0</v>
      </c>
      <c r="G591" s="833">
        <f t="shared" si="64"/>
        <v>0</v>
      </c>
      <c r="H591" s="834">
        <v>1</v>
      </c>
      <c r="I591" s="835"/>
      <c r="J591" s="836"/>
      <c r="K591" s="836"/>
      <c r="L591" s="836"/>
      <c r="M591" s="836"/>
      <c r="N591" s="836"/>
      <c r="O591" s="836"/>
      <c r="P591" s="836"/>
      <c r="Q591" s="836"/>
      <c r="R591" s="837"/>
      <c r="T591" s="155"/>
      <c r="U591" s="155">
        <v>208341</v>
      </c>
      <c r="V591" s="430"/>
      <c r="AA591" s="180" t="str">
        <f>VLOOKUP(A591,[2]DG!$A:$C,3,0)</f>
        <v>V/c tiếp địa vào vị trí ( cự ly &lt;=300m)</v>
      </c>
    </row>
    <row r="592" spans="1:27" ht="20.100000000000001" hidden="1" customHeight="1">
      <c r="A592" s="873" t="s">
        <v>949</v>
      </c>
      <c r="B592" s="859" t="s">
        <v>950</v>
      </c>
      <c r="C592" s="421" t="s">
        <v>951</v>
      </c>
      <c r="D592" s="364" t="s">
        <v>893</v>
      </c>
      <c r="E592" s="833"/>
      <c r="F592" s="833">
        <f t="shared" si="63"/>
        <v>0</v>
      </c>
      <c r="G592" s="833">
        <f t="shared" si="64"/>
        <v>0</v>
      </c>
      <c r="H592" s="834">
        <v>1</v>
      </c>
      <c r="I592" s="835"/>
      <c r="J592" s="836"/>
      <c r="K592" s="836"/>
      <c r="L592" s="836"/>
      <c r="M592" s="836"/>
      <c r="N592" s="836"/>
      <c r="O592" s="836"/>
      <c r="P592" s="836"/>
      <c r="Q592" s="836"/>
      <c r="R592" s="837"/>
      <c r="T592" s="155"/>
      <c r="U592" s="155">
        <v>205674</v>
      </c>
      <c r="V592" s="430"/>
      <c r="AA592" s="180" t="str">
        <f>VLOOKUP(A592,[2]DG!$A:$C,3,0)</f>
        <v>V/c tiếp địa vào vị trí ( cự ly &lt;=500m)</v>
      </c>
    </row>
    <row r="593" spans="1:27" ht="20.100000000000001" hidden="1" customHeight="1">
      <c r="A593" s="873" t="s">
        <v>952</v>
      </c>
      <c r="B593" s="859" t="s">
        <v>953</v>
      </c>
      <c r="C593" s="421" t="s">
        <v>954</v>
      </c>
      <c r="D593" s="364" t="s">
        <v>893</v>
      </c>
      <c r="E593" s="833"/>
      <c r="F593" s="833">
        <f t="shared" si="63"/>
        <v>0</v>
      </c>
      <c r="G593" s="833">
        <f t="shared" si="64"/>
        <v>0</v>
      </c>
      <c r="H593" s="834">
        <v>1</v>
      </c>
      <c r="I593" s="835"/>
      <c r="J593" s="836"/>
      <c r="K593" s="836"/>
      <c r="L593" s="836"/>
      <c r="M593" s="836"/>
      <c r="N593" s="836"/>
      <c r="O593" s="836"/>
      <c r="P593" s="836"/>
      <c r="Q593" s="836"/>
      <c r="R593" s="837"/>
      <c r="T593" s="155"/>
      <c r="U593" s="155">
        <v>188781</v>
      </c>
      <c r="V593" s="430"/>
      <c r="AA593" s="180" t="str">
        <f>VLOOKUP(A593,[2]DG!$A:$C,3,0)</f>
        <v>V/c tiếp địa vào vị trí ( cự ly &gt;500m)</v>
      </c>
    </row>
    <row r="594" spans="1:27" ht="20.100000000000001" hidden="1" customHeight="1">
      <c r="A594" s="873" t="s">
        <v>955</v>
      </c>
      <c r="B594" s="859" t="s">
        <v>956</v>
      </c>
      <c r="C594" s="421" t="s">
        <v>957</v>
      </c>
      <c r="D594" s="364" t="s">
        <v>893</v>
      </c>
      <c r="E594" s="833"/>
      <c r="F594" s="833">
        <f t="shared" si="63"/>
        <v>0</v>
      </c>
      <c r="G594" s="833">
        <f t="shared" si="64"/>
        <v>0</v>
      </c>
      <c r="H594" s="834">
        <v>1</v>
      </c>
      <c r="I594" s="835"/>
      <c r="J594" s="836"/>
      <c r="K594" s="836"/>
      <c r="L594" s="836"/>
      <c r="M594" s="836"/>
      <c r="N594" s="836"/>
      <c r="O594" s="836"/>
      <c r="P594" s="836"/>
      <c r="Q594" s="836"/>
      <c r="R594" s="837"/>
      <c r="T594" s="155"/>
      <c r="U594" s="155">
        <v>201821</v>
      </c>
      <c r="V594" s="430"/>
      <c r="AA594" s="180" t="str">
        <f>VLOOKUP(A594,[2]DG!$A:$C,3,0)</f>
        <v>V/c dây vào vị trí (cự ly &lt;=100m)</v>
      </c>
    </row>
    <row r="595" spans="1:27" ht="20.100000000000001" hidden="1" customHeight="1">
      <c r="A595" s="873" t="s">
        <v>958</v>
      </c>
      <c r="B595" s="859" t="s">
        <v>959</v>
      </c>
      <c r="C595" s="421" t="s">
        <v>960</v>
      </c>
      <c r="D595" s="364" t="s">
        <v>893</v>
      </c>
      <c r="E595" s="833"/>
      <c r="F595" s="833">
        <f t="shared" si="63"/>
        <v>0</v>
      </c>
      <c r="G595" s="833">
        <f t="shared" si="64"/>
        <v>0</v>
      </c>
      <c r="H595" s="834">
        <v>1</v>
      </c>
      <c r="I595" s="835"/>
      <c r="J595" s="836"/>
      <c r="K595" s="836"/>
      <c r="L595" s="836"/>
      <c r="M595" s="836"/>
      <c r="N595" s="836"/>
      <c r="O595" s="836"/>
      <c r="P595" s="836"/>
      <c r="Q595" s="836"/>
      <c r="R595" s="837"/>
      <c r="T595" s="155"/>
      <c r="U595" s="155">
        <v>189078</v>
      </c>
      <c r="V595" s="430"/>
      <c r="AA595" s="180" t="str">
        <f>VLOOKUP(A595,[2]DG!$A:$C,3,0)</f>
        <v>V/c dây vào vị trí (cự ly &lt;=300m)</v>
      </c>
    </row>
    <row r="596" spans="1:27" ht="20.100000000000001" hidden="1" customHeight="1">
      <c r="A596" s="873" t="s">
        <v>961</v>
      </c>
      <c r="B596" s="859" t="s">
        <v>962</v>
      </c>
      <c r="C596" s="421" t="s">
        <v>963</v>
      </c>
      <c r="D596" s="364" t="s">
        <v>893</v>
      </c>
      <c r="E596" s="833"/>
      <c r="F596" s="833">
        <f t="shared" si="63"/>
        <v>0</v>
      </c>
      <c r="G596" s="833">
        <f t="shared" si="64"/>
        <v>0</v>
      </c>
      <c r="H596" s="834">
        <v>1</v>
      </c>
      <c r="I596" s="835"/>
      <c r="J596" s="836"/>
      <c r="K596" s="836"/>
      <c r="L596" s="836"/>
      <c r="M596" s="836"/>
      <c r="N596" s="836"/>
      <c r="O596" s="836"/>
      <c r="P596" s="836"/>
      <c r="Q596" s="836"/>
      <c r="R596" s="837"/>
      <c r="T596" s="155"/>
      <c r="U596" s="155">
        <v>187003</v>
      </c>
      <c r="V596" s="430"/>
      <c r="AA596" s="180" t="str">
        <f>VLOOKUP(A596,[2]DG!$A:$C,3,0)</f>
        <v>V/c dây vào vị trí (cự ly &lt;=500m)</v>
      </c>
    </row>
    <row r="597" spans="1:27" ht="20.100000000000001" hidden="1" customHeight="1">
      <c r="A597" s="873" t="s">
        <v>964</v>
      </c>
      <c r="B597" s="859" t="s">
        <v>965</v>
      </c>
      <c r="C597" s="421" t="s">
        <v>966</v>
      </c>
      <c r="D597" s="364" t="s">
        <v>893</v>
      </c>
      <c r="E597" s="833"/>
      <c r="F597" s="833">
        <f t="shared" si="63"/>
        <v>0</v>
      </c>
      <c r="G597" s="833">
        <f t="shared" si="64"/>
        <v>0</v>
      </c>
      <c r="H597" s="834">
        <v>1</v>
      </c>
      <c r="I597" s="835"/>
      <c r="J597" s="836"/>
      <c r="K597" s="836"/>
      <c r="L597" s="836"/>
      <c r="M597" s="836"/>
      <c r="N597" s="836"/>
      <c r="O597" s="836"/>
      <c r="P597" s="836"/>
      <c r="Q597" s="836"/>
      <c r="R597" s="837"/>
      <c r="T597" s="155"/>
      <c r="U597" s="155">
        <v>185225</v>
      </c>
      <c r="V597" s="430"/>
      <c r="AA597" s="180" t="str">
        <f>VLOOKUP(A597,[2]DG!$A:$C,3,0)</f>
        <v>V/c dây vào vị trí (cự ly &gt; 500m)</v>
      </c>
    </row>
    <row r="598" spans="1:27" ht="20.100000000000001" hidden="1" customHeight="1">
      <c r="A598" s="873" t="s">
        <v>967</v>
      </c>
      <c r="B598" s="859" t="s">
        <v>968</v>
      </c>
      <c r="C598" s="421" t="s">
        <v>969</v>
      </c>
      <c r="D598" s="364" t="s">
        <v>893</v>
      </c>
      <c r="E598" s="833"/>
      <c r="F598" s="833">
        <f t="shared" si="63"/>
        <v>0</v>
      </c>
      <c r="G598" s="833">
        <f t="shared" si="64"/>
        <v>0</v>
      </c>
      <c r="H598" s="834">
        <v>1</v>
      </c>
      <c r="I598" s="835"/>
      <c r="J598" s="836"/>
      <c r="K598" s="836"/>
      <c r="L598" s="836"/>
      <c r="M598" s="836"/>
      <c r="N598" s="836"/>
      <c r="O598" s="836"/>
      <c r="P598" s="836"/>
      <c r="Q598" s="836"/>
      <c r="R598" s="837"/>
      <c r="T598" s="155"/>
      <c r="U598" s="155">
        <v>262279</v>
      </c>
      <c r="V598" s="430"/>
      <c r="AA598" s="180" t="str">
        <f>VLOOKUP(A598,[2]DG!$A:$C,3,0)</f>
        <v>V/c sứ và phụ kiện vào vị trí (cự ly &lt;=100m)</v>
      </c>
    </row>
    <row r="599" spans="1:27" ht="20.100000000000001" hidden="1" customHeight="1">
      <c r="A599" s="873" t="s">
        <v>970</v>
      </c>
      <c r="B599" s="859" t="s">
        <v>971</v>
      </c>
      <c r="C599" s="421" t="s">
        <v>972</v>
      </c>
      <c r="D599" s="364" t="s">
        <v>893</v>
      </c>
      <c r="E599" s="833"/>
      <c r="F599" s="833">
        <f t="shared" si="63"/>
        <v>0</v>
      </c>
      <c r="G599" s="833">
        <f t="shared" si="64"/>
        <v>0</v>
      </c>
      <c r="H599" s="834">
        <v>1</v>
      </c>
      <c r="I599" s="835"/>
      <c r="J599" s="836"/>
      <c r="K599" s="836"/>
      <c r="L599" s="836"/>
      <c r="M599" s="836"/>
      <c r="N599" s="836"/>
      <c r="O599" s="836"/>
      <c r="P599" s="836"/>
      <c r="Q599" s="836"/>
      <c r="R599" s="837"/>
      <c r="T599" s="155"/>
      <c r="U599" s="155">
        <v>246275</v>
      </c>
      <c r="V599" s="430"/>
      <c r="AA599" s="180" t="str">
        <f>VLOOKUP(A599,[2]DG!$A:$C,3,0)</f>
        <v>V/c sứ và phụ kiện vào vị trí (cự ly &lt;=300m)</v>
      </c>
    </row>
    <row r="600" spans="1:27" ht="20.100000000000001" hidden="1" customHeight="1">
      <c r="A600" s="873" t="s">
        <v>973</v>
      </c>
      <c r="B600" s="859" t="s">
        <v>974</v>
      </c>
      <c r="C600" s="421" t="s">
        <v>975</v>
      </c>
      <c r="D600" s="364" t="s">
        <v>893</v>
      </c>
      <c r="E600" s="833"/>
      <c r="F600" s="833">
        <f t="shared" si="63"/>
        <v>0</v>
      </c>
      <c r="G600" s="833">
        <f t="shared" si="64"/>
        <v>0</v>
      </c>
      <c r="H600" s="834">
        <v>1</v>
      </c>
      <c r="I600" s="835"/>
      <c r="J600" s="836"/>
      <c r="K600" s="836"/>
      <c r="L600" s="836"/>
      <c r="M600" s="836"/>
      <c r="N600" s="836"/>
      <c r="O600" s="836"/>
      <c r="P600" s="836"/>
      <c r="Q600" s="836"/>
      <c r="R600" s="837"/>
      <c r="T600" s="155"/>
      <c r="U600" s="155">
        <v>243015</v>
      </c>
      <c r="V600" s="430"/>
      <c r="AA600" s="180" t="str">
        <f>VLOOKUP(A600,[2]DG!$A:$C,3,0)</f>
        <v>V/c sứ và phụ kiện vào vị trí (cự ly &lt;=500m)</v>
      </c>
    </row>
    <row r="601" spans="1:27" ht="20.100000000000001" hidden="1" customHeight="1">
      <c r="A601" s="873" t="s">
        <v>976</v>
      </c>
      <c r="B601" s="859" t="s">
        <v>977</v>
      </c>
      <c r="C601" s="421" t="s">
        <v>978</v>
      </c>
      <c r="D601" s="364" t="s">
        <v>893</v>
      </c>
      <c r="E601" s="833"/>
      <c r="F601" s="833">
        <f t="shared" si="63"/>
        <v>0</v>
      </c>
      <c r="G601" s="833">
        <f t="shared" si="64"/>
        <v>0</v>
      </c>
      <c r="H601" s="834">
        <v>1</v>
      </c>
      <c r="I601" s="835"/>
      <c r="J601" s="836"/>
      <c r="K601" s="836"/>
      <c r="L601" s="836"/>
      <c r="M601" s="836"/>
      <c r="N601" s="836"/>
      <c r="O601" s="836"/>
      <c r="P601" s="836"/>
      <c r="Q601" s="836"/>
      <c r="R601" s="837"/>
      <c r="T601" s="155"/>
      <c r="U601" s="155">
        <v>240644</v>
      </c>
      <c r="V601" s="430"/>
      <c r="AA601" s="180" t="str">
        <f>VLOOKUP(A601,[2]DG!$A:$C,3,0)</f>
        <v>V/c sứ và phụ kiện vào vị trí (cự ly &gt; 500m)</v>
      </c>
    </row>
    <row r="602" spans="1:27" ht="20.100000000000001" hidden="1" customHeight="1">
      <c r="A602" s="873" t="s">
        <v>979</v>
      </c>
      <c r="B602" s="859" t="s">
        <v>980</v>
      </c>
      <c r="C602" s="421" t="s">
        <v>981</v>
      </c>
      <c r="D602" s="364" t="s">
        <v>893</v>
      </c>
      <c r="E602" s="833"/>
      <c r="F602" s="833">
        <f t="shared" si="63"/>
        <v>0</v>
      </c>
      <c r="G602" s="833">
        <f t="shared" si="64"/>
        <v>0</v>
      </c>
      <c r="H602" s="834">
        <v>1</v>
      </c>
      <c r="I602" s="835"/>
      <c r="J602" s="836"/>
      <c r="K602" s="836"/>
      <c r="L602" s="836"/>
      <c r="M602" s="836"/>
      <c r="N602" s="836"/>
      <c r="O602" s="836"/>
      <c r="P602" s="836"/>
      <c r="Q602" s="836"/>
      <c r="R602" s="837"/>
      <c r="T602" s="155"/>
      <c r="U602" s="155">
        <v>201821</v>
      </c>
      <c r="V602" s="430"/>
      <c r="AA602" s="180" t="str">
        <f>VLOOKUP(A602,[2]DG!$A:$C,3,0)</f>
        <v>V/c xà vào vị trí (cư ly &lt;=100m)</v>
      </c>
    </row>
    <row r="603" spans="1:27" ht="20.100000000000001" hidden="1" customHeight="1">
      <c r="A603" s="873" t="s">
        <v>982</v>
      </c>
      <c r="B603" s="859" t="s">
        <v>983</v>
      </c>
      <c r="C603" s="421" t="s">
        <v>984</v>
      </c>
      <c r="D603" s="364" t="s">
        <v>893</v>
      </c>
      <c r="E603" s="833"/>
      <c r="F603" s="833">
        <f t="shared" si="63"/>
        <v>0</v>
      </c>
      <c r="G603" s="833">
        <f t="shared" si="64"/>
        <v>0</v>
      </c>
      <c r="H603" s="834">
        <v>1</v>
      </c>
      <c r="I603" s="835"/>
      <c r="J603" s="836"/>
      <c r="K603" s="836"/>
      <c r="L603" s="836"/>
      <c r="M603" s="836"/>
      <c r="N603" s="836"/>
      <c r="O603" s="836"/>
      <c r="P603" s="836"/>
      <c r="Q603" s="836"/>
      <c r="R603" s="837"/>
      <c r="T603" s="155"/>
      <c r="U603" s="155">
        <v>189374</v>
      </c>
      <c r="V603" s="430"/>
      <c r="AA603" s="180" t="str">
        <f>VLOOKUP(A603,[2]DG!$A:$C,3,0)</f>
        <v>V/c xà vào vị trí (cư ly &lt;=300m)</v>
      </c>
    </row>
    <row r="604" spans="1:27" ht="20.100000000000001" hidden="1" customHeight="1">
      <c r="A604" s="873" t="s">
        <v>985</v>
      </c>
      <c r="B604" s="859" t="s">
        <v>986</v>
      </c>
      <c r="C604" s="421" t="s">
        <v>987</v>
      </c>
      <c r="D604" s="364" t="s">
        <v>893</v>
      </c>
      <c r="E604" s="833"/>
      <c r="F604" s="833">
        <f t="shared" si="63"/>
        <v>0</v>
      </c>
      <c r="G604" s="833">
        <f t="shared" si="64"/>
        <v>0</v>
      </c>
      <c r="H604" s="834">
        <v>1</v>
      </c>
      <c r="I604" s="835"/>
      <c r="J604" s="836"/>
      <c r="K604" s="836"/>
      <c r="L604" s="836"/>
      <c r="M604" s="836"/>
      <c r="N604" s="836"/>
      <c r="O604" s="836"/>
      <c r="P604" s="836"/>
      <c r="Q604" s="836"/>
      <c r="R604" s="837"/>
      <c r="T604" s="155"/>
      <c r="U604" s="155">
        <v>187003</v>
      </c>
      <c r="V604" s="430"/>
      <c r="AA604" s="180" t="str">
        <f>VLOOKUP(A604,[2]DG!$A:$C,3,0)</f>
        <v>V/c xà vào vị trí (cư ly &lt;=500m)</v>
      </c>
    </row>
    <row r="605" spans="1:27" ht="20.100000000000001" hidden="1" customHeight="1">
      <c r="A605" s="873" t="s">
        <v>988</v>
      </c>
      <c r="B605" s="859" t="s">
        <v>989</v>
      </c>
      <c r="C605" s="421" t="s">
        <v>990</v>
      </c>
      <c r="D605" s="364" t="s">
        <v>893</v>
      </c>
      <c r="E605" s="833"/>
      <c r="F605" s="833">
        <f t="shared" si="63"/>
        <v>0</v>
      </c>
      <c r="G605" s="833">
        <f t="shared" si="64"/>
        <v>0</v>
      </c>
      <c r="H605" s="834">
        <v>1</v>
      </c>
      <c r="I605" s="835"/>
      <c r="J605" s="836"/>
      <c r="K605" s="836"/>
      <c r="L605" s="836"/>
      <c r="M605" s="836"/>
      <c r="N605" s="836"/>
      <c r="O605" s="836"/>
      <c r="P605" s="836"/>
      <c r="Q605" s="836"/>
      <c r="R605" s="837"/>
      <c r="T605" s="155"/>
      <c r="U605" s="155">
        <v>185225</v>
      </c>
      <c r="V605" s="430"/>
      <c r="AA605" s="180" t="str">
        <f>VLOOKUP(A605,[2]DG!$A:$C,3,0)</f>
        <v>V/c xà vào vị trí (cư ly &gt;500m)</v>
      </c>
    </row>
    <row r="606" spans="1:27" ht="20.100000000000001" hidden="1" customHeight="1">
      <c r="A606" s="873" t="s">
        <v>991</v>
      </c>
      <c r="B606" s="859" t="s">
        <v>992</v>
      </c>
      <c r="C606" s="416" t="s">
        <v>993</v>
      </c>
      <c r="D606" s="364" t="s">
        <v>893</v>
      </c>
      <c r="E606" s="833"/>
      <c r="F606" s="833">
        <f t="shared" si="63"/>
        <v>0</v>
      </c>
      <c r="G606" s="833">
        <f t="shared" si="64"/>
        <v>0</v>
      </c>
      <c r="H606" s="834">
        <v>1</v>
      </c>
      <c r="I606" s="835"/>
      <c r="J606" s="836"/>
      <c r="K606" s="836"/>
      <c r="L606" s="836"/>
      <c r="M606" s="836"/>
      <c r="N606" s="836"/>
      <c r="O606" s="836"/>
      <c r="P606" s="836"/>
      <c r="Q606" s="836"/>
      <c r="R606" s="837"/>
      <c r="T606" s="155"/>
      <c r="U606" s="155">
        <v>183447</v>
      </c>
      <c r="V606" s="430"/>
      <c r="AA606" s="180" t="str">
        <f>VLOOKUP(A606,[2]DG!$A:$C,3,0)</f>
        <v>V/c dụng cụ thi công ( cự ly &lt;=100m)</v>
      </c>
    </row>
    <row r="607" spans="1:27" ht="20.100000000000001" hidden="1" customHeight="1">
      <c r="A607" s="873" t="s">
        <v>994</v>
      </c>
      <c r="B607" s="859" t="s">
        <v>995</v>
      </c>
      <c r="C607" s="416" t="s">
        <v>996</v>
      </c>
      <c r="D607" s="364" t="s">
        <v>893</v>
      </c>
      <c r="E607" s="833"/>
      <c r="F607" s="833">
        <f t="shared" si="63"/>
        <v>0</v>
      </c>
      <c r="G607" s="833">
        <f t="shared" si="64"/>
        <v>0</v>
      </c>
      <c r="H607" s="834">
        <v>1</v>
      </c>
      <c r="I607" s="835"/>
      <c r="J607" s="836"/>
      <c r="K607" s="836"/>
      <c r="L607" s="836"/>
      <c r="M607" s="836"/>
      <c r="N607" s="836"/>
      <c r="O607" s="836"/>
      <c r="P607" s="836"/>
      <c r="Q607" s="836"/>
      <c r="R607" s="837"/>
      <c r="T607" s="155"/>
      <c r="U607" s="155">
        <v>170407</v>
      </c>
      <c r="V607" s="430"/>
      <c r="AA607" s="180" t="str">
        <f>VLOOKUP(A607,[2]DG!$A:$C,3,0)</f>
        <v>V/c dụng cụ thi công ( cự ly &lt;=300m)</v>
      </c>
    </row>
    <row r="608" spans="1:27" ht="20.100000000000001" hidden="1" customHeight="1">
      <c r="A608" s="873" t="s">
        <v>997</v>
      </c>
      <c r="B608" s="859" t="s">
        <v>998</v>
      </c>
      <c r="C608" s="416" t="s">
        <v>999</v>
      </c>
      <c r="D608" s="364" t="s">
        <v>893</v>
      </c>
      <c r="E608" s="833"/>
      <c r="F608" s="833">
        <f t="shared" si="63"/>
        <v>0</v>
      </c>
      <c r="G608" s="833">
        <f t="shared" si="64"/>
        <v>0</v>
      </c>
      <c r="H608" s="834">
        <v>1</v>
      </c>
      <c r="I608" s="835"/>
      <c r="J608" s="836"/>
      <c r="K608" s="836"/>
      <c r="L608" s="836"/>
      <c r="M608" s="836"/>
      <c r="N608" s="836"/>
      <c r="O608" s="836"/>
      <c r="P608" s="836"/>
      <c r="Q608" s="836"/>
      <c r="R608" s="837"/>
      <c r="T608" s="155"/>
      <c r="U608" s="155">
        <v>168332</v>
      </c>
      <c r="V608" s="430"/>
      <c r="AA608" s="180" t="str">
        <f>VLOOKUP(A608,[2]DG!$A:$C,3,0)</f>
        <v>V/c dụng cụ thi công ( cự ly &lt;=500m)</v>
      </c>
    </row>
    <row r="609" spans="1:27" ht="20.100000000000001" hidden="1" customHeight="1">
      <c r="A609" s="873" t="s">
        <v>1000</v>
      </c>
      <c r="B609" s="859" t="s">
        <v>1001</v>
      </c>
      <c r="C609" s="416" t="s">
        <v>1002</v>
      </c>
      <c r="D609" s="364" t="s">
        <v>893</v>
      </c>
      <c r="E609" s="833"/>
      <c r="F609" s="833">
        <f t="shared" si="63"/>
        <v>0</v>
      </c>
      <c r="G609" s="833">
        <f t="shared" si="64"/>
        <v>0</v>
      </c>
      <c r="H609" s="834">
        <v>1</v>
      </c>
      <c r="I609" s="835"/>
      <c r="J609" s="836"/>
      <c r="K609" s="836"/>
      <c r="L609" s="836"/>
      <c r="M609" s="836"/>
      <c r="N609" s="836"/>
      <c r="O609" s="836"/>
      <c r="P609" s="836"/>
      <c r="Q609" s="836"/>
      <c r="R609" s="837"/>
      <c r="T609" s="155"/>
      <c r="U609" s="155">
        <v>166851</v>
      </c>
      <c r="V609" s="430"/>
      <c r="AA609" s="180" t="str">
        <f>VLOOKUP(A609,[2]DG!$A:$C,3,0)</f>
        <v>V/c dụng cụ thi công ( cự ly &gt; 500m)</v>
      </c>
    </row>
    <row r="610" spans="1:27" ht="20.100000000000001" hidden="1" customHeight="1">
      <c r="A610" s="873" t="s">
        <v>1003</v>
      </c>
      <c r="B610" s="859" t="s">
        <v>1004</v>
      </c>
      <c r="C610" s="416" t="s">
        <v>1005</v>
      </c>
      <c r="D610" s="364" t="s">
        <v>171</v>
      </c>
      <c r="E610" s="833"/>
      <c r="F610" s="833">
        <f t="shared" si="63"/>
        <v>0</v>
      </c>
      <c r="G610" s="833">
        <f t="shared" si="64"/>
        <v>0</v>
      </c>
      <c r="H610" s="834">
        <v>1</v>
      </c>
      <c r="I610" s="835"/>
      <c r="J610" s="836"/>
      <c r="K610" s="836"/>
      <c r="L610" s="836"/>
      <c r="M610" s="836"/>
      <c r="N610" s="836"/>
      <c r="O610" s="836"/>
      <c r="P610" s="836"/>
      <c r="Q610" s="836"/>
      <c r="R610" s="837"/>
      <c r="T610" s="155"/>
      <c r="U610" s="155">
        <v>361.56</v>
      </c>
      <c r="V610" s="430"/>
      <c r="AA610" s="180" t="str">
        <f>VLOOKUP(A610,[2]DG!$A:$C,3,0)</f>
        <v>V/c cừ tràm 2,5 -3m( cự ly &lt;=100m)</v>
      </c>
    </row>
    <row r="611" spans="1:27" ht="20.100000000000001" hidden="1" customHeight="1">
      <c r="A611" s="873" t="s">
        <v>1006</v>
      </c>
      <c r="B611" s="859" t="s">
        <v>1007</v>
      </c>
      <c r="C611" s="416" t="s">
        <v>1008</v>
      </c>
      <c r="D611" s="364" t="s">
        <v>171</v>
      </c>
      <c r="E611" s="833"/>
      <c r="F611" s="833">
        <f t="shared" si="63"/>
        <v>0</v>
      </c>
      <c r="G611" s="833">
        <f t="shared" si="64"/>
        <v>0</v>
      </c>
      <c r="H611" s="834">
        <v>1</v>
      </c>
      <c r="I611" s="835"/>
      <c r="J611" s="836"/>
      <c r="K611" s="836"/>
      <c r="L611" s="836"/>
      <c r="M611" s="836"/>
      <c r="N611" s="836"/>
      <c r="O611" s="836"/>
      <c r="P611" s="836"/>
      <c r="Q611" s="836"/>
      <c r="R611" s="837"/>
      <c r="T611" s="155"/>
      <c r="U611" s="155">
        <v>340.81</v>
      </c>
      <c r="V611" s="430"/>
      <c r="AA611" s="180" t="str">
        <f>VLOOKUP(A611,[2]DG!$A:$C,3,0)</f>
        <v>V/c cừ tràm 2,5-3m ( cự ly &lt;=300m)</v>
      </c>
    </row>
    <row r="612" spans="1:27" ht="20.100000000000001" hidden="1" customHeight="1">
      <c r="A612" s="873" t="s">
        <v>1009</v>
      </c>
      <c r="B612" s="859" t="s">
        <v>1010</v>
      </c>
      <c r="C612" s="416" t="s">
        <v>1011</v>
      </c>
      <c r="D612" s="364" t="s">
        <v>171</v>
      </c>
      <c r="E612" s="833"/>
      <c r="F612" s="833">
        <f t="shared" si="63"/>
        <v>0</v>
      </c>
      <c r="G612" s="833">
        <f t="shared" si="64"/>
        <v>0</v>
      </c>
      <c r="H612" s="834">
        <v>1</v>
      </c>
      <c r="I612" s="835"/>
      <c r="J612" s="836"/>
      <c r="K612" s="836"/>
      <c r="L612" s="836"/>
      <c r="M612" s="836"/>
      <c r="N612" s="836"/>
      <c r="O612" s="836"/>
      <c r="P612" s="836"/>
      <c r="Q612" s="836"/>
      <c r="R612" s="837"/>
      <c r="T612" s="155"/>
      <c r="U612" s="155">
        <v>337.85</v>
      </c>
      <c r="V612" s="430"/>
      <c r="AA612" s="180" t="str">
        <f>VLOOKUP(A612,[2]DG!$A:$C,3,0)</f>
        <v>V/c cừ tràm 2,5-3m ( cự ly &lt;=500m)</v>
      </c>
    </row>
    <row r="613" spans="1:27" ht="20.100000000000001" hidden="1" customHeight="1">
      <c r="A613" s="873" t="s">
        <v>1012</v>
      </c>
      <c r="B613" s="859" t="s">
        <v>1013</v>
      </c>
      <c r="C613" s="416" t="s">
        <v>1014</v>
      </c>
      <c r="D613" s="364" t="s">
        <v>171</v>
      </c>
      <c r="E613" s="833"/>
      <c r="F613" s="833">
        <f t="shared" si="63"/>
        <v>0</v>
      </c>
      <c r="G613" s="833">
        <f t="shared" si="64"/>
        <v>0</v>
      </c>
      <c r="H613" s="834">
        <v>1</v>
      </c>
      <c r="I613" s="835"/>
      <c r="J613" s="836"/>
      <c r="K613" s="836"/>
      <c r="L613" s="836"/>
      <c r="M613" s="836"/>
      <c r="N613" s="836"/>
      <c r="O613" s="836"/>
      <c r="P613" s="836"/>
      <c r="Q613" s="836"/>
      <c r="R613" s="837"/>
      <c r="T613" s="155"/>
      <c r="U613" s="155">
        <v>334.89</v>
      </c>
      <c r="V613" s="430"/>
      <c r="AA613" s="180" t="str">
        <f>VLOOKUP(A613,[2]DG!$A:$C,3,0)</f>
        <v>V/c cừ tràm 2,5-3m ( cự ly &gt; 500m)</v>
      </c>
    </row>
    <row r="614" spans="1:27" ht="20.100000000000001" hidden="1" customHeight="1">
      <c r="A614" s="873" t="s">
        <v>1015</v>
      </c>
      <c r="B614" s="859" t="s">
        <v>1016</v>
      </c>
      <c r="C614" s="416" t="s">
        <v>1017</v>
      </c>
      <c r="D614" s="364" t="s">
        <v>171</v>
      </c>
      <c r="E614" s="833"/>
      <c r="F614" s="833">
        <f t="shared" si="63"/>
        <v>0</v>
      </c>
      <c r="G614" s="833">
        <f t="shared" si="64"/>
        <v>0</v>
      </c>
      <c r="H614" s="834">
        <v>1</v>
      </c>
      <c r="I614" s="835"/>
      <c r="J614" s="836"/>
      <c r="K614" s="836"/>
      <c r="L614" s="836"/>
      <c r="M614" s="836"/>
      <c r="N614" s="836"/>
      <c r="O614" s="836"/>
      <c r="P614" s="836"/>
      <c r="Q614" s="836"/>
      <c r="R614" s="837"/>
      <c r="T614" s="155"/>
      <c r="U614" s="155">
        <v>2661.31</v>
      </c>
      <c r="V614" s="430"/>
      <c r="AA614" s="180" t="str">
        <f>VLOOKUP(A614,[2]DG!$A:$C,3,0)</f>
        <v>V/c cừ tràm 5m ( cự ly &lt;=100m)</v>
      </c>
    </row>
    <row r="615" spans="1:27" ht="20.100000000000001" hidden="1" customHeight="1">
      <c r="A615" s="873" t="s">
        <v>1018</v>
      </c>
      <c r="B615" s="859" t="s">
        <v>1019</v>
      </c>
      <c r="C615" s="416" t="s">
        <v>1020</v>
      </c>
      <c r="D615" s="364" t="s">
        <v>171</v>
      </c>
      <c r="E615" s="833"/>
      <c r="F615" s="833">
        <f t="shared" si="63"/>
        <v>0</v>
      </c>
      <c r="G615" s="833">
        <f t="shared" si="64"/>
        <v>0</v>
      </c>
      <c r="H615" s="834">
        <v>1</v>
      </c>
      <c r="I615" s="835"/>
      <c r="J615" s="836"/>
      <c r="K615" s="836"/>
      <c r="L615" s="836"/>
      <c r="M615" s="836"/>
      <c r="N615" s="836"/>
      <c r="O615" s="836"/>
      <c r="P615" s="836"/>
      <c r="Q615" s="836"/>
      <c r="R615" s="837"/>
      <c r="T615" s="155"/>
      <c r="U615" s="155">
        <v>2504.2399999999998</v>
      </c>
      <c r="V615" s="430"/>
      <c r="AA615" s="180" t="str">
        <f>VLOOKUP(A615,[2]DG!$A:$C,3,0)</f>
        <v>V/c cừ tràm 5m ( cự ly &lt;=300m)</v>
      </c>
    </row>
    <row r="616" spans="1:27" ht="20.100000000000001" hidden="1" customHeight="1">
      <c r="A616" s="873" t="s">
        <v>1021</v>
      </c>
      <c r="B616" s="859" t="s">
        <v>1022</v>
      </c>
      <c r="C616" s="416" t="s">
        <v>1023</v>
      </c>
      <c r="D616" s="364" t="s">
        <v>171</v>
      </c>
      <c r="E616" s="833"/>
      <c r="F616" s="833">
        <f t="shared" si="63"/>
        <v>0</v>
      </c>
      <c r="G616" s="833">
        <f t="shared" si="64"/>
        <v>0</v>
      </c>
      <c r="H616" s="834">
        <v>1</v>
      </c>
      <c r="I616" s="835"/>
      <c r="J616" s="836"/>
      <c r="K616" s="836"/>
      <c r="L616" s="836"/>
      <c r="M616" s="836"/>
      <c r="N616" s="836"/>
      <c r="O616" s="836"/>
      <c r="P616" s="836"/>
      <c r="Q616" s="836"/>
      <c r="R616" s="837"/>
      <c r="T616" s="155"/>
      <c r="U616" s="155">
        <v>2471.64</v>
      </c>
      <c r="V616" s="430"/>
      <c r="AA616" s="180" t="str">
        <f>VLOOKUP(A616,[2]DG!$A:$C,3,0)</f>
        <v>V/c cừ tràm 5m ( cự ly &lt;=500m)</v>
      </c>
    </row>
    <row r="617" spans="1:27" ht="20.100000000000001" hidden="1" customHeight="1">
      <c r="A617" s="873" t="s">
        <v>1024</v>
      </c>
      <c r="B617" s="859" t="s">
        <v>1025</v>
      </c>
      <c r="C617" s="416" t="s">
        <v>1026</v>
      </c>
      <c r="D617" s="364" t="s">
        <v>171</v>
      </c>
      <c r="E617" s="833"/>
      <c r="F617" s="833">
        <f t="shared" si="63"/>
        <v>0</v>
      </c>
      <c r="G617" s="833">
        <f t="shared" si="64"/>
        <v>0</v>
      </c>
      <c r="H617" s="834">
        <v>1</v>
      </c>
      <c r="I617" s="835"/>
      <c r="J617" s="836"/>
      <c r="K617" s="836"/>
      <c r="L617" s="836"/>
      <c r="M617" s="836"/>
      <c r="N617" s="836"/>
      <c r="O617" s="836"/>
      <c r="P617" s="836"/>
      <c r="Q617" s="836"/>
      <c r="R617" s="837"/>
      <c r="T617" s="155"/>
      <c r="U617" s="155">
        <v>2444.9699999999998</v>
      </c>
      <c r="V617" s="430"/>
      <c r="AA617" s="180" t="str">
        <f>VLOOKUP(A617,[2]DG!$A:$C,3,0)</f>
        <v>V/c cừ tràm 5m ( cự ly &gt; 500m)</v>
      </c>
    </row>
    <row r="618" spans="1:27" ht="20.100000000000001" hidden="1" customHeight="1">
      <c r="A618" s="873" t="s">
        <v>1027</v>
      </c>
      <c r="B618" s="859" t="s">
        <v>1028</v>
      </c>
      <c r="C618" s="421" t="s">
        <v>1029</v>
      </c>
      <c r="D618" s="364" t="s">
        <v>893</v>
      </c>
      <c r="E618" s="833"/>
      <c r="F618" s="833">
        <f t="shared" si="63"/>
        <v>0</v>
      </c>
      <c r="G618" s="833">
        <f t="shared" si="64"/>
        <v>0</v>
      </c>
      <c r="H618" s="834">
        <v>1</v>
      </c>
      <c r="I618" s="835"/>
      <c r="J618" s="836"/>
      <c r="K618" s="836"/>
      <c r="L618" s="836"/>
      <c r="M618" s="836"/>
      <c r="N618" s="836"/>
      <c r="O618" s="836"/>
      <c r="P618" s="836"/>
      <c r="Q618" s="836"/>
      <c r="R618" s="837"/>
      <c r="T618" s="155"/>
      <c r="U618" s="155">
        <v>144624</v>
      </c>
      <c r="V618" s="430"/>
      <c r="AA618" s="180" t="str">
        <f>VLOOKUP(A618,[2]DG!$A:$C,3,0)</f>
        <v>V/c xi măng ( cự ly &lt;=100m)</v>
      </c>
    </row>
    <row r="619" spans="1:27" ht="20.100000000000001" hidden="1" customHeight="1">
      <c r="A619" s="873" t="s">
        <v>1030</v>
      </c>
      <c r="B619" s="859" t="s">
        <v>1031</v>
      </c>
      <c r="C619" s="421" t="s">
        <v>1032</v>
      </c>
      <c r="D619" s="364" t="s">
        <v>893</v>
      </c>
      <c r="E619" s="833"/>
      <c r="F619" s="833">
        <f t="shared" si="63"/>
        <v>0</v>
      </c>
      <c r="G619" s="833">
        <f t="shared" si="64"/>
        <v>0</v>
      </c>
      <c r="H619" s="834">
        <v>1</v>
      </c>
      <c r="I619" s="835"/>
      <c r="J619" s="836"/>
      <c r="K619" s="836"/>
      <c r="L619" s="836"/>
      <c r="M619" s="836"/>
      <c r="N619" s="836"/>
      <c r="O619" s="836"/>
      <c r="P619" s="836"/>
      <c r="Q619" s="836"/>
      <c r="R619" s="837"/>
      <c r="T619" s="155"/>
      <c r="U619" s="155">
        <v>136029</v>
      </c>
      <c r="V619" s="430"/>
      <c r="AA619" s="180" t="str">
        <f>VLOOKUP(A619,[2]DG!$A:$C,3,0)</f>
        <v>V/c xi măng ( cự ly &lt;=300m)</v>
      </c>
    </row>
    <row r="620" spans="1:27" ht="20.100000000000001" hidden="1" customHeight="1">
      <c r="A620" s="873" t="s">
        <v>1033</v>
      </c>
      <c r="B620" s="859" t="s">
        <v>1034</v>
      </c>
      <c r="C620" s="421" t="s">
        <v>1035</v>
      </c>
      <c r="D620" s="364" t="s">
        <v>893</v>
      </c>
      <c r="E620" s="833"/>
      <c r="F620" s="833">
        <f t="shared" si="63"/>
        <v>0</v>
      </c>
      <c r="G620" s="833">
        <f t="shared" si="64"/>
        <v>0</v>
      </c>
      <c r="H620" s="834">
        <v>1</v>
      </c>
      <c r="I620" s="835"/>
      <c r="J620" s="836"/>
      <c r="K620" s="836"/>
      <c r="L620" s="836"/>
      <c r="M620" s="836"/>
      <c r="N620" s="836"/>
      <c r="O620" s="836"/>
      <c r="P620" s="836"/>
      <c r="Q620" s="836"/>
      <c r="R620" s="837"/>
      <c r="T620" s="155"/>
      <c r="U620" s="155">
        <v>134844</v>
      </c>
      <c r="V620" s="430"/>
      <c r="AA620" s="180" t="str">
        <f>VLOOKUP(A620,[2]DG!$A:$C,3,0)</f>
        <v>V/c xi măng ( cự ly &lt;=500m)</v>
      </c>
    </row>
    <row r="621" spans="1:27" ht="20.100000000000001" hidden="1" customHeight="1">
      <c r="A621" s="873" t="s">
        <v>1036</v>
      </c>
      <c r="B621" s="859" t="s">
        <v>1037</v>
      </c>
      <c r="C621" s="421" t="s">
        <v>1038</v>
      </c>
      <c r="D621" s="364" t="s">
        <v>893</v>
      </c>
      <c r="E621" s="833"/>
      <c r="F621" s="833">
        <f t="shared" si="63"/>
        <v>0</v>
      </c>
      <c r="G621" s="833">
        <f t="shared" si="64"/>
        <v>0</v>
      </c>
      <c r="H621" s="834">
        <v>1</v>
      </c>
      <c r="I621" s="835"/>
      <c r="J621" s="836"/>
      <c r="K621" s="836"/>
      <c r="L621" s="836"/>
      <c r="M621" s="836"/>
      <c r="N621" s="836"/>
      <c r="O621" s="836"/>
      <c r="P621" s="836"/>
      <c r="Q621" s="836"/>
      <c r="R621" s="837"/>
      <c r="T621" s="155"/>
      <c r="U621" s="155">
        <v>133955</v>
      </c>
      <c r="V621" s="430"/>
      <c r="AA621" s="180" t="str">
        <f>VLOOKUP(A621,[2]DG!$A:$C,3,0)</f>
        <v>V/c xi măng ( cự ly &gt;500m)</v>
      </c>
    </row>
    <row r="622" spans="1:27" ht="20.100000000000001" hidden="1" customHeight="1">
      <c r="A622" s="873" t="s">
        <v>1039</v>
      </c>
      <c r="B622" s="859" t="s">
        <v>1040</v>
      </c>
      <c r="C622" s="421" t="s">
        <v>1041</v>
      </c>
      <c r="D622" s="364" t="s">
        <v>476</v>
      </c>
      <c r="E622" s="833"/>
      <c r="F622" s="833">
        <f t="shared" si="63"/>
        <v>0</v>
      </c>
      <c r="G622" s="833">
        <f t="shared" si="64"/>
        <v>0</v>
      </c>
      <c r="H622" s="834">
        <v>1</v>
      </c>
      <c r="I622" s="835"/>
      <c r="J622" s="836"/>
      <c r="K622" s="836"/>
      <c r="L622" s="836"/>
      <c r="M622" s="836"/>
      <c r="N622" s="836"/>
      <c r="O622" s="836"/>
      <c r="P622" s="836"/>
      <c r="Q622" s="836"/>
      <c r="R622" s="837"/>
      <c r="T622" s="155"/>
      <c r="U622" s="155">
        <v>142253</v>
      </c>
      <c r="V622" s="430"/>
      <c r="AA622" s="180" t="str">
        <f>VLOOKUP(A622,[2]DG!$A:$C,3,0)</f>
        <v>V/c đá dăm ( cự ly &lt;=100m)</v>
      </c>
    </row>
    <row r="623" spans="1:27" ht="20.100000000000001" hidden="1" customHeight="1">
      <c r="A623" s="873" t="s">
        <v>1042</v>
      </c>
      <c r="B623" s="859" t="s">
        <v>1043</v>
      </c>
      <c r="C623" s="421" t="s">
        <v>1044</v>
      </c>
      <c r="D623" s="364" t="s">
        <v>476</v>
      </c>
      <c r="E623" s="833"/>
      <c r="F623" s="833">
        <f t="shared" si="63"/>
        <v>0</v>
      </c>
      <c r="G623" s="833">
        <f t="shared" si="64"/>
        <v>0</v>
      </c>
      <c r="H623" s="834">
        <v>1</v>
      </c>
      <c r="I623" s="835"/>
      <c r="J623" s="836"/>
      <c r="K623" s="836"/>
      <c r="L623" s="836"/>
      <c r="M623" s="836"/>
      <c r="N623" s="836"/>
      <c r="O623" s="836"/>
      <c r="P623" s="836"/>
      <c r="Q623" s="836"/>
      <c r="R623" s="837"/>
      <c r="T623" s="155"/>
      <c r="U623" s="155">
        <v>136326</v>
      </c>
      <c r="V623" s="430"/>
      <c r="AA623" s="180" t="str">
        <f>VLOOKUP(A623,[2]DG!$A:$C,3,0)</f>
        <v>V/c đá dăm ( cự ly &lt;=300m)</v>
      </c>
    </row>
    <row r="624" spans="1:27" ht="20.100000000000001" hidden="1" customHeight="1">
      <c r="A624" s="873" t="s">
        <v>1045</v>
      </c>
      <c r="B624" s="859" t="s">
        <v>1046</v>
      </c>
      <c r="C624" s="421" t="s">
        <v>1047</v>
      </c>
      <c r="D624" s="364" t="s">
        <v>476</v>
      </c>
      <c r="E624" s="833"/>
      <c r="F624" s="833">
        <f t="shared" si="63"/>
        <v>0</v>
      </c>
      <c r="G624" s="833">
        <f t="shared" si="64"/>
        <v>0</v>
      </c>
      <c r="H624" s="834">
        <v>1</v>
      </c>
      <c r="I624" s="835"/>
      <c r="J624" s="836"/>
      <c r="K624" s="836"/>
      <c r="L624" s="836"/>
      <c r="M624" s="836"/>
      <c r="N624" s="836"/>
      <c r="O624" s="836"/>
      <c r="P624" s="836"/>
      <c r="Q624" s="836"/>
      <c r="R624" s="837"/>
      <c r="T624" s="155"/>
      <c r="U624" s="155">
        <v>135140</v>
      </c>
      <c r="V624" s="430"/>
      <c r="AA624" s="180" t="str">
        <f>VLOOKUP(A624,[2]DG!$A:$C,3,0)</f>
        <v>V/c đá dăm ( cự ly &lt;=500m)</v>
      </c>
    </row>
    <row r="625" spans="1:27" ht="20.100000000000001" hidden="1" customHeight="1">
      <c r="A625" s="873" t="s">
        <v>1048</v>
      </c>
      <c r="B625" s="859" t="s">
        <v>1049</v>
      </c>
      <c r="C625" s="421" t="s">
        <v>1050</v>
      </c>
      <c r="D625" s="364" t="s">
        <v>476</v>
      </c>
      <c r="E625" s="833"/>
      <c r="F625" s="833">
        <f t="shared" si="63"/>
        <v>0</v>
      </c>
      <c r="G625" s="833">
        <f t="shared" si="64"/>
        <v>0</v>
      </c>
      <c r="H625" s="834">
        <v>1</v>
      </c>
      <c r="I625" s="835"/>
      <c r="J625" s="836"/>
      <c r="K625" s="836"/>
      <c r="L625" s="836"/>
      <c r="M625" s="836"/>
      <c r="N625" s="836"/>
      <c r="O625" s="836"/>
      <c r="P625" s="836"/>
      <c r="Q625" s="836"/>
      <c r="R625" s="837"/>
      <c r="T625" s="155"/>
      <c r="U625" s="155">
        <v>134251</v>
      </c>
      <c r="V625" s="430"/>
      <c r="AA625" s="180" t="str">
        <f>VLOOKUP(A625,[2]DG!$A:$C,3,0)</f>
        <v>V/c đá dăm ( cự ly &gt;500m)</v>
      </c>
    </row>
    <row r="626" spans="1:27" ht="20.100000000000001" hidden="1" customHeight="1">
      <c r="A626" s="873" t="s">
        <v>1051</v>
      </c>
      <c r="B626" s="859" t="s">
        <v>1052</v>
      </c>
      <c r="C626" s="421" t="s">
        <v>1053</v>
      </c>
      <c r="D626" s="364" t="s">
        <v>476</v>
      </c>
      <c r="E626" s="833"/>
      <c r="F626" s="833">
        <f t="shared" si="63"/>
        <v>0</v>
      </c>
      <c r="G626" s="833">
        <f t="shared" si="64"/>
        <v>0</v>
      </c>
      <c r="H626" s="834">
        <v>1</v>
      </c>
      <c r="I626" s="835"/>
      <c r="J626" s="836"/>
      <c r="K626" s="836"/>
      <c r="L626" s="836"/>
      <c r="M626" s="836"/>
      <c r="N626" s="836"/>
      <c r="O626" s="836"/>
      <c r="P626" s="836"/>
      <c r="Q626" s="836"/>
      <c r="R626" s="837"/>
      <c r="T626" s="155"/>
      <c r="U626" s="155">
        <v>122989</v>
      </c>
      <c r="V626" s="430"/>
      <c r="AA626" s="180" t="str">
        <f>VLOOKUP(A626,[2]DG!$A:$C,3,0)</f>
        <v>V/c đất đi đổ ( cự ly &gt;500m) Cấp I</v>
      </c>
    </row>
    <row r="627" spans="1:27" ht="20.100000000000001" hidden="1" customHeight="1">
      <c r="A627" s="873" t="s">
        <v>1054</v>
      </c>
      <c r="B627" s="859" t="s">
        <v>1055</v>
      </c>
      <c r="C627" s="421" t="s">
        <v>1056</v>
      </c>
      <c r="D627" s="364" t="s">
        <v>476</v>
      </c>
      <c r="E627" s="833"/>
      <c r="F627" s="833">
        <f t="shared" si="63"/>
        <v>0</v>
      </c>
      <c r="G627" s="833">
        <f t="shared" si="64"/>
        <v>0</v>
      </c>
      <c r="H627" s="834">
        <v>1</v>
      </c>
      <c r="I627" s="835"/>
      <c r="J627" s="836"/>
      <c r="K627" s="836"/>
      <c r="L627" s="836"/>
      <c r="M627" s="836"/>
      <c r="N627" s="836"/>
      <c r="O627" s="836"/>
      <c r="P627" s="836"/>
      <c r="Q627" s="836"/>
      <c r="R627" s="837"/>
      <c r="T627" s="155"/>
      <c r="U627" s="155">
        <v>126842</v>
      </c>
      <c r="V627" s="430"/>
      <c r="AA627" s="180" t="str">
        <f>VLOOKUP(A627,[2]DG!$A:$C,3,0)</f>
        <v>V/c đất đi đổ ( cự ly &gt;500m) Cấp II</v>
      </c>
    </row>
    <row r="628" spans="1:27" ht="20.100000000000001" hidden="1" customHeight="1">
      <c r="A628" s="873" t="s">
        <v>1057</v>
      </c>
      <c r="B628" s="859" t="s">
        <v>1058</v>
      </c>
      <c r="C628" s="421" t="s">
        <v>1059</v>
      </c>
      <c r="D628" s="364" t="s">
        <v>476</v>
      </c>
      <c r="E628" s="833"/>
      <c r="F628" s="833">
        <f t="shared" si="63"/>
        <v>0</v>
      </c>
      <c r="G628" s="833">
        <f t="shared" si="64"/>
        <v>0</v>
      </c>
      <c r="H628" s="834">
        <v>1</v>
      </c>
      <c r="I628" s="835"/>
      <c r="J628" s="836"/>
      <c r="K628" s="836"/>
      <c r="L628" s="836"/>
      <c r="M628" s="836"/>
      <c r="N628" s="836"/>
      <c r="O628" s="836"/>
      <c r="P628" s="836"/>
      <c r="Q628" s="836"/>
      <c r="R628" s="837"/>
      <c r="T628" s="155"/>
      <c r="U628" s="155">
        <v>137807</v>
      </c>
      <c r="V628" s="430"/>
      <c r="AA628" s="180" t="str">
        <f>VLOOKUP(A628,[2]DG!$A:$C,3,0)</f>
        <v>V/c đất đi đổ ( cự ly &gt;500m) Cấp III</v>
      </c>
    </row>
    <row r="629" spans="1:27" ht="20.100000000000001" hidden="1" customHeight="1">
      <c r="A629" s="873" t="s">
        <v>1060</v>
      </c>
      <c r="B629" s="859" t="s">
        <v>1061</v>
      </c>
      <c r="C629" s="421" t="s">
        <v>1062</v>
      </c>
      <c r="D629" s="364" t="s">
        <v>476</v>
      </c>
      <c r="E629" s="833"/>
      <c r="F629" s="833">
        <f t="shared" si="63"/>
        <v>0</v>
      </c>
      <c r="G629" s="833">
        <f t="shared" si="64"/>
        <v>0</v>
      </c>
      <c r="H629" s="834">
        <v>1</v>
      </c>
      <c r="I629" s="835"/>
      <c r="J629" s="836"/>
      <c r="K629" s="836"/>
      <c r="L629" s="836"/>
      <c r="M629" s="836"/>
      <c r="N629" s="836"/>
      <c r="O629" s="836"/>
      <c r="P629" s="836"/>
      <c r="Q629" s="836"/>
      <c r="R629" s="837"/>
      <c r="T629" s="155"/>
      <c r="U629" s="155">
        <v>149069</v>
      </c>
      <c r="V629" s="430"/>
      <c r="AA629" s="180" t="str">
        <f>VLOOKUP(A629,[2]DG!$A:$C,3,0)</f>
        <v>V/c đất đi đổ ( cự ly &gt;500m) Cấp IV</v>
      </c>
    </row>
    <row r="630" spans="1:27" ht="20.100000000000001" hidden="1" customHeight="1">
      <c r="A630" s="873" t="s">
        <v>1063</v>
      </c>
      <c r="B630" s="859" t="s">
        <v>1064</v>
      </c>
      <c r="C630" s="421" t="s">
        <v>1065</v>
      </c>
      <c r="D630" s="364" t="s">
        <v>476</v>
      </c>
      <c r="E630" s="833"/>
      <c r="F630" s="833">
        <f t="shared" si="63"/>
        <v>0</v>
      </c>
      <c r="G630" s="833">
        <f t="shared" si="64"/>
        <v>0</v>
      </c>
      <c r="H630" s="834">
        <v>1</v>
      </c>
      <c r="I630" s="835"/>
      <c r="J630" s="836"/>
      <c r="K630" s="836"/>
      <c r="L630" s="836"/>
      <c r="M630" s="836"/>
      <c r="N630" s="836"/>
      <c r="O630" s="836"/>
      <c r="P630" s="836"/>
      <c r="Q630" s="836"/>
      <c r="R630" s="837"/>
      <c r="T630" s="155"/>
      <c r="U630" s="155">
        <v>130398</v>
      </c>
      <c r="V630" s="430"/>
      <c r="AA630" s="180" t="str">
        <f>VLOOKUP(A630,[2]DG!$A:$C,3,0)</f>
        <v>V/c cát đen cự ly &lt;=100m</v>
      </c>
    </row>
    <row r="631" spans="1:27" ht="20.100000000000001" hidden="1" customHeight="1">
      <c r="A631" s="873" t="s">
        <v>3675</v>
      </c>
      <c r="B631" s="859" t="s">
        <v>1066</v>
      </c>
      <c r="C631" s="421" t="s">
        <v>1067</v>
      </c>
      <c r="D631" s="364" t="s">
        <v>476</v>
      </c>
      <c r="E631" s="833"/>
      <c r="F631" s="833">
        <f t="shared" si="63"/>
        <v>0</v>
      </c>
      <c r="G631" s="833">
        <f t="shared" si="64"/>
        <v>0</v>
      </c>
      <c r="H631" s="834">
        <v>1</v>
      </c>
      <c r="I631" s="835"/>
      <c r="J631" s="836"/>
      <c r="K631" s="836"/>
      <c r="L631" s="836"/>
      <c r="M631" s="836"/>
      <c r="N631" s="836"/>
      <c r="O631" s="836"/>
      <c r="P631" s="836"/>
      <c r="Q631" s="836"/>
      <c r="R631" s="837"/>
      <c r="T631" s="155"/>
      <c r="U631" s="155">
        <v>124768</v>
      </c>
      <c r="V631" s="430"/>
      <c r="AA631" s="180" t="str">
        <f>VLOOKUP(A631,[2]DG!$A:$C,3,0)</f>
        <v>V/c cát đen cự ly &lt;=300m</v>
      </c>
    </row>
    <row r="632" spans="1:27" ht="20.100000000000001" hidden="1" customHeight="1">
      <c r="A632" s="873" t="s">
        <v>3676</v>
      </c>
      <c r="B632" s="859" t="s">
        <v>1068</v>
      </c>
      <c r="C632" s="421" t="s">
        <v>1069</v>
      </c>
      <c r="D632" s="364" t="s">
        <v>476</v>
      </c>
      <c r="E632" s="833"/>
      <c r="F632" s="833">
        <f t="shared" si="63"/>
        <v>0</v>
      </c>
      <c r="G632" s="833">
        <f t="shared" si="64"/>
        <v>0</v>
      </c>
      <c r="H632" s="834">
        <v>1</v>
      </c>
      <c r="I632" s="835"/>
      <c r="J632" s="836"/>
      <c r="K632" s="836"/>
      <c r="L632" s="836"/>
      <c r="M632" s="836"/>
      <c r="N632" s="836"/>
      <c r="O632" s="836"/>
      <c r="P632" s="836"/>
      <c r="Q632" s="836"/>
      <c r="R632" s="837"/>
      <c r="T632" s="155"/>
      <c r="U632" s="155">
        <v>123582</v>
      </c>
      <c r="V632" s="430"/>
      <c r="AA632" s="180" t="str">
        <f>VLOOKUP(A632,[2]DG!$A:$C,3,0)</f>
        <v>V/c cát đen cự ly &lt;=500m</v>
      </c>
    </row>
    <row r="633" spans="1:27" ht="20.100000000000001" hidden="1" customHeight="1">
      <c r="A633" s="873" t="s">
        <v>3677</v>
      </c>
      <c r="B633" s="859" t="s">
        <v>1070</v>
      </c>
      <c r="C633" s="421" t="s">
        <v>1071</v>
      </c>
      <c r="D633" s="364" t="s">
        <v>476</v>
      </c>
      <c r="E633" s="833"/>
      <c r="F633" s="833">
        <f t="shared" si="63"/>
        <v>0</v>
      </c>
      <c r="G633" s="833">
        <f t="shared" si="64"/>
        <v>0</v>
      </c>
      <c r="H633" s="834">
        <v>1</v>
      </c>
      <c r="I633" s="835"/>
      <c r="J633" s="836"/>
      <c r="K633" s="836"/>
      <c r="L633" s="836"/>
      <c r="M633" s="836"/>
      <c r="N633" s="836"/>
      <c r="O633" s="836"/>
      <c r="P633" s="836"/>
      <c r="Q633" s="836"/>
      <c r="R633" s="837"/>
      <c r="T633" s="155"/>
      <c r="U633" s="155">
        <v>122989</v>
      </c>
      <c r="V633" s="430"/>
      <c r="AA633" s="180" t="str">
        <f>VLOOKUP(A633,[2]DG!$A:$C,3,0)</f>
        <v>V/c cát đen cự ly &gt;500m</v>
      </c>
    </row>
    <row r="634" spans="1:27" ht="20.100000000000001" hidden="1" customHeight="1">
      <c r="A634" s="873" t="s">
        <v>1072</v>
      </c>
      <c r="B634" s="859" t="s">
        <v>1073</v>
      </c>
      <c r="C634" s="421" t="s">
        <v>1074</v>
      </c>
      <c r="D634" s="364" t="s">
        <v>476</v>
      </c>
      <c r="E634" s="833"/>
      <c r="F634" s="833">
        <f t="shared" si="63"/>
        <v>0</v>
      </c>
      <c r="G634" s="833">
        <f t="shared" si="64"/>
        <v>0</v>
      </c>
      <c r="H634" s="834">
        <v>1</v>
      </c>
      <c r="I634" s="835"/>
      <c r="J634" s="836"/>
      <c r="K634" s="836"/>
      <c r="L634" s="836"/>
      <c r="M634" s="836"/>
      <c r="N634" s="836"/>
      <c r="O634" s="836"/>
      <c r="P634" s="836"/>
      <c r="Q634" s="836"/>
      <c r="R634" s="837"/>
      <c r="T634" s="155"/>
      <c r="U634" s="155">
        <v>135437</v>
      </c>
      <c r="V634" s="430"/>
      <c r="AA634" s="180" t="str">
        <f>VLOOKUP(A634,[2]DG!$A:$C,3,0)</f>
        <v>V/c cát vàng cự ly &lt;=100m</v>
      </c>
    </row>
    <row r="635" spans="1:27" ht="20.100000000000001" hidden="1" customHeight="1">
      <c r="A635" s="873" t="s">
        <v>1075</v>
      </c>
      <c r="B635" s="859" t="s">
        <v>1076</v>
      </c>
      <c r="C635" s="421" t="s">
        <v>1077</v>
      </c>
      <c r="D635" s="364" t="s">
        <v>476</v>
      </c>
      <c r="E635" s="833"/>
      <c r="F635" s="833">
        <f t="shared" si="63"/>
        <v>0</v>
      </c>
      <c r="G635" s="833">
        <f t="shared" si="64"/>
        <v>0</v>
      </c>
      <c r="H635" s="834">
        <v>1</v>
      </c>
      <c r="I635" s="835"/>
      <c r="J635" s="836"/>
      <c r="K635" s="836"/>
      <c r="L635" s="836"/>
      <c r="M635" s="836"/>
      <c r="N635" s="836"/>
      <c r="O635" s="836"/>
      <c r="P635" s="836"/>
      <c r="Q635" s="836"/>
      <c r="R635" s="837"/>
      <c r="T635" s="155"/>
      <c r="U635" s="155">
        <v>129509</v>
      </c>
      <c r="V635" s="430"/>
      <c r="AA635" s="180" t="str">
        <f>VLOOKUP(A635,[2]DG!$A:$C,3,0)</f>
        <v>V/c cát vàng cự ly &lt;=300m</v>
      </c>
    </row>
    <row r="636" spans="1:27" ht="20.100000000000001" hidden="1" customHeight="1">
      <c r="A636" s="873" t="s">
        <v>1078</v>
      </c>
      <c r="B636" s="859" t="s">
        <v>1079</v>
      </c>
      <c r="C636" s="421" t="s">
        <v>1080</v>
      </c>
      <c r="D636" s="364" t="s">
        <v>476</v>
      </c>
      <c r="E636" s="833"/>
      <c r="F636" s="833">
        <f t="shared" si="63"/>
        <v>0</v>
      </c>
      <c r="G636" s="833">
        <f t="shared" si="64"/>
        <v>0</v>
      </c>
      <c r="H636" s="834">
        <v>1</v>
      </c>
      <c r="I636" s="835"/>
      <c r="J636" s="836"/>
      <c r="K636" s="836"/>
      <c r="L636" s="836"/>
      <c r="M636" s="836"/>
      <c r="N636" s="836"/>
      <c r="O636" s="836"/>
      <c r="P636" s="836"/>
      <c r="Q636" s="836"/>
      <c r="R636" s="837"/>
      <c r="T636" s="155"/>
      <c r="U636" s="155">
        <v>128324</v>
      </c>
      <c r="V636" s="430"/>
      <c r="AA636" s="180" t="str">
        <f>VLOOKUP(A636,[2]DG!$A:$C,3,0)</f>
        <v>V/c cát vàng cự ly &lt;=500m</v>
      </c>
    </row>
    <row r="637" spans="1:27" ht="20.100000000000001" hidden="1" customHeight="1">
      <c r="A637" s="873" t="s">
        <v>1081</v>
      </c>
      <c r="B637" s="859" t="s">
        <v>1082</v>
      </c>
      <c r="C637" s="421" t="s">
        <v>1083</v>
      </c>
      <c r="D637" s="364" t="s">
        <v>476</v>
      </c>
      <c r="E637" s="833"/>
      <c r="F637" s="833">
        <f t="shared" si="63"/>
        <v>0</v>
      </c>
      <c r="G637" s="833">
        <f t="shared" si="64"/>
        <v>0</v>
      </c>
      <c r="H637" s="834">
        <v>1</v>
      </c>
      <c r="I637" s="835"/>
      <c r="J637" s="836"/>
      <c r="K637" s="836"/>
      <c r="L637" s="836"/>
      <c r="M637" s="836"/>
      <c r="N637" s="836"/>
      <c r="O637" s="836"/>
      <c r="P637" s="836"/>
      <c r="Q637" s="836"/>
      <c r="R637" s="837"/>
      <c r="T637" s="155"/>
      <c r="U637" s="155">
        <v>126842</v>
      </c>
      <c r="V637" s="430"/>
      <c r="AA637" s="180" t="str">
        <f>VLOOKUP(A637,[2]DG!$A:$C,3,0)</f>
        <v>V/c cát cự vàng ly &gt;500m</v>
      </c>
    </row>
    <row r="638" spans="1:27" ht="20.100000000000001" hidden="1" customHeight="1">
      <c r="A638" s="873" t="s">
        <v>1084</v>
      </c>
      <c r="B638" s="859" t="s">
        <v>944</v>
      </c>
      <c r="C638" s="421" t="s">
        <v>1085</v>
      </c>
      <c r="D638" s="364" t="s">
        <v>893</v>
      </c>
      <c r="E638" s="833"/>
      <c r="F638" s="833">
        <f t="shared" si="63"/>
        <v>0</v>
      </c>
      <c r="G638" s="833">
        <f t="shared" si="64"/>
        <v>0</v>
      </c>
      <c r="H638" s="834">
        <v>1</v>
      </c>
      <c r="I638" s="835"/>
      <c r="J638" s="836"/>
      <c r="K638" s="836"/>
      <c r="L638" s="836"/>
      <c r="M638" s="836"/>
      <c r="N638" s="836"/>
      <c r="O638" s="836"/>
      <c r="P638" s="836"/>
      <c r="Q638" s="836"/>
      <c r="R638" s="837"/>
      <c r="T638" s="155"/>
      <c r="U638" s="155">
        <v>221974</v>
      </c>
      <c r="V638" s="430"/>
      <c r="AA638" s="180" t="str">
        <f>VLOOKUP(A638,[2]DG!$A:$C,3,0)</f>
        <v>V/c cốt thép ( cự ly &lt;=100m)</v>
      </c>
    </row>
    <row r="639" spans="1:27" ht="20.100000000000001" hidden="1" customHeight="1">
      <c r="A639" s="873" t="s">
        <v>1086</v>
      </c>
      <c r="B639" s="859" t="s">
        <v>947</v>
      </c>
      <c r="C639" s="421" t="s">
        <v>1087</v>
      </c>
      <c r="D639" s="364" t="s">
        <v>893</v>
      </c>
      <c r="E639" s="833"/>
      <c r="F639" s="833">
        <f t="shared" si="63"/>
        <v>0</v>
      </c>
      <c r="G639" s="833">
        <f t="shared" si="64"/>
        <v>0</v>
      </c>
      <c r="H639" s="834">
        <v>1</v>
      </c>
      <c r="I639" s="835"/>
      <c r="J639" s="836"/>
      <c r="K639" s="836"/>
      <c r="L639" s="836"/>
      <c r="M639" s="836"/>
      <c r="N639" s="836"/>
      <c r="O639" s="836"/>
      <c r="P639" s="836"/>
      <c r="Q639" s="836"/>
      <c r="R639" s="837"/>
      <c r="T639" s="155"/>
      <c r="U639" s="155">
        <v>208341</v>
      </c>
      <c r="V639" s="430"/>
      <c r="AA639" s="180" t="str">
        <f>VLOOKUP(A639,[2]DG!$A:$C,3,0)</f>
        <v>V/c cốt thép ( cự ly &lt;=300m)</v>
      </c>
    </row>
    <row r="640" spans="1:27" ht="20.100000000000001" hidden="1" customHeight="1">
      <c r="A640" s="873" t="s">
        <v>1088</v>
      </c>
      <c r="B640" s="859" t="s">
        <v>950</v>
      </c>
      <c r="C640" s="421" t="s">
        <v>1089</v>
      </c>
      <c r="D640" s="364" t="s">
        <v>893</v>
      </c>
      <c r="E640" s="833"/>
      <c r="F640" s="833">
        <f t="shared" si="63"/>
        <v>0</v>
      </c>
      <c r="G640" s="833">
        <f t="shared" si="64"/>
        <v>0</v>
      </c>
      <c r="H640" s="834">
        <v>1</v>
      </c>
      <c r="I640" s="835"/>
      <c r="J640" s="836"/>
      <c r="K640" s="836"/>
      <c r="L640" s="836"/>
      <c r="M640" s="836"/>
      <c r="N640" s="836"/>
      <c r="O640" s="836"/>
      <c r="P640" s="836"/>
      <c r="Q640" s="836"/>
      <c r="R640" s="837"/>
      <c r="T640" s="155"/>
      <c r="U640" s="155">
        <v>205674</v>
      </c>
      <c r="V640" s="430"/>
      <c r="AA640" s="180" t="str">
        <f>VLOOKUP(A640,[2]DG!$A:$C,3,0)</f>
        <v>V/c cốt thép ( cự ly &lt;=500m)</v>
      </c>
    </row>
    <row r="641" spans="1:27" ht="20.100000000000001" hidden="1" customHeight="1">
      <c r="A641" s="873" t="s">
        <v>1090</v>
      </c>
      <c r="B641" s="859" t="s">
        <v>953</v>
      </c>
      <c r="C641" s="421" t="s">
        <v>1091</v>
      </c>
      <c r="D641" s="364" t="s">
        <v>893</v>
      </c>
      <c r="E641" s="833"/>
      <c r="F641" s="833">
        <f t="shared" si="63"/>
        <v>0</v>
      </c>
      <c r="G641" s="833">
        <f t="shared" si="64"/>
        <v>0</v>
      </c>
      <c r="H641" s="834">
        <v>1</v>
      </c>
      <c r="I641" s="835"/>
      <c r="J641" s="836"/>
      <c r="K641" s="836"/>
      <c r="L641" s="836"/>
      <c r="M641" s="836"/>
      <c r="N641" s="836"/>
      <c r="O641" s="836"/>
      <c r="P641" s="836"/>
      <c r="Q641" s="836"/>
      <c r="R641" s="837"/>
      <c r="T641" s="155"/>
      <c r="U641" s="155">
        <v>188781</v>
      </c>
      <c r="V641" s="430"/>
      <c r="AA641" s="180" t="str">
        <f>VLOOKUP(A641,[2]DG!$A:$C,3,0)</f>
        <v>V/c cốt thép ( cự ly &gt;500m)</v>
      </c>
    </row>
    <row r="642" spans="1:27" ht="20.100000000000001" hidden="1" customHeight="1">
      <c r="A642" s="873" t="s">
        <v>1092</v>
      </c>
      <c r="B642" s="859" t="s">
        <v>1093</v>
      </c>
      <c r="C642" s="421" t="s">
        <v>1094</v>
      </c>
      <c r="D642" s="364" t="s">
        <v>893</v>
      </c>
      <c r="E642" s="833"/>
      <c r="F642" s="833">
        <f t="shared" si="63"/>
        <v>0</v>
      </c>
      <c r="G642" s="833">
        <f t="shared" si="64"/>
        <v>0</v>
      </c>
      <c r="H642" s="834">
        <v>1</v>
      </c>
      <c r="I642" s="835"/>
      <c r="J642" s="836"/>
      <c r="K642" s="836"/>
      <c r="L642" s="836"/>
      <c r="M642" s="836"/>
      <c r="N642" s="836"/>
      <c r="O642" s="836"/>
      <c r="P642" s="836"/>
      <c r="Q642" s="836"/>
      <c r="R642" s="837"/>
      <c r="T642" s="155"/>
      <c r="U642" s="155">
        <v>12151</v>
      </c>
      <c r="V642" s="430"/>
      <c r="AA642" s="180" t="str">
        <f>VLOOKUP(A642,[2]DG!$A:$C,3,0)</f>
        <v>Bốc dỡ đà cản, đế néo</v>
      </c>
    </row>
    <row r="643" spans="1:27" ht="20.100000000000001" hidden="1" customHeight="1">
      <c r="A643" s="873" t="s">
        <v>1095</v>
      </c>
      <c r="B643" s="859" t="s">
        <v>1096</v>
      </c>
      <c r="C643" s="421" t="s">
        <v>1097</v>
      </c>
      <c r="D643" s="364" t="s">
        <v>893</v>
      </c>
      <c r="E643" s="833"/>
      <c r="F643" s="833">
        <f t="shared" si="63"/>
        <v>0</v>
      </c>
      <c r="G643" s="833">
        <f t="shared" si="64"/>
        <v>0</v>
      </c>
      <c r="H643" s="834">
        <v>1</v>
      </c>
      <c r="I643" s="835"/>
      <c r="J643" s="836"/>
      <c r="K643" s="836"/>
      <c r="L643" s="836"/>
      <c r="M643" s="836"/>
      <c r="N643" s="836"/>
      <c r="O643" s="836"/>
      <c r="P643" s="836"/>
      <c r="Q643" s="836"/>
      <c r="R643" s="837"/>
      <c r="T643" s="155"/>
      <c r="U643" s="155">
        <v>12447</v>
      </c>
      <c r="V643" s="430"/>
      <c r="AA643" s="180" t="str">
        <f>VLOOKUP(A643,[2]DG!$A:$C,3,0)</f>
        <v>Bốc dỡ neo xèo</v>
      </c>
    </row>
    <row r="644" spans="1:27" ht="20.100000000000001" hidden="1" customHeight="1">
      <c r="A644" s="873" t="s">
        <v>1098</v>
      </c>
      <c r="B644" s="859" t="s">
        <v>1099</v>
      </c>
      <c r="C644" s="421" t="s">
        <v>1100</v>
      </c>
      <c r="D644" s="364" t="s">
        <v>893</v>
      </c>
      <c r="E644" s="833"/>
      <c r="F644" s="833">
        <f t="shared" si="63"/>
        <v>0</v>
      </c>
      <c r="G644" s="833">
        <f t="shared" si="64"/>
        <v>0</v>
      </c>
      <c r="H644" s="834">
        <v>1</v>
      </c>
      <c r="I644" s="835"/>
      <c r="J644" s="836"/>
      <c r="K644" s="836"/>
      <c r="L644" s="836"/>
      <c r="M644" s="836"/>
      <c r="N644" s="836"/>
      <c r="O644" s="836"/>
      <c r="P644" s="836"/>
      <c r="Q644" s="836"/>
      <c r="R644" s="837"/>
      <c r="T644" s="155"/>
      <c r="U644" s="155">
        <v>14818</v>
      </c>
      <c r="V644" s="430"/>
      <c r="AA644" s="180" t="str">
        <f>VLOOKUP(A644,[2]DG!$A:$C,3,0)</f>
        <v xml:space="preserve">Bốc dỡ trụ </v>
      </c>
    </row>
    <row r="645" spans="1:27" ht="20.100000000000001" hidden="1" customHeight="1">
      <c r="A645" s="873" t="s">
        <v>1101</v>
      </c>
      <c r="B645" s="859" t="s">
        <v>1102</v>
      </c>
      <c r="C645" s="421" t="s">
        <v>1103</v>
      </c>
      <c r="D645" s="364" t="s">
        <v>893</v>
      </c>
      <c r="E645" s="833"/>
      <c r="F645" s="833">
        <f t="shared" si="63"/>
        <v>0</v>
      </c>
      <c r="G645" s="833">
        <f t="shared" si="64"/>
        <v>0</v>
      </c>
      <c r="H645" s="834">
        <v>1</v>
      </c>
      <c r="I645" s="835"/>
      <c r="J645" s="836"/>
      <c r="K645" s="836"/>
      <c r="L645" s="836"/>
      <c r="M645" s="836"/>
      <c r="N645" s="836"/>
      <c r="O645" s="836"/>
      <c r="P645" s="836"/>
      <c r="Q645" s="836"/>
      <c r="R645" s="837"/>
      <c r="T645" s="155"/>
      <c r="U645" s="155">
        <v>11262</v>
      </c>
      <c r="V645" s="430"/>
      <c r="AA645" s="180" t="str">
        <f>VLOOKUP(A645,[2]DG!$A:$C,3,0)</f>
        <v>Bốc dỡ xà, thép thanh</v>
      </c>
    </row>
    <row r="646" spans="1:27" ht="20.100000000000001" hidden="1" customHeight="1">
      <c r="A646" s="873" t="s">
        <v>1104</v>
      </c>
      <c r="B646" s="859" t="s">
        <v>1105</v>
      </c>
      <c r="C646" s="421" t="s">
        <v>1106</v>
      </c>
      <c r="D646" s="364" t="s">
        <v>893</v>
      </c>
      <c r="E646" s="833"/>
      <c r="F646" s="833">
        <f t="shared" si="63"/>
        <v>0</v>
      </c>
      <c r="G646" s="833">
        <f t="shared" si="64"/>
        <v>0</v>
      </c>
      <c r="H646" s="834">
        <v>1</v>
      </c>
      <c r="I646" s="835"/>
      <c r="J646" s="836"/>
      <c r="K646" s="836"/>
      <c r="L646" s="836"/>
      <c r="M646" s="836"/>
      <c r="N646" s="836"/>
      <c r="O646" s="836"/>
      <c r="P646" s="836"/>
      <c r="Q646" s="836"/>
      <c r="R646" s="837"/>
      <c r="T646" s="155"/>
      <c r="U646" s="155">
        <v>14225</v>
      </c>
      <c r="V646" s="430"/>
      <c r="AA646" s="180" t="str">
        <f>VLOOKUP(A646,[2]DG!$A:$C,3,0)</f>
        <v>Bốc dỡ dây</v>
      </c>
    </row>
    <row r="647" spans="1:27" ht="20.100000000000001" hidden="1" customHeight="1">
      <c r="A647" s="873" t="s">
        <v>1107</v>
      </c>
      <c r="B647" s="859" t="s">
        <v>1108</v>
      </c>
      <c r="C647" s="421" t="s">
        <v>1109</v>
      </c>
      <c r="D647" s="364" t="s">
        <v>893</v>
      </c>
      <c r="E647" s="833"/>
      <c r="F647" s="833">
        <f t="shared" si="63"/>
        <v>0</v>
      </c>
      <c r="G647" s="833">
        <f t="shared" si="64"/>
        <v>0</v>
      </c>
      <c r="H647" s="834">
        <v>1</v>
      </c>
      <c r="I647" s="835"/>
      <c r="J647" s="836"/>
      <c r="K647" s="836"/>
      <c r="L647" s="836"/>
      <c r="M647" s="836"/>
      <c r="N647" s="836"/>
      <c r="O647" s="836"/>
      <c r="P647" s="836"/>
      <c r="Q647" s="836"/>
      <c r="R647" s="837"/>
      <c r="T647" s="155"/>
      <c r="U647" s="155">
        <v>12447</v>
      </c>
      <c r="V647" s="430"/>
      <c r="AA647" s="180" t="str">
        <f>VLOOKUP(A647,[2]DG!$A:$C,3,0)</f>
        <v>Bốc dỡ phụ kiện</v>
      </c>
    </row>
    <row r="648" spans="1:27" ht="20.100000000000001" hidden="1" customHeight="1">
      <c r="A648" s="873" t="s">
        <v>1110</v>
      </c>
      <c r="B648" s="859" t="s">
        <v>1111</v>
      </c>
      <c r="C648" s="421" t="s">
        <v>1112</v>
      </c>
      <c r="D648" s="364" t="s">
        <v>893</v>
      </c>
      <c r="E648" s="833"/>
      <c r="F648" s="833">
        <f t="shared" si="63"/>
        <v>0</v>
      </c>
      <c r="G648" s="833">
        <f t="shared" si="64"/>
        <v>0</v>
      </c>
      <c r="H648" s="834">
        <v>1</v>
      </c>
      <c r="I648" s="835"/>
      <c r="J648" s="836"/>
      <c r="K648" s="836"/>
      <c r="L648" s="836"/>
      <c r="M648" s="836"/>
      <c r="N648" s="836"/>
      <c r="O648" s="836"/>
      <c r="P648" s="836"/>
      <c r="Q648" s="836"/>
      <c r="R648" s="837"/>
      <c r="T648" s="155"/>
      <c r="U648" s="155">
        <v>24598</v>
      </c>
      <c r="V648" s="430"/>
      <c r="AA648" s="180" t="str">
        <f>VLOOKUP(A648,[2]DG!$A:$C,3,0)</f>
        <v>Bốc dỡ sứ</v>
      </c>
    </row>
    <row r="649" spans="1:27" ht="20.100000000000001" hidden="1" customHeight="1">
      <c r="A649" s="873" t="s">
        <v>1113</v>
      </c>
      <c r="B649" s="859" t="s">
        <v>1114</v>
      </c>
      <c r="C649" s="421" t="s">
        <v>1115</v>
      </c>
      <c r="D649" s="364" t="s">
        <v>893</v>
      </c>
      <c r="E649" s="833"/>
      <c r="F649" s="833">
        <f t="shared" si="63"/>
        <v>0</v>
      </c>
      <c r="G649" s="833">
        <f t="shared" si="64"/>
        <v>0</v>
      </c>
      <c r="H649" s="834">
        <v>1</v>
      </c>
      <c r="I649" s="835"/>
      <c r="J649" s="836"/>
      <c r="K649" s="836"/>
      <c r="L649" s="836"/>
      <c r="M649" s="836"/>
      <c r="N649" s="836"/>
      <c r="O649" s="836"/>
      <c r="P649" s="836"/>
      <c r="Q649" s="836"/>
      <c r="R649" s="837"/>
      <c r="T649" s="155"/>
      <c r="U649" s="155">
        <v>12151</v>
      </c>
      <c r="V649" s="430"/>
      <c r="AA649" s="180" t="str">
        <f>VLOOKUP(A649,[2]DG!$A:$C,3,0)</f>
        <v>Bốc dỡ cốt thép</v>
      </c>
    </row>
    <row r="650" spans="1:27" ht="20.100000000000001" hidden="1" customHeight="1">
      <c r="A650" s="873" t="s">
        <v>1116</v>
      </c>
      <c r="B650" s="859" t="s">
        <v>1117</v>
      </c>
      <c r="C650" s="421" t="s">
        <v>1118</v>
      </c>
      <c r="D650" s="364" t="s">
        <v>893</v>
      </c>
      <c r="E650" s="833"/>
      <c r="F650" s="833">
        <f t="shared" si="63"/>
        <v>0</v>
      </c>
      <c r="G650" s="833">
        <f t="shared" si="64"/>
        <v>0</v>
      </c>
      <c r="H650" s="834">
        <v>1</v>
      </c>
      <c r="I650" s="835"/>
      <c r="J650" s="836"/>
      <c r="K650" s="836"/>
      <c r="L650" s="836"/>
      <c r="M650" s="836"/>
      <c r="N650" s="836"/>
      <c r="O650" s="836"/>
      <c r="P650" s="836"/>
      <c r="Q650" s="836"/>
      <c r="R650" s="837"/>
      <c r="T650" s="155"/>
      <c r="U650" s="155">
        <v>5927</v>
      </c>
      <c r="V650" s="430"/>
      <c r="AA650" s="180" t="str">
        <f>VLOOKUP(A650,[2]DG!$A:$C,3,0)</f>
        <v>Bốc dỡ xi măng</v>
      </c>
    </row>
    <row r="651" spans="1:27" ht="20.100000000000001" hidden="1" customHeight="1">
      <c r="A651" s="873" t="s">
        <v>1119</v>
      </c>
      <c r="B651" s="859" t="s">
        <v>1120</v>
      </c>
      <c r="C651" s="421" t="s">
        <v>1121</v>
      </c>
      <c r="D651" s="364" t="s">
        <v>476</v>
      </c>
      <c r="E651" s="833"/>
      <c r="F651" s="833">
        <f t="shared" si="63"/>
        <v>0</v>
      </c>
      <c r="G651" s="833">
        <f t="shared" si="64"/>
        <v>0</v>
      </c>
      <c r="H651" s="834">
        <v>1</v>
      </c>
      <c r="I651" s="835"/>
      <c r="J651" s="836"/>
      <c r="K651" s="836"/>
      <c r="L651" s="836"/>
      <c r="M651" s="836"/>
      <c r="N651" s="836"/>
      <c r="O651" s="836"/>
      <c r="P651" s="836"/>
      <c r="Q651" s="836"/>
      <c r="R651" s="837"/>
      <c r="T651" s="155"/>
      <c r="U651" s="155">
        <v>4445</v>
      </c>
      <c r="V651" s="430"/>
      <c r="AA651" s="180" t="str">
        <f>VLOOKUP(A651,[2]DG!$A:$C,3,0)</f>
        <v>Bốc dỡ cát</v>
      </c>
    </row>
    <row r="652" spans="1:27" ht="20.100000000000001" hidden="1" customHeight="1">
      <c r="A652" s="873" t="s">
        <v>1122</v>
      </c>
      <c r="B652" s="859" t="s">
        <v>1123</v>
      </c>
      <c r="C652" s="421" t="s">
        <v>1124</v>
      </c>
      <c r="D652" s="364" t="s">
        <v>476</v>
      </c>
      <c r="E652" s="833"/>
      <c r="F652" s="833">
        <f t="shared" si="63"/>
        <v>0</v>
      </c>
      <c r="G652" s="833">
        <f t="shared" si="64"/>
        <v>0</v>
      </c>
      <c r="H652" s="834">
        <v>1</v>
      </c>
      <c r="I652" s="835"/>
      <c r="J652" s="836"/>
      <c r="K652" s="836"/>
      <c r="L652" s="836"/>
      <c r="M652" s="836"/>
      <c r="N652" s="836"/>
      <c r="O652" s="836"/>
      <c r="P652" s="836"/>
      <c r="Q652" s="836"/>
      <c r="R652" s="837"/>
      <c r="T652" s="155"/>
      <c r="U652" s="155">
        <v>6224</v>
      </c>
      <c r="V652" s="430"/>
      <c r="AA652" s="180" t="str">
        <f>VLOOKUP(A652,[2]DG!$A:$C,3,0)</f>
        <v>Bốc dỡ đá dăm</v>
      </c>
    </row>
    <row r="653" spans="1:27" ht="20.100000000000001" hidden="1" customHeight="1">
      <c r="A653" s="873" t="s">
        <v>1125</v>
      </c>
      <c r="B653" s="859" t="s">
        <v>1126</v>
      </c>
      <c r="C653" s="421" t="s">
        <v>1127</v>
      </c>
      <c r="D653" s="364" t="s">
        <v>476</v>
      </c>
      <c r="E653" s="833"/>
      <c r="F653" s="833">
        <f t="shared" si="63"/>
        <v>0</v>
      </c>
      <c r="G653" s="833">
        <f t="shared" si="64"/>
        <v>0</v>
      </c>
      <c r="H653" s="834">
        <v>1</v>
      </c>
      <c r="I653" s="835"/>
      <c r="J653" s="836"/>
      <c r="K653" s="836"/>
      <c r="L653" s="836"/>
      <c r="M653" s="836"/>
      <c r="N653" s="836"/>
      <c r="O653" s="836"/>
      <c r="P653" s="836"/>
      <c r="Q653" s="836"/>
      <c r="R653" s="837"/>
      <c r="T653" s="155"/>
      <c r="U653" s="155">
        <v>6224</v>
      </c>
      <c r="V653" s="430"/>
      <c r="AA653" s="180" t="str">
        <f>VLOOKUP(A653,[2]DG!$A:$C,3,0)</f>
        <v>Bốc dỡ bê tông</v>
      </c>
    </row>
    <row r="654" spans="1:27" ht="20.100000000000001" hidden="1" customHeight="1">
      <c r="A654" s="873" t="s">
        <v>1128</v>
      </c>
      <c r="B654" s="859" t="s">
        <v>1129</v>
      </c>
      <c r="C654" s="421" t="s">
        <v>1130</v>
      </c>
      <c r="D654" s="364" t="s">
        <v>171</v>
      </c>
      <c r="E654" s="833"/>
      <c r="F654" s="833">
        <f t="shared" ref="F654:F717" si="65">IF(OR(I654="",J654=""),0,IF(K654*1=0,1,K654)*VLOOKUP(I654,TIENLUONG,4,0)*J654)</f>
        <v>0</v>
      </c>
      <c r="G654" s="833">
        <f t="shared" ref="G654:G717" si="66">L654*VLOOKUP($L$1,CAMAY,2,0)+M654*VLOOKUP($M$1,CAMAY,2,0)+N654*VLOOKUP($N$1,CAMAY,2,0)+O654*VLOOKUP($O$1,CAMAY,2,0)+P654*VLOOKUP($P$1,CAMAY,2,0)</f>
        <v>0</v>
      </c>
      <c r="H654" s="834">
        <v>1</v>
      </c>
      <c r="I654" s="835"/>
      <c r="J654" s="836"/>
      <c r="K654" s="836"/>
      <c r="L654" s="836"/>
      <c r="M654" s="836"/>
      <c r="N654" s="836"/>
      <c r="O654" s="836"/>
      <c r="P654" s="836"/>
      <c r="Q654" s="836"/>
      <c r="R654" s="837"/>
      <c r="T654" s="155"/>
      <c r="U654" s="155">
        <v>18374</v>
      </c>
      <c r="V654" s="430"/>
      <c r="AA654" s="180" t="str">
        <f>VLOOKUP(A654,[2]DG!$A:$C,3,0)</f>
        <v>Bốc dỡ cừ tràm 5m</v>
      </c>
    </row>
    <row r="655" spans="1:27" ht="20.100000000000001" hidden="1" customHeight="1">
      <c r="A655" s="873" t="s">
        <v>1131</v>
      </c>
      <c r="B655" s="859" t="s">
        <v>1132</v>
      </c>
      <c r="C655" s="416" t="s">
        <v>1133</v>
      </c>
      <c r="D655" s="364" t="s">
        <v>774</v>
      </c>
      <c r="E655" s="833">
        <v>0</v>
      </c>
      <c r="F655" s="833">
        <f t="shared" si="65"/>
        <v>6776.4839999999995</v>
      </c>
      <c r="G655" s="833">
        <f t="shared" si="66"/>
        <v>0</v>
      </c>
      <c r="H655" s="834" t="s">
        <v>4065</v>
      </c>
      <c r="I655" s="835" t="s">
        <v>3372</v>
      </c>
      <c r="J655" s="836">
        <f>0.286/10</f>
        <v>2.8599999999999997E-2</v>
      </c>
      <c r="K655" s="836"/>
      <c r="L655" s="836"/>
      <c r="M655" s="836"/>
      <c r="N655" s="836"/>
      <c r="O655" s="836"/>
      <c r="P655" s="836"/>
      <c r="Q655" s="836"/>
      <c r="R655" s="837"/>
      <c r="T655" s="155">
        <v>0</v>
      </c>
      <c r="U655" s="155">
        <v>927</v>
      </c>
      <c r="V655" s="430">
        <v>0</v>
      </c>
      <c r="AA655" s="180" t="str">
        <f>VLOOKUP(A655,[2]DG!$A:$C,3,0)</f>
        <v xml:space="preserve">Kéo dây tiếp địa </v>
      </c>
    </row>
    <row r="656" spans="1:27" ht="20.100000000000001" hidden="1" customHeight="1">
      <c r="A656" s="873" t="s">
        <v>1134</v>
      </c>
      <c r="B656" s="859" t="s">
        <v>4101</v>
      </c>
      <c r="C656" s="416" t="s">
        <v>1135</v>
      </c>
      <c r="D656" s="364" t="s">
        <v>196</v>
      </c>
      <c r="E656" s="833"/>
      <c r="F656" s="833">
        <f t="shared" si="65"/>
        <v>6871.2599999999993</v>
      </c>
      <c r="G656" s="833">
        <f t="shared" si="66"/>
        <v>0</v>
      </c>
      <c r="H656" s="834" t="s">
        <v>4065</v>
      </c>
      <c r="I656" s="835" t="s">
        <v>3372</v>
      </c>
      <c r="J656" s="836">
        <v>2.8999999999999998E-2</v>
      </c>
      <c r="K656" s="836"/>
      <c r="L656" s="836"/>
      <c r="M656" s="836"/>
      <c r="N656" s="836"/>
      <c r="O656" s="836"/>
      <c r="P656" s="836"/>
      <c r="Q656" s="836"/>
      <c r="R656" s="837"/>
      <c r="T656" s="155">
        <v>2855</v>
      </c>
      <c r="U656" s="155">
        <v>2854</v>
      </c>
      <c r="V656" s="155">
        <v>4167</v>
      </c>
      <c r="AA656" s="180" t="str">
        <f>VLOOKUP(A656,[2]DG!$A:$C,3,0)</f>
        <v>Kéo dây tiếp địa trong TBA</v>
      </c>
    </row>
    <row r="657" spans="1:27" ht="20.100000000000001" hidden="1" customHeight="1">
      <c r="A657" s="873" t="s">
        <v>1136</v>
      </c>
      <c r="B657" s="859" t="s">
        <v>4100</v>
      </c>
      <c r="C657" s="421" t="s">
        <v>1137</v>
      </c>
      <c r="D657" s="364" t="s">
        <v>404</v>
      </c>
      <c r="E657" s="833">
        <v>0</v>
      </c>
      <c r="F657" s="833">
        <f t="shared" si="65"/>
        <v>85984.656000000003</v>
      </c>
      <c r="G657" s="833">
        <f t="shared" si="66"/>
        <v>0</v>
      </c>
      <c r="H657" s="834" t="s">
        <v>4065</v>
      </c>
      <c r="I657" s="835" t="s">
        <v>3370</v>
      </c>
      <c r="J657" s="836">
        <v>0.438</v>
      </c>
      <c r="K657" s="836">
        <v>0.8</v>
      </c>
      <c r="L657" s="836"/>
      <c r="M657" s="836"/>
      <c r="N657" s="836"/>
      <c r="O657" s="836"/>
      <c r="P657" s="836"/>
      <c r="Q657" s="836"/>
      <c r="R657" s="837"/>
      <c r="T657" s="155">
        <v>0</v>
      </c>
      <c r="U657" s="155">
        <v>40616</v>
      </c>
      <c r="V657" s="430">
        <v>0</v>
      </c>
      <c r="AA657" s="180" t="str">
        <f>VLOOKUP(A657,[2]DG!$A:$C,3,0)</f>
        <v>Đóng cọc tiếp địa đất cấp 3</v>
      </c>
    </row>
    <row r="658" spans="1:27" ht="20.100000000000001" hidden="1" customHeight="1">
      <c r="A658" s="873" t="s">
        <v>1138</v>
      </c>
      <c r="B658" s="859" t="s">
        <v>1139</v>
      </c>
      <c r="C658" s="421" t="s">
        <v>1140</v>
      </c>
      <c r="D658" s="364" t="s">
        <v>404</v>
      </c>
      <c r="E658" s="833"/>
      <c r="F658" s="833">
        <f t="shared" si="65"/>
        <v>0</v>
      </c>
      <c r="G658" s="833">
        <f t="shared" si="66"/>
        <v>0</v>
      </c>
      <c r="H658" s="834">
        <v>1</v>
      </c>
      <c r="I658" s="835"/>
      <c r="J658" s="836"/>
      <c r="K658" s="836"/>
      <c r="L658" s="836"/>
      <c r="M658" s="836"/>
      <c r="N658" s="836"/>
      <c r="O658" s="836"/>
      <c r="P658" s="836"/>
      <c r="Q658" s="836"/>
      <c r="R658" s="837"/>
      <c r="T658" s="155"/>
      <c r="U658" s="155">
        <v>23386.5</v>
      </c>
      <c r="V658" s="430"/>
      <c r="AA658" s="180" t="str">
        <f>VLOOKUP(A658,[2]DG!$A:$C,3,0)</f>
        <v>Đóng cọc tiếp địa đất cấp 4</v>
      </c>
    </row>
    <row r="659" spans="1:27" ht="20.100000000000001" hidden="1" customHeight="1">
      <c r="A659" s="873" t="s">
        <v>1141</v>
      </c>
      <c r="B659" s="859" t="s">
        <v>4100</v>
      </c>
      <c r="C659" s="421" t="s">
        <v>1142</v>
      </c>
      <c r="D659" s="364" t="s">
        <v>404</v>
      </c>
      <c r="E659" s="833">
        <v>0</v>
      </c>
      <c r="F659" s="833">
        <f t="shared" si="65"/>
        <v>107480.82</v>
      </c>
      <c r="G659" s="833">
        <f t="shared" si="66"/>
        <v>0</v>
      </c>
      <c r="H659" s="834" t="s">
        <v>4065</v>
      </c>
      <c r="I659" s="835" t="s">
        <v>3370</v>
      </c>
      <c r="J659" s="836">
        <v>0.438</v>
      </c>
      <c r="K659" s="836"/>
      <c r="L659" s="836"/>
      <c r="M659" s="836"/>
      <c r="N659" s="836"/>
      <c r="O659" s="836"/>
      <c r="P659" s="836"/>
      <c r="Q659" s="836"/>
      <c r="R659" s="837"/>
      <c r="T659" s="155">
        <v>0</v>
      </c>
      <c r="U659" s="155">
        <v>45611.135999999999</v>
      </c>
      <c r="V659" s="430">
        <v>0</v>
      </c>
      <c r="AA659" s="180" t="str">
        <f>VLOOKUP(A659,[2]DG!$A:$C,3,0)</f>
        <v>Đóng cọc tiếp địa trong TBA</v>
      </c>
    </row>
    <row r="660" spans="1:27" ht="20.100000000000001" hidden="1" customHeight="1">
      <c r="A660" s="873" t="s">
        <v>1143</v>
      </c>
      <c r="B660" s="859" t="s">
        <v>1144</v>
      </c>
      <c r="C660" s="416" t="s">
        <v>1145</v>
      </c>
      <c r="D660" s="364" t="s">
        <v>400</v>
      </c>
      <c r="E660" s="833"/>
      <c r="F660" s="833">
        <f t="shared" si="65"/>
        <v>0</v>
      </c>
      <c r="G660" s="833">
        <f t="shared" si="66"/>
        <v>0</v>
      </c>
      <c r="H660" s="834">
        <v>1</v>
      </c>
      <c r="I660" s="835"/>
      <c r="J660" s="836"/>
      <c r="K660" s="836"/>
      <c r="L660" s="836"/>
      <c r="M660" s="836"/>
      <c r="N660" s="836"/>
      <c r="O660" s="836"/>
      <c r="P660" s="836"/>
      <c r="Q660" s="836"/>
      <c r="R660" s="837"/>
      <c r="T660" s="155">
        <v>17400</v>
      </c>
      <c r="U660" s="155">
        <v>150876</v>
      </c>
      <c r="V660" s="430"/>
      <c r="AA660" s="180" t="str">
        <f>VLOOKUP(A660,[2]DG!$A:$C,3,0)</f>
        <v>Dựng trụ BTLT &lt;8m bằng thủ công</v>
      </c>
    </row>
    <row r="661" spans="1:27" ht="20.100000000000001" hidden="1" customHeight="1">
      <c r="A661" s="873" t="s">
        <v>1146</v>
      </c>
      <c r="B661" s="859" t="s">
        <v>1147</v>
      </c>
      <c r="C661" s="416" t="s">
        <v>1148</v>
      </c>
      <c r="D661" s="364" t="s">
        <v>400</v>
      </c>
      <c r="E661" s="833"/>
      <c r="F661" s="833">
        <f t="shared" si="65"/>
        <v>0</v>
      </c>
      <c r="G661" s="833">
        <f t="shared" si="66"/>
        <v>0</v>
      </c>
      <c r="H661" s="834">
        <v>42525</v>
      </c>
      <c r="I661" s="835"/>
      <c r="J661" s="836"/>
      <c r="K661" s="836"/>
      <c r="L661" s="836"/>
      <c r="M661" s="836"/>
      <c r="N661" s="836"/>
      <c r="O661" s="836"/>
      <c r="P661" s="836"/>
      <c r="Q661" s="836"/>
      <c r="R661" s="837"/>
      <c r="T661" s="155">
        <v>17400</v>
      </c>
      <c r="U661" s="155">
        <v>162331</v>
      </c>
      <c r="V661" s="430">
        <v>0</v>
      </c>
      <c r="AA661" s="180" t="str">
        <f>VLOOKUP(A661,[2]DG!$A:$C,3,0)</f>
        <v>Dựng trụ BTLT &lt;=10m bằng thủ công</v>
      </c>
    </row>
    <row r="662" spans="1:27" ht="20.100000000000001" hidden="1" customHeight="1">
      <c r="A662" s="873" t="s">
        <v>1149</v>
      </c>
      <c r="B662" s="859" t="s">
        <v>1150</v>
      </c>
      <c r="C662" s="416" t="s">
        <v>1151</v>
      </c>
      <c r="D662" s="364" t="s">
        <v>400</v>
      </c>
      <c r="E662" s="833"/>
      <c r="F662" s="833">
        <f t="shared" si="65"/>
        <v>0</v>
      </c>
      <c r="G662" s="833">
        <f t="shared" si="66"/>
        <v>0</v>
      </c>
      <c r="H662" s="834">
        <v>1</v>
      </c>
      <c r="I662" s="835"/>
      <c r="J662" s="836"/>
      <c r="K662" s="836"/>
      <c r="L662" s="836"/>
      <c r="M662" s="836"/>
      <c r="N662" s="836"/>
      <c r="O662" s="836"/>
      <c r="P662" s="836"/>
      <c r="Q662" s="836"/>
      <c r="R662" s="837"/>
      <c r="T662" s="155">
        <v>17400</v>
      </c>
      <c r="U662" s="155">
        <v>173786</v>
      </c>
      <c r="V662" s="430"/>
      <c r="AA662" s="180" t="str">
        <f>VLOOKUP(A662,[2]DG!$A:$C,3,0)</f>
        <v>Dựng trụ BTLT 10,5m bằng thủ công</v>
      </c>
    </row>
    <row r="663" spans="1:27" ht="20.100000000000001" hidden="1" customHeight="1">
      <c r="A663" s="873" t="s">
        <v>1152</v>
      </c>
      <c r="B663" s="859" t="s">
        <v>1150</v>
      </c>
      <c r="C663" s="416" t="s">
        <v>1153</v>
      </c>
      <c r="D663" s="364" t="s">
        <v>400</v>
      </c>
      <c r="E663" s="833"/>
      <c r="F663" s="833">
        <f t="shared" si="65"/>
        <v>1258151.3999999999</v>
      </c>
      <c r="G663" s="833">
        <f t="shared" si="66"/>
        <v>1457064.6089510489</v>
      </c>
      <c r="H663" s="834">
        <v>1</v>
      </c>
      <c r="I663" s="835" t="s">
        <v>3372</v>
      </c>
      <c r="J663" s="836">
        <v>5.31</v>
      </c>
      <c r="K663" s="836"/>
      <c r="L663" s="836">
        <v>0.7</v>
      </c>
      <c r="M663" s="836"/>
      <c r="N663" s="836"/>
      <c r="O663" s="836"/>
      <c r="P663" s="836"/>
      <c r="Q663" s="836"/>
      <c r="R663" s="837"/>
      <c r="T663" s="155">
        <v>17400</v>
      </c>
      <c r="U663" s="155">
        <v>173786</v>
      </c>
      <c r="V663" s="430"/>
      <c r="AA663" s="180" t="str">
        <f>VLOOKUP(A663,[2]DG!$A:$C,3,0)</f>
        <v>Dựng trụ BTLT 12m bằng thủ công</v>
      </c>
    </row>
    <row r="664" spans="1:27" ht="20.100000000000001" hidden="1" customHeight="1">
      <c r="A664" s="874" t="s">
        <v>1154</v>
      </c>
      <c r="B664" s="859" t="s">
        <v>1155</v>
      </c>
      <c r="C664" s="416" t="s">
        <v>1156</v>
      </c>
      <c r="D664" s="364" t="s">
        <v>400</v>
      </c>
      <c r="E664" s="833"/>
      <c r="F664" s="833">
        <f t="shared" si="65"/>
        <v>0</v>
      </c>
      <c r="G664" s="833">
        <f t="shared" si="66"/>
        <v>0</v>
      </c>
      <c r="H664" s="834">
        <v>1</v>
      </c>
      <c r="I664" s="835"/>
      <c r="J664" s="836"/>
      <c r="K664" s="836"/>
      <c r="L664" s="836"/>
      <c r="M664" s="836"/>
      <c r="N664" s="836"/>
      <c r="O664" s="836"/>
      <c r="P664" s="836"/>
      <c r="Q664" s="836"/>
      <c r="R664" s="837"/>
      <c r="T664" s="155">
        <v>17400</v>
      </c>
      <c r="U664" s="155">
        <v>216332</v>
      </c>
      <c r="V664" s="430"/>
      <c r="AA664" s="180" t="str">
        <f>VLOOKUP(A664,[2]DG!$A:$C,3,0)</f>
        <v>Dựng trụ BTLT 14m bằng thủ công</v>
      </c>
    </row>
    <row r="665" spans="1:27" ht="20.100000000000001" hidden="1" customHeight="1">
      <c r="A665" s="873" t="s">
        <v>1157</v>
      </c>
      <c r="B665" s="859" t="s">
        <v>1158</v>
      </c>
      <c r="C665" s="416" t="s">
        <v>1159</v>
      </c>
      <c r="D665" s="364" t="s">
        <v>400</v>
      </c>
      <c r="E665" s="833"/>
      <c r="F665" s="833">
        <f t="shared" si="65"/>
        <v>0</v>
      </c>
      <c r="G665" s="833">
        <f t="shared" si="66"/>
        <v>0</v>
      </c>
      <c r="H665" s="834">
        <v>1</v>
      </c>
      <c r="I665" s="835"/>
      <c r="J665" s="836"/>
      <c r="K665" s="836"/>
      <c r="L665" s="836"/>
      <c r="M665" s="836"/>
      <c r="N665" s="836"/>
      <c r="O665" s="836"/>
      <c r="P665" s="836"/>
      <c r="Q665" s="836"/>
      <c r="R665" s="837"/>
      <c r="T665" s="155">
        <v>17400</v>
      </c>
      <c r="U665" s="155">
        <v>357390</v>
      </c>
      <c r="V665" s="430"/>
      <c r="AA665" s="180" t="str">
        <f>VLOOKUP(A665,[2]DG!$A:$C,3,0)</f>
        <v>Dựng trụ BTLT 20m bằng thủ công</v>
      </c>
    </row>
    <row r="666" spans="1:27" ht="20.100000000000001" hidden="1" customHeight="1">
      <c r="A666" s="873" t="s">
        <v>3678</v>
      </c>
      <c r="B666" s="859" t="s">
        <v>1160</v>
      </c>
      <c r="C666" s="416" t="s">
        <v>1161</v>
      </c>
      <c r="D666" s="364" t="s">
        <v>400</v>
      </c>
      <c r="E666" s="833"/>
      <c r="F666" s="833">
        <f t="shared" si="65"/>
        <v>0</v>
      </c>
      <c r="G666" s="833">
        <f t="shared" si="66"/>
        <v>0</v>
      </c>
      <c r="H666" s="834">
        <v>1</v>
      </c>
      <c r="I666" s="835"/>
      <c r="J666" s="836"/>
      <c r="K666" s="836"/>
      <c r="L666" s="836"/>
      <c r="M666" s="836"/>
      <c r="N666" s="836"/>
      <c r="O666" s="836"/>
      <c r="P666" s="836"/>
      <c r="Q666" s="836"/>
      <c r="R666" s="837"/>
      <c r="T666" s="155">
        <v>17400</v>
      </c>
      <c r="U666" s="155">
        <v>60547</v>
      </c>
      <c r="V666" s="155">
        <v>46362</v>
      </c>
      <c r="AA666" s="180" t="str">
        <f>VLOOKUP(A666,[2]DG!$A:$C,3,0)</f>
        <v>Dựng trụ BTLT &lt;8m thủ công +cơ giới</v>
      </c>
    </row>
    <row r="667" spans="1:27" ht="20.100000000000001" hidden="1" customHeight="1">
      <c r="A667" s="873" t="s">
        <v>2706</v>
      </c>
      <c r="B667" s="859" t="s">
        <v>4265</v>
      </c>
      <c r="C667" s="416" t="s">
        <v>1163</v>
      </c>
      <c r="D667" s="364" t="s">
        <v>400</v>
      </c>
      <c r="E667" s="833"/>
      <c r="F667" s="833">
        <f t="shared" si="65"/>
        <v>438339</v>
      </c>
      <c r="G667" s="833">
        <f t="shared" si="66"/>
        <v>145706.46089510492</v>
      </c>
      <c r="H667" s="834" t="s">
        <v>4065</v>
      </c>
      <c r="I667" s="835" t="s">
        <v>3372</v>
      </c>
      <c r="J667" s="836">
        <v>1.85</v>
      </c>
      <c r="K667" s="836"/>
      <c r="L667" s="836">
        <v>7.0000000000000007E-2</v>
      </c>
      <c r="M667" s="836"/>
      <c r="N667" s="836"/>
      <c r="O667" s="836"/>
      <c r="P667" s="836"/>
      <c r="Q667" s="836"/>
      <c r="R667" s="837"/>
      <c r="T667" s="155">
        <v>17400</v>
      </c>
      <c r="U667" s="155">
        <v>197634</v>
      </c>
      <c r="V667" s="155">
        <v>73690</v>
      </c>
      <c r="AA667" s="180" t="str">
        <f>VLOOKUP(A667,[2]DG!$A:$C,3,0)</f>
        <v>Dựng trụ BTLT &lt;10m thủ công +cơ giới</v>
      </c>
    </row>
    <row r="668" spans="1:27" ht="20.100000000000001" hidden="1" customHeight="1">
      <c r="A668" s="873" t="s">
        <v>3679</v>
      </c>
      <c r="B668" s="859" t="s">
        <v>1165</v>
      </c>
      <c r="C668" s="416" t="s">
        <v>1166</v>
      </c>
      <c r="D668" s="364" t="s">
        <v>400</v>
      </c>
      <c r="E668" s="833"/>
      <c r="F668" s="833">
        <f t="shared" si="65"/>
        <v>0</v>
      </c>
      <c r="G668" s="833">
        <f t="shared" si="66"/>
        <v>0</v>
      </c>
      <c r="H668" s="834">
        <v>1</v>
      </c>
      <c r="I668" s="835"/>
      <c r="J668" s="836"/>
      <c r="K668" s="836"/>
      <c r="L668" s="836"/>
      <c r="M668" s="836"/>
      <c r="N668" s="836"/>
      <c r="O668" s="836"/>
      <c r="P668" s="836"/>
      <c r="Q668" s="836"/>
      <c r="R668" s="837"/>
      <c r="T668" s="155">
        <v>17400</v>
      </c>
      <c r="U668" s="155">
        <v>211608</v>
      </c>
      <c r="V668" s="155">
        <v>105271</v>
      </c>
      <c r="AA668" s="180" t="str">
        <f>VLOOKUP(A668,[2]DG!$A:$C,3,0)</f>
        <v>Dựng trụ BTLT 10,5m thủ công + cơ giới</v>
      </c>
    </row>
    <row r="669" spans="1:27" ht="20.100000000000001" hidden="1" customHeight="1">
      <c r="A669" s="873" t="s">
        <v>3680</v>
      </c>
      <c r="B669" s="859" t="s">
        <v>4266</v>
      </c>
      <c r="C669" s="416" t="s">
        <v>1168</v>
      </c>
      <c r="D669" s="364" t="s">
        <v>400</v>
      </c>
      <c r="E669" s="833"/>
      <c r="F669" s="833">
        <f t="shared" si="65"/>
        <v>502312.80000000005</v>
      </c>
      <c r="G669" s="833">
        <f>L669*VLOOKUP($L$1,CAMAY,2,0)+M669*VLOOKUP($M$1,CAMAY,2,0)+N669*VLOOKUP($N$1,CAMAY,2,0)+O669*VLOOKUP($O$1,CAMAY,2,0)+P669*VLOOKUP($P$1,CAMAY,2,0)</f>
        <v>208152.08699300699</v>
      </c>
      <c r="H669" s="834" t="s">
        <v>4065</v>
      </c>
      <c r="I669" s="835" t="s">
        <v>3372</v>
      </c>
      <c r="J669" s="836">
        <v>2.12</v>
      </c>
      <c r="K669" s="836">
        <v>1</v>
      </c>
      <c r="L669" s="836">
        <v>0.1</v>
      </c>
      <c r="M669" s="836"/>
      <c r="N669" s="836"/>
      <c r="O669" s="836"/>
      <c r="P669" s="836"/>
      <c r="Q669" s="836"/>
      <c r="R669" s="837"/>
      <c r="T669" s="155">
        <v>17400</v>
      </c>
      <c r="U669" s="155">
        <v>211608</v>
      </c>
      <c r="V669" s="155">
        <v>105271</v>
      </c>
      <c r="AA669" s="180" t="str">
        <f>VLOOKUP(A669,[2]DG!$A:$C,3,0)</f>
        <v>Dựng trụ BTLT 12m thủ công + cơ giới</v>
      </c>
    </row>
    <row r="670" spans="1:27" ht="20.100000000000001" hidden="1" customHeight="1">
      <c r="A670" s="874" t="s">
        <v>3681</v>
      </c>
      <c r="B670" s="859" t="s">
        <v>1170</v>
      </c>
      <c r="C670" s="416" t="s">
        <v>1171</v>
      </c>
      <c r="D670" s="364" t="s">
        <v>400</v>
      </c>
      <c r="E670" s="833">
        <v>0</v>
      </c>
      <c r="F670" s="833">
        <f t="shared" si="65"/>
        <v>0</v>
      </c>
      <c r="G670" s="833">
        <f t="shared" si="66"/>
        <v>0</v>
      </c>
      <c r="H670" s="834">
        <v>43636</v>
      </c>
      <c r="I670" s="835"/>
      <c r="J670" s="836" t="s">
        <v>4965</v>
      </c>
      <c r="K670" s="836"/>
      <c r="L670" s="836"/>
      <c r="M670" s="836"/>
      <c r="N670" s="836"/>
      <c r="O670" s="836"/>
      <c r="P670" s="836"/>
      <c r="Q670" s="836"/>
      <c r="R670" s="837"/>
      <c r="T670" s="155">
        <v>17400</v>
      </c>
      <c r="U670" s="155">
        <v>86402</v>
      </c>
      <c r="V670" s="155">
        <v>105271</v>
      </c>
      <c r="AA670" s="180" t="str">
        <f>VLOOKUP(A670,[2]DG!$A:$C,3,0)</f>
        <v>Dựng trụ BTLT 14m thủ công + cơ giới</v>
      </c>
    </row>
    <row r="671" spans="1:27" ht="20.100000000000001" hidden="1" customHeight="1">
      <c r="A671" s="873" t="s">
        <v>3682</v>
      </c>
      <c r="B671" s="859" t="s">
        <v>1173</v>
      </c>
      <c r="C671" s="416" t="s">
        <v>1174</v>
      </c>
      <c r="D671" s="364" t="s">
        <v>400</v>
      </c>
      <c r="E671" s="833"/>
      <c r="F671" s="833">
        <f t="shared" si="65"/>
        <v>0</v>
      </c>
      <c r="G671" s="833">
        <f t="shared" si="66"/>
        <v>0</v>
      </c>
      <c r="H671" s="834">
        <v>1</v>
      </c>
      <c r="I671" s="835"/>
      <c r="J671" s="836"/>
      <c r="K671" s="836"/>
      <c r="L671" s="836"/>
      <c r="M671" s="836"/>
      <c r="N671" s="836"/>
      <c r="O671" s="836"/>
      <c r="P671" s="836"/>
      <c r="Q671" s="836"/>
      <c r="R671" s="837"/>
      <c r="T671" s="155"/>
      <c r="U671" s="155"/>
      <c r="V671" s="155"/>
      <c r="AA671" s="180" t="str">
        <f>VLOOKUP(A671,[2]DG!$A:$C,3,0)</f>
        <v>Dựng trụ BTLT 20m thủ công + cơ giới</v>
      </c>
    </row>
    <row r="672" spans="1:27" ht="20.100000000000001" hidden="1" customHeight="1">
      <c r="A672" s="873" t="s">
        <v>3683</v>
      </c>
      <c r="B672" s="859" t="s">
        <v>1176</v>
      </c>
      <c r="C672" s="416" t="s">
        <v>1177</v>
      </c>
      <c r="D672" s="364" t="s">
        <v>400</v>
      </c>
      <c r="E672" s="833"/>
      <c r="F672" s="833">
        <f t="shared" si="65"/>
        <v>405641.28</v>
      </c>
      <c r="G672" s="833">
        <f t="shared" si="66"/>
        <v>1457064.6089510489</v>
      </c>
      <c r="H672" s="834">
        <v>1</v>
      </c>
      <c r="I672" s="835" t="s">
        <v>3372</v>
      </c>
      <c r="J672" s="836">
        <v>2.14</v>
      </c>
      <c r="K672" s="836">
        <v>0.8</v>
      </c>
      <c r="L672" s="836">
        <v>0.7</v>
      </c>
      <c r="M672" s="836"/>
      <c r="N672" s="836"/>
      <c r="O672" s="836"/>
      <c r="P672" s="836"/>
      <c r="Q672" s="836"/>
      <c r="R672" s="837"/>
      <c r="T672" s="155"/>
      <c r="U672" s="155">
        <v>112285.6</v>
      </c>
      <c r="V672" s="155">
        <v>105969.60000000001</v>
      </c>
      <c r="AA672" s="180" t="str">
        <f>VLOOKUP(A672,[2]DG!$A:$C,3,0)</f>
        <v>Dựng trụ BTLT 12m trong TBA bằng thủ công + cơ giới</v>
      </c>
    </row>
    <row r="673" spans="1:27" ht="20.100000000000001" hidden="1" customHeight="1">
      <c r="A673" s="873" t="s">
        <v>3684</v>
      </c>
      <c r="B673" s="859" t="s">
        <v>1176</v>
      </c>
      <c r="C673" s="416" t="s">
        <v>1178</v>
      </c>
      <c r="D673" s="364" t="s">
        <v>400</v>
      </c>
      <c r="E673" s="833"/>
      <c r="F673" s="833">
        <f t="shared" si="65"/>
        <v>0</v>
      </c>
      <c r="G673" s="833">
        <f t="shared" si="66"/>
        <v>0</v>
      </c>
      <c r="H673" s="834">
        <v>1</v>
      </c>
      <c r="I673" s="835"/>
      <c r="J673" s="836"/>
      <c r="K673" s="836"/>
      <c r="L673" s="836"/>
      <c r="M673" s="836"/>
      <c r="N673" s="836"/>
      <c r="O673" s="836"/>
      <c r="P673" s="836"/>
      <c r="Q673" s="836"/>
      <c r="R673" s="837"/>
      <c r="T673" s="155"/>
      <c r="U673" s="155">
        <v>112285.6</v>
      </c>
      <c r="V673" s="155">
        <v>105969.60000000001</v>
      </c>
      <c r="AA673" s="180" t="str">
        <f>VLOOKUP(A673,[2]DG!$A:$C,3,0)</f>
        <v>Dựng trụ BTLT 10,5m trong TBA bằng thủ công + cơ giới</v>
      </c>
    </row>
    <row r="674" spans="1:27" ht="20.100000000000001" hidden="1" customHeight="1">
      <c r="A674" s="873" t="s">
        <v>1179</v>
      </c>
      <c r="B674" s="859" t="s">
        <v>4102</v>
      </c>
      <c r="C674" s="429" t="s">
        <v>1180</v>
      </c>
      <c r="D674" s="364" t="s">
        <v>37</v>
      </c>
      <c r="E674" s="833">
        <v>0</v>
      </c>
      <c r="F674" s="833">
        <f t="shared" si="65"/>
        <v>208581.5</v>
      </c>
      <c r="G674" s="833">
        <f t="shared" si="66"/>
        <v>0</v>
      </c>
      <c r="H674" s="834" t="s">
        <v>4065</v>
      </c>
      <c r="I674" s="835" t="s">
        <v>3370</v>
      </c>
      <c r="J674" s="836">
        <v>0.85</v>
      </c>
      <c r="K674" s="836"/>
      <c r="L674" s="836"/>
      <c r="M674" s="836"/>
      <c r="N674" s="836"/>
      <c r="O674" s="836"/>
      <c r="P674" s="836"/>
      <c r="Q674" s="836"/>
      <c r="R674" s="837"/>
      <c r="T674" s="155">
        <v>0</v>
      </c>
      <c r="U674" s="155">
        <v>78821</v>
      </c>
      <c r="V674" s="430">
        <v>0</v>
      </c>
      <c r="AA674" s="180" t="str">
        <f>VLOOKUP(A674,[2]DG!$A:$C,3,0)</f>
        <v>Lắp xà đỡ ≤ 25kg</v>
      </c>
    </row>
    <row r="675" spans="1:27" ht="20.100000000000001" hidden="1" customHeight="1">
      <c r="A675" s="873" t="s">
        <v>1181</v>
      </c>
      <c r="B675" s="859" t="s">
        <v>4103</v>
      </c>
      <c r="C675" s="429" t="s">
        <v>1182</v>
      </c>
      <c r="D675" s="364" t="s">
        <v>37</v>
      </c>
      <c r="E675" s="833"/>
      <c r="F675" s="833">
        <f t="shared" si="65"/>
        <v>282198.5</v>
      </c>
      <c r="G675" s="833">
        <f t="shared" si="66"/>
        <v>0</v>
      </c>
      <c r="H675" s="834" t="s">
        <v>4065</v>
      </c>
      <c r="I675" s="835" t="s">
        <v>3370</v>
      </c>
      <c r="J675" s="836">
        <v>1.1499999999999999</v>
      </c>
      <c r="K675" s="836"/>
      <c r="L675" s="836"/>
      <c r="M675" s="836"/>
      <c r="N675" s="836"/>
      <c r="O675" s="836"/>
      <c r="P675" s="836"/>
      <c r="Q675" s="836"/>
      <c r="R675" s="837"/>
      <c r="T675" s="155"/>
      <c r="U675" s="155">
        <v>106640</v>
      </c>
      <c r="V675" s="430"/>
      <c r="AA675" s="180" t="str">
        <f>VLOOKUP(A675,[2]DG!$A:$C,3,0)</f>
        <v>Lắp xà đỡ ≤ 50kg</v>
      </c>
    </row>
    <row r="676" spans="1:27" ht="20.100000000000001" hidden="1" customHeight="1">
      <c r="A676" s="873" t="s">
        <v>1183</v>
      </c>
      <c r="B676" s="859" t="s">
        <v>4104</v>
      </c>
      <c r="C676" s="429" t="s">
        <v>1184</v>
      </c>
      <c r="D676" s="364" t="s">
        <v>37</v>
      </c>
      <c r="E676" s="833"/>
      <c r="F676" s="833">
        <f t="shared" si="65"/>
        <v>277290.69999999995</v>
      </c>
      <c r="G676" s="833">
        <f t="shared" si="66"/>
        <v>0</v>
      </c>
      <c r="H676" s="834" t="s">
        <v>4065</v>
      </c>
      <c r="I676" s="835" t="s">
        <v>3370</v>
      </c>
      <c r="J676" s="836">
        <v>1.1299999999999999</v>
      </c>
      <c r="K676" s="836"/>
      <c r="L676" s="836"/>
      <c r="M676" s="836"/>
      <c r="N676" s="836"/>
      <c r="O676" s="836"/>
      <c r="P676" s="836"/>
      <c r="Q676" s="836"/>
      <c r="R676" s="837"/>
      <c r="T676" s="155"/>
      <c r="U676" s="155">
        <v>35236</v>
      </c>
      <c r="V676" s="430"/>
      <c r="AA676" s="180" t="str">
        <f>VLOOKUP(A676,[2]DG!$A:$C,3,0)</f>
        <v>Lắp xà néo ≤ 25kg</v>
      </c>
    </row>
    <row r="677" spans="1:27" ht="20.100000000000001" hidden="1" customHeight="1">
      <c r="A677" s="873" t="s">
        <v>1185</v>
      </c>
      <c r="B677" s="859" t="s">
        <v>4105</v>
      </c>
      <c r="C677" s="429" t="s">
        <v>1186</v>
      </c>
      <c r="D677" s="364" t="s">
        <v>37</v>
      </c>
      <c r="E677" s="833"/>
      <c r="F677" s="833">
        <f t="shared" si="65"/>
        <v>375446.7</v>
      </c>
      <c r="G677" s="833">
        <f t="shared" si="66"/>
        <v>0</v>
      </c>
      <c r="H677" s="834" t="s">
        <v>4065</v>
      </c>
      <c r="I677" s="835" t="s">
        <v>3370</v>
      </c>
      <c r="J677" s="836">
        <v>1.53</v>
      </c>
      <c r="K677" s="836"/>
      <c r="L677" s="836"/>
      <c r="M677" s="836"/>
      <c r="N677" s="836"/>
      <c r="O677" s="836"/>
      <c r="P677" s="836"/>
      <c r="Q677" s="836"/>
      <c r="R677" s="837"/>
      <c r="T677" s="155"/>
      <c r="U677" s="155">
        <v>47708</v>
      </c>
      <c r="V677" s="430"/>
      <c r="AA677" s="180" t="str">
        <f>VLOOKUP(A677,[2]DG!$A:$C,3,0)</f>
        <v>Lắp xà néo ≤ 50kg</v>
      </c>
    </row>
    <row r="678" spans="1:27" ht="20.100000000000001" hidden="1" customHeight="1">
      <c r="A678" s="873" t="s">
        <v>1187</v>
      </c>
      <c r="B678" s="859" t="s">
        <v>4106</v>
      </c>
      <c r="C678" s="429" t="s">
        <v>1188</v>
      </c>
      <c r="D678" s="364" t="s">
        <v>37</v>
      </c>
      <c r="E678" s="833"/>
      <c r="F678" s="833">
        <f t="shared" si="65"/>
        <v>505503.4</v>
      </c>
      <c r="G678" s="833">
        <f t="shared" si="66"/>
        <v>0</v>
      </c>
      <c r="H678" s="834" t="s">
        <v>4065</v>
      </c>
      <c r="I678" s="835" t="s">
        <v>3370</v>
      </c>
      <c r="J678" s="836">
        <v>2.06</v>
      </c>
      <c r="K678" s="836"/>
      <c r="L678" s="836"/>
      <c r="M678" s="836"/>
      <c r="N678" s="836"/>
      <c r="O678" s="836"/>
      <c r="P678" s="836"/>
      <c r="Q678" s="836"/>
      <c r="R678" s="837"/>
      <c r="T678" s="155"/>
      <c r="U678" s="155">
        <v>64235</v>
      </c>
      <c r="V678" s="430"/>
      <c r="AA678" s="180" t="str">
        <f>VLOOKUP(A678,[2]DG!$A:$C,3,0)</f>
        <v>Lắp xà néo ≤ 100kg</v>
      </c>
    </row>
    <row r="679" spans="1:27" ht="20.100000000000001" hidden="1" customHeight="1">
      <c r="A679" s="873" t="s">
        <v>1189</v>
      </c>
      <c r="B679" s="859" t="s">
        <v>4107</v>
      </c>
      <c r="C679" s="429" t="s">
        <v>1190</v>
      </c>
      <c r="D679" s="364" t="s">
        <v>37</v>
      </c>
      <c r="E679" s="833"/>
      <c r="F679" s="833">
        <f t="shared" si="65"/>
        <v>515319</v>
      </c>
      <c r="G679" s="833">
        <f t="shared" si="66"/>
        <v>0</v>
      </c>
      <c r="H679" s="834" t="s">
        <v>4065</v>
      </c>
      <c r="I679" s="835" t="s">
        <v>3370</v>
      </c>
      <c r="J679" s="836">
        <v>2.1</v>
      </c>
      <c r="K679" s="836"/>
      <c r="L679" s="836"/>
      <c r="M679" s="836"/>
      <c r="N679" s="836"/>
      <c r="O679" s="836"/>
      <c r="P679" s="836"/>
      <c r="Q679" s="836"/>
      <c r="R679" s="837"/>
      <c r="T679" s="155"/>
      <c r="U679" s="155">
        <v>65482</v>
      </c>
      <c r="V679" s="430"/>
      <c r="AA679" s="180" t="str">
        <f>VLOOKUP(A679,[2]DG!$A:$C,3,0)</f>
        <v>Lắp xà trụ ghép ≤ 140kg</v>
      </c>
    </row>
    <row r="680" spans="1:27" ht="20.100000000000001" hidden="1" customHeight="1">
      <c r="A680" s="873" t="s">
        <v>1191</v>
      </c>
      <c r="B680" s="859" t="s">
        <v>4108</v>
      </c>
      <c r="C680" s="429" t="s">
        <v>1192</v>
      </c>
      <c r="D680" s="364" t="s">
        <v>37</v>
      </c>
      <c r="E680" s="833"/>
      <c r="F680" s="833">
        <f t="shared" si="65"/>
        <v>733716.10000000009</v>
      </c>
      <c r="G680" s="833">
        <f t="shared" si="66"/>
        <v>0</v>
      </c>
      <c r="H680" s="834" t="s">
        <v>4065</v>
      </c>
      <c r="I680" s="835" t="s">
        <v>3370</v>
      </c>
      <c r="J680" s="836">
        <v>2.99</v>
      </c>
      <c r="K680" s="836"/>
      <c r="L680" s="836"/>
      <c r="M680" s="836"/>
      <c r="N680" s="836"/>
      <c r="O680" s="836"/>
      <c r="P680" s="836"/>
      <c r="Q680" s="836"/>
      <c r="R680" s="837"/>
      <c r="T680" s="155"/>
      <c r="U680" s="155">
        <v>93234</v>
      </c>
      <c r="V680" s="430"/>
      <c r="AA680" s="180" t="str">
        <f>VLOOKUP(A680,[2]DG!$A:$C,3,0)</f>
        <v>Lắp xà trụ ghép ≤ 230kg</v>
      </c>
    </row>
    <row r="681" spans="1:27" ht="20.100000000000001" hidden="1" customHeight="1">
      <c r="A681" s="873" t="s">
        <v>1193</v>
      </c>
      <c r="B681" s="859" t="s">
        <v>4109</v>
      </c>
      <c r="C681" s="429" t="s">
        <v>1194</v>
      </c>
      <c r="D681" s="364" t="s">
        <v>37</v>
      </c>
      <c r="E681" s="833">
        <v>0</v>
      </c>
      <c r="F681" s="833">
        <f t="shared" si="65"/>
        <v>571758.70000000007</v>
      </c>
      <c r="G681" s="833">
        <f t="shared" si="66"/>
        <v>0</v>
      </c>
      <c r="H681" s="834" t="s">
        <v>4065</v>
      </c>
      <c r="I681" s="835" t="s">
        <v>3370</v>
      </c>
      <c r="J681" s="836">
        <v>2.33</v>
      </c>
      <c r="K681" s="836"/>
      <c r="L681" s="836"/>
      <c r="M681" s="836"/>
      <c r="N681" s="836"/>
      <c r="O681" s="836"/>
      <c r="P681" s="836"/>
      <c r="Q681" s="836"/>
      <c r="R681" s="837"/>
      <c r="T681" s="155">
        <v>0</v>
      </c>
      <c r="U681" s="155">
        <v>172478</v>
      </c>
      <c r="V681" s="430">
        <v>0</v>
      </c>
      <c r="AA681" s="180" t="str">
        <f>VLOOKUP(A681,[2]DG!$A:$C,3,0)</f>
        <v>Lắp xà cột Pi loại ≤140kg/xà</v>
      </c>
    </row>
    <row r="682" spans="1:27" ht="20.100000000000001" hidden="1" customHeight="1">
      <c r="A682" s="873" t="s">
        <v>1195</v>
      </c>
      <c r="B682" s="859" t="s">
        <v>4110</v>
      </c>
      <c r="C682" s="429" t="s">
        <v>1196</v>
      </c>
      <c r="D682" s="364" t="s">
        <v>37</v>
      </c>
      <c r="E682" s="833"/>
      <c r="F682" s="833">
        <f t="shared" si="65"/>
        <v>817148.70000000007</v>
      </c>
      <c r="G682" s="833">
        <f t="shared" si="66"/>
        <v>0</v>
      </c>
      <c r="H682" s="834" t="s">
        <v>4065</v>
      </c>
      <c r="I682" s="835" t="s">
        <v>3370</v>
      </c>
      <c r="J682" s="836">
        <v>3.33</v>
      </c>
      <c r="K682" s="836"/>
      <c r="L682" s="836"/>
      <c r="M682" s="836"/>
      <c r="N682" s="836"/>
      <c r="O682" s="836"/>
      <c r="P682" s="836"/>
      <c r="Q682" s="836"/>
      <c r="R682" s="837"/>
      <c r="T682" s="155"/>
      <c r="U682" s="155">
        <v>103836</v>
      </c>
      <c r="V682" s="430"/>
      <c r="AA682" s="180" t="str">
        <f>VLOOKUP(A682,[2]DG!$A:$C,3,0)</f>
        <v>Lắp xà cột Pi loại ≤ 230kg/xà</v>
      </c>
    </row>
    <row r="683" spans="1:27" ht="20.100000000000001" hidden="1" customHeight="1">
      <c r="A683" s="873" t="s">
        <v>1197</v>
      </c>
      <c r="B683" s="859" t="s">
        <v>4111</v>
      </c>
      <c r="C683" s="429" t="s">
        <v>1198</v>
      </c>
      <c r="D683" s="364" t="s">
        <v>37</v>
      </c>
      <c r="E683" s="833"/>
      <c r="F683" s="833">
        <f t="shared" si="65"/>
        <v>1023276.2999999999</v>
      </c>
      <c r="G683" s="833">
        <f t="shared" si="66"/>
        <v>0</v>
      </c>
      <c r="H683" s="834" t="s">
        <v>4065</v>
      </c>
      <c r="I683" s="835" t="s">
        <v>3370</v>
      </c>
      <c r="J683" s="836">
        <v>4.17</v>
      </c>
      <c r="K683" s="836"/>
      <c r="L683" s="836"/>
      <c r="M683" s="836"/>
      <c r="N683" s="836"/>
      <c r="O683" s="836"/>
      <c r="P683" s="836"/>
      <c r="Q683" s="836"/>
      <c r="R683" s="837"/>
      <c r="T683" s="155"/>
      <c r="U683" s="155">
        <v>130029</v>
      </c>
      <c r="V683" s="430"/>
      <c r="AA683" s="180" t="str">
        <f>VLOOKUP(A683,[2]DG!$A:$C,3,0)</f>
        <v>Lắp xà cột Pi loại ≤ 320kg/xà</v>
      </c>
    </row>
    <row r="684" spans="1:27" ht="20.100000000000001" hidden="1" customHeight="1">
      <c r="A684" s="873" t="s">
        <v>1199</v>
      </c>
      <c r="B684" s="859" t="s">
        <v>1200</v>
      </c>
      <c r="C684" s="429" t="s">
        <v>1201</v>
      </c>
      <c r="D684" s="364" t="s">
        <v>9</v>
      </c>
      <c r="E684" s="833">
        <v>11340</v>
      </c>
      <c r="F684" s="833">
        <f t="shared" si="65"/>
        <v>0</v>
      </c>
      <c r="G684" s="833">
        <f t="shared" si="66"/>
        <v>0</v>
      </c>
      <c r="H684" s="834">
        <v>1</v>
      </c>
      <c r="I684" s="835"/>
      <c r="J684" s="836"/>
      <c r="K684" s="836"/>
      <c r="L684" s="836"/>
      <c r="M684" s="836"/>
      <c r="N684" s="836"/>
      <c r="O684" s="836"/>
      <c r="P684" s="836"/>
      <c r="Q684" s="836"/>
      <c r="R684" s="837"/>
      <c r="T684" s="155">
        <v>11340</v>
      </c>
      <c r="U684" s="155">
        <v>233934</v>
      </c>
      <c r="V684" s="430"/>
      <c r="AA684" s="180" t="str">
        <f>VLOOKUP(A684,[2]DG!$A:$C,3,0)</f>
        <v>Lắp đầu cáp trung thế 3x50mm2, 70mm2</v>
      </c>
    </row>
    <row r="685" spans="1:27" ht="20.100000000000001" hidden="1" customHeight="1">
      <c r="A685" s="873" t="s">
        <v>1202</v>
      </c>
      <c r="B685" s="859" t="s">
        <v>1203</v>
      </c>
      <c r="C685" s="429" t="s">
        <v>1204</v>
      </c>
      <c r="D685" s="364" t="s">
        <v>9</v>
      </c>
      <c r="E685" s="833">
        <v>11340</v>
      </c>
      <c r="F685" s="833">
        <f t="shared" si="65"/>
        <v>0</v>
      </c>
      <c r="G685" s="833">
        <f t="shared" si="66"/>
        <v>0</v>
      </c>
      <c r="H685" s="834">
        <v>1</v>
      </c>
      <c r="I685" s="835"/>
      <c r="J685" s="836"/>
      <c r="K685" s="836"/>
      <c r="L685" s="836"/>
      <c r="M685" s="836"/>
      <c r="N685" s="836"/>
      <c r="O685" s="836"/>
      <c r="P685" s="836"/>
      <c r="Q685" s="836"/>
      <c r="R685" s="837"/>
      <c r="T685" s="155">
        <v>11340</v>
      </c>
      <c r="U685" s="155">
        <v>258843</v>
      </c>
      <c r="V685" s="430"/>
      <c r="AA685" s="180" t="str">
        <f>VLOOKUP(A685,[2]DG!$A:$C,3,0)</f>
        <v>Lắp đầu cáp trung thế 3x120mm2, 95mm2</v>
      </c>
    </row>
    <row r="686" spans="1:27" ht="20.100000000000001" hidden="1" customHeight="1">
      <c r="A686" s="873" t="s">
        <v>1205</v>
      </c>
      <c r="B686" s="859" t="s">
        <v>1206</v>
      </c>
      <c r="C686" s="429" t="s">
        <v>1207</v>
      </c>
      <c r="D686" s="364" t="s">
        <v>9</v>
      </c>
      <c r="E686" s="833">
        <v>13230</v>
      </c>
      <c r="F686" s="833">
        <f t="shared" si="65"/>
        <v>0</v>
      </c>
      <c r="G686" s="833">
        <f t="shared" si="66"/>
        <v>0</v>
      </c>
      <c r="H686" s="834">
        <v>1</v>
      </c>
      <c r="I686" s="835"/>
      <c r="J686" s="836"/>
      <c r="K686" s="836"/>
      <c r="L686" s="836"/>
      <c r="M686" s="836"/>
      <c r="N686" s="836"/>
      <c r="O686" s="836"/>
      <c r="P686" s="836"/>
      <c r="Q686" s="836"/>
      <c r="R686" s="837"/>
      <c r="T686" s="155">
        <v>13230</v>
      </c>
      <c r="U686" s="155">
        <v>284838</v>
      </c>
      <c r="V686" s="430"/>
      <c r="AA686" s="180" t="str">
        <f>VLOOKUP(A686,[2]DG!$A:$C,3,0)</f>
        <v>Lắp đầu cáp trung thế 3x150mm2, 185mm2</v>
      </c>
    </row>
    <row r="687" spans="1:27" ht="20.100000000000001" hidden="1" customHeight="1">
      <c r="A687" s="873" t="s">
        <v>1208</v>
      </c>
      <c r="B687" s="859" t="s">
        <v>1209</v>
      </c>
      <c r="C687" s="429" t="s">
        <v>1210</v>
      </c>
      <c r="D687" s="364" t="s">
        <v>9</v>
      </c>
      <c r="E687" s="833">
        <v>1890</v>
      </c>
      <c r="F687" s="833">
        <f t="shared" si="65"/>
        <v>0</v>
      </c>
      <c r="G687" s="833">
        <f t="shared" si="66"/>
        <v>0</v>
      </c>
      <c r="H687" s="834">
        <v>1</v>
      </c>
      <c r="I687" s="835"/>
      <c r="J687" s="836"/>
      <c r="K687" s="836"/>
      <c r="L687" s="836"/>
      <c r="M687" s="836"/>
      <c r="N687" s="836"/>
      <c r="O687" s="836"/>
      <c r="P687" s="836"/>
      <c r="Q687" s="836"/>
      <c r="R687" s="837"/>
      <c r="T687" s="155">
        <v>1890</v>
      </c>
      <c r="U687" s="155">
        <v>34657</v>
      </c>
      <c r="V687" s="430"/>
      <c r="AA687" s="180" t="str">
        <f>VLOOKUP(A687,[2]DG!$A:$C,3,0)</f>
        <v>Lắp đầu cáp hạ thế 3x50mm2, 70mm2</v>
      </c>
    </row>
    <row r="688" spans="1:27" ht="20.100000000000001" hidden="1" customHeight="1">
      <c r="A688" s="873" t="s">
        <v>1211</v>
      </c>
      <c r="B688" s="859" t="s">
        <v>1212</v>
      </c>
      <c r="C688" s="429" t="s">
        <v>1213</v>
      </c>
      <c r="D688" s="364" t="s">
        <v>9</v>
      </c>
      <c r="E688" s="833">
        <v>1890</v>
      </c>
      <c r="F688" s="833">
        <f t="shared" si="65"/>
        <v>0</v>
      </c>
      <c r="G688" s="833">
        <f t="shared" si="66"/>
        <v>0</v>
      </c>
      <c r="H688" s="834">
        <v>1</v>
      </c>
      <c r="I688" s="835"/>
      <c r="J688" s="836"/>
      <c r="K688" s="836"/>
      <c r="L688" s="836"/>
      <c r="M688" s="836"/>
      <c r="N688" s="836"/>
      <c r="O688" s="836"/>
      <c r="P688" s="836"/>
      <c r="Q688" s="836"/>
      <c r="R688" s="837"/>
      <c r="T688" s="155">
        <v>1890</v>
      </c>
      <c r="U688" s="155">
        <v>38989</v>
      </c>
      <c r="V688" s="430"/>
      <c r="AA688" s="180" t="str">
        <f>VLOOKUP(A688,[2]DG!$A:$C,3,0)</f>
        <v>Lắp đầu cáp hạ thế 3x120mm2, 95mm2</v>
      </c>
    </row>
    <row r="689" spans="1:27" ht="20.100000000000001" hidden="1" customHeight="1">
      <c r="A689" s="873" t="s">
        <v>1214</v>
      </c>
      <c r="B689" s="859" t="s">
        <v>1215</v>
      </c>
      <c r="C689" s="429" t="s">
        <v>1216</v>
      </c>
      <c r="D689" s="364" t="s">
        <v>9</v>
      </c>
      <c r="E689" s="833">
        <v>2520</v>
      </c>
      <c r="F689" s="833">
        <f t="shared" si="65"/>
        <v>0</v>
      </c>
      <c r="G689" s="833">
        <f t="shared" si="66"/>
        <v>0</v>
      </c>
      <c r="H689" s="834">
        <v>1</v>
      </c>
      <c r="I689" s="835"/>
      <c r="J689" s="836"/>
      <c r="K689" s="836"/>
      <c r="L689" s="836"/>
      <c r="M689" s="836"/>
      <c r="N689" s="836"/>
      <c r="O689" s="836"/>
      <c r="P689" s="836"/>
      <c r="Q689" s="836"/>
      <c r="R689" s="837"/>
      <c r="T689" s="155">
        <v>2520</v>
      </c>
      <c r="U689" s="155">
        <v>43321</v>
      </c>
      <c r="V689" s="430"/>
      <c r="AA689" s="180" t="str">
        <f>VLOOKUP(A689,[2]DG!$A:$C,3,0)</f>
        <v>Lắp đầu cáp hạ thế 3x150mm2, 185mm2</v>
      </c>
    </row>
    <row r="690" spans="1:27" ht="20.100000000000001" hidden="1" customHeight="1">
      <c r="A690" s="873" t="s">
        <v>1217</v>
      </c>
      <c r="B690" s="859" t="s">
        <v>699</v>
      </c>
      <c r="C690" s="429" t="s">
        <v>708</v>
      </c>
      <c r="D690" s="364" t="s">
        <v>9</v>
      </c>
      <c r="E690" s="833"/>
      <c r="F690" s="833">
        <f t="shared" si="65"/>
        <v>0</v>
      </c>
      <c r="G690" s="833">
        <f t="shared" si="66"/>
        <v>0</v>
      </c>
      <c r="H690" s="834">
        <v>1</v>
      </c>
      <c r="I690" s="835"/>
      <c r="J690" s="836"/>
      <c r="K690" s="836"/>
      <c r="L690" s="836"/>
      <c r="M690" s="836"/>
      <c r="N690" s="836"/>
      <c r="O690" s="836"/>
      <c r="P690" s="836"/>
      <c r="Q690" s="836"/>
      <c r="R690" s="837"/>
      <c r="T690" s="155"/>
      <c r="U690" s="155">
        <v>11455</v>
      </c>
      <c r="V690" s="430"/>
      <c r="AA690" s="180" t="str">
        <f>VLOOKUP(A690,[2]DG!$A:$C,3,0)</f>
        <v>Lắp cổ dê</v>
      </c>
    </row>
    <row r="691" spans="1:27" ht="20.100000000000001" hidden="1" customHeight="1">
      <c r="A691" s="873" t="s">
        <v>1218</v>
      </c>
      <c r="B691" s="859"/>
      <c r="C691" s="429" t="s">
        <v>1219</v>
      </c>
      <c r="D691" s="364"/>
      <c r="E691" s="833"/>
      <c r="F691" s="833">
        <f t="shared" si="65"/>
        <v>0</v>
      </c>
      <c r="G691" s="833">
        <f t="shared" si="66"/>
        <v>0</v>
      </c>
      <c r="H691" s="834">
        <v>1</v>
      </c>
      <c r="I691" s="835"/>
      <c r="J691" s="836"/>
      <c r="K691" s="836"/>
      <c r="L691" s="836"/>
      <c r="M691" s="836"/>
      <c r="N691" s="836"/>
      <c r="O691" s="836"/>
      <c r="P691" s="836"/>
      <c r="Q691" s="836"/>
      <c r="R691" s="837"/>
      <c r="T691" s="155"/>
      <c r="U691" s="155"/>
      <c r="V691" s="430"/>
      <c r="AA691" s="180" t="str">
        <f>VLOOKUP(A691,[2]DG!$A:$C,3,0)</f>
        <v>Lắp tấm bakelit</v>
      </c>
    </row>
    <row r="692" spans="1:27" ht="20.100000000000001" hidden="1" customHeight="1">
      <c r="A692" s="873" t="s">
        <v>1220</v>
      </c>
      <c r="B692" s="859"/>
      <c r="C692" s="429" t="s">
        <v>1221</v>
      </c>
      <c r="D692" s="364"/>
      <c r="E692" s="833"/>
      <c r="F692" s="833">
        <f t="shared" si="65"/>
        <v>0</v>
      </c>
      <c r="G692" s="833">
        <f t="shared" si="66"/>
        <v>0</v>
      </c>
      <c r="H692" s="834">
        <v>1</v>
      </c>
      <c r="I692" s="835"/>
      <c r="J692" s="836"/>
      <c r="K692" s="836"/>
      <c r="L692" s="836"/>
      <c r="M692" s="836"/>
      <c r="N692" s="836"/>
      <c r="O692" s="836"/>
      <c r="P692" s="836"/>
      <c r="Q692" s="836"/>
      <c r="R692" s="837"/>
      <c r="T692" s="155"/>
      <c r="U692" s="155"/>
      <c r="V692" s="430"/>
      <c r="AA692" s="180" t="str">
        <f>VLOOKUP(A692,[2]DG!$A:$C,3,0)</f>
        <v>Lắp cầu chì 5A</v>
      </c>
    </row>
    <row r="693" spans="1:27" ht="20.100000000000001" hidden="1" customHeight="1">
      <c r="A693" s="873" t="s">
        <v>1222</v>
      </c>
      <c r="B693" s="859" t="s">
        <v>699</v>
      </c>
      <c r="C693" s="429" t="s">
        <v>1223</v>
      </c>
      <c r="D693" s="420" t="s">
        <v>9</v>
      </c>
      <c r="E693" s="833"/>
      <c r="F693" s="833">
        <f t="shared" si="65"/>
        <v>0</v>
      </c>
      <c r="G693" s="833">
        <f t="shared" si="66"/>
        <v>0</v>
      </c>
      <c r="H693" s="834">
        <v>1</v>
      </c>
      <c r="I693" s="835"/>
      <c r="J693" s="836"/>
      <c r="K693" s="836"/>
      <c r="L693" s="836"/>
      <c r="M693" s="836"/>
      <c r="N693" s="836"/>
      <c r="O693" s="836"/>
      <c r="P693" s="836"/>
      <c r="Q693" s="836"/>
      <c r="R693" s="837"/>
      <c r="T693" s="155"/>
      <c r="U693" s="155">
        <v>11455</v>
      </c>
      <c r="V693" s="430"/>
      <c r="AA693" s="180" t="str">
        <f>VLOOKUP(A693,[2]DG!$A:$C,3,0)</f>
        <v>Lắp chân sứ đỉnh</v>
      </c>
    </row>
    <row r="694" spans="1:27" ht="20.100000000000001" hidden="1" customHeight="1">
      <c r="A694" s="873" t="s">
        <v>1224</v>
      </c>
      <c r="B694" s="859" t="s">
        <v>4114</v>
      </c>
      <c r="C694" s="429" t="s">
        <v>1225</v>
      </c>
      <c r="D694" s="420" t="s">
        <v>37</v>
      </c>
      <c r="E694" s="833">
        <v>0</v>
      </c>
      <c r="F694" s="833">
        <f t="shared" si="65"/>
        <v>187723.35</v>
      </c>
      <c r="G694" s="833">
        <f t="shared" si="66"/>
        <v>0</v>
      </c>
      <c r="H694" s="834" t="s">
        <v>4065</v>
      </c>
      <c r="I694" s="835" t="s">
        <v>3370</v>
      </c>
      <c r="J694" s="836">
        <v>0.51</v>
      </c>
      <c r="K694" s="836">
        <v>1.5</v>
      </c>
      <c r="L694" s="836"/>
      <c r="M694" s="836"/>
      <c r="N694" s="836"/>
      <c r="O694" s="836"/>
      <c r="P694" s="836"/>
      <c r="Q694" s="836"/>
      <c r="R694" s="837"/>
      <c r="T694" s="155">
        <v>0</v>
      </c>
      <c r="U694" s="155">
        <v>47292</v>
      </c>
      <c r="V694" s="430">
        <v>0</v>
      </c>
      <c r="AA694" s="180" t="str">
        <f>VLOOKUP(A694,[2]DG!$A:$C,3,0)</f>
        <v>Lắp bộ chống lệch</v>
      </c>
    </row>
    <row r="695" spans="1:27" ht="20.100000000000001" hidden="1" customHeight="1">
      <c r="A695" s="873" t="s">
        <v>1226</v>
      </c>
      <c r="B695" s="859" t="s">
        <v>4113</v>
      </c>
      <c r="C695" s="429" t="s">
        <v>1227</v>
      </c>
      <c r="D695" s="420" t="s">
        <v>37</v>
      </c>
      <c r="E695" s="833">
        <v>0</v>
      </c>
      <c r="F695" s="833">
        <f t="shared" si="65"/>
        <v>106623</v>
      </c>
      <c r="G695" s="833">
        <f t="shared" si="66"/>
        <v>0</v>
      </c>
      <c r="H695" s="834" t="s">
        <v>4065</v>
      </c>
      <c r="I695" s="835" t="s">
        <v>3372</v>
      </c>
      <c r="J695" s="836">
        <v>0.45</v>
      </c>
      <c r="K695" s="836"/>
      <c r="L695" s="836"/>
      <c r="M695" s="836"/>
      <c r="N695" s="836"/>
      <c r="O695" s="836"/>
      <c r="P695" s="836"/>
      <c r="Q695" s="836"/>
      <c r="R695" s="837"/>
      <c r="T695" s="155">
        <v>0</v>
      </c>
      <c r="U695" s="155">
        <v>44917</v>
      </c>
      <c r="V695" s="430">
        <v>0</v>
      </c>
      <c r="AA695" s="180" t="str">
        <f>VLOOKUP(A695,[2]DG!$A:$C,3,0)</f>
        <v>Lắp bộ dây néo</v>
      </c>
    </row>
    <row r="696" spans="1:27" ht="20.100000000000001" hidden="1" customHeight="1">
      <c r="A696" s="873" t="s">
        <v>1228</v>
      </c>
      <c r="B696" s="859" t="s">
        <v>7</v>
      </c>
      <c r="C696" s="429" t="s">
        <v>1229</v>
      </c>
      <c r="D696" s="420" t="s">
        <v>9</v>
      </c>
      <c r="E696" s="833"/>
      <c r="F696" s="833">
        <f t="shared" si="65"/>
        <v>0</v>
      </c>
      <c r="G696" s="833">
        <f t="shared" si="66"/>
        <v>0</v>
      </c>
      <c r="H696" s="834">
        <v>1</v>
      </c>
      <c r="I696" s="835"/>
      <c r="J696" s="836"/>
      <c r="K696" s="836"/>
      <c r="L696" s="836"/>
      <c r="M696" s="836"/>
      <c r="N696" s="836"/>
      <c r="O696" s="836"/>
      <c r="P696" s="836"/>
      <c r="Q696" s="836"/>
      <c r="R696" s="837"/>
      <c r="T696" s="155"/>
      <c r="U696" s="155">
        <v>22255</v>
      </c>
      <c r="V696" s="430"/>
      <c r="AA696" s="180" t="str">
        <f>VLOOKUP(A696,[2]DG!$A:$C,3,0)</f>
        <v>Đặt neo xòe 8 hướng (dày 3,2mm)</v>
      </c>
    </row>
    <row r="697" spans="1:27" ht="20.100000000000001" hidden="1" customHeight="1">
      <c r="A697" s="873" t="s">
        <v>1230</v>
      </c>
      <c r="B697" s="859" t="s">
        <v>7</v>
      </c>
      <c r="C697" s="429" t="s">
        <v>1231</v>
      </c>
      <c r="D697" s="420" t="s">
        <v>9</v>
      </c>
      <c r="E697" s="833"/>
      <c r="F697" s="833">
        <f t="shared" si="65"/>
        <v>0</v>
      </c>
      <c r="G697" s="833">
        <f t="shared" si="66"/>
        <v>0</v>
      </c>
      <c r="H697" s="834">
        <v>1</v>
      </c>
      <c r="I697" s="835"/>
      <c r="J697" s="836"/>
      <c r="K697" s="836"/>
      <c r="L697" s="836"/>
      <c r="M697" s="836"/>
      <c r="N697" s="836"/>
      <c r="O697" s="836"/>
      <c r="P697" s="836"/>
      <c r="Q697" s="836"/>
      <c r="R697" s="837"/>
      <c r="T697" s="155"/>
      <c r="U697" s="155">
        <v>22255</v>
      </c>
      <c r="V697" s="430"/>
      <c r="AA697" s="180" t="str">
        <f>VLOOKUP(A697,[2]DG!$A:$C,3,0)</f>
        <v>Đặt đế néo BTCT 200x1200</v>
      </c>
    </row>
    <row r="698" spans="1:27" ht="20.100000000000001" hidden="1" customHeight="1">
      <c r="A698" s="873" t="s">
        <v>1232</v>
      </c>
      <c r="B698" s="859" t="s">
        <v>7</v>
      </c>
      <c r="C698" s="429" t="s">
        <v>1233</v>
      </c>
      <c r="D698" s="420" t="s">
        <v>9</v>
      </c>
      <c r="E698" s="833"/>
      <c r="F698" s="833">
        <f t="shared" si="65"/>
        <v>0</v>
      </c>
      <c r="G698" s="833">
        <f t="shared" si="66"/>
        <v>0</v>
      </c>
      <c r="H698" s="834">
        <v>1</v>
      </c>
      <c r="I698" s="835"/>
      <c r="J698" s="836"/>
      <c r="K698" s="836"/>
      <c r="L698" s="836"/>
      <c r="M698" s="836"/>
      <c r="N698" s="836"/>
      <c r="O698" s="836"/>
      <c r="P698" s="836"/>
      <c r="Q698" s="836"/>
      <c r="R698" s="837"/>
      <c r="T698" s="155"/>
      <c r="U698" s="155">
        <v>22255</v>
      </c>
      <c r="V698" s="430"/>
      <c r="AA698" s="180" t="str">
        <f>VLOOKUP(A698,[2]DG!$A:$C,3,0)</f>
        <v>Đặt đế néo BTCT 400x1200</v>
      </c>
    </row>
    <row r="699" spans="1:27" ht="20.100000000000001" hidden="1" customHeight="1">
      <c r="A699" s="873" t="s">
        <v>1234</v>
      </c>
      <c r="B699" s="859" t="s">
        <v>13</v>
      </c>
      <c r="C699" s="429" t="s">
        <v>1235</v>
      </c>
      <c r="D699" s="420" t="s">
        <v>9</v>
      </c>
      <c r="E699" s="833"/>
      <c r="F699" s="833">
        <f t="shared" si="65"/>
        <v>0</v>
      </c>
      <c r="G699" s="833">
        <f t="shared" si="66"/>
        <v>0</v>
      </c>
      <c r="H699" s="834">
        <v>1</v>
      </c>
      <c r="I699" s="835"/>
      <c r="J699" s="836"/>
      <c r="K699" s="836"/>
      <c r="L699" s="836"/>
      <c r="M699" s="836"/>
      <c r="N699" s="836"/>
      <c r="O699" s="836"/>
      <c r="P699" s="836"/>
      <c r="Q699" s="836"/>
      <c r="R699" s="837"/>
      <c r="T699" s="155"/>
      <c r="U699" s="155">
        <v>48765</v>
      </c>
      <c r="V699" s="430"/>
      <c r="AA699" s="180" t="str">
        <f>VLOOKUP(A699,[2]DG!$A:$C,3,0)</f>
        <v>Đặt đế néo BTCT 400x1500</v>
      </c>
    </row>
    <row r="700" spans="1:27" ht="20.100000000000001" hidden="1" customHeight="1">
      <c r="A700" s="873" t="s">
        <v>1236</v>
      </c>
      <c r="B700" s="859" t="s">
        <v>13</v>
      </c>
      <c r="C700" s="429" t="s">
        <v>1237</v>
      </c>
      <c r="D700" s="420" t="s">
        <v>9</v>
      </c>
      <c r="E700" s="833"/>
      <c r="F700" s="833">
        <f t="shared" si="65"/>
        <v>0</v>
      </c>
      <c r="G700" s="833">
        <f t="shared" si="66"/>
        <v>0</v>
      </c>
      <c r="H700" s="834">
        <v>1</v>
      </c>
      <c r="I700" s="835"/>
      <c r="J700" s="836"/>
      <c r="K700" s="836"/>
      <c r="L700" s="836"/>
      <c r="M700" s="836"/>
      <c r="N700" s="836"/>
      <c r="O700" s="836"/>
      <c r="P700" s="836"/>
      <c r="Q700" s="836"/>
      <c r="R700" s="837"/>
      <c r="T700" s="155"/>
      <c r="U700" s="155">
        <v>48765</v>
      </c>
      <c r="V700" s="430"/>
      <c r="AA700" s="180" t="str">
        <f>VLOOKUP(A700,[2]DG!$A:$C,3,0)</f>
        <v>Đặt đế néo BTCT 600x1500</v>
      </c>
    </row>
    <row r="701" spans="1:27" ht="20.100000000000001" hidden="1" customHeight="1">
      <c r="A701" s="873" t="s">
        <v>1238</v>
      </c>
      <c r="B701" s="859" t="s">
        <v>7</v>
      </c>
      <c r="C701" s="429" t="s">
        <v>1239</v>
      </c>
      <c r="D701" s="420" t="s">
        <v>9</v>
      </c>
      <c r="E701" s="833"/>
      <c r="F701" s="833">
        <f t="shared" si="65"/>
        <v>0</v>
      </c>
      <c r="G701" s="833">
        <f t="shared" si="66"/>
        <v>0</v>
      </c>
      <c r="H701" s="834">
        <v>1</v>
      </c>
      <c r="I701" s="835"/>
      <c r="J701" s="836"/>
      <c r="K701" s="836"/>
      <c r="L701" s="836"/>
      <c r="M701" s="836"/>
      <c r="N701" s="836"/>
      <c r="O701" s="836"/>
      <c r="P701" s="836"/>
      <c r="Q701" s="836"/>
      <c r="R701" s="837"/>
      <c r="T701" s="155"/>
      <c r="U701" s="155">
        <v>48765</v>
      </c>
      <c r="V701" s="430"/>
      <c r="AA701" s="180" t="str">
        <f>VLOOKUP(A701,[2]DG!$A:$C,3,0)</f>
        <v>Đặt đế néo BTCT 500x1200</v>
      </c>
    </row>
    <row r="702" spans="1:27" ht="20.100000000000001" hidden="1" customHeight="1">
      <c r="A702" s="873" t="s">
        <v>1240</v>
      </c>
      <c r="B702" s="859" t="s">
        <v>13</v>
      </c>
      <c r="C702" s="429" t="s">
        <v>1241</v>
      </c>
      <c r="D702" s="420" t="s">
        <v>9</v>
      </c>
      <c r="E702" s="833"/>
      <c r="F702" s="833">
        <f t="shared" si="65"/>
        <v>0</v>
      </c>
      <c r="G702" s="833">
        <f t="shared" si="66"/>
        <v>0</v>
      </c>
      <c r="H702" s="834">
        <v>1</v>
      </c>
      <c r="I702" s="835"/>
      <c r="J702" s="836"/>
      <c r="K702" s="836"/>
      <c r="L702" s="836"/>
      <c r="M702" s="836"/>
      <c r="N702" s="836"/>
      <c r="O702" s="836"/>
      <c r="P702" s="836"/>
      <c r="Q702" s="836"/>
      <c r="R702" s="837"/>
      <c r="T702" s="155"/>
      <c r="U702" s="155">
        <v>48765</v>
      </c>
      <c r="V702" s="430"/>
      <c r="AA702" s="180" t="str">
        <f>VLOOKUP(A702,[2]DG!$A:$C,3,0)</f>
        <v>Đặt đế néo BTCT 500x1500</v>
      </c>
    </row>
    <row r="703" spans="1:27" ht="20.100000000000001" hidden="1" customHeight="1">
      <c r="A703" s="873" t="s">
        <v>1242</v>
      </c>
      <c r="B703" s="859" t="s">
        <v>1243</v>
      </c>
      <c r="C703" s="429" t="s">
        <v>1244</v>
      </c>
      <c r="D703" s="364" t="s">
        <v>476</v>
      </c>
      <c r="E703" s="833"/>
      <c r="F703" s="833">
        <f t="shared" si="65"/>
        <v>398225.65</v>
      </c>
      <c r="G703" s="833">
        <f t="shared" si="66"/>
        <v>0</v>
      </c>
      <c r="H703" s="834">
        <v>1</v>
      </c>
      <c r="I703" s="835" t="s">
        <v>3367</v>
      </c>
      <c r="J703" s="836">
        <v>1.97</v>
      </c>
      <c r="K703" s="836"/>
      <c r="L703" s="836"/>
      <c r="M703" s="836"/>
      <c r="N703" s="836"/>
      <c r="O703" s="836"/>
      <c r="P703" s="836"/>
      <c r="Q703" s="836"/>
      <c r="R703" s="837"/>
      <c r="T703" s="155">
        <v>313331</v>
      </c>
      <c r="U703" s="155">
        <v>80017</v>
      </c>
      <c r="V703" s="430"/>
      <c r="AA703" s="180" t="str">
        <f>VLOOKUP(A703,[2]DG!$A:$C,3,0)</f>
        <v>Đổ bê tông mác M100 đá 4x6</v>
      </c>
    </row>
    <row r="704" spans="1:27" ht="20.100000000000001" hidden="1" customHeight="1">
      <c r="A704" s="873" t="s">
        <v>1245</v>
      </c>
      <c r="B704" s="859" t="s">
        <v>4271</v>
      </c>
      <c r="C704" s="429" t="s">
        <v>1246</v>
      </c>
      <c r="D704" s="364" t="s">
        <v>476</v>
      </c>
      <c r="E704" s="833"/>
      <c r="F704" s="833">
        <f t="shared" si="65"/>
        <v>398225.65</v>
      </c>
      <c r="G704" s="833">
        <f t="shared" si="66"/>
        <v>0</v>
      </c>
      <c r="H704" s="834" t="s">
        <v>4065</v>
      </c>
      <c r="I704" s="835" t="s">
        <v>3367</v>
      </c>
      <c r="J704" s="836">
        <v>1.97</v>
      </c>
      <c r="K704" s="836"/>
      <c r="L704" s="836"/>
      <c r="M704" s="836"/>
      <c r="N704" s="836"/>
      <c r="O704" s="836"/>
      <c r="P704" s="836"/>
      <c r="Q704" s="836"/>
      <c r="R704" s="837"/>
      <c r="T704" s="155">
        <v>302309</v>
      </c>
      <c r="U704" s="155">
        <v>304878</v>
      </c>
      <c r="V704" s="430"/>
      <c r="AA704" s="180" t="str">
        <f>VLOOKUP(A704,[2]DG!$A:$C,3,0)</f>
        <v>Đổ bê tông mác M150 đá 1x2</v>
      </c>
    </row>
    <row r="705" spans="1:27" ht="20.100000000000001" hidden="1" customHeight="1">
      <c r="A705" s="873" t="s">
        <v>1247</v>
      </c>
      <c r="B705" s="859" t="s">
        <v>4271</v>
      </c>
      <c r="C705" s="429" t="s">
        <v>1249</v>
      </c>
      <c r="D705" s="364" t="s">
        <v>476</v>
      </c>
      <c r="E705" s="833"/>
      <c r="F705" s="833">
        <f t="shared" si="65"/>
        <v>398225.65</v>
      </c>
      <c r="G705" s="833">
        <f t="shared" si="66"/>
        <v>0</v>
      </c>
      <c r="H705" s="834" t="s">
        <v>4065</v>
      </c>
      <c r="I705" s="835" t="s">
        <v>3367</v>
      </c>
      <c r="J705" s="836">
        <v>1.97</v>
      </c>
      <c r="K705" s="836"/>
      <c r="L705" s="836"/>
      <c r="M705" s="836"/>
      <c r="N705" s="836"/>
      <c r="O705" s="836"/>
      <c r="P705" s="836"/>
      <c r="Q705" s="836"/>
      <c r="R705" s="837"/>
      <c r="T705" s="155">
        <v>445335</v>
      </c>
      <c r="U705" s="155">
        <v>90686</v>
      </c>
      <c r="V705" s="430"/>
      <c r="AA705" s="180" t="str">
        <f>VLOOKUP(A705,[2]DG!$A:$C,3,0)</f>
        <v>Đổ bê tông móng trụ &lt;=250cm-M200 đá 1x2</v>
      </c>
    </row>
    <row r="706" spans="1:27" ht="20.100000000000001" hidden="1" customHeight="1">
      <c r="A706" s="873" t="s">
        <v>1250</v>
      </c>
      <c r="B706" s="859" t="s">
        <v>1251</v>
      </c>
      <c r="C706" s="429" t="s">
        <v>1252</v>
      </c>
      <c r="D706" s="364" t="s">
        <v>182</v>
      </c>
      <c r="E706" s="833">
        <v>405.99</v>
      </c>
      <c r="F706" s="833">
        <f t="shared" si="65"/>
        <v>0</v>
      </c>
      <c r="G706" s="833">
        <f t="shared" si="66"/>
        <v>0</v>
      </c>
      <c r="H706" s="834">
        <v>1</v>
      </c>
      <c r="I706" s="835"/>
      <c r="J706" s="836"/>
      <c r="K706" s="836"/>
      <c r="L706" s="836"/>
      <c r="M706" s="836"/>
      <c r="N706" s="836"/>
      <c r="O706" s="836"/>
      <c r="P706" s="836"/>
      <c r="Q706" s="836"/>
      <c r="R706" s="837"/>
      <c r="T706" s="155">
        <v>405.99</v>
      </c>
      <c r="U706" s="435">
        <v>22.553999999999998</v>
      </c>
      <c r="V706" s="430"/>
      <c r="AA706" s="180" t="str">
        <f>VLOOKUP(A706,[2]DG!$A:$C,3,0)</f>
        <v>Gia công và lắp dựng cốt thép D&lt;=10</v>
      </c>
    </row>
    <row r="707" spans="1:27" ht="20.100000000000001" hidden="1" customHeight="1">
      <c r="A707" s="873" t="s">
        <v>1253</v>
      </c>
      <c r="B707" s="859" t="s">
        <v>1254</v>
      </c>
      <c r="C707" s="429" t="s">
        <v>1255</v>
      </c>
      <c r="D707" s="364" t="s">
        <v>182</v>
      </c>
      <c r="E707" s="833">
        <v>299.03500000000003</v>
      </c>
      <c r="F707" s="833">
        <f t="shared" si="65"/>
        <v>0</v>
      </c>
      <c r="G707" s="833">
        <f t="shared" si="66"/>
        <v>0</v>
      </c>
      <c r="H707" s="834">
        <v>1</v>
      </c>
      <c r="I707" s="835"/>
      <c r="J707" s="836"/>
      <c r="K707" s="836"/>
      <c r="L707" s="836"/>
      <c r="M707" s="836"/>
      <c r="N707" s="836"/>
      <c r="O707" s="836"/>
      <c r="P707" s="836"/>
      <c r="Q707" s="836"/>
      <c r="R707" s="837"/>
      <c r="T707" s="155">
        <v>299.03500000000003</v>
      </c>
      <c r="U707" s="435">
        <v>231.57400000000001</v>
      </c>
      <c r="V707" s="430"/>
      <c r="AA707" s="180" t="str">
        <f>VLOOKUP(A707,[2]DG!$A:$C,3,0)</f>
        <v>Gia công và lắp dựng cốt thép D&lt;=18</v>
      </c>
    </row>
    <row r="708" spans="1:27" ht="20.100000000000001" hidden="1" customHeight="1">
      <c r="A708" s="873" t="s">
        <v>1256</v>
      </c>
      <c r="B708" s="859" t="s">
        <v>1257</v>
      </c>
      <c r="C708" s="429" t="s">
        <v>1258</v>
      </c>
      <c r="D708" s="364" t="s">
        <v>182</v>
      </c>
      <c r="E708" s="833">
        <v>227.62899999999999</v>
      </c>
      <c r="F708" s="833">
        <f t="shared" si="65"/>
        <v>0</v>
      </c>
      <c r="G708" s="833">
        <f t="shared" si="66"/>
        <v>0</v>
      </c>
      <c r="H708" s="834">
        <v>1</v>
      </c>
      <c r="I708" s="835"/>
      <c r="J708" s="836"/>
      <c r="K708" s="836"/>
      <c r="L708" s="836"/>
      <c r="M708" s="836"/>
      <c r="N708" s="836"/>
      <c r="O708" s="836"/>
      <c r="P708" s="836"/>
      <c r="Q708" s="836"/>
      <c r="R708" s="837"/>
      <c r="T708" s="155">
        <v>227.62899999999999</v>
      </c>
      <c r="U708" s="435">
        <v>251.15100000000001</v>
      </c>
      <c r="V708" s="430"/>
      <c r="AA708" s="180" t="str">
        <f>VLOOKUP(A708,[2]DG!$A:$C,3,0)</f>
        <v>Gia công và lắp dựng cốt thép D&gt;18</v>
      </c>
    </row>
    <row r="709" spans="1:27" ht="20.100000000000001" hidden="1" customHeight="1">
      <c r="A709" s="873" t="s">
        <v>1259</v>
      </c>
      <c r="B709" s="859" t="s">
        <v>1260</v>
      </c>
      <c r="C709" s="429" t="s">
        <v>1261</v>
      </c>
      <c r="D709" s="364" t="s">
        <v>481</v>
      </c>
      <c r="E709" s="833">
        <v>30617</v>
      </c>
      <c r="F709" s="833">
        <f t="shared" si="65"/>
        <v>0</v>
      </c>
      <c r="G709" s="833">
        <f t="shared" si="66"/>
        <v>0</v>
      </c>
      <c r="H709" s="834">
        <v>1</v>
      </c>
      <c r="I709" s="835"/>
      <c r="J709" s="836"/>
      <c r="K709" s="836"/>
      <c r="L709" s="836"/>
      <c r="M709" s="836"/>
      <c r="N709" s="836"/>
      <c r="O709" s="836"/>
      <c r="P709" s="836"/>
      <c r="Q709" s="836"/>
      <c r="R709" s="837"/>
      <c r="T709" s="155">
        <v>30617</v>
      </c>
      <c r="U709" s="155">
        <v>10692</v>
      </c>
      <c r="V709" s="430"/>
      <c r="AA709" s="180" t="str">
        <f>VLOOKUP(A709,[2]DG!$A:$C,3,0)</f>
        <v>Gia công và lắp dựng ván khuôn</v>
      </c>
    </row>
    <row r="710" spans="1:27" ht="20.100000000000001" hidden="1" customHeight="1">
      <c r="A710" s="873" t="s">
        <v>1262</v>
      </c>
      <c r="B710" s="859" t="s">
        <v>1263</v>
      </c>
      <c r="C710" s="429" t="s">
        <v>1264</v>
      </c>
      <c r="D710" s="364" t="s">
        <v>1265</v>
      </c>
      <c r="E710" s="833">
        <v>27801</v>
      </c>
      <c r="F710" s="833">
        <f t="shared" si="65"/>
        <v>0</v>
      </c>
      <c r="G710" s="833">
        <f t="shared" si="66"/>
        <v>0</v>
      </c>
      <c r="H710" s="834">
        <v>42312</v>
      </c>
      <c r="I710" s="835"/>
      <c r="J710" s="836"/>
      <c r="K710" s="836"/>
      <c r="L710" s="836"/>
      <c r="M710" s="836"/>
      <c r="N710" s="836"/>
      <c r="O710" s="836"/>
      <c r="P710" s="836"/>
      <c r="Q710" s="836"/>
      <c r="R710" s="837"/>
      <c r="T710" s="155">
        <v>27801</v>
      </c>
      <c r="U710" s="155">
        <v>944451</v>
      </c>
      <c r="V710" s="155">
        <v>80101</v>
      </c>
      <c r="AA710" s="180" t="str">
        <f>VLOOKUP(A710,[2]DG!$A:$C,3,0)</f>
        <v>Kéo dây nhôm cỡ dây 35mm2</v>
      </c>
    </row>
    <row r="711" spans="1:27" ht="20.100000000000001" hidden="1" customHeight="1">
      <c r="A711" s="873" t="s">
        <v>1266</v>
      </c>
      <c r="B711" s="859" t="s">
        <v>1267</v>
      </c>
      <c r="C711" s="429" t="s">
        <v>1268</v>
      </c>
      <c r="D711" s="364" t="s">
        <v>1265</v>
      </c>
      <c r="E711" s="833">
        <v>27801</v>
      </c>
      <c r="F711" s="833">
        <f t="shared" si="65"/>
        <v>0</v>
      </c>
      <c r="G711" s="833">
        <f t="shared" si="66"/>
        <v>0</v>
      </c>
      <c r="H711" s="834">
        <v>42312</v>
      </c>
      <c r="I711" s="835"/>
      <c r="J711" s="836"/>
      <c r="K711" s="836"/>
      <c r="L711" s="836"/>
      <c r="M711" s="836"/>
      <c r="N711" s="836"/>
      <c r="O711" s="836"/>
      <c r="P711" s="836"/>
      <c r="Q711" s="836"/>
      <c r="R711" s="837"/>
      <c r="T711" s="155">
        <v>27801</v>
      </c>
      <c r="U711" s="155">
        <v>944451</v>
      </c>
      <c r="V711" s="155">
        <v>80101</v>
      </c>
      <c r="AA711" s="180" t="str">
        <f>VLOOKUP(A711,[2]DG!$A:$C,3,0)</f>
        <v>Kéo dây nhôm cỡ dây 50mm2</v>
      </c>
    </row>
    <row r="712" spans="1:27" ht="20.100000000000001" hidden="1" customHeight="1">
      <c r="A712" s="873" t="s">
        <v>1269</v>
      </c>
      <c r="B712" s="859" t="s">
        <v>1270</v>
      </c>
      <c r="C712" s="429" t="s">
        <v>1271</v>
      </c>
      <c r="D712" s="364" t="s">
        <v>1265</v>
      </c>
      <c r="E712" s="833">
        <v>27801</v>
      </c>
      <c r="F712" s="833">
        <f t="shared" si="65"/>
        <v>0</v>
      </c>
      <c r="G712" s="833">
        <f t="shared" si="66"/>
        <v>0</v>
      </c>
      <c r="H712" s="834">
        <v>42312</v>
      </c>
      <c r="I712" s="835"/>
      <c r="J712" s="836"/>
      <c r="K712" s="836"/>
      <c r="L712" s="836"/>
      <c r="M712" s="836"/>
      <c r="N712" s="836"/>
      <c r="O712" s="836"/>
      <c r="P712" s="836"/>
      <c r="Q712" s="836"/>
      <c r="R712" s="837"/>
      <c r="T712" s="155">
        <v>27801</v>
      </c>
      <c r="U712" s="155">
        <v>944451</v>
      </c>
      <c r="V712" s="155">
        <v>80101</v>
      </c>
      <c r="AA712" s="180" t="str">
        <f>VLOOKUP(A712,[2]DG!$A:$C,3,0)</f>
        <v>Kéo dây nhôm cỡ dây 70mm2</v>
      </c>
    </row>
    <row r="713" spans="1:27" ht="20.100000000000001" hidden="1" customHeight="1">
      <c r="A713" s="873" t="s">
        <v>1272</v>
      </c>
      <c r="B713" s="859" t="s">
        <v>1273</v>
      </c>
      <c r="C713" s="429" t="s">
        <v>1274</v>
      </c>
      <c r="D713" s="364" t="s">
        <v>1265</v>
      </c>
      <c r="E713" s="833">
        <v>37730</v>
      </c>
      <c r="F713" s="833">
        <f t="shared" si="65"/>
        <v>0</v>
      </c>
      <c r="G713" s="833">
        <f t="shared" si="66"/>
        <v>0</v>
      </c>
      <c r="H713" s="834">
        <v>42312</v>
      </c>
      <c r="I713" s="835"/>
      <c r="J713" s="836"/>
      <c r="K713" s="836"/>
      <c r="L713" s="836"/>
      <c r="M713" s="836"/>
      <c r="N713" s="836"/>
      <c r="O713" s="836"/>
      <c r="P713" s="836"/>
      <c r="Q713" s="836"/>
      <c r="R713" s="837"/>
      <c r="T713" s="155">
        <v>37730</v>
      </c>
      <c r="U713" s="155">
        <v>1281775</v>
      </c>
      <c r="V713" s="155">
        <v>108708</v>
      </c>
      <c r="AA713" s="180" t="str">
        <f>VLOOKUP(A713,[2]DG!$A:$C,3,0)</f>
        <v>Kéo dây nhôm cỡ dây 95mm2</v>
      </c>
    </row>
    <row r="714" spans="1:27" ht="20.100000000000001" hidden="1" customHeight="1">
      <c r="A714" s="873" t="s">
        <v>1275</v>
      </c>
      <c r="B714" s="859" t="s">
        <v>2904</v>
      </c>
      <c r="C714" s="429" t="s">
        <v>1276</v>
      </c>
      <c r="D714" s="364" t="s">
        <v>1265</v>
      </c>
      <c r="E714" s="833">
        <v>27801</v>
      </c>
      <c r="F714" s="833">
        <f t="shared" si="65"/>
        <v>0</v>
      </c>
      <c r="G714" s="833">
        <f t="shared" si="66"/>
        <v>0</v>
      </c>
      <c r="H714" s="834">
        <v>42312</v>
      </c>
      <c r="I714" s="835"/>
      <c r="J714" s="836"/>
      <c r="K714" s="836"/>
      <c r="L714" s="836"/>
      <c r="M714" s="836"/>
      <c r="N714" s="836"/>
      <c r="O714" s="836"/>
      <c r="P714" s="836"/>
      <c r="Q714" s="836"/>
      <c r="R714" s="837"/>
      <c r="T714" s="155">
        <v>27801</v>
      </c>
      <c r="U714" s="155">
        <v>944451</v>
      </c>
      <c r="V714" s="155">
        <v>80101</v>
      </c>
      <c r="AA714" s="180" t="str">
        <f>VLOOKUP(A714,[2]DG!$A:$C,3,0)</f>
        <v>Kéo dây nhôm bọc 35mm2</v>
      </c>
    </row>
    <row r="715" spans="1:27" ht="20.100000000000001" hidden="1" customHeight="1">
      <c r="A715" s="873" t="s">
        <v>1277</v>
      </c>
      <c r="B715" s="859" t="s">
        <v>4185</v>
      </c>
      <c r="C715" s="429" t="s">
        <v>1278</v>
      </c>
      <c r="D715" s="364" t="s">
        <v>1265</v>
      </c>
      <c r="E715" s="833"/>
      <c r="F715" s="833">
        <f t="shared" si="65"/>
        <v>2478207.7980000004</v>
      </c>
      <c r="G715" s="833">
        <f t="shared" si="66"/>
        <v>120255.52000000002</v>
      </c>
      <c r="H715" s="834" t="s">
        <v>4065</v>
      </c>
      <c r="I715" s="835" t="s">
        <v>3375</v>
      </c>
      <c r="J715" s="836">
        <v>9.6030000000000015</v>
      </c>
      <c r="K715" s="836"/>
      <c r="L715" s="836"/>
      <c r="M715" s="836"/>
      <c r="N715" s="836"/>
      <c r="O715" s="836">
        <v>0.22000000000000003</v>
      </c>
      <c r="P715" s="836"/>
      <c r="Q715" s="836"/>
      <c r="R715" s="837"/>
      <c r="T715" s="155">
        <v>27801</v>
      </c>
      <c r="U715" s="155">
        <v>944451</v>
      </c>
      <c r="V715" s="155">
        <v>80101</v>
      </c>
      <c r="AA715" s="180" t="str">
        <f>VLOOKUP(A715,[2]DG!$A:$C,3,0)</f>
        <v>Kéo dây nhôm bọc 50mm2</v>
      </c>
    </row>
    <row r="716" spans="1:27" ht="20.100000000000001" hidden="1" customHeight="1">
      <c r="A716" s="873" t="s">
        <v>1279</v>
      </c>
      <c r="B716" s="859" t="s">
        <v>2904</v>
      </c>
      <c r="C716" s="429" t="s">
        <v>1280</v>
      </c>
      <c r="D716" s="364" t="s">
        <v>1265</v>
      </c>
      <c r="E716" s="833">
        <v>27801</v>
      </c>
      <c r="F716" s="833">
        <f t="shared" si="65"/>
        <v>0</v>
      </c>
      <c r="G716" s="833">
        <f t="shared" si="66"/>
        <v>0</v>
      </c>
      <c r="H716" s="834">
        <v>42312</v>
      </c>
      <c r="I716" s="835"/>
      <c r="J716" s="836"/>
      <c r="K716" s="836"/>
      <c r="L716" s="836"/>
      <c r="M716" s="836"/>
      <c r="N716" s="836"/>
      <c r="O716" s="836"/>
      <c r="P716" s="836"/>
      <c r="Q716" s="836"/>
      <c r="R716" s="837"/>
      <c r="T716" s="155">
        <v>27801</v>
      </c>
      <c r="U716" s="155">
        <v>944451</v>
      </c>
      <c r="V716" s="155">
        <v>80101</v>
      </c>
      <c r="AA716" s="180" t="str">
        <f>VLOOKUP(A716,[2]DG!$A:$C,3,0)</f>
        <v>Kéo dây nhôm bọc 70mm2</v>
      </c>
    </row>
    <row r="717" spans="1:27" ht="20.100000000000001" hidden="1" customHeight="1">
      <c r="A717" s="873" t="s">
        <v>1281</v>
      </c>
      <c r="B717" s="859" t="s">
        <v>2905</v>
      </c>
      <c r="C717" s="429" t="s">
        <v>1282</v>
      </c>
      <c r="D717" s="364" t="s">
        <v>1265</v>
      </c>
      <c r="E717" s="833">
        <v>37730</v>
      </c>
      <c r="F717" s="833">
        <f t="shared" si="65"/>
        <v>0</v>
      </c>
      <c r="G717" s="833">
        <f t="shared" si="66"/>
        <v>0</v>
      </c>
      <c r="H717" s="834">
        <v>42312</v>
      </c>
      <c r="I717" s="835"/>
      <c r="J717" s="836"/>
      <c r="K717" s="836"/>
      <c r="L717" s="836"/>
      <c r="M717" s="836"/>
      <c r="N717" s="836"/>
      <c r="O717" s="836"/>
      <c r="P717" s="836"/>
      <c r="Q717" s="836"/>
      <c r="R717" s="837"/>
      <c r="T717" s="155">
        <v>37730</v>
      </c>
      <c r="U717" s="155">
        <v>1281775</v>
      </c>
      <c r="V717" s="155">
        <v>108708</v>
      </c>
      <c r="AA717" s="180" t="str">
        <f>VLOOKUP(A717,[2]DG!$A:$C,3,0)</f>
        <v>Kéo dây nhôm bọc 95mm2</v>
      </c>
    </row>
    <row r="718" spans="1:27" ht="20.100000000000001" hidden="1" customHeight="1">
      <c r="A718" s="873" t="s">
        <v>1283</v>
      </c>
      <c r="B718" s="859" t="s">
        <v>2906</v>
      </c>
      <c r="C718" s="429" t="s">
        <v>1284</v>
      </c>
      <c r="D718" s="364" t="s">
        <v>1265</v>
      </c>
      <c r="E718" s="833">
        <v>37730</v>
      </c>
      <c r="F718" s="833">
        <f t="shared" ref="F718:F787" si="67">IF(OR(I718="",J718=""),0,IF(K718*1=0,1,K718)*VLOOKUP(I718,TIENLUONG,4,0)*J718)</f>
        <v>0</v>
      </c>
      <c r="G718" s="833">
        <f t="shared" ref="G718:G787" si="68">L718*VLOOKUP($L$1,CAMAY,2,0)+M718*VLOOKUP($M$1,CAMAY,2,0)+N718*VLOOKUP($N$1,CAMAY,2,0)+O718*VLOOKUP($O$1,CAMAY,2,0)+P718*VLOOKUP($P$1,CAMAY,2,0)</f>
        <v>0</v>
      </c>
      <c r="H718" s="834">
        <v>42312</v>
      </c>
      <c r="I718" s="835"/>
      <c r="J718" s="836"/>
      <c r="K718" s="836"/>
      <c r="L718" s="836"/>
      <c r="M718" s="836"/>
      <c r="N718" s="836"/>
      <c r="O718" s="836"/>
      <c r="P718" s="836"/>
      <c r="Q718" s="836"/>
      <c r="R718" s="837"/>
      <c r="T718" s="155">
        <v>37730</v>
      </c>
      <c r="U718" s="155">
        <v>1775518</v>
      </c>
      <c r="V718" s="155">
        <v>108708</v>
      </c>
      <c r="AA718" s="180" t="str">
        <f>VLOOKUP(A718,[2]DG!$A:$C,3,0)</f>
        <v>Kéo dây nhôm bọc 120mm2</v>
      </c>
    </row>
    <row r="719" spans="1:27" ht="20.100000000000001" hidden="1" customHeight="1">
      <c r="A719" s="873" t="s">
        <v>1285</v>
      </c>
      <c r="B719" s="859" t="s">
        <v>2907</v>
      </c>
      <c r="C719" s="429" t="s">
        <v>1287</v>
      </c>
      <c r="D719" s="364" t="s">
        <v>1265</v>
      </c>
      <c r="E719" s="833">
        <v>42730</v>
      </c>
      <c r="F719" s="833">
        <f t="shared" si="67"/>
        <v>0</v>
      </c>
      <c r="G719" s="833">
        <f t="shared" si="68"/>
        <v>0</v>
      </c>
      <c r="H719" s="834">
        <v>42312</v>
      </c>
      <c r="I719" s="835"/>
      <c r="J719" s="836"/>
      <c r="K719" s="836"/>
      <c r="L719" s="836"/>
      <c r="M719" s="836"/>
      <c r="N719" s="836"/>
      <c r="O719" s="836"/>
      <c r="P719" s="836"/>
      <c r="Q719" s="836"/>
      <c r="R719" s="837"/>
      <c r="T719" s="155">
        <v>42730</v>
      </c>
      <c r="U719" s="155">
        <v>1992399</v>
      </c>
      <c r="V719" s="155">
        <v>142718</v>
      </c>
      <c r="AA719" s="180" t="str">
        <f>VLOOKUP(A719,[2]DG!$A:$C,3,0)</f>
        <v>Kéo dây nhôm bọc 150mm2</v>
      </c>
    </row>
    <row r="720" spans="1:27" ht="20.100000000000001" hidden="1" customHeight="1">
      <c r="A720" s="873" t="s">
        <v>1288</v>
      </c>
      <c r="B720" s="859" t="s">
        <v>2908</v>
      </c>
      <c r="C720" s="429" t="s">
        <v>1289</v>
      </c>
      <c r="D720" s="364" t="s">
        <v>1265</v>
      </c>
      <c r="E720" s="833">
        <v>42730</v>
      </c>
      <c r="F720" s="833">
        <f t="shared" si="67"/>
        <v>0</v>
      </c>
      <c r="G720" s="833">
        <f t="shared" si="68"/>
        <v>0</v>
      </c>
      <c r="H720" s="834">
        <v>42312</v>
      </c>
      <c r="I720" s="835"/>
      <c r="J720" s="836"/>
      <c r="K720" s="836"/>
      <c r="L720" s="836"/>
      <c r="M720" s="836"/>
      <c r="N720" s="836"/>
      <c r="O720" s="836"/>
      <c r="P720" s="836"/>
      <c r="Q720" s="836"/>
      <c r="R720" s="837"/>
      <c r="T720" s="155">
        <v>42730</v>
      </c>
      <c r="U720" s="155">
        <v>2082176</v>
      </c>
      <c r="V720" s="155">
        <v>107394</v>
      </c>
      <c r="AA720" s="180" t="str">
        <f>VLOOKUP(A720,[2]DG!$A:$C,3,0)</f>
        <v>Kéo dây nhôm bọc 185mm2</v>
      </c>
    </row>
    <row r="721" spans="1:27" ht="20.100000000000001" hidden="1" customHeight="1">
      <c r="A721" s="873" t="s">
        <v>1290</v>
      </c>
      <c r="B721" s="859" t="s">
        <v>2909</v>
      </c>
      <c r="C721" s="429" t="s">
        <v>1291</v>
      </c>
      <c r="D721" s="364" t="s">
        <v>1265</v>
      </c>
      <c r="E721" s="833">
        <v>32886</v>
      </c>
      <c r="F721" s="833">
        <f t="shared" si="67"/>
        <v>0</v>
      </c>
      <c r="G721" s="833">
        <f t="shared" si="68"/>
        <v>0</v>
      </c>
      <c r="H721" s="834">
        <v>42312</v>
      </c>
      <c r="I721" s="835"/>
      <c r="J721" s="836"/>
      <c r="K721" s="836"/>
      <c r="L721" s="836"/>
      <c r="M721" s="836"/>
      <c r="N721" s="836"/>
      <c r="O721" s="836"/>
      <c r="P721" s="836"/>
      <c r="Q721" s="836"/>
      <c r="R721" s="837"/>
      <c r="T721" s="155">
        <v>32886</v>
      </c>
      <c r="U721" s="155">
        <v>2328792</v>
      </c>
      <c r="V721" s="155">
        <v>138911</v>
      </c>
      <c r="AA721" s="180" t="str">
        <f>VLOOKUP(A721,[2]DG!$A:$C,3,0)</f>
        <v>Kéo dây nhôm bọc 240mm2</v>
      </c>
    </row>
    <row r="722" spans="1:27" ht="20.100000000000001" hidden="1" customHeight="1">
      <c r="A722" s="876" t="s">
        <v>1292</v>
      </c>
      <c r="B722" s="859" t="s">
        <v>4307</v>
      </c>
      <c r="C722" s="429" t="s">
        <v>1293</v>
      </c>
      <c r="D722" s="364" t="s">
        <v>1265</v>
      </c>
      <c r="E722" s="833">
        <v>0</v>
      </c>
      <c r="F722" s="833">
        <f t="shared" si="67"/>
        <v>14654739</v>
      </c>
      <c r="G722" s="833">
        <f t="shared" si="68"/>
        <v>163984.79999999999</v>
      </c>
      <c r="H722" s="834" t="s">
        <v>4065</v>
      </c>
      <c r="I722" s="835" t="s">
        <v>3372</v>
      </c>
      <c r="J722" s="836">
        <v>61.85</v>
      </c>
      <c r="K722" s="836"/>
      <c r="L722" s="836"/>
      <c r="M722" s="836"/>
      <c r="N722" s="836"/>
      <c r="O722" s="836">
        <v>0.3</v>
      </c>
      <c r="P722" s="836"/>
      <c r="Q722" s="836"/>
      <c r="R722" s="837"/>
      <c r="T722" s="155">
        <v>10368</v>
      </c>
      <c r="U722" s="155">
        <v>6173358</v>
      </c>
      <c r="V722" s="430"/>
      <c r="AA722" s="180" t="str">
        <f>VLOOKUP(A722,[2]DG!$A:$C,3,0)</f>
        <v>Kéo dây ABC 4x150mm2</v>
      </c>
    </row>
    <row r="723" spans="1:27" ht="20.100000000000001" hidden="1" customHeight="1">
      <c r="A723" s="876" t="s">
        <v>1294</v>
      </c>
      <c r="B723" s="859" t="s">
        <v>4184</v>
      </c>
      <c r="C723" s="429" t="s">
        <v>1295</v>
      </c>
      <c r="D723" s="364" t="s">
        <v>1265</v>
      </c>
      <c r="E723" s="833"/>
      <c r="F723" s="833">
        <f t="shared" si="67"/>
        <v>12211887.6</v>
      </c>
      <c r="G723" s="833">
        <f t="shared" si="68"/>
        <v>109323.20000000001</v>
      </c>
      <c r="H723" s="834">
        <v>42312</v>
      </c>
      <c r="I723" s="835" t="s">
        <v>3372</v>
      </c>
      <c r="J723" s="836">
        <v>51.54</v>
      </c>
      <c r="K723" s="836"/>
      <c r="L723" s="836"/>
      <c r="M723" s="836"/>
      <c r="N723" s="836"/>
      <c r="O723" s="836">
        <v>0.2</v>
      </c>
      <c r="P723" s="836"/>
      <c r="Q723" s="836"/>
      <c r="R723" s="837"/>
      <c r="T723" s="155">
        <v>10368</v>
      </c>
      <c r="U723" s="155">
        <v>5144465</v>
      </c>
      <c r="V723" s="430"/>
      <c r="AA723" s="180" t="str">
        <f>VLOOKUP(A723,[2]DG!$A:$C,3,0)</f>
        <v>Kéo dây ABC 4x120mm2</v>
      </c>
    </row>
    <row r="724" spans="1:27" ht="20.100000000000001" customHeight="1">
      <c r="A724" s="876" t="s">
        <v>4187</v>
      </c>
      <c r="B724" s="859" t="s">
        <v>4184</v>
      </c>
      <c r="C724" s="429" t="s">
        <v>4188</v>
      </c>
      <c r="D724" s="364" t="s">
        <v>1265</v>
      </c>
      <c r="E724" s="833"/>
      <c r="F724" s="833">
        <f t="shared" ref="F724" si="69">IF(OR(I724="",J724=""),0,IF(K724*1=0,1,K724)*VLOOKUP(I724,TIENLUONG,4,0)*J724)</f>
        <v>10380104.459999999</v>
      </c>
      <c r="G724" s="833">
        <f t="shared" ref="G724" si="70">L724*VLOOKUP($L$1,CAMAY,2,0)+M724*VLOOKUP($M$1,CAMAY,2,0)+N724*VLOOKUP($N$1,CAMAY,2,0)+O724*VLOOKUP($O$1,CAMAY,2,0)+P724*VLOOKUP($P$1,CAMAY,2,0)</f>
        <v>92924.72</v>
      </c>
      <c r="H724" s="834">
        <v>42312</v>
      </c>
      <c r="I724" s="835" t="s">
        <v>3372</v>
      </c>
      <c r="J724" s="836">
        <f>51.54*0.85</f>
        <v>43.808999999999997</v>
      </c>
      <c r="K724" s="836"/>
      <c r="L724" s="836"/>
      <c r="M724" s="836"/>
      <c r="N724" s="836"/>
      <c r="O724" s="836">
        <f>0.2*0.85</f>
        <v>0.17</v>
      </c>
      <c r="P724" s="836"/>
      <c r="Q724" s="836"/>
      <c r="R724" s="837"/>
      <c r="T724" s="155">
        <v>10368</v>
      </c>
      <c r="U724" s="155">
        <v>5144465</v>
      </c>
      <c r="V724" s="430"/>
      <c r="AA724" s="180" t="str">
        <f>VLOOKUP(A724,[2]DG!$A:$C,3,0)</f>
        <v>Kéo dây ABC 3x120mm2</v>
      </c>
    </row>
    <row r="725" spans="1:27" ht="20.100000000000001" hidden="1" customHeight="1">
      <c r="A725" s="876" t="s">
        <v>1296</v>
      </c>
      <c r="B725" s="859" t="s">
        <v>2884</v>
      </c>
      <c r="C725" s="429" t="s">
        <v>1297</v>
      </c>
      <c r="D725" s="364" t="s">
        <v>1265</v>
      </c>
      <c r="E725" s="833"/>
      <c r="F725" s="833">
        <f t="shared" si="67"/>
        <v>0</v>
      </c>
      <c r="G725" s="833">
        <f t="shared" si="68"/>
        <v>0</v>
      </c>
      <c r="H725" s="834">
        <v>42312</v>
      </c>
      <c r="I725" s="835"/>
      <c r="J725" s="836"/>
      <c r="K725" s="836"/>
      <c r="L725" s="836"/>
      <c r="M725" s="836"/>
      <c r="N725" s="836"/>
      <c r="O725" s="836"/>
      <c r="P725" s="836"/>
      <c r="Q725" s="836"/>
      <c r="R725" s="837"/>
      <c r="T725" s="155">
        <v>10368</v>
      </c>
      <c r="U725" s="155">
        <v>3896778</v>
      </c>
      <c r="V725" s="430">
        <v>0</v>
      </c>
      <c r="AA725" s="180" t="str">
        <f>VLOOKUP(A725,[2]DG!$A:$C,3,0)</f>
        <v>Kéo dây ABC 3x95mm2</v>
      </c>
    </row>
    <row r="726" spans="1:27" ht="20.100000000000001" hidden="1" customHeight="1">
      <c r="A726" s="876" t="s">
        <v>1298</v>
      </c>
      <c r="B726" s="859" t="s">
        <v>2902</v>
      </c>
      <c r="C726" s="429" t="s">
        <v>1299</v>
      </c>
      <c r="D726" s="364" t="s">
        <v>1265</v>
      </c>
      <c r="E726" s="833"/>
      <c r="F726" s="833">
        <f t="shared" si="67"/>
        <v>0</v>
      </c>
      <c r="G726" s="833">
        <f t="shared" si="68"/>
        <v>0</v>
      </c>
      <c r="H726" s="834">
        <v>42312</v>
      </c>
      <c r="I726" s="835"/>
      <c r="J726" s="836"/>
      <c r="K726" s="836"/>
      <c r="L726" s="836"/>
      <c r="M726" s="836"/>
      <c r="N726" s="836"/>
      <c r="O726" s="836"/>
      <c r="P726" s="836"/>
      <c r="Q726" s="836"/>
      <c r="R726" s="837"/>
      <c r="T726" s="155">
        <v>9562</v>
      </c>
      <c r="U726" s="155">
        <v>2809792</v>
      </c>
      <c r="V726" s="430"/>
      <c r="AA726" s="180" t="str">
        <f>VLOOKUP(A726,[2]DG!$A:$C,3,0)</f>
        <v>Kéo dây ABC 4x70mm2</v>
      </c>
    </row>
    <row r="727" spans="1:27" ht="20.100000000000001" hidden="1" customHeight="1">
      <c r="A727" s="876" t="s">
        <v>1300</v>
      </c>
      <c r="B727" s="859" t="s">
        <v>2903</v>
      </c>
      <c r="C727" s="429" t="s">
        <v>1301</v>
      </c>
      <c r="D727" s="364" t="s">
        <v>1265</v>
      </c>
      <c r="E727" s="833"/>
      <c r="F727" s="833">
        <f t="shared" si="67"/>
        <v>0</v>
      </c>
      <c r="G727" s="833">
        <f t="shared" si="68"/>
        <v>0</v>
      </c>
      <c r="H727" s="834">
        <v>42312</v>
      </c>
      <c r="I727" s="835"/>
      <c r="J727" s="836"/>
      <c r="K727" s="836"/>
      <c r="L727" s="836"/>
      <c r="M727" s="836"/>
      <c r="N727" s="836"/>
      <c r="O727" s="836"/>
      <c r="P727" s="836"/>
      <c r="Q727" s="836"/>
      <c r="R727" s="837"/>
      <c r="T727" s="155">
        <v>9162</v>
      </c>
      <c r="U727" s="155">
        <v>2380588</v>
      </c>
      <c r="V727" s="430"/>
      <c r="AA727" s="180" t="str">
        <f>VLOOKUP(A727,[2]DG!$A:$C,3,0)</f>
        <v>Kéo dây ABC 4x50mm2</v>
      </c>
    </row>
    <row r="728" spans="1:27" ht="20.100000000000001" hidden="1" customHeight="1">
      <c r="A728" s="873" t="s">
        <v>1302</v>
      </c>
      <c r="B728" s="859" t="s">
        <v>2904</v>
      </c>
      <c r="C728" s="429" t="s">
        <v>1303</v>
      </c>
      <c r="D728" s="364" t="s">
        <v>1265</v>
      </c>
      <c r="E728" s="833">
        <v>27801</v>
      </c>
      <c r="F728" s="833">
        <f t="shared" si="67"/>
        <v>0</v>
      </c>
      <c r="G728" s="833">
        <f t="shared" si="68"/>
        <v>0</v>
      </c>
      <c r="H728" s="834">
        <v>42312</v>
      </c>
      <c r="I728" s="835"/>
      <c r="J728" s="836"/>
      <c r="K728" s="836"/>
      <c r="L728" s="836"/>
      <c r="M728" s="836"/>
      <c r="N728" s="836"/>
      <c r="O728" s="836"/>
      <c r="P728" s="836"/>
      <c r="Q728" s="836"/>
      <c r="R728" s="837"/>
      <c r="T728" s="155">
        <v>27801</v>
      </c>
      <c r="U728" s="155">
        <v>944451</v>
      </c>
      <c r="V728" s="155">
        <v>80101</v>
      </c>
      <c r="AA728" s="180" t="str">
        <f>VLOOKUP(A728,[2]DG!$A:$C,3,0)</f>
        <v>Kéo dây nhôm lõi thép cỡ dây 35mm2</v>
      </c>
    </row>
    <row r="729" spans="1:27" ht="20.100000000000001" hidden="1" customHeight="1">
      <c r="A729" s="873" t="s">
        <v>1304</v>
      </c>
      <c r="B729" s="859" t="s">
        <v>4185</v>
      </c>
      <c r="C729" s="429" t="s">
        <v>1305</v>
      </c>
      <c r="D729" s="364" t="s">
        <v>1265</v>
      </c>
      <c r="E729" s="833"/>
      <c r="F729" s="833">
        <f t="shared" si="67"/>
        <v>2252916.1800000002</v>
      </c>
      <c r="G729" s="833">
        <f t="shared" si="68"/>
        <v>99467.866570066893</v>
      </c>
      <c r="H729" s="834" t="s">
        <v>4065</v>
      </c>
      <c r="I729" s="835" t="s">
        <v>3375</v>
      </c>
      <c r="J729" s="836">
        <v>8.73</v>
      </c>
      <c r="K729" s="836"/>
      <c r="L729" s="836"/>
      <c r="M729" s="836"/>
      <c r="N729" s="836">
        <v>0.15</v>
      </c>
      <c r="O729" s="836">
        <v>0.11</v>
      </c>
      <c r="P729" s="836"/>
      <c r="Q729" s="836"/>
      <c r="R729" s="837"/>
      <c r="T729" s="155">
        <v>27801</v>
      </c>
      <c r="U729" s="155">
        <v>944451</v>
      </c>
      <c r="V729" s="155">
        <v>80101</v>
      </c>
      <c r="AA729" s="180" t="str">
        <f>VLOOKUP(A729,[2]DG!$A:$C,3,0)</f>
        <v>Kéo dây nhôm lõi thép cỡ dây 50mm2</v>
      </c>
    </row>
    <row r="730" spans="1:27" ht="20.100000000000001" hidden="1" customHeight="1">
      <c r="A730" s="873" t="s">
        <v>1306</v>
      </c>
      <c r="B730" s="859" t="s">
        <v>2904</v>
      </c>
      <c r="C730" s="429" t="s">
        <v>1307</v>
      </c>
      <c r="D730" s="364" t="s">
        <v>1265</v>
      </c>
      <c r="E730" s="833">
        <v>27801</v>
      </c>
      <c r="F730" s="833">
        <f t="shared" si="67"/>
        <v>0</v>
      </c>
      <c r="G730" s="833">
        <f t="shared" si="68"/>
        <v>0</v>
      </c>
      <c r="H730" s="834">
        <v>42312</v>
      </c>
      <c r="I730" s="835"/>
      <c r="J730" s="836"/>
      <c r="K730" s="836"/>
      <c r="L730" s="836"/>
      <c r="M730" s="836"/>
      <c r="N730" s="836"/>
      <c r="O730" s="836"/>
      <c r="P730" s="836"/>
      <c r="Q730" s="836"/>
      <c r="R730" s="837"/>
      <c r="T730" s="155">
        <v>27801</v>
      </c>
      <c r="U730" s="155">
        <v>944451</v>
      </c>
      <c r="V730" s="155">
        <v>80101</v>
      </c>
      <c r="AA730" s="180" t="str">
        <f>VLOOKUP(A730,[2]DG!$A:$C,3,0)</f>
        <v>Kéo dây nhôm lõi thép cỡ dây 70mm2</v>
      </c>
    </row>
    <row r="731" spans="1:27" ht="20.100000000000001" hidden="1" customHeight="1">
      <c r="A731" s="873" t="s">
        <v>1308</v>
      </c>
      <c r="B731" s="859" t="s">
        <v>2905</v>
      </c>
      <c r="C731" s="429" t="s">
        <v>1309</v>
      </c>
      <c r="D731" s="364" t="s">
        <v>1265</v>
      </c>
      <c r="E731" s="833"/>
      <c r="F731" s="833">
        <f t="shared" si="67"/>
        <v>3058082.1</v>
      </c>
      <c r="G731" s="833">
        <f t="shared" si="68"/>
        <v>134445.87542675587</v>
      </c>
      <c r="H731" s="834" t="s">
        <v>4065</v>
      </c>
      <c r="I731" s="835" t="s">
        <v>3375</v>
      </c>
      <c r="J731" s="836">
        <v>11.85</v>
      </c>
      <c r="K731" s="836"/>
      <c r="L731" s="836"/>
      <c r="M731" s="836"/>
      <c r="N731" s="836">
        <v>0.2</v>
      </c>
      <c r="O731" s="836">
        <v>0.15</v>
      </c>
      <c r="P731" s="836"/>
      <c r="Q731" s="836"/>
      <c r="R731" s="837"/>
      <c r="T731" s="155">
        <v>37730</v>
      </c>
      <c r="U731" s="155">
        <v>1281775</v>
      </c>
      <c r="V731" s="155">
        <v>108708</v>
      </c>
      <c r="AA731" s="180" t="str">
        <f>VLOOKUP(A731,[2]DG!$A:$C,3,0)</f>
        <v>Kéo dây nhôm lõi thép cỡ dây 95mm2</v>
      </c>
    </row>
    <row r="732" spans="1:27" ht="20.100000000000001" hidden="1" customHeight="1">
      <c r="A732" s="873" t="s">
        <v>1310</v>
      </c>
      <c r="B732" s="859" t="s">
        <v>2906</v>
      </c>
      <c r="C732" s="429" t="s">
        <v>1311</v>
      </c>
      <c r="D732" s="364" t="s">
        <v>1265</v>
      </c>
      <c r="E732" s="833">
        <v>37730</v>
      </c>
      <c r="F732" s="833">
        <f t="shared" si="67"/>
        <v>4188411.18</v>
      </c>
      <c r="G732" s="833">
        <f t="shared" si="68"/>
        <v>134445.87542675587</v>
      </c>
      <c r="H732" s="834" t="s">
        <v>4065</v>
      </c>
      <c r="I732" s="835" t="s">
        <v>3375</v>
      </c>
      <c r="J732" s="836">
        <v>16.23</v>
      </c>
      <c r="K732" s="836"/>
      <c r="L732" s="836"/>
      <c r="M732" s="836"/>
      <c r="N732" s="836">
        <v>0.2</v>
      </c>
      <c r="O732" s="836">
        <v>0.15</v>
      </c>
      <c r="P732" s="836"/>
      <c r="Q732" s="836"/>
      <c r="R732" s="837"/>
      <c r="T732" s="155">
        <v>37730</v>
      </c>
      <c r="U732" s="155">
        <v>1775518</v>
      </c>
      <c r="V732" s="155">
        <v>108708</v>
      </c>
      <c r="AA732" s="180" t="str">
        <f>VLOOKUP(A732,[2]DG!$A:$C,3,0)</f>
        <v>Kéo dây nhôm lõi thép cỡ dây 120mm2</v>
      </c>
    </row>
    <row r="733" spans="1:27" ht="20.100000000000001" hidden="1" customHeight="1">
      <c r="A733" s="873" t="s">
        <v>1312</v>
      </c>
      <c r="B733" s="859" t="s">
        <v>2907</v>
      </c>
      <c r="C733" s="429" t="s">
        <v>1313</v>
      </c>
      <c r="D733" s="364" t="s">
        <v>1265</v>
      </c>
      <c r="E733" s="833">
        <v>42730</v>
      </c>
      <c r="F733" s="833">
        <f t="shared" si="67"/>
        <v>0</v>
      </c>
      <c r="G733" s="833">
        <f t="shared" si="68"/>
        <v>0</v>
      </c>
      <c r="H733" s="834">
        <v>42312</v>
      </c>
      <c r="I733" s="835"/>
      <c r="J733" s="836"/>
      <c r="K733" s="836"/>
      <c r="L733" s="836"/>
      <c r="M733" s="836"/>
      <c r="N733" s="836"/>
      <c r="O733" s="836"/>
      <c r="P733" s="836"/>
      <c r="Q733" s="836"/>
      <c r="R733" s="837"/>
      <c r="T733" s="155">
        <v>42730</v>
      </c>
      <c r="U733" s="155">
        <v>1992399</v>
      </c>
      <c r="V733" s="155">
        <v>142718</v>
      </c>
      <c r="AA733" s="180" t="str">
        <f>VLOOKUP(A733,[2]DG!$A:$C,3,0)</f>
        <v>Kéo dây nhôm lõi thép cỡ dây 150mm2</v>
      </c>
    </row>
    <row r="734" spans="1:27" ht="20.100000000000001" hidden="1" customHeight="1">
      <c r="A734" s="873" t="s">
        <v>1314</v>
      </c>
      <c r="B734" s="859" t="s">
        <v>1286</v>
      </c>
      <c r="C734" s="429" t="s">
        <v>1315</v>
      </c>
      <c r="D734" s="364" t="s">
        <v>1265</v>
      </c>
      <c r="E734" s="833">
        <v>42730</v>
      </c>
      <c r="F734" s="833">
        <f t="shared" si="67"/>
        <v>0</v>
      </c>
      <c r="G734" s="833">
        <f t="shared" si="68"/>
        <v>0</v>
      </c>
      <c r="H734" s="834">
        <v>42312</v>
      </c>
      <c r="I734" s="835"/>
      <c r="J734" s="836"/>
      <c r="K734" s="836"/>
      <c r="L734" s="836"/>
      <c r="M734" s="836"/>
      <c r="N734" s="836"/>
      <c r="O734" s="836"/>
      <c r="P734" s="836"/>
      <c r="Q734" s="836"/>
      <c r="R734" s="837"/>
      <c r="T734" s="155">
        <v>42730</v>
      </c>
      <c r="U734" s="155">
        <v>1992399</v>
      </c>
      <c r="V734" s="155">
        <v>142718</v>
      </c>
      <c r="AA734" s="180" t="str">
        <f>VLOOKUP(A734,[2]DG!$A:$C,3,0)</f>
        <v>Kéo dây nhôm lõi thép bọc XLPE cỡ dây 150mm2</v>
      </c>
    </row>
    <row r="735" spans="1:27" ht="20.100000000000001" hidden="1" customHeight="1">
      <c r="A735" s="873" t="s">
        <v>1316</v>
      </c>
      <c r="B735" s="859" t="s">
        <v>2908</v>
      </c>
      <c r="C735" s="429" t="s">
        <v>1317</v>
      </c>
      <c r="D735" s="364" t="s">
        <v>1265</v>
      </c>
      <c r="E735" s="833">
        <v>42730</v>
      </c>
      <c r="F735" s="833">
        <f t="shared" si="67"/>
        <v>0</v>
      </c>
      <c r="G735" s="833">
        <f t="shared" si="68"/>
        <v>0</v>
      </c>
      <c r="H735" s="834">
        <v>42312</v>
      </c>
      <c r="I735" s="835"/>
      <c r="J735" s="836"/>
      <c r="K735" s="836"/>
      <c r="L735" s="836"/>
      <c r="M735" s="836"/>
      <c r="N735" s="836"/>
      <c r="O735" s="836"/>
      <c r="P735" s="836"/>
      <c r="Q735" s="836"/>
      <c r="R735" s="837"/>
      <c r="T735" s="155">
        <v>42730</v>
      </c>
      <c r="U735" s="155">
        <v>2082176</v>
      </c>
      <c r="V735" s="155">
        <v>107394</v>
      </c>
      <c r="AA735" s="180" t="str">
        <f>VLOOKUP(A735,[2]DG!$A:$C,3,0)</f>
        <v>Kéo dây nhôm lõi thép cỡ dây 185mm2</v>
      </c>
    </row>
    <row r="736" spans="1:27" ht="20.100000000000001" hidden="1" customHeight="1">
      <c r="A736" s="873" t="s">
        <v>1318</v>
      </c>
      <c r="B736" s="859" t="s">
        <v>2909</v>
      </c>
      <c r="C736" s="429" t="s">
        <v>1319</v>
      </c>
      <c r="D736" s="364" t="s">
        <v>1265</v>
      </c>
      <c r="E736" s="833">
        <v>32886</v>
      </c>
      <c r="F736" s="833">
        <f t="shared" si="67"/>
        <v>0</v>
      </c>
      <c r="G736" s="833">
        <f t="shared" si="68"/>
        <v>0</v>
      </c>
      <c r="H736" s="834">
        <v>42312</v>
      </c>
      <c r="I736" s="835"/>
      <c r="J736" s="836"/>
      <c r="K736" s="836"/>
      <c r="L736" s="836"/>
      <c r="M736" s="836"/>
      <c r="N736" s="836"/>
      <c r="O736" s="836"/>
      <c r="P736" s="836"/>
      <c r="Q736" s="836"/>
      <c r="R736" s="837"/>
      <c r="T736" s="155">
        <v>32886</v>
      </c>
      <c r="U736" s="155">
        <v>2328792</v>
      </c>
      <c r="V736" s="155">
        <v>138911</v>
      </c>
      <c r="AA736" s="180" t="str">
        <f>VLOOKUP(A736,[2]DG!$A:$C,3,0)</f>
        <v>Kéo dây nhôm lõi thép cỡ dây 240mm2</v>
      </c>
    </row>
    <row r="737" spans="1:27" ht="20.100000000000001" hidden="1" customHeight="1">
      <c r="A737" s="873" t="s">
        <v>1320</v>
      </c>
      <c r="B737" s="859" t="s">
        <v>1321</v>
      </c>
      <c r="C737" s="429" t="s">
        <v>1322</v>
      </c>
      <c r="D737" s="364" t="s">
        <v>1265</v>
      </c>
      <c r="E737" s="833"/>
      <c r="F737" s="833">
        <f t="shared" si="67"/>
        <v>0</v>
      </c>
      <c r="G737" s="833">
        <f t="shared" si="68"/>
        <v>0</v>
      </c>
      <c r="H737" s="834">
        <v>1</v>
      </c>
      <c r="I737" s="835"/>
      <c r="J737" s="836"/>
      <c r="K737" s="836"/>
      <c r="L737" s="836"/>
      <c r="M737" s="836"/>
      <c r="N737" s="836"/>
      <c r="O737" s="836"/>
      <c r="P737" s="836"/>
      <c r="Q737" s="836"/>
      <c r="R737" s="837"/>
      <c r="T737" s="155"/>
      <c r="U737" s="155">
        <v>473574</v>
      </c>
      <c r="V737" s="155"/>
      <c r="AA737" s="180" t="str">
        <f>VLOOKUP(A737,[2]DG!$A:$C,3,0)</f>
        <v>Kéo dây đồng trần 22mm2</v>
      </c>
    </row>
    <row r="738" spans="1:27" ht="20.100000000000001" hidden="1" customHeight="1">
      <c r="A738" s="873" t="s">
        <v>1323</v>
      </c>
      <c r="B738" s="859" t="s">
        <v>1321</v>
      </c>
      <c r="C738" s="429" t="s">
        <v>1324</v>
      </c>
      <c r="D738" s="364" t="s">
        <v>1265</v>
      </c>
      <c r="E738" s="833"/>
      <c r="F738" s="833">
        <f t="shared" si="67"/>
        <v>0</v>
      </c>
      <c r="G738" s="833">
        <f t="shared" si="68"/>
        <v>0</v>
      </c>
      <c r="H738" s="834">
        <v>1</v>
      </c>
      <c r="I738" s="835"/>
      <c r="J738" s="836"/>
      <c r="K738" s="836"/>
      <c r="L738" s="836"/>
      <c r="M738" s="836"/>
      <c r="N738" s="836"/>
      <c r="O738" s="836"/>
      <c r="P738" s="836"/>
      <c r="Q738" s="836"/>
      <c r="R738" s="837"/>
      <c r="T738" s="155"/>
      <c r="U738" s="155">
        <v>473574</v>
      </c>
      <c r="V738" s="155"/>
      <c r="AA738" s="180" t="str">
        <f>VLOOKUP(A738,[2]DG!$A:$C,3,0)</f>
        <v>Kéo dây đồng trần 25mm2</v>
      </c>
    </row>
    <row r="739" spans="1:27" ht="20.100000000000001" hidden="1" customHeight="1">
      <c r="A739" s="873" t="s">
        <v>1325</v>
      </c>
      <c r="B739" s="859" t="s">
        <v>1326</v>
      </c>
      <c r="C739" s="429" t="s">
        <v>1327</v>
      </c>
      <c r="D739" s="364" t="s">
        <v>1265</v>
      </c>
      <c r="E739" s="833"/>
      <c r="F739" s="833">
        <f t="shared" si="67"/>
        <v>0</v>
      </c>
      <c r="G739" s="833">
        <f t="shared" si="68"/>
        <v>0</v>
      </c>
      <c r="H739" s="834">
        <v>1</v>
      </c>
      <c r="I739" s="835"/>
      <c r="J739" s="836"/>
      <c r="K739" s="836"/>
      <c r="L739" s="836"/>
      <c r="M739" s="836"/>
      <c r="N739" s="836"/>
      <c r="O739" s="836"/>
      <c r="P739" s="836"/>
      <c r="Q739" s="836"/>
      <c r="R739" s="837"/>
      <c r="T739" s="155"/>
      <c r="U739" s="155">
        <v>519066</v>
      </c>
      <c r="V739" s="155"/>
      <c r="AA739" s="180" t="str">
        <f>VLOOKUP(A739,[2]DG!$A:$C,3,0)</f>
        <v>Kéo dây đồng trần 35mm2</v>
      </c>
    </row>
    <row r="740" spans="1:27" ht="20.100000000000001" hidden="1" customHeight="1">
      <c r="A740" s="873" t="s">
        <v>1328</v>
      </c>
      <c r="B740" s="859" t="s">
        <v>1329</v>
      </c>
      <c r="C740" s="429" t="s">
        <v>1330</v>
      </c>
      <c r="D740" s="364" t="s">
        <v>1265</v>
      </c>
      <c r="E740" s="833"/>
      <c r="F740" s="833">
        <f t="shared" si="67"/>
        <v>0</v>
      </c>
      <c r="G740" s="833">
        <f t="shared" si="68"/>
        <v>0</v>
      </c>
      <c r="H740" s="834">
        <v>1</v>
      </c>
      <c r="I740" s="835"/>
      <c r="J740" s="836"/>
      <c r="K740" s="836"/>
      <c r="L740" s="836"/>
      <c r="M740" s="836"/>
      <c r="N740" s="836"/>
      <c r="O740" s="836"/>
      <c r="P740" s="836"/>
      <c r="Q740" s="836"/>
      <c r="R740" s="837"/>
      <c r="T740" s="155"/>
      <c r="U740" s="155">
        <v>678124</v>
      </c>
      <c r="V740" s="155"/>
      <c r="AA740" s="180" t="str">
        <f>VLOOKUP(A740,[2]DG!$A:$C,3,0)</f>
        <v>Kéo dây đồng trần 48mm2</v>
      </c>
    </row>
    <row r="741" spans="1:27" ht="20.100000000000001" hidden="1" customHeight="1">
      <c r="A741" s="873" t="s">
        <v>1331</v>
      </c>
      <c r="B741" s="859" t="s">
        <v>1329</v>
      </c>
      <c r="C741" s="429" t="s">
        <v>1332</v>
      </c>
      <c r="D741" s="364" t="s">
        <v>1265</v>
      </c>
      <c r="E741" s="833"/>
      <c r="F741" s="833">
        <f t="shared" si="67"/>
        <v>0</v>
      </c>
      <c r="G741" s="833">
        <f t="shared" si="68"/>
        <v>0</v>
      </c>
      <c r="H741" s="834">
        <v>1</v>
      </c>
      <c r="I741" s="835"/>
      <c r="J741" s="836"/>
      <c r="K741" s="836"/>
      <c r="L741" s="836"/>
      <c r="M741" s="836"/>
      <c r="N741" s="836"/>
      <c r="O741" s="836"/>
      <c r="P741" s="836"/>
      <c r="Q741" s="836"/>
      <c r="R741" s="837"/>
      <c r="T741" s="155"/>
      <c r="U741" s="155">
        <v>678124</v>
      </c>
      <c r="V741" s="430"/>
      <c r="AA741" s="180" t="str">
        <f>VLOOKUP(A741,[2]DG!$A:$C,3,0)</f>
        <v>Kéo dây đồng trần 50mm2</v>
      </c>
    </row>
    <row r="742" spans="1:27" ht="20.100000000000001" hidden="1" customHeight="1">
      <c r="A742" s="873" t="s">
        <v>1333</v>
      </c>
      <c r="B742" s="859" t="s">
        <v>1334</v>
      </c>
      <c r="C742" s="429" t="s">
        <v>1335</v>
      </c>
      <c r="D742" s="364" t="s">
        <v>1265</v>
      </c>
      <c r="E742" s="833"/>
      <c r="F742" s="833">
        <f t="shared" si="67"/>
        <v>0</v>
      </c>
      <c r="G742" s="833">
        <f t="shared" si="68"/>
        <v>0</v>
      </c>
      <c r="H742" s="834">
        <v>1</v>
      </c>
      <c r="I742" s="835"/>
      <c r="J742" s="836"/>
      <c r="K742" s="836"/>
      <c r="L742" s="836"/>
      <c r="M742" s="836"/>
      <c r="N742" s="836"/>
      <c r="O742" s="836"/>
      <c r="P742" s="836"/>
      <c r="Q742" s="836"/>
      <c r="R742" s="837"/>
      <c r="T742" s="155"/>
      <c r="U742" s="155">
        <v>913438</v>
      </c>
      <c r="V742" s="430"/>
      <c r="AA742" s="180" t="str">
        <f>VLOOKUP(A742,[2]DG!$A:$C,3,0)</f>
        <v>Kéo dây đồng trần 70mm2</v>
      </c>
    </row>
    <row r="743" spans="1:27" ht="20.100000000000001" hidden="1" customHeight="1">
      <c r="A743" s="873" t="s">
        <v>1336</v>
      </c>
      <c r="B743" s="859" t="s">
        <v>1337</v>
      </c>
      <c r="C743" s="429" t="s">
        <v>1338</v>
      </c>
      <c r="D743" s="364" t="s">
        <v>1265</v>
      </c>
      <c r="E743" s="833"/>
      <c r="F743" s="833">
        <f t="shared" si="67"/>
        <v>0</v>
      </c>
      <c r="G743" s="833">
        <f t="shared" si="68"/>
        <v>0</v>
      </c>
      <c r="H743" s="834">
        <v>1</v>
      </c>
      <c r="I743" s="835"/>
      <c r="J743" s="836"/>
      <c r="K743" s="836"/>
      <c r="L743" s="836"/>
      <c r="M743" s="836"/>
      <c r="N743" s="836"/>
      <c r="O743" s="836"/>
      <c r="P743" s="836"/>
      <c r="Q743" s="836"/>
      <c r="R743" s="837"/>
      <c r="T743" s="155"/>
      <c r="U743" s="155">
        <v>1244973</v>
      </c>
      <c r="V743" s="430"/>
      <c r="AA743" s="180" t="str">
        <f>VLOOKUP(A743,[2]DG!$A:$C,3,0)</f>
        <v>Kéo dây đồng trần 95mm2</v>
      </c>
    </row>
    <row r="744" spans="1:27" ht="20.100000000000001" hidden="1" customHeight="1">
      <c r="A744" s="873" t="s">
        <v>1339</v>
      </c>
      <c r="B744" s="859" t="s">
        <v>1321</v>
      </c>
      <c r="C744" s="429" t="s">
        <v>1340</v>
      </c>
      <c r="D744" s="364" t="s">
        <v>1265</v>
      </c>
      <c r="E744" s="833"/>
      <c r="F744" s="833">
        <f t="shared" si="67"/>
        <v>0</v>
      </c>
      <c r="G744" s="833">
        <f t="shared" si="68"/>
        <v>0</v>
      </c>
      <c r="H744" s="834">
        <v>1</v>
      </c>
      <c r="I744" s="835"/>
      <c r="J744" s="836"/>
      <c r="K744" s="836"/>
      <c r="L744" s="836"/>
      <c r="M744" s="836"/>
      <c r="N744" s="836"/>
      <c r="O744" s="836"/>
      <c r="P744" s="836"/>
      <c r="Q744" s="836"/>
      <c r="R744" s="837"/>
      <c r="T744" s="155"/>
      <c r="U744" s="155">
        <v>473574</v>
      </c>
      <c r="V744" s="430"/>
      <c r="AA744" s="180" t="str">
        <f>VLOOKUP(A744,[2]DG!$A:$C,3,0)</f>
        <v>Kéo dây đồng bọc 25mm2</v>
      </c>
    </row>
    <row r="745" spans="1:27" ht="20.100000000000001" hidden="1" customHeight="1">
      <c r="A745" s="873" t="s">
        <v>1341</v>
      </c>
      <c r="B745" s="859" t="s">
        <v>1329</v>
      </c>
      <c r="C745" s="429" t="s">
        <v>1342</v>
      </c>
      <c r="D745" s="364" t="s">
        <v>1265</v>
      </c>
      <c r="E745" s="833"/>
      <c r="F745" s="833">
        <f t="shared" si="67"/>
        <v>0</v>
      </c>
      <c r="G745" s="833">
        <f t="shared" si="68"/>
        <v>0</v>
      </c>
      <c r="H745" s="834">
        <v>1</v>
      </c>
      <c r="I745" s="835"/>
      <c r="J745" s="836"/>
      <c r="K745" s="836"/>
      <c r="L745" s="836"/>
      <c r="M745" s="836"/>
      <c r="N745" s="836"/>
      <c r="O745" s="836"/>
      <c r="P745" s="836"/>
      <c r="Q745" s="836"/>
      <c r="R745" s="837"/>
      <c r="T745" s="155"/>
      <c r="U745" s="155">
        <v>678124</v>
      </c>
      <c r="V745" s="430"/>
      <c r="AA745" s="180" t="str">
        <f>VLOOKUP(A745,[2]DG!$A:$C,3,0)</f>
        <v>Kéo dây đồng bọc 50mm3</v>
      </c>
    </row>
    <row r="746" spans="1:27" ht="20.100000000000001" hidden="1" customHeight="1">
      <c r="A746" s="873" t="s">
        <v>1343</v>
      </c>
      <c r="B746" s="859" t="s">
        <v>1337</v>
      </c>
      <c r="C746" s="429" t="s">
        <v>1344</v>
      </c>
      <c r="D746" s="364" t="s">
        <v>1265</v>
      </c>
      <c r="E746" s="833"/>
      <c r="F746" s="833">
        <f t="shared" si="67"/>
        <v>0</v>
      </c>
      <c r="G746" s="833">
        <f t="shared" si="68"/>
        <v>0</v>
      </c>
      <c r="H746" s="834">
        <v>1</v>
      </c>
      <c r="I746" s="835"/>
      <c r="J746" s="836"/>
      <c r="K746" s="836"/>
      <c r="L746" s="836"/>
      <c r="M746" s="836"/>
      <c r="N746" s="836"/>
      <c r="O746" s="836"/>
      <c r="P746" s="836"/>
      <c r="Q746" s="836"/>
      <c r="R746" s="837"/>
      <c r="T746" s="155"/>
      <c r="U746" s="155">
        <v>1244973</v>
      </c>
      <c r="V746" s="430"/>
      <c r="AA746" s="180" t="str">
        <f>VLOOKUP(A746,[2]DG!$A:$C,3,0)</f>
        <v>Kéo dây đồng bọc 95mm2</v>
      </c>
    </row>
    <row r="747" spans="1:27" ht="20.100000000000001" hidden="1" customHeight="1">
      <c r="A747" s="873" t="s">
        <v>1345</v>
      </c>
      <c r="B747" s="859" t="s">
        <v>1346</v>
      </c>
      <c r="C747" s="429" t="s">
        <v>1347</v>
      </c>
      <c r="D747" s="420" t="s">
        <v>1348</v>
      </c>
      <c r="E747" s="833"/>
      <c r="F747" s="833">
        <f t="shared" si="67"/>
        <v>0</v>
      </c>
      <c r="G747" s="833">
        <f t="shared" si="68"/>
        <v>0</v>
      </c>
      <c r="H747" s="834">
        <v>1</v>
      </c>
      <c r="I747" s="835"/>
      <c r="J747" s="836"/>
      <c r="K747" s="836"/>
      <c r="L747" s="836"/>
      <c r="M747" s="836"/>
      <c r="N747" s="836"/>
      <c r="O747" s="836"/>
      <c r="P747" s="836"/>
      <c r="Q747" s="836"/>
      <c r="R747" s="837"/>
      <c r="T747" s="155"/>
      <c r="U747" s="155">
        <v>30967</v>
      </c>
      <c r="V747" s="430"/>
      <c r="AA747" s="180" t="str">
        <f>VLOOKUP(A747,[2]DG!$A:$C,3,0)</f>
        <v>Kéo dây qua vị trí bẻ góc dây &lt;=50mm2</v>
      </c>
    </row>
    <row r="748" spans="1:27" ht="20.100000000000001" hidden="1" customHeight="1">
      <c r="A748" s="873" t="s">
        <v>1349</v>
      </c>
      <c r="B748" s="859" t="s">
        <v>1350</v>
      </c>
      <c r="C748" s="429" t="s">
        <v>1351</v>
      </c>
      <c r="D748" s="420" t="s">
        <v>1348</v>
      </c>
      <c r="E748" s="833"/>
      <c r="F748" s="833">
        <f t="shared" si="67"/>
        <v>0</v>
      </c>
      <c r="G748" s="833">
        <f t="shared" si="68"/>
        <v>0</v>
      </c>
      <c r="H748" s="834">
        <v>1</v>
      </c>
      <c r="I748" s="835"/>
      <c r="J748" s="836"/>
      <c r="K748" s="836"/>
      <c r="L748" s="836"/>
      <c r="M748" s="836"/>
      <c r="N748" s="836"/>
      <c r="O748" s="836"/>
      <c r="P748" s="836"/>
      <c r="Q748" s="836"/>
      <c r="R748" s="837"/>
      <c r="T748" s="155"/>
      <c r="U748" s="155">
        <v>61933</v>
      </c>
      <c r="V748" s="430"/>
      <c r="AA748" s="180" t="str">
        <f>VLOOKUP(A748,[2]DG!$A:$C,3,0)</f>
        <v xml:space="preserve">Kéo dây qua vị trí bẻ góc dây </v>
      </c>
    </row>
    <row r="749" spans="1:27" ht="20.100000000000001" hidden="1" customHeight="1">
      <c r="A749" s="873" t="s">
        <v>1352</v>
      </c>
      <c r="B749" s="859" t="s">
        <v>1353</v>
      </c>
      <c r="C749" s="436" t="s">
        <v>1354</v>
      </c>
      <c r="D749" s="420" t="s">
        <v>1348</v>
      </c>
      <c r="E749" s="833"/>
      <c r="F749" s="833">
        <f t="shared" si="67"/>
        <v>0</v>
      </c>
      <c r="G749" s="833">
        <f t="shared" si="68"/>
        <v>0</v>
      </c>
      <c r="H749" s="834">
        <v>1</v>
      </c>
      <c r="I749" s="835"/>
      <c r="J749" s="836"/>
      <c r="K749" s="836"/>
      <c r="L749" s="836"/>
      <c r="M749" s="836"/>
      <c r="N749" s="836"/>
      <c r="O749" s="836"/>
      <c r="P749" s="836"/>
      <c r="Q749" s="836"/>
      <c r="R749" s="837"/>
      <c r="T749" s="155"/>
      <c r="U749" s="155">
        <v>261513</v>
      </c>
      <c r="V749" s="430"/>
      <c r="AA749" s="180" t="str">
        <f>VLOOKUP(A749,[2]DG!$A:$C,3,0)</f>
        <v>Kéo dây qua sông ( S&lt;=300)</v>
      </c>
    </row>
    <row r="750" spans="1:27" ht="20.100000000000001" hidden="1" customHeight="1">
      <c r="A750" s="873" t="s">
        <v>1355</v>
      </c>
      <c r="B750" s="859" t="s">
        <v>1353</v>
      </c>
      <c r="C750" s="436" t="s">
        <v>1356</v>
      </c>
      <c r="D750" s="420" t="s">
        <v>1348</v>
      </c>
      <c r="E750" s="833"/>
      <c r="F750" s="833">
        <f t="shared" si="67"/>
        <v>0</v>
      </c>
      <c r="G750" s="833">
        <f t="shared" si="68"/>
        <v>0</v>
      </c>
      <c r="H750" s="834">
        <v>1</v>
      </c>
      <c r="I750" s="835"/>
      <c r="J750" s="836"/>
      <c r="K750" s="836"/>
      <c r="L750" s="836"/>
      <c r="M750" s="836"/>
      <c r="N750" s="836"/>
      <c r="O750" s="836"/>
      <c r="P750" s="836"/>
      <c r="Q750" s="836"/>
      <c r="R750" s="837"/>
      <c r="T750" s="155"/>
      <c r="U750" s="155">
        <v>261513</v>
      </c>
      <c r="V750" s="430"/>
      <c r="AA750" s="180" t="str">
        <f>VLOOKUP(A750,[2]DG!$A:$C,3,0)</f>
        <v>Kéo dây qua mương rạch</v>
      </c>
    </row>
    <row r="751" spans="1:27" ht="20.100000000000001" hidden="1" customHeight="1">
      <c r="A751" s="873" t="s">
        <v>1357</v>
      </c>
      <c r="B751" s="859" t="s">
        <v>1358</v>
      </c>
      <c r="C751" s="429" t="s">
        <v>1359</v>
      </c>
      <c r="D751" s="420" t="s">
        <v>1348</v>
      </c>
      <c r="E751" s="833"/>
      <c r="F751" s="833">
        <f t="shared" si="67"/>
        <v>0</v>
      </c>
      <c r="G751" s="833">
        <f t="shared" si="68"/>
        <v>0</v>
      </c>
      <c r="H751" s="834">
        <v>1</v>
      </c>
      <c r="I751" s="835"/>
      <c r="J751" s="836"/>
      <c r="K751" s="836"/>
      <c r="L751" s="836"/>
      <c r="M751" s="836"/>
      <c r="N751" s="836"/>
      <c r="O751" s="836"/>
      <c r="P751" s="836"/>
      <c r="Q751" s="836"/>
      <c r="R751" s="837"/>
      <c r="T751" s="155"/>
      <c r="U751" s="155">
        <v>125725</v>
      </c>
      <c r="V751" s="430"/>
      <c r="AA751" s="180" t="str">
        <f>VLOOKUP(A751,[2]DG!$A:$C,3,0)</f>
        <v>Kéo dây vượt đường ( dây &lt;=50mm2)</v>
      </c>
    </row>
    <row r="752" spans="1:27" ht="20.100000000000001" hidden="1" customHeight="1">
      <c r="A752" s="873" t="s">
        <v>1360</v>
      </c>
      <c r="B752" s="859" t="s">
        <v>1361</v>
      </c>
      <c r="C752" s="429" t="s">
        <v>1362</v>
      </c>
      <c r="D752" s="420" t="s">
        <v>1348</v>
      </c>
      <c r="E752" s="833"/>
      <c r="F752" s="833">
        <f t="shared" si="67"/>
        <v>0</v>
      </c>
      <c r="G752" s="833">
        <f t="shared" si="68"/>
        <v>0</v>
      </c>
      <c r="H752" s="834">
        <v>1</v>
      </c>
      <c r="I752" s="835"/>
      <c r="J752" s="836"/>
      <c r="K752" s="836"/>
      <c r="L752" s="836"/>
      <c r="M752" s="836"/>
      <c r="N752" s="836"/>
      <c r="O752" s="836"/>
      <c r="P752" s="836"/>
      <c r="Q752" s="836"/>
      <c r="R752" s="837"/>
      <c r="T752" s="155"/>
      <c r="U752" s="155">
        <v>159014</v>
      </c>
      <c r="V752" s="430"/>
      <c r="AA752" s="180" t="str">
        <f>VLOOKUP(A752,[2]DG!$A:$C,3,0)</f>
        <v>Kéo dây vượt đường (dây &lt;=95mm2)</v>
      </c>
    </row>
    <row r="753" spans="1:27" ht="20.100000000000001" hidden="1" customHeight="1">
      <c r="A753" s="873" t="s">
        <v>1363</v>
      </c>
      <c r="B753" s="859" t="s">
        <v>793</v>
      </c>
      <c r="C753" s="429" t="s">
        <v>1364</v>
      </c>
      <c r="D753" s="420" t="s">
        <v>196</v>
      </c>
      <c r="E753" s="833">
        <v>3510.15</v>
      </c>
      <c r="F753" s="833">
        <f t="shared" si="67"/>
        <v>0</v>
      </c>
      <c r="G753" s="833">
        <f t="shared" si="68"/>
        <v>0</v>
      </c>
      <c r="H753" s="834">
        <v>1</v>
      </c>
      <c r="I753" s="835"/>
      <c r="J753" s="836"/>
      <c r="K753" s="836"/>
      <c r="L753" s="836"/>
      <c r="M753" s="836"/>
      <c r="N753" s="836"/>
      <c r="O753" s="836"/>
      <c r="P753" s="836"/>
      <c r="Q753" s="836"/>
      <c r="R753" s="837"/>
      <c r="T753" s="155">
        <v>3510.15</v>
      </c>
      <c r="U753" s="155">
        <v>13249.23</v>
      </c>
      <c r="V753" s="430"/>
      <c r="AA753" s="180" t="str">
        <f>VLOOKUP(A753,[2]DG!$A:$C,3,0)</f>
        <v>Lắp ống sắt bảo vệ cáp d&lt;100mm</v>
      </c>
    </row>
    <row r="754" spans="1:27" ht="20.100000000000001" hidden="1" customHeight="1">
      <c r="A754" s="873" t="s">
        <v>1365</v>
      </c>
      <c r="B754" s="859" t="s">
        <v>1366</v>
      </c>
      <c r="C754" s="429" t="s">
        <v>1367</v>
      </c>
      <c r="D754" s="420" t="s">
        <v>196</v>
      </c>
      <c r="E754" s="833">
        <v>3510</v>
      </c>
      <c r="F754" s="833">
        <f t="shared" si="67"/>
        <v>0</v>
      </c>
      <c r="G754" s="833">
        <f t="shared" si="68"/>
        <v>0</v>
      </c>
      <c r="H754" s="834">
        <v>1</v>
      </c>
      <c r="I754" s="835"/>
      <c r="J754" s="836"/>
      <c r="K754" s="836"/>
      <c r="L754" s="836"/>
      <c r="M754" s="836"/>
      <c r="N754" s="836"/>
      <c r="O754" s="836"/>
      <c r="P754" s="836"/>
      <c r="Q754" s="836"/>
      <c r="R754" s="837"/>
      <c r="T754" s="155">
        <v>3510</v>
      </c>
      <c r="U754" s="155">
        <v>11456</v>
      </c>
      <c r="V754" s="430"/>
      <c r="AA754" s="180" t="str">
        <f>VLOOKUP(A754,[2]DG!$A:$C,3,0)</f>
        <v>Lắp ống sắt bảo vệ cáp d&lt;70mm</v>
      </c>
    </row>
    <row r="755" spans="1:27" ht="20.100000000000001" hidden="1" customHeight="1">
      <c r="A755" s="873" t="s">
        <v>1368</v>
      </c>
      <c r="B755" s="859" t="s">
        <v>1369</v>
      </c>
      <c r="C755" s="429" t="s">
        <v>1370</v>
      </c>
      <c r="D755" s="420" t="s">
        <v>196</v>
      </c>
      <c r="E755" s="833">
        <v>3510</v>
      </c>
      <c r="F755" s="833">
        <f t="shared" si="67"/>
        <v>0</v>
      </c>
      <c r="G755" s="833">
        <f t="shared" si="68"/>
        <v>0</v>
      </c>
      <c r="H755" s="834">
        <v>1</v>
      </c>
      <c r="I755" s="835"/>
      <c r="J755" s="836"/>
      <c r="K755" s="836"/>
      <c r="L755" s="836"/>
      <c r="M755" s="836"/>
      <c r="N755" s="836"/>
      <c r="O755" s="836"/>
      <c r="P755" s="836"/>
      <c r="Q755" s="836"/>
      <c r="R755" s="837"/>
      <c r="T755" s="155">
        <v>3510</v>
      </c>
      <c r="U755" s="155">
        <v>9907</v>
      </c>
      <c r="V755" s="430"/>
      <c r="AA755" s="180" t="str">
        <f>VLOOKUP(A755,[2]DG!$A:$C,3,0)</f>
        <v>Lắp ống sắt bảo vệ cáp d&lt;50mm</v>
      </c>
    </row>
    <row r="756" spans="1:27" ht="20.100000000000001" hidden="1" customHeight="1">
      <c r="A756" s="873" t="s">
        <v>3685</v>
      </c>
      <c r="B756" s="859" t="s">
        <v>1371</v>
      </c>
      <c r="C756" s="429" t="s">
        <v>1372</v>
      </c>
      <c r="D756" s="420" t="s">
        <v>196</v>
      </c>
      <c r="E756" s="833">
        <v>3052.63</v>
      </c>
      <c r="F756" s="833">
        <f t="shared" si="67"/>
        <v>0</v>
      </c>
      <c r="G756" s="833">
        <f t="shared" si="68"/>
        <v>0</v>
      </c>
      <c r="H756" s="834">
        <v>1</v>
      </c>
      <c r="I756" s="835"/>
      <c r="J756" s="836"/>
      <c r="K756" s="836"/>
      <c r="L756" s="836"/>
      <c r="M756" s="836"/>
      <c r="N756" s="836"/>
      <c r="O756" s="836"/>
      <c r="P756" s="836"/>
      <c r="Q756" s="836"/>
      <c r="R756" s="837"/>
      <c r="T756" s="155">
        <v>3052.63</v>
      </c>
      <c r="U756" s="155">
        <v>5107.6099999999997</v>
      </c>
      <c r="V756" s="430"/>
      <c r="AA756" s="180" t="str">
        <f>VLOOKUP(A756,[2]DG!$A:$C,3,0)</f>
        <v>Lắp ống sắt bảo vệ cáp qua đường d&lt;120mm</v>
      </c>
    </row>
    <row r="757" spans="1:27" ht="20.100000000000001" hidden="1" customHeight="1">
      <c r="A757" s="873" t="s">
        <v>3686</v>
      </c>
      <c r="B757" s="859" t="s">
        <v>1373</v>
      </c>
      <c r="C757" s="429" t="s">
        <v>1374</v>
      </c>
      <c r="D757" s="420" t="s">
        <v>196</v>
      </c>
      <c r="E757" s="833">
        <v>5030.71</v>
      </c>
      <c r="F757" s="833">
        <f t="shared" si="67"/>
        <v>0</v>
      </c>
      <c r="G757" s="833">
        <f t="shared" si="68"/>
        <v>0</v>
      </c>
      <c r="H757" s="834">
        <v>1</v>
      </c>
      <c r="I757" s="835"/>
      <c r="J757" s="836"/>
      <c r="K757" s="836"/>
      <c r="L757" s="836"/>
      <c r="M757" s="836"/>
      <c r="N757" s="836"/>
      <c r="O757" s="836"/>
      <c r="P757" s="836"/>
      <c r="Q757" s="836"/>
      <c r="R757" s="837"/>
      <c r="T757" s="155">
        <v>5030.71</v>
      </c>
      <c r="U757" s="155">
        <v>6984.77</v>
      </c>
      <c r="V757" s="430"/>
      <c r="AA757" s="180" t="str">
        <f>VLOOKUP(A757,[2]DG!$A:$C,3,0)</f>
        <v>Lắp ống sắt bảo vệ cáp qua đường d&lt;220mm</v>
      </c>
    </row>
    <row r="758" spans="1:27" ht="20.100000000000001" hidden="1" customHeight="1">
      <c r="A758" s="873" t="s">
        <v>1375</v>
      </c>
      <c r="B758" s="859" t="s">
        <v>4120</v>
      </c>
      <c r="C758" s="429" t="s">
        <v>1376</v>
      </c>
      <c r="D758" s="420" t="s">
        <v>196</v>
      </c>
      <c r="E758" s="833"/>
      <c r="F758" s="833">
        <f t="shared" si="67"/>
        <v>52126.80000000001</v>
      </c>
      <c r="G758" s="833">
        <f t="shared" si="68"/>
        <v>0</v>
      </c>
      <c r="H758" s="834" t="s">
        <v>4065</v>
      </c>
      <c r="I758" s="835" t="s">
        <v>3372</v>
      </c>
      <c r="J758" s="836">
        <v>0.22000000000000003</v>
      </c>
      <c r="K758" s="836"/>
      <c r="L758" s="836"/>
      <c r="M758" s="836"/>
      <c r="N758" s="836"/>
      <c r="O758" s="836"/>
      <c r="P758" s="836"/>
      <c r="Q758" s="836"/>
      <c r="R758" s="837"/>
      <c r="T758" s="155">
        <v>18</v>
      </c>
      <c r="U758" s="155">
        <v>2214</v>
      </c>
      <c r="V758" s="430"/>
      <c r="AA758" s="180" t="str">
        <f>VLOOKUP(A758,[2]DG!$A:$C,3,0)</f>
        <v>Lắp ống nhựa PVC D42</v>
      </c>
    </row>
    <row r="759" spans="1:27" ht="20.100000000000001" hidden="1" customHeight="1">
      <c r="A759" s="873" t="s">
        <v>1377</v>
      </c>
      <c r="B759" s="859" t="s">
        <v>4120</v>
      </c>
      <c r="C759" s="429" t="s">
        <v>1378</v>
      </c>
      <c r="D759" s="420" t="s">
        <v>196</v>
      </c>
      <c r="E759" s="833"/>
      <c r="F759" s="833">
        <f t="shared" si="67"/>
        <v>52126.80000000001</v>
      </c>
      <c r="G759" s="833">
        <f t="shared" si="68"/>
        <v>0</v>
      </c>
      <c r="H759" s="834" t="s">
        <v>4065</v>
      </c>
      <c r="I759" s="835" t="s">
        <v>3372</v>
      </c>
      <c r="J759" s="836">
        <v>0.22000000000000003</v>
      </c>
      <c r="K759" s="836"/>
      <c r="L759" s="836"/>
      <c r="M759" s="836"/>
      <c r="N759" s="836"/>
      <c r="O759" s="836"/>
      <c r="P759" s="836"/>
      <c r="Q759" s="836"/>
      <c r="R759" s="837"/>
      <c r="T759" s="155">
        <v>26</v>
      </c>
      <c r="U759" s="155">
        <v>2401</v>
      </c>
      <c r="V759" s="430"/>
      <c r="AA759" s="180" t="str">
        <f>VLOOKUP(A759,[2]DG!$A:$C,3,0)</f>
        <v>Lắp ống nhựa PVC D60</v>
      </c>
    </row>
    <row r="760" spans="1:27" ht="20.100000000000001" hidden="1" customHeight="1">
      <c r="A760" s="873" t="s">
        <v>1379</v>
      </c>
      <c r="B760" s="859" t="s">
        <v>4120</v>
      </c>
      <c r="C760" s="429" t="s">
        <v>1380</v>
      </c>
      <c r="D760" s="420" t="s">
        <v>196</v>
      </c>
      <c r="E760" s="833"/>
      <c r="F760" s="833">
        <f t="shared" si="67"/>
        <v>52126.80000000001</v>
      </c>
      <c r="G760" s="833">
        <f t="shared" si="68"/>
        <v>0</v>
      </c>
      <c r="H760" s="834" t="s">
        <v>4065</v>
      </c>
      <c r="I760" s="835" t="s">
        <v>3372</v>
      </c>
      <c r="J760" s="836">
        <v>0.22000000000000003</v>
      </c>
      <c r="K760" s="836"/>
      <c r="L760" s="836"/>
      <c r="M760" s="836"/>
      <c r="N760" s="836"/>
      <c r="O760" s="836"/>
      <c r="P760" s="836"/>
      <c r="Q760" s="836"/>
      <c r="R760" s="837"/>
      <c r="T760" s="155"/>
      <c r="U760" s="155">
        <v>14972</v>
      </c>
      <c r="V760" s="430">
        <v>0</v>
      </c>
      <c r="AA760" s="180" t="str">
        <f>VLOOKUP(A760,[2]DG!$A:$C,3,0)</f>
        <v>Lắp ống nhựa PVC D90</v>
      </c>
    </row>
    <row r="761" spans="1:27" ht="20.100000000000001" hidden="1" customHeight="1">
      <c r="A761" s="873" t="s">
        <v>1381</v>
      </c>
      <c r="B761" s="859" t="s">
        <v>4120</v>
      </c>
      <c r="C761" s="429" t="s">
        <v>1382</v>
      </c>
      <c r="D761" s="420" t="s">
        <v>196</v>
      </c>
      <c r="E761" s="833"/>
      <c r="F761" s="833">
        <f t="shared" si="67"/>
        <v>63973.8</v>
      </c>
      <c r="G761" s="833">
        <f t="shared" si="68"/>
        <v>0</v>
      </c>
      <c r="H761" s="834" t="s">
        <v>4065</v>
      </c>
      <c r="I761" s="835" t="s">
        <v>3372</v>
      </c>
      <c r="J761" s="836">
        <v>0.27</v>
      </c>
      <c r="K761" s="836"/>
      <c r="L761" s="836"/>
      <c r="M761" s="836"/>
      <c r="N761" s="836"/>
      <c r="O761" s="836"/>
      <c r="P761" s="836"/>
      <c r="Q761" s="836"/>
      <c r="R761" s="837"/>
      <c r="T761" s="155">
        <v>46</v>
      </c>
      <c r="U761" s="155">
        <v>3524</v>
      </c>
      <c r="V761" s="430"/>
      <c r="AA761" s="180" t="str">
        <f>VLOOKUP(A761,[2]DG!$A:$C,3,0)</f>
        <v>Lắp ống nhựa PVC D114</v>
      </c>
    </row>
    <row r="762" spans="1:27" ht="20.100000000000001" hidden="1" customHeight="1">
      <c r="A762" s="873" t="s">
        <v>1383</v>
      </c>
      <c r="B762" s="859" t="s">
        <v>4120</v>
      </c>
      <c r="C762" s="429" t="s">
        <v>1384</v>
      </c>
      <c r="D762" s="420" t="s">
        <v>196</v>
      </c>
      <c r="E762" s="833"/>
      <c r="F762" s="833">
        <f t="shared" si="67"/>
        <v>63973.8</v>
      </c>
      <c r="G762" s="833">
        <f t="shared" si="68"/>
        <v>0</v>
      </c>
      <c r="H762" s="834" t="s">
        <v>4065</v>
      </c>
      <c r="I762" s="835" t="s">
        <v>3372</v>
      </c>
      <c r="J762" s="836">
        <v>0.27</v>
      </c>
      <c r="K762" s="836"/>
      <c r="L762" s="836"/>
      <c r="M762" s="836"/>
      <c r="N762" s="836"/>
      <c r="O762" s="836"/>
      <c r="P762" s="836"/>
      <c r="Q762" s="836"/>
      <c r="R762" s="837"/>
      <c r="T762" s="155">
        <v>46</v>
      </c>
      <c r="U762" s="155">
        <v>3524</v>
      </c>
      <c r="V762" s="430"/>
      <c r="AA762" s="180" t="str">
        <f>VLOOKUP(A762,[2]DG!$A:$C,3,0)</f>
        <v>Lắp ống nhựa PVC D140</v>
      </c>
    </row>
    <row r="763" spans="1:27" ht="20.100000000000001" customHeight="1">
      <c r="A763" s="873" t="s">
        <v>4380</v>
      </c>
      <c r="B763" s="859" t="s">
        <v>4120</v>
      </c>
      <c r="C763" s="429" t="s">
        <v>4385</v>
      </c>
      <c r="D763" s="420" t="s">
        <v>196</v>
      </c>
      <c r="E763" s="833"/>
      <c r="F763" s="833">
        <f t="shared" ref="F763:F767" si="71">IF(OR(I763="",J763=""),0,IF(K763*1=0,1,K763)*VLOOKUP(I763,TIENLUONG,4,0)*J763)</f>
        <v>52126.80000000001</v>
      </c>
      <c r="G763" s="833">
        <f t="shared" ref="G763:G767" si="72">L763*VLOOKUP($L$1,CAMAY,2,0)+M763*VLOOKUP($M$1,CAMAY,2,0)+N763*VLOOKUP($N$1,CAMAY,2,0)+O763*VLOOKUP($O$1,CAMAY,2,0)+P763*VLOOKUP($P$1,CAMAY,2,0)</f>
        <v>0</v>
      </c>
      <c r="H763" s="834" t="s">
        <v>4065</v>
      </c>
      <c r="I763" s="835" t="s">
        <v>3372</v>
      </c>
      <c r="J763" s="836">
        <v>0.22000000000000003</v>
      </c>
      <c r="K763" s="836"/>
      <c r="L763" s="836"/>
      <c r="M763" s="836"/>
      <c r="N763" s="836"/>
      <c r="O763" s="836"/>
      <c r="P763" s="836"/>
      <c r="Q763" s="836"/>
      <c r="R763" s="837"/>
      <c r="T763" s="155">
        <v>18</v>
      </c>
      <c r="U763" s="155">
        <v>2214</v>
      </c>
      <c r="V763" s="430"/>
      <c r="AA763" s="180" t="str">
        <f>VLOOKUP(A763,[2]DG!$A:$C,3,0)</f>
        <v>Lắp ống nhựa PVC D42 bảo vệ cáp ngầm</v>
      </c>
    </row>
    <row r="764" spans="1:27" ht="20.100000000000001" customHeight="1">
      <c r="A764" s="873" t="s">
        <v>4381</v>
      </c>
      <c r="B764" s="859" t="s">
        <v>4120</v>
      </c>
      <c r="C764" s="429" t="s">
        <v>4386</v>
      </c>
      <c r="D764" s="420" t="s">
        <v>196</v>
      </c>
      <c r="E764" s="833"/>
      <c r="F764" s="833">
        <f t="shared" si="71"/>
        <v>52126.80000000001</v>
      </c>
      <c r="G764" s="833">
        <f t="shared" si="72"/>
        <v>0</v>
      </c>
      <c r="H764" s="834" t="s">
        <v>4065</v>
      </c>
      <c r="I764" s="835" t="s">
        <v>3372</v>
      </c>
      <c r="J764" s="836">
        <v>0.22000000000000003</v>
      </c>
      <c r="K764" s="836"/>
      <c r="L764" s="836"/>
      <c r="M764" s="836"/>
      <c r="N764" s="836"/>
      <c r="O764" s="836"/>
      <c r="P764" s="836"/>
      <c r="Q764" s="836"/>
      <c r="R764" s="837"/>
      <c r="T764" s="155">
        <v>26</v>
      </c>
      <c r="U764" s="155">
        <v>2401</v>
      </c>
      <c r="V764" s="430"/>
      <c r="AA764" s="180" t="str">
        <f>VLOOKUP(A764,[2]DG!$A:$C,3,0)</f>
        <v>Lắp ống nhựa PVC D60 bảo vệ cáp ngầm</v>
      </c>
    </row>
    <row r="765" spans="1:27" ht="20.100000000000001" customHeight="1">
      <c r="A765" s="873" t="s">
        <v>4382</v>
      </c>
      <c r="B765" s="859" t="s">
        <v>4120</v>
      </c>
      <c r="C765" s="429" t="s">
        <v>4387</v>
      </c>
      <c r="D765" s="420" t="s">
        <v>196</v>
      </c>
      <c r="E765" s="833"/>
      <c r="F765" s="833">
        <f t="shared" si="71"/>
        <v>52126.80000000001</v>
      </c>
      <c r="G765" s="833">
        <f t="shared" si="72"/>
        <v>0</v>
      </c>
      <c r="H765" s="834" t="s">
        <v>4065</v>
      </c>
      <c r="I765" s="835" t="s">
        <v>3372</v>
      </c>
      <c r="J765" s="836">
        <v>0.22000000000000003</v>
      </c>
      <c r="K765" s="836"/>
      <c r="L765" s="836"/>
      <c r="M765" s="836"/>
      <c r="N765" s="836"/>
      <c r="O765" s="836"/>
      <c r="P765" s="836"/>
      <c r="Q765" s="836"/>
      <c r="R765" s="837"/>
      <c r="T765" s="155"/>
      <c r="U765" s="155">
        <v>14972</v>
      </c>
      <c r="V765" s="430">
        <v>0</v>
      </c>
      <c r="AA765" s="180" t="str">
        <f>VLOOKUP(A765,[2]DG!$A:$C,3,0)</f>
        <v>Lắp ống nhựa PVC D90 bảo vệ cáp ngầm</v>
      </c>
    </row>
    <row r="766" spans="1:27" ht="20.100000000000001" customHeight="1">
      <c r="A766" s="873" t="s">
        <v>4383</v>
      </c>
      <c r="B766" s="859" t="s">
        <v>4120</v>
      </c>
      <c r="C766" s="429" t="s">
        <v>4388</v>
      </c>
      <c r="D766" s="420" t="s">
        <v>196</v>
      </c>
      <c r="E766" s="833"/>
      <c r="F766" s="833">
        <f t="shared" si="71"/>
        <v>63973.8</v>
      </c>
      <c r="G766" s="833">
        <f t="shared" si="72"/>
        <v>0</v>
      </c>
      <c r="H766" s="834" t="s">
        <v>4065</v>
      </c>
      <c r="I766" s="835" t="s">
        <v>3372</v>
      </c>
      <c r="J766" s="836">
        <v>0.27</v>
      </c>
      <c r="K766" s="836"/>
      <c r="L766" s="836"/>
      <c r="M766" s="836"/>
      <c r="N766" s="836"/>
      <c r="O766" s="836"/>
      <c r="P766" s="836"/>
      <c r="Q766" s="836"/>
      <c r="R766" s="837"/>
      <c r="T766" s="155">
        <v>46</v>
      </c>
      <c r="U766" s="155">
        <v>3524</v>
      </c>
      <c r="V766" s="430"/>
      <c r="AA766" s="180" t="str">
        <f>VLOOKUP(A766,[2]DG!$A:$C,3,0)</f>
        <v>Lắp ống nhựa PVC D114 bảo vệ cáp ngầm</v>
      </c>
    </row>
    <row r="767" spans="1:27" ht="20.100000000000001" customHeight="1">
      <c r="A767" s="873" t="s">
        <v>4384</v>
      </c>
      <c r="B767" s="859" t="s">
        <v>4120</v>
      </c>
      <c r="C767" s="429" t="s">
        <v>4389</v>
      </c>
      <c r="D767" s="420" t="s">
        <v>196</v>
      </c>
      <c r="E767" s="833"/>
      <c r="F767" s="833">
        <f t="shared" si="71"/>
        <v>63973.8</v>
      </c>
      <c r="G767" s="833">
        <f t="shared" si="72"/>
        <v>0</v>
      </c>
      <c r="H767" s="834" t="s">
        <v>4065</v>
      </c>
      <c r="I767" s="835" t="s">
        <v>3372</v>
      </c>
      <c r="J767" s="836">
        <v>0.27</v>
      </c>
      <c r="K767" s="836"/>
      <c r="L767" s="836"/>
      <c r="M767" s="836"/>
      <c r="N767" s="836"/>
      <c r="O767" s="836"/>
      <c r="P767" s="836"/>
      <c r="Q767" s="836"/>
      <c r="R767" s="837"/>
      <c r="T767" s="155">
        <v>46</v>
      </c>
      <c r="U767" s="155">
        <v>3524</v>
      </c>
      <c r="V767" s="430"/>
      <c r="AA767" s="180" t="str">
        <f>VLOOKUP(A767,[2]DG!$A:$C,3,0)</f>
        <v>Lắp ống nhựa PVC D140 bảo vệ cáp ngầm</v>
      </c>
    </row>
    <row r="768" spans="1:27" ht="20.100000000000001" hidden="1" customHeight="1">
      <c r="A768" s="873" t="s">
        <v>1385</v>
      </c>
      <c r="B768" s="859" t="s">
        <v>4120</v>
      </c>
      <c r="C768" s="429" t="s">
        <v>1386</v>
      </c>
      <c r="D768" s="364" t="s">
        <v>196</v>
      </c>
      <c r="E768" s="833"/>
      <c r="F768" s="833">
        <f t="shared" si="67"/>
        <v>52126.80000000001</v>
      </c>
      <c r="G768" s="833">
        <f t="shared" si="68"/>
        <v>0</v>
      </c>
      <c r="H768" s="834" t="s">
        <v>4065</v>
      </c>
      <c r="I768" s="835" t="s">
        <v>3372</v>
      </c>
      <c r="J768" s="836">
        <v>0.22000000000000003</v>
      </c>
      <c r="K768" s="836"/>
      <c r="L768" s="836"/>
      <c r="M768" s="836"/>
      <c r="N768" s="836"/>
      <c r="O768" s="836"/>
      <c r="P768" s="836"/>
      <c r="Q768" s="836"/>
      <c r="R768" s="837"/>
      <c r="T768" s="155">
        <v>680</v>
      </c>
      <c r="U768" s="155">
        <v>4635.2</v>
      </c>
      <c r="V768" s="430"/>
      <c r="AA768" s="180" t="str">
        <f>VLOOKUP(A768,[2]DG!$A:$C,3,0)</f>
        <v xml:space="preserve">Lắp ống PVC </v>
      </c>
    </row>
    <row r="769" spans="1:27" ht="20.100000000000001" hidden="1" customHeight="1">
      <c r="A769" s="873" t="s">
        <v>3687</v>
      </c>
      <c r="B769" s="860" t="s">
        <v>4390</v>
      </c>
      <c r="C769" s="429" t="s">
        <v>1387</v>
      </c>
      <c r="D769" s="420" t="s">
        <v>196</v>
      </c>
      <c r="E769" s="833">
        <v>455.68</v>
      </c>
      <c r="F769" s="833">
        <f t="shared" si="67"/>
        <v>421753.2</v>
      </c>
      <c r="G769" s="833">
        <f t="shared" si="68"/>
        <v>0</v>
      </c>
      <c r="H769" s="834">
        <v>1</v>
      </c>
      <c r="I769" s="835" t="s">
        <v>3372</v>
      </c>
      <c r="J769" s="836">
        <v>1.78</v>
      </c>
      <c r="K769" s="836"/>
      <c r="L769" s="836"/>
      <c r="M769" s="836"/>
      <c r="N769" s="836"/>
      <c r="O769" s="836"/>
      <c r="P769" s="836"/>
      <c r="Q769" s="836"/>
      <c r="R769" s="837"/>
      <c r="T769" s="433">
        <v>455.68</v>
      </c>
      <c r="U769" s="433">
        <v>860.75</v>
      </c>
      <c r="V769" s="430"/>
      <c r="AA769" s="180" t="str">
        <f>VLOOKUP(A769,[2]DG!$A:$C,3,0)</f>
        <v>Lắp cáp trong ống bảo vệ loại &lt;=1kg</v>
      </c>
    </row>
    <row r="770" spans="1:27" ht="20.100000000000001" hidden="1" customHeight="1">
      <c r="A770" s="873" t="s">
        <v>3688</v>
      </c>
      <c r="B770" s="860" t="s">
        <v>4391</v>
      </c>
      <c r="C770" s="429" t="s">
        <v>1388</v>
      </c>
      <c r="D770" s="420" t="s">
        <v>196</v>
      </c>
      <c r="E770" s="833">
        <v>455.68</v>
      </c>
      <c r="F770" s="833">
        <f t="shared" si="67"/>
        <v>490465.8</v>
      </c>
      <c r="G770" s="833">
        <f t="shared" si="68"/>
        <v>0</v>
      </c>
      <c r="H770" s="834">
        <v>1</v>
      </c>
      <c r="I770" s="835" t="s">
        <v>3372</v>
      </c>
      <c r="J770" s="836">
        <v>2.0699999999999998</v>
      </c>
      <c r="K770" s="836"/>
      <c r="L770" s="836"/>
      <c r="M770" s="836"/>
      <c r="N770" s="836"/>
      <c r="O770" s="836"/>
      <c r="P770" s="836"/>
      <c r="Q770" s="836"/>
      <c r="R770" s="837"/>
      <c r="T770" s="433">
        <v>455.68</v>
      </c>
      <c r="U770" s="433">
        <v>981.84</v>
      </c>
      <c r="V770" s="430"/>
      <c r="AA770" s="180" t="str">
        <f>VLOOKUP(A770,[2]DG!$A:$C,3,0)</f>
        <v>Lắp cáp trong ống bảo vệ loại &lt;=2kg</v>
      </c>
    </row>
    <row r="771" spans="1:27" ht="20.100000000000001" hidden="1" customHeight="1">
      <c r="A771" s="873" t="s">
        <v>2327</v>
      </c>
      <c r="B771" s="860" t="s">
        <v>4392</v>
      </c>
      <c r="C771" s="429" t="s">
        <v>1389</v>
      </c>
      <c r="D771" s="420" t="s">
        <v>196</v>
      </c>
      <c r="E771" s="833">
        <v>455.68</v>
      </c>
      <c r="F771" s="833">
        <f t="shared" si="67"/>
        <v>651585</v>
      </c>
      <c r="G771" s="833">
        <f t="shared" si="68"/>
        <v>0</v>
      </c>
      <c r="H771" s="834">
        <v>1</v>
      </c>
      <c r="I771" s="835" t="s">
        <v>3372</v>
      </c>
      <c r="J771" s="836">
        <v>2.75</v>
      </c>
      <c r="K771" s="836"/>
      <c r="L771" s="836"/>
      <c r="M771" s="836"/>
      <c r="N771" s="836"/>
      <c r="O771" s="836"/>
      <c r="P771" s="836"/>
      <c r="Q771" s="836"/>
      <c r="R771" s="837"/>
      <c r="T771" s="433">
        <v>455.68</v>
      </c>
      <c r="U771" s="433">
        <v>1227.3</v>
      </c>
      <c r="V771" s="430"/>
      <c r="AA771" s="180" t="str">
        <f>VLOOKUP(A771,[2]DG!$A:$C,3,0)</f>
        <v>Lắp cáp trong ống bảo vệ loại &lt;=3kg</v>
      </c>
    </row>
    <row r="772" spans="1:27" ht="20.100000000000001" hidden="1" customHeight="1">
      <c r="A772" s="873" t="s">
        <v>2326</v>
      </c>
      <c r="B772" s="860" t="s">
        <v>4393</v>
      </c>
      <c r="C772" s="429" t="s">
        <v>1390</v>
      </c>
      <c r="D772" s="420" t="s">
        <v>196</v>
      </c>
      <c r="E772" s="833">
        <v>546.91999999999996</v>
      </c>
      <c r="F772" s="833">
        <f t="shared" si="67"/>
        <v>848245.20000000007</v>
      </c>
      <c r="G772" s="833">
        <f t="shared" si="68"/>
        <v>0</v>
      </c>
      <c r="H772" s="834">
        <v>1</v>
      </c>
      <c r="I772" s="835" t="s">
        <v>3372</v>
      </c>
      <c r="J772" s="836">
        <v>3.58</v>
      </c>
      <c r="K772" s="836"/>
      <c r="L772" s="836"/>
      <c r="M772" s="836"/>
      <c r="N772" s="836"/>
      <c r="O772" s="836"/>
      <c r="P772" s="836"/>
      <c r="Q772" s="836"/>
      <c r="R772" s="837"/>
      <c r="T772" s="433">
        <v>546.91999999999996</v>
      </c>
      <c r="U772" s="433">
        <v>1636.4</v>
      </c>
      <c r="V772" s="430"/>
      <c r="AA772" s="180" t="str">
        <f>VLOOKUP(A772,[2]DG!$A:$C,3,0)</f>
        <v>Lắp cáp trong ống bảo vệ loại &lt;=4.5kg</v>
      </c>
    </row>
    <row r="773" spans="1:27" ht="20.100000000000001" hidden="1" customHeight="1">
      <c r="A773" s="873" t="s">
        <v>3689</v>
      </c>
      <c r="B773" s="860" t="s">
        <v>4394</v>
      </c>
      <c r="C773" s="429" t="s">
        <v>1391</v>
      </c>
      <c r="D773" s="420" t="s">
        <v>196</v>
      </c>
      <c r="E773" s="833">
        <v>546.91999999999996</v>
      </c>
      <c r="F773" s="833">
        <f t="shared" si="67"/>
        <v>1075707.6000000001</v>
      </c>
      <c r="G773" s="833">
        <f t="shared" si="68"/>
        <v>0</v>
      </c>
      <c r="H773" s="834">
        <v>1</v>
      </c>
      <c r="I773" s="835" t="s">
        <v>3372</v>
      </c>
      <c r="J773" s="836">
        <v>4.54</v>
      </c>
      <c r="K773" s="836"/>
      <c r="L773" s="836"/>
      <c r="M773" s="836"/>
      <c r="N773" s="836"/>
      <c r="O773" s="836"/>
      <c r="P773" s="836"/>
      <c r="Q773" s="836"/>
      <c r="R773" s="837"/>
      <c r="T773" s="433">
        <v>546.91999999999996</v>
      </c>
      <c r="U773" s="433">
        <v>2084.77</v>
      </c>
      <c r="V773" s="430"/>
      <c r="AA773" s="180" t="str">
        <f>VLOOKUP(A773,[2]DG!$A:$C,3,0)</f>
        <v>Lắp cáp trong ống bảo vệ loại &lt;=6kg</v>
      </c>
    </row>
    <row r="774" spans="1:27" ht="20.100000000000001" hidden="1" customHeight="1">
      <c r="A774" s="873" t="s">
        <v>3690</v>
      </c>
      <c r="B774" s="860" t="s">
        <v>4395</v>
      </c>
      <c r="C774" s="429" t="s">
        <v>1392</v>
      </c>
      <c r="D774" s="420" t="s">
        <v>196</v>
      </c>
      <c r="E774" s="833">
        <v>685.15</v>
      </c>
      <c r="F774" s="833">
        <f t="shared" si="67"/>
        <v>1369513.2</v>
      </c>
      <c r="G774" s="833">
        <f t="shared" si="68"/>
        <v>0</v>
      </c>
      <c r="H774" s="834">
        <v>1</v>
      </c>
      <c r="I774" s="835" t="s">
        <v>3372</v>
      </c>
      <c r="J774" s="836">
        <v>5.78</v>
      </c>
      <c r="K774" s="836"/>
      <c r="L774" s="836"/>
      <c r="M774" s="836"/>
      <c r="N774" s="836"/>
      <c r="O774" s="836"/>
      <c r="P774" s="836"/>
      <c r="Q774" s="836"/>
      <c r="R774" s="837"/>
      <c r="T774" s="433">
        <v>685.15</v>
      </c>
      <c r="U774" s="433">
        <v>2700.06</v>
      </c>
      <c r="V774" s="430"/>
      <c r="AA774" s="180" t="str">
        <f>VLOOKUP(A774,[2]DG!$A:$C,3,0)</f>
        <v>Lắp cáp trong ống bảo vệ loại &lt;=7.5kg</v>
      </c>
    </row>
    <row r="775" spans="1:27" ht="20.100000000000001" hidden="1" customHeight="1">
      <c r="A775" s="873" t="s">
        <v>3691</v>
      </c>
      <c r="B775" s="860" t="s">
        <v>4396</v>
      </c>
      <c r="C775" s="429" t="s">
        <v>1393</v>
      </c>
      <c r="D775" s="420" t="s">
        <v>196</v>
      </c>
      <c r="E775" s="833">
        <v>685.15</v>
      </c>
      <c r="F775" s="833">
        <f t="shared" si="67"/>
        <v>1720184.4</v>
      </c>
      <c r="G775" s="833">
        <f t="shared" si="68"/>
        <v>0</v>
      </c>
      <c r="H775" s="834">
        <v>1</v>
      </c>
      <c r="I775" s="835" t="s">
        <v>3372</v>
      </c>
      <c r="J775" s="836">
        <v>7.26</v>
      </c>
      <c r="K775" s="836"/>
      <c r="L775" s="836"/>
      <c r="M775" s="836"/>
      <c r="N775" s="836"/>
      <c r="O775" s="836"/>
      <c r="P775" s="836"/>
      <c r="Q775" s="836"/>
      <c r="R775" s="837"/>
      <c r="T775" s="433">
        <v>685.15</v>
      </c>
      <c r="U775" s="433">
        <v>3315.35</v>
      </c>
      <c r="V775" s="430"/>
      <c r="AA775" s="180" t="str">
        <f>VLOOKUP(A775,[2]DG!$A:$C,3,0)</f>
        <v>Lắp cáp trong ống bảo vệ loại &lt;=9kg</v>
      </c>
    </row>
    <row r="776" spans="1:27" ht="20.100000000000001" hidden="1" customHeight="1">
      <c r="A776" s="873" t="s">
        <v>3692</v>
      </c>
      <c r="B776" s="860" t="s">
        <v>4397</v>
      </c>
      <c r="C776" s="429" t="s">
        <v>1394</v>
      </c>
      <c r="D776" s="420" t="s">
        <v>196</v>
      </c>
      <c r="E776" s="833">
        <v>770.89</v>
      </c>
      <c r="F776" s="833">
        <f t="shared" si="67"/>
        <v>2260407.5999999996</v>
      </c>
      <c r="G776" s="833">
        <f t="shared" si="68"/>
        <v>0</v>
      </c>
      <c r="H776" s="834">
        <v>1</v>
      </c>
      <c r="I776" s="835" t="s">
        <v>3372</v>
      </c>
      <c r="J776" s="836">
        <v>9.5399999999999991</v>
      </c>
      <c r="K776" s="836"/>
      <c r="L776" s="836"/>
      <c r="M776" s="836"/>
      <c r="N776" s="836"/>
      <c r="O776" s="836"/>
      <c r="P776" s="836"/>
      <c r="Q776" s="836"/>
      <c r="R776" s="837"/>
      <c r="T776" s="433">
        <v>770.89</v>
      </c>
      <c r="U776" s="433">
        <v>4009.18</v>
      </c>
      <c r="V776" s="430"/>
      <c r="AA776" s="180" t="str">
        <f>VLOOKUP(A776,[2]DG!$A:$C,3,0)</f>
        <v>Lắp cáp trong ống bảo vệ loại &lt;=10.5kg</v>
      </c>
    </row>
    <row r="777" spans="1:27" ht="20.100000000000001" hidden="1" customHeight="1">
      <c r="A777" s="873" t="s">
        <v>3693</v>
      </c>
      <c r="B777" s="860" t="s">
        <v>4398</v>
      </c>
      <c r="C777" s="429" t="s">
        <v>1395</v>
      </c>
      <c r="D777" s="420" t="s">
        <v>196</v>
      </c>
      <c r="E777" s="833">
        <v>770.89</v>
      </c>
      <c r="F777" s="833">
        <f t="shared" si="67"/>
        <v>2819586</v>
      </c>
      <c r="G777" s="833">
        <f t="shared" si="68"/>
        <v>0</v>
      </c>
      <c r="H777" s="834">
        <v>1</v>
      </c>
      <c r="I777" s="835" t="s">
        <v>3372</v>
      </c>
      <c r="J777" s="836">
        <v>11.9</v>
      </c>
      <c r="K777" s="836"/>
      <c r="L777" s="836"/>
      <c r="M777" s="836"/>
      <c r="N777" s="836"/>
      <c r="O777" s="836"/>
      <c r="P777" s="836"/>
      <c r="Q777" s="836"/>
      <c r="R777" s="837"/>
      <c r="T777" s="433">
        <v>770.89</v>
      </c>
      <c r="U777" s="433">
        <v>4663.74</v>
      </c>
      <c r="V777" s="430"/>
      <c r="AA777" s="180" t="str">
        <f>VLOOKUP(A777,[2]DG!$A:$C,3,0)</f>
        <v>Lắp cáp trong ống bảo vệ loại &lt;=12kg</v>
      </c>
    </row>
    <row r="778" spans="1:27" ht="20.100000000000001" hidden="1" customHeight="1">
      <c r="A778" s="873" t="s">
        <v>3694</v>
      </c>
      <c r="B778" s="859" t="s">
        <v>332</v>
      </c>
      <c r="C778" s="429" t="s">
        <v>1396</v>
      </c>
      <c r="D778" s="420" t="s">
        <v>196</v>
      </c>
      <c r="E778" s="833">
        <v>460.75</v>
      </c>
      <c r="F778" s="833">
        <f t="shared" si="67"/>
        <v>0</v>
      </c>
      <c r="G778" s="833">
        <f t="shared" si="68"/>
        <v>0</v>
      </c>
      <c r="H778" s="834">
        <v>1</v>
      </c>
      <c r="I778" s="835"/>
      <c r="J778" s="836"/>
      <c r="K778" s="836"/>
      <c r="L778" s="836"/>
      <c r="M778" s="836"/>
      <c r="N778" s="836"/>
      <c r="O778" s="836"/>
      <c r="P778" s="836"/>
      <c r="Q778" s="836"/>
      <c r="R778" s="837"/>
      <c r="T778" s="433">
        <v>460.75</v>
      </c>
      <c r="U778" s="433">
        <v>893.04</v>
      </c>
      <c r="V778" s="430"/>
      <c r="AA778" s="180" t="str">
        <f>VLOOKUP(A778,[2]DG!$A:$C,3,0)</f>
        <v>Lắp cáp trong ống bảo vệ trong TBA loại &lt;=1kg</v>
      </c>
    </row>
    <row r="779" spans="1:27" ht="20.100000000000001" hidden="1" customHeight="1">
      <c r="A779" s="873" t="s">
        <v>3695</v>
      </c>
      <c r="B779" s="859" t="s">
        <v>1397</v>
      </c>
      <c r="C779" s="429" t="s">
        <v>1398</v>
      </c>
      <c r="D779" s="420" t="s">
        <v>196</v>
      </c>
      <c r="E779" s="833">
        <v>460.75</v>
      </c>
      <c r="F779" s="833">
        <f t="shared" si="67"/>
        <v>0</v>
      </c>
      <c r="G779" s="833">
        <f t="shared" si="68"/>
        <v>0</v>
      </c>
      <c r="H779" s="834">
        <v>1</v>
      </c>
      <c r="I779" s="835"/>
      <c r="J779" s="836"/>
      <c r="K779" s="836"/>
      <c r="L779" s="836"/>
      <c r="M779" s="836"/>
      <c r="N779" s="836"/>
      <c r="O779" s="836"/>
      <c r="P779" s="836"/>
      <c r="Q779" s="836"/>
      <c r="R779" s="837"/>
      <c r="T779" s="433">
        <v>460.75</v>
      </c>
      <c r="U779" s="433">
        <v>1019.73</v>
      </c>
      <c r="V779" s="430"/>
      <c r="AA779" s="180" t="str">
        <f>VLOOKUP(A779,[2]DG!$A:$C,3,0)</f>
        <v>Lắp cáp trong ống bảo vệ trong TBA loại &lt;=2kg</v>
      </c>
    </row>
    <row r="780" spans="1:27" ht="20.100000000000001" hidden="1" customHeight="1">
      <c r="A780" s="873" t="s">
        <v>3696</v>
      </c>
      <c r="B780" s="859" t="s">
        <v>1399</v>
      </c>
      <c r="C780" s="429" t="s">
        <v>1400</v>
      </c>
      <c r="D780" s="420" t="s">
        <v>196</v>
      </c>
      <c r="E780" s="833">
        <v>460.75</v>
      </c>
      <c r="F780" s="833">
        <f t="shared" si="67"/>
        <v>0</v>
      </c>
      <c r="G780" s="833">
        <f t="shared" si="68"/>
        <v>0</v>
      </c>
      <c r="H780" s="834">
        <v>1</v>
      </c>
      <c r="I780" s="835"/>
      <c r="J780" s="836"/>
      <c r="K780" s="836"/>
      <c r="L780" s="836"/>
      <c r="M780" s="836"/>
      <c r="N780" s="836"/>
      <c r="O780" s="836"/>
      <c r="P780" s="836"/>
      <c r="Q780" s="836"/>
      <c r="R780" s="837"/>
      <c r="T780" s="433">
        <v>460.75</v>
      </c>
      <c r="U780" s="433">
        <v>1276.21</v>
      </c>
      <c r="V780" s="430"/>
      <c r="AA780" s="180" t="str">
        <f>VLOOKUP(A780,[2]DG!$A:$C,3,0)</f>
        <v>Lắp cáp trong ống bảo vệ trong TBA loại &lt;=3kg</v>
      </c>
    </row>
    <row r="781" spans="1:27" ht="20.100000000000001" hidden="1" customHeight="1">
      <c r="A781" s="873" t="s">
        <v>3697</v>
      </c>
      <c r="B781" s="859" t="s">
        <v>1401</v>
      </c>
      <c r="C781" s="429" t="s">
        <v>1402</v>
      </c>
      <c r="D781" s="420" t="s">
        <v>196</v>
      </c>
      <c r="E781" s="833">
        <v>546.34</v>
      </c>
      <c r="F781" s="833">
        <f t="shared" si="67"/>
        <v>0</v>
      </c>
      <c r="G781" s="833">
        <f t="shared" si="68"/>
        <v>0</v>
      </c>
      <c r="H781" s="834">
        <v>1</v>
      </c>
      <c r="I781" s="835"/>
      <c r="J781" s="836"/>
      <c r="K781" s="836"/>
      <c r="L781" s="836"/>
      <c r="M781" s="836"/>
      <c r="N781" s="836"/>
      <c r="O781" s="836"/>
      <c r="P781" s="836"/>
      <c r="Q781" s="836"/>
      <c r="R781" s="837"/>
      <c r="T781" s="433">
        <v>546.34</v>
      </c>
      <c r="U781" s="433">
        <v>1699.56</v>
      </c>
      <c r="V781" s="430"/>
      <c r="AA781" s="180" t="str">
        <f>VLOOKUP(A781,[2]DG!$A:$C,3,0)</f>
        <v>Lắp cáp trong ống bảo vệ trong TBA loại &lt;=4.5kg</v>
      </c>
    </row>
    <row r="782" spans="1:27" ht="20.100000000000001" hidden="1" customHeight="1">
      <c r="A782" s="873" t="s">
        <v>3698</v>
      </c>
      <c r="B782" s="859" t="s">
        <v>1403</v>
      </c>
      <c r="C782" s="429" t="s">
        <v>1404</v>
      </c>
      <c r="D782" s="420" t="s">
        <v>196</v>
      </c>
      <c r="E782" s="833">
        <v>546.34</v>
      </c>
      <c r="F782" s="833">
        <f t="shared" si="67"/>
        <v>0</v>
      </c>
      <c r="G782" s="833">
        <f t="shared" si="68"/>
        <v>0</v>
      </c>
      <c r="H782" s="834">
        <v>1</v>
      </c>
      <c r="I782" s="835"/>
      <c r="J782" s="836"/>
      <c r="K782" s="836"/>
      <c r="L782" s="836"/>
      <c r="M782" s="836"/>
      <c r="N782" s="836"/>
      <c r="O782" s="836"/>
      <c r="P782" s="836"/>
      <c r="Q782" s="836"/>
      <c r="R782" s="837"/>
      <c r="T782" s="433">
        <v>546.34</v>
      </c>
      <c r="U782" s="433">
        <v>2166.16</v>
      </c>
      <c r="V782" s="430"/>
      <c r="AA782" s="180" t="str">
        <f>VLOOKUP(A782,[2]DG!$A:$C,3,0)</f>
        <v>Lắp cáp trong ống bảo vệ trong TBA loại &lt;=6kg</v>
      </c>
    </row>
    <row r="783" spans="1:27" ht="20.100000000000001" hidden="1" customHeight="1">
      <c r="A783" s="873" t="s">
        <v>3699</v>
      </c>
      <c r="B783" s="859" t="s">
        <v>1405</v>
      </c>
      <c r="C783" s="429" t="s">
        <v>1406</v>
      </c>
      <c r="D783" s="420" t="s">
        <v>196</v>
      </c>
      <c r="E783" s="833">
        <v>651.28</v>
      </c>
      <c r="F783" s="833">
        <f t="shared" si="67"/>
        <v>0</v>
      </c>
      <c r="G783" s="833">
        <f t="shared" si="68"/>
        <v>0</v>
      </c>
      <c r="H783" s="834">
        <v>1</v>
      </c>
      <c r="I783" s="835"/>
      <c r="J783" s="836"/>
      <c r="K783" s="836"/>
      <c r="L783" s="836"/>
      <c r="M783" s="836"/>
      <c r="N783" s="836"/>
      <c r="O783" s="836"/>
      <c r="P783" s="836"/>
      <c r="Q783" s="836"/>
      <c r="R783" s="837"/>
      <c r="T783" s="433">
        <v>651.28</v>
      </c>
      <c r="U783" s="433">
        <v>2805.81</v>
      </c>
      <c r="V783" s="430"/>
      <c r="AA783" s="180" t="str">
        <f>VLOOKUP(A783,[2]DG!$A:$C,3,0)</f>
        <v>Lắp cáp trong ống bảo vệ trong TBA loại &lt;=7.5kg</v>
      </c>
    </row>
    <row r="784" spans="1:27" ht="20.100000000000001" hidden="1" customHeight="1">
      <c r="A784" s="873" t="s">
        <v>3700</v>
      </c>
      <c r="B784" s="859" t="s">
        <v>1407</v>
      </c>
      <c r="C784" s="429" t="s">
        <v>1408</v>
      </c>
      <c r="D784" s="420" t="s">
        <v>196</v>
      </c>
      <c r="E784" s="833">
        <v>651.28</v>
      </c>
      <c r="F784" s="833">
        <f t="shared" si="67"/>
        <v>0</v>
      </c>
      <c r="G784" s="833">
        <f t="shared" si="68"/>
        <v>0</v>
      </c>
      <c r="H784" s="834">
        <v>1</v>
      </c>
      <c r="I784" s="835"/>
      <c r="J784" s="836"/>
      <c r="K784" s="836"/>
      <c r="L784" s="836"/>
      <c r="M784" s="836"/>
      <c r="N784" s="836"/>
      <c r="O784" s="836"/>
      <c r="P784" s="836"/>
      <c r="Q784" s="836"/>
      <c r="R784" s="837"/>
      <c r="T784" s="433">
        <v>651.28</v>
      </c>
      <c r="U784" s="433">
        <v>3442.37</v>
      </c>
      <c r="V784" s="430"/>
      <c r="AA784" s="180" t="str">
        <f>VLOOKUP(A784,[2]DG!$A:$C,3,0)</f>
        <v>Lắp cáp trong ống bảo vệ trong TBA loại &lt;=9kg</v>
      </c>
    </row>
    <row r="785" spans="1:27" ht="20.100000000000001" hidden="1" customHeight="1">
      <c r="A785" s="873" t="s">
        <v>1409</v>
      </c>
      <c r="B785" s="859" t="s">
        <v>4291</v>
      </c>
      <c r="C785" s="429" t="s">
        <v>1411</v>
      </c>
      <c r="D785" s="420" t="s">
        <v>37</v>
      </c>
      <c r="E785" s="833"/>
      <c r="F785" s="833">
        <f t="shared" si="67"/>
        <v>55458.139999999992</v>
      </c>
      <c r="G785" s="833">
        <f t="shared" si="68"/>
        <v>0</v>
      </c>
      <c r="H785" s="834" t="s">
        <v>4065</v>
      </c>
      <c r="I785" s="835" t="s">
        <v>3370</v>
      </c>
      <c r="J785" s="836">
        <f>2.26/10</f>
        <v>0.22599999999999998</v>
      </c>
      <c r="K785" s="836"/>
      <c r="L785" s="836"/>
      <c r="M785" s="836"/>
      <c r="N785" s="836"/>
      <c r="O785" s="836"/>
      <c r="P785" s="836"/>
      <c r="Q785" s="836"/>
      <c r="R785" s="837"/>
      <c r="T785" s="155">
        <v>510</v>
      </c>
      <c r="U785" s="155">
        <v>7047</v>
      </c>
      <c r="V785" s="430"/>
      <c r="AA785" s="180" t="str">
        <f>VLOOKUP(A785,[2]DG!$A:$C,3,0)</f>
        <v>Lắp sứ đứng 24KV</v>
      </c>
    </row>
    <row r="786" spans="1:27" ht="20.100000000000001" customHeight="1">
      <c r="A786" s="873" t="s">
        <v>1412</v>
      </c>
      <c r="B786" s="859" t="s">
        <v>1410</v>
      </c>
      <c r="C786" s="429" t="s">
        <v>1413</v>
      </c>
      <c r="D786" s="420" t="s">
        <v>37</v>
      </c>
      <c r="E786" s="833">
        <v>510</v>
      </c>
      <c r="F786" s="833">
        <f t="shared" si="67"/>
        <v>0</v>
      </c>
      <c r="G786" s="833">
        <f t="shared" si="68"/>
        <v>0</v>
      </c>
      <c r="H786" s="834">
        <v>1</v>
      </c>
      <c r="I786" s="835"/>
      <c r="J786" s="836"/>
      <c r="K786" s="836"/>
      <c r="L786" s="836"/>
      <c r="M786" s="836"/>
      <c r="N786" s="836"/>
      <c r="O786" s="836"/>
      <c r="P786" s="836"/>
      <c r="Q786" s="836"/>
      <c r="R786" s="837"/>
      <c r="T786" s="155">
        <v>510</v>
      </c>
      <c r="U786" s="155">
        <v>7047</v>
      </c>
      <c r="V786" s="430"/>
      <c r="AA786" s="180" t="str">
        <f>VLOOKUP(A786,[2]DG!$A:$C,3,0)</f>
        <v>Tháo sứ đứng 24KV</v>
      </c>
    </row>
    <row r="787" spans="1:27" ht="20.100000000000001" hidden="1" customHeight="1">
      <c r="A787" s="873" t="s">
        <v>3701</v>
      </c>
      <c r="B787" s="859" t="s">
        <v>1414</v>
      </c>
      <c r="C787" s="429" t="s">
        <v>1415</v>
      </c>
      <c r="D787" s="420" t="s">
        <v>37</v>
      </c>
      <c r="E787" s="833">
        <v>510</v>
      </c>
      <c r="F787" s="833">
        <f t="shared" si="67"/>
        <v>0</v>
      </c>
      <c r="G787" s="833">
        <f t="shared" si="68"/>
        <v>0</v>
      </c>
      <c r="H787" s="834">
        <v>1</v>
      </c>
      <c r="I787" s="835"/>
      <c r="J787" s="836"/>
      <c r="K787" s="836"/>
      <c r="L787" s="836"/>
      <c r="M787" s="836"/>
      <c r="N787" s="836"/>
      <c r="O787" s="836"/>
      <c r="P787" s="836"/>
      <c r="Q787" s="836"/>
      <c r="R787" s="837"/>
      <c r="T787" s="155">
        <v>510</v>
      </c>
      <c r="U787" s="155">
        <v>5980.4</v>
      </c>
      <c r="V787" s="430"/>
      <c r="AA787" s="180" t="str">
        <f>VLOOKUP(A787,[2]DG!$A:$C,3,0)</f>
        <v>Lắp sứ đứng 35KV</v>
      </c>
    </row>
    <row r="788" spans="1:27" ht="20.100000000000001" hidden="1" customHeight="1">
      <c r="A788" s="873" t="s">
        <v>1416</v>
      </c>
      <c r="B788" s="859" t="s">
        <v>1417</v>
      </c>
      <c r="C788" s="429" t="s">
        <v>1418</v>
      </c>
      <c r="D788" s="420" t="s">
        <v>643</v>
      </c>
      <c r="E788" s="833">
        <v>360</v>
      </c>
      <c r="F788" s="833">
        <f t="shared" ref="F788:F877" si="73">IF(OR(I788="",J788=""),0,IF(K788*1=0,1,K788)*VLOOKUP(I788,TIENLUONG,4,0)*J788)</f>
        <v>0</v>
      </c>
      <c r="G788" s="833">
        <f t="shared" ref="G788:G877" si="74">L788*VLOOKUP($L$1,CAMAY,2,0)+M788*VLOOKUP($M$1,CAMAY,2,0)+N788*VLOOKUP($N$1,CAMAY,2,0)+O788*VLOOKUP($O$1,CAMAY,2,0)+P788*VLOOKUP($P$1,CAMAY,2,0)</f>
        <v>0</v>
      </c>
      <c r="H788" s="834">
        <v>1</v>
      </c>
      <c r="I788" s="835"/>
      <c r="J788" s="836"/>
      <c r="K788" s="836"/>
      <c r="L788" s="836"/>
      <c r="M788" s="836"/>
      <c r="N788" s="836"/>
      <c r="O788" s="836"/>
      <c r="P788" s="836"/>
      <c r="Q788" s="836"/>
      <c r="R788" s="837"/>
      <c r="T788" s="155">
        <v>360</v>
      </c>
      <c r="U788" s="155">
        <v>2925</v>
      </c>
      <c r="V788" s="430"/>
      <c r="AA788" s="180" t="str">
        <f>VLOOKUP(A788,[2]DG!$A:$C,3,0)</f>
        <v>Lắp chuỗi sứ đỡ 2 bát/chuỗi</v>
      </c>
    </row>
    <row r="789" spans="1:27" ht="20.100000000000001" hidden="1" customHeight="1">
      <c r="A789" s="873" t="s">
        <v>1419</v>
      </c>
      <c r="B789" s="859" t="s">
        <v>1420</v>
      </c>
      <c r="C789" s="429" t="s">
        <v>1421</v>
      </c>
      <c r="D789" s="420" t="s">
        <v>643</v>
      </c>
      <c r="E789" s="833">
        <v>360</v>
      </c>
      <c r="F789" s="833">
        <f t="shared" si="73"/>
        <v>0</v>
      </c>
      <c r="G789" s="833">
        <f t="shared" si="74"/>
        <v>0</v>
      </c>
      <c r="H789" s="834">
        <v>1</v>
      </c>
      <c r="I789" s="835"/>
      <c r="J789" s="836"/>
      <c r="K789" s="836"/>
      <c r="L789" s="836"/>
      <c r="M789" s="836"/>
      <c r="N789" s="836"/>
      <c r="O789" s="836"/>
      <c r="P789" s="836"/>
      <c r="Q789" s="836"/>
      <c r="R789" s="837"/>
      <c r="T789" s="155">
        <v>360</v>
      </c>
      <c r="U789" s="155">
        <v>6218</v>
      </c>
      <c r="V789" s="430"/>
      <c r="AA789" s="180" t="str">
        <f>VLOOKUP(A789,[2]DG!$A:$C,3,0)</f>
        <v>Lắp chuỗi sứ néo 2 bát/chuỗi</v>
      </c>
    </row>
    <row r="790" spans="1:27" ht="20.100000000000001" hidden="1" customHeight="1">
      <c r="A790" s="873" t="s">
        <v>3702</v>
      </c>
      <c r="B790" s="859" t="s">
        <v>4292</v>
      </c>
      <c r="C790" s="429" t="s">
        <v>1422</v>
      </c>
      <c r="D790" s="420" t="s">
        <v>643</v>
      </c>
      <c r="E790" s="833"/>
      <c r="F790" s="833">
        <f t="shared" si="73"/>
        <v>59708.88</v>
      </c>
      <c r="G790" s="833">
        <f t="shared" si="74"/>
        <v>0</v>
      </c>
      <c r="H790" s="834" t="s">
        <v>4065</v>
      </c>
      <c r="I790" s="835" t="s">
        <v>3372</v>
      </c>
      <c r="J790" s="836">
        <v>0.252</v>
      </c>
      <c r="K790" s="836"/>
      <c r="L790" s="836"/>
      <c r="M790" s="836"/>
      <c r="N790" s="836"/>
      <c r="O790" s="836"/>
      <c r="P790" s="836"/>
      <c r="Q790" s="836"/>
      <c r="R790" s="837"/>
      <c r="T790" s="155">
        <v>360</v>
      </c>
      <c r="U790" s="155">
        <v>6218</v>
      </c>
      <c r="V790" s="430"/>
      <c r="AA790" s="180" t="str">
        <f>VLOOKUP(A790,[2]DG!$A:$C,3,0)</f>
        <v>Lắp chuỗi sứ néo Polymer</v>
      </c>
    </row>
    <row r="791" spans="1:27" ht="20.100000000000001" hidden="1" customHeight="1">
      <c r="A791" s="873" t="s">
        <v>1423</v>
      </c>
      <c r="B791" s="859" t="s">
        <v>1424</v>
      </c>
      <c r="C791" s="429" t="s">
        <v>1425</v>
      </c>
      <c r="D791" s="420" t="s">
        <v>643</v>
      </c>
      <c r="E791" s="833">
        <v>570</v>
      </c>
      <c r="F791" s="833">
        <f t="shared" si="73"/>
        <v>0</v>
      </c>
      <c r="G791" s="833">
        <f t="shared" si="74"/>
        <v>0</v>
      </c>
      <c r="H791" s="834">
        <v>1</v>
      </c>
      <c r="I791" s="835"/>
      <c r="J791" s="836"/>
      <c r="K791" s="836"/>
      <c r="L791" s="836"/>
      <c r="M791" s="836"/>
      <c r="N791" s="836"/>
      <c r="O791" s="836"/>
      <c r="P791" s="836"/>
      <c r="Q791" s="836"/>
      <c r="R791" s="837"/>
      <c r="T791" s="155">
        <v>570</v>
      </c>
      <c r="U791" s="155">
        <v>14728</v>
      </c>
      <c r="V791" s="430"/>
      <c r="AA791" s="180" t="str">
        <f>VLOOKUP(A791,[2]DG!$A:$C,3,0)</f>
        <v>Lắp chuỗi sứ néo 3 bát/chuỗi</v>
      </c>
    </row>
    <row r="792" spans="1:27" ht="20.100000000000001" hidden="1" customHeight="1">
      <c r="A792" s="873" t="s">
        <v>1426</v>
      </c>
      <c r="B792" s="859" t="s">
        <v>4293</v>
      </c>
      <c r="C792" s="429" t="s">
        <v>1427</v>
      </c>
      <c r="D792" s="420" t="s">
        <v>37</v>
      </c>
      <c r="E792" s="833"/>
      <c r="F792" s="833">
        <f t="shared" si="73"/>
        <v>14723.4</v>
      </c>
      <c r="G792" s="833">
        <f t="shared" si="74"/>
        <v>0</v>
      </c>
      <c r="H792" s="834">
        <v>1</v>
      </c>
      <c r="I792" s="835" t="s">
        <v>3370</v>
      </c>
      <c r="J792" s="836">
        <v>0.06</v>
      </c>
      <c r="K792" s="836"/>
      <c r="L792" s="836"/>
      <c r="M792" s="836"/>
      <c r="N792" s="836"/>
      <c r="O792" s="836"/>
      <c r="P792" s="836"/>
      <c r="Q792" s="836"/>
      <c r="R792" s="837"/>
      <c r="T792" s="155">
        <v>115</v>
      </c>
      <c r="U792" s="155">
        <v>2074.5</v>
      </c>
      <c r="V792" s="430"/>
      <c r="AA792" s="180" t="str">
        <f>VLOOKUP(A792,[2]DG!$A:$C,3,0)</f>
        <v>Lắp rack sứ + sứ ống chỉ</v>
      </c>
    </row>
    <row r="793" spans="1:27" ht="20.100000000000001" hidden="1" customHeight="1">
      <c r="A793" s="873" t="s">
        <v>1428</v>
      </c>
      <c r="B793" s="859" t="s">
        <v>1429</v>
      </c>
      <c r="C793" s="429" t="s">
        <v>1430</v>
      </c>
      <c r="D793" s="420" t="s">
        <v>37</v>
      </c>
      <c r="E793" s="833">
        <v>1097.5</v>
      </c>
      <c r="F793" s="833">
        <f t="shared" si="73"/>
        <v>0</v>
      </c>
      <c r="G793" s="833">
        <f t="shared" si="74"/>
        <v>0</v>
      </c>
      <c r="H793" s="834">
        <v>1</v>
      </c>
      <c r="I793" s="835"/>
      <c r="J793" s="836"/>
      <c r="K793" s="836"/>
      <c r="L793" s="836"/>
      <c r="M793" s="836"/>
      <c r="N793" s="836"/>
      <c r="O793" s="836"/>
      <c r="P793" s="836"/>
      <c r="Q793" s="836"/>
      <c r="R793" s="837"/>
      <c r="T793" s="155">
        <v>1097.5</v>
      </c>
      <c r="U793" s="155">
        <v>5808.7</v>
      </c>
      <c r="V793" s="430"/>
      <c r="AA793" s="180" t="str">
        <f>VLOOKUP(A793,[2]DG!$A:$C,3,0)</f>
        <v>Lắp rack 2 sứ + sứ ống chỉ</v>
      </c>
    </row>
    <row r="794" spans="1:27" ht="20.100000000000001" hidden="1" customHeight="1">
      <c r="A794" s="873" t="s">
        <v>1431</v>
      </c>
      <c r="B794" s="859" t="s">
        <v>1432</v>
      </c>
      <c r="C794" s="429" t="s">
        <v>1433</v>
      </c>
      <c r="D794" s="420" t="s">
        <v>37</v>
      </c>
      <c r="E794" s="833">
        <v>1211.3</v>
      </c>
      <c r="F794" s="833">
        <f t="shared" si="73"/>
        <v>0</v>
      </c>
      <c r="G794" s="833">
        <f t="shared" si="74"/>
        <v>0</v>
      </c>
      <c r="H794" s="834">
        <v>1</v>
      </c>
      <c r="I794" s="835"/>
      <c r="J794" s="836"/>
      <c r="K794" s="836"/>
      <c r="L794" s="836"/>
      <c r="M794" s="836"/>
      <c r="N794" s="836"/>
      <c r="O794" s="836"/>
      <c r="P794" s="836"/>
      <c r="Q794" s="836"/>
      <c r="R794" s="837"/>
      <c r="T794" s="155">
        <v>1211.3</v>
      </c>
      <c r="U794" s="155">
        <v>8090.6</v>
      </c>
      <c r="V794" s="430"/>
      <c r="AA794" s="180" t="str">
        <f>VLOOKUP(A794,[2]DG!$A:$C,3,0)</f>
        <v>Lắp rack 3 sứ + sứ ống chỉ</v>
      </c>
    </row>
    <row r="795" spans="1:27" ht="20.100000000000001" hidden="1" customHeight="1">
      <c r="A795" s="873" t="s">
        <v>1434</v>
      </c>
      <c r="B795" s="859" t="s">
        <v>1435</v>
      </c>
      <c r="C795" s="429" t="s">
        <v>1436</v>
      </c>
      <c r="D795" s="420" t="s">
        <v>37</v>
      </c>
      <c r="E795" s="833">
        <v>2122.5</v>
      </c>
      <c r="F795" s="833">
        <f t="shared" si="73"/>
        <v>0</v>
      </c>
      <c r="G795" s="833">
        <f t="shared" si="74"/>
        <v>0</v>
      </c>
      <c r="H795" s="834">
        <v>1</v>
      </c>
      <c r="I795" s="835"/>
      <c r="J795" s="836"/>
      <c r="K795" s="836"/>
      <c r="L795" s="836"/>
      <c r="M795" s="836"/>
      <c r="N795" s="836"/>
      <c r="O795" s="836"/>
      <c r="P795" s="836"/>
      <c r="Q795" s="836"/>
      <c r="R795" s="837"/>
      <c r="T795" s="155">
        <v>2122.5</v>
      </c>
      <c r="U795" s="155">
        <v>11409.9</v>
      </c>
      <c r="V795" s="430"/>
      <c r="AA795" s="180" t="str">
        <f>VLOOKUP(A795,[2]DG!$A:$C,3,0)</f>
        <v>Lắp rack 4 sứ + sứ ống chỉ</v>
      </c>
    </row>
    <row r="796" spans="1:27" ht="20.100000000000001" hidden="1" customHeight="1">
      <c r="A796" s="873" t="s">
        <v>1437</v>
      </c>
      <c r="B796" s="860" t="s">
        <v>1438</v>
      </c>
      <c r="C796" s="429" t="s">
        <v>1439</v>
      </c>
      <c r="D796" s="420" t="s">
        <v>400</v>
      </c>
      <c r="E796" s="833">
        <v>327349</v>
      </c>
      <c r="F796" s="833">
        <f t="shared" si="73"/>
        <v>0</v>
      </c>
      <c r="G796" s="833">
        <f t="shared" si="74"/>
        <v>0</v>
      </c>
      <c r="H796" s="834">
        <v>1</v>
      </c>
      <c r="I796" s="835"/>
      <c r="J796" s="836"/>
      <c r="K796" s="836"/>
      <c r="L796" s="836"/>
      <c r="M796" s="836"/>
      <c r="N796" s="836"/>
      <c r="O796" s="836"/>
      <c r="P796" s="836"/>
      <c r="Q796" s="836"/>
      <c r="R796" s="837"/>
      <c r="T796" s="155">
        <v>327349</v>
      </c>
      <c r="U796" s="155">
        <v>404530</v>
      </c>
      <c r="V796" s="155">
        <v>1411705</v>
      </c>
      <c r="AA796" s="180" t="str">
        <f>VLOOKUP(A796,[2]DG!$A:$C,3,0)</f>
        <v xml:space="preserve">Dựng trụ đỡ đường dây 3 pha </v>
      </c>
    </row>
    <row r="797" spans="1:27" ht="20.100000000000001" hidden="1" customHeight="1">
      <c r="A797" s="873" t="s">
        <v>1440</v>
      </c>
      <c r="B797" s="860" t="s">
        <v>1441</v>
      </c>
      <c r="C797" s="429" t="s">
        <v>1442</v>
      </c>
      <c r="D797" s="420" t="s">
        <v>37</v>
      </c>
      <c r="E797" s="833">
        <v>51836</v>
      </c>
      <c r="F797" s="833">
        <f t="shared" si="73"/>
        <v>0</v>
      </c>
      <c r="G797" s="833">
        <f t="shared" si="74"/>
        <v>0</v>
      </c>
      <c r="H797" s="834">
        <v>1</v>
      </c>
      <c r="I797" s="835"/>
      <c r="J797" s="836"/>
      <c r="K797" s="836"/>
      <c r="L797" s="836"/>
      <c r="M797" s="836"/>
      <c r="N797" s="836"/>
      <c r="O797" s="836"/>
      <c r="P797" s="836"/>
      <c r="Q797" s="836"/>
      <c r="R797" s="837"/>
      <c r="T797" s="155">
        <v>51836</v>
      </c>
      <c r="U797" s="155">
        <v>62208.666666666664</v>
      </c>
      <c r="V797" s="155">
        <v>202860</v>
      </c>
      <c r="AA797" s="180" t="str">
        <f>VLOOKUP(A797,[2]DG!$A:$C,3,0)</f>
        <v>Lắp sứ đứng đường dây 3 pha xà đối xứng</v>
      </c>
    </row>
    <row r="798" spans="1:27" ht="20.100000000000001" hidden="1" customHeight="1">
      <c r="A798" s="873" t="s">
        <v>3703</v>
      </c>
      <c r="B798" s="860" t="s">
        <v>1443</v>
      </c>
      <c r="C798" s="429" t="s">
        <v>1444</v>
      </c>
      <c r="D798" s="420" t="s">
        <v>37</v>
      </c>
      <c r="E798" s="833">
        <v>162675</v>
      </c>
      <c r="F798" s="833">
        <f t="shared" si="73"/>
        <v>0</v>
      </c>
      <c r="G798" s="833">
        <f t="shared" si="74"/>
        <v>0</v>
      </c>
      <c r="H798" s="834">
        <v>1</v>
      </c>
      <c r="I798" s="835"/>
      <c r="J798" s="836"/>
      <c r="K798" s="836"/>
      <c r="L798" s="836"/>
      <c r="M798" s="836"/>
      <c r="N798" s="836"/>
      <c r="O798" s="836"/>
      <c r="P798" s="836"/>
      <c r="Q798" s="836"/>
      <c r="R798" s="837"/>
      <c r="T798" s="155">
        <v>162675</v>
      </c>
      <c r="U798" s="155">
        <v>160475</v>
      </c>
      <c r="V798" s="155">
        <v>551080</v>
      </c>
      <c r="AA798" s="180" t="str">
        <f>VLOOKUP(A798,[2]DG!$A:$C,3,0)</f>
        <v>Lắp chuỗi sứ néo Polymer đường dây 3 pha</v>
      </c>
    </row>
    <row r="799" spans="1:27" ht="20.100000000000001" hidden="1" customHeight="1">
      <c r="A799" s="873" t="s">
        <v>1445</v>
      </c>
      <c r="B799" s="860" t="s">
        <v>1446</v>
      </c>
      <c r="C799" s="429" t="s">
        <v>1447</v>
      </c>
      <c r="D799" s="420" t="s">
        <v>1448</v>
      </c>
      <c r="E799" s="833">
        <v>168557</v>
      </c>
      <c r="F799" s="833">
        <f t="shared" si="73"/>
        <v>0</v>
      </c>
      <c r="G799" s="833">
        <f t="shared" si="74"/>
        <v>0</v>
      </c>
      <c r="H799" s="834">
        <v>1</v>
      </c>
      <c r="I799" s="835"/>
      <c r="J799" s="836"/>
      <c r="K799" s="836"/>
      <c r="L799" s="836"/>
      <c r="M799" s="836"/>
      <c r="N799" s="836"/>
      <c r="O799" s="836"/>
      <c r="P799" s="836"/>
      <c r="Q799" s="836"/>
      <c r="R799" s="837"/>
      <c r="T799" s="155">
        <v>168557</v>
      </c>
      <c r="U799" s="155">
        <v>166418</v>
      </c>
      <c r="V799" s="155">
        <v>539120</v>
      </c>
      <c r="AA799" s="180" t="str">
        <f>VLOOKUP(A799,[2]DG!$A:$C,3,0)</f>
        <v>Đấu cò lèo đường dây 3 pha</v>
      </c>
    </row>
    <row r="800" spans="1:27" ht="20.100000000000001" hidden="1" customHeight="1">
      <c r="A800" s="873" t="s">
        <v>1449</v>
      </c>
      <c r="B800" s="860" t="s">
        <v>1450</v>
      </c>
      <c r="C800" s="429" t="s">
        <v>1451</v>
      </c>
      <c r="D800" s="420" t="s">
        <v>37</v>
      </c>
      <c r="E800" s="833">
        <v>286522</v>
      </c>
      <c r="F800" s="833">
        <f t="shared" si="73"/>
        <v>0</v>
      </c>
      <c r="G800" s="833">
        <f t="shared" si="74"/>
        <v>0</v>
      </c>
      <c r="H800" s="834">
        <v>1</v>
      </c>
      <c r="I800" s="835"/>
      <c r="J800" s="836"/>
      <c r="K800" s="836"/>
      <c r="L800" s="836"/>
      <c r="M800" s="836"/>
      <c r="N800" s="836"/>
      <c r="O800" s="836"/>
      <c r="P800" s="836"/>
      <c r="Q800" s="836"/>
      <c r="R800" s="837"/>
      <c r="T800" s="155">
        <v>286522</v>
      </c>
      <c r="U800" s="155">
        <v>314263</v>
      </c>
      <c r="V800" s="155">
        <v>982330</v>
      </c>
      <c r="AA800" s="180" t="str">
        <f>VLOOKUP(A800,[2]DG!$A:$C,3,0)</f>
        <v>Lắp xà</v>
      </c>
    </row>
    <row r="801" spans="1:27" ht="20.100000000000001" hidden="1" customHeight="1">
      <c r="A801" s="873" t="s">
        <v>1452</v>
      </c>
      <c r="B801" s="860" t="s">
        <v>1453</v>
      </c>
      <c r="C801" s="429" t="s">
        <v>1454</v>
      </c>
      <c r="D801" s="420" t="s">
        <v>37</v>
      </c>
      <c r="E801" s="833">
        <v>52764</v>
      </c>
      <c r="F801" s="833">
        <f t="shared" si="73"/>
        <v>0</v>
      </c>
      <c r="G801" s="833">
        <f t="shared" si="74"/>
        <v>0</v>
      </c>
      <c r="H801" s="834">
        <v>1</v>
      </c>
      <c r="I801" s="835"/>
      <c r="J801" s="836"/>
      <c r="K801" s="836"/>
      <c r="L801" s="836"/>
      <c r="M801" s="836"/>
      <c r="N801" s="836"/>
      <c r="O801" s="836"/>
      <c r="P801" s="836"/>
      <c r="Q801" s="836"/>
      <c r="R801" s="837"/>
      <c r="T801" s="155">
        <v>52764</v>
      </c>
      <c r="U801" s="155">
        <v>64586.333333333336</v>
      </c>
      <c r="V801" s="155">
        <v>212443.33333333334</v>
      </c>
      <c r="AA801" s="180" t="str">
        <f>VLOOKUP(A801,[2]DG!$A:$C,3,0)</f>
        <v>Lắp sứ đứng đường dây 3 pha xà vectical</v>
      </c>
    </row>
    <row r="802" spans="1:27" ht="20.100000000000001" hidden="1" customHeight="1">
      <c r="A802" s="873" t="s">
        <v>1455</v>
      </c>
      <c r="B802" s="860" t="s">
        <v>1456</v>
      </c>
      <c r="C802" s="429" t="s">
        <v>1457</v>
      </c>
      <c r="D802" s="420" t="s">
        <v>37</v>
      </c>
      <c r="E802" s="833">
        <v>154961</v>
      </c>
      <c r="F802" s="833">
        <f t="shared" si="73"/>
        <v>0</v>
      </c>
      <c r="G802" s="833">
        <f t="shared" si="74"/>
        <v>0</v>
      </c>
      <c r="H802" s="834">
        <v>1</v>
      </c>
      <c r="I802" s="835"/>
      <c r="J802" s="836"/>
      <c r="K802" s="836"/>
      <c r="L802" s="836"/>
      <c r="M802" s="836"/>
      <c r="N802" s="836"/>
      <c r="O802" s="836"/>
      <c r="P802" s="836"/>
      <c r="Q802" s="836"/>
      <c r="R802" s="837"/>
      <c r="T802" s="155">
        <v>154961</v>
      </c>
      <c r="U802" s="155">
        <v>157503</v>
      </c>
      <c r="V802" s="430">
        <v>527045</v>
      </c>
      <c r="AA802" s="180" t="str">
        <f>VLOOKUP(A802,[2]DG!$A:$C,3,0)</f>
        <v>Lắp FCO, LBFCO đường dây 3 pha</v>
      </c>
    </row>
    <row r="803" spans="1:27" ht="20.100000000000001" hidden="1" customHeight="1">
      <c r="A803" s="873" t="s">
        <v>1458</v>
      </c>
      <c r="B803" s="860" t="s">
        <v>1456</v>
      </c>
      <c r="C803" s="429" t="s">
        <v>1459</v>
      </c>
      <c r="D803" s="420" t="s">
        <v>9</v>
      </c>
      <c r="E803" s="833">
        <v>154961</v>
      </c>
      <c r="F803" s="833">
        <f t="shared" si="73"/>
        <v>0</v>
      </c>
      <c r="G803" s="833">
        <f t="shared" si="74"/>
        <v>0</v>
      </c>
      <c r="H803" s="834">
        <v>1</v>
      </c>
      <c r="I803" s="835"/>
      <c r="J803" s="836"/>
      <c r="K803" s="836"/>
      <c r="L803" s="836"/>
      <c r="M803" s="836"/>
      <c r="N803" s="836"/>
      <c r="O803" s="836"/>
      <c r="P803" s="836"/>
      <c r="Q803" s="836"/>
      <c r="R803" s="837"/>
      <c r="T803" s="155">
        <v>154961</v>
      </c>
      <c r="U803" s="155">
        <v>157503</v>
      </c>
      <c r="V803" s="430">
        <v>527045</v>
      </c>
      <c r="AA803" s="180" t="str">
        <f>VLOOKUP(A803,[2]DG!$A:$C,3,0)</f>
        <v>Lắp LA</v>
      </c>
    </row>
    <row r="804" spans="1:27" ht="20.100000000000001" hidden="1" customHeight="1">
      <c r="A804" s="873" t="s">
        <v>1460</v>
      </c>
      <c r="B804" s="859" t="s">
        <v>4308</v>
      </c>
      <c r="C804" s="429" t="s">
        <v>1461</v>
      </c>
      <c r="D804" s="420" t="s">
        <v>9</v>
      </c>
      <c r="E804" s="833">
        <v>7500</v>
      </c>
      <c r="F804" s="833">
        <f t="shared" si="73"/>
        <v>26992.9</v>
      </c>
      <c r="G804" s="833">
        <f t="shared" si="74"/>
        <v>0</v>
      </c>
      <c r="H804" s="834" t="s">
        <v>4065</v>
      </c>
      <c r="I804" s="835" t="s">
        <v>3370</v>
      </c>
      <c r="J804" s="836">
        <v>0.11</v>
      </c>
      <c r="K804" s="836"/>
      <c r="L804" s="836"/>
      <c r="M804" s="836"/>
      <c r="N804" s="836"/>
      <c r="O804" s="836"/>
      <c r="P804" s="836"/>
      <c r="Q804" s="836"/>
      <c r="R804" s="837"/>
      <c r="T804" s="155"/>
      <c r="U804" s="155">
        <v>6546</v>
      </c>
      <c r="V804" s="430"/>
      <c r="AA804" s="180" t="str">
        <f>VLOOKUP(A804,[2]DG!$A:$C,3,0)</f>
        <v>Sơn biển số- bảng nguy hiểm</v>
      </c>
    </row>
    <row r="805" spans="1:27" ht="20.100000000000001" hidden="1" customHeight="1">
      <c r="A805" s="873" t="s">
        <v>3704</v>
      </c>
      <c r="B805" s="859" t="s">
        <v>4294</v>
      </c>
      <c r="C805" s="429" t="s">
        <v>1462</v>
      </c>
      <c r="D805" s="364" t="s">
        <v>774</v>
      </c>
      <c r="E805" s="833">
        <v>0</v>
      </c>
      <c r="F805" s="833">
        <f t="shared" si="73"/>
        <v>11847</v>
      </c>
      <c r="G805" s="833">
        <f t="shared" si="74"/>
        <v>0</v>
      </c>
      <c r="H805" s="834" t="s">
        <v>4065</v>
      </c>
      <c r="I805" s="835" t="s">
        <v>3372</v>
      </c>
      <c r="J805" s="836">
        <v>0.05</v>
      </c>
      <c r="K805" s="836"/>
      <c r="L805" s="836"/>
      <c r="M805" s="836"/>
      <c r="N805" s="836"/>
      <c r="O805" s="836"/>
      <c r="P805" s="836"/>
      <c r="Q805" s="836"/>
      <c r="R805" s="837"/>
      <c r="T805" s="155">
        <v>0</v>
      </c>
      <c r="U805" s="155">
        <v>5989</v>
      </c>
      <c r="V805" s="430">
        <v>0</v>
      </c>
      <c r="AA805" s="180" t="str">
        <f>VLOOKUP(A805,[2]DG!$A:$C,3,0)</f>
        <v>Lắp cáp đồng xuống thiết bị D ≤ 95mm2</v>
      </c>
    </row>
    <row r="806" spans="1:27" ht="20.100000000000001" hidden="1" customHeight="1">
      <c r="A806" s="873" t="s">
        <v>3705</v>
      </c>
      <c r="B806" s="859" t="s">
        <v>4295</v>
      </c>
      <c r="C806" s="429" t="s">
        <v>1463</v>
      </c>
      <c r="D806" s="364" t="s">
        <v>774</v>
      </c>
      <c r="E806" s="833">
        <v>0</v>
      </c>
      <c r="F806" s="833">
        <f t="shared" si="73"/>
        <v>28432.799999999999</v>
      </c>
      <c r="G806" s="833">
        <f t="shared" si="74"/>
        <v>0</v>
      </c>
      <c r="H806" s="834" t="s">
        <v>4065</v>
      </c>
      <c r="I806" s="835" t="s">
        <v>3372</v>
      </c>
      <c r="J806" s="836">
        <v>0.12</v>
      </c>
      <c r="K806" s="836"/>
      <c r="L806" s="836"/>
      <c r="M806" s="836"/>
      <c r="N806" s="836"/>
      <c r="O806" s="836"/>
      <c r="P806" s="836"/>
      <c r="Q806" s="836"/>
      <c r="R806" s="837"/>
      <c r="T806" s="155"/>
      <c r="U806" s="155">
        <v>4944</v>
      </c>
      <c r="V806" s="430"/>
      <c r="AA806" s="180" t="str">
        <f>VLOOKUP(A806,[2]DG!$A:$C,3,0)</f>
        <v>Lắp cáp đồng xuống thiết bị D ≤ 150mm2</v>
      </c>
    </row>
    <row r="807" spans="1:27" ht="20.100000000000001" hidden="1" customHeight="1">
      <c r="A807" s="873" t="s">
        <v>3706</v>
      </c>
      <c r="B807" s="859" t="s">
        <v>4092</v>
      </c>
      <c r="C807" s="429" t="s">
        <v>4088</v>
      </c>
      <c r="D807" s="364" t="s">
        <v>774</v>
      </c>
      <c r="E807" s="833"/>
      <c r="F807" s="833">
        <f t="shared" si="73"/>
        <v>40279.800000000003</v>
      </c>
      <c r="G807" s="833">
        <f t="shared" si="74"/>
        <v>0</v>
      </c>
      <c r="H807" s="834">
        <v>1</v>
      </c>
      <c r="I807" s="835" t="s">
        <v>3372</v>
      </c>
      <c r="J807" s="836">
        <v>0.17</v>
      </c>
      <c r="K807" s="836"/>
      <c r="L807" s="836"/>
      <c r="M807" s="836"/>
      <c r="N807" s="836"/>
      <c r="O807" s="836"/>
      <c r="P807" s="836"/>
      <c r="Q807" s="836"/>
      <c r="R807" s="837"/>
      <c r="T807" s="155"/>
      <c r="U807" s="155">
        <v>6180</v>
      </c>
      <c r="V807" s="430"/>
      <c r="AA807" s="180" t="str">
        <f>VLOOKUP(A807,[2]DG!$A:$C,3,0)</f>
        <v>Lắp cáp đồng xuống thiết bị D &gt; 150mm2</v>
      </c>
    </row>
    <row r="808" spans="1:27" ht="20.100000000000001" hidden="1" customHeight="1">
      <c r="A808" s="873" t="s">
        <v>4089</v>
      </c>
      <c r="B808" s="859" t="s">
        <v>4093</v>
      </c>
      <c r="C808" s="429" t="s">
        <v>4303</v>
      </c>
      <c r="D808" s="364" t="s">
        <v>774</v>
      </c>
      <c r="E808" s="833">
        <v>0</v>
      </c>
      <c r="F808" s="833">
        <f t="shared" ref="F808:F810" si="75">IF(OR(I808="",J808=""),0,IF(K808*1=0,1,K808)*VLOOKUP(I808,TIENLUONG,4,0)*J808)</f>
        <v>71082</v>
      </c>
      <c r="G808" s="833">
        <f t="shared" ref="G808:G810" si="76">L808*VLOOKUP($L$1,CAMAY,2,0)+M808*VLOOKUP($M$1,CAMAY,2,0)+N808*VLOOKUP($N$1,CAMAY,2,0)+O808*VLOOKUP($O$1,CAMAY,2,0)+P808*VLOOKUP($P$1,CAMAY,2,0)</f>
        <v>0</v>
      </c>
      <c r="H808" s="834">
        <v>42312</v>
      </c>
      <c r="I808" s="835" t="s">
        <v>3372</v>
      </c>
      <c r="J808" s="836">
        <v>0.3</v>
      </c>
      <c r="K808" s="836"/>
      <c r="L808" s="836"/>
      <c r="M808" s="836"/>
      <c r="N808" s="836"/>
      <c r="O808" s="836"/>
      <c r="P808" s="836"/>
      <c r="Q808" s="836"/>
      <c r="R808" s="837"/>
      <c r="T808" s="155">
        <v>0</v>
      </c>
      <c r="U808" s="155">
        <v>5989</v>
      </c>
      <c r="V808" s="430">
        <v>0</v>
      </c>
      <c r="AA808" s="180" t="str">
        <f>VLOOKUP(A808,[2]DG!$A:$C,3,0)</f>
        <v>Lắp cáp đồng xuống thiết bị tiết diện ≤ 400mm2</v>
      </c>
    </row>
    <row r="809" spans="1:27" ht="20.100000000000001" customHeight="1">
      <c r="A809" s="873" t="s">
        <v>4090</v>
      </c>
      <c r="B809" s="859" t="s">
        <v>4094</v>
      </c>
      <c r="C809" s="429" t="s">
        <v>4304</v>
      </c>
      <c r="D809" s="364" t="s">
        <v>774</v>
      </c>
      <c r="E809" s="833"/>
      <c r="F809" s="833">
        <f t="shared" si="75"/>
        <v>120839.40000000001</v>
      </c>
      <c r="G809" s="833">
        <f t="shared" si="76"/>
        <v>0</v>
      </c>
      <c r="H809" s="834">
        <v>1</v>
      </c>
      <c r="I809" s="835" t="s">
        <v>3372</v>
      </c>
      <c r="J809" s="836">
        <v>0.51</v>
      </c>
      <c r="K809" s="836"/>
      <c r="L809" s="836"/>
      <c r="M809" s="836"/>
      <c r="N809" s="836"/>
      <c r="O809" s="836"/>
      <c r="P809" s="836"/>
      <c r="Q809" s="836"/>
      <c r="R809" s="837"/>
      <c r="T809" s="155"/>
      <c r="U809" s="155">
        <v>4944</v>
      </c>
      <c r="V809" s="430"/>
      <c r="AA809" s="180" t="str">
        <f>VLOOKUP(A809,[2]DG!$A:$C,3,0)</f>
        <v>Lắp cáp đồng xuống thiết bị D ≤ 800mm2</v>
      </c>
    </row>
    <row r="810" spans="1:27" ht="20.100000000000001" customHeight="1">
      <c r="A810" s="873" t="s">
        <v>4091</v>
      </c>
      <c r="B810" s="859" t="s">
        <v>4095</v>
      </c>
      <c r="C810" s="429" t="s">
        <v>4305</v>
      </c>
      <c r="D810" s="364" t="s">
        <v>774</v>
      </c>
      <c r="E810" s="833"/>
      <c r="F810" s="833">
        <f t="shared" si="75"/>
        <v>139794.6</v>
      </c>
      <c r="G810" s="833">
        <f t="shared" si="76"/>
        <v>0</v>
      </c>
      <c r="H810" s="834">
        <v>1</v>
      </c>
      <c r="I810" s="835" t="s">
        <v>3372</v>
      </c>
      <c r="J810" s="836">
        <v>0.59</v>
      </c>
      <c r="K810" s="836"/>
      <c r="L810" s="836"/>
      <c r="M810" s="836"/>
      <c r="N810" s="836"/>
      <c r="O810" s="836"/>
      <c r="P810" s="836"/>
      <c r="Q810" s="836"/>
      <c r="R810" s="837"/>
      <c r="T810" s="155"/>
      <c r="U810" s="155">
        <v>6180</v>
      </c>
      <c r="V810" s="430"/>
      <c r="AA810" s="180" t="str">
        <f>VLOOKUP(A810,[2]DG!$A:$C,3,0)</f>
        <v>Lắp cáp đồng xuống thiết bị D &gt; 800mm2</v>
      </c>
    </row>
    <row r="811" spans="1:27" ht="20.100000000000001" hidden="1" customHeight="1">
      <c r="A811" s="873" t="s">
        <v>1464</v>
      </c>
      <c r="B811" s="859" t="s">
        <v>1465</v>
      </c>
      <c r="C811" s="429" t="s">
        <v>1466</v>
      </c>
      <c r="D811" s="420" t="s">
        <v>9</v>
      </c>
      <c r="E811" s="833">
        <v>23723</v>
      </c>
      <c r="F811" s="833">
        <f t="shared" si="73"/>
        <v>0</v>
      </c>
      <c r="G811" s="833">
        <f t="shared" si="74"/>
        <v>0</v>
      </c>
      <c r="H811" s="834">
        <v>1</v>
      </c>
      <c r="I811" s="835"/>
      <c r="J811" s="836"/>
      <c r="K811" s="836"/>
      <c r="L811" s="836"/>
      <c r="M811" s="836"/>
      <c r="N811" s="836"/>
      <c r="O811" s="836"/>
      <c r="P811" s="836"/>
      <c r="Q811" s="836"/>
      <c r="R811" s="837"/>
      <c r="T811" s="155">
        <v>23723</v>
      </c>
      <c r="U811" s="155">
        <v>55622</v>
      </c>
      <c r="V811" s="430"/>
      <c r="AA811" s="180" t="str">
        <f>VLOOKUP(A811,[2]DG!$A:$C,3,0)</f>
        <v>Lắp FCO 24KV</v>
      </c>
    </row>
    <row r="812" spans="1:27" ht="20.100000000000001" hidden="1" customHeight="1">
      <c r="A812" s="873" t="s">
        <v>1467</v>
      </c>
      <c r="B812" s="859" t="s">
        <v>1465</v>
      </c>
      <c r="C812" s="429" t="s">
        <v>1468</v>
      </c>
      <c r="D812" s="420" t="s">
        <v>9</v>
      </c>
      <c r="E812" s="833">
        <v>23723</v>
      </c>
      <c r="F812" s="833">
        <f t="shared" si="73"/>
        <v>0</v>
      </c>
      <c r="G812" s="833">
        <f t="shared" si="74"/>
        <v>0</v>
      </c>
      <c r="H812" s="834">
        <v>1</v>
      </c>
      <c r="I812" s="835"/>
      <c r="J812" s="836"/>
      <c r="K812" s="836"/>
      <c r="L812" s="836"/>
      <c r="M812" s="836"/>
      <c r="N812" s="836"/>
      <c r="O812" s="836"/>
      <c r="P812" s="836"/>
      <c r="Q812" s="836"/>
      <c r="R812" s="837"/>
      <c r="T812" s="155">
        <v>23723</v>
      </c>
      <c r="U812" s="155">
        <v>55622</v>
      </c>
      <c r="V812" s="430"/>
      <c r="AA812" s="180" t="str">
        <f>VLOOKUP(A812,[2]DG!$A:$C,3,0)</f>
        <v>Lắp LBFCO 24KV</v>
      </c>
    </row>
    <row r="813" spans="1:27" ht="20.100000000000001" hidden="1" customHeight="1">
      <c r="A813" s="873" t="s">
        <v>1469</v>
      </c>
      <c r="B813" s="859" t="s">
        <v>699</v>
      </c>
      <c r="C813" s="429" t="s">
        <v>1470</v>
      </c>
      <c r="D813" s="420" t="s">
        <v>37</v>
      </c>
      <c r="E813" s="833"/>
      <c r="F813" s="833">
        <f t="shared" si="73"/>
        <v>0</v>
      </c>
      <c r="G813" s="833">
        <f t="shared" si="74"/>
        <v>0</v>
      </c>
      <c r="H813" s="834">
        <v>1</v>
      </c>
      <c r="I813" s="835"/>
      <c r="J813" s="836"/>
      <c r="K813" s="836"/>
      <c r="L813" s="836"/>
      <c r="M813" s="836"/>
      <c r="N813" s="836"/>
      <c r="O813" s="836"/>
      <c r="P813" s="836"/>
      <c r="Q813" s="836"/>
      <c r="R813" s="837"/>
      <c r="T813" s="155"/>
      <c r="U813" s="155">
        <v>11455</v>
      </c>
      <c r="V813" s="430"/>
      <c r="AA813" s="180" t="str">
        <f>VLOOKUP(A813,[2]DG!$A:$C,3,0)</f>
        <v>Lắp giá đỡ FCO</v>
      </c>
    </row>
    <row r="814" spans="1:27" ht="20.100000000000001" hidden="1" customHeight="1">
      <c r="A814" s="873" t="s">
        <v>1471</v>
      </c>
      <c r="B814" s="859" t="s">
        <v>1472</v>
      </c>
      <c r="C814" s="436" t="s">
        <v>1473</v>
      </c>
      <c r="D814" s="364" t="s">
        <v>481</v>
      </c>
      <c r="E814" s="833"/>
      <c r="F814" s="833">
        <f t="shared" si="73"/>
        <v>0</v>
      </c>
      <c r="G814" s="833">
        <f t="shared" si="74"/>
        <v>0</v>
      </c>
      <c r="H814" s="834">
        <v>1</v>
      </c>
      <c r="I814" s="835"/>
      <c r="J814" s="836"/>
      <c r="K814" s="836"/>
      <c r="L814" s="836"/>
      <c r="M814" s="836"/>
      <c r="N814" s="836"/>
      <c r="O814" s="836"/>
      <c r="P814" s="836"/>
      <c r="Q814" s="836"/>
      <c r="R814" s="837"/>
      <c r="T814" s="155"/>
      <c r="U814" s="155">
        <v>230</v>
      </c>
      <c r="V814" s="430"/>
      <c r="AA814" s="180" t="str">
        <f>VLOOKUP(A814,[2]DG!$A:$C,3,0)</f>
        <v>Phát tuyến</v>
      </c>
    </row>
    <row r="815" spans="1:27" ht="20.100000000000001" hidden="1" customHeight="1">
      <c r="A815" s="873" t="s">
        <v>1474</v>
      </c>
      <c r="B815" s="859" t="s">
        <v>1475</v>
      </c>
      <c r="C815" s="436" t="s">
        <v>1476</v>
      </c>
      <c r="D815" s="364" t="s">
        <v>481</v>
      </c>
      <c r="E815" s="833">
        <v>2964</v>
      </c>
      <c r="F815" s="833">
        <f t="shared" si="73"/>
        <v>0</v>
      </c>
      <c r="G815" s="833">
        <f t="shared" si="74"/>
        <v>0</v>
      </c>
      <c r="H815" s="834">
        <v>1</v>
      </c>
      <c r="I815" s="835"/>
      <c r="J815" s="836"/>
      <c r="K815" s="836"/>
      <c r="L815" s="836"/>
      <c r="M815" s="836"/>
      <c r="N815" s="836"/>
      <c r="O815" s="836"/>
      <c r="P815" s="836"/>
      <c r="Q815" s="836"/>
      <c r="R815" s="837"/>
      <c r="T815" s="155">
        <v>2964</v>
      </c>
      <c r="U815" s="155"/>
      <c r="V815" s="430"/>
      <c r="AA815" s="180" t="str">
        <f>VLOOKUP(A815,[2]DG!$A:$C,3,0)</f>
        <v>Phá đường nhựa bằng thủ công</v>
      </c>
    </row>
    <row r="816" spans="1:27" ht="20.100000000000001" customHeight="1">
      <c r="A816" s="873" t="s">
        <v>4613</v>
      </c>
      <c r="B816" s="859" t="s">
        <v>4094</v>
      </c>
      <c r="C816" s="429" t="s">
        <v>4606</v>
      </c>
      <c r="D816" s="364" t="s">
        <v>476</v>
      </c>
      <c r="E816" s="833"/>
      <c r="F816" s="833">
        <v>102329</v>
      </c>
      <c r="G816" s="833"/>
      <c r="H816" s="834">
        <v>1</v>
      </c>
      <c r="I816" s="835" t="s">
        <v>3372</v>
      </c>
      <c r="J816" s="836">
        <v>0.51</v>
      </c>
      <c r="K816" s="836"/>
      <c r="L816" s="836"/>
      <c r="M816" s="836"/>
      <c r="N816" s="836"/>
      <c r="O816" s="836"/>
      <c r="P816" s="836"/>
      <c r="Q816" s="836"/>
      <c r="R816" s="837"/>
      <c r="T816" s="155"/>
      <c r="U816" s="155">
        <v>4944</v>
      </c>
      <c r="V816" s="430"/>
      <c r="AA816" s="180" t="str">
        <f>VLOOKUP(A816,[2]DG!$A:$C,3,0)</f>
        <v>Xây tường gạch thẻ 4x8x18, dày 20cm, vữa M75</v>
      </c>
    </row>
    <row r="817" spans="1:27" ht="20.100000000000001" customHeight="1">
      <c r="A817" s="873" t="s">
        <v>4614</v>
      </c>
      <c r="B817" s="859" t="s">
        <v>4095</v>
      </c>
      <c r="C817" s="429" t="s">
        <v>4607</v>
      </c>
      <c r="D817" s="364" t="s">
        <v>481</v>
      </c>
      <c r="E817" s="833"/>
      <c r="F817" s="833">
        <v>14702</v>
      </c>
      <c r="G817" s="833"/>
      <c r="H817" s="834">
        <v>1</v>
      </c>
      <c r="I817" s="835" t="s">
        <v>3372</v>
      </c>
      <c r="J817" s="836">
        <v>0.59</v>
      </c>
      <c r="K817" s="836"/>
      <c r="L817" s="836"/>
      <c r="M817" s="836"/>
      <c r="N817" s="836"/>
      <c r="O817" s="836"/>
      <c r="P817" s="836"/>
      <c r="Q817" s="836"/>
      <c r="R817" s="837"/>
      <c r="T817" s="155"/>
      <c r="U817" s="155">
        <v>6180</v>
      </c>
      <c r="V817" s="430"/>
      <c r="AA817" s="180" t="str">
        <f>VLOOKUP(A817,[2]DG!$A:$C,3,0)</f>
        <v>Trát tường bó nền dày 2cm vữa M75</v>
      </c>
    </row>
    <row r="818" spans="1:27" ht="20.100000000000001" customHeight="1">
      <c r="A818" s="873" t="s">
        <v>4615</v>
      </c>
      <c r="B818" s="859" t="s">
        <v>1465</v>
      </c>
      <c r="C818" s="429" t="s">
        <v>4608</v>
      </c>
      <c r="D818" s="420" t="s">
        <v>481</v>
      </c>
      <c r="E818" s="833"/>
      <c r="F818" s="833">
        <v>4870</v>
      </c>
      <c r="G818" s="833"/>
      <c r="H818" s="834">
        <v>1</v>
      </c>
      <c r="I818" s="835"/>
      <c r="J818" s="836"/>
      <c r="K818" s="836"/>
      <c r="L818" s="836"/>
      <c r="M818" s="836"/>
      <c r="N818" s="836"/>
      <c r="O818" s="836"/>
      <c r="P818" s="836"/>
      <c r="Q818" s="836"/>
      <c r="R818" s="837"/>
      <c r="T818" s="155">
        <v>23723</v>
      </c>
      <c r="U818" s="155">
        <v>55622</v>
      </c>
      <c r="V818" s="430"/>
      <c r="AA818" s="180" t="str">
        <f>VLOOKUP(A818,[2]DG!$A:$C,3,0)</f>
        <v>Láng nền tủ dày 3cm, vữa M75</v>
      </c>
    </row>
    <row r="819" spans="1:27" ht="20.100000000000001" customHeight="1">
      <c r="A819" s="873" t="s">
        <v>4616</v>
      </c>
      <c r="B819" s="859" t="s">
        <v>1465</v>
      </c>
      <c r="C819" s="429" t="s">
        <v>4609</v>
      </c>
      <c r="D819" s="420" t="s">
        <v>4620</v>
      </c>
      <c r="E819" s="833"/>
      <c r="F819" s="833">
        <v>262324</v>
      </c>
      <c r="G819" s="833"/>
      <c r="H819" s="834">
        <v>1</v>
      </c>
      <c r="I819" s="835"/>
      <c r="J819" s="836"/>
      <c r="K819" s="836"/>
      <c r="L819" s="836"/>
      <c r="M819" s="836"/>
      <c r="N819" s="836"/>
      <c r="O819" s="836"/>
      <c r="P819" s="836"/>
      <c r="Q819" s="836"/>
      <c r="R819" s="837"/>
      <c r="T819" s="155">
        <v>23723</v>
      </c>
      <c r="U819" s="155">
        <v>55622</v>
      </c>
      <c r="V819" s="430"/>
      <c r="AA819" s="180" t="str">
        <f>VLOOKUP(A819,[2]DG!$A:$C,3,0)</f>
        <v>Rải đá 4x6 dày 10cm</v>
      </c>
    </row>
    <row r="820" spans="1:27" ht="20.100000000000001" customHeight="1">
      <c r="A820" s="873" t="s">
        <v>4617</v>
      </c>
      <c r="B820" s="859" t="s">
        <v>699</v>
      </c>
      <c r="C820" s="429" t="s">
        <v>4610</v>
      </c>
      <c r="D820" s="420" t="s">
        <v>481</v>
      </c>
      <c r="E820" s="833"/>
      <c r="F820" s="833">
        <v>49885</v>
      </c>
      <c r="G820" s="833"/>
      <c r="H820" s="834">
        <v>1</v>
      </c>
      <c r="I820" s="835"/>
      <c r="J820" s="836"/>
      <c r="K820" s="836"/>
      <c r="L820" s="836"/>
      <c r="M820" s="836"/>
      <c r="N820" s="836"/>
      <c r="O820" s="836"/>
      <c r="P820" s="836"/>
      <c r="Q820" s="836"/>
      <c r="R820" s="837"/>
      <c r="T820" s="155"/>
      <c r="U820" s="155">
        <v>11455</v>
      </c>
      <c r="V820" s="430"/>
      <c r="AA820" s="180" t="str">
        <f>VLOOKUP(A820,[2]DG!$A:$C,3,0)</f>
        <v>Lắp dựng hàng rào lưới thép B40</v>
      </c>
    </row>
    <row r="821" spans="1:27" ht="20.100000000000001" customHeight="1">
      <c r="A821" s="873" t="s">
        <v>4618</v>
      </c>
      <c r="B821" s="859" t="s">
        <v>1472</v>
      </c>
      <c r="C821" s="436" t="s">
        <v>4611</v>
      </c>
      <c r="D821" s="364" t="s">
        <v>4621</v>
      </c>
      <c r="E821" s="833"/>
      <c r="F821" s="833">
        <v>414091</v>
      </c>
      <c r="G821" s="833"/>
      <c r="H821" s="834">
        <v>1</v>
      </c>
      <c r="I821" s="835"/>
      <c r="J821" s="836"/>
      <c r="K821" s="836"/>
      <c r="L821" s="836"/>
      <c r="M821" s="836"/>
      <c r="N821" s="836"/>
      <c r="O821" s="836"/>
      <c r="P821" s="836"/>
      <c r="Q821" s="836"/>
      <c r="R821" s="837"/>
      <c r="T821" s="155"/>
      <c r="U821" s="155">
        <v>230</v>
      </c>
      <c r="V821" s="430"/>
      <c r="AA821" s="180" t="str">
        <f>VLOOKUP(A821,[2]DG!$A:$C,3,0)</f>
        <v xml:space="preserve">Lắp dựng cột thép </v>
      </c>
    </row>
    <row r="822" spans="1:27" ht="20.100000000000001" customHeight="1">
      <c r="A822" s="873" t="s">
        <v>4619</v>
      </c>
      <c r="B822" s="859" t="s">
        <v>1475</v>
      </c>
      <c r="C822" s="436" t="s">
        <v>4612</v>
      </c>
      <c r="D822" s="364" t="s">
        <v>481</v>
      </c>
      <c r="E822" s="833"/>
      <c r="F822" s="833">
        <v>5330</v>
      </c>
      <c r="G822" s="833"/>
      <c r="H822" s="834">
        <v>1</v>
      </c>
      <c r="I822" s="835"/>
      <c r="J822" s="836"/>
      <c r="K822" s="836"/>
      <c r="L822" s="836"/>
      <c r="M822" s="836"/>
      <c r="N822" s="836"/>
      <c r="O822" s="836"/>
      <c r="P822" s="836"/>
      <c r="Q822" s="836"/>
      <c r="R822" s="837"/>
      <c r="T822" s="155">
        <v>2964</v>
      </c>
      <c r="U822" s="155"/>
      <c r="V822" s="430"/>
      <c r="AA822" s="180" t="str">
        <f>VLOOKUP(A822,[2]DG!$A:$C,3,0)</f>
        <v>Sơn sắt thép các loại 3 nước</v>
      </c>
    </row>
    <row r="823" spans="1:27" ht="20.100000000000001" customHeight="1">
      <c r="A823" s="873" t="s">
        <v>4634</v>
      </c>
      <c r="B823" s="859" t="s">
        <v>4635</v>
      </c>
      <c r="C823" s="436" t="s">
        <v>4636</v>
      </c>
      <c r="D823" s="364" t="s">
        <v>893</v>
      </c>
      <c r="E823" s="833"/>
      <c r="F823" s="833">
        <f t="shared" ref="F823" si="77">IF(OR(I823="",J823=""),0,IF(K823*1=0,1,K823)*VLOOKUP(I823,TIENLUONG,4,0)*J823)</f>
        <v>2250930</v>
      </c>
      <c r="G823" s="833">
        <f t="shared" ref="G823" si="78">L823*VLOOKUP($L$1,CAMAY,2,0)+M823*VLOOKUP($M$1,CAMAY,2,0)+N823*VLOOKUP($N$1,CAMAY,2,0)+O823*VLOOKUP($O$1,CAMAY,2,0)+P823*VLOOKUP($P$1,CAMAY,2,0)</f>
        <v>0</v>
      </c>
      <c r="H823" s="834">
        <v>42312</v>
      </c>
      <c r="I823" s="835" t="s">
        <v>3372</v>
      </c>
      <c r="J823" s="836">
        <v>9.5</v>
      </c>
      <c r="K823" s="836"/>
      <c r="L823" s="836"/>
      <c r="M823" s="836"/>
      <c r="N823" s="836"/>
      <c r="O823" s="836"/>
      <c r="P823" s="836"/>
      <c r="Q823" s="836"/>
      <c r="R823" s="837"/>
      <c r="T823" s="155">
        <v>2964</v>
      </c>
      <c r="U823" s="155"/>
      <c r="V823" s="430"/>
      <c r="AA823" s="180" t="str">
        <f>VLOOKUP(A823,[2]DG!$A:$C,3,0)</f>
        <v>Lắp dựng (tháo dỡ) kết cấu thép, hệ khung dàn</v>
      </c>
    </row>
    <row r="824" spans="1:27" ht="20.100000000000001" customHeight="1">
      <c r="A824" s="872" t="s">
        <v>3670</v>
      </c>
      <c r="B824" s="860"/>
      <c r="C824" s="421"/>
      <c r="D824" s="364"/>
      <c r="E824" s="833"/>
      <c r="F824" s="833">
        <f t="shared" si="73"/>
        <v>0</v>
      </c>
      <c r="G824" s="833">
        <f t="shared" si="74"/>
        <v>0</v>
      </c>
      <c r="H824" s="834"/>
      <c r="I824" s="835"/>
      <c r="J824" s="836"/>
      <c r="K824" s="836"/>
      <c r="L824" s="836"/>
      <c r="M824" s="836"/>
      <c r="N824" s="836"/>
      <c r="O824" s="836"/>
      <c r="P824" s="836"/>
      <c r="Q824" s="836"/>
      <c r="R824" s="837"/>
      <c r="T824" s="155"/>
      <c r="U824" s="155"/>
      <c r="V824" s="430"/>
      <c r="AA824" s="180">
        <f>VLOOKUP(A824,[2]DG!$A:$C,3,0)</f>
        <v>0</v>
      </c>
    </row>
    <row r="825" spans="1:27" ht="20.100000000000001" customHeight="1">
      <c r="A825" s="872" t="s">
        <v>3670</v>
      </c>
      <c r="B825" s="860"/>
      <c r="C825" s="421"/>
      <c r="D825" s="364"/>
      <c r="E825" s="833"/>
      <c r="F825" s="833">
        <f t="shared" si="73"/>
        <v>0</v>
      </c>
      <c r="G825" s="833">
        <f t="shared" si="74"/>
        <v>0</v>
      </c>
      <c r="H825" s="834"/>
      <c r="I825" s="835"/>
      <c r="J825" s="836"/>
      <c r="K825" s="836"/>
      <c r="L825" s="836"/>
      <c r="M825" s="836"/>
      <c r="N825" s="836"/>
      <c r="O825" s="836"/>
      <c r="P825" s="836"/>
      <c r="Q825" s="836"/>
      <c r="R825" s="837"/>
      <c r="T825" s="155"/>
      <c r="U825" s="155"/>
      <c r="V825" s="430"/>
      <c r="AA825" s="180">
        <f>VLOOKUP(A825,[2]DG!$A:$C,3,0)</f>
        <v>0</v>
      </c>
    </row>
    <row r="826" spans="1:27" ht="20.100000000000001" customHeight="1">
      <c r="A826" s="872" t="s">
        <v>3670</v>
      </c>
      <c r="B826" s="860"/>
      <c r="C826" s="421"/>
      <c r="D826" s="364"/>
      <c r="E826" s="833"/>
      <c r="F826" s="833">
        <f t="shared" si="73"/>
        <v>0</v>
      </c>
      <c r="G826" s="833">
        <f t="shared" si="74"/>
        <v>0</v>
      </c>
      <c r="H826" s="834"/>
      <c r="I826" s="835"/>
      <c r="J826" s="836"/>
      <c r="K826" s="836"/>
      <c r="L826" s="836"/>
      <c r="M826" s="836"/>
      <c r="N826" s="836"/>
      <c r="O826" s="836"/>
      <c r="P826" s="836"/>
      <c r="Q826" s="836"/>
      <c r="R826" s="837"/>
      <c r="T826" s="155"/>
      <c r="U826" s="155"/>
      <c r="V826" s="430"/>
      <c r="AA826" s="180">
        <f>VLOOKUP(A826,[2]DG!$A:$C,3,0)</f>
        <v>0</v>
      </c>
    </row>
    <row r="827" spans="1:27" ht="20.100000000000001" customHeight="1">
      <c r="A827" s="873" t="s">
        <v>3670</v>
      </c>
      <c r="B827" s="859"/>
      <c r="C827" s="436"/>
      <c r="D827" s="364"/>
      <c r="E827" s="833"/>
      <c r="F827" s="833">
        <f t="shared" si="73"/>
        <v>0</v>
      </c>
      <c r="G827" s="833">
        <f t="shared" si="74"/>
        <v>0</v>
      </c>
      <c r="H827" s="834"/>
      <c r="I827" s="835"/>
      <c r="J827" s="836"/>
      <c r="K827" s="836"/>
      <c r="L827" s="836"/>
      <c r="M827" s="836"/>
      <c r="N827" s="836"/>
      <c r="O827" s="836"/>
      <c r="P827" s="836"/>
      <c r="Q827" s="836"/>
      <c r="R827" s="837"/>
      <c r="T827" s="435"/>
      <c r="U827" s="155"/>
      <c r="V827" s="430"/>
      <c r="AA827" s="180">
        <f>VLOOKUP(A827,[2]DG!$A:$C,3,0)</f>
        <v>0</v>
      </c>
    </row>
    <row r="828" spans="1:27" ht="20.100000000000001" hidden="1" customHeight="1">
      <c r="A828" s="851" t="s">
        <v>3707</v>
      </c>
      <c r="B828" s="858"/>
      <c r="C828" s="851"/>
      <c r="D828" s="852"/>
      <c r="E828" s="846"/>
      <c r="F828" s="846">
        <f t="shared" si="73"/>
        <v>0</v>
      </c>
      <c r="G828" s="846">
        <f t="shared" si="74"/>
        <v>0</v>
      </c>
      <c r="H828" s="847"/>
      <c r="I828" s="848"/>
      <c r="J828" s="849"/>
      <c r="K828" s="849"/>
      <c r="L828" s="849"/>
      <c r="M828" s="849"/>
      <c r="N828" s="849"/>
      <c r="O828" s="849"/>
      <c r="P828" s="849"/>
      <c r="Q828" s="849"/>
      <c r="R828" s="850"/>
      <c r="T828" s="435"/>
      <c r="U828" s="155"/>
      <c r="V828" s="430"/>
      <c r="AA828" s="180">
        <f>VLOOKUP(A828,[2]DG!$A:$C,3,0)</f>
        <v>0</v>
      </c>
    </row>
    <row r="829" spans="1:27" ht="20.100000000000001" customHeight="1">
      <c r="A829" s="872" t="s">
        <v>3670</v>
      </c>
      <c r="B829" s="860"/>
      <c r="C829" s="421"/>
      <c r="D829" s="435"/>
      <c r="E829" s="833"/>
      <c r="F829" s="833">
        <f t="shared" si="73"/>
        <v>0</v>
      </c>
      <c r="G829" s="833">
        <f t="shared" si="74"/>
        <v>0</v>
      </c>
      <c r="H829" s="834"/>
      <c r="I829" s="835"/>
      <c r="J829" s="836"/>
      <c r="K829" s="836"/>
      <c r="L829" s="836"/>
      <c r="M829" s="836"/>
      <c r="N829" s="836"/>
      <c r="O829" s="836"/>
      <c r="P829" s="836"/>
      <c r="Q829" s="836"/>
      <c r="R829" s="837"/>
      <c r="T829" s="435"/>
      <c r="U829" s="155"/>
      <c r="V829" s="430"/>
      <c r="AA829" s="180">
        <f>VLOOKUP(A829,[2]DG!$A:$C,3,0)</f>
        <v>0</v>
      </c>
    </row>
    <row r="830" spans="1:27" ht="20.100000000000001" customHeight="1">
      <c r="A830" s="877"/>
      <c r="B830" s="862"/>
      <c r="C830" s="362"/>
      <c r="D830" s="363"/>
      <c r="E830" s="833"/>
      <c r="F830" s="833">
        <f t="shared" si="73"/>
        <v>0</v>
      </c>
      <c r="G830" s="833">
        <f t="shared" si="74"/>
        <v>0</v>
      </c>
      <c r="H830" s="834"/>
      <c r="I830" s="835"/>
      <c r="J830" s="836"/>
      <c r="K830" s="836"/>
      <c r="L830" s="836"/>
      <c r="M830" s="836"/>
      <c r="N830" s="836"/>
      <c r="O830" s="836"/>
      <c r="P830" s="836"/>
      <c r="Q830" s="836"/>
      <c r="R830" s="837"/>
      <c r="T830" s="364" t="s">
        <v>3</v>
      </c>
      <c r="U830" s="365" t="s">
        <v>4</v>
      </c>
      <c r="V830" s="365" t="s">
        <v>1477</v>
      </c>
      <c r="AA830" s="180" t="e">
        <f>VLOOKUP(A830,[2]DG!$A:$C,3,0)</f>
        <v>#N/A</v>
      </c>
    </row>
    <row r="831" spans="1:27" ht="20.100000000000001" hidden="1" customHeight="1">
      <c r="A831" s="873" t="s">
        <v>1489</v>
      </c>
      <c r="B831" s="860" t="s">
        <v>4066</v>
      </c>
      <c r="C831" s="429" t="s">
        <v>4336</v>
      </c>
      <c r="D831" s="417" t="s">
        <v>1480</v>
      </c>
      <c r="E831" s="833">
        <v>32991000</v>
      </c>
      <c r="F831" s="833">
        <f t="shared" si="73"/>
        <v>397421.64</v>
      </c>
      <c r="G831" s="833">
        <f t="shared" si="74"/>
        <v>390523.22</v>
      </c>
      <c r="H831" s="834" t="s">
        <v>4065</v>
      </c>
      <c r="I831" s="835" t="s">
        <v>3375</v>
      </c>
      <c r="J831" s="836">
        <f>15*(2.8)/(30)</f>
        <v>1.4</v>
      </c>
      <c r="K831" s="836">
        <v>1.1000000000000001</v>
      </c>
      <c r="L831" s="836"/>
      <c r="M831" s="836">
        <v>0.26</v>
      </c>
      <c r="N831" s="836"/>
      <c r="O831" s="836"/>
      <c r="P831" s="836"/>
      <c r="Q831" s="836"/>
      <c r="R831" s="837">
        <v>129</v>
      </c>
      <c r="T831" s="155">
        <v>32991000</v>
      </c>
      <c r="U831" s="155">
        <v>77663</v>
      </c>
      <c r="V831" s="155">
        <v>103819</v>
      </c>
      <c r="AA831" s="180" t="str">
        <f>VLOOKUP(A831,[2]DG!$A:$C,3,0)</f>
        <v>Máy biến áp 12,7/0,22-0,44kV  15kVA</v>
      </c>
    </row>
    <row r="832" spans="1:27" ht="20.100000000000001" hidden="1" customHeight="1">
      <c r="A832" s="873" t="s">
        <v>1491</v>
      </c>
      <c r="B832" s="860" t="s">
        <v>4066</v>
      </c>
      <c r="C832" s="429" t="s">
        <v>4337</v>
      </c>
      <c r="D832" s="417" t="s">
        <v>1480</v>
      </c>
      <c r="E832" s="833">
        <v>41513000</v>
      </c>
      <c r="F832" s="833">
        <f t="shared" si="73"/>
        <v>662369.40000000014</v>
      </c>
      <c r="G832" s="833">
        <f t="shared" si="74"/>
        <v>390523.22</v>
      </c>
      <c r="H832" s="834" t="s">
        <v>4065</v>
      </c>
      <c r="I832" s="835" t="s">
        <v>3375</v>
      </c>
      <c r="J832" s="836">
        <f>25*(2.8)/(30)</f>
        <v>2.3333333333333335</v>
      </c>
      <c r="K832" s="836">
        <v>1.1000000000000001</v>
      </c>
      <c r="L832" s="836"/>
      <c r="M832" s="836">
        <v>0.26</v>
      </c>
      <c r="N832" s="836"/>
      <c r="O832" s="836"/>
      <c r="P832" s="836"/>
      <c r="Q832" s="836"/>
      <c r="R832" s="837">
        <v>180</v>
      </c>
      <c r="T832" s="155">
        <v>41513000</v>
      </c>
      <c r="U832" s="155">
        <v>77663</v>
      </c>
      <c r="V832" s="155">
        <v>103819</v>
      </c>
      <c r="AA832" s="180" t="str">
        <f>VLOOKUP(A832,[2]DG!$A:$C,3,0)</f>
        <v>Máy biến áp 12,7/0,22-0,44kV  25kVA</v>
      </c>
    </row>
    <row r="833" spans="1:27" ht="20.100000000000001" customHeight="1">
      <c r="A833" s="873" t="s">
        <v>2643</v>
      </c>
      <c r="B833" s="860" t="s">
        <v>4066</v>
      </c>
      <c r="C833" s="429" t="s">
        <v>4338</v>
      </c>
      <c r="D833" s="417" t="s">
        <v>1480</v>
      </c>
      <c r="E833" s="833">
        <v>51310000</v>
      </c>
      <c r="F833" s="833">
        <f t="shared" si="73"/>
        <v>854456.52600000007</v>
      </c>
      <c r="G833" s="833">
        <f t="shared" si="74"/>
        <v>390523.22</v>
      </c>
      <c r="H833" s="834" t="s">
        <v>4065</v>
      </c>
      <c r="I833" s="835" t="s">
        <v>3375</v>
      </c>
      <c r="J833" s="836">
        <f>7.5*(3.15-2.8)/(50-37.5)+2.8</f>
        <v>3.01</v>
      </c>
      <c r="K833" s="836">
        <v>1.1000000000000001</v>
      </c>
      <c r="L833" s="836"/>
      <c r="M833" s="836">
        <v>0.26</v>
      </c>
      <c r="N833" s="836"/>
      <c r="O833" s="836"/>
      <c r="P833" s="836"/>
      <c r="Q833" s="836"/>
      <c r="R833" s="837">
        <v>250</v>
      </c>
      <c r="T833" s="155">
        <v>51310000</v>
      </c>
      <c r="U833" s="155">
        <v>89586</v>
      </c>
      <c r="V833" s="155">
        <v>103819</v>
      </c>
      <c r="AA833" s="180" t="str">
        <f>VLOOKUP(A833,[2]DG!$A:$C,3,0)</f>
        <v>Máy biến áp 12,7/0,22-0,44kV 37,5kVA - Amorphous</v>
      </c>
    </row>
    <row r="834" spans="1:27" ht="20.100000000000001" hidden="1" customHeight="1">
      <c r="A834" s="873" t="s">
        <v>1494</v>
      </c>
      <c r="B834" s="860" t="s">
        <v>4067</v>
      </c>
      <c r="C834" s="429" t="s">
        <v>4339</v>
      </c>
      <c r="D834" s="417" t="s">
        <v>1480</v>
      </c>
      <c r="E834" s="833">
        <v>58335000</v>
      </c>
      <c r="F834" s="833">
        <f t="shared" si="73"/>
        <v>894198.69000000006</v>
      </c>
      <c r="G834" s="833">
        <f t="shared" si="74"/>
        <v>390523.22</v>
      </c>
      <c r="H834" s="834" t="s">
        <v>4065</v>
      </c>
      <c r="I834" s="835" t="s">
        <v>3375</v>
      </c>
      <c r="J834" s="836">
        <v>3.15</v>
      </c>
      <c r="K834" s="836">
        <v>1.1000000000000001</v>
      </c>
      <c r="L834" s="836"/>
      <c r="M834" s="836">
        <v>0.26</v>
      </c>
      <c r="N834" s="836"/>
      <c r="O834" s="836"/>
      <c r="P834" s="836"/>
      <c r="Q834" s="836"/>
      <c r="R834" s="837">
        <v>380</v>
      </c>
      <c r="T834" s="155">
        <v>58335000</v>
      </c>
      <c r="U834" s="155">
        <v>375326</v>
      </c>
      <c r="V834" s="155">
        <v>150004</v>
      </c>
      <c r="AA834" s="180" t="str">
        <f>VLOOKUP(A834,[2]DG!$A:$C,3,0)</f>
        <v>Máy biến áp 12,7/0,23-0,46kV 50kVA</v>
      </c>
    </row>
    <row r="835" spans="1:27" ht="20.100000000000001" hidden="1" customHeight="1">
      <c r="A835" s="873" t="s">
        <v>1496</v>
      </c>
      <c r="B835" s="860" t="s">
        <v>4067</v>
      </c>
      <c r="C835" s="429" t="s">
        <v>4340</v>
      </c>
      <c r="D835" s="417" t="s">
        <v>1480</v>
      </c>
      <c r="E835" s="833">
        <v>77040000</v>
      </c>
      <c r="F835" s="833">
        <f t="shared" si="73"/>
        <v>993554.10000000009</v>
      </c>
      <c r="G835" s="833">
        <f t="shared" si="74"/>
        <v>390523.22</v>
      </c>
      <c r="H835" s="834" t="s">
        <v>4065</v>
      </c>
      <c r="I835" s="835" t="s">
        <v>3375</v>
      </c>
      <c r="J835" s="836">
        <f>25*(3.85-3.15)/(100-50)+3.15</f>
        <v>3.5</v>
      </c>
      <c r="K835" s="836">
        <v>1.1000000000000001</v>
      </c>
      <c r="L835" s="836"/>
      <c r="M835" s="836">
        <v>0.26</v>
      </c>
      <c r="N835" s="836"/>
      <c r="O835" s="836"/>
      <c r="P835" s="836"/>
      <c r="Q835" s="836"/>
      <c r="R835" s="837">
        <v>505</v>
      </c>
      <c r="T835" s="155">
        <v>77040000</v>
      </c>
      <c r="U835" s="155">
        <v>119221</v>
      </c>
      <c r="V835" s="155">
        <v>107252</v>
      </c>
      <c r="AA835" s="180" t="str">
        <f>VLOOKUP(A835,[2]DG!$A:$C,3,0)</f>
        <v>Máy biến áp 12,7/0,23-0,46kV  75kVA</v>
      </c>
    </row>
    <row r="836" spans="1:27" ht="20.100000000000001" hidden="1" customHeight="1">
      <c r="A836" s="873" t="s">
        <v>1498</v>
      </c>
      <c r="B836" s="860" t="s">
        <v>4068</v>
      </c>
      <c r="C836" s="429" t="s">
        <v>4341</v>
      </c>
      <c r="D836" s="417" t="s">
        <v>1480</v>
      </c>
      <c r="E836" s="833">
        <v>91288000</v>
      </c>
      <c r="F836" s="833">
        <f t="shared" si="73"/>
        <v>1092909.5100000002</v>
      </c>
      <c r="G836" s="833">
        <f t="shared" si="74"/>
        <v>390523.22</v>
      </c>
      <c r="H836" s="834" t="s">
        <v>4065</v>
      </c>
      <c r="I836" s="835" t="s">
        <v>3375</v>
      </c>
      <c r="J836" s="836">
        <v>3.85</v>
      </c>
      <c r="K836" s="836">
        <v>1.1000000000000001</v>
      </c>
      <c r="L836" s="836"/>
      <c r="M836" s="836">
        <v>0.26</v>
      </c>
      <c r="N836" s="836"/>
      <c r="O836" s="836"/>
      <c r="P836" s="836"/>
      <c r="Q836" s="836"/>
      <c r="R836" s="837">
        <v>745</v>
      </c>
      <c r="T836" s="155">
        <v>91288000</v>
      </c>
      <c r="U836" s="155">
        <v>126714</v>
      </c>
      <c r="V836" s="155">
        <v>107252</v>
      </c>
      <c r="AA836" s="180" t="str">
        <f>VLOOKUP(A836,[2]DG!$A:$C,3,0)</f>
        <v>Máy biến áp 12,7/0,22-0,44kV  100kVA</v>
      </c>
    </row>
    <row r="837" spans="1:27" ht="20.100000000000001" hidden="1" customHeight="1">
      <c r="A837" s="873" t="s">
        <v>1516</v>
      </c>
      <c r="B837" s="860" t="s">
        <v>4068</v>
      </c>
      <c r="C837" s="429" t="s">
        <v>4342</v>
      </c>
      <c r="D837" s="417" t="s">
        <v>1480</v>
      </c>
      <c r="E837" s="833">
        <v>139493000</v>
      </c>
      <c r="F837" s="833">
        <f t="shared" ref="F837:F854" si="79">IF(OR(I837="",J837=""),0,IF(K837*1=0,1,K837)*VLOOKUP(I837,TIENLUONG,4,0)*J837)</f>
        <v>1203619.8240000003</v>
      </c>
      <c r="G837" s="833">
        <f t="shared" ref="G837:G854" si="80">L837*VLOOKUP($L$1,CAMAY,2,0)+M837*VLOOKUP($M$1,CAMAY,2,0)+N837*VLOOKUP($N$1,CAMAY,2,0)+O837*VLOOKUP($O$1,CAMAY,2,0)+P837*VLOOKUP($P$1,CAMAY,2,0)</f>
        <v>390523.22</v>
      </c>
      <c r="H837" s="834" t="s">
        <v>4065</v>
      </c>
      <c r="I837" s="835" t="s">
        <v>3375</v>
      </c>
      <c r="J837" s="836">
        <v>4.24</v>
      </c>
      <c r="K837" s="836">
        <v>1.1000000000000001</v>
      </c>
      <c r="L837" s="836"/>
      <c r="M837" s="836">
        <v>0.26</v>
      </c>
      <c r="N837" s="836"/>
      <c r="O837" s="836"/>
      <c r="P837" s="836"/>
      <c r="Q837" s="836"/>
      <c r="R837" s="837">
        <v>800</v>
      </c>
      <c r="T837" s="155">
        <v>91500000</v>
      </c>
      <c r="U837" s="155">
        <v>144427</v>
      </c>
      <c r="V837" s="155">
        <v>122884</v>
      </c>
      <c r="AA837" s="180" t="str">
        <f>VLOOKUP(A837,[2]DG!$A:$C,3,0)</f>
        <v>MBA 1 PHA 12,7/0,22-0,44KV -100KVA ( TC Amorphous)</v>
      </c>
    </row>
    <row r="838" spans="1:27" ht="20.100000000000001" hidden="1" customHeight="1">
      <c r="A838" s="873" t="s">
        <v>1517</v>
      </c>
      <c r="B838" s="860" t="s">
        <v>4071</v>
      </c>
      <c r="C838" s="429" t="s">
        <v>4343</v>
      </c>
      <c r="D838" s="417" t="s">
        <v>1480</v>
      </c>
      <c r="E838" s="833">
        <v>160209000</v>
      </c>
      <c r="F838" s="833">
        <f t="shared" si="79"/>
        <v>1359040.0725</v>
      </c>
      <c r="G838" s="833">
        <f t="shared" si="80"/>
        <v>390523.22</v>
      </c>
      <c r="H838" s="834" t="s">
        <v>4065</v>
      </c>
      <c r="I838" s="835" t="s">
        <v>3375</v>
      </c>
      <c r="J838" s="836">
        <f>60*(J839-J837)/(180-100)+J837</f>
        <v>4.7874999999999996</v>
      </c>
      <c r="K838" s="836">
        <v>1.1000000000000001</v>
      </c>
      <c r="L838" s="836"/>
      <c r="M838" s="836">
        <v>0.26</v>
      </c>
      <c r="N838" s="836"/>
      <c r="O838" s="836"/>
      <c r="P838" s="836"/>
      <c r="Q838" s="836"/>
      <c r="R838" s="837">
        <v>904</v>
      </c>
      <c r="T838" s="155">
        <v>98985000</v>
      </c>
      <c r="U838" s="155">
        <v>169293</v>
      </c>
      <c r="V838" s="155">
        <v>122884</v>
      </c>
      <c r="AA838" s="180" t="str">
        <f>VLOOKUP(A838,[2]DG!$A:$C,3,0)</f>
        <v>Máy biến áp 22/0,4kV  160kVA</v>
      </c>
    </row>
    <row r="839" spans="1:27" ht="20.100000000000001" hidden="1" customHeight="1">
      <c r="A839" s="873" t="s">
        <v>1519</v>
      </c>
      <c r="B839" s="860" t="s">
        <v>4071</v>
      </c>
      <c r="C839" s="429" t="s">
        <v>4344</v>
      </c>
      <c r="D839" s="417" t="s">
        <v>1480</v>
      </c>
      <c r="E839" s="833">
        <v>180373000</v>
      </c>
      <c r="F839" s="833">
        <f t="shared" si="79"/>
        <v>1410846.8220000002</v>
      </c>
      <c r="G839" s="833">
        <f t="shared" si="80"/>
        <v>390523.22</v>
      </c>
      <c r="H839" s="834" t="s">
        <v>4065</v>
      </c>
      <c r="I839" s="835" t="s">
        <v>3375</v>
      </c>
      <c r="J839" s="836">
        <v>4.97</v>
      </c>
      <c r="K839" s="836">
        <v>1.1000000000000001</v>
      </c>
      <c r="L839" s="836"/>
      <c r="M839" s="836">
        <v>0.26</v>
      </c>
      <c r="N839" s="836"/>
      <c r="O839" s="836"/>
      <c r="P839" s="836"/>
      <c r="Q839" s="836"/>
      <c r="R839" s="837">
        <v>1100</v>
      </c>
      <c r="T839" s="155">
        <v>116576000</v>
      </c>
      <c r="U839" s="155">
        <v>169293</v>
      </c>
      <c r="V839" s="155">
        <v>122884</v>
      </c>
      <c r="AA839" s="180" t="str">
        <f>VLOOKUP(A839,[2]DG!$A:$C,3,0)</f>
        <v>Máy biến áp 22/0,4kV  180kVA</v>
      </c>
    </row>
    <row r="840" spans="1:27" ht="20.100000000000001" hidden="1" customHeight="1">
      <c r="A840" s="873" t="s">
        <v>1520</v>
      </c>
      <c r="B840" s="860" t="s">
        <v>4072</v>
      </c>
      <c r="C840" s="429" t="s">
        <v>4345</v>
      </c>
      <c r="D840" s="417" t="s">
        <v>1480</v>
      </c>
      <c r="E840" s="833">
        <v>230215000</v>
      </c>
      <c r="F840" s="833">
        <f t="shared" si="79"/>
        <v>1530073.314</v>
      </c>
      <c r="G840" s="833">
        <f t="shared" si="80"/>
        <v>495664.08692307689</v>
      </c>
      <c r="H840" s="834" t="s">
        <v>4065</v>
      </c>
      <c r="I840" s="835" t="s">
        <v>3375</v>
      </c>
      <c r="J840" s="836">
        <f>70*(J841-J839)/(320-180)+J839</f>
        <v>5.39</v>
      </c>
      <c r="K840" s="836">
        <v>1.1000000000000001</v>
      </c>
      <c r="L840" s="836"/>
      <c r="M840" s="836">
        <v>0.33</v>
      </c>
      <c r="N840" s="836"/>
      <c r="O840" s="836"/>
      <c r="P840" s="836"/>
      <c r="Q840" s="836"/>
      <c r="R840" s="837">
        <v>1155</v>
      </c>
      <c r="T840" s="155">
        <v>156379000</v>
      </c>
      <c r="U840" s="155">
        <v>197906</v>
      </c>
      <c r="V840" s="155">
        <v>145703</v>
      </c>
      <c r="AA840" s="180" t="str">
        <f>VLOOKUP(A840,[2]DG!$A:$C,3,0)</f>
        <v>Máy biến áp 22/0,4kV- 250kVA</v>
      </c>
    </row>
    <row r="841" spans="1:27" ht="20.100000000000001" hidden="1" customHeight="1">
      <c r="A841" s="873" t="s">
        <v>1522</v>
      </c>
      <c r="B841" s="860" t="s">
        <v>4072</v>
      </c>
      <c r="C841" s="429" t="s">
        <v>4346</v>
      </c>
      <c r="D841" s="417" t="s">
        <v>1480</v>
      </c>
      <c r="E841" s="833">
        <v>277826000</v>
      </c>
      <c r="F841" s="833">
        <f t="shared" si="79"/>
        <v>1649299.8060000001</v>
      </c>
      <c r="G841" s="833">
        <f t="shared" si="80"/>
        <v>495664.08692307689</v>
      </c>
      <c r="H841" s="834" t="s">
        <v>4065</v>
      </c>
      <c r="I841" s="835" t="s">
        <v>3375</v>
      </c>
      <c r="J841" s="836">
        <v>5.81</v>
      </c>
      <c r="K841" s="836">
        <v>1.1000000000000001</v>
      </c>
      <c r="L841" s="836"/>
      <c r="M841" s="836">
        <v>0.33</v>
      </c>
      <c r="N841" s="836"/>
      <c r="O841" s="836"/>
      <c r="P841" s="836"/>
      <c r="Q841" s="836"/>
      <c r="R841" s="837">
        <v>1400</v>
      </c>
      <c r="T841" s="155">
        <v>171803000</v>
      </c>
      <c r="U841" s="155">
        <v>197906</v>
      </c>
      <c r="V841" s="155">
        <v>145703</v>
      </c>
      <c r="AA841" s="180" t="str">
        <f>VLOOKUP(A841,[2]DG!$A:$C,3,0)</f>
        <v>Máy biến áp 22/0,4kV- 320kVA</v>
      </c>
    </row>
    <row r="842" spans="1:27" ht="20.100000000000001" hidden="1" customHeight="1">
      <c r="A842" s="873" t="s">
        <v>1524</v>
      </c>
      <c r="B842" s="860" t="s">
        <v>4073</v>
      </c>
      <c r="C842" s="429" t="s">
        <v>4347</v>
      </c>
      <c r="D842" s="417" t="s">
        <v>1480</v>
      </c>
      <c r="E842" s="833">
        <v>324723000</v>
      </c>
      <c r="F842" s="833">
        <f t="shared" si="79"/>
        <v>1755278.91</v>
      </c>
      <c r="G842" s="833">
        <f t="shared" si="80"/>
        <v>495664.08692307689</v>
      </c>
      <c r="H842" s="834" t="s">
        <v>4065</v>
      </c>
      <c r="I842" s="835" t="s">
        <v>3375</v>
      </c>
      <c r="J842" s="836">
        <f>80*(J843-J841)/(560-320)+J841</f>
        <v>6.1833333333333327</v>
      </c>
      <c r="K842" s="836">
        <v>1.1000000000000001</v>
      </c>
      <c r="L842" s="836"/>
      <c r="M842" s="836">
        <v>0.33</v>
      </c>
      <c r="N842" s="836"/>
      <c r="O842" s="836"/>
      <c r="P842" s="836"/>
      <c r="Q842" s="836"/>
      <c r="R842" s="837">
        <v>1800</v>
      </c>
      <c r="T842" s="155">
        <v>219944000</v>
      </c>
      <c r="U842" s="155">
        <v>236057</v>
      </c>
      <c r="V842" s="155">
        <v>145703</v>
      </c>
      <c r="AA842" s="180" t="str">
        <f>VLOOKUP(A842,[2]DG!$A:$C,3,0)</f>
        <v>Máy biến áp 22/0,4kV- 400kVA</v>
      </c>
    </row>
    <row r="843" spans="1:27" ht="20.100000000000001" hidden="1" customHeight="1">
      <c r="A843" s="873" t="s">
        <v>1526</v>
      </c>
      <c r="B843" s="860" t="s">
        <v>4074</v>
      </c>
      <c r="C843" s="429" t="s">
        <v>4348</v>
      </c>
      <c r="D843" s="417" t="s">
        <v>1480</v>
      </c>
      <c r="E843" s="833">
        <v>372166000</v>
      </c>
      <c r="F843" s="833">
        <f t="shared" si="79"/>
        <v>1967237.1180000002</v>
      </c>
      <c r="G843" s="833">
        <f t="shared" si="80"/>
        <v>495664.08692307689</v>
      </c>
      <c r="H843" s="834" t="s">
        <v>4065</v>
      </c>
      <c r="I843" s="835" t="s">
        <v>3375</v>
      </c>
      <c r="J843" s="836">
        <v>6.93</v>
      </c>
      <c r="K843" s="836">
        <v>1.1000000000000001</v>
      </c>
      <c r="L843" s="836"/>
      <c r="M843" s="836">
        <v>0.33</v>
      </c>
      <c r="N843" s="836"/>
      <c r="O843" s="836"/>
      <c r="P843" s="836"/>
      <c r="Q843" s="836"/>
      <c r="R843" s="837">
        <v>2069</v>
      </c>
      <c r="T843" s="155">
        <v>220475000</v>
      </c>
      <c r="U843" s="155">
        <v>236057</v>
      </c>
      <c r="V843" s="155">
        <v>145703</v>
      </c>
      <c r="AA843" s="180" t="str">
        <f>VLOOKUP(A843,[2]DG!$A:$C,3,0)</f>
        <v>Máy biến áp 22/0,4kV- 560kVA</v>
      </c>
    </row>
    <row r="844" spans="1:27" ht="20.100000000000001" hidden="1" customHeight="1">
      <c r="A844" s="873" t="s">
        <v>1528</v>
      </c>
      <c r="B844" s="860" t="s">
        <v>4075</v>
      </c>
      <c r="C844" s="429" t="s">
        <v>4349</v>
      </c>
      <c r="D844" s="417" t="s">
        <v>1480</v>
      </c>
      <c r="E844" s="833">
        <v>384573000</v>
      </c>
      <c r="F844" s="833">
        <f t="shared" si="79"/>
        <v>2026850.3640000001</v>
      </c>
      <c r="G844" s="833">
        <f t="shared" si="80"/>
        <v>540724.45846153842</v>
      </c>
      <c r="H844" s="834" t="s">
        <v>4065</v>
      </c>
      <c r="I844" s="835" t="s">
        <v>3375</v>
      </c>
      <c r="J844" s="836">
        <f>70*(J845-J843)/(750-560)+J843</f>
        <v>7.14</v>
      </c>
      <c r="K844" s="836">
        <v>1.1000000000000001</v>
      </c>
      <c r="L844" s="836"/>
      <c r="M844" s="836">
        <v>0.36</v>
      </c>
      <c r="N844" s="836"/>
      <c r="O844" s="836"/>
      <c r="P844" s="836"/>
      <c r="Q844" s="836"/>
      <c r="R844" s="837">
        <v>2500</v>
      </c>
      <c r="T844" s="155">
        <v>237565000</v>
      </c>
      <c r="U844" s="155">
        <v>236057</v>
      </c>
      <c r="V844" s="155">
        <v>145703</v>
      </c>
      <c r="AA844" s="180" t="str">
        <f>VLOOKUP(A844,[2]DG!$A:$C,3,0)</f>
        <v>Máy biến áp 22/0,4kV- 630kVA</v>
      </c>
    </row>
    <row r="845" spans="1:27" ht="20.100000000000001" hidden="1" customHeight="1">
      <c r="A845" s="873" t="s">
        <v>1530</v>
      </c>
      <c r="B845" s="860" t="s">
        <v>4075</v>
      </c>
      <c r="C845" s="429" t="s">
        <v>4350</v>
      </c>
      <c r="D845" s="417" t="s">
        <v>1480</v>
      </c>
      <c r="E845" s="833">
        <v>408610000</v>
      </c>
      <c r="F845" s="833">
        <f t="shared" si="79"/>
        <v>2129044.5000000005</v>
      </c>
      <c r="G845" s="833">
        <f t="shared" si="80"/>
        <v>540724.45846153842</v>
      </c>
      <c r="H845" s="834" t="s">
        <v>4065</v>
      </c>
      <c r="I845" s="835" t="s">
        <v>3375</v>
      </c>
      <c r="J845" s="836">
        <v>7.5</v>
      </c>
      <c r="K845" s="836">
        <v>1.1000000000000001</v>
      </c>
      <c r="L845" s="836"/>
      <c r="M845" s="836">
        <v>0.36</v>
      </c>
      <c r="N845" s="836"/>
      <c r="O845" s="836"/>
      <c r="P845" s="836"/>
      <c r="Q845" s="836"/>
      <c r="R845" s="837">
        <v>2800</v>
      </c>
      <c r="T845" s="155">
        <v>252713000</v>
      </c>
      <c r="U845" s="155">
        <v>274207</v>
      </c>
      <c r="V845" s="155">
        <v>165261</v>
      </c>
      <c r="AA845" s="180" t="str">
        <f>VLOOKUP(A845,[2]DG!$A:$C,3,0)</f>
        <v>Máy biến áp 22/0,4kV- 750kVA</v>
      </c>
    </row>
    <row r="846" spans="1:27" ht="20.100000000000001" customHeight="1">
      <c r="A846" s="873" t="s">
        <v>1532</v>
      </c>
      <c r="B846" s="860" t="s">
        <v>4076</v>
      </c>
      <c r="C846" s="429" t="s">
        <v>4351</v>
      </c>
      <c r="D846" s="417" t="s">
        <v>1480</v>
      </c>
      <c r="E846" s="833">
        <v>436186000</v>
      </c>
      <c r="F846" s="833">
        <f t="shared" si="79"/>
        <v>2285174.4300000006</v>
      </c>
      <c r="G846" s="833">
        <f t="shared" si="80"/>
        <v>585784.82999999996</v>
      </c>
      <c r="H846" s="834" t="s">
        <v>4065</v>
      </c>
      <c r="I846" s="835" t="s">
        <v>3375</v>
      </c>
      <c r="J846" s="836">
        <v>8.0500000000000007</v>
      </c>
      <c r="K846" s="836">
        <v>1.1000000000000001</v>
      </c>
      <c r="L846" s="836"/>
      <c r="M846" s="836">
        <v>0.39</v>
      </c>
      <c r="N846" s="836"/>
      <c r="O846" s="836"/>
      <c r="P846" s="836"/>
      <c r="Q846" s="836"/>
      <c r="R846" s="837">
        <v>3000</v>
      </c>
      <c r="T846" s="155">
        <v>269615000</v>
      </c>
      <c r="U846" s="155">
        <v>274207</v>
      </c>
      <c r="V846" s="155">
        <v>165261</v>
      </c>
      <c r="AA846" s="180" t="str">
        <f>VLOOKUP(A846,[2]DG!$A:$C,3,0)</f>
        <v>Máy biến áp 22/0,4kV- 800kVA - Amorphous</v>
      </c>
    </row>
    <row r="847" spans="1:27" ht="20.100000000000001" hidden="1" customHeight="1">
      <c r="A847" s="873" t="s">
        <v>1533</v>
      </c>
      <c r="B847" s="860" t="s">
        <v>4076</v>
      </c>
      <c r="C847" s="429" t="s">
        <v>4352</v>
      </c>
      <c r="D847" s="417" t="s">
        <v>1480</v>
      </c>
      <c r="E847" s="833">
        <v>521958000</v>
      </c>
      <c r="F847" s="833">
        <f t="shared" si="79"/>
        <v>2285174.4300000006</v>
      </c>
      <c r="G847" s="833">
        <f t="shared" si="80"/>
        <v>585784.82999999996</v>
      </c>
      <c r="H847" s="834" t="s">
        <v>4065</v>
      </c>
      <c r="I847" s="835" t="s">
        <v>3375</v>
      </c>
      <c r="J847" s="836">
        <v>8.0500000000000007</v>
      </c>
      <c r="K847" s="836">
        <v>1.1000000000000001</v>
      </c>
      <c r="L847" s="836"/>
      <c r="M847" s="836">
        <v>0.39</v>
      </c>
      <c r="N847" s="836"/>
      <c r="O847" s="836"/>
      <c r="P847" s="836"/>
      <c r="Q847" s="836"/>
      <c r="R847" s="837">
        <v>4000</v>
      </c>
      <c r="T847" s="155">
        <v>322950000</v>
      </c>
      <c r="U847" s="155">
        <v>274207</v>
      </c>
      <c r="V847" s="155">
        <v>165261</v>
      </c>
      <c r="AA847" s="180" t="str">
        <f>VLOOKUP(A847,[2]DG!$A:$C,3,0)</f>
        <v>Máy biến áp 22/0,4kV- 1000kVA</v>
      </c>
    </row>
    <row r="848" spans="1:27" ht="20.100000000000001" hidden="1" customHeight="1">
      <c r="A848" s="873" t="s">
        <v>1535</v>
      </c>
      <c r="B848" s="860" t="s">
        <v>4076</v>
      </c>
      <c r="C848" s="429" t="s">
        <v>4353</v>
      </c>
      <c r="D848" s="417" t="s">
        <v>1480</v>
      </c>
      <c r="E848" s="833">
        <v>616819000</v>
      </c>
      <c r="F848" s="833">
        <f t="shared" si="79"/>
        <v>2285174.4300000006</v>
      </c>
      <c r="G848" s="833">
        <f t="shared" si="80"/>
        <v>585784.82999999996</v>
      </c>
      <c r="H848" s="834" t="s">
        <v>4065</v>
      </c>
      <c r="I848" s="835" t="s">
        <v>3375</v>
      </c>
      <c r="J848" s="836">
        <v>8.0500000000000007</v>
      </c>
      <c r="K848" s="836">
        <v>1.1000000000000001</v>
      </c>
      <c r="L848" s="836"/>
      <c r="M848" s="836">
        <v>0.39</v>
      </c>
      <c r="N848" s="836"/>
      <c r="O848" s="836"/>
      <c r="P848" s="836"/>
      <c r="Q848" s="836"/>
      <c r="R848" s="837">
        <v>4250</v>
      </c>
      <c r="T848" s="155">
        <v>371809000</v>
      </c>
      <c r="U848" s="155">
        <v>274207</v>
      </c>
      <c r="V848" s="155">
        <v>165261</v>
      </c>
      <c r="AA848" s="180" t="str">
        <f>VLOOKUP(A848,[2]DG!$A:$C,3,0)</f>
        <v>Máy biến áp 22/0,4kV- 1250kVA</v>
      </c>
    </row>
    <row r="849" spans="1:27" ht="20.100000000000001" hidden="1" customHeight="1">
      <c r="A849" s="873" t="s">
        <v>1536</v>
      </c>
      <c r="B849" s="860" t="s">
        <v>4076</v>
      </c>
      <c r="C849" s="429" t="s">
        <v>4354</v>
      </c>
      <c r="D849" s="417" t="s">
        <v>1480</v>
      </c>
      <c r="E849" s="833">
        <v>715750000</v>
      </c>
      <c r="F849" s="833">
        <f t="shared" si="79"/>
        <v>2285174.4300000006</v>
      </c>
      <c r="G849" s="833">
        <f t="shared" si="80"/>
        <v>585784.82999999996</v>
      </c>
      <c r="H849" s="834" t="s">
        <v>4065</v>
      </c>
      <c r="I849" s="835" t="s">
        <v>3375</v>
      </c>
      <c r="J849" s="836">
        <v>8.0500000000000007</v>
      </c>
      <c r="K849" s="836">
        <v>1.1000000000000001</v>
      </c>
      <c r="L849" s="836"/>
      <c r="M849" s="836">
        <v>0.39</v>
      </c>
      <c r="N849" s="836"/>
      <c r="O849" s="836"/>
      <c r="P849" s="836"/>
      <c r="Q849" s="836"/>
      <c r="R849" s="837">
        <v>4300</v>
      </c>
      <c r="T849" s="155">
        <v>420236000</v>
      </c>
      <c r="U849" s="155">
        <v>274207</v>
      </c>
      <c r="V849" s="155">
        <v>165261</v>
      </c>
      <c r="AA849" s="180" t="str">
        <f>VLOOKUP(A849,[2]DG!$A:$C,3,0)</f>
        <v>Máy biến áp 22/0,4kV- 1500kVA</v>
      </c>
    </row>
    <row r="850" spans="1:27" ht="20.100000000000001" hidden="1" customHeight="1">
      <c r="A850" s="873" t="s">
        <v>1537</v>
      </c>
      <c r="B850" s="860" t="s">
        <v>4076</v>
      </c>
      <c r="C850" s="429" t="s">
        <v>4355</v>
      </c>
      <c r="D850" s="417" t="s">
        <v>1480</v>
      </c>
      <c r="E850" s="833">
        <v>723387000</v>
      </c>
      <c r="F850" s="833">
        <f t="shared" si="79"/>
        <v>2285174.4300000006</v>
      </c>
      <c r="G850" s="833">
        <f t="shared" si="80"/>
        <v>585784.82999999996</v>
      </c>
      <c r="H850" s="834" t="s">
        <v>4065</v>
      </c>
      <c r="I850" s="835" t="s">
        <v>3375</v>
      </c>
      <c r="J850" s="836">
        <v>8.0500000000000007</v>
      </c>
      <c r="K850" s="836">
        <v>1.1000000000000001</v>
      </c>
      <c r="L850" s="836"/>
      <c r="M850" s="836">
        <v>0.39</v>
      </c>
      <c r="N850" s="836"/>
      <c r="O850" s="836"/>
      <c r="P850" s="836"/>
      <c r="Q850" s="836"/>
      <c r="R850" s="837">
        <v>4500</v>
      </c>
      <c r="T850" s="155">
        <v>448311000</v>
      </c>
      <c r="U850" s="155">
        <v>274207</v>
      </c>
      <c r="V850" s="155">
        <v>165261</v>
      </c>
      <c r="AA850" s="180" t="str">
        <f>VLOOKUP(A850,[2]DG!$A:$C,3,0)</f>
        <v>Máy biến áp 22/0,4kV- 1600kVA</v>
      </c>
    </row>
    <row r="851" spans="1:27" ht="20.100000000000001" hidden="1" customHeight="1">
      <c r="A851" s="873" t="s">
        <v>1538</v>
      </c>
      <c r="B851" s="860" t="s">
        <v>4076</v>
      </c>
      <c r="C851" s="429" t="s">
        <v>4356</v>
      </c>
      <c r="D851" s="417" t="s">
        <v>1480</v>
      </c>
      <c r="E851" s="833">
        <v>889161000</v>
      </c>
      <c r="F851" s="833">
        <f t="shared" si="79"/>
        <v>2285174.4300000006</v>
      </c>
      <c r="G851" s="833">
        <f t="shared" si="80"/>
        <v>585784.82999999996</v>
      </c>
      <c r="H851" s="834" t="s">
        <v>4065</v>
      </c>
      <c r="I851" s="835" t="s">
        <v>3375</v>
      </c>
      <c r="J851" s="836">
        <v>8.0500000000000007</v>
      </c>
      <c r="K851" s="836">
        <v>1.1000000000000001</v>
      </c>
      <c r="L851" s="836"/>
      <c r="M851" s="836">
        <v>0.39</v>
      </c>
      <c r="N851" s="836"/>
      <c r="O851" s="836"/>
      <c r="P851" s="836"/>
      <c r="Q851" s="836"/>
      <c r="R851" s="837">
        <v>5000</v>
      </c>
      <c r="T851" s="155">
        <v>560615000</v>
      </c>
      <c r="U851" s="155">
        <v>274207</v>
      </c>
      <c r="V851" s="155">
        <v>165261</v>
      </c>
      <c r="AA851" s="180" t="str">
        <f>VLOOKUP(A851,[2]DG!$A:$C,3,0)</f>
        <v>Máy biến áp 22/0,4kV- 2000kVA</v>
      </c>
    </row>
    <row r="852" spans="1:27" ht="20.100000000000001" hidden="1" customHeight="1">
      <c r="A852" s="873" t="s">
        <v>1539</v>
      </c>
      <c r="B852" s="860" t="s">
        <v>4076</v>
      </c>
      <c r="C852" s="429" t="s">
        <v>4357</v>
      </c>
      <c r="D852" s="417" t="s">
        <v>1480</v>
      </c>
      <c r="E852" s="833">
        <v>889161000</v>
      </c>
      <c r="F852" s="833">
        <f t="shared" si="79"/>
        <v>2285174.4300000006</v>
      </c>
      <c r="G852" s="833">
        <f t="shared" si="80"/>
        <v>585784.82999999996</v>
      </c>
      <c r="H852" s="834" t="s">
        <v>4065</v>
      </c>
      <c r="I852" s="835" t="s">
        <v>3375</v>
      </c>
      <c r="J852" s="836">
        <v>8.0500000000000007</v>
      </c>
      <c r="K852" s="836">
        <v>1.1000000000000001</v>
      </c>
      <c r="L852" s="836"/>
      <c r="M852" s="836">
        <v>0.39</v>
      </c>
      <c r="N852" s="836"/>
      <c r="O852" s="836"/>
      <c r="P852" s="836"/>
      <c r="Q852" s="836"/>
      <c r="R852" s="837">
        <v>5500</v>
      </c>
      <c r="T852" s="155">
        <v>372000000</v>
      </c>
      <c r="U852" s="155">
        <v>274207</v>
      </c>
      <c r="V852" s="155">
        <v>165261</v>
      </c>
      <c r="AA852" s="180" t="str">
        <f>VLOOKUP(A852,[2]DG!$A:$C,3,0)</f>
        <v>Máy biến áp 22/0,4kV- 2500kVA</v>
      </c>
    </row>
    <row r="853" spans="1:27" ht="20.100000000000001" hidden="1" customHeight="1">
      <c r="A853" s="873" t="s">
        <v>1540</v>
      </c>
      <c r="B853" s="860" t="s">
        <v>4076</v>
      </c>
      <c r="C853" s="429" t="s">
        <v>4358</v>
      </c>
      <c r="D853" s="417" t="s">
        <v>1480</v>
      </c>
      <c r="E853" s="833">
        <v>889161000</v>
      </c>
      <c r="F853" s="833">
        <f t="shared" si="79"/>
        <v>2285174.4300000006</v>
      </c>
      <c r="G853" s="833">
        <f t="shared" si="80"/>
        <v>585784.82999999996</v>
      </c>
      <c r="H853" s="834" t="s">
        <v>4065</v>
      </c>
      <c r="I853" s="835" t="s">
        <v>3375</v>
      </c>
      <c r="J853" s="836">
        <v>8.0500000000000007</v>
      </c>
      <c r="K853" s="836">
        <v>1.1000000000000001</v>
      </c>
      <c r="L853" s="836"/>
      <c r="M853" s="836">
        <v>0.39</v>
      </c>
      <c r="N853" s="836"/>
      <c r="O853" s="836"/>
      <c r="P853" s="836"/>
      <c r="Q853" s="836"/>
      <c r="R853" s="837">
        <v>6000</v>
      </c>
      <c r="T853" s="155">
        <v>415000000</v>
      </c>
      <c r="U853" s="155">
        <v>274207</v>
      </c>
      <c r="V853" s="155">
        <v>165261</v>
      </c>
      <c r="AA853" s="180" t="str">
        <f>VLOOKUP(A853,[2]DG!$A:$C,3,0)</f>
        <v>Máy biến áp 22/0,4kV- 3000kVA</v>
      </c>
    </row>
    <row r="854" spans="1:27" ht="20.100000000000001" hidden="1" customHeight="1">
      <c r="A854" s="873" t="s">
        <v>1541</v>
      </c>
      <c r="B854" s="860" t="s">
        <v>4076</v>
      </c>
      <c r="C854" s="429" t="s">
        <v>4359</v>
      </c>
      <c r="D854" s="417" t="s">
        <v>1480</v>
      </c>
      <c r="E854" s="833">
        <v>889161000</v>
      </c>
      <c r="F854" s="833">
        <f t="shared" si="79"/>
        <v>2285174.4300000006</v>
      </c>
      <c r="G854" s="833">
        <f t="shared" si="80"/>
        <v>585784.82999999996</v>
      </c>
      <c r="H854" s="834" t="s">
        <v>4065</v>
      </c>
      <c r="I854" s="835" t="s">
        <v>3375</v>
      </c>
      <c r="J854" s="836">
        <v>8.0500000000000007</v>
      </c>
      <c r="K854" s="836">
        <v>1.1000000000000001</v>
      </c>
      <c r="L854" s="836"/>
      <c r="M854" s="836">
        <v>0.39</v>
      </c>
      <c r="N854" s="836"/>
      <c r="O854" s="836"/>
      <c r="P854" s="836"/>
      <c r="Q854" s="836"/>
      <c r="R854" s="837">
        <v>6500</v>
      </c>
      <c r="T854" s="155">
        <v>673000000</v>
      </c>
      <c r="U854" s="155">
        <v>274207</v>
      </c>
      <c r="V854" s="155">
        <v>165261</v>
      </c>
      <c r="AA854" s="180" t="str">
        <f>VLOOKUP(A854,[2]DG!$A:$C,3,0)</f>
        <v>Máy biến áp 22/0,4kV- 4000kVA</v>
      </c>
    </row>
    <row r="855" spans="1:27" ht="20.100000000000001" hidden="1" customHeight="1">
      <c r="A855" s="873" t="s">
        <v>1478</v>
      </c>
      <c r="B855" s="860" t="s">
        <v>1479</v>
      </c>
      <c r="C855" s="429" t="s">
        <v>4330</v>
      </c>
      <c r="D855" s="417" t="s">
        <v>1480</v>
      </c>
      <c r="E855" s="833">
        <v>32991000</v>
      </c>
      <c r="F855" s="833">
        <f t="shared" ref="F855:F860" si="81">IF(OR(I855="",J855=""),0,IF(K855*1=0,1,K855)*VLOOKUP(I855,TIENLUONG,4,0)*J855)</f>
        <v>0</v>
      </c>
      <c r="G855" s="833">
        <f t="shared" ref="G855:G860" si="82">L855*VLOOKUP($L$1,CAMAY,2,0)+M855*VLOOKUP($M$1,CAMAY,2,0)+N855*VLOOKUP($N$1,CAMAY,2,0)+O855*VLOOKUP($O$1,CAMAY,2,0)+P855*VLOOKUP($P$1,CAMAY,2,0)</f>
        <v>0</v>
      </c>
      <c r="H855" s="834">
        <v>1</v>
      </c>
      <c r="I855" s="835"/>
      <c r="J855" s="836"/>
      <c r="K855" s="836"/>
      <c r="L855" s="836"/>
      <c r="M855" s="836"/>
      <c r="N855" s="836"/>
      <c r="O855" s="836"/>
      <c r="P855" s="836"/>
      <c r="Q855" s="836"/>
      <c r="R855" s="837">
        <v>129</v>
      </c>
      <c r="T855" s="155">
        <v>15452000</v>
      </c>
      <c r="U855" s="155">
        <v>77663</v>
      </c>
      <c r="V855" s="155">
        <v>103819</v>
      </c>
      <c r="AA855" s="180" t="str">
        <f>VLOOKUP(A855,[2]DG!$A:$C,3,0)</f>
        <v>Máy biến áp 8,6(12,7)/0,22- 0,44kV  15kVA</v>
      </c>
    </row>
    <row r="856" spans="1:27" ht="20.100000000000001" hidden="1" customHeight="1">
      <c r="A856" s="873" t="s">
        <v>1481</v>
      </c>
      <c r="B856" s="860" t="s">
        <v>1479</v>
      </c>
      <c r="C856" s="429" t="s">
        <v>4331</v>
      </c>
      <c r="D856" s="417" t="s">
        <v>1480</v>
      </c>
      <c r="E856" s="833">
        <v>41513000</v>
      </c>
      <c r="F856" s="833">
        <f t="shared" si="81"/>
        <v>0</v>
      </c>
      <c r="G856" s="833">
        <f t="shared" si="82"/>
        <v>0</v>
      </c>
      <c r="H856" s="834">
        <v>1</v>
      </c>
      <c r="I856" s="835"/>
      <c r="J856" s="836"/>
      <c r="K856" s="836"/>
      <c r="L856" s="836"/>
      <c r="M856" s="836"/>
      <c r="N856" s="836"/>
      <c r="O856" s="836"/>
      <c r="P856" s="836"/>
      <c r="Q856" s="836"/>
      <c r="R856" s="837">
        <v>180</v>
      </c>
      <c r="T856" s="155">
        <v>19792000</v>
      </c>
      <c r="U856" s="155">
        <v>77663</v>
      </c>
      <c r="V856" s="155">
        <v>103819</v>
      </c>
      <c r="AA856" s="180" t="str">
        <f>VLOOKUP(A856,[2]DG!$A:$C,3,0)</f>
        <v>Máy biến áp 8,6(12,7)/0,22- 0,44kV  25kVA</v>
      </c>
    </row>
    <row r="857" spans="1:27" ht="20.100000000000001" hidden="1" customHeight="1">
      <c r="A857" s="873" t="s">
        <v>1482</v>
      </c>
      <c r="B857" s="860" t="s">
        <v>1483</v>
      </c>
      <c r="C857" s="429" t="s">
        <v>4332</v>
      </c>
      <c r="D857" s="417" t="s">
        <v>1480</v>
      </c>
      <c r="E857" s="833">
        <v>51310000</v>
      </c>
      <c r="F857" s="833">
        <f t="shared" si="81"/>
        <v>0</v>
      </c>
      <c r="G857" s="833">
        <f t="shared" si="82"/>
        <v>0</v>
      </c>
      <c r="H857" s="834">
        <v>1</v>
      </c>
      <c r="I857" s="835"/>
      <c r="J857" s="836"/>
      <c r="K857" s="836"/>
      <c r="L857" s="836"/>
      <c r="M857" s="836"/>
      <c r="N857" s="836"/>
      <c r="O857" s="836"/>
      <c r="P857" s="836"/>
      <c r="Q857" s="836"/>
      <c r="R857" s="837">
        <v>250</v>
      </c>
      <c r="T857" s="155">
        <v>24684000</v>
      </c>
      <c r="U857" s="155">
        <v>89586</v>
      </c>
      <c r="V857" s="155">
        <v>103819</v>
      </c>
      <c r="AA857" s="180" t="str">
        <f>VLOOKUP(A857,[2]DG!$A:$C,3,0)</f>
        <v>Máy biến áp 8,6(12,7)/0,22-0,44kV- 37,5kVA</v>
      </c>
    </row>
    <row r="858" spans="1:27" ht="20.100000000000001" hidden="1" customHeight="1">
      <c r="A858" s="873" t="s">
        <v>1484</v>
      </c>
      <c r="B858" s="860" t="s">
        <v>1483</v>
      </c>
      <c r="C858" s="429" t="s">
        <v>4333</v>
      </c>
      <c r="D858" s="417" t="s">
        <v>1480</v>
      </c>
      <c r="E858" s="833">
        <v>58335000</v>
      </c>
      <c r="F858" s="833">
        <f t="shared" si="81"/>
        <v>0</v>
      </c>
      <c r="G858" s="833">
        <f t="shared" si="82"/>
        <v>0</v>
      </c>
      <c r="H858" s="834">
        <v>1</v>
      </c>
      <c r="I858" s="835"/>
      <c r="J858" s="836"/>
      <c r="K858" s="836"/>
      <c r="L858" s="836"/>
      <c r="M858" s="836"/>
      <c r="N858" s="836"/>
      <c r="O858" s="836"/>
      <c r="P858" s="836"/>
      <c r="Q858" s="836"/>
      <c r="R858" s="837">
        <v>380</v>
      </c>
      <c r="T858" s="155">
        <v>29131000</v>
      </c>
      <c r="U858" s="155">
        <v>89586</v>
      </c>
      <c r="V858" s="155">
        <v>103819</v>
      </c>
      <c r="AA858" s="180" t="str">
        <f>VLOOKUP(A858,[2]DG!$A:$C,3,0)</f>
        <v>Máy biến áp 8,6(12,7)/0,22-0,44kV- 50kVA</v>
      </c>
    </row>
    <row r="859" spans="1:27" ht="20.100000000000001" hidden="1" customHeight="1">
      <c r="A859" s="873" t="s">
        <v>1485</v>
      </c>
      <c r="B859" s="860" t="s">
        <v>1486</v>
      </c>
      <c r="C859" s="429" t="s">
        <v>4334</v>
      </c>
      <c r="D859" s="417" t="s">
        <v>1480</v>
      </c>
      <c r="E859" s="833">
        <v>77040000</v>
      </c>
      <c r="F859" s="833">
        <f t="shared" si="81"/>
        <v>0</v>
      </c>
      <c r="G859" s="833">
        <f t="shared" si="82"/>
        <v>0</v>
      </c>
      <c r="H859" s="834">
        <v>1</v>
      </c>
      <c r="I859" s="835"/>
      <c r="J859" s="836"/>
      <c r="K859" s="836"/>
      <c r="L859" s="836"/>
      <c r="M859" s="836"/>
      <c r="N859" s="836"/>
      <c r="O859" s="836"/>
      <c r="P859" s="836"/>
      <c r="Q859" s="836"/>
      <c r="R859" s="837">
        <v>505</v>
      </c>
      <c r="T859" s="155">
        <v>38471000</v>
      </c>
      <c r="U859" s="155">
        <v>119221</v>
      </c>
      <c r="V859" s="155">
        <v>103819</v>
      </c>
      <c r="AA859" s="180" t="str">
        <f>VLOOKUP(A859,[2]DG!$A:$C,3,0)</f>
        <v>Máy biến áp 8,6(12,7)/0,22-0,44kV- 75kVA</v>
      </c>
    </row>
    <row r="860" spans="1:27" ht="20.100000000000001" hidden="1" customHeight="1">
      <c r="A860" s="873" t="s">
        <v>1487</v>
      </c>
      <c r="B860" s="859" t="s">
        <v>1488</v>
      </c>
      <c r="C860" s="429" t="s">
        <v>4335</v>
      </c>
      <c r="D860" s="417" t="s">
        <v>1480</v>
      </c>
      <c r="E860" s="833">
        <v>91288000</v>
      </c>
      <c r="F860" s="833">
        <f t="shared" si="81"/>
        <v>0</v>
      </c>
      <c r="G860" s="833">
        <f t="shared" si="82"/>
        <v>0</v>
      </c>
      <c r="H860" s="834">
        <v>1</v>
      </c>
      <c r="I860" s="835"/>
      <c r="J860" s="836"/>
      <c r="K860" s="836"/>
      <c r="L860" s="836"/>
      <c r="M860" s="836"/>
      <c r="N860" s="836"/>
      <c r="O860" s="836"/>
      <c r="P860" s="836"/>
      <c r="Q860" s="836"/>
      <c r="R860" s="837">
        <v>745</v>
      </c>
      <c r="T860" s="155">
        <v>45587000</v>
      </c>
      <c r="U860" s="155">
        <v>126714</v>
      </c>
      <c r="V860" s="155">
        <v>103819</v>
      </c>
      <c r="AA860" s="180" t="str">
        <f>VLOOKUP(A860,[2]DG!$A:$C,3,0)</f>
        <v>Máy biến áp 8,6(12,7)/0,22-0,44kV- 100kVA</v>
      </c>
    </row>
    <row r="861" spans="1:27" ht="20.100000000000001" hidden="1" customHeight="1">
      <c r="A861" s="873" t="s">
        <v>1499</v>
      </c>
      <c r="B861" s="860" t="s">
        <v>4068</v>
      </c>
      <c r="C861" s="429" t="s">
        <v>4360</v>
      </c>
      <c r="D861" s="417" t="s">
        <v>1480</v>
      </c>
      <c r="E861" s="833">
        <v>139493000</v>
      </c>
      <c r="F861" s="833">
        <f t="shared" si="73"/>
        <v>1203619.8240000003</v>
      </c>
      <c r="G861" s="833">
        <f t="shared" si="74"/>
        <v>390523.22</v>
      </c>
      <c r="H861" s="834" t="s">
        <v>4065</v>
      </c>
      <c r="I861" s="835" t="s">
        <v>3375</v>
      </c>
      <c r="J861" s="836">
        <v>4.24</v>
      </c>
      <c r="K861" s="836">
        <v>1.1000000000000001</v>
      </c>
      <c r="L861" s="836"/>
      <c r="M861" s="836">
        <v>0.26</v>
      </c>
      <c r="N861" s="836"/>
      <c r="O861" s="836"/>
      <c r="P861" s="836"/>
      <c r="Q861" s="836"/>
      <c r="R861" s="837">
        <v>800</v>
      </c>
      <c r="T861" s="155">
        <v>139493000</v>
      </c>
      <c r="U861" s="155">
        <v>131143</v>
      </c>
      <c r="V861" s="155">
        <v>122884</v>
      </c>
      <c r="AA861" s="180" t="str">
        <f>VLOOKUP(A861,[2]DG!$A:$C,3,0)</f>
        <v>Máy biến áp 15(22)/0,4kV- 100kVA</v>
      </c>
    </row>
    <row r="862" spans="1:27" ht="20.100000000000001" hidden="1" customHeight="1">
      <c r="A862" s="873" t="s">
        <v>1500</v>
      </c>
      <c r="B862" s="860" t="s">
        <v>4071</v>
      </c>
      <c r="C862" s="429" t="s">
        <v>4361</v>
      </c>
      <c r="D862" s="417" t="s">
        <v>1480</v>
      </c>
      <c r="E862" s="833">
        <v>160209000</v>
      </c>
      <c r="F862" s="833">
        <f t="shared" si="73"/>
        <v>1410846.8220000002</v>
      </c>
      <c r="G862" s="833">
        <f t="shared" si="74"/>
        <v>390523.22</v>
      </c>
      <c r="H862" s="834" t="s">
        <v>4065</v>
      </c>
      <c r="I862" s="835" t="s">
        <v>3375</v>
      </c>
      <c r="J862" s="836">
        <v>4.97</v>
      </c>
      <c r="K862" s="836">
        <v>1.1000000000000001</v>
      </c>
      <c r="L862" s="836"/>
      <c r="M862" s="836">
        <v>0.26</v>
      </c>
      <c r="N862" s="836"/>
      <c r="O862" s="836"/>
      <c r="P862" s="836"/>
      <c r="Q862" s="836"/>
      <c r="R862" s="837">
        <v>904</v>
      </c>
      <c r="T862" s="155">
        <v>160209000</v>
      </c>
      <c r="U862" s="155">
        <v>154987</v>
      </c>
      <c r="V862" s="155">
        <v>122884</v>
      </c>
      <c r="AA862" s="180" t="str">
        <f>VLOOKUP(A862,[2]DG!$A:$C,3,0)</f>
        <v>Máy biến áp 15(22)/0,4kV- 160kVA</v>
      </c>
    </row>
    <row r="863" spans="1:27" ht="20.100000000000001" hidden="1" customHeight="1">
      <c r="A863" s="873" t="s">
        <v>1501</v>
      </c>
      <c r="B863" s="860" t="s">
        <v>4071</v>
      </c>
      <c r="C863" s="429" t="s">
        <v>4362</v>
      </c>
      <c r="D863" s="417" t="s">
        <v>1480</v>
      </c>
      <c r="E863" s="833">
        <v>180373000</v>
      </c>
      <c r="F863" s="833">
        <f t="shared" si="73"/>
        <v>1410846.8220000002</v>
      </c>
      <c r="G863" s="833">
        <f t="shared" si="74"/>
        <v>390523.22</v>
      </c>
      <c r="H863" s="834" t="s">
        <v>4065</v>
      </c>
      <c r="I863" s="835" t="s">
        <v>3375</v>
      </c>
      <c r="J863" s="836">
        <v>4.97</v>
      </c>
      <c r="K863" s="836">
        <v>1.1000000000000001</v>
      </c>
      <c r="L863" s="836"/>
      <c r="M863" s="836">
        <v>0.26</v>
      </c>
      <c r="N863" s="836"/>
      <c r="O863" s="836"/>
      <c r="P863" s="836"/>
      <c r="Q863" s="836"/>
      <c r="R863" s="837">
        <v>1100</v>
      </c>
      <c r="T863" s="155">
        <v>180373000</v>
      </c>
      <c r="U863" s="155">
        <v>154987</v>
      </c>
      <c r="V863" s="155">
        <v>122884</v>
      </c>
      <c r="AA863" s="180" t="str">
        <f>VLOOKUP(A863,[2]DG!$A:$C,3,0)</f>
        <v>Máy biến áp 15(22)/0,4kV- 180kVA</v>
      </c>
    </row>
    <row r="864" spans="1:27" ht="20.100000000000001" hidden="1" customHeight="1">
      <c r="A864" s="873" t="s">
        <v>1502</v>
      </c>
      <c r="B864" s="860" t="s">
        <v>4072</v>
      </c>
      <c r="C864" s="429" t="s">
        <v>4363</v>
      </c>
      <c r="D864" s="417" t="s">
        <v>1480</v>
      </c>
      <c r="E864" s="833">
        <v>230215000</v>
      </c>
      <c r="F864" s="833">
        <f t="shared" si="73"/>
        <v>1649299.8060000001</v>
      </c>
      <c r="G864" s="833">
        <f t="shared" si="74"/>
        <v>495664.08692307689</v>
      </c>
      <c r="H864" s="834" t="s">
        <v>4065</v>
      </c>
      <c r="I864" s="835" t="s">
        <v>3375</v>
      </c>
      <c r="J864" s="836">
        <v>5.81</v>
      </c>
      <c r="K864" s="836">
        <v>1.1000000000000001</v>
      </c>
      <c r="L864" s="836"/>
      <c r="M864" s="836">
        <v>0.33</v>
      </c>
      <c r="N864" s="836"/>
      <c r="O864" s="836"/>
      <c r="P864" s="836"/>
      <c r="Q864" s="836"/>
      <c r="R864" s="837">
        <v>1155</v>
      </c>
      <c r="T864" s="155">
        <v>230215000</v>
      </c>
      <c r="U864" s="155">
        <v>181215</v>
      </c>
      <c r="V864" s="155">
        <v>145703</v>
      </c>
      <c r="AA864" s="180" t="str">
        <f>VLOOKUP(A864,[2]DG!$A:$C,3,0)</f>
        <v>Máy biến áp 15(22)/0,4kV- 250kVA</v>
      </c>
    </row>
    <row r="865" spans="1:27" ht="20.100000000000001" hidden="1" customHeight="1">
      <c r="A865" s="873" t="s">
        <v>1503</v>
      </c>
      <c r="B865" s="860" t="s">
        <v>4072</v>
      </c>
      <c r="C865" s="429" t="s">
        <v>4364</v>
      </c>
      <c r="D865" s="417" t="s">
        <v>1480</v>
      </c>
      <c r="E865" s="833">
        <v>277826000</v>
      </c>
      <c r="F865" s="833">
        <f t="shared" si="73"/>
        <v>1649299.8060000001</v>
      </c>
      <c r="G865" s="833">
        <f t="shared" si="74"/>
        <v>495664.08692307689</v>
      </c>
      <c r="H865" s="834" t="s">
        <v>4065</v>
      </c>
      <c r="I865" s="835" t="s">
        <v>3375</v>
      </c>
      <c r="J865" s="836">
        <v>5.81</v>
      </c>
      <c r="K865" s="836">
        <v>1.1000000000000001</v>
      </c>
      <c r="L865" s="836"/>
      <c r="M865" s="836">
        <v>0.33</v>
      </c>
      <c r="N865" s="836"/>
      <c r="O865" s="836"/>
      <c r="P865" s="836"/>
      <c r="Q865" s="836"/>
      <c r="R865" s="837">
        <v>1400</v>
      </c>
      <c r="T865" s="155">
        <v>277826000</v>
      </c>
      <c r="U865" s="155">
        <v>181215</v>
      </c>
      <c r="V865" s="155">
        <v>145703</v>
      </c>
      <c r="AA865" s="180" t="str">
        <f>VLOOKUP(A865,[2]DG!$A:$C,3,0)</f>
        <v>Máy biến áp 15(22)/0,4kV- 320kVA</v>
      </c>
    </row>
    <row r="866" spans="1:27" ht="20.100000000000001" hidden="1" customHeight="1">
      <c r="A866" s="873" t="s">
        <v>1504</v>
      </c>
      <c r="B866" s="860" t="s">
        <v>4073</v>
      </c>
      <c r="C866" s="429" t="s">
        <v>4365</v>
      </c>
      <c r="D866" s="417" t="s">
        <v>1480</v>
      </c>
      <c r="E866" s="833">
        <v>324723000</v>
      </c>
      <c r="F866" s="833">
        <f t="shared" si="73"/>
        <v>1967237.1180000002</v>
      </c>
      <c r="G866" s="833">
        <f t="shared" si="74"/>
        <v>495664.08692307689</v>
      </c>
      <c r="H866" s="834" t="s">
        <v>4065</v>
      </c>
      <c r="I866" s="835" t="s">
        <v>3375</v>
      </c>
      <c r="J866" s="836">
        <v>6.93</v>
      </c>
      <c r="K866" s="836">
        <v>1.1000000000000001</v>
      </c>
      <c r="L866" s="836"/>
      <c r="M866" s="836">
        <v>0.33</v>
      </c>
      <c r="N866" s="836"/>
      <c r="O866" s="836"/>
      <c r="P866" s="836"/>
      <c r="Q866" s="836"/>
      <c r="R866" s="837">
        <v>1800</v>
      </c>
      <c r="T866" s="155">
        <v>324723000</v>
      </c>
      <c r="U866" s="155">
        <v>181215</v>
      </c>
      <c r="V866" s="155">
        <v>145703</v>
      </c>
      <c r="AA866" s="180" t="str">
        <f>VLOOKUP(A866,[2]DG!$A:$C,3,0)</f>
        <v>Máy biến áp 15(22)/0,4kV- 400kVA</v>
      </c>
    </row>
    <row r="867" spans="1:27" ht="20.100000000000001" hidden="1" customHeight="1">
      <c r="A867" s="873" t="s">
        <v>1505</v>
      </c>
      <c r="B867" s="860" t="s">
        <v>4074</v>
      </c>
      <c r="C867" s="429" t="s">
        <v>4366</v>
      </c>
      <c r="D867" s="417" t="s">
        <v>1480</v>
      </c>
      <c r="E867" s="833">
        <v>372166000</v>
      </c>
      <c r="F867" s="833">
        <f t="shared" si="73"/>
        <v>1967237.1180000002</v>
      </c>
      <c r="G867" s="833">
        <f t="shared" si="74"/>
        <v>495664.08692307689</v>
      </c>
      <c r="H867" s="834" t="s">
        <v>4065</v>
      </c>
      <c r="I867" s="835" t="s">
        <v>3375</v>
      </c>
      <c r="J867" s="836">
        <v>6.93</v>
      </c>
      <c r="K867" s="836">
        <v>1.1000000000000001</v>
      </c>
      <c r="L867" s="836"/>
      <c r="M867" s="836">
        <v>0.33</v>
      </c>
      <c r="N867" s="836"/>
      <c r="O867" s="836"/>
      <c r="P867" s="836"/>
      <c r="Q867" s="836"/>
      <c r="R867" s="837">
        <v>2069</v>
      </c>
      <c r="T867" s="155">
        <v>372166000</v>
      </c>
      <c r="U867" s="155">
        <v>214597</v>
      </c>
      <c r="V867" s="155">
        <v>145703</v>
      </c>
      <c r="AA867" s="180" t="str">
        <f>VLOOKUP(A867,[2]DG!$A:$C,3,0)</f>
        <v>Máy biến áp 15(22)/0,4kV- 560kVA</v>
      </c>
    </row>
    <row r="868" spans="1:27" ht="20.100000000000001" hidden="1" customHeight="1">
      <c r="A868" s="873" t="s">
        <v>1506</v>
      </c>
      <c r="B868" s="860" t="s">
        <v>4075</v>
      </c>
      <c r="C868" s="429" t="s">
        <v>4367</v>
      </c>
      <c r="D868" s="417" t="s">
        <v>1480</v>
      </c>
      <c r="E868" s="833">
        <v>384573000</v>
      </c>
      <c r="F868" s="833">
        <f t="shared" si="73"/>
        <v>2129044.5000000005</v>
      </c>
      <c r="G868" s="833">
        <f t="shared" si="74"/>
        <v>540724.45846153842</v>
      </c>
      <c r="H868" s="834" t="s">
        <v>4065</v>
      </c>
      <c r="I868" s="835" t="s">
        <v>3375</v>
      </c>
      <c r="J868" s="836">
        <v>7.5</v>
      </c>
      <c r="K868" s="836">
        <v>1.1000000000000001</v>
      </c>
      <c r="L868" s="836"/>
      <c r="M868" s="836">
        <v>0.36</v>
      </c>
      <c r="N868" s="836"/>
      <c r="O868" s="836"/>
      <c r="P868" s="836"/>
      <c r="Q868" s="836"/>
      <c r="R868" s="837">
        <v>2500</v>
      </c>
      <c r="T868" s="155">
        <v>384573000</v>
      </c>
      <c r="U868" s="155">
        <v>214597</v>
      </c>
      <c r="V868" s="155">
        <v>145703</v>
      </c>
      <c r="AA868" s="180" t="str">
        <f>VLOOKUP(A868,[2]DG!$A:$C,3,0)</f>
        <v>Máy biến áp 15(22)/0,4kV- 630kVA</v>
      </c>
    </row>
    <row r="869" spans="1:27" ht="20.100000000000001" hidden="1" customHeight="1">
      <c r="A869" s="873" t="s">
        <v>1507</v>
      </c>
      <c r="B869" s="860" t="s">
        <v>4075</v>
      </c>
      <c r="C869" s="429" t="s">
        <v>4368</v>
      </c>
      <c r="D869" s="417" t="s">
        <v>1480</v>
      </c>
      <c r="E869" s="833">
        <v>408610000</v>
      </c>
      <c r="F869" s="833">
        <f t="shared" si="73"/>
        <v>2129044.5000000005</v>
      </c>
      <c r="G869" s="833">
        <f t="shared" si="74"/>
        <v>540724.45846153842</v>
      </c>
      <c r="H869" s="834" t="s">
        <v>4065</v>
      </c>
      <c r="I869" s="835" t="s">
        <v>3375</v>
      </c>
      <c r="J869" s="836">
        <v>7.5</v>
      </c>
      <c r="K869" s="836">
        <v>1.1000000000000001</v>
      </c>
      <c r="L869" s="836"/>
      <c r="M869" s="836">
        <v>0.36</v>
      </c>
      <c r="N869" s="836"/>
      <c r="O869" s="836"/>
      <c r="P869" s="836"/>
      <c r="Q869" s="836"/>
      <c r="R869" s="837">
        <v>2800</v>
      </c>
      <c r="T869" s="155">
        <v>408610000</v>
      </c>
      <c r="U869" s="155">
        <v>250363</v>
      </c>
      <c r="V869" s="155">
        <v>165261</v>
      </c>
      <c r="AA869" s="180" t="str">
        <f>VLOOKUP(A869,[2]DG!$A:$C,3,0)</f>
        <v>Máy biến áp 15(22)/0,4kV- 750kVA</v>
      </c>
    </row>
    <row r="870" spans="1:27" ht="20.100000000000001" hidden="1" customHeight="1">
      <c r="A870" s="873" t="s">
        <v>1508</v>
      </c>
      <c r="B870" s="860" t="s">
        <v>4076</v>
      </c>
      <c r="C870" s="429" t="s">
        <v>4369</v>
      </c>
      <c r="D870" s="417" t="s">
        <v>1480</v>
      </c>
      <c r="E870" s="833">
        <v>521958000</v>
      </c>
      <c r="F870" s="833">
        <f t="shared" si="73"/>
        <v>2285174.4300000006</v>
      </c>
      <c r="G870" s="833">
        <f t="shared" si="74"/>
        <v>585784.82999999996</v>
      </c>
      <c r="H870" s="834" t="s">
        <v>4065</v>
      </c>
      <c r="I870" s="835" t="s">
        <v>3375</v>
      </c>
      <c r="J870" s="836">
        <v>8.0500000000000007</v>
      </c>
      <c r="K870" s="836">
        <v>1.1000000000000001</v>
      </c>
      <c r="L870" s="836"/>
      <c r="M870" s="836">
        <v>0.39</v>
      </c>
      <c r="N870" s="836"/>
      <c r="O870" s="836"/>
      <c r="P870" s="836"/>
      <c r="Q870" s="836"/>
      <c r="R870" s="837">
        <v>3000</v>
      </c>
      <c r="T870" s="155">
        <v>521958000</v>
      </c>
      <c r="U870" s="155">
        <v>250363</v>
      </c>
      <c r="V870" s="155">
        <v>165261</v>
      </c>
      <c r="AA870" s="180" t="str">
        <f>VLOOKUP(A870,[2]DG!$A:$C,3,0)</f>
        <v>Máy biến áp 15(22)/0,4kV- 1000kVA</v>
      </c>
    </row>
    <row r="871" spans="1:27" ht="20.100000000000001" hidden="1" customHeight="1">
      <c r="A871" s="873" t="s">
        <v>1509</v>
      </c>
      <c r="B871" s="860" t="s">
        <v>4076</v>
      </c>
      <c r="C871" s="429" t="s">
        <v>4370</v>
      </c>
      <c r="D871" s="417" t="s">
        <v>1480</v>
      </c>
      <c r="E871" s="833">
        <v>616819000</v>
      </c>
      <c r="F871" s="833">
        <f t="shared" si="73"/>
        <v>2285174.4300000006</v>
      </c>
      <c r="G871" s="833">
        <f t="shared" si="74"/>
        <v>585784.82999999996</v>
      </c>
      <c r="H871" s="834" t="s">
        <v>4065</v>
      </c>
      <c r="I871" s="835" t="s">
        <v>3375</v>
      </c>
      <c r="J871" s="836">
        <v>8.0500000000000007</v>
      </c>
      <c r="K871" s="836">
        <v>1.1000000000000001</v>
      </c>
      <c r="L871" s="836"/>
      <c r="M871" s="836">
        <v>0.39</v>
      </c>
      <c r="N871" s="836"/>
      <c r="O871" s="836"/>
      <c r="P871" s="836"/>
      <c r="Q871" s="836"/>
      <c r="R871" s="837">
        <v>4000</v>
      </c>
      <c r="T871" s="155">
        <v>246728</v>
      </c>
      <c r="U871" s="155">
        <v>250363</v>
      </c>
      <c r="V871" s="155">
        <v>165261</v>
      </c>
      <c r="AA871" s="180" t="str">
        <f>VLOOKUP(A871,[2]DG!$A:$C,3,0)</f>
        <v>Máy biến áp 15(22)/0,4kV- 1250kVA</v>
      </c>
    </row>
    <row r="872" spans="1:27" ht="20.100000000000001" hidden="1" customHeight="1">
      <c r="A872" s="873" t="s">
        <v>1510</v>
      </c>
      <c r="B872" s="860" t="s">
        <v>4076</v>
      </c>
      <c r="C872" s="429" t="s">
        <v>4371</v>
      </c>
      <c r="D872" s="417" t="s">
        <v>1480</v>
      </c>
      <c r="E872" s="833">
        <v>715750000</v>
      </c>
      <c r="F872" s="833">
        <f t="shared" si="73"/>
        <v>2285174.4300000006</v>
      </c>
      <c r="G872" s="833">
        <f t="shared" si="74"/>
        <v>585784.82999999996</v>
      </c>
      <c r="H872" s="834" t="s">
        <v>4065</v>
      </c>
      <c r="I872" s="835" t="s">
        <v>3375</v>
      </c>
      <c r="J872" s="836">
        <v>8.0500000000000007</v>
      </c>
      <c r="K872" s="836">
        <v>1.1000000000000001</v>
      </c>
      <c r="L872" s="836"/>
      <c r="M872" s="836">
        <v>0.39</v>
      </c>
      <c r="N872" s="836"/>
      <c r="O872" s="836"/>
      <c r="P872" s="836"/>
      <c r="Q872" s="836"/>
      <c r="R872" s="837">
        <v>4250</v>
      </c>
      <c r="T872" s="155">
        <v>296049000</v>
      </c>
      <c r="U872" s="155">
        <v>250363</v>
      </c>
      <c r="V872" s="155">
        <v>165261</v>
      </c>
      <c r="AA872" s="180" t="str">
        <f>VLOOKUP(A872,[2]DG!$A:$C,3,0)</f>
        <v>Máy biến áp 15(22)/0,4kV- 1500kVA</v>
      </c>
    </row>
    <row r="873" spans="1:27" ht="20.100000000000001" hidden="1" customHeight="1">
      <c r="A873" s="873" t="s">
        <v>1511</v>
      </c>
      <c r="B873" s="860" t="s">
        <v>4076</v>
      </c>
      <c r="C873" s="429" t="s">
        <v>4372</v>
      </c>
      <c r="D873" s="417" t="s">
        <v>1480</v>
      </c>
      <c r="E873" s="833">
        <v>723387000</v>
      </c>
      <c r="F873" s="833">
        <f t="shared" si="73"/>
        <v>2285174.4300000006</v>
      </c>
      <c r="G873" s="833">
        <f t="shared" si="74"/>
        <v>585784.82999999996</v>
      </c>
      <c r="H873" s="834" t="s">
        <v>4065</v>
      </c>
      <c r="I873" s="835" t="s">
        <v>3375</v>
      </c>
      <c r="J873" s="836">
        <v>8.0500000000000007</v>
      </c>
      <c r="K873" s="836">
        <v>1.1000000000000001</v>
      </c>
      <c r="L873" s="836"/>
      <c r="M873" s="836">
        <v>0.39</v>
      </c>
      <c r="N873" s="836"/>
      <c r="O873" s="836"/>
      <c r="P873" s="836"/>
      <c r="Q873" s="836"/>
      <c r="R873" s="837">
        <v>4300</v>
      </c>
      <c r="T873" s="155">
        <v>315828000</v>
      </c>
      <c r="U873" s="155">
        <v>250363</v>
      </c>
      <c r="V873" s="155">
        <v>165261</v>
      </c>
      <c r="AA873" s="180" t="str">
        <f>VLOOKUP(A873,[2]DG!$A:$C,3,0)</f>
        <v>Máy biến áp 15(22)/0,4kV- 1600kVA</v>
      </c>
    </row>
    <row r="874" spans="1:27" ht="20.100000000000001" hidden="1" customHeight="1">
      <c r="A874" s="873" t="s">
        <v>1512</v>
      </c>
      <c r="B874" s="860" t="s">
        <v>4076</v>
      </c>
      <c r="C874" s="429" t="s">
        <v>4373</v>
      </c>
      <c r="D874" s="417" t="s">
        <v>1480</v>
      </c>
      <c r="E874" s="833">
        <v>889161000</v>
      </c>
      <c r="F874" s="833">
        <f t="shared" si="73"/>
        <v>2285174.4300000006</v>
      </c>
      <c r="G874" s="833">
        <f t="shared" si="74"/>
        <v>585784.82999999996</v>
      </c>
      <c r="H874" s="834" t="s">
        <v>4065</v>
      </c>
      <c r="I874" s="835" t="s">
        <v>3375</v>
      </c>
      <c r="J874" s="836">
        <v>8.0500000000000007</v>
      </c>
      <c r="K874" s="836">
        <v>1.1000000000000001</v>
      </c>
      <c r="L874" s="836"/>
      <c r="M874" s="836">
        <v>0.39</v>
      </c>
      <c r="N874" s="836"/>
      <c r="O874" s="836"/>
      <c r="P874" s="836"/>
      <c r="Q874" s="836"/>
      <c r="R874" s="837">
        <v>4500</v>
      </c>
      <c r="T874" s="155">
        <v>394394000</v>
      </c>
      <c r="U874" s="155">
        <v>250363</v>
      </c>
      <c r="V874" s="155">
        <v>165261</v>
      </c>
      <c r="AA874" s="180" t="str">
        <f>VLOOKUP(A874,[2]DG!$A:$C,3,0)</f>
        <v>Máy biến áp 15(22)/0,4kV- 2000kVA</v>
      </c>
    </row>
    <row r="875" spans="1:27" ht="20.100000000000001" hidden="1" customHeight="1">
      <c r="A875" s="873" t="s">
        <v>1513</v>
      </c>
      <c r="B875" s="860" t="s">
        <v>4076</v>
      </c>
      <c r="C875" s="429" t="s">
        <v>4374</v>
      </c>
      <c r="D875" s="417" t="s">
        <v>1480</v>
      </c>
      <c r="E875" s="833">
        <v>889161000</v>
      </c>
      <c r="F875" s="833">
        <f t="shared" si="73"/>
        <v>2285174.4300000006</v>
      </c>
      <c r="G875" s="833">
        <f t="shared" si="74"/>
        <v>585784.82999999996</v>
      </c>
      <c r="H875" s="834" t="s">
        <v>4065</v>
      </c>
      <c r="I875" s="835" t="s">
        <v>3375</v>
      </c>
      <c r="J875" s="836">
        <v>8.0500000000000007</v>
      </c>
      <c r="K875" s="836">
        <v>1.1000000000000001</v>
      </c>
      <c r="L875" s="836"/>
      <c r="M875" s="836">
        <v>0.39</v>
      </c>
      <c r="N875" s="836"/>
      <c r="O875" s="836"/>
      <c r="P875" s="836"/>
      <c r="Q875" s="836"/>
      <c r="R875" s="837">
        <v>5000</v>
      </c>
      <c r="T875" s="155">
        <v>392000000</v>
      </c>
      <c r="U875" s="155">
        <v>250363</v>
      </c>
      <c r="V875" s="155">
        <v>165261</v>
      </c>
      <c r="AA875" s="180" t="str">
        <f>VLOOKUP(A875,[2]DG!$A:$C,3,0)</f>
        <v>Máy biến áp 15(22)/0,4kV- 2500kVA</v>
      </c>
    </row>
    <row r="876" spans="1:27" ht="20.100000000000001" hidden="1" customHeight="1">
      <c r="A876" s="873" t="s">
        <v>1514</v>
      </c>
      <c r="B876" s="860" t="s">
        <v>4076</v>
      </c>
      <c r="C876" s="429" t="s">
        <v>4375</v>
      </c>
      <c r="D876" s="417" t="s">
        <v>1480</v>
      </c>
      <c r="E876" s="833">
        <v>889161000</v>
      </c>
      <c r="F876" s="833">
        <f t="shared" si="73"/>
        <v>2285174.4300000006</v>
      </c>
      <c r="G876" s="833">
        <f t="shared" si="74"/>
        <v>585784.82999999996</v>
      </c>
      <c r="H876" s="834" t="s">
        <v>4065</v>
      </c>
      <c r="I876" s="835" t="s">
        <v>3375</v>
      </c>
      <c r="J876" s="836">
        <v>8.0500000000000007</v>
      </c>
      <c r="K876" s="836">
        <v>1.1000000000000001</v>
      </c>
      <c r="L876" s="836"/>
      <c r="M876" s="836">
        <v>0.39</v>
      </c>
      <c r="N876" s="836"/>
      <c r="O876" s="836"/>
      <c r="P876" s="836"/>
      <c r="Q876" s="836"/>
      <c r="R876" s="837">
        <v>5500</v>
      </c>
      <c r="T876" s="155">
        <v>424000000</v>
      </c>
      <c r="U876" s="155">
        <v>250363</v>
      </c>
      <c r="V876" s="155">
        <v>165261</v>
      </c>
      <c r="AA876" s="180" t="str">
        <f>VLOOKUP(A876,[2]DG!$A:$C,3,0)</f>
        <v>Máy biến áp 15(22)/0,4kV- 3000kVA</v>
      </c>
    </row>
    <row r="877" spans="1:27" ht="20.100000000000001" hidden="1" customHeight="1">
      <c r="A877" s="873" t="s">
        <v>1515</v>
      </c>
      <c r="B877" s="860" t="s">
        <v>4076</v>
      </c>
      <c r="C877" s="429" t="s">
        <v>4376</v>
      </c>
      <c r="D877" s="417" t="s">
        <v>1480</v>
      </c>
      <c r="E877" s="833">
        <v>889161000</v>
      </c>
      <c r="F877" s="833">
        <f t="shared" si="73"/>
        <v>2285174.4300000006</v>
      </c>
      <c r="G877" s="833">
        <f t="shared" si="74"/>
        <v>585784.82999999996</v>
      </c>
      <c r="H877" s="834" t="s">
        <v>4065</v>
      </c>
      <c r="I877" s="835" t="s">
        <v>3375</v>
      </c>
      <c r="J877" s="836">
        <v>8.0500000000000007</v>
      </c>
      <c r="K877" s="836">
        <v>1.1000000000000001</v>
      </c>
      <c r="L877" s="836"/>
      <c r="M877" s="836">
        <v>0.39</v>
      </c>
      <c r="N877" s="836"/>
      <c r="O877" s="836"/>
      <c r="P877" s="836"/>
      <c r="Q877" s="836"/>
      <c r="R877" s="837">
        <v>6000</v>
      </c>
      <c r="T877" s="155">
        <v>696000000</v>
      </c>
      <c r="U877" s="155">
        <v>250363</v>
      </c>
      <c r="V877" s="155">
        <v>165261</v>
      </c>
      <c r="AA877" s="180" t="str">
        <f>VLOOKUP(A877,[2]DG!$A:$C,3,0)</f>
        <v>Máy biến áp 15(22)/0,4kV- 4000kVA</v>
      </c>
    </row>
    <row r="878" spans="1:27" ht="20.100000000000001" customHeight="1">
      <c r="A878" s="873" t="s">
        <v>1542</v>
      </c>
      <c r="B878" s="859" t="s">
        <v>1543</v>
      </c>
      <c r="C878" s="421" t="s">
        <v>1544</v>
      </c>
      <c r="D878" s="364" t="s">
        <v>9</v>
      </c>
      <c r="E878" s="833">
        <v>1037000</v>
      </c>
      <c r="F878" s="833">
        <f t="shared" ref="F878:F926" si="83">IF(OR(I878="",J878=""),0,IF(K878*1=0,1,K878)*VLOOKUP(I878,TIENLUONG,4,0)*J878)</f>
        <v>0</v>
      </c>
      <c r="G878" s="833">
        <f t="shared" ref="G878:G926" si="84">L878*VLOOKUP($L$1,CAMAY,2,0)+M878*VLOOKUP($M$1,CAMAY,2,0)+N878*VLOOKUP($N$1,CAMAY,2,0)+O878*VLOOKUP($O$1,CAMAY,2,0)+P878*VLOOKUP($P$1,CAMAY,2,0)</f>
        <v>0</v>
      </c>
      <c r="H878" s="834">
        <v>1</v>
      </c>
      <c r="I878" s="835"/>
      <c r="J878" s="836"/>
      <c r="K878" s="836"/>
      <c r="L878" s="836"/>
      <c r="M878" s="836"/>
      <c r="N878" s="836"/>
      <c r="O878" s="836"/>
      <c r="P878" s="836"/>
      <c r="Q878" s="836"/>
      <c r="R878" s="837">
        <v>1.5</v>
      </c>
      <c r="T878" s="155">
        <v>1037000</v>
      </c>
      <c r="U878" s="155">
        <v>55622</v>
      </c>
      <c r="V878" s="155"/>
      <c r="AA878" s="180" t="str">
        <f>VLOOKUP(A878,[2]DG!$A:$C,3,0)</f>
        <v>FCO 24kV - 100A</v>
      </c>
    </row>
    <row r="879" spans="1:27" ht="20.100000000000001" hidden="1" customHeight="1">
      <c r="A879" s="872" t="s">
        <v>1545</v>
      </c>
      <c r="B879" s="859" t="s">
        <v>1543</v>
      </c>
      <c r="C879" s="421" t="s">
        <v>1546</v>
      </c>
      <c r="D879" s="431" t="s">
        <v>9</v>
      </c>
      <c r="E879" s="833">
        <v>1045000</v>
      </c>
      <c r="F879" s="833">
        <f t="shared" si="83"/>
        <v>0</v>
      </c>
      <c r="G879" s="833">
        <f t="shared" si="84"/>
        <v>0</v>
      </c>
      <c r="H879" s="834">
        <v>1</v>
      </c>
      <c r="I879" s="835"/>
      <c r="J879" s="836"/>
      <c r="K879" s="836"/>
      <c r="L879" s="836"/>
      <c r="M879" s="836"/>
      <c r="N879" s="836"/>
      <c r="O879" s="836"/>
      <c r="P879" s="836"/>
      <c r="Q879" s="836"/>
      <c r="R879" s="837">
        <v>1.8</v>
      </c>
      <c r="T879" s="155">
        <v>1045000</v>
      </c>
      <c r="U879" s="155">
        <v>55622</v>
      </c>
      <c r="V879" s="155"/>
      <c r="AA879" s="180" t="str">
        <f>VLOOKUP(A879,[2]DG!$A:$C,3,0)</f>
        <v xml:space="preserve">FCO 24KV - 200A </v>
      </c>
    </row>
    <row r="880" spans="1:27" ht="20.100000000000001" hidden="1" customHeight="1">
      <c r="A880" s="873" t="s">
        <v>1547</v>
      </c>
      <c r="B880" s="859" t="s">
        <v>4077</v>
      </c>
      <c r="C880" s="421" t="s">
        <v>1544</v>
      </c>
      <c r="D880" s="364" t="s">
        <v>9</v>
      </c>
      <c r="E880" s="833">
        <v>2032000</v>
      </c>
      <c r="F880" s="833">
        <f t="shared" si="83"/>
        <v>189551.99999999997</v>
      </c>
      <c r="G880" s="833">
        <f t="shared" si="84"/>
        <v>0</v>
      </c>
      <c r="H880" s="834">
        <v>43636</v>
      </c>
      <c r="I880" s="835" t="s">
        <v>3372</v>
      </c>
      <c r="J880" s="836">
        <v>0.79999999999999993</v>
      </c>
      <c r="K880" s="836"/>
      <c r="L880" s="836"/>
      <c r="M880" s="836"/>
      <c r="N880" s="836"/>
      <c r="O880" s="836"/>
      <c r="P880" s="836"/>
      <c r="Q880" s="836"/>
      <c r="R880" s="837">
        <v>1.5</v>
      </c>
      <c r="T880" s="155">
        <v>1420000</v>
      </c>
      <c r="U880" s="155">
        <v>239556</v>
      </c>
      <c r="V880" s="155">
        <v>0</v>
      </c>
      <c r="AA880" s="180" t="str">
        <f>VLOOKUP(A880,[2]DG!$A:$C,3,0)</f>
        <v>FCO 24kV - 100A</v>
      </c>
    </row>
    <row r="881" spans="1:27" ht="20.100000000000001" hidden="1" customHeight="1">
      <c r="A881" s="872" t="s">
        <v>1548</v>
      </c>
      <c r="B881" s="859" t="s">
        <v>1465</v>
      </c>
      <c r="C881" s="421" t="s">
        <v>1546</v>
      </c>
      <c r="D881" s="431" t="s">
        <v>9</v>
      </c>
      <c r="E881" s="833">
        <v>1045000</v>
      </c>
      <c r="F881" s="833">
        <f t="shared" si="83"/>
        <v>0</v>
      </c>
      <c r="G881" s="833">
        <f t="shared" si="84"/>
        <v>0</v>
      </c>
      <c r="H881" s="834">
        <v>1</v>
      </c>
      <c r="I881" s="835"/>
      <c r="J881" s="836"/>
      <c r="K881" s="836"/>
      <c r="L881" s="836"/>
      <c r="M881" s="836"/>
      <c r="N881" s="836"/>
      <c r="O881" s="836"/>
      <c r="P881" s="836"/>
      <c r="Q881" s="836"/>
      <c r="R881" s="837">
        <v>1.8</v>
      </c>
      <c r="T881" s="155">
        <v>1045000</v>
      </c>
      <c r="U881" s="155">
        <v>74162</v>
      </c>
      <c r="V881" s="155"/>
      <c r="AA881" s="180" t="str">
        <f>VLOOKUP(A881,[2]DG!$A:$C,3,0)</f>
        <v xml:space="preserve">FCO 24KV - 200A </v>
      </c>
    </row>
    <row r="882" spans="1:27" ht="20.100000000000001" hidden="1" customHeight="1">
      <c r="A882" s="872" t="s">
        <v>3708</v>
      </c>
      <c r="B882" s="859" t="s">
        <v>1543</v>
      </c>
      <c r="C882" s="421" t="s">
        <v>1550</v>
      </c>
      <c r="D882" s="431" t="s">
        <v>9</v>
      </c>
      <c r="E882" s="833">
        <v>1800000</v>
      </c>
      <c r="F882" s="833">
        <f t="shared" si="83"/>
        <v>0</v>
      </c>
      <c r="G882" s="833">
        <f t="shared" si="84"/>
        <v>0</v>
      </c>
      <c r="H882" s="834">
        <v>1</v>
      </c>
      <c r="I882" s="835"/>
      <c r="J882" s="836"/>
      <c r="K882" s="836"/>
      <c r="L882" s="836"/>
      <c r="M882" s="836"/>
      <c r="N882" s="836"/>
      <c r="O882" s="836"/>
      <c r="P882" s="836"/>
      <c r="Q882" s="836"/>
      <c r="R882" s="837">
        <v>1.5</v>
      </c>
      <c r="T882" s="155">
        <v>1800000</v>
      </c>
      <c r="U882" s="155">
        <v>55622</v>
      </c>
      <c r="V882" s="155"/>
      <c r="AA882" s="180" t="str">
        <f>VLOOKUP(A882,[2]DG!$A:$C,3,0)</f>
        <v>LBFCO-24KV-100A</v>
      </c>
    </row>
    <row r="883" spans="1:27" ht="20.100000000000001" hidden="1" customHeight="1">
      <c r="A883" s="872" t="s">
        <v>1551</v>
      </c>
      <c r="B883" s="859" t="s">
        <v>1543</v>
      </c>
      <c r="C883" s="421" t="s">
        <v>1552</v>
      </c>
      <c r="D883" s="431" t="s">
        <v>9</v>
      </c>
      <c r="E883" s="833">
        <v>1810000</v>
      </c>
      <c r="F883" s="833">
        <f t="shared" si="83"/>
        <v>0</v>
      </c>
      <c r="G883" s="833">
        <f t="shared" si="84"/>
        <v>0</v>
      </c>
      <c r="H883" s="834">
        <v>1</v>
      </c>
      <c r="I883" s="835"/>
      <c r="J883" s="836"/>
      <c r="K883" s="836"/>
      <c r="L883" s="836"/>
      <c r="M883" s="836"/>
      <c r="N883" s="836"/>
      <c r="O883" s="836"/>
      <c r="P883" s="836"/>
      <c r="Q883" s="836"/>
      <c r="R883" s="837">
        <v>1.8</v>
      </c>
      <c r="T883" s="155">
        <v>1810000</v>
      </c>
      <c r="U883" s="155">
        <v>55622</v>
      </c>
      <c r="V883" s="155"/>
      <c r="AA883" s="180" t="str">
        <f>VLOOKUP(A883,[2]DG!$A:$C,3,0)</f>
        <v>LBFCO-24KV-200A</v>
      </c>
    </row>
    <row r="884" spans="1:27" ht="20.100000000000001" hidden="1" customHeight="1">
      <c r="A884" s="872" t="s">
        <v>3709</v>
      </c>
      <c r="B884" s="859" t="s">
        <v>1465</v>
      </c>
      <c r="C884" s="421" t="s">
        <v>1550</v>
      </c>
      <c r="D884" s="431" t="s">
        <v>9</v>
      </c>
      <c r="E884" s="833">
        <v>1595000</v>
      </c>
      <c r="F884" s="833">
        <f t="shared" si="83"/>
        <v>0</v>
      </c>
      <c r="G884" s="833">
        <f t="shared" si="84"/>
        <v>0</v>
      </c>
      <c r="H884" s="834">
        <v>1</v>
      </c>
      <c r="I884" s="835"/>
      <c r="J884" s="836"/>
      <c r="K884" s="836"/>
      <c r="L884" s="836"/>
      <c r="M884" s="836"/>
      <c r="N884" s="836"/>
      <c r="O884" s="836"/>
      <c r="P884" s="836"/>
      <c r="Q884" s="836"/>
      <c r="R884" s="837">
        <v>1.5</v>
      </c>
      <c r="T884" s="155">
        <v>1595000</v>
      </c>
      <c r="U884" s="155">
        <v>74162</v>
      </c>
      <c r="V884" s="155"/>
      <c r="AA884" s="180" t="str">
        <f>VLOOKUP(A884,[2]DG!$A:$C,3,0)</f>
        <v>LBFCO-24KV-100A</v>
      </c>
    </row>
    <row r="885" spans="1:27" ht="20.100000000000001" hidden="1" customHeight="1">
      <c r="A885" s="872" t="s">
        <v>1554</v>
      </c>
      <c r="B885" s="859" t="s">
        <v>1465</v>
      </c>
      <c r="C885" s="421" t="s">
        <v>1552</v>
      </c>
      <c r="D885" s="431" t="s">
        <v>9</v>
      </c>
      <c r="E885" s="833">
        <v>1810000</v>
      </c>
      <c r="F885" s="833">
        <f t="shared" si="83"/>
        <v>0</v>
      </c>
      <c r="G885" s="833">
        <f t="shared" si="84"/>
        <v>0</v>
      </c>
      <c r="H885" s="834">
        <v>1</v>
      </c>
      <c r="I885" s="835"/>
      <c r="J885" s="836"/>
      <c r="K885" s="836"/>
      <c r="L885" s="836"/>
      <c r="M885" s="836"/>
      <c r="N885" s="836"/>
      <c r="O885" s="836"/>
      <c r="P885" s="836"/>
      <c r="Q885" s="836"/>
      <c r="R885" s="837">
        <v>1.8</v>
      </c>
      <c r="T885" s="155">
        <v>1810000</v>
      </c>
      <c r="U885" s="155">
        <v>74162</v>
      </c>
      <c r="V885" s="155"/>
      <c r="AA885" s="180" t="str">
        <f>VLOOKUP(A885,[2]DG!$A:$C,3,0)</f>
        <v>LBFCO-24KV-200A</v>
      </c>
    </row>
    <row r="886" spans="1:27" ht="20.100000000000001" hidden="1" customHeight="1">
      <c r="A886" s="872" t="s">
        <v>1555</v>
      </c>
      <c r="B886" s="859" t="s">
        <v>1556</v>
      </c>
      <c r="C886" s="421" t="s">
        <v>1557</v>
      </c>
      <c r="D886" s="431" t="s">
        <v>37</v>
      </c>
      <c r="E886" s="833">
        <v>970000</v>
      </c>
      <c r="F886" s="833">
        <f t="shared" si="83"/>
        <v>0</v>
      </c>
      <c r="G886" s="833">
        <f t="shared" si="84"/>
        <v>0</v>
      </c>
      <c r="H886" s="834">
        <v>1</v>
      </c>
      <c r="I886" s="835"/>
      <c r="J886" s="836"/>
      <c r="K886" s="836"/>
      <c r="L886" s="836"/>
      <c r="M886" s="836"/>
      <c r="N886" s="836"/>
      <c r="O886" s="836"/>
      <c r="P886" s="836"/>
      <c r="Q886" s="836"/>
      <c r="R886" s="837">
        <v>15</v>
      </c>
      <c r="T886" s="155">
        <v>970000</v>
      </c>
      <c r="U886" s="155">
        <v>173722</v>
      </c>
      <c r="V886" s="155"/>
      <c r="AA886" s="180" t="str">
        <f>VLOOKUP(A886,[2]DG!$A:$C,3,0)</f>
        <v xml:space="preserve">DS 1P - 24KV - 600A </v>
      </c>
    </row>
    <row r="887" spans="1:27" ht="20.100000000000001" hidden="1" customHeight="1">
      <c r="A887" s="872" t="s">
        <v>1558</v>
      </c>
      <c r="B887" s="859" t="s">
        <v>1556</v>
      </c>
      <c r="C887" s="421" t="s">
        <v>1559</v>
      </c>
      <c r="D887" s="364" t="s">
        <v>37</v>
      </c>
      <c r="E887" s="833">
        <v>20000000</v>
      </c>
      <c r="F887" s="833">
        <f t="shared" si="83"/>
        <v>0</v>
      </c>
      <c r="G887" s="833">
        <f t="shared" si="84"/>
        <v>0</v>
      </c>
      <c r="H887" s="834">
        <v>1</v>
      </c>
      <c r="I887" s="835"/>
      <c r="J887" s="836"/>
      <c r="K887" s="836"/>
      <c r="L887" s="836"/>
      <c r="M887" s="836"/>
      <c r="N887" s="836"/>
      <c r="O887" s="836"/>
      <c r="P887" s="836"/>
      <c r="Q887" s="836"/>
      <c r="R887" s="837">
        <v>50</v>
      </c>
      <c r="T887" s="155">
        <v>20000000</v>
      </c>
      <c r="U887" s="155">
        <v>347444</v>
      </c>
      <c r="V887" s="155"/>
      <c r="AA887" s="180" t="str">
        <f>VLOOKUP(A887,[2]DG!$A:$C,3,0)</f>
        <v xml:space="preserve">DS 3P - 24KV - 630A </v>
      </c>
    </row>
    <row r="888" spans="1:27" ht="20.100000000000001" hidden="1" customHeight="1">
      <c r="A888" s="872" t="s">
        <v>1560</v>
      </c>
      <c r="B888" s="859" t="s">
        <v>1561</v>
      </c>
      <c r="C888" s="421" t="s">
        <v>1557</v>
      </c>
      <c r="D888" s="431" t="s">
        <v>37</v>
      </c>
      <c r="E888" s="833">
        <v>970000</v>
      </c>
      <c r="F888" s="833">
        <f t="shared" si="83"/>
        <v>0</v>
      </c>
      <c r="G888" s="833">
        <f t="shared" si="84"/>
        <v>0</v>
      </c>
      <c r="H888" s="834">
        <v>1</v>
      </c>
      <c r="I888" s="835"/>
      <c r="J888" s="836"/>
      <c r="K888" s="836"/>
      <c r="L888" s="836"/>
      <c r="M888" s="836"/>
      <c r="N888" s="836"/>
      <c r="O888" s="836"/>
      <c r="P888" s="836"/>
      <c r="Q888" s="836"/>
      <c r="R888" s="837">
        <v>30</v>
      </c>
      <c r="T888" s="155">
        <v>970000</v>
      </c>
      <c r="U888" s="155">
        <v>145790</v>
      </c>
      <c r="V888" s="155">
        <v>69747</v>
      </c>
      <c r="AA888" s="180" t="str">
        <f>VLOOKUP(A888,[2]DG!$A:$C,3,0)</f>
        <v xml:space="preserve">DS 1P - 24KV - 600A </v>
      </c>
    </row>
    <row r="889" spans="1:27" ht="20.100000000000001" hidden="1" customHeight="1">
      <c r="A889" s="872" t="s">
        <v>1562</v>
      </c>
      <c r="B889" s="859" t="s">
        <v>1563</v>
      </c>
      <c r="C889" s="421" t="s">
        <v>1559</v>
      </c>
      <c r="D889" s="364" t="s">
        <v>37</v>
      </c>
      <c r="E889" s="833">
        <v>20000000</v>
      </c>
      <c r="F889" s="833">
        <f t="shared" si="83"/>
        <v>0</v>
      </c>
      <c r="G889" s="833">
        <f t="shared" si="84"/>
        <v>0</v>
      </c>
      <c r="H889" s="834">
        <v>1</v>
      </c>
      <c r="I889" s="835"/>
      <c r="J889" s="836"/>
      <c r="K889" s="836"/>
      <c r="L889" s="836"/>
      <c r="M889" s="836"/>
      <c r="N889" s="836"/>
      <c r="O889" s="836"/>
      <c r="P889" s="836"/>
      <c r="Q889" s="836"/>
      <c r="R889" s="837">
        <v>30</v>
      </c>
      <c r="T889" s="155">
        <v>20000000</v>
      </c>
      <c r="U889" s="155">
        <v>291579</v>
      </c>
      <c r="V889" s="155">
        <v>113965</v>
      </c>
      <c r="AA889" s="180" t="str">
        <f>VLOOKUP(A889,[2]DG!$A:$C,3,0)</f>
        <v xml:space="preserve">DS 3P - 24KV - 630A </v>
      </c>
    </row>
    <row r="890" spans="1:27" ht="20.100000000000001" hidden="1" customHeight="1">
      <c r="A890" s="872" t="s">
        <v>1564</v>
      </c>
      <c r="B890" s="859" t="s">
        <v>1565</v>
      </c>
      <c r="C890" s="421" t="s">
        <v>1566</v>
      </c>
      <c r="D890" s="364" t="s">
        <v>37</v>
      </c>
      <c r="E890" s="833">
        <v>212162200</v>
      </c>
      <c r="F890" s="833">
        <f t="shared" si="83"/>
        <v>0</v>
      </c>
      <c r="G890" s="833">
        <f t="shared" si="84"/>
        <v>0</v>
      </c>
      <c r="H890" s="834">
        <v>1</v>
      </c>
      <c r="I890" s="835"/>
      <c r="J890" s="836"/>
      <c r="K890" s="836"/>
      <c r="L890" s="836"/>
      <c r="M890" s="836"/>
      <c r="N890" s="836"/>
      <c r="O890" s="836"/>
      <c r="P890" s="836"/>
      <c r="Q890" s="836"/>
      <c r="R890" s="837">
        <v>72</v>
      </c>
      <c r="T890" s="155">
        <v>212162200</v>
      </c>
      <c r="U890" s="155">
        <v>340971</v>
      </c>
      <c r="V890" s="155">
        <v>112858</v>
      </c>
      <c r="AA890" s="180" t="str">
        <f>VLOOKUP(A890,[2]DG!$A:$C,3,0)</f>
        <v>LBS SF6 3pha 24kV 630A - 16kA</v>
      </c>
    </row>
    <row r="891" spans="1:27" ht="20.100000000000001" hidden="1" customHeight="1">
      <c r="A891" s="872" t="s">
        <v>2838</v>
      </c>
      <c r="B891" s="859" t="s">
        <v>1565</v>
      </c>
      <c r="C891" s="421" t="s">
        <v>1568</v>
      </c>
      <c r="D891" s="364" t="s">
        <v>37</v>
      </c>
      <c r="E891" s="833">
        <v>42500000</v>
      </c>
      <c r="F891" s="833">
        <f t="shared" si="83"/>
        <v>0</v>
      </c>
      <c r="G891" s="833">
        <f t="shared" si="84"/>
        <v>0</v>
      </c>
      <c r="H891" s="834">
        <v>1</v>
      </c>
      <c r="I891" s="835"/>
      <c r="J891" s="836"/>
      <c r="K891" s="836"/>
      <c r="L891" s="836"/>
      <c r="M891" s="836"/>
      <c r="N891" s="836"/>
      <c r="O891" s="836"/>
      <c r="P891" s="836"/>
      <c r="Q891" s="836"/>
      <c r="R891" s="837">
        <v>100</v>
      </c>
      <c r="T891" s="155">
        <v>42500000</v>
      </c>
      <c r="U891" s="155">
        <v>340971</v>
      </c>
      <c r="V891" s="155">
        <v>112858</v>
      </c>
      <c r="AA891" s="180" t="str">
        <f>VLOOKUP(A891,[2]DG!$A:$C,3,0)</f>
        <v>LBS SF6 3pha 24kV 630A 12kA + bộ truyền động</v>
      </c>
    </row>
    <row r="892" spans="1:27" ht="20.100000000000001" hidden="1" customHeight="1">
      <c r="A892" s="873" t="s">
        <v>1569</v>
      </c>
      <c r="B892" s="859" t="s">
        <v>1570</v>
      </c>
      <c r="C892" s="421" t="s">
        <v>1571</v>
      </c>
      <c r="D892" s="364" t="s">
        <v>37</v>
      </c>
      <c r="E892" s="833">
        <v>150000000</v>
      </c>
      <c r="F892" s="833">
        <f t="shared" si="83"/>
        <v>0</v>
      </c>
      <c r="G892" s="833">
        <f t="shared" si="84"/>
        <v>0</v>
      </c>
      <c r="H892" s="834">
        <v>1</v>
      </c>
      <c r="I892" s="835"/>
      <c r="J892" s="836"/>
      <c r="K892" s="836"/>
      <c r="L892" s="836"/>
      <c r="M892" s="836"/>
      <c r="N892" s="836"/>
      <c r="O892" s="836"/>
      <c r="P892" s="836"/>
      <c r="Q892" s="836"/>
      <c r="R892" s="837">
        <v>100</v>
      </c>
      <c r="T892" s="155">
        <v>150000000</v>
      </c>
      <c r="U892" s="155">
        <v>487101</v>
      </c>
      <c r="V892" s="155">
        <v>112858</v>
      </c>
      <c r="AA892" s="180" t="str">
        <f>VLOOKUP(A892,[2]DG!$A:$C,3,0)</f>
        <v>Recloser 24kV 630A - 800A (MBA cấp nguồn + Phụ kiện)</v>
      </c>
    </row>
    <row r="893" spans="1:27" ht="20.100000000000001" customHeight="1">
      <c r="A893" s="872" t="s">
        <v>3710</v>
      </c>
      <c r="B893" s="859" t="s">
        <v>1565</v>
      </c>
      <c r="C893" s="421" t="s">
        <v>1573</v>
      </c>
      <c r="D893" s="364" t="s">
        <v>37</v>
      </c>
      <c r="E893" s="833">
        <v>139600000</v>
      </c>
      <c r="F893" s="833">
        <f t="shared" si="83"/>
        <v>0</v>
      </c>
      <c r="G893" s="833">
        <f t="shared" si="84"/>
        <v>0</v>
      </c>
      <c r="H893" s="834">
        <v>1</v>
      </c>
      <c r="I893" s="835"/>
      <c r="J893" s="836"/>
      <c r="K893" s="836"/>
      <c r="L893" s="836"/>
      <c r="M893" s="836"/>
      <c r="N893" s="836"/>
      <c r="O893" s="836"/>
      <c r="P893" s="836"/>
      <c r="Q893" s="836"/>
      <c r="R893" s="837">
        <v>100</v>
      </c>
      <c r="T893" s="155">
        <v>139600000</v>
      </c>
      <c r="U893" s="155">
        <v>487101</v>
      </c>
      <c r="V893" s="155">
        <v>112858</v>
      </c>
      <c r="AA893" s="180" t="str">
        <f>VLOOKUP(A893,[2]DG!$A:$C,3,0)</f>
        <v>Recloser 24kV 630-800A</v>
      </c>
    </row>
    <row r="894" spans="1:27" ht="20.100000000000001" hidden="1" customHeight="1">
      <c r="A894" s="873" t="s">
        <v>1574</v>
      </c>
      <c r="B894" s="859" t="s">
        <v>1575</v>
      </c>
      <c r="C894" s="421" t="s">
        <v>1576</v>
      </c>
      <c r="D894" s="364" t="s">
        <v>9</v>
      </c>
      <c r="E894" s="833">
        <v>4470000</v>
      </c>
      <c r="F894" s="833">
        <f t="shared" si="83"/>
        <v>0</v>
      </c>
      <c r="G894" s="833">
        <f t="shared" si="84"/>
        <v>0</v>
      </c>
      <c r="H894" s="834">
        <v>1</v>
      </c>
      <c r="I894" s="835"/>
      <c r="J894" s="836"/>
      <c r="K894" s="836"/>
      <c r="L894" s="836"/>
      <c r="M894" s="836"/>
      <c r="N894" s="836"/>
      <c r="O894" s="836"/>
      <c r="P894" s="836"/>
      <c r="Q894" s="836"/>
      <c r="R894" s="837">
        <v>15</v>
      </c>
      <c r="T894" s="155">
        <v>4470000</v>
      </c>
      <c r="U894" s="155">
        <v>77664</v>
      </c>
      <c r="V894" s="155">
        <v>69747</v>
      </c>
      <c r="AA894" s="180" t="str">
        <f>VLOOKUP(A894,[2]DG!$A:$C,3,0)</f>
        <v>LTD 1P 24KV - 800A</v>
      </c>
    </row>
    <row r="895" spans="1:27" ht="20.100000000000001" hidden="1" customHeight="1">
      <c r="A895" s="873" t="s">
        <v>1577</v>
      </c>
      <c r="B895" s="859" t="s">
        <v>1578</v>
      </c>
      <c r="C895" s="421" t="s">
        <v>1579</v>
      </c>
      <c r="D895" s="364" t="s">
        <v>9</v>
      </c>
      <c r="E895" s="833">
        <v>552000</v>
      </c>
      <c r="F895" s="833">
        <f t="shared" si="83"/>
        <v>0</v>
      </c>
      <c r="G895" s="833">
        <f t="shared" si="84"/>
        <v>0</v>
      </c>
      <c r="H895" s="834">
        <v>1</v>
      </c>
      <c r="I895" s="835"/>
      <c r="J895" s="836"/>
      <c r="K895" s="836"/>
      <c r="L895" s="836"/>
      <c r="M895" s="836"/>
      <c r="N895" s="836"/>
      <c r="O895" s="836"/>
      <c r="P895" s="836"/>
      <c r="Q895" s="836"/>
      <c r="R895" s="837">
        <v>3</v>
      </c>
      <c r="T895" s="155">
        <v>552000</v>
      </c>
      <c r="U895" s="155">
        <v>25751</v>
      </c>
      <c r="V895" s="155"/>
      <c r="AA895" s="180" t="str">
        <f>VLOOKUP(A895,[2]DG!$A:$C,3,0)</f>
        <v>LA 12kV 10kA</v>
      </c>
    </row>
    <row r="896" spans="1:27" ht="20.100000000000001" hidden="1" customHeight="1">
      <c r="A896" s="873" t="s">
        <v>1580</v>
      </c>
      <c r="B896" s="859" t="s">
        <v>4078</v>
      </c>
      <c r="C896" s="421" t="s">
        <v>4519</v>
      </c>
      <c r="D896" s="364" t="s">
        <v>9</v>
      </c>
      <c r="E896" s="833">
        <v>1106000</v>
      </c>
      <c r="F896" s="833">
        <f t="shared" si="83"/>
        <v>355410</v>
      </c>
      <c r="G896" s="833">
        <f t="shared" si="84"/>
        <v>0</v>
      </c>
      <c r="H896" s="834" t="s">
        <v>4065</v>
      </c>
      <c r="I896" s="835" t="s">
        <v>3372</v>
      </c>
      <c r="J896" s="836">
        <v>1.5</v>
      </c>
      <c r="K896" s="836"/>
      <c r="L896" s="836"/>
      <c r="M896" s="836"/>
      <c r="N896" s="836"/>
      <c r="O896" s="836"/>
      <c r="P896" s="836"/>
      <c r="Q896" s="836"/>
      <c r="R896" s="837">
        <v>3</v>
      </c>
      <c r="T896" s="155">
        <v>1110600</v>
      </c>
      <c r="U896" s="155">
        <v>25751</v>
      </c>
      <c r="V896" s="155">
        <v>0</v>
      </c>
      <c r="AA896" s="180" t="str">
        <f>VLOOKUP(A896,[2]DG!$A:$C,3,0)</f>
        <v>Chống sét van LA-18KV-10KA</v>
      </c>
    </row>
    <row r="897" spans="1:27" ht="20.100000000000001" hidden="1" customHeight="1">
      <c r="A897" s="873" t="s">
        <v>1581</v>
      </c>
      <c r="B897" s="859" t="s">
        <v>1099</v>
      </c>
      <c r="C897" s="421" t="s">
        <v>3204</v>
      </c>
      <c r="D897" s="364" t="s">
        <v>9</v>
      </c>
      <c r="E897" s="833"/>
      <c r="F897" s="833">
        <f t="shared" si="83"/>
        <v>0</v>
      </c>
      <c r="G897" s="833">
        <f t="shared" si="84"/>
        <v>0</v>
      </c>
      <c r="H897" s="834">
        <v>1</v>
      </c>
      <c r="I897" s="835"/>
      <c r="J897" s="836"/>
      <c r="K897" s="836"/>
      <c r="L897" s="836"/>
      <c r="M897" s="836"/>
      <c r="N897" s="836"/>
      <c r="O897" s="836"/>
      <c r="P897" s="836"/>
      <c r="Q897" s="836"/>
      <c r="R897" s="837">
        <v>6</v>
      </c>
      <c r="T897" s="155"/>
      <c r="U897" s="155">
        <v>92703</v>
      </c>
      <c r="V897" s="155">
        <v>84261</v>
      </c>
      <c r="AA897" s="180" t="str">
        <f>VLOOKUP(A897,[2]DG!$A:$C,3,0)</f>
        <v>Biến dòng 24kV  10/5A</v>
      </c>
    </row>
    <row r="898" spans="1:27" ht="20.100000000000001" hidden="1" customHeight="1">
      <c r="A898" s="873" t="s">
        <v>1582</v>
      </c>
      <c r="B898" s="859" t="s">
        <v>1099</v>
      </c>
      <c r="C898" s="421" t="s">
        <v>3205</v>
      </c>
      <c r="D898" s="364" t="s">
        <v>9</v>
      </c>
      <c r="E898" s="833"/>
      <c r="F898" s="833">
        <f t="shared" si="83"/>
        <v>0</v>
      </c>
      <c r="G898" s="833">
        <f t="shared" si="84"/>
        <v>0</v>
      </c>
      <c r="H898" s="834">
        <v>1</v>
      </c>
      <c r="I898" s="835"/>
      <c r="J898" s="836"/>
      <c r="K898" s="836"/>
      <c r="L898" s="836"/>
      <c r="M898" s="836"/>
      <c r="N898" s="836"/>
      <c r="O898" s="836"/>
      <c r="P898" s="836"/>
      <c r="Q898" s="836"/>
      <c r="R898" s="837">
        <v>6</v>
      </c>
      <c r="T898" s="155"/>
      <c r="U898" s="155">
        <v>92703</v>
      </c>
      <c r="V898" s="155">
        <v>84261</v>
      </c>
      <c r="AA898" s="180" t="str">
        <f>VLOOKUP(A898,[2]DG!$A:$C,3,0)</f>
        <v>Biến dòng 24kV  15/5A</v>
      </c>
    </row>
    <row r="899" spans="1:27" ht="20.100000000000001" hidden="1" customHeight="1">
      <c r="A899" s="873" t="s">
        <v>1583</v>
      </c>
      <c r="B899" s="859" t="s">
        <v>1099</v>
      </c>
      <c r="C899" s="421" t="s">
        <v>3206</v>
      </c>
      <c r="D899" s="364" t="s">
        <v>9</v>
      </c>
      <c r="E899" s="833">
        <v>0</v>
      </c>
      <c r="F899" s="833">
        <f t="shared" si="83"/>
        <v>0</v>
      </c>
      <c r="G899" s="833">
        <f t="shared" si="84"/>
        <v>0</v>
      </c>
      <c r="H899" s="834" t="s">
        <v>4065</v>
      </c>
      <c r="I899" s="835"/>
      <c r="J899" s="836"/>
      <c r="K899" s="836"/>
      <c r="L899" s="836"/>
      <c r="M899" s="836"/>
      <c r="N899" s="836"/>
      <c r="O899" s="836"/>
      <c r="P899" s="836"/>
      <c r="Q899" s="836"/>
      <c r="R899" s="837">
        <v>6</v>
      </c>
      <c r="T899" s="155"/>
      <c r="U899" s="155">
        <v>92703</v>
      </c>
      <c r="V899" s="155">
        <v>84261</v>
      </c>
      <c r="AA899" s="180" t="str">
        <f>VLOOKUP(A899,[2]DG!$A:$C,3,0)</f>
        <v>Biến dòng 24kV  20/5A</v>
      </c>
    </row>
    <row r="900" spans="1:27" ht="20.100000000000001" hidden="1" customHeight="1">
      <c r="A900" s="873" t="s">
        <v>1584</v>
      </c>
      <c r="B900" s="859" t="s">
        <v>1099</v>
      </c>
      <c r="C900" s="421" t="s">
        <v>3207</v>
      </c>
      <c r="D900" s="364" t="s">
        <v>9</v>
      </c>
      <c r="E900" s="833"/>
      <c r="F900" s="833">
        <f t="shared" si="83"/>
        <v>0</v>
      </c>
      <c r="G900" s="833">
        <f t="shared" si="84"/>
        <v>0</v>
      </c>
      <c r="H900" s="834">
        <v>1</v>
      </c>
      <c r="I900" s="835"/>
      <c r="J900" s="836"/>
      <c r="K900" s="836"/>
      <c r="L900" s="836"/>
      <c r="M900" s="836"/>
      <c r="N900" s="836"/>
      <c r="O900" s="836"/>
      <c r="P900" s="836"/>
      <c r="Q900" s="836"/>
      <c r="R900" s="837">
        <v>6</v>
      </c>
      <c r="T900" s="155"/>
      <c r="U900" s="155">
        <v>92703</v>
      </c>
      <c r="V900" s="155">
        <v>84261</v>
      </c>
      <c r="AA900" s="180" t="str">
        <f>VLOOKUP(A900,[2]DG!$A:$C,3,0)</f>
        <v>Biến dòng 24kV  25/5A</v>
      </c>
    </row>
    <row r="901" spans="1:27" ht="20.100000000000001" hidden="1" customHeight="1">
      <c r="A901" s="873" t="s">
        <v>1585</v>
      </c>
      <c r="B901" s="859" t="s">
        <v>1099</v>
      </c>
      <c r="C901" s="421" t="s">
        <v>3208</v>
      </c>
      <c r="D901" s="364" t="s">
        <v>9</v>
      </c>
      <c r="E901" s="833"/>
      <c r="F901" s="833">
        <f t="shared" si="83"/>
        <v>0</v>
      </c>
      <c r="G901" s="833">
        <f t="shared" si="84"/>
        <v>0</v>
      </c>
      <c r="H901" s="834">
        <v>1</v>
      </c>
      <c r="I901" s="835"/>
      <c r="J901" s="836"/>
      <c r="K901" s="836"/>
      <c r="L901" s="836"/>
      <c r="M901" s="836"/>
      <c r="N901" s="836"/>
      <c r="O901" s="836"/>
      <c r="P901" s="836"/>
      <c r="Q901" s="836"/>
      <c r="R901" s="837">
        <v>6</v>
      </c>
      <c r="T901" s="155"/>
      <c r="U901" s="155">
        <v>92703</v>
      </c>
      <c r="V901" s="155">
        <v>84261</v>
      </c>
      <c r="AA901" s="180" t="str">
        <f>VLOOKUP(A901,[2]DG!$A:$C,3,0)</f>
        <v>Biến dòng 24kV  30/5A</v>
      </c>
    </row>
    <row r="902" spans="1:27" ht="20.100000000000001" hidden="1" customHeight="1">
      <c r="A902" s="873" t="s">
        <v>1586</v>
      </c>
      <c r="B902" s="859" t="s">
        <v>1099</v>
      </c>
      <c r="C902" s="421" t="s">
        <v>3209</v>
      </c>
      <c r="D902" s="364" t="s">
        <v>9</v>
      </c>
      <c r="E902" s="833"/>
      <c r="F902" s="833">
        <f t="shared" si="83"/>
        <v>0</v>
      </c>
      <c r="G902" s="833">
        <f t="shared" si="84"/>
        <v>0</v>
      </c>
      <c r="H902" s="834">
        <v>1</v>
      </c>
      <c r="I902" s="835"/>
      <c r="J902" s="836"/>
      <c r="K902" s="836"/>
      <c r="L902" s="836"/>
      <c r="M902" s="836"/>
      <c r="N902" s="836"/>
      <c r="O902" s="836"/>
      <c r="P902" s="836"/>
      <c r="Q902" s="836"/>
      <c r="R902" s="837">
        <v>6</v>
      </c>
      <c r="T902" s="155"/>
      <c r="U902" s="155">
        <v>92703</v>
      </c>
      <c r="V902" s="155"/>
      <c r="AA902" s="180" t="str">
        <f>VLOOKUP(A902,[2]DG!$A:$C,3,0)</f>
        <v>Biến dòng 24kV  40/5A</v>
      </c>
    </row>
    <row r="903" spans="1:27" ht="20.100000000000001" hidden="1" customHeight="1">
      <c r="A903" s="873" t="s">
        <v>1587</v>
      </c>
      <c r="B903" s="859" t="s">
        <v>1099</v>
      </c>
      <c r="C903" s="421" t="s">
        <v>3210</v>
      </c>
      <c r="D903" s="364" t="s">
        <v>9</v>
      </c>
      <c r="E903" s="833"/>
      <c r="F903" s="833">
        <f t="shared" si="83"/>
        <v>0</v>
      </c>
      <c r="G903" s="833">
        <f t="shared" si="84"/>
        <v>0</v>
      </c>
      <c r="H903" s="834">
        <v>1</v>
      </c>
      <c r="I903" s="835"/>
      <c r="J903" s="836"/>
      <c r="K903" s="836"/>
      <c r="L903" s="836"/>
      <c r="M903" s="836"/>
      <c r="N903" s="836"/>
      <c r="O903" s="836"/>
      <c r="P903" s="836"/>
      <c r="Q903" s="836"/>
      <c r="R903" s="837">
        <v>6</v>
      </c>
      <c r="T903" s="155"/>
      <c r="U903" s="155">
        <v>92703</v>
      </c>
      <c r="V903" s="155"/>
      <c r="AA903" s="180" t="str">
        <f>VLOOKUP(A903,[2]DG!$A:$C,3,0)</f>
        <v>Biến dòng 24kV  50/5A</v>
      </c>
    </row>
    <row r="904" spans="1:27" ht="20.100000000000001" hidden="1" customHeight="1">
      <c r="A904" s="873" t="s">
        <v>1588</v>
      </c>
      <c r="B904" s="859" t="s">
        <v>1099</v>
      </c>
      <c r="C904" s="421" t="s">
        <v>3211</v>
      </c>
      <c r="D904" s="364" t="s">
        <v>9</v>
      </c>
      <c r="E904" s="833"/>
      <c r="F904" s="833">
        <f t="shared" si="83"/>
        <v>0</v>
      </c>
      <c r="G904" s="833">
        <f t="shared" si="84"/>
        <v>0</v>
      </c>
      <c r="H904" s="834">
        <v>1</v>
      </c>
      <c r="I904" s="835"/>
      <c r="J904" s="836"/>
      <c r="K904" s="836"/>
      <c r="L904" s="836"/>
      <c r="M904" s="836"/>
      <c r="N904" s="836"/>
      <c r="O904" s="836"/>
      <c r="P904" s="836"/>
      <c r="Q904" s="836"/>
      <c r="R904" s="837">
        <v>6</v>
      </c>
      <c r="T904" s="155"/>
      <c r="U904" s="155">
        <v>92703</v>
      </c>
      <c r="V904" s="155"/>
      <c r="AA904" s="180" t="str">
        <f>VLOOKUP(A904,[2]DG!$A:$C,3,0)</f>
        <v>Biến dòng 24kV  60/5A</v>
      </c>
    </row>
    <row r="905" spans="1:27" ht="20.100000000000001" hidden="1" customHeight="1">
      <c r="A905" s="873" t="s">
        <v>1589</v>
      </c>
      <c r="B905" s="859" t="s">
        <v>1099</v>
      </c>
      <c r="C905" s="421" t="s">
        <v>3212</v>
      </c>
      <c r="D905" s="364" t="s">
        <v>9</v>
      </c>
      <c r="E905" s="833"/>
      <c r="F905" s="833">
        <f t="shared" si="83"/>
        <v>0</v>
      </c>
      <c r="G905" s="833">
        <f t="shared" si="84"/>
        <v>0</v>
      </c>
      <c r="H905" s="834">
        <v>1</v>
      </c>
      <c r="I905" s="835"/>
      <c r="J905" s="836"/>
      <c r="K905" s="836"/>
      <c r="L905" s="836"/>
      <c r="M905" s="836"/>
      <c r="N905" s="836"/>
      <c r="O905" s="836"/>
      <c r="P905" s="836"/>
      <c r="Q905" s="836"/>
      <c r="R905" s="837">
        <v>6</v>
      </c>
      <c r="T905" s="155"/>
      <c r="U905" s="155">
        <v>92703</v>
      </c>
      <c r="V905" s="155"/>
      <c r="AA905" s="180" t="str">
        <f>VLOOKUP(A905,[2]DG!$A:$C,3,0)</f>
        <v>Biến dòng 24kV  75/5A</v>
      </c>
    </row>
    <row r="906" spans="1:27" ht="20.100000000000001" hidden="1" customHeight="1">
      <c r="A906" s="873" t="s">
        <v>1590</v>
      </c>
      <c r="B906" s="859" t="s">
        <v>4087</v>
      </c>
      <c r="C906" s="421" t="s">
        <v>3213</v>
      </c>
      <c r="D906" s="364" t="s">
        <v>9</v>
      </c>
      <c r="E906" s="833"/>
      <c r="F906" s="833">
        <f t="shared" si="83"/>
        <v>73925.279999999999</v>
      </c>
      <c r="G906" s="833">
        <f t="shared" si="84"/>
        <v>300402.4769230769</v>
      </c>
      <c r="H906" s="834" t="s">
        <v>4065</v>
      </c>
      <c r="I906" s="835" t="s">
        <v>3372</v>
      </c>
      <c r="J906" s="836">
        <v>0.79999999999999993</v>
      </c>
      <c r="K906" s="836">
        <v>0.39</v>
      </c>
      <c r="L906" s="836"/>
      <c r="M906" s="836">
        <v>0.2</v>
      </c>
      <c r="N906" s="836"/>
      <c r="O906" s="836"/>
      <c r="P906" s="836"/>
      <c r="Q906" s="836"/>
      <c r="R906" s="837">
        <v>1</v>
      </c>
      <c r="T906" s="155"/>
      <c r="U906" s="155">
        <v>92703</v>
      </c>
      <c r="V906" s="155"/>
      <c r="AA906" s="180" t="str">
        <f>VLOOKUP(A906,[2]DG!$A:$C,3,0)</f>
        <v>Biến dòng 24kV  100/5A</v>
      </c>
    </row>
    <row r="907" spans="1:27" ht="20.100000000000001" hidden="1" customHeight="1">
      <c r="A907" s="873" t="s">
        <v>1591</v>
      </c>
      <c r="B907" s="859" t="s">
        <v>1099</v>
      </c>
      <c r="C907" s="421" t="s">
        <v>3214</v>
      </c>
      <c r="D907" s="364" t="s">
        <v>9</v>
      </c>
      <c r="E907" s="833"/>
      <c r="F907" s="833">
        <f t="shared" si="83"/>
        <v>73925.279999999999</v>
      </c>
      <c r="G907" s="833">
        <f t="shared" si="84"/>
        <v>300402.4769230769</v>
      </c>
      <c r="H907" s="834">
        <v>1</v>
      </c>
      <c r="I907" s="835" t="s">
        <v>3372</v>
      </c>
      <c r="J907" s="836">
        <v>0.79999999999999993</v>
      </c>
      <c r="K907" s="836">
        <v>0.39</v>
      </c>
      <c r="L907" s="836"/>
      <c r="M907" s="836">
        <v>0.2</v>
      </c>
      <c r="N907" s="836"/>
      <c r="O907" s="836"/>
      <c r="P907" s="836"/>
      <c r="Q907" s="836"/>
      <c r="R907" s="837">
        <v>1</v>
      </c>
      <c r="T907" s="155"/>
      <c r="U907" s="155">
        <v>92703</v>
      </c>
      <c r="V907" s="155"/>
      <c r="AA907" s="180" t="str">
        <f>VLOOKUP(A907,[2]DG!$A:$C,3,0)</f>
        <v>Biến dòng 24kV  150/5A</v>
      </c>
    </row>
    <row r="908" spans="1:27" ht="20.100000000000001" hidden="1" customHeight="1">
      <c r="A908" s="873" t="s">
        <v>1592</v>
      </c>
      <c r="B908" s="859"/>
      <c r="C908" s="421" t="s">
        <v>1593</v>
      </c>
      <c r="D908" s="364" t="s">
        <v>9</v>
      </c>
      <c r="E908" s="833"/>
      <c r="F908" s="833">
        <f t="shared" si="83"/>
        <v>73925.279999999999</v>
      </c>
      <c r="G908" s="833">
        <f t="shared" si="84"/>
        <v>300402.4769230769</v>
      </c>
      <c r="H908" s="834">
        <v>1</v>
      </c>
      <c r="I908" s="835" t="s">
        <v>3372</v>
      </c>
      <c r="J908" s="836">
        <v>0.79999999999999993</v>
      </c>
      <c r="K908" s="836">
        <v>0.39</v>
      </c>
      <c r="L908" s="836"/>
      <c r="M908" s="836">
        <v>0.2</v>
      </c>
      <c r="N908" s="836"/>
      <c r="O908" s="836"/>
      <c r="P908" s="836"/>
      <c r="Q908" s="836"/>
      <c r="R908" s="837">
        <v>1</v>
      </c>
      <c r="T908" s="155"/>
      <c r="U908" s="155">
        <v>92703</v>
      </c>
      <c r="V908" s="155"/>
      <c r="AA908" s="180" t="str">
        <f>VLOOKUP(A908,[2]DG!$A:$C,3,0)</f>
        <v xml:space="preserve">Biến dòng 600V - 75/5A </v>
      </c>
    </row>
    <row r="909" spans="1:27" ht="20.100000000000001" hidden="1" customHeight="1">
      <c r="A909" s="873" t="s">
        <v>1590</v>
      </c>
      <c r="B909" s="859" t="s">
        <v>1099</v>
      </c>
      <c r="C909" s="421" t="s">
        <v>1594</v>
      </c>
      <c r="D909" s="364" t="s">
        <v>9</v>
      </c>
      <c r="E909" s="833"/>
      <c r="F909" s="833">
        <f t="shared" si="83"/>
        <v>73925.279999999999</v>
      </c>
      <c r="G909" s="833">
        <f t="shared" si="84"/>
        <v>300402.4769230769</v>
      </c>
      <c r="H909" s="834">
        <v>42312</v>
      </c>
      <c r="I909" s="835" t="s">
        <v>3372</v>
      </c>
      <c r="J909" s="836">
        <v>0.79999999999999993</v>
      </c>
      <c r="K909" s="836">
        <v>0.39</v>
      </c>
      <c r="L909" s="836"/>
      <c r="M909" s="836">
        <v>0.2</v>
      </c>
      <c r="N909" s="836"/>
      <c r="O909" s="836"/>
      <c r="P909" s="836"/>
      <c r="Q909" s="836"/>
      <c r="R909" s="837">
        <v>1</v>
      </c>
      <c r="T909" s="155">
        <v>0</v>
      </c>
      <c r="U909" s="155">
        <v>68833.5</v>
      </c>
      <c r="V909" s="155">
        <v>34616.400000000001</v>
      </c>
      <c r="AA909" s="180" t="str">
        <f>VLOOKUP(A909,[2]DG!$A:$C,3,0)</f>
        <v>Biến dòng 24kV  100/5A</v>
      </c>
    </row>
    <row r="910" spans="1:27" ht="20.100000000000001" customHeight="1">
      <c r="A910" s="873" t="s">
        <v>3196</v>
      </c>
      <c r="B910" s="859"/>
      <c r="C910" s="421" t="s">
        <v>1595</v>
      </c>
      <c r="D910" s="364" t="s">
        <v>9</v>
      </c>
      <c r="E910" s="833"/>
      <c r="F910" s="833">
        <f t="shared" si="83"/>
        <v>73925.279999999999</v>
      </c>
      <c r="G910" s="833">
        <f t="shared" si="84"/>
        <v>300402.4769230769</v>
      </c>
      <c r="H910" s="834">
        <v>1</v>
      </c>
      <c r="I910" s="835" t="s">
        <v>3372</v>
      </c>
      <c r="J910" s="836">
        <v>0.79999999999999993</v>
      </c>
      <c r="K910" s="836">
        <v>0.39</v>
      </c>
      <c r="L910" s="836"/>
      <c r="M910" s="836">
        <v>0.2</v>
      </c>
      <c r="N910" s="836"/>
      <c r="O910" s="836"/>
      <c r="P910" s="836"/>
      <c r="Q910" s="836"/>
      <c r="R910" s="837">
        <v>1</v>
      </c>
      <c r="T910" s="155"/>
      <c r="U910" s="155">
        <v>92703</v>
      </c>
      <c r="V910" s="155"/>
      <c r="AA910" s="180" t="str">
        <f>VLOOKUP(A910,[2]DG!$A:$C,3,0)</f>
        <v xml:space="preserve">Biến dòng 600V - 125/5A </v>
      </c>
    </row>
    <row r="911" spans="1:27" ht="20.100000000000001" hidden="1" customHeight="1">
      <c r="A911" s="873" t="s">
        <v>1591</v>
      </c>
      <c r="B911" s="859"/>
      <c r="C911" s="421" t="s">
        <v>1596</v>
      </c>
      <c r="D911" s="364" t="s">
        <v>9</v>
      </c>
      <c r="E911" s="833"/>
      <c r="F911" s="833">
        <f t="shared" si="83"/>
        <v>73925.279999999999</v>
      </c>
      <c r="G911" s="833">
        <f t="shared" si="84"/>
        <v>300402.4769230769</v>
      </c>
      <c r="H911" s="834">
        <v>1</v>
      </c>
      <c r="I911" s="835" t="s">
        <v>3372</v>
      </c>
      <c r="J911" s="836">
        <v>0.79999999999999993</v>
      </c>
      <c r="K911" s="836">
        <v>0.39</v>
      </c>
      <c r="L911" s="836"/>
      <c r="M911" s="836">
        <v>0.2</v>
      </c>
      <c r="N911" s="836"/>
      <c r="O911" s="836"/>
      <c r="P911" s="836"/>
      <c r="Q911" s="836"/>
      <c r="R911" s="837">
        <v>1</v>
      </c>
      <c r="T911" s="155"/>
      <c r="U911" s="155">
        <v>92703</v>
      </c>
      <c r="V911" s="155"/>
      <c r="AA911" s="180" t="str">
        <f>VLOOKUP(A911,[2]DG!$A:$C,3,0)</f>
        <v>Biến dòng 24kV  150/5A</v>
      </c>
    </row>
    <row r="912" spans="1:27" ht="20.100000000000001" hidden="1" customHeight="1">
      <c r="A912" s="873" t="s">
        <v>1597</v>
      </c>
      <c r="B912" s="859">
        <v>0</v>
      </c>
      <c r="C912" s="421" t="s">
        <v>1598</v>
      </c>
      <c r="D912" s="364" t="s">
        <v>9</v>
      </c>
      <c r="E912" s="833">
        <v>0</v>
      </c>
      <c r="F912" s="833">
        <f t="shared" si="83"/>
        <v>73925.279999999999</v>
      </c>
      <c r="G912" s="833">
        <f t="shared" si="84"/>
        <v>300402.4769230769</v>
      </c>
      <c r="H912" s="834" t="s">
        <v>4065</v>
      </c>
      <c r="I912" s="835" t="s">
        <v>3372</v>
      </c>
      <c r="J912" s="836">
        <v>0.79999999999999993</v>
      </c>
      <c r="K912" s="836">
        <v>0.39</v>
      </c>
      <c r="L912" s="836"/>
      <c r="M912" s="836">
        <v>0.2</v>
      </c>
      <c r="N912" s="836"/>
      <c r="O912" s="836"/>
      <c r="P912" s="836"/>
      <c r="Q912" s="836"/>
      <c r="R912" s="837"/>
      <c r="T912" s="155"/>
      <c r="U912" s="155">
        <v>92703</v>
      </c>
      <c r="V912" s="155"/>
      <c r="AA912" s="180" t="str">
        <f>VLOOKUP(A912,[2]DG!$A:$C,3,0)</f>
        <v xml:space="preserve">Biến dòng 600V - 200/5A </v>
      </c>
    </row>
    <row r="913" spans="1:27" ht="20.100000000000001" hidden="1" customHeight="1">
      <c r="A913" s="873" t="s">
        <v>1599</v>
      </c>
      <c r="B913" s="859"/>
      <c r="C913" s="421" t="s">
        <v>1600</v>
      </c>
      <c r="D913" s="364" t="s">
        <v>9</v>
      </c>
      <c r="E913" s="833"/>
      <c r="F913" s="833">
        <f t="shared" si="83"/>
        <v>73925.279999999999</v>
      </c>
      <c r="G913" s="833">
        <f t="shared" si="84"/>
        <v>300402.4769230769</v>
      </c>
      <c r="H913" s="834">
        <v>1</v>
      </c>
      <c r="I913" s="835" t="s">
        <v>3372</v>
      </c>
      <c r="J913" s="836">
        <v>0.79999999999999993</v>
      </c>
      <c r="K913" s="836">
        <v>0.39</v>
      </c>
      <c r="L913" s="836"/>
      <c r="M913" s="836">
        <v>0.2</v>
      </c>
      <c r="N913" s="836"/>
      <c r="O913" s="836"/>
      <c r="P913" s="836"/>
      <c r="Q913" s="836"/>
      <c r="R913" s="837">
        <v>1</v>
      </c>
      <c r="T913" s="155"/>
      <c r="U913" s="155">
        <v>92703</v>
      </c>
      <c r="V913" s="155"/>
      <c r="AA913" s="180" t="str">
        <f>VLOOKUP(A913,[2]DG!$A:$C,3,0)</f>
        <v>Biến dòng 600V - 250/5A</v>
      </c>
    </row>
    <row r="914" spans="1:27" ht="20.100000000000001" hidden="1" customHeight="1">
      <c r="A914" s="873" t="s">
        <v>1601</v>
      </c>
      <c r="B914" s="859"/>
      <c r="C914" s="421" t="s">
        <v>1602</v>
      </c>
      <c r="D914" s="364" t="s">
        <v>9</v>
      </c>
      <c r="E914" s="833"/>
      <c r="F914" s="833">
        <f t="shared" si="83"/>
        <v>73925.279999999999</v>
      </c>
      <c r="G914" s="833">
        <f t="shared" si="84"/>
        <v>300402.4769230769</v>
      </c>
      <c r="H914" s="834">
        <v>1</v>
      </c>
      <c r="I914" s="835" t="s">
        <v>3372</v>
      </c>
      <c r="J914" s="836">
        <v>0.79999999999999993</v>
      </c>
      <c r="K914" s="836">
        <v>0.39</v>
      </c>
      <c r="L914" s="836"/>
      <c r="M914" s="836">
        <v>0.2</v>
      </c>
      <c r="N914" s="836"/>
      <c r="O914" s="836"/>
      <c r="P914" s="836"/>
      <c r="Q914" s="836"/>
      <c r="R914" s="837">
        <v>1</v>
      </c>
      <c r="T914" s="155"/>
      <c r="U914" s="155">
        <v>92703</v>
      </c>
      <c r="V914" s="155"/>
      <c r="AA914" s="180" t="str">
        <f>VLOOKUP(A914,[2]DG!$A:$C,3,0)</f>
        <v xml:space="preserve">Biến dòng 600V - 300/5A </v>
      </c>
    </row>
    <row r="915" spans="1:27" ht="20.100000000000001" hidden="1" customHeight="1">
      <c r="A915" s="873" t="s">
        <v>1603</v>
      </c>
      <c r="B915" s="859"/>
      <c r="C915" s="421" t="s">
        <v>1604</v>
      </c>
      <c r="D915" s="364" t="s">
        <v>9</v>
      </c>
      <c r="E915" s="833"/>
      <c r="F915" s="833">
        <f t="shared" si="83"/>
        <v>73925.279999999999</v>
      </c>
      <c r="G915" s="833">
        <f t="shared" si="84"/>
        <v>300402.4769230769</v>
      </c>
      <c r="H915" s="834">
        <v>1</v>
      </c>
      <c r="I915" s="835" t="s">
        <v>3372</v>
      </c>
      <c r="J915" s="836">
        <v>0.79999999999999993</v>
      </c>
      <c r="K915" s="836">
        <v>0.39</v>
      </c>
      <c r="L915" s="836"/>
      <c r="M915" s="836">
        <v>0.2</v>
      </c>
      <c r="N915" s="836"/>
      <c r="O915" s="836"/>
      <c r="P915" s="836"/>
      <c r="Q915" s="836"/>
      <c r="R915" s="837">
        <v>1</v>
      </c>
      <c r="T915" s="155"/>
      <c r="U915" s="155">
        <v>92703</v>
      </c>
      <c r="V915" s="155"/>
      <c r="AA915" s="180" t="str">
        <f>VLOOKUP(A915,[2]DG!$A:$C,3,0)</f>
        <v>Biến dòng 600V - 400/5A</v>
      </c>
    </row>
    <row r="916" spans="1:27" ht="20.100000000000001" hidden="1" customHeight="1">
      <c r="A916" s="874" t="s">
        <v>1605</v>
      </c>
      <c r="B916" s="859"/>
      <c r="C916" s="416" t="s">
        <v>1606</v>
      </c>
      <c r="D916" s="364" t="s">
        <v>9</v>
      </c>
      <c r="E916" s="833"/>
      <c r="F916" s="833">
        <f t="shared" si="83"/>
        <v>73925.279999999999</v>
      </c>
      <c r="G916" s="833">
        <f t="shared" si="84"/>
        <v>300402.4769230769</v>
      </c>
      <c r="H916" s="834">
        <v>1</v>
      </c>
      <c r="I916" s="835" t="s">
        <v>3372</v>
      </c>
      <c r="J916" s="836">
        <v>0.79999999999999993</v>
      </c>
      <c r="K916" s="836">
        <v>0.39</v>
      </c>
      <c r="L916" s="836"/>
      <c r="M916" s="836">
        <v>0.2</v>
      </c>
      <c r="N916" s="836"/>
      <c r="O916" s="836"/>
      <c r="P916" s="836"/>
      <c r="Q916" s="836"/>
      <c r="R916" s="837">
        <v>1</v>
      </c>
      <c r="T916" s="155"/>
      <c r="U916" s="155">
        <v>92703</v>
      </c>
      <c r="V916" s="155"/>
      <c r="AA916" s="180" t="str">
        <f>VLOOKUP(A916,[2]DG!$A:$C,3,0)</f>
        <v>Biến dòng 600V - 500/5A</v>
      </c>
    </row>
    <row r="917" spans="1:27" ht="20.100000000000001" hidden="1" customHeight="1">
      <c r="A917" s="873" t="s">
        <v>1607</v>
      </c>
      <c r="B917" s="859"/>
      <c r="C917" s="421" t="s">
        <v>1608</v>
      </c>
      <c r="D917" s="364" t="s">
        <v>9</v>
      </c>
      <c r="E917" s="833"/>
      <c r="F917" s="833">
        <f t="shared" si="83"/>
        <v>73925.279999999999</v>
      </c>
      <c r="G917" s="833">
        <f t="shared" si="84"/>
        <v>300402.4769230769</v>
      </c>
      <c r="H917" s="834">
        <v>1</v>
      </c>
      <c r="I917" s="835" t="s">
        <v>3372</v>
      </c>
      <c r="J917" s="836">
        <v>0.79999999999999993</v>
      </c>
      <c r="K917" s="836">
        <v>0.39</v>
      </c>
      <c r="L917" s="836"/>
      <c r="M917" s="836">
        <v>0.2</v>
      </c>
      <c r="N917" s="836"/>
      <c r="O917" s="836"/>
      <c r="P917" s="836"/>
      <c r="Q917" s="836"/>
      <c r="R917" s="837">
        <v>1</v>
      </c>
      <c r="T917" s="155"/>
      <c r="U917" s="155">
        <v>92703</v>
      </c>
      <c r="V917" s="155"/>
      <c r="AA917" s="180" t="str">
        <f>VLOOKUP(A917,[2]DG!$A:$C,3,0)</f>
        <v>Biến dòng 600V - 600/5A</v>
      </c>
    </row>
    <row r="918" spans="1:27" ht="20.100000000000001" hidden="1" customHeight="1">
      <c r="A918" s="873" t="s">
        <v>1609</v>
      </c>
      <c r="B918" s="859"/>
      <c r="C918" s="421" t="s">
        <v>1610</v>
      </c>
      <c r="D918" s="364" t="s">
        <v>9</v>
      </c>
      <c r="E918" s="833"/>
      <c r="F918" s="833">
        <f t="shared" si="83"/>
        <v>73925.279999999999</v>
      </c>
      <c r="G918" s="833">
        <f t="shared" si="84"/>
        <v>300402.4769230769</v>
      </c>
      <c r="H918" s="834">
        <v>1</v>
      </c>
      <c r="I918" s="835" t="s">
        <v>3372</v>
      </c>
      <c r="J918" s="836">
        <v>0.79999999999999993</v>
      </c>
      <c r="K918" s="836">
        <v>0.39</v>
      </c>
      <c r="L918" s="836"/>
      <c r="M918" s="836">
        <v>0.2</v>
      </c>
      <c r="N918" s="836"/>
      <c r="O918" s="836"/>
      <c r="P918" s="836"/>
      <c r="Q918" s="836"/>
      <c r="R918" s="837">
        <v>1</v>
      </c>
      <c r="T918" s="155"/>
      <c r="U918" s="155">
        <v>92703</v>
      </c>
      <c r="V918" s="155"/>
      <c r="AA918" s="180" t="str">
        <f>VLOOKUP(A918,[2]DG!$A:$C,3,0)</f>
        <v>Biến dòng 600V - 800/5A</v>
      </c>
    </row>
    <row r="919" spans="1:27" ht="20.100000000000001" hidden="1" customHeight="1">
      <c r="A919" s="873" t="s">
        <v>1609</v>
      </c>
      <c r="B919" s="859"/>
      <c r="C919" s="421" t="s">
        <v>1610</v>
      </c>
      <c r="D919" s="364" t="s">
        <v>9</v>
      </c>
      <c r="E919" s="833"/>
      <c r="F919" s="833">
        <f t="shared" ref="F919" si="85">IF(OR(I919="",J919=""),0,IF(K919*1=0,1,K919)*VLOOKUP(I919,TIENLUONG,4,0)*J919)</f>
        <v>73925.279999999999</v>
      </c>
      <c r="G919" s="833">
        <f t="shared" ref="G919" si="86">L919*VLOOKUP($L$1,CAMAY,2,0)+M919*VLOOKUP($M$1,CAMAY,2,0)+N919*VLOOKUP($N$1,CAMAY,2,0)+O919*VLOOKUP($O$1,CAMAY,2,0)+P919*VLOOKUP($P$1,CAMAY,2,0)</f>
        <v>300402.4769230769</v>
      </c>
      <c r="H919" s="834">
        <v>1</v>
      </c>
      <c r="I919" s="835" t="s">
        <v>3372</v>
      </c>
      <c r="J919" s="836">
        <v>0.79999999999999993</v>
      </c>
      <c r="K919" s="836">
        <v>0.39</v>
      </c>
      <c r="L919" s="836"/>
      <c r="M919" s="836">
        <v>0.2</v>
      </c>
      <c r="N919" s="836"/>
      <c r="O919" s="836"/>
      <c r="P919" s="836"/>
      <c r="Q919" s="836"/>
      <c r="R919" s="837">
        <v>1</v>
      </c>
      <c r="T919" s="155"/>
      <c r="U919" s="155">
        <v>92703</v>
      </c>
      <c r="V919" s="155"/>
      <c r="AA919" s="180" t="str">
        <f>VLOOKUP(A919,[2]DG!$A:$C,3,0)</f>
        <v>Biến dòng 600V - 800/5A</v>
      </c>
    </row>
    <row r="920" spans="1:27" ht="20.100000000000001" hidden="1" customHeight="1">
      <c r="A920" s="873" t="s">
        <v>1611</v>
      </c>
      <c r="B920" s="859" t="s">
        <v>1114</v>
      </c>
      <c r="C920" s="421" t="s">
        <v>1612</v>
      </c>
      <c r="D920" s="364" t="s">
        <v>9</v>
      </c>
      <c r="E920" s="833">
        <v>0</v>
      </c>
      <c r="F920" s="833">
        <f t="shared" si="83"/>
        <v>73925.279999999999</v>
      </c>
      <c r="G920" s="833">
        <f t="shared" si="84"/>
        <v>300402.4769230769</v>
      </c>
      <c r="H920" s="834">
        <v>1</v>
      </c>
      <c r="I920" s="835" t="s">
        <v>3372</v>
      </c>
      <c r="J920" s="836">
        <v>0.79999999999999993</v>
      </c>
      <c r="K920" s="836">
        <v>0.39</v>
      </c>
      <c r="L920" s="836"/>
      <c r="M920" s="836">
        <v>0.2</v>
      </c>
      <c r="N920" s="836"/>
      <c r="O920" s="836"/>
      <c r="P920" s="836"/>
      <c r="Q920" s="836"/>
      <c r="R920" s="837">
        <v>10</v>
      </c>
      <c r="T920" s="155">
        <v>0</v>
      </c>
      <c r="U920" s="155">
        <v>92703</v>
      </c>
      <c r="V920" s="155">
        <v>84261</v>
      </c>
      <c r="AA920" s="180" t="str">
        <f>VLOOKUP(A920,[2]DG!$A:$C,3,0)</f>
        <v>Biến điện áp 8400/120(60)V</v>
      </c>
    </row>
    <row r="921" spans="1:27" ht="20.100000000000001" hidden="1" customHeight="1">
      <c r="A921" s="873" t="s">
        <v>1613</v>
      </c>
      <c r="B921" s="859" t="s">
        <v>1114</v>
      </c>
      <c r="C921" s="421" t="s">
        <v>1614</v>
      </c>
      <c r="D921" s="364" t="s">
        <v>9</v>
      </c>
      <c r="E921" s="833">
        <v>0</v>
      </c>
      <c r="F921" s="833">
        <f t="shared" si="83"/>
        <v>73925.279999999999</v>
      </c>
      <c r="G921" s="833">
        <f t="shared" si="84"/>
        <v>300402.4769230769</v>
      </c>
      <c r="H921" s="834">
        <v>1</v>
      </c>
      <c r="I921" s="835" t="s">
        <v>3372</v>
      </c>
      <c r="J921" s="836">
        <v>0.79999999999999993</v>
      </c>
      <c r="K921" s="836">
        <v>0.39</v>
      </c>
      <c r="L921" s="836"/>
      <c r="M921" s="836">
        <v>0.2</v>
      </c>
      <c r="N921" s="836"/>
      <c r="O921" s="836"/>
      <c r="P921" s="836"/>
      <c r="Q921" s="836"/>
      <c r="R921" s="837">
        <v>10</v>
      </c>
      <c r="T921" s="155">
        <v>0</v>
      </c>
      <c r="U921" s="155">
        <v>92703</v>
      </c>
      <c r="V921" s="155">
        <v>84261</v>
      </c>
      <c r="AA921" s="180" t="str">
        <f>VLOOKUP(A921,[2]DG!$A:$C,3,0)</f>
        <v>Biến điện áp 22000/√3/100/√3 V</v>
      </c>
    </row>
    <row r="922" spans="1:27" ht="20.100000000000001" hidden="1" customHeight="1">
      <c r="A922" s="873" t="s">
        <v>1615</v>
      </c>
      <c r="B922" s="859"/>
      <c r="C922" s="421" t="s">
        <v>1616</v>
      </c>
      <c r="D922" s="364" t="s">
        <v>37</v>
      </c>
      <c r="E922" s="833">
        <v>700000</v>
      </c>
      <c r="F922" s="833">
        <f t="shared" si="83"/>
        <v>0</v>
      </c>
      <c r="G922" s="833">
        <f t="shared" si="84"/>
        <v>0</v>
      </c>
      <c r="H922" s="834">
        <v>1</v>
      </c>
      <c r="I922" s="835"/>
      <c r="J922" s="836"/>
      <c r="K922" s="836"/>
      <c r="L922" s="836"/>
      <c r="M922" s="836"/>
      <c r="N922" s="836"/>
      <c r="O922" s="836"/>
      <c r="P922" s="836"/>
      <c r="Q922" s="836"/>
      <c r="R922" s="837">
        <v>0.5</v>
      </c>
      <c r="T922" s="155">
        <v>700000</v>
      </c>
      <c r="U922" s="155">
        <v>25751</v>
      </c>
      <c r="V922" s="155"/>
      <c r="AA922" s="180" t="str">
        <f>VLOOKUP(A922,[2]DG!$A:$C,3,0)</f>
        <v>Relay Timer + cầu chì</v>
      </c>
    </row>
    <row r="923" spans="1:27" ht="20.100000000000001" hidden="1" customHeight="1">
      <c r="A923" s="873" t="s">
        <v>1617</v>
      </c>
      <c r="B923" s="859"/>
      <c r="C923" s="421" t="s">
        <v>1618</v>
      </c>
      <c r="D923" s="364" t="s">
        <v>9</v>
      </c>
      <c r="E923" s="833">
        <v>796000</v>
      </c>
      <c r="F923" s="833">
        <f t="shared" si="83"/>
        <v>0</v>
      </c>
      <c r="G923" s="833">
        <f t="shared" si="84"/>
        <v>0</v>
      </c>
      <c r="H923" s="834">
        <v>1</v>
      </c>
      <c r="I923" s="835"/>
      <c r="J923" s="836"/>
      <c r="K923" s="836"/>
      <c r="L923" s="836"/>
      <c r="M923" s="836"/>
      <c r="N923" s="836"/>
      <c r="O923" s="836"/>
      <c r="P923" s="836"/>
      <c r="Q923" s="836"/>
      <c r="R923" s="837">
        <v>0.5</v>
      </c>
      <c r="T923" s="155">
        <v>796000</v>
      </c>
      <c r="U923" s="155">
        <v>77664</v>
      </c>
      <c r="V923" s="155"/>
      <c r="AA923" s="180" t="str">
        <f>VLOOKUP(A923,[2]DG!$A:$C,3,0)</f>
        <v>Contactor 3P-50A</v>
      </c>
    </row>
    <row r="924" spans="1:27" ht="20.100000000000001" hidden="1" customHeight="1">
      <c r="A924" s="873" t="s">
        <v>1619</v>
      </c>
      <c r="B924" s="859"/>
      <c r="C924" s="421" t="s">
        <v>1620</v>
      </c>
      <c r="D924" s="364" t="s">
        <v>9</v>
      </c>
      <c r="E924" s="833">
        <v>796000</v>
      </c>
      <c r="F924" s="833">
        <f t="shared" si="83"/>
        <v>0</v>
      </c>
      <c r="G924" s="833">
        <f t="shared" si="84"/>
        <v>0</v>
      </c>
      <c r="H924" s="834">
        <v>1</v>
      </c>
      <c r="I924" s="835"/>
      <c r="J924" s="836"/>
      <c r="K924" s="836"/>
      <c r="L924" s="836"/>
      <c r="M924" s="836"/>
      <c r="N924" s="836"/>
      <c r="O924" s="836"/>
      <c r="P924" s="836"/>
      <c r="Q924" s="836"/>
      <c r="R924" s="837">
        <v>0.7</v>
      </c>
      <c r="T924" s="155">
        <v>796000</v>
      </c>
      <c r="U924" s="155">
        <v>25751</v>
      </c>
      <c r="V924" s="155"/>
      <c r="AA924" s="180" t="str">
        <f>VLOOKUP(A924,[2]DG!$A:$C,3,0)</f>
        <v>Contactor 3P-100A</v>
      </c>
    </row>
    <row r="925" spans="1:27" ht="20.100000000000001" hidden="1" customHeight="1">
      <c r="A925" s="873" t="s">
        <v>1621</v>
      </c>
      <c r="B925" s="859"/>
      <c r="C925" s="421" t="s">
        <v>1622</v>
      </c>
      <c r="D925" s="364" t="s">
        <v>9</v>
      </c>
      <c r="E925" s="833">
        <v>1250000</v>
      </c>
      <c r="F925" s="833">
        <f t="shared" si="83"/>
        <v>0</v>
      </c>
      <c r="G925" s="833">
        <f t="shared" si="84"/>
        <v>0</v>
      </c>
      <c r="H925" s="834">
        <v>1</v>
      </c>
      <c r="I925" s="835"/>
      <c r="J925" s="836"/>
      <c r="K925" s="836"/>
      <c r="L925" s="836"/>
      <c r="M925" s="836"/>
      <c r="N925" s="836"/>
      <c r="O925" s="836"/>
      <c r="P925" s="836"/>
      <c r="Q925" s="836"/>
      <c r="R925" s="837">
        <v>0.7</v>
      </c>
      <c r="T925" s="155">
        <v>1250000</v>
      </c>
      <c r="U925" s="155">
        <v>77664</v>
      </c>
      <c r="V925" s="155"/>
      <c r="AA925" s="180" t="str">
        <f>VLOOKUP(A925,[2]DG!$A:$C,3,0)</f>
        <v>Contactor 3P-125A</v>
      </c>
    </row>
    <row r="926" spans="1:27" ht="20.100000000000001" hidden="1" customHeight="1">
      <c r="A926" s="873" t="s">
        <v>1623</v>
      </c>
      <c r="B926" s="860" t="s">
        <v>4309</v>
      </c>
      <c r="C926" s="421" t="s">
        <v>4325</v>
      </c>
      <c r="D926" s="364" t="s">
        <v>1624</v>
      </c>
      <c r="E926" s="833">
        <f>200000*1000+10000000</f>
        <v>210000000</v>
      </c>
      <c r="F926" s="833">
        <f t="shared" si="83"/>
        <v>492906.06</v>
      </c>
      <c r="G926" s="833">
        <f t="shared" si="84"/>
        <v>150201.23846153845</v>
      </c>
      <c r="H926" s="834">
        <v>1</v>
      </c>
      <c r="I926" s="835" t="s">
        <v>3375</v>
      </c>
      <c r="J926" s="836">
        <f>1.91*1000/1000</f>
        <v>1.91</v>
      </c>
      <c r="K926" s="836"/>
      <c r="L926" s="836"/>
      <c r="M926" s="836">
        <f>0.1*1000/1000</f>
        <v>0.1</v>
      </c>
      <c r="N926" s="836"/>
      <c r="O926" s="836"/>
      <c r="P926" s="836"/>
      <c r="Q926" s="836"/>
      <c r="R926" s="837">
        <v>50</v>
      </c>
      <c r="T926" s="155">
        <f>300000*1000</f>
        <v>300000000</v>
      </c>
      <c r="U926" s="155">
        <v>6506000</v>
      </c>
      <c r="V926" s="155">
        <v>3259800</v>
      </c>
      <c r="AA926" s="180" t="str">
        <f>VLOOKUP(A926,[2]DG!$A:$C,3,0)</f>
        <v>Tủ tụ bù hạ thế 1000kVAr</v>
      </c>
    </row>
    <row r="927" spans="1:27" ht="20.100000000000001" hidden="1" customHeight="1">
      <c r="A927" s="873" t="s">
        <v>1625</v>
      </c>
      <c r="B927" s="860" t="s">
        <v>4309</v>
      </c>
      <c r="C927" s="421" t="s">
        <v>4324</v>
      </c>
      <c r="D927" s="364" t="s">
        <v>1624</v>
      </c>
      <c r="E927" s="833">
        <f>200000*750+10000000</f>
        <v>160000000</v>
      </c>
      <c r="F927" s="833">
        <f t="shared" ref="F927:F991" si="87">IF(OR(I927="",J927=""),0,IF(K927*1=0,1,K927)*VLOOKUP(I927,TIENLUONG,4,0)*J927)</f>
        <v>369679.54500000004</v>
      </c>
      <c r="G927" s="833">
        <f t="shared" ref="G927:G991" si="88">L927*VLOOKUP($L$1,CAMAY,2,0)+M927*VLOOKUP($M$1,CAMAY,2,0)+N927*VLOOKUP($N$1,CAMAY,2,0)+O927*VLOOKUP($O$1,CAMAY,2,0)+P927*VLOOKUP($P$1,CAMAY,2,0)</f>
        <v>112650.92884615384</v>
      </c>
      <c r="H927" s="834">
        <v>1</v>
      </c>
      <c r="I927" s="835" t="s">
        <v>3375</v>
      </c>
      <c r="J927" s="836">
        <f>1.91*750/1000</f>
        <v>1.4325000000000001</v>
      </c>
      <c r="K927" s="836"/>
      <c r="L927" s="836"/>
      <c r="M927" s="836">
        <f>0.1*750/1000</f>
        <v>7.4999999999999997E-2</v>
      </c>
      <c r="N927" s="836"/>
      <c r="O927" s="836"/>
      <c r="P927" s="836"/>
      <c r="Q927" s="836"/>
      <c r="R927" s="837">
        <v>50</v>
      </c>
      <c r="T927" s="155">
        <f>300000*750</f>
        <v>225000000</v>
      </c>
      <c r="U927" s="155">
        <v>4879500</v>
      </c>
      <c r="V927" s="155">
        <v>2444850</v>
      </c>
      <c r="AA927" s="180" t="str">
        <f>VLOOKUP(A927,[2]DG!$A:$C,3,0)</f>
        <v>Tủ tụ bù hạ thế 750kVAr</v>
      </c>
    </row>
    <row r="928" spans="1:27" ht="20.100000000000001" hidden="1" customHeight="1">
      <c r="A928" s="873" t="s">
        <v>1626</v>
      </c>
      <c r="B928" s="860" t="s">
        <v>4309</v>
      </c>
      <c r="C928" s="421" t="s">
        <v>4323</v>
      </c>
      <c r="D928" s="364" t="s">
        <v>1624</v>
      </c>
      <c r="E928" s="833">
        <f>200000*600+10000000</f>
        <v>130000000</v>
      </c>
      <c r="F928" s="833">
        <f t="shared" si="87"/>
        <v>295743.636</v>
      </c>
      <c r="G928" s="833">
        <f t="shared" si="88"/>
        <v>90120.74307692307</v>
      </c>
      <c r="H928" s="834">
        <v>1</v>
      </c>
      <c r="I928" s="835" t="s">
        <v>3375</v>
      </c>
      <c r="J928" s="836">
        <f>1.91*600/1000</f>
        <v>1.1459999999999999</v>
      </c>
      <c r="K928" s="836"/>
      <c r="L928" s="836"/>
      <c r="M928" s="836">
        <f>0.1*600/1000</f>
        <v>0.06</v>
      </c>
      <c r="N928" s="836"/>
      <c r="O928" s="836"/>
      <c r="P928" s="836"/>
      <c r="Q928" s="836"/>
      <c r="R928" s="837">
        <v>50</v>
      </c>
      <c r="T928" s="155">
        <f>300000*600</f>
        <v>180000000</v>
      </c>
      <c r="U928" s="155">
        <v>3903600</v>
      </c>
      <c r="V928" s="155">
        <v>1955880</v>
      </c>
      <c r="AA928" s="180" t="str">
        <f>VLOOKUP(A928,[2]DG!$A:$C,3,0)</f>
        <v>Tủ tụ bù hạ thế 600kVAr</v>
      </c>
    </row>
    <row r="929" spans="1:27" ht="20.100000000000001" hidden="1" customHeight="1">
      <c r="A929" s="873" t="s">
        <v>1627</v>
      </c>
      <c r="B929" s="860" t="s">
        <v>4309</v>
      </c>
      <c r="C929" s="421" t="s">
        <v>4322</v>
      </c>
      <c r="D929" s="364" t="s">
        <v>1624</v>
      </c>
      <c r="E929" s="833">
        <f>200000*400+10000000</f>
        <v>90000000</v>
      </c>
      <c r="F929" s="833">
        <f t="shared" si="87"/>
        <v>197162.424</v>
      </c>
      <c r="G929" s="833">
        <f t="shared" si="88"/>
        <v>60080.49538461538</v>
      </c>
      <c r="H929" s="834">
        <v>1</v>
      </c>
      <c r="I929" s="835" t="s">
        <v>3375</v>
      </c>
      <c r="J929" s="836">
        <f>1.91*400/1000</f>
        <v>0.76400000000000001</v>
      </c>
      <c r="K929" s="836"/>
      <c r="L929" s="836"/>
      <c r="M929" s="836">
        <f>0.1*400/1000</f>
        <v>0.04</v>
      </c>
      <c r="N929" s="836"/>
      <c r="O929" s="836"/>
      <c r="P929" s="836"/>
      <c r="Q929" s="836"/>
      <c r="R929" s="837">
        <v>50</v>
      </c>
      <c r="T929" s="155">
        <f>300000*400</f>
        <v>120000000</v>
      </c>
      <c r="U929" s="155">
        <v>2602400</v>
      </c>
      <c r="V929" s="155">
        <v>1303920</v>
      </c>
      <c r="AA929" s="180" t="str">
        <f>VLOOKUP(A929,[2]DG!$A:$C,3,0)</f>
        <v>Tủ tụ bù hạ thế 400kVAr</v>
      </c>
    </row>
    <row r="930" spans="1:27" ht="20.100000000000001" hidden="1" customHeight="1">
      <c r="A930" s="873" t="s">
        <v>1628</v>
      </c>
      <c r="B930" s="860" t="s">
        <v>4309</v>
      </c>
      <c r="C930" s="421" t="s">
        <v>4321</v>
      </c>
      <c r="D930" s="364" t="s">
        <v>1624</v>
      </c>
      <c r="E930" s="833">
        <f>200000*380+10000000</f>
        <v>86000000</v>
      </c>
      <c r="F930" s="833">
        <f t="shared" si="87"/>
        <v>187304.3028</v>
      </c>
      <c r="G930" s="833">
        <f t="shared" si="88"/>
        <v>57076.470615384613</v>
      </c>
      <c r="H930" s="834">
        <v>1</v>
      </c>
      <c r="I930" s="835" t="s">
        <v>3375</v>
      </c>
      <c r="J930" s="836">
        <f>1.91*380/1000</f>
        <v>0.7258</v>
      </c>
      <c r="K930" s="836"/>
      <c r="L930" s="836"/>
      <c r="M930" s="836">
        <f>0.1*380/1000</f>
        <v>3.7999999999999999E-2</v>
      </c>
      <c r="N930" s="836"/>
      <c r="O930" s="836"/>
      <c r="P930" s="836"/>
      <c r="Q930" s="836"/>
      <c r="R930" s="837">
        <v>50</v>
      </c>
      <c r="T930" s="155">
        <f>300000*380</f>
        <v>114000000</v>
      </c>
      <c r="U930" s="155">
        <v>2472280</v>
      </c>
      <c r="V930" s="155">
        <v>1238724</v>
      </c>
      <c r="AA930" s="180" t="str">
        <f>VLOOKUP(A930,[2]DG!$A:$C,3,0)</f>
        <v>Tủ tụ bù hạ thế 380kVAr</v>
      </c>
    </row>
    <row r="931" spans="1:27" ht="20.100000000000001" hidden="1" customHeight="1">
      <c r="A931" s="873" t="s">
        <v>1629</v>
      </c>
      <c r="B931" s="860" t="s">
        <v>4309</v>
      </c>
      <c r="C931" s="421" t="s">
        <v>4320</v>
      </c>
      <c r="D931" s="364" t="s">
        <v>1624</v>
      </c>
      <c r="E931" s="833">
        <f>200000*300+10000000</f>
        <v>70000000</v>
      </c>
      <c r="F931" s="833">
        <f t="shared" si="87"/>
        <v>147871.818</v>
      </c>
      <c r="G931" s="833">
        <f t="shared" si="88"/>
        <v>45060.371538461535</v>
      </c>
      <c r="H931" s="834">
        <v>1</v>
      </c>
      <c r="I931" s="835" t="s">
        <v>3375</v>
      </c>
      <c r="J931" s="836">
        <f>1.91*300/1000</f>
        <v>0.57299999999999995</v>
      </c>
      <c r="K931" s="836"/>
      <c r="L931" s="836"/>
      <c r="M931" s="836">
        <f>0.1*300/1000</f>
        <v>0.03</v>
      </c>
      <c r="N931" s="836"/>
      <c r="O931" s="836"/>
      <c r="P931" s="836"/>
      <c r="Q931" s="836"/>
      <c r="R931" s="837">
        <v>50</v>
      </c>
      <c r="T931" s="155">
        <f>300000*300</f>
        <v>90000000</v>
      </c>
      <c r="U931" s="155">
        <v>1951800</v>
      </c>
      <c r="V931" s="155">
        <v>977940</v>
      </c>
      <c r="AA931" s="180" t="str">
        <f>VLOOKUP(A931,[2]DG!$A:$C,3,0)</f>
        <v>Tủ tụ bù hạ thế 300kVAr</v>
      </c>
    </row>
    <row r="932" spans="1:27" ht="20.100000000000001" hidden="1" customHeight="1">
      <c r="A932" s="873" t="s">
        <v>1630</v>
      </c>
      <c r="B932" s="860" t="s">
        <v>4309</v>
      </c>
      <c r="C932" s="421" t="s">
        <v>4319</v>
      </c>
      <c r="D932" s="364" t="s">
        <v>1624</v>
      </c>
      <c r="E932" s="833">
        <f>200000*250+10000000</f>
        <v>60000000</v>
      </c>
      <c r="F932" s="833">
        <f t="shared" si="87"/>
        <v>123226.515</v>
      </c>
      <c r="G932" s="833">
        <f t="shared" si="88"/>
        <v>37550.309615384613</v>
      </c>
      <c r="H932" s="834">
        <v>1</v>
      </c>
      <c r="I932" s="835" t="s">
        <v>3375</v>
      </c>
      <c r="J932" s="836">
        <f>1.91*250/1000</f>
        <v>0.47749999999999998</v>
      </c>
      <c r="K932" s="836"/>
      <c r="L932" s="836"/>
      <c r="M932" s="836">
        <f>0.1*250/1000</f>
        <v>2.5000000000000001E-2</v>
      </c>
      <c r="N932" s="836"/>
      <c r="O932" s="836"/>
      <c r="P932" s="836"/>
      <c r="Q932" s="836"/>
      <c r="R932" s="837">
        <v>50</v>
      </c>
      <c r="T932" s="155">
        <f>300000*250</f>
        <v>75000000</v>
      </c>
      <c r="U932" s="155">
        <v>1626500</v>
      </c>
      <c r="V932" s="155">
        <v>814950</v>
      </c>
      <c r="AA932" s="180" t="str">
        <f>VLOOKUP(A932,[2]DG!$A:$C,3,0)</f>
        <v>Tủ tụ bù hạ thế 250kVAr</v>
      </c>
    </row>
    <row r="933" spans="1:27" ht="20.100000000000001" hidden="1" customHeight="1">
      <c r="A933" s="873" t="s">
        <v>1631</v>
      </c>
      <c r="B933" s="860" t="s">
        <v>4309</v>
      </c>
      <c r="C933" s="421" t="s">
        <v>4318</v>
      </c>
      <c r="D933" s="364" t="s">
        <v>1624</v>
      </c>
      <c r="E933" s="833">
        <f>200000*220+10000000</f>
        <v>54000000</v>
      </c>
      <c r="F933" s="833">
        <f t="shared" si="87"/>
        <v>108439.33319999999</v>
      </c>
      <c r="G933" s="833">
        <f t="shared" si="88"/>
        <v>33044.272461538458</v>
      </c>
      <c r="H933" s="834">
        <v>1</v>
      </c>
      <c r="I933" s="835" t="s">
        <v>3375</v>
      </c>
      <c r="J933" s="836">
        <f>1.91*220/1000</f>
        <v>0.42019999999999996</v>
      </c>
      <c r="K933" s="836"/>
      <c r="L933" s="836"/>
      <c r="M933" s="836">
        <f>0.1*220/1000</f>
        <v>2.1999999999999999E-2</v>
      </c>
      <c r="N933" s="836"/>
      <c r="O933" s="836"/>
      <c r="P933" s="836"/>
      <c r="Q933" s="836"/>
      <c r="R933" s="837">
        <v>50</v>
      </c>
      <c r="T933" s="155">
        <f>300000*220</f>
        <v>66000000</v>
      </c>
      <c r="U933" s="155">
        <v>1431320</v>
      </c>
      <c r="V933" s="155">
        <v>717156</v>
      </c>
      <c r="AA933" s="180" t="str">
        <f>VLOOKUP(A933,[2]DG!$A:$C,3,0)</f>
        <v>Tủ tụ bù hạ thế 220kVAr</v>
      </c>
    </row>
    <row r="934" spans="1:27" ht="20.100000000000001" hidden="1" customHeight="1">
      <c r="A934" s="873" t="s">
        <v>1632</v>
      </c>
      <c r="B934" s="860" t="s">
        <v>4309</v>
      </c>
      <c r="C934" s="421" t="s">
        <v>4317</v>
      </c>
      <c r="D934" s="364" t="s">
        <v>1624</v>
      </c>
      <c r="E934" s="833">
        <f>200000*160+10000000</f>
        <v>42000000</v>
      </c>
      <c r="F934" s="833">
        <f t="shared" si="87"/>
        <v>78864.969599999997</v>
      </c>
      <c r="G934" s="833">
        <f t="shared" si="88"/>
        <v>24032.198153846151</v>
      </c>
      <c r="H934" s="834">
        <v>1</v>
      </c>
      <c r="I934" s="835" t="s">
        <v>3375</v>
      </c>
      <c r="J934" s="836">
        <f>1.91*160/1000</f>
        <v>0.30559999999999998</v>
      </c>
      <c r="K934" s="836"/>
      <c r="L934" s="836"/>
      <c r="M934" s="836">
        <f>0.1*160/1000</f>
        <v>1.6E-2</v>
      </c>
      <c r="N934" s="836"/>
      <c r="O934" s="836"/>
      <c r="P934" s="836"/>
      <c r="Q934" s="836"/>
      <c r="R934" s="837">
        <v>50</v>
      </c>
      <c r="T934" s="155">
        <f>300000*160</f>
        <v>48000000</v>
      </c>
      <c r="U934" s="155">
        <v>1040960</v>
      </c>
      <c r="V934" s="155">
        <v>521568</v>
      </c>
      <c r="AA934" s="180" t="str">
        <f>VLOOKUP(A934,[2]DG!$A:$C,3,0)</f>
        <v>Tủ tụ bù hạ thế 160kVAr</v>
      </c>
    </row>
    <row r="935" spans="1:27" ht="20.100000000000001" hidden="1" customHeight="1">
      <c r="A935" s="873" t="s">
        <v>1633</v>
      </c>
      <c r="B935" s="860" t="s">
        <v>4309</v>
      </c>
      <c r="C935" s="421" t="s">
        <v>4316</v>
      </c>
      <c r="D935" s="364" t="s">
        <v>1624</v>
      </c>
      <c r="E935" s="833">
        <f>200000*135+10000000</f>
        <v>37000000</v>
      </c>
      <c r="F935" s="833">
        <f t="shared" si="87"/>
        <v>66542.318099999989</v>
      </c>
      <c r="G935" s="833">
        <f t="shared" si="88"/>
        <v>20277.16719230769</v>
      </c>
      <c r="H935" s="834">
        <v>1</v>
      </c>
      <c r="I935" s="835" t="s">
        <v>3375</v>
      </c>
      <c r="J935" s="836">
        <f>1.91*135/1000</f>
        <v>0.25784999999999997</v>
      </c>
      <c r="K935" s="836"/>
      <c r="L935" s="836"/>
      <c r="M935" s="836">
        <f>0.1*135/1000</f>
        <v>1.35E-2</v>
      </c>
      <c r="N935" s="836"/>
      <c r="O935" s="836"/>
      <c r="P935" s="836"/>
      <c r="Q935" s="836"/>
      <c r="R935" s="837">
        <v>50</v>
      </c>
      <c r="T935" s="155">
        <f>300000*135</f>
        <v>40500000</v>
      </c>
      <c r="U935" s="155">
        <v>1040960</v>
      </c>
      <c r="V935" s="155">
        <v>521568</v>
      </c>
      <c r="AA935" s="180" t="str">
        <f>VLOOKUP(A935,[2]DG!$A:$C,3,0)</f>
        <v>Tủ tụ bù hạ thế 135kVAr</v>
      </c>
    </row>
    <row r="936" spans="1:27" ht="20.100000000000001" hidden="1" customHeight="1">
      <c r="A936" s="873" t="s">
        <v>1634</v>
      </c>
      <c r="B936" s="860" t="s">
        <v>4309</v>
      </c>
      <c r="C936" s="421" t="s">
        <v>4315</v>
      </c>
      <c r="D936" s="364" t="s">
        <v>1624</v>
      </c>
      <c r="E936" s="833">
        <f>200000*130+10000000</f>
        <v>36000000</v>
      </c>
      <c r="F936" s="833">
        <f t="shared" si="87"/>
        <v>64077.787799999998</v>
      </c>
      <c r="G936" s="833">
        <f t="shared" si="88"/>
        <v>19526.160999999996</v>
      </c>
      <c r="H936" s="834">
        <v>1</v>
      </c>
      <c r="I936" s="835" t="s">
        <v>3375</v>
      </c>
      <c r="J936" s="836">
        <f>1.91*130/1000</f>
        <v>0.24829999999999999</v>
      </c>
      <c r="K936" s="836"/>
      <c r="L936" s="836"/>
      <c r="M936" s="836">
        <f>0.1*130/1000</f>
        <v>1.2999999999999999E-2</v>
      </c>
      <c r="N936" s="836"/>
      <c r="O936" s="836"/>
      <c r="P936" s="836"/>
      <c r="Q936" s="836"/>
      <c r="R936" s="837">
        <v>50</v>
      </c>
      <c r="T936" s="155">
        <f>300000*130</f>
        <v>39000000</v>
      </c>
      <c r="U936" s="155">
        <v>878310</v>
      </c>
      <c r="V936" s="155">
        <v>440073</v>
      </c>
      <c r="AA936" s="180" t="str">
        <f>VLOOKUP(A936,[2]DG!$A:$C,3,0)</f>
        <v>Tủ tụ bù hạ thế 130kVAr</v>
      </c>
    </row>
    <row r="937" spans="1:27" ht="20.100000000000001" hidden="1" customHeight="1">
      <c r="A937" s="873" t="s">
        <v>1635</v>
      </c>
      <c r="B937" s="860" t="s">
        <v>4309</v>
      </c>
      <c r="C937" s="421" t="s">
        <v>4314</v>
      </c>
      <c r="D937" s="364" t="s">
        <v>1624</v>
      </c>
      <c r="E937" s="833">
        <f>200000*100+10000000</f>
        <v>30000000</v>
      </c>
      <c r="F937" s="833">
        <f t="shared" si="87"/>
        <v>49290.606</v>
      </c>
      <c r="G937" s="833">
        <f t="shared" si="88"/>
        <v>15020.123846153845</v>
      </c>
      <c r="H937" s="834">
        <v>1</v>
      </c>
      <c r="I937" s="835" t="s">
        <v>3375</v>
      </c>
      <c r="J937" s="836">
        <f>1.91*100/1000</f>
        <v>0.191</v>
      </c>
      <c r="K937" s="836"/>
      <c r="L937" s="836"/>
      <c r="M937" s="836">
        <f>0.1*100/1000</f>
        <v>0.01</v>
      </c>
      <c r="N937" s="836"/>
      <c r="O937" s="836"/>
      <c r="P937" s="836"/>
      <c r="Q937" s="836"/>
      <c r="R937" s="837">
        <v>50</v>
      </c>
      <c r="T937" s="155">
        <f>300000*100</f>
        <v>30000000</v>
      </c>
      <c r="U937" s="155">
        <v>650600</v>
      </c>
      <c r="V937" s="155">
        <v>325980</v>
      </c>
      <c r="AA937" s="180" t="str">
        <f>VLOOKUP(A937,[2]DG!$A:$C,3,0)</f>
        <v>Tủ tụ bù hạ thế 100kVAr</v>
      </c>
    </row>
    <row r="938" spans="1:27" ht="20.100000000000001" customHeight="1">
      <c r="A938" s="873" t="s">
        <v>1636</v>
      </c>
      <c r="B938" s="860" t="s">
        <v>4309</v>
      </c>
      <c r="C938" s="421" t="s">
        <v>4313</v>
      </c>
      <c r="D938" s="364" t="s">
        <v>1624</v>
      </c>
      <c r="E938" s="833">
        <f>200000*95+10000000</f>
        <v>29000000</v>
      </c>
      <c r="F938" s="833">
        <f t="shared" si="87"/>
        <v>46826.075700000001</v>
      </c>
      <c r="G938" s="833">
        <f t="shared" si="88"/>
        <v>14269.117653846153</v>
      </c>
      <c r="H938" s="834">
        <v>1</v>
      </c>
      <c r="I938" s="835" t="s">
        <v>3375</v>
      </c>
      <c r="J938" s="836">
        <f>1.91*95/1000</f>
        <v>0.18145</v>
      </c>
      <c r="K938" s="836"/>
      <c r="L938" s="836"/>
      <c r="M938" s="836">
        <f>0.1*95/1000</f>
        <v>9.4999999999999998E-3</v>
      </c>
      <c r="N938" s="836"/>
      <c r="O938" s="836"/>
      <c r="P938" s="836"/>
      <c r="Q938" s="836"/>
      <c r="R938" s="837">
        <v>50</v>
      </c>
      <c r="T938" s="155">
        <f>300000*95</f>
        <v>28500000</v>
      </c>
      <c r="U938" s="155">
        <v>650600</v>
      </c>
      <c r="V938" s="155">
        <v>325980</v>
      </c>
      <c r="AA938" s="180" t="str">
        <f>VLOOKUP(A938,[2]DG!$A:$C,3,0)</f>
        <v>Tủ tụ bù hạ thế 95kVAr  + bộ điều khiển 8 cấp LCD</v>
      </c>
    </row>
    <row r="939" spans="1:27" ht="20.100000000000001" hidden="1" customHeight="1">
      <c r="A939" s="873" t="s">
        <v>1637</v>
      </c>
      <c r="B939" s="860" t="s">
        <v>4309</v>
      </c>
      <c r="C939" s="421" t="s">
        <v>4312</v>
      </c>
      <c r="D939" s="364" t="s">
        <v>1624</v>
      </c>
      <c r="E939" s="833">
        <f>200000*80+10000000</f>
        <v>26000000</v>
      </c>
      <c r="F939" s="833">
        <f t="shared" si="87"/>
        <v>39432.484799999998</v>
      </c>
      <c r="G939" s="833">
        <f t="shared" si="88"/>
        <v>12016.099076923076</v>
      </c>
      <c r="H939" s="834">
        <v>1</v>
      </c>
      <c r="I939" s="835" t="s">
        <v>3375</v>
      </c>
      <c r="J939" s="836">
        <f>1.91*80/1000</f>
        <v>0.15279999999999999</v>
      </c>
      <c r="K939" s="836"/>
      <c r="L939" s="836"/>
      <c r="M939" s="836">
        <f>0.1*80/1000</f>
        <v>8.0000000000000002E-3</v>
      </c>
      <c r="N939" s="836"/>
      <c r="O939" s="836"/>
      <c r="P939" s="836"/>
      <c r="Q939" s="836"/>
      <c r="R939" s="837">
        <v>50</v>
      </c>
      <c r="T939" s="155">
        <f>300000*80</f>
        <v>24000000</v>
      </c>
      <c r="U939" s="155">
        <v>650600</v>
      </c>
      <c r="V939" s="155">
        <v>325980</v>
      </c>
      <c r="AA939" s="180" t="str">
        <f>VLOOKUP(A939,[2]DG!$A:$C,3,0)</f>
        <v>Tủ tụ bù hạ thế 80kVAr</v>
      </c>
    </row>
    <row r="940" spans="1:27" ht="20.100000000000001" hidden="1" customHeight="1">
      <c r="A940" s="873" t="s">
        <v>1638</v>
      </c>
      <c r="B940" s="860" t="s">
        <v>4309</v>
      </c>
      <c r="C940" s="421" t="s">
        <v>4311</v>
      </c>
      <c r="D940" s="364" t="s">
        <v>1624</v>
      </c>
      <c r="E940" s="833">
        <v>22000000</v>
      </c>
      <c r="F940" s="833">
        <f t="shared" si="87"/>
        <v>29574.363599999997</v>
      </c>
      <c r="G940" s="833">
        <f t="shared" si="88"/>
        <v>15020.123846153845</v>
      </c>
      <c r="H940" s="834" t="s">
        <v>4065</v>
      </c>
      <c r="I940" s="835" t="s">
        <v>3375</v>
      </c>
      <c r="J940" s="836">
        <v>0.11459999999999999</v>
      </c>
      <c r="K940" s="836"/>
      <c r="L940" s="836"/>
      <c r="M940" s="836">
        <v>0.01</v>
      </c>
      <c r="N940" s="836"/>
      <c r="O940" s="836"/>
      <c r="P940" s="836"/>
      <c r="Q940" s="836"/>
      <c r="R940" s="837">
        <v>50</v>
      </c>
      <c r="T940" s="155">
        <f>300000*60</f>
        <v>18000000</v>
      </c>
      <c r="U940" s="155">
        <v>390360</v>
      </c>
      <c r="V940" s="155">
        <v>195588</v>
      </c>
      <c r="AA940" s="180" t="str">
        <f>VLOOKUP(A940,[2]DG!$A:$C,3,0)</f>
        <v>Tủ tụ bù hạ thế 60kVAr</v>
      </c>
    </row>
    <row r="941" spans="1:27" ht="20.100000000000001" hidden="1" customHeight="1">
      <c r="A941" s="873" t="s">
        <v>1639</v>
      </c>
      <c r="B941" s="860" t="s">
        <v>4309</v>
      </c>
      <c r="C941" s="421" t="s">
        <v>4310</v>
      </c>
      <c r="D941" s="364" t="s">
        <v>1624</v>
      </c>
      <c r="E941" s="833">
        <f>200000*40+10000000</f>
        <v>18000000</v>
      </c>
      <c r="F941" s="833">
        <f t="shared" si="87"/>
        <v>19716.242399999999</v>
      </c>
      <c r="G941" s="833">
        <f t="shared" si="88"/>
        <v>6008.0495384615378</v>
      </c>
      <c r="H941" s="834">
        <v>1</v>
      </c>
      <c r="I941" s="835" t="s">
        <v>3375</v>
      </c>
      <c r="J941" s="836">
        <f>1.91*40/1000</f>
        <v>7.6399999999999996E-2</v>
      </c>
      <c r="K941" s="836"/>
      <c r="L941" s="836"/>
      <c r="M941" s="836">
        <f>0.1*40/1000</f>
        <v>4.0000000000000001E-3</v>
      </c>
      <c r="N941" s="836"/>
      <c r="O941" s="836"/>
      <c r="P941" s="836"/>
      <c r="Q941" s="836"/>
      <c r="R941" s="837">
        <v>50</v>
      </c>
      <c r="T941" s="155">
        <f>300000*40</f>
        <v>12000000</v>
      </c>
      <c r="U941" s="155">
        <v>260240</v>
      </c>
      <c r="V941" s="155">
        <v>130392</v>
      </c>
      <c r="AA941" s="180" t="str">
        <f>VLOOKUP(A941,[2]DG!$A:$C,3,0)</f>
        <v>Tụ bù 1 pha 30Kvar</v>
      </c>
    </row>
    <row r="942" spans="1:27" ht="20.100000000000001" hidden="1" customHeight="1">
      <c r="A942" s="873" t="s">
        <v>1640</v>
      </c>
      <c r="B942" s="860" t="s">
        <v>1641</v>
      </c>
      <c r="C942" s="421" t="s">
        <v>1642</v>
      </c>
      <c r="D942" s="364" t="s">
        <v>1624</v>
      </c>
      <c r="E942" s="833">
        <v>5000000</v>
      </c>
      <c r="F942" s="833">
        <f t="shared" si="87"/>
        <v>0</v>
      </c>
      <c r="G942" s="833">
        <f t="shared" si="88"/>
        <v>0</v>
      </c>
      <c r="H942" s="834">
        <v>1</v>
      </c>
      <c r="I942" s="835"/>
      <c r="J942" s="836"/>
      <c r="K942" s="836"/>
      <c r="L942" s="836"/>
      <c r="M942" s="836"/>
      <c r="N942" s="836"/>
      <c r="O942" s="836"/>
      <c r="P942" s="836"/>
      <c r="Q942" s="836"/>
      <c r="R942" s="837">
        <v>72</v>
      </c>
      <c r="T942" s="155">
        <v>5000000</v>
      </c>
      <c r="U942" s="155">
        <v>286129</v>
      </c>
      <c r="V942" s="155">
        <v>59254</v>
      </c>
      <c r="AA942" s="180" t="str">
        <f>VLOOKUP(A942,[2]DG!$A:$C,3,0)</f>
        <v>Tủ LBS 3 pha 630-800A</v>
      </c>
    </row>
    <row r="943" spans="1:27" ht="20.100000000000001" hidden="1" customHeight="1">
      <c r="A943" s="873" t="s">
        <v>1643</v>
      </c>
      <c r="B943" s="860" t="s">
        <v>1641</v>
      </c>
      <c r="C943" s="421" t="s">
        <v>1644</v>
      </c>
      <c r="D943" s="364" t="s">
        <v>1624</v>
      </c>
      <c r="E943" s="833">
        <v>95898000</v>
      </c>
      <c r="F943" s="833">
        <f t="shared" si="87"/>
        <v>0</v>
      </c>
      <c r="G943" s="833">
        <f t="shared" si="88"/>
        <v>0</v>
      </c>
      <c r="H943" s="834">
        <v>1</v>
      </c>
      <c r="I943" s="835"/>
      <c r="J943" s="836"/>
      <c r="K943" s="836"/>
      <c r="L943" s="836"/>
      <c r="M943" s="836"/>
      <c r="N943" s="836"/>
      <c r="O943" s="836"/>
      <c r="P943" s="836"/>
      <c r="Q943" s="836"/>
      <c r="R943" s="837">
        <v>130</v>
      </c>
      <c r="T943" s="155">
        <v>95898000</v>
      </c>
      <c r="U943" s="155">
        <v>286129</v>
      </c>
      <c r="V943" s="155">
        <v>59254</v>
      </c>
      <c r="AA943" s="180" t="str">
        <f>VLOOKUP(A943,[2]DG!$A:$C,3,0)</f>
        <v>Tủ + LBS 24kV 3 pha 630A -16kA + Fuse 80A</v>
      </c>
    </row>
    <row r="944" spans="1:27" ht="20.100000000000001" hidden="1" customHeight="1">
      <c r="A944" s="873" t="s">
        <v>1645</v>
      </c>
      <c r="B944" s="860" t="s">
        <v>1641</v>
      </c>
      <c r="C944" s="421" t="s">
        <v>1646</v>
      </c>
      <c r="D944" s="364" t="s">
        <v>1624</v>
      </c>
      <c r="E944" s="833">
        <v>39468000</v>
      </c>
      <c r="F944" s="833">
        <f t="shared" si="87"/>
        <v>0</v>
      </c>
      <c r="G944" s="833">
        <f t="shared" si="88"/>
        <v>0</v>
      </c>
      <c r="H944" s="834">
        <v>1</v>
      </c>
      <c r="I944" s="835"/>
      <c r="J944" s="836"/>
      <c r="K944" s="836"/>
      <c r="L944" s="836"/>
      <c r="M944" s="836"/>
      <c r="N944" s="836"/>
      <c r="O944" s="836"/>
      <c r="P944" s="836"/>
      <c r="Q944" s="836"/>
      <c r="R944" s="837">
        <v>120</v>
      </c>
      <c r="T944" s="155">
        <v>39468000</v>
      </c>
      <c r="U944" s="155">
        <v>286129</v>
      </c>
      <c r="V944" s="155">
        <v>59254</v>
      </c>
      <c r="AA944" s="180" t="str">
        <f>VLOOKUP(A944,[2]DG!$A:$C,3,0)</f>
        <v>Tủ đấu nối thanh cái LBS (GAM2)</v>
      </c>
    </row>
    <row r="945" spans="1:27" ht="20.100000000000001" hidden="1" customHeight="1">
      <c r="A945" s="873" t="s">
        <v>1647</v>
      </c>
      <c r="B945" s="860" t="s">
        <v>1641</v>
      </c>
      <c r="C945" s="421" t="s">
        <v>1648</v>
      </c>
      <c r="D945" s="364" t="s">
        <v>1624</v>
      </c>
      <c r="E945" s="833">
        <v>2000000</v>
      </c>
      <c r="F945" s="833">
        <f t="shared" si="87"/>
        <v>0</v>
      </c>
      <c r="G945" s="833">
        <f t="shared" si="88"/>
        <v>0</v>
      </c>
      <c r="H945" s="834">
        <v>1</v>
      </c>
      <c r="I945" s="835"/>
      <c r="J945" s="836"/>
      <c r="K945" s="836"/>
      <c r="L945" s="836"/>
      <c r="M945" s="836"/>
      <c r="N945" s="836"/>
      <c r="O945" s="836"/>
      <c r="P945" s="836"/>
      <c r="Q945" s="836"/>
      <c r="R945" s="837">
        <v>30</v>
      </c>
      <c r="T945" s="155">
        <v>2000000</v>
      </c>
      <c r="U945" s="155">
        <v>286129</v>
      </c>
      <c r="V945" s="155">
        <v>59254</v>
      </c>
      <c r="AA945" s="180" t="str">
        <f>VLOOKUP(A945,[2]DG!$A:$C,3,0)</f>
        <v>Tủ DS 3 pha 630-800A</v>
      </c>
    </row>
    <row r="946" spans="1:27" ht="20.100000000000001" hidden="1" customHeight="1">
      <c r="A946" s="873" t="s">
        <v>1649</v>
      </c>
      <c r="B946" s="860" t="s">
        <v>1650</v>
      </c>
      <c r="C946" s="421" t="s">
        <v>1651</v>
      </c>
      <c r="D946" s="364" t="s">
        <v>9</v>
      </c>
      <c r="E946" s="833">
        <v>5000000</v>
      </c>
      <c r="F946" s="833">
        <f t="shared" si="87"/>
        <v>0</v>
      </c>
      <c r="G946" s="833">
        <f t="shared" si="88"/>
        <v>0</v>
      </c>
      <c r="H946" s="834">
        <v>1</v>
      </c>
      <c r="I946" s="835"/>
      <c r="J946" s="836"/>
      <c r="K946" s="836"/>
      <c r="L946" s="836"/>
      <c r="M946" s="836"/>
      <c r="N946" s="836"/>
      <c r="O946" s="836"/>
      <c r="P946" s="836"/>
      <c r="Q946" s="836"/>
      <c r="R946" s="837">
        <v>45</v>
      </c>
      <c r="T946" s="155">
        <v>5000000</v>
      </c>
      <c r="U946" s="155">
        <v>98101</v>
      </c>
      <c r="V946" s="155">
        <v>59254</v>
      </c>
      <c r="AA946" s="180" t="str">
        <f>VLOOKUP(A946,[2]DG!$A:$C,3,0)</f>
        <v>Tủ ACB trạm 3 pha + khoá</v>
      </c>
    </row>
    <row r="947" spans="1:27" ht="20.100000000000001" hidden="1" customHeight="1">
      <c r="A947" s="873" t="s">
        <v>1652</v>
      </c>
      <c r="B947" s="860" t="s">
        <v>1650</v>
      </c>
      <c r="C947" s="421" t="s">
        <v>1653</v>
      </c>
      <c r="D947" s="364" t="s">
        <v>9</v>
      </c>
      <c r="E947" s="833">
        <v>30000000</v>
      </c>
      <c r="F947" s="833">
        <f t="shared" si="87"/>
        <v>0</v>
      </c>
      <c r="G947" s="833">
        <f t="shared" si="88"/>
        <v>0</v>
      </c>
      <c r="H947" s="834">
        <v>1</v>
      </c>
      <c r="I947" s="835"/>
      <c r="J947" s="836"/>
      <c r="K947" s="836"/>
      <c r="L947" s="836"/>
      <c r="M947" s="836"/>
      <c r="N947" s="836"/>
      <c r="O947" s="836"/>
      <c r="P947" s="836"/>
      <c r="Q947" s="836"/>
      <c r="R947" s="837">
        <v>45</v>
      </c>
      <c r="T947" s="155">
        <v>30000000</v>
      </c>
      <c r="U947" s="155">
        <v>98101</v>
      </c>
      <c r="V947" s="155">
        <v>59254</v>
      </c>
      <c r="AA947" s="180" t="str">
        <f>VLOOKUP(A947,[2]DG!$A:$C,3,0)</f>
        <v>Tủ ACB 3200 + giá nới + khoá</v>
      </c>
    </row>
    <row r="948" spans="1:27" ht="20.100000000000001" hidden="1" customHeight="1">
      <c r="A948" s="873" t="s">
        <v>1654</v>
      </c>
      <c r="B948" s="860" t="s">
        <v>1650</v>
      </c>
      <c r="C948" s="421" t="s">
        <v>1655</v>
      </c>
      <c r="D948" s="364" t="s">
        <v>9</v>
      </c>
      <c r="E948" s="833">
        <v>35028813</v>
      </c>
      <c r="F948" s="833">
        <f t="shared" si="87"/>
        <v>0</v>
      </c>
      <c r="G948" s="833">
        <f t="shared" si="88"/>
        <v>0</v>
      </c>
      <c r="H948" s="834">
        <v>1</v>
      </c>
      <c r="I948" s="835"/>
      <c r="J948" s="836"/>
      <c r="K948" s="836"/>
      <c r="L948" s="836"/>
      <c r="M948" s="836"/>
      <c r="N948" s="836"/>
      <c r="O948" s="836"/>
      <c r="P948" s="836"/>
      <c r="Q948" s="836"/>
      <c r="R948" s="837">
        <v>45</v>
      </c>
      <c r="T948" s="155">
        <v>35028813</v>
      </c>
      <c r="U948" s="155">
        <v>98101</v>
      </c>
      <c r="V948" s="155">
        <v>59254</v>
      </c>
      <c r="AA948" s="180" t="str">
        <f>VLOOKUP(A948,[2]DG!$A:$C,3,0)</f>
        <v>Tủ ACB 4000 + giá nới + khoá</v>
      </c>
    </row>
    <row r="949" spans="1:27" ht="20.100000000000001" hidden="1" customHeight="1">
      <c r="A949" s="873" t="s">
        <v>1656</v>
      </c>
      <c r="B949" s="860" t="s">
        <v>1650</v>
      </c>
      <c r="C949" s="421" t="s">
        <v>1657</v>
      </c>
      <c r="D949" s="364" t="s">
        <v>9</v>
      </c>
      <c r="E949" s="833">
        <v>5000000</v>
      </c>
      <c r="F949" s="833">
        <f t="shared" si="87"/>
        <v>0</v>
      </c>
      <c r="G949" s="833">
        <f t="shared" si="88"/>
        <v>0</v>
      </c>
      <c r="H949" s="834">
        <v>1</v>
      </c>
      <c r="I949" s="835"/>
      <c r="J949" s="836"/>
      <c r="K949" s="836"/>
      <c r="L949" s="836"/>
      <c r="M949" s="836"/>
      <c r="N949" s="836"/>
      <c r="O949" s="836"/>
      <c r="P949" s="836"/>
      <c r="Q949" s="836"/>
      <c r="R949" s="837">
        <v>25</v>
      </c>
      <c r="T949" s="427">
        <v>5000000</v>
      </c>
      <c r="U949" s="155">
        <v>98101</v>
      </c>
      <c r="V949" s="155">
        <v>59254</v>
      </c>
      <c r="AA949" s="180" t="str">
        <f>VLOOKUP(A949,[2]DG!$A:$C,3,0)</f>
        <v>Tủ CB trạm 3 pha + khoá + bulon</v>
      </c>
    </row>
    <row r="950" spans="1:27" ht="20.100000000000001" hidden="1" customHeight="1">
      <c r="A950" s="873" t="s">
        <v>1658</v>
      </c>
      <c r="B950" s="859" t="s">
        <v>4096</v>
      </c>
      <c r="C950" s="421" t="s">
        <v>1660</v>
      </c>
      <c r="D950" s="364" t="s">
        <v>9</v>
      </c>
      <c r="E950" s="833">
        <v>5000000</v>
      </c>
      <c r="F950" s="833">
        <f t="shared" si="87"/>
        <v>838714.5</v>
      </c>
      <c r="G950" s="833">
        <f t="shared" si="88"/>
        <v>0</v>
      </c>
      <c r="H950" s="834">
        <v>42312</v>
      </c>
      <c r="I950" s="835" t="s">
        <v>3375</v>
      </c>
      <c r="J950" s="836">
        <v>2.5</v>
      </c>
      <c r="K950" s="836">
        <v>1.3</v>
      </c>
      <c r="L950" s="836"/>
      <c r="M950" s="836"/>
      <c r="N950" s="836"/>
      <c r="O950" s="836"/>
      <c r="P950" s="836"/>
      <c r="Q950" s="836"/>
      <c r="R950" s="837">
        <v>15</v>
      </c>
      <c r="T950" s="427">
        <v>5000000</v>
      </c>
      <c r="U950" s="155">
        <v>85158</v>
      </c>
      <c r="V950" s="155">
        <v>59254</v>
      </c>
      <c r="AA950" s="180" t="str">
        <f>VLOOKUP(A950,[2]DG!$A:$C,3,0)</f>
        <v>Tủ CB trạm 1 pha + khóa + boulon</v>
      </c>
    </row>
    <row r="951" spans="1:27" ht="20.100000000000001" hidden="1" customHeight="1">
      <c r="A951" s="873" t="s">
        <v>1661</v>
      </c>
      <c r="B951" s="859" t="s">
        <v>1659</v>
      </c>
      <c r="C951" s="421" t="s">
        <v>1662</v>
      </c>
      <c r="D951" s="364" t="s">
        <v>9</v>
      </c>
      <c r="E951" s="833">
        <v>180000</v>
      </c>
      <c r="F951" s="833">
        <f t="shared" si="87"/>
        <v>0</v>
      </c>
      <c r="G951" s="833">
        <f t="shared" si="88"/>
        <v>0</v>
      </c>
      <c r="H951" s="834">
        <v>1</v>
      </c>
      <c r="I951" s="835"/>
      <c r="J951" s="836"/>
      <c r="K951" s="836"/>
      <c r="L951" s="836"/>
      <c r="M951" s="836"/>
      <c r="N951" s="836"/>
      <c r="O951" s="836"/>
      <c r="P951" s="836"/>
      <c r="Q951" s="836"/>
      <c r="R951" s="837">
        <v>2</v>
      </c>
      <c r="T951" s="427">
        <v>180000</v>
      </c>
      <c r="U951" s="155">
        <v>85158</v>
      </c>
      <c r="V951" s="155">
        <v>59254</v>
      </c>
      <c r="AA951" s="180" t="str">
        <f>VLOOKUP(A951,[2]DG!$A:$C,3,0)</f>
        <v>Tủ điện kế 1 pha</v>
      </c>
    </row>
    <row r="952" spans="1:27" ht="20.100000000000001" hidden="1" customHeight="1">
      <c r="A952" s="873" t="s">
        <v>1663</v>
      </c>
      <c r="B952" s="859" t="s">
        <v>1659</v>
      </c>
      <c r="C952" s="421" t="s">
        <v>1664</v>
      </c>
      <c r="D952" s="364" t="s">
        <v>9</v>
      </c>
      <c r="E952" s="833">
        <v>845000</v>
      </c>
      <c r="F952" s="833">
        <f t="shared" si="87"/>
        <v>0</v>
      </c>
      <c r="G952" s="833">
        <f t="shared" si="88"/>
        <v>0</v>
      </c>
      <c r="H952" s="834" t="s">
        <v>4065</v>
      </c>
      <c r="I952" s="835"/>
      <c r="J952" s="836"/>
      <c r="K952" s="836"/>
      <c r="L952" s="836"/>
      <c r="M952" s="836"/>
      <c r="N952" s="836"/>
      <c r="O952" s="836"/>
      <c r="P952" s="836"/>
      <c r="Q952" s="836"/>
      <c r="R952" s="837">
        <v>2</v>
      </c>
      <c r="T952" s="418">
        <v>87000</v>
      </c>
      <c r="U952" s="155">
        <v>85158</v>
      </c>
      <c r="V952" s="155">
        <v>59254</v>
      </c>
      <c r="AA952" s="180" t="str">
        <f>VLOOKUP(A952,[2]DG!$A:$C,3,0)</f>
        <v>Thùng điện kế 450x300x200mm đo đếm trung thế</v>
      </c>
    </row>
    <row r="953" spans="1:27" ht="20.100000000000001" hidden="1" customHeight="1">
      <c r="A953" s="873" t="s">
        <v>1665</v>
      </c>
      <c r="B953" s="859" t="s">
        <v>4097</v>
      </c>
      <c r="C953" s="421" t="s">
        <v>2886</v>
      </c>
      <c r="D953" s="364" t="s">
        <v>9</v>
      </c>
      <c r="E953" s="833">
        <v>5000000</v>
      </c>
      <c r="F953" s="833">
        <f t="shared" si="87"/>
        <v>966199.10399999993</v>
      </c>
      <c r="G953" s="833">
        <f t="shared" si="88"/>
        <v>0</v>
      </c>
      <c r="H953" s="834" t="s">
        <v>4065</v>
      </c>
      <c r="I953" s="835" t="s">
        <v>3375</v>
      </c>
      <c r="J953" s="836">
        <v>2.88</v>
      </c>
      <c r="K953" s="836">
        <v>1.3</v>
      </c>
      <c r="L953" s="836"/>
      <c r="M953" s="836"/>
      <c r="N953" s="836"/>
      <c r="O953" s="836"/>
      <c r="P953" s="836"/>
      <c r="Q953" s="836"/>
      <c r="R953" s="837">
        <v>15</v>
      </c>
      <c r="T953" s="418">
        <v>3652000</v>
      </c>
      <c r="U953" s="155">
        <v>311519</v>
      </c>
      <c r="V953" s="155">
        <v>55839</v>
      </c>
      <c r="AA953" s="180" t="str">
        <f>VLOOKUP(A953,[2]DG!$A:$C,3,0)</f>
        <v>Vỏ tủ + khóa tủ</v>
      </c>
    </row>
    <row r="954" spans="1:27" ht="20.100000000000001" hidden="1" customHeight="1">
      <c r="A954" s="873" t="s">
        <v>1666</v>
      </c>
      <c r="B954" s="859" t="s">
        <v>1650</v>
      </c>
      <c r="C954" s="421" t="s">
        <v>1667</v>
      </c>
      <c r="D954" s="364" t="s">
        <v>9</v>
      </c>
      <c r="E954" s="833">
        <v>2500000</v>
      </c>
      <c r="F954" s="833">
        <f t="shared" si="87"/>
        <v>0</v>
      </c>
      <c r="G954" s="833">
        <f t="shared" si="88"/>
        <v>0</v>
      </c>
      <c r="H954" s="834">
        <v>1</v>
      </c>
      <c r="I954" s="835"/>
      <c r="J954" s="836"/>
      <c r="K954" s="836"/>
      <c r="L954" s="836"/>
      <c r="M954" s="836"/>
      <c r="N954" s="836"/>
      <c r="O954" s="836"/>
      <c r="P954" s="836"/>
      <c r="Q954" s="836"/>
      <c r="R954" s="837">
        <v>25</v>
      </c>
      <c r="T954" s="155">
        <v>2500000</v>
      </c>
      <c r="U954" s="155">
        <v>98101</v>
      </c>
      <c r="V954" s="155">
        <v>59254</v>
      </c>
      <c r="AA954" s="180" t="str">
        <f>VLOOKUP(A954,[2]DG!$A:$C,3,0)</f>
        <v>Vỏ tủ trạm giàn 2 ngăn + khóa tủ</v>
      </c>
    </row>
    <row r="955" spans="1:27" ht="20.100000000000001" hidden="1" customHeight="1">
      <c r="A955" s="873" t="s">
        <v>1668</v>
      </c>
      <c r="B955" s="859" t="s">
        <v>1650</v>
      </c>
      <c r="C955" s="421" t="s">
        <v>1669</v>
      </c>
      <c r="D955" s="364" t="s">
        <v>191</v>
      </c>
      <c r="E955" s="833">
        <v>535470</v>
      </c>
      <c r="F955" s="833">
        <f t="shared" si="87"/>
        <v>0</v>
      </c>
      <c r="G955" s="833">
        <f t="shared" si="88"/>
        <v>0</v>
      </c>
      <c r="H955" s="834">
        <v>1</v>
      </c>
      <c r="I955" s="835"/>
      <c r="J955" s="836"/>
      <c r="K955" s="836"/>
      <c r="L955" s="836"/>
      <c r="M955" s="836"/>
      <c r="N955" s="836"/>
      <c r="O955" s="836"/>
      <c r="P955" s="836"/>
      <c r="Q955" s="836"/>
      <c r="R955" s="837">
        <v>10</v>
      </c>
      <c r="T955" s="155">
        <v>535470</v>
      </c>
      <c r="U955" s="155"/>
      <c r="V955" s="155"/>
      <c r="AA955" s="180" t="str">
        <f>VLOOKUP(A955,[2]DG!$A:$C,3,0)</f>
        <v>Khung đỡ tủ MCCB và tủ bù</v>
      </c>
    </row>
    <row r="956" spans="1:27" ht="20.100000000000001" hidden="1" customHeight="1">
      <c r="A956" s="873" t="s">
        <v>1670</v>
      </c>
      <c r="B956" s="859" t="s">
        <v>1659</v>
      </c>
      <c r="C956" s="421" t="s">
        <v>1671</v>
      </c>
      <c r="D956" s="364" t="s">
        <v>9</v>
      </c>
      <c r="E956" s="833">
        <v>5931200</v>
      </c>
      <c r="F956" s="833">
        <f t="shared" si="87"/>
        <v>0</v>
      </c>
      <c r="G956" s="833">
        <f t="shared" si="88"/>
        <v>0</v>
      </c>
      <c r="H956" s="834">
        <v>1</v>
      </c>
      <c r="I956" s="835"/>
      <c r="J956" s="836"/>
      <c r="K956" s="836"/>
      <c r="L956" s="836"/>
      <c r="M956" s="836"/>
      <c r="N956" s="836"/>
      <c r="O956" s="836"/>
      <c r="P956" s="836"/>
      <c r="Q956" s="836"/>
      <c r="R956" s="837">
        <v>40</v>
      </c>
      <c r="T956" s="155">
        <v>5931200</v>
      </c>
      <c r="U956" s="155">
        <v>85158</v>
      </c>
      <c r="V956" s="155">
        <v>59254</v>
      </c>
      <c r="AA956" s="180" t="str">
        <f>VLOOKUP(A956,[2]DG!$A:$C,3,0)</f>
        <v>Tủ phân phối hạ thế</v>
      </c>
    </row>
    <row r="957" spans="1:27" ht="20.100000000000001" hidden="1" customHeight="1">
      <c r="A957" s="872" t="s">
        <v>1672</v>
      </c>
      <c r="B957" s="860"/>
      <c r="C957" s="421" t="s">
        <v>1673</v>
      </c>
      <c r="D957" s="364" t="s">
        <v>9</v>
      </c>
      <c r="E957" s="833">
        <v>238500</v>
      </c>
      <c r="F957" s="833">
        <f t="shared" si="87"/>
        <v>0</v>
      </c>
      <c r="G957" s="833">
        <f t="shared" si="88"/>
        <v>0</v>
      </c>
      <c r="H957" s="834">
        <v>1</v>
      </c>
      <c r="I957" s="835"/>
      <c r="J957" s="836"/>
      <c r="K957" s="836"/>
      <c r="L957" s="836"/>
      <c r="M957" s="836"/>
      <c r="N957" s="836"/>
      <c r="O957" s="836"/>
      <c r="P957" s="836"/>
      <c r="Q957" s="836"/>
      <c r="R957" s="837">
        <v>0.2</v>
      </c>
      <c r="T957" s="155">
        <v>238500</v>
      </c>
      <c r="U957" s="155">
        <v>77253</v>
      </c>
      <c r="V957" s="155"/>
      <c r="AA957" s="180" t="str">
        <f>VLOOKUP(A957,[2]DG!$A:$C,3,0)</f>
        <v>Aptomat 2 cực 220V - 30A - 2,5kA</v>
      </c>
    </row>
    <row r="958" spans="1:27" ht="20.100000000000001" hidden="1" customHeight="1">
      <c r="A958" s="872" t="s">
        <v>1674</v>
      </c>
      <c r="B958" s="860"/>
      <c r="C958" s="421" t="s">
        <v>1675</v>
      </c>
      <c r="D958" s="364" t="s">
        <v>9</v>
      </c>
      <c r="E958" s="833">
        <v>437300</v>
      </c>
      <c r="F958" s="833">
        <f t="shared" si="87"/>
        <v>0</v>
      </c>
      <c r="G958" s="833">
        <f t="shared" si="88"/>
        <v>0</v>
      </c>
      <c r="H958" s="834">
        <v>1</v>
      </c>
      <c r="I958" s="835"/>
      <c r="J958" s="836"/>
      <c r="K958" s="836"/>
      <c r="L958" s="836"/>
      <c r="M958" s="836"/>
      <c r="N958" s="836"/>
      <c r="O958" s="836"/>
      <c r="P958" s="836"/>
      <c r="Q958" s="836"/>
      <c r="R958" s="837">
        <v>0.3</v>
      </c>
      <c r="T958" s="155">
        <v>437300</v>
      </c>
      <c r="U958" s="155">
        <v>77253</v>
      </c>
      <c r="V958" s="155"/>
      <c r="AA958" s="180" t="str">
        <f>VLOOKUP(A958,[2]DG!$A:$C,3,0)</f>
        <v>Aptomat 2 cực 220V - 40A - 7,5kA</v>
      </c>
    </row>
    <row r="959" spans="1:27" ht="20.100000000000001" hidden="1" customHeight="1">
      <c r="A959" s="872" t="s">
        <v>1676</v>
      </c>
      <c r="B959" s="860"/>
      <c r="C959" s="421" t="s">
        <v>1677</v>
      </c>
      <c r="D959" s="364" t="s">
        <v>9</v>
      </c>
      <c r="E959" s="833">
        <v>715500</v>
      </c>
      <c r="F959" s="833">
        <f t="shared" si="87"/>
        <v>0</v>
      </c>
      <c r="G959" s="833">
        <f t="shared" si="88"/>
        <v>0</v>
      </c>
      <c r="H959" s="834">
        <v>1</v>
      </c>
      <c r="I959" s="835"/>
      <c r="J959" s="836"/>
      <c r="K959" s="836"/>
      <c r="L959" s="836"/>
      <c r="M959" s="836"/>
      <c r="N959" s="836"/>
      <c r="O959" s="836"/>
      <c r="P959" s="836"/>
      <c r="Q959" s="836"/>
      <c r="R959" s="837">
        <v>1</v>
      </c>
      <c r="T959" s="155">
        <v>715500</v>
      </c>
      <c r="U959" s="155">
        <v>77253</v>
      </c>
      <c r="V959" s="155"/>
      <c r="AA959" s="180" t="str">
        <f>VLOOKUP(A959,[2]DG!$A:$C,3,0)</f>
        <v>Aptomat 2 cực 220V -100A</v>
      </c>
    </row>
    <row r="960" spans="1:27" ht="20.100000000000001" hidden="1" customHeight="1">
      <c r="A960" s="872" t="s">
        <v>1678</v>
      </c>
      <c r="B960" s="859" t="s">
        <v>4079</v>
      </c>
      <c r="C960" s="421" t="s">
        <v>1679</v>
      </c>
      <c r="D960" s="364" t="s">
        <v>9</v>
      </c>
      <c r="E960" s="833">
        <v>1114000</v>
      </c>
      <c r="F960" s="833">
        <f t="shared" si="87"/>
        <v>213246</v>
      </c>
      <c r="G960" s="833">
        <f t="shared" si="88"/>
        <v>0</v>
      </c>
      <c r="H960" s="834" t="s">
        <v>4065</v>
      </c>
      <c r="I960" s="835" t="s">
        <v>3372</v>
      </c>
      <c r="J960" s="836">
        <v>0.9</v>
      </c>
      <c r="K960" s="836"/>
      <c r="L960" s="836"/>
      <c r="M960" s="836"/>
      <c r="N960" s="836"/>
      <c r="O960" s="836"/>
      <c r="P960" s="836"/>
      <c r="Q960" s="836"/>
      <c r="R960" s="837">
        <v>1</v>
      </c>
      <c r="T960" s="155">
        <v>911100</v>
      </c>
      <c r="U960" s="155">
        <v>77253</v>
      </c>
      <c r="V960" s="155"/>
      <c r="AA960" s="180" t="str">
        <f>VLOOKUP(A960,[2]DG!$A:$C,3,0)</f>
        <v xml:space="preserve">MCCB - 3P-400V-63A-25KA  Icu=Ics </v>
      </c>
    </row>
    <row r="961" spans="1:27" ht="20.100000000000001" hidden="1" customHeight="1">
      <c r="A961" s="872" t="s">
        <v>1680</v>
      </c>
      <c r="B961" s="859" t="s">
        <v>4080</v>
      </c>
      <c r="C961" s="421" t="s">
        <v>1681</v>
      </c>
      <c r="D961" s="364" t="s">
        <v>9</v>
      </c>
      <c r="E961" s="833">
        <v>1909000</v>
      </c>
      <c r="F961" s="833">
        <f t="shared" si="87"/>
        <v>308022</v>
      </c>
      <c r="G961" s="833">
        <f t="shared" si="88"/>
        <v>0</v>
      </c>
      <c r="H961" s="834" t="s">
        <v>4065</v>
      </c>
      <c r="I961" s="835" t="s">
        <v>3372</v>
      </c>
      <c r="J961" s="836">
        <v>1.3</v>
      </c>
      <c r="K961" s="836"/>
      <c r="L961" s="836"/>
      <c r="M961" s="836"/>
      <c r="N961" s="836"/>
      <c r="O961" s="836"/>
      <c r="P961" s="836"/>
      <c r="Q961" s="836"/>
      <c r="R961" s="837">
        <v>1</v>
      </c>
      <c r="T961" s="155">
        <v>1008000</v>
      </c>
      <c r="U961" s="155">
        <v>77253</v>
      </c>
      <c r="V961" s="155"/>
      <c r="AA961" s="180" t="str">
        <f>VLOOKUP(A961,[2]DG!$A:$C,3,0)</f>
        <v>MCCB 3 cực 400V-80A - 10KA</v>
      </c>
    </row>
    <row r="962" spans="1:27" ht="20.100000000000001" hidden="1" customHeight="1">
      <c r="A962" s="872" t="s">
        <v>1682</v>
      </c>
      <c r="B962" s="859" t="s">
        <v>4080</v>
      </c>
      <c r="C962" s="421" t="s">
        <v>1683</v>
      </c>
      <c r="D962" s="364" t="s">
        <v>9</v>
      </c>
      <c r="E962" s="833">
        <v>1909000</v>
      </c>
      <c r="F962" s="833">
        <f t="shared" si="87"/>
        <v>308022</v>
      </c>
      <c r="G962" s="833">
        <f t="shared" si="88"/>
        <v>0</v>
      </c>
      <c r="H962" s="834" t="s">
        <v>4065</v>
      </c>
      <c r="I962" s="835" t="s">
        <v>3372</v>
      </c>
      <c r="J962" s="836">
        <v>1.3</v>
      </c>
      <c r="K962" s="836"/>
      <c r="L962" s="836"/>
      <c r="M962" s="836"/>
      <c r="N962" s="836"/>
      <c r="O962" s="836"/>
      <c r="P962" s="836"/>
      <c r="Q962" s="836"/>
      <c r="R962" s="837">
        <v>2.5</v>
      </c>
      <c r="T962" s="155">
        <v>1008000</v>
      </c>
      <c r="U962" s="155">
        <v>77253</v>
      </c>
      <c r="V962" s="155"/>
      <c r="AA962" s="180" t="str">
        <f>VLOOKUP(A962,[2]DG!$A:$C,3,0)</f>
        <v>MCCB 3 cực 400V-75A - 10KA</v>
      </c>
    </row>
    <row r="963" spans="1:27" ht="20.100000000000001" hidden="1" customHeight="1">
      <c r="A963" s="872" t="s">
        <v>1684</v>
      </c>
      <c r="B963" s="859" t="s">
        <v>4080</v>
      </c>
      <c r="C963" s="421" t="s">
        <v>1685</v>
      </c>
      <c r="D963" s="364" t="s">
        <v>9</v>
      </c>
      <c r="E963" s="833">
        <v>1909000</v>
      </c>
      <c r="F963" s="833">
        <f t="shared" si="87"/>
        <v>308022</v>
      </c>
      <c r="G963" s="833">
        <f t="shared" si="88"/>
        <v>0</v>
      </c>
      <c r="H963" s="834" t="s">
        <v>4065</v>
      </c>
      <c r="I963" s="835" t="s">
        <v>3372</v>
      </c>
      <c r="J963" s="836">
        <v>1.3</v>
      </c>
      <c r="K963" s="836"/>
      <c r="L963" s="836"/>
      <c r="M963" s="836"/>
      <c r="N963" s="836"/>
      <c r="O963" s="836"/>
      <c r="P963" s="836"/>
      <c r="Q963" s="836"/>
      <c r="R963" s="837">
        <v>2.8</v>
      </c>
      <c r="T963" s="155">
        <v>1381000</v>
      </c>
      <c r="U963" s="155">
        <v>77253</v>
      </c>
      <c r="V963" s="155"/>
      <c r="AA963" s="180" t="str">
        <f>VLOOKUP(A963,[2]DG!$A:$C,3,0)</f>
        <v>MCCB 3 cực 400V-100A - 30KA</v>
      </c>
    </row>
    <row r="964" spans="1:27" ht="20.100000000000001" hidden="1" customHeight="1">
      <c r="A964" s="872" t="s">
        <v>1686</v>
      </c>
      <c r="B964" s="859" t="s">
        <v>4081</v>
      </c>
      <c r="C964" s="421" t="s">
        <v>1687</v>
      </c>
      <c r="D964" s="364" t="s">
        <v>9</v>
      </c>
      <c r="E964" s="833">
        <v>4271000</v>
      </c>
      <c r="F964" s="833">
        <f t="shared" si="87"/>
        <v>450186</v>
      </c>
      <c r="G964" s="833">
        <f t="shared" si="88"/>
        <v>0</v>
      </c>
      <c r="H964" s="834" t="s">
        <v>4065</v>
      </c>
      <c r="I964" s="835" t="s">
        <v>3372</v>
      </c>
      <c r="J964" s="836">
        <v>1.9</v>
      </c>
      <c r="K964" s="836"/>
      <c r="L964" s="836"/>
      <c r="M964" s="836"/>
      <c r="N964" s="836"/>
      <c r="O964" s="836"/>
      <c r="P964" s="836"/>
      <c r="Q964" s="836"/>
      <c r="R964" s="837">
        <v>2</v>
      </c>
      <c r="T964" s="155">
        <v>4271000</v>
      </c>
      <c r="U964" s="155">
        <v>140365.12499999997</v>
      </c>
      <c r="V964" s="155">
        <v>0</v>
      </c>
      <c r="AA964" s="180" t="str">
        <f>VLOOKUP(A964,[2]DG!$A:$C,3,0)</f>
        <v>MCCB 3 cực 400V -125A - 30KA</v>
      </c>
    </row>
    <row r="965" spans="1:27" ht="20.100000000000001" hidden="1" customHeight="1">
      <c r="A965" s="872" t="s">
        <v>1688</v>
      </c>
      <c r="B965" s="859" t="s">
        <v>4081</v>
      </c>
      <c r="C965" s="421" t="s">
        <v>1689</v>
      </c>
      <c r="D965" s="364" t="s">
        <v>9</v>
      </c>
      <c r="E965" s="833">
        <v>4271000</v>
      </c>
      <c r="F965" s="833">
        <f t="shared" si="87"/>
        <v>450186</v>
      </c>
      <c r="G965" s="833">
        <f t="shared" si="88"/>
        <v>0</v>
      </c>
      <c r="H965" s="834" t="s">
        <v>4065</v>
      </c>
      <c r="I965" s="835" t="s">
        <v>3372</v>
      </c>
      <c r="J965" s="836">
        <v>1.9</v>
      </c>
      <c r="K965" s="836"/>
      <c r="L965" s="836"/>
      <c r="M965" s="836"/>
      <c r="N965" s="836"/>
      <c r="O965" s="836"/>
      <c r="P965" s="836"/>
      <c r="Q965" s="836"/>
      <c r="R965" s="837">
        <v>2</v>
      </c>
      <c r="T965" s="155">
        <v>3264000</v>
      </c>
      <c r="U965" s="155">
        <v>108154</v>
      </c>
      <c r="V965" s="155"/>
      <c r="AA965" s="180" t="str">
        <f>VLOOKUP(A965,[2]DG!$A:$C,3,0)</f>
        <v>MCCB 3 cực 400V -150A - 35KA</v>
      </c>
    </row>
    <row r="966" spans="1:27" ht="20.100000000000001" hidden="1" customHeight="1">
      <c r="A966" s="872" t="s">
        <v>1690</v>
      </c>
      <c r="B966" s="859" t="s">
        <v>4081</v>
      </c>
      <c r="C966" s="421" t="s">
        <v>1691</v>
      </c>
      <c r="D966" s="364" t="s">
        <v>9</v>
      </c>
      <c r="E966" s="833">
        <v>4271000</v>
      </c>
      <c r="F966" s="833">
        <f t="shared" si="87"/>
        <v>450186</v>
      </c>
      <c r="G966" s="833">
        <f t="shared" si="88"/>
        <v>0</v>
      </c>
      <c r="H966" s="834" t="s">
        <v>4065</v>
      </c>
      <c r="I966" s="835" t="s">
        <v>3372</v>
      </c>
      <c r="J966" s="836">
        <v>1.9</v>
      </c>
      <c r="K966" s="836"/>
      <c r="L966" s="836"/>
      <c r="M966" s="836"/>
      <c r="N966" s="836"/>
      <c r="O966" s="836"/>
      <c r="P966" s="836"/>
      <c r="Q966" s="836"/>
      <c r="R966" s="837">
        <v>2</v>
      </c>
      <c r="T966" s="155">
        <v>3766000</v>
      </c>
      <c r="U966" s="155">
        <v>108154</v>
      </c>
      <c r="V966" s="155"/>
      <c r="AA966" s="180" t="str">
        <f>VLOOKUP(A966,[2]DG!$A:$C,3,0)</f>
        <v>MCCB 3 cực 400V -200A - 35KA</v>
      </c>
    </row>
    <row r="967" spans="1:27" ht="20.100000000000001" hidden="1" customHeight="1">
      <c r="A967" s="872" t="s">
        <v>1692</v>
      </c>
      <c r="B967" s="859" t="s">
        <v>4082</v>
      </c>
      <c r="C967" s="421" t="s">
        <v>1693</v>
      </c>
      <c r="D967" s="364" t="s">
        <v>9</v>
      </c>
      <c r="E967" s="833">
        <v>4271000</v>
      </c>
      <c r="F967" s="833">
        <f t="shared" si="87"/>
        <v>592350</v>
      </c>
      <c r="G967" s="833">
        <f t="shared" si="88"/>
        <v>0</v>
      </c>
      <c r="H967" s="834" t="s">
        <v>4065</v>
      </c>
      <c r="I967" s="835" t="s">
        <v>3372</v>
      </c>
      <c r="J967" s="836">
        <v>2.5</v>
      </c>
      <c r="K967" s="836"/>
      <c r="L967" s="836"/>
      <c r="M967" s="836"/>
      <c r="N967" s="836"/>
      <c r="O967" s="836"/>
      <c r="P967" s="836"/>
      <c r="Q967" s="836"/>
      <c r="R967" s="837">
        <v>2</v>
      </c>
      <c r="T967" s="155">
        <v>3766000</v>
      </c>
      <c r="U967" s="155">
        <v>108154</v>
      </c>
      <c r="V967" s="155"/>
      <c r="AA967" s="180" t="str">
        <f>VLOOKUP(A967,[2]DG!$A:$C,3,0)</f>
        <v xml:space="preserve">MCCB 3 cực 600V -250A - 36KA </v>
      </c>
    </row>
    <row r="968" spans="1:27" ht="20.100000000000001" customHeight="1">
      <c r="A968" s="872" t="s">
        <v>4083</v>
      </c>
      <c r="B968" s="859" t="s">
        <v>4082</v>
      </c>
      <c r="C968" s="421" t="s">
        <v>1693</v>
      </c>
      <c r="D968" s="364" t="s">
        <v>9</v>
      </c>
      <c r="E968" s="833">
        <v>9508000</v>
      </c>
      <c r="F968" s="833">
        <f t="shared" ref="F968" si="89">IF(OR(I968="",J968=""),0,IF(K968*1=0,1,K968)*VLOOKUP(I968,TIENLUONG,4,0)*J968)</f>
        <v>592350</v>
      </c>
      <c r="G968" s="833">
        <f t="shared" ref="G968" si="90">L968*VLOOKUP($L$1,CAMAY,2,0)+M968*VLOOKUP($M$1,CAMAY,2,0)+N968*VLOOKUP($N$1,CAMAY,2,0)+O968*VLOOKUP($O$1,CAMAY,2,0)+P968*VLOOKUP($P$1,CAMAY,2,0)</f>
        <v>0</v>
      </c>
      <c r="H968" s="834" t="s">
        <v>4065</v>
      </c>
      <c r="I968" s="835" t="s">
        <v>3372</v>
      </c>
      <c r="J968" s="836">
        <v>2.5</v>
      </c>
      <c r="K968" s="836"/>
      <c r="L968" s="836"/>
      <c r="M968" s="836"/>
      <c r="N968" s="836"/>
      <c r="O968" s="836"/>
      <c r="P968" s="836"/>
      <c r="Q968" s="836"/>
      <c r="R968" s="837">
        <v>2</v>
      </c>
      <c r="T968" s="155">
        <v>3766000</v>
      </c>
      <c r="U968" s="155">
        <v>108154</v>
      </c>
      <c r="V968" s="155"/>
      <c r="AA968" s="180" t="str">
        <f>VLOOKUP(A968,[2]DG!$A:$C,3,0)</f>
        <v xml:space="preserve">MCCB 3 cực 400V -250A - 35KA </v>
      </c>
    </row>
    <row r="969" spans="1:27" ht="20.100000000000001" hidden="1" customHeight="1">
      <c r="A969" s="872" t="s">
        <v>1694</v>
      </c>
      <c r="B969" s="859" t="s">
        <v>4084</v>
      </c>
      <c r="C969" s="421" t="s">
        <v>1695</v>
      </c>
      <c r="D969" s="364" t="s">
        <v>9</v>
      </c>
      <c r="E969" s="833">
        <v>9508000</v>
      </c>
      <c r="F969" s="833">
        <f t="shared" si="87"/>
        <v>829290</v>
      </c>
      <c r="G969" s="833">
        <f t="shared" si="88"/>
        <v>0</v>
      </c>
      <c r="H969" s="834" t="s">
        <v>4065</v>
      </c>
      <c r="I969" s="835" t="s">
        <v>3372</v>
      </c>
      <c r="J969" s="836">
        <v>3.5</v>
      </c>
      <c r="K969" s="836"/>
      <c r="L969" s="836"/>
      <c r="M969" s="836"/>
      <c r="N969" s="836"/>
      <c r="O969" s="836"/>
      <c r="P969" s="836"/>
      <c r="Q969" s="836"/>
      <c r="R969" s="837">
        <v>2</v>
      </c>
      <c r="T969" s="155">
        <v>9505000</v>
      </c>
      <c r="U969" s="155">
        <v>108154</v>
      </c>
      <c r="V969" s="155">
        <v>0</v>
      </c>
      <c r="AA969" s="180" t="str">
        <f>VLOOKUP(A969,[2]DG!$A:$C,3,0)</f>
        <v>MCCB 3 cực 690V - 400A - 50KA</v>
      </c>
    </row>
    <row r="970" spans="1:27" ht="20.100000000000001" hidden="1" customHeight="1">
      <c r="A970" s="872" t="s">
        <v>1696</v>
      </c>
      <c r="B970" s="859" t="s">
        <v>4085</v>
      </c>
      <c r="C970" s="416" t="s">
        <v>1697</v>
      </c>
      <c r="D970" s="364" t="s">
        <v>9</v>
      </c>
      <c r="E970" s="833">
        <v>25561000</v>
      </c>
      <c r="F970" s="833">
        <f t="shared" si="87"/>
        <v>947760</v>
      </c>
      <c r="G970" s="833">
        <f t="shared" si="88"/>
        <v>0</v>
      </c>
      <c r="H970" s="834" t="s">
        <v>4065</v>
      </c>
      <c r="I970" s="835" t="s">
        <v>3372</v>
      </c>
      <c r="J970" s="836">
        <v>4</v>
      </c>
      <c r="K970" s="836"/>
      <c r="L970" s="836"/>
      <c r="M970" s="836"/>
      <c r="N970" s="836"/>
      <c r="O970" s="836"/>
      <c r="P970" s="836"/>
      <c r="Q970" s="836"/>
      <c r="R970" s="837">
        <v>2</v>
      </c>
      <c r="T970" s="155">
        <v>11736000</v>
      </c>
      <c r="U970" s="155">
        <v>123604</v>
      </c>
      <c r="V970" s="155"/>
      <c r="AA970" s="180" t="str">
        <f>VLOOKUP(A970,[2]DG!$A:$C,3,0)</f>
        <v>MCCB 3 cực 400V -500A - 50KA</v>
      </c>
    </row>
    <row r="971" spans="1:27" ht="20.100000000000001" hidden="1" customHeight="1">
      <c r="A971" s="872" t="s">
        <v>1698</v>
      </c>
      <c r="B971" s="859" t="s">
        <v>4085</v>
      </c>
      <c r="C971" s="421" t="s">
        <v>1699</v>
      </c>
      <c r="D971" s="364" t="s">
        <v>9</v>
      </c>
      <c r="E971" s="833">
        <v>25561000</v>
      </c>
      <c r="F971" s="833">
        <f t="shared" si="87"/>
        <v>947760</v>
      </c>
      <c r="G971" s="833">
        <f t="shared" si="88"/>
        <v>0</v>
      </c>
      <c r="H971" s="834" t="s">
        <v>4065</v>
      </c>
      <c r="I971" s="835" t="s">
        <v>3372</v>
      </c>
      <c r="J971" s="836">
        <v>4</v>
      </c>
      <c r="K971" s="836"/>
      <c r="L971" s="836"/>
      <c r="M971" s="836"/>
      <c r="N971" s="836"/>
      <c r="O971" s="836"/>
      <c r="P971" s="836"/>
      <c r="Q971" s="836"/>
      <c r="R971" s="837">
        <v>2</v>
      </c>
      <c r="T971" s="155">
        <v>10034000</v>
      </c>
      <c r="U971" s="155">
        <v>123604</v>
      </c>
      <c r="V971" s="155"/>
      <c r="AA971" s="180" t="str">
        <f>VLOOKUP(A971,[2]DG!$A:$C,3,0)</f>
        <v>MCCB 3 cực 400V -600A - 35KA</v>
      </c>
    </row>
    <row r="972" spans="1:27" ht="20.100000000000001" hidden="1" customHeight="1">
      <c r="A972" s="872" t="s">
        <v>1700</v>
      </c>
      <c r="B972" s="859" t="s">
        <v>4086</v>
      </c>
      <c r="C972" s="421" t="s">
        <v>1701</v>
      </c>
      <c r="D972" s="364" t="s">
        <v>9</v>
      </c>
      <c r="E972" s="833">
        <v>25561000</v>
      </c>
      <c r="F972" s="833">
        <f t="shared" si="87"/>
        <v>1184700</v>
      </c>
      <c r="G972" s="833">
        <f t="shared" si="88"/>
        <v>0</v>
      </c>
      <c r="H972" s="834" t="s">
        <v>4065</v>
      </c>
      <c r="I972" s="835" t="s">
        <v>3372</v>
      </c>
      <c r="J972" s="836">
        <v>5</v>
      </c>
      <c r="K972" s="836"/>
      <c r="L972" s="836"/>
      <c r="M972" s="836"/>
      <c r="N972" s="836"/>
      <c r="O972" s="836"/>
      <c r="P972" s="836"/>
      <c r="Q972" s="836"/>
      <c r="R972" s="837">
        <v>2</v>
      </c>
      <c r="T972" s="155">
        <v>10034000</v>
      </c>
      <c r="U972" s="155">
        <v>123604</v>
      </c>
      <c r="V972" s="155"/>
      <c r="AA972" s="180" t="str">
        <f>VLOOKUP(A972,[2]DG!$A:$C,3,0)</f>
        <v>MCCB 3 cực 400V -630A - 35KA</v>
      </c>
    </row>
    <row r="973" spans="1:27" ht="20.100000000000001" hidden="1" customHeight="1">
      <c r="A973" s="872" t="s">
        <v>1702</v>
      </c>
      <c r="B973" s="859" t="s">
        <v>4086</v>
      </c>
      <c r="C973" s="421" t="s">
        <v>1703</v>
      </c>
      <c r="D973" s="364" t="s">
        <v>9</v>
      </c>
      <c r="E973" s="833">
        <v>25561000</v>
      </c>
      <c r="F973" s="833">
        <f t="shared" si="87"/>
        <v>1184700</v>
      </c>
      <c r="G973" s="833">
        <f t="shared" si="88"/>
        <v>0</v>
      </c>
      <c r="H973" s="834" t="s">
        <v>4065</v>
      </c>
      <c r="I973" s="835" t="s">
        <v>3372</v>
      </c>
      <c r="J973" s="836">
        <v>5</v>
      </c>
      <c r="K973" s="836"/>
      <c r="L973" s="836"/>
      <c r="M973" s="836"/>
      <c r="N973" s="836"/>
      <c r="O973" s="836"/>
      <c r="P973" s="836"/>
      <c r="Q973" s="836"/>
      <c r="R973" s="837">
        <v>4</v>
      </c>
      <c r="T973" s="155">
        <v>13617000</v>
      </c>
      <c r="U973" s="155">
        <v>123604</v>
      </c>
      <c r="V973" s="155"/>
      <c r="AA973" s="180" t="str">
        <f>VLOOKUP(A973,[2]DG!$A:$C,3,0)</f>
        <v>MCCB 3 cực 400V -800A - 50KA</v>
      </c>
    </row>
    <row r="974" spans="1:27" ht="20.100000000000001" hidden="1" customHeight="1">
      <c r="A974" s="872" t="s">
        <v>1704</v>
      </c>
      <c r="B974" s="859" t="s">
        <v>4086</v>
      </c>
      <c r="C974" s="421" t="s">
        <v>1705</v>
      </c>
      <c r="D974" s="364" t="s">
        <v>9</v>
      </c>
      <c r="E974" s="833">
        <v>73591000</v>
      </c>
      <c r="F974" s="833">
        <f t="shared" si="87"/>
        <v>1184700</v>
      </c>
      <c r="G974" s="833">
        <f t="shared" si="88"/>
        <v>0</v>
      </c>
      <c r="H974" s="834" t="s">
        <v>4065</v>
      </c>
      <c r="I974" s="835" t="s">
        <v>3372</v>
      </c>
      <c r="J974" s="836">
        <v>5</v>
      </c>
      <c r="K974" s="836"/>
      <c r="L974" s="836"/>
      <c r="M974" s="836"/>
      <c r="N974" s="836"/>
      <c r="O974" s="836"/>
      <c r="P974" s="836"/>
      <c r="Q974" s="836"/>
      <c r="R974" s="837">
        <v>4</v>
      </c>
      <c r="T974" s="155">
        <v>25086000</v>
      </c>
      <c r="U974" s="155">
        <v>154505</v>
      </c>
      <c r="V974" s="155"/>
      <c r="AA974" s="180" t="str">
        <f>VLOOKUP(A974,[2]DG!$A:$C,3,0)</f>
        <v>MCCB 3 cực 400V -1000A - 50KA</v>
      </c>
    </row>
    <row r="975" spans="1:27" ht="20.100000000000001" hidden="1" customHeight="1">
      <c r="A975" s="872" t="s">
        <v>1706</v>
      </c>
      <c r="B975" s="859" t="s">
        <v>4086</v>
      </c>
      <c r="C975" s="421" t="s">
        <v>1707</v>
      </c>
      <c r="D975" s="364" t="s">
        <v>9</v>
      </c>
      <c r="E975" s="833">
        <v>73591000</v>
      </c>
      <c r="F975" s="833">
        <f t="shared" si="87"/>
        <v>1184700</v>
      </c>
      <c r="G975" s="833">
        <f t="shared" si="88"/>
        <v>0</v>
      </c>
      <c r="H975" s="834" t="s">
        <v>4065</v>
      </c>
      <c r="I975" s="835" t="s">
        <v>3372</v>
      </c>
      <c r="J975" s="836">
        <v>5</v>
      </c>
      <c r="K975" s="836"/>
      <c r="L975" s="836"/>
      <c r="M975" s="836"/>
      <c r="N975" s="836"/>
      <c r="O975" s="836"/>
      <c r="P975" s="836"/>
      <c r="Q975" s="836"/>
      <c r="R975" s="837">
        <v>4</v>
      </c>
      <c r="T975" s="155">
        <v>30455000</v>
      </c>
      <c r="U975" s="155">
        <v>251070.625</v>
      </c>
      <c r="V975" s="155"/>
      <c r="AA975" s="180" t="str">
        <f>VLOOKUP(A975,[2]DG!$A:$C,3,0)</f>
        <v>MCCB 3 cực 400V -1250A - 85KA</v>
      </c>
    </row>
    <row r="976" spans="1:27" ht="20.100000000000001" hidden="1" customHeight="1">
      <c r="A976" s="872" t="s">
        <v>1708</v>
      </c>
      <c r="B976" s="859" t="s">
        <v>4086</v>
      </c>
      <c r="C976" s="421" t="s">
        <v>1709</v>
      </c>
      <c r="D976" s="364" t="s">
        <v>9</v>
      </c>
      <c r="E976" s="833">
        <v>73591000</v>
      </c>
      <c r="F976" s="833">
        <f t="shared" si="87"/>
        <v>1184700</v>
      </c>
      <c r="G976" s="833">
        <f t="shared" si="88"/>
        <v>0</v>
      </c>
      <c r="H976" s="834" t="s">
        <v>4065</v>
      </c>
      <c r="I976" s="835" t="s">
        <v>3372</v>
      </c>
      <c r="J976" s="836">
        <v>5</v>
      </c>
      <c r="K976" s="836"/>
      <c r="L976" s="836"/>
      <c r="M976" s="836"/>
      <c r="N976" s="836"/>
      <c r="O976" s="836"/>
      <c r="P976" s="836"/>
      <c r="Q976" s="836"/>
      <c r="R976" s="837">
        <v>8</v>
      </c>
      <c r="T976" s="155">
        <v>38831000</v>
      </c>
      <c r="U976" s="155">
        <v>386262.5</v>
      </c>
      <c r="V976" s="155"/>
      <c r="AA976" s="180" t="str">
        <f>VLOOKUP(A976,[2]DG!$A:$C,3,0)</f>
        <v>MCCB 3 cực 400V -1600A - 85KA</v>
      </c>
    </row>
    <row r="977" spans="1:27" ht="20.100000000000001" hidden="1" customHeight="1">
      <c r="A977" s="872" t="s">
        <v>1710</v>
      </c>
      <c r="B977" s="859" t="s">
        <v>4082</v>
      </c>
      <c r="C977" s="421" t="s">
        <v>1711</v>
      </c>
      <c r="D977" s="364" t="s">
        <v>9</v>
      </c>
      <c r="E977" s="833">
        <v>46953700</v>
      </c>
      <c r="F977" s="833">
        <f t="shared" si="87"/>
        <v>0</v>
      </c>
      <c r="G977" s="833">
        <f t="shared" si="88"/>
        <v>0</v>
      </c>
      <c r="H977" s="834">
        <v>1</v>
      </c>
      <c r="I977" s="835"/>
      <c r="J977" s="836"/>
      <c r="K977" s="836"/>
      <c r="L977" s="836"/>
      <c r="M977" s="836"/>
      <c r="N977" s="836"/>
      <c r="O977" s="836"/>
      <c r="P977" s="836"/>
      <c r="Q977" s="836"/>
      <c r="R977" s="837">
        <v>10</v>
      </c>
      <c r="T977" s="155">
        <v>46953700</v>
      </c>
      <c r="U977" s="155">
        <v>386262.5</v>
      </c>
      <c r="V977" s="155"/>
      <c r="AA977" s="180" t="str">
        <f>VLOOKUP(A977,[2]DG!$A:$C,3,0)</f>
        <v>ACB 3P - 1600A - 65KA (nạp lò xo bằng tay)</v>
      </c>
    </row>
    <row r="978" spans="1:27" ht="20.100000000000001" hidden="1" customHeight="1">
      <c r="A978" s="872" t="s">
        <v>1712</v>
      </c>
      <c r="B978" s="859" t="s">
        <v>4082</v>
      </c>
      <c r="C978" s="421" t="s">
        <v>1713</v>
      </c>
      <c r="D978" s="364" t="s">
        <v>9</v>
      </c>
      <c r="E978" s="833">
        <v>57312700</v>
      </c>
      <c r="F978" s="833">
        <f t="shared" si="87"/>
        <v>0</v>
      </c>
      <c r="G978" s="833">
        <f t="shared" si="88"/>
        <v>0</v>
      </c>
      <c r="H978" s="834">
        <v>1</v>
      </c>
      <c r="I978" s="835"/>
      <c r="J978" s="836"/>
      <c r="K978" s="836"/>
      <c r="L978" s="836"/>
      <c r="M978" s="836"/>
      <c r="N978" s="836"/>
      <c r="O978" s="836"/>
      <c r="P978" s="836"/>
      <c r="Q978" s="836"/>
      <c r="R978" s="837">
        <v>10</v>
      </c>
      <c r="T978" s="155">
        <v>57312700</v>
      </c>
      <c r="U978" s="155">
        <v>540767.5</v>
      </c>
      <c r="V978" s="155"/>
      <c r="AA978" s="180" t="str">
        <f>VLOOKUP(A978,[2]DG!$A:$C,3,0)</f>
        <v>ACB 3P - 2000A - 85KA (nạp lò xo bằng tay)</v>
      </c>
    </row>
    <row r="979" spans="1:27" ht="20.100000000000001" hidden="1" customHeight="1">
      <c r="A979" s="872" t="s">
        <v>1714</v>
      </c>
      <c r="B979" s="859" t="s">
        <v>4082</v>
      </c>
      <c r="C979" s="421" t="s">
        <v>1715</v>
      </c>
      <c r="D979" s="364" t="s">
        <v>9</v>
      </c>
      <c r="E979" s="833">
        <v>66214100</v>
      </c>
      <c r="F979" s="833">
        <f t="shared" si="87"/>
        <v>0</v>
      </c>
      <c r="G979" s="833">
        <f t="shared" si="88"/>
        <v>0</v>
      </c>
      <c r="H979" s="834">
        <v>1</v>
      </c>
      <c r="I979" s="835"/>
      <c r="J979" s="836"/>
      <c r="K979" s="836"/>
      <c r="L979" s="836"/>
      <c r="M979" s="836"/>
      <c r="N979" s="836"/>
      <c r="O979" s="836"/>
      <c r="P979" s="836"/>
      <c r="Q979" s="836"/>
      <c r="R979" s="837">
        <v>10</v>
      </c>
      <c r="T979" s="155">
        <v>66214100</v>
      </c>
      <c r="U979" s="155">
        <v>733898.75</v>
      </c>
      <c r="V979" s="155"/>
      <c r="AA979" s="180" t="str">
        <f>VLOOKUP(A979,[2]DG!$A:$C,3,0)</f>
        <v>ACB 3P - 2500A - 85KA (nạp lò xo bằng tay)</v>
      </c>
    </row>
    <row r="980" spans="1:27" ht="20.100000000000001" hidden="1" customHeight="1">
      <c r="A980" s="872" t="s">
        <v>1716</v>
      </c>
      <c r="B980" s="859" t="s">
        <v>4082</v>
      </c>
      <c r="C980" s="421" t="s">
        <v>1717</v>
      </c>
      <c r="D980" s="364" t="s">
        <v>9</v>
      </c>
      <c r="E980" s="833">
        <v>67796500</v>
      </c>
      <c r="F980" s="833">
        <f t="shared" si="87"/>
        <v>0</v>
      </c>
      <c r="G980" s="833">
        <f t="shared" si="88"/>
        <v>0</v>
      </c>
      <c r="H980" s="834">
        <v>1</v>
      </c>
      <c r="I980" s="835"/>
      <c r="J980" s="836"/>
      <c r="K980" s="836"/>
      <c r="L980" s="836"/>
      <c r="M980" s="836"/>
      <c r="N980" s="836"/>
      <c r="O980" s="836"/>
      <c r="P980" s="836"/>
      <c r="Q980" s="836"/>
      <c r="R980" s="837">
        <v>10</v>
      </c>
      <c r="T980" s="155">
        <v>67796500</v>
      </c>
      <c r="U980" s="155">
        <v>1004282.5</v>
      </c>
      <c r="V980" s="155"/>
      <c r="AA980" s="180" t="str">
        <f>VLOOKUP(A980,[2]DG!$A:$C,3,0)</f>
        <v>ACB 3P - 3200A - 85KA (nạp lò xo bằng tay)</v>
      </c>
    </row>
    <row r="981" spans="1:27" ht="20.100000000000001" hidden="1" customHeight="1">
      <c r="A981" s="872" t="s">
        <v>1718</v>
      </c>
      <c r="B981" s="859" t="s">
        <v>4082</v>
      </c>
      <c r="C981" s="421" t="s">
        <v>1719</v>
      </c>
      <c r="D981" s="364" t="s">
        <v>9</v>
      </c>
      <c r="E981" s="833">
        <v>136610000</v>
      </c>
      <c r="F981" s="833">
        <f t="shared" si="87"/>
        <v>0</v>
      </c>
      <c r="G981" s="833">
        <f t="shared" si="88"/>
        <v>0</v>
      </c>
      <c r="H981" s="834">
        <v>1</v>
      </c>
      <c r="I981" s="835"/>
      <c r="J981" s="836"/>
      <c r="K981" s="836"/>
      <c r="L981" s="836"/>
      <c r="M981" s="836"/>
      <c r="N981" s="836"/>
      <c r="O981" s="836"/>
      <c r="P981" s="836"/>
      <c r="Q981" s="836"/>
      <c r="R981" s="837">
        <v>6</v>
      </c>
      <c r="T981" s="155">
        <v>136610000</v>
      </c>
      <c r="U981" s="155">
        <v>1313292.5</v>
      </c>
      <c r="V981" s="155"/>
      <c r="AA981" s="180" t="str">
        <f>VLOOKUP(A981,[2]DG!$A:$C,3,0)</f>
        <v>ACB 3P - 4000A - 85KA (nạp lò xo bằng tay)</v>
      </c>
    </row>
    <row r="982" spans="1:27" ht="20.100000000000001" hidden="1" customHeight="1">
      <c r="A982" s="872" t="s">
        <v>1720</v>
      </c>
      <c r="B982" s="859" t="s">
        <v>4082</v>
      </c>
      <c r="C982" s="421" t="s">
        <v>1721</v>
      </c>
      <c r="D982" s="364" t="s">
        <v>9</v>
      </c>
      <c r="E982" s="833">
        <v>275059400</v>
      </c>
      <c r="F982" s="833">
        <f t="shared" si="87"/>
        <v>0</v>
      </c>
      <c r="G982" s="833">
        <f t="shared" si="88"/>
        <v>0</v>
      </c>
      <c r="H982" s="834">
        <v>1</v>
      </c>
      <c r="I982" s="835"/>
      <c r="J982" s="836"/>
      <c r="K982" s="836"/>
      <c r="L982" s="836"/>
      <c r="M982" s="836"/>
      <c r="N982" s="836"/>
      <c r="O982" s="836"/>
      <c r="P982" s="836"/>
      <c r="Q982" s="836"/>
      <c r="R982" s="837">
        <v>6</v>
      </c>
      <c r="T982" s="155">
        <v>275059400</v>
      </c>
      <c r="U982" s="155">
        <v>1313292.5</v>
      </c>
      <c r="V982" s="155"/>
      <c r="AA982" s="180" t="str">
        <f>VLOOKUP(A982,[2]DG!$A:$C,3,0)</f>
        <v>ACB 3P - 4000A - 130KA (nạp lò xo bằng tay)</v>
      </c>
    </row>
    <row r="983" spans="1:27" ht="20.100000000000001" hidden="1" customHeight="1">
      <c r="A983" s="872" t="s">
        <v>1722</v>
      </c>
      <c r="B983" s="859" t="s">
        <v>4082</v>
      </c>
      <c r="C983" s="421" t="s">
        <v>1723</v>
      </c>
      <c r="D983" s="364" t="s">
        <v>9</v>
      </c>
      <c r="E983" s="833">
        <v>275059400</v>
      </c>
      <c r="F983" s="833">
        <f t="shared" si="87"/>
        <v>0</v>
      </c>
      <c r="G983" s="833">
        <f t="shared" si="88"/>
        <v>0</v>
      </c>
      <c r="H983" s="834">
        <v>1</v>
      </c>
      <c r="I983" s="835"/>
      <c r="J983" s="836"/>
      <c r="K983" s="836"/>
      <c r="L983" s="836"/>
      <c r="M983" s="836"/>
      <c r="N983" s="836"/>
      <c r="O983" s="836"/>
      <c r="P983" s="836"/>
      <c r="Q983" s="836"/>
      <c r="R983" s="837">
        <v>6</v>
      </c>
      <c r="T983" s="155">
        <v>275059400</v>
      </c>
      <c r="U983" s="155">
        <v>2201696.25</v>
      </c>
      <c r="V983" s="155"/>
      <c r="AA983" s="180" t="str">
        <f>VLOOKUP(A983,[2]DG!$A:$C,3,0)</f>
        <v>ACB 3P - 6300A - 130KA (nạp lò xo bằng tay)</v>
      </c>
    </row>
    <row r="984" spans="1:27" ht="20.100000000000001" hidden="1" customHeight="1">
      <c r="A984" s="873" t="s">
        <v>1724</v>
      </c>
      <c r="B984" s="859"/>
      <c r="C984" s="421" t="s">
        <v>1725</v>
      </c>
      <c r="D984" s="364" t="s">
        <v>9</v>
      </c>
      <c r="E984" s="833">
        <v>2580000</v>
      </c>
      <c r="F984" s="833">
        <f t="shared" si="87"/>
        <v>0</v>
      </c>
      <c r="G984" s="833">
        <f t="shared" si="88"/>
        <v>0</v>
      </c>
      <c r="H984" s="834">
        <v>1</v>
      </c>
      <c r="I984" s="835"/>
      <c r="J984" s="836"/>
      <c r="K984" s="836"/>
      <c r="L984" s="836"/>
      <c r="M984" s="836"/>
      <c r="N984" s="836"/>
      <c r="O984" s="836"/>
      <c r="P984" s="836"/>
      <c r="Q984" s="836"/>
      <c r="R984" s="837">
        <v>6</v>
      </c>
      <c r="T984" s="155">
        <v>2580000</v>
      </c>
      <c r="U984" s="155"/>
      <c r="V984" s="155"/>
      <c r="AA984" s="180" t="str">
        <f>VLOOKUP(A984,[2]DG!$A:$C,3,0)</f>
        <v>Áp tô mát CBXE 200NC -250A-600V (TERASAKY-Nhật)</v>
      </c>
    </row>
    <row r="985" spans="1:27" ht="20.100000000000001" hidden="1" customHeight="1">
      <c r="A985" s="873" t="s">
        <v>1726</v>
      </c>
      <c r="B985" s="859"/>
      <c r="C985" s="421" t="s">
        <v>1727</v>
      </c>
      <c r="D985" s="364" t="s">
        <v>9</v>
      </c>
      <c r="E985" s="833">
        <v>1650000</v>
      </c>
      <c r="F985" s="833">
        <f t="shared" si="87"/>
        <v>0</v>
      </c>
      <c r="G985" s="833">
        <f t="shared" si="88"/>
        <v>0</v>
      </c>
      <c r="H985" s="834">
        <v>1</v>
      </c>
      <c r="I985" s="835"/>
      <c r="J985" s="836"/>
      <c r="K985" s="836"/>
      <c r="L985" s="836"/>
      <c r="M985" s="836"/>
      <c r="N985" s="836"/>
      <c r="O985" s="836"/>
      <c r="P985" s="836"/>
      <c r="Q985" s="836"/>
      <c r="R985" s="837">
        <v>6</v>
      </c>
      <c r="T985" s="155">
        <v>1650000</v>
      </c>
      <c r="U985" s="155"/>
      <c r="V985" s="155"/>
      <c r="AA985" s="180" t="str">
        <f>VLOOKUP(A985,[2]DG!$A:$C,3,0)</f>
        <v>Áp tô mát CBXE 200NC -150A-600V (TERASAKY-Nhật)</v>
      </c>
    </row>
    <row r="986" spans="1:27" ht="20.100000000000001" hidden="1" customHeight="1">
      <c r="A986" s="873" t="s">
        <v>1728</v>
      </c>
      <c r="B986" s="859">
        <v>0</v>
      </c>
      <c r="C986" s="421" t="s">
        <v>1729</v>
      </c>
      <c r="D986" s="431" t="s">
        <v>2531</v>
      </c>
      <c r="E986" s="833">
        <v>54500</v>
      </c>
      <c r="F986" s="833">
        <f t="shared" si="87"/>
        <v>0</v>
      </c>
      <c r="G986" s="833">
        <f t="shared" si="88"/>
        <v>0</v>
      </c>
      <c r="H986" s="834" t="s">
        <v>4065</v>
      </c>
      <c r="I986" s="835"/>
      <c r="J986" s="836"/>
      <c r="K986" s="836"/>
      <c r="L986" s="836"/>
      <c r="M986" s="836"/>
      <c r="N986" s="836"/>
      <c r="O986" s="836"/>
      <c r="P986" s="836"/>
      <c r="Q986" s="836"/>
      <c r="R986" s="837">
        <v>0.1</v>
      </c>
      <c r="T986" s="418">
        <v>45000</v>
      </c>
      <c r="U986" s="155"/>
      <c r="V986" s="155"/>
      <c r="AA986" s="180" t="str">
        <f>VLOOKUP(A986,[2]DG!$A:$C,3,0)</f>
        <v>Dây chảy 3K</v>
      </c>
    </row>
    <row r="987" spans="1:27" ht="20.100000000000001" hidden="1" customHeight="1">
      <c r="A987" s="873" t="s">
        <v>1731</v>
      </c>
      <c r="B987" s="859"/>
      <c r="C987" s="421" t="s">
        <v>1732</v>
      </c>
      <c r="D987" s="431" t="s">
        <v>1730</v>
      </c>
      <c r="E987" s="833">
        <v>54500</v>
      </c>
      <c r="F987" s="833">
        <f t="shared" si="87"/>
        <v>0</v>
      </c>
      <c r="G987" s="833">
        <f t="shared" si="88"/>
        <v>0</v>
      </c>
      <c r="H987" s="834">
        <v>1</v>
      </c>
      <c r="I987" s="835"/>
      <c r="J987" s="836"/>
      <c r="K987" s="836"/>
      <c r="L987" s="836"/>
      <c r="M987" s="836"/>
      <c r="N987" s="836"/>
      <c r="O987" s="836"/>
      <c r="P987" s="836"/>
      <c r="Q987" s="836"/>
      <c r="R987" s="837">
        <v>0.1</v>
      </c>
      <c r="T987" s="418">
        <v>45000</v>
      </c>
      <c r="U987" s="155"/>
      <c r="V987" s="155"/>
      <c r="AA987" s="180" t="str">
        <f>VLOOKUP(A987,[2]DG!$A:$C,3,0)</f>
        <v>Dây chảy 6K</v>
      </c>
    </row>
    <row r="988" spans="1:27" ht="20.100000000000001" hidden="1" customHeight="1">
      <c r="A988" s="873" t="s">
        <v>1733</v>
      </c>
      <c r="B988" s="859"/>
      <c r="C988" s="421" t="s">
        <v>1734</v>
      </c>
      <c r="D988" s="431" t="s">
        <v>1730</v>
      </c>
      <c r="E988" s="833">
        <v>54500</v>
      </c>
      <c r="F988" s="833">
        <f t="shared" si="87"/>
        <v>0</v>
      </c>
      <c r="G988" s="833">
        <f t="shared" si="88"/>
        <v>0</v>
      </c>
      <c r="H988" s="834">
        <v>1</v>
      </c>
      <c r="I988" s="835"/>
      <c r="J988" s="836"/>
      <c r="K988" s="836"/>
      <c r="L988" s="836"/>
      <c r="M988" s="836"/>
      <c r="N988" s="836"/>
      <c r="O988" s="836"/>
      <c r="P988" s="836"/>
      <c r="Q988" s="836"/>
      <c r="R988" s="837">
        <v>0.1</v>
      </c>
      <c r="T988" s="418">
        <v>45000</v>
      </c>
      <c r="U988" s="155"/>
      <c r="V988" s="155"/>
      <c r="AA988" s="180" t="str">
        <f>VLOOKUP(A988,[2]DG!$A:$C,3,0)</f>
        <v>Dây chảy 8K</v>
      </c>
    </row>
    <row r="989" spans="1:27" ht="20.100000000000001" hidden="1" customHeight="1">
      <c r="A989" s="873" t="s">
        <v>1735</v>
      </c>
      <c r="B989" s="859">
        <v>0</v>
      </c>
      <c r="C989" s="421" t="s">
        <v>1736</v>
      </c>
      <c r="D989" s="431" t="s">
        <v>1730</v>
      </c>
      <c r="E989" s="833">
        <v>54500</v>
      </c>
      <c r="F989" s="833">
        <f t="shared" si="87"/>
        <v>0</v>
      </c>
      <c r="G989" s="833">
        <f t="shared" si="88"/>
        <v>0</v>
      </c>
      <c r="H989" s="834">
        <v>42525</v>
      </c>
      <c r="I989" s="835"/>
      <c r="J989" s="836"/>
      <c r="K989" s="836"/>
      <c r="L989" s="836"/>
      <c r="M989" s="836"/>
      <c r="N989" s="836"/>
      <c r="O989" s="836"/>
      <c r="P989" s="836"/>
      <c r="Q989" s="836"/>
      <c r="R989" s="837">
        <v>0.1</v>
      </c>
      <c r="T989" s="418">
        <v>54500</v>
      </c>
      <c r="U989" s="155">
        <v>0</v>
      </c>
      <c r="V989" s="155">
        <v>0</v>
      </c>
      <c r="AA989" s="180" t="str">
        <f>VLOOKUP(A989,[2]DG!$A:$C,3,0)</f>
        <v>Dây chảy 10K</v>
      </c>
    </row>
    <row r="990" spans="1:27" ht="20.100000000000001" hidden="1" customHeight="1">
      <c r="A990" s="873" t="s">
        <v>1737</v>
      </c>
      <c r="B990" s="859"/>
      <c r="C990" s="421" t="s">
        <v>1738</v>
      </c>
      <c r="D990" s="431" t="s">
        <v>1730</v>
      </c>
      <c r="E990" s="833">
        <v>56500</v>
      </c>
      <c r="F990" s="833">
        <f t="shared" si="87"/>
        <v>0</v>
      </c>
      <c r="G990" s="833">
        <f t="shared" si="88"/>
        <v>0</v>
      </c>
      <c r="H990" s="834">
        <v>1</v>
      </c>
      <c r="I990" s="835"/>
      <c r="J990" s="836"/>
      <c r="K990" s="836"/>
      <c r="L990" s="836"/>
      <c r="M990" s="836"/>
      <c r="N990" s="836"/>
      <c r="O990" s="836"/>
      <c r="P990" s="836"/>
      <c r="Q990" s="836"/>
      <c r="R990" s="837">
        <v>0.1</v>
      </c>
      <c r="T990" s="418">
        <v>45000</v>
      </c>
      <c r="U990" s="155"/>
      <c r="V990" s="155"/>
      <c r="AA990" s="180" t="str">
        <f>VLOOKUP(A990,[2]DG!$A:$C,3,0)</f>
        <v>Dây chảy 12K</v>
      </c>
    </row>
    <row r="991" spans="1:27" ht="20.100000000000001" hidden="1" customHeight="1">
      <c r="A991" s="873" t="s">
        <v>1739</v>
      </c>
      <c r="B991" s="859"/>
      <c r="C991" s="421" t="s">
        <v>1740</v>
      </c>
      <c r="D991" s="431" t="s">
        <v>1730</v>
      </c>
      <c r="E991" s="833">
        <v>69500</v>
      </c>
      <c r="F991" s="833">
        <f t="shared" si="87"/>
        <v>0</v>
      </c>
      <c r="G991" s="833">
        <f t="shared" si="88"/>
        <v>0</v>
      </c>
      <c r="H991" s="834">
        <v>1</v>
      </c>
      <c r="I991" s="835"/>
      <c r="J991" s="836"/>
      <c r="K991" s="836"/>
      <c r="L991" s="836"/>
      <c r="M991" s="836"/>
      <c r="N991" s="836"/>
      <c r="O991" s="836"/>
      <c r="P991" s="836"/>
      <c r="Q991" s="836"/>
      <c r="R991" s="837">
        <v>0.1</v>
      </c>
      <c r="T991" s="418">
        <v>50000</v>
      </c>
      <c r="U991" s="155"/>
      <c r="V991" s="155"/>
      <c r="AA991" s="180" t="str">
        <f>VLOOKUP(A991,[2]DG!$A:$C,3,0)</f>
        <v>Dây chảy 15K</v>
      </c>
    </row>
    <row r="992" spans="1:27" ht="20.100000000000001" hidden="1" customHeight="1">
      <c r="A992" s="873" t="s">
        <v>1741</v>
      </c>
      <c r="B992" s="859"/>
      <c r="C992" s="421" t="s">
        <v>1742</v>
      </c>
      <c r="D992" s="431" t="s">
        <v>1730</v>
      </c>
      <c r="E992" s="833">
        <v>69500</v>
      </c>
      <c r="F992" s="833">
        <f t="shared" ref="F992:F1053" si="91">IF(OR(I992="",J992=""),0,IF(K992*1=0,1,K992)*VLOOKUP(I992,TIENLUONG,4,0)*J992)</f>
        <v>0</v>
      </c>
      <c r="G992" s="833">
        <f t="shared" ref="G992:G1053" si="92">L992*VLOOKUP($L$1,CAMAY,2,0)+M992*VLOOKUP($M$1,CAMAY,2,0)+N992*VLOOKUP($N$1,CAMAY,2,0)+O992*VLOOKUP($O$1,CAMAY,2,0)+P992*VLOOKUP($P$1,CAMAY,2,0)</f>
        <v>0</v>
      </c>
      <c r="H992" s="834">
        <v>1</v>
      </c>
      <c r="I992" s="835"/>
      <c r="J992" s="836"/>
      <c r="K992" s="836"/>
      <c r="L992" s="836"/>
      <c r="M992" s="836"/>
      <c r="N992" s="836"/>
      <c r="O992" s="836"/>
      <c r="P992" s="836"/>
      <c r="Q992" s="836"/>
      <c r="R992" s="837">
        <v>0.1</v>
      </c>
      <c r="T992" s="418">
        <v>50000</v>
      </c>
      <c r="U992" s="155"/>
      <c r="V992" s="155"/>
      <c r="AA992" s="180" t="str">
        <f>VLOOKUP(A992,[2]DG!$A:$C,3,0)</f>
        <v>Dây chảy 20K</v>
      </c>
    </row>
    <row r="993" spans="1:27" ht="20.100000000000001" hidden="1" customHeight="1">
      <c r="A993" s="873" t="s">
        <v>1743</v>
      </c>
      <c r="B993" s="859"/>
      <c r="C993" s="421" t="s">
        <v>1744</v>
      </c>
      <c r="D993" s="431" t="s">
        <v>1730</v>
      </c>
      <c r="E993" s="833">
        <v>74000</v>
      </c>
      <c r="F993" s="833">
        <f t="shared" si="91"/>
        <v>0</v>
      </c>
      <c r="G993" s="833">
        <f t="shared" si="92"/>
        <v>0</v>
      </c>
      <c r="H993" s="834">
        <v>1</v>
      </c>
      <c r="I993" s="835"/>
      <c r="J993" s="836"/>
      <c r="K993" s="836"/>
      <c r="L993" s="836"/>
      <c r="M993" s="836"/>
      <c r="N993" s="836"/>
      <c r="O993" s="836"/>
      <c r="P993" s="836"/>
      <c r="Q993" s="836"/>
      <c r="R993" s="837">
        <v>0.1</v>
      </c>
      <c r="T993" s="418">
        <v>50000</v>
      </c>
      <c r="U993" s="155"/>
      <c r="V993" s="155"/>
      <c r="AA993" s="180" t="str">
        <f>VLOOKUP(A993,[2]DG!$A:$C,3,0)</f>
        <v>Dây chảy 25K</v>
      </c>
    </row>
    <row r="994" spans="1:27" ht="20.100000000000001" hidden="1" customHeight="1">
      <c r="A994" s="873" t="s">
        <v>1745</v>
      </c>
      <c r="B994" s="859"/>
      <c r="C994" s="421" t="s">
        <v>1746</v>
      </c>
      <c r="D994" s="431" t="s">
        <v>1730</v>
      </c>
      <c r="E994" s="833">
        <v>78000</v>
      </c>
      <c r="F994" s="833">
        <f t="shared" si="91"/>
        <v>0</v>
      </c>
      <c r="G994" s="833">
        <f t="shared" si="92"/>
        <v>0</v>
      </c>
      <c r="H994" s="834">
        <v>1</v>
      </c>
      <c r="I994" s="835"/>
      <c r="J994" s="836"/>
      <c r="K994" s="836"/>
      <c r="L994" s="836"/>
      <c r="M994" s="836"/>
      <c r="N994" s="836"/>
      <c r="O994" s="836"/>
      <c r="P994" s="836"/>
      <c r="Q994" s="836"/>
      <c r="R994" s="837">
        <v>0.1</v>
      </c>
      <c r="T994" s="418">
        <v>50000</v>
      </c>
      <c r="U994" s="155"/>
      <c r="V994" s="155"/>
      <c r="AA994" s="180" t="str">
        <f>VLOOKUP(A994,[2]DG!$A:$C,3,0)</f>
        <v>Dây chảy 30K</v>
      </c>
    </row>
    <row r="995" spans="1:27" ht="20.100000000000001" hidden="1" customHeight="1">
      <c r="A995" s="873" t="s">
        <v>1747</v>
      </c>
      <c r="B995" s="859"/>
      <c r="C995" s="421" t="s">
        <v>1748</v>
      </c>
      <c r="D995" s="431" t="s">
        <v>1730</v>
      </c>
      <c r="E995" s="833">
        <v>78000</v>
      </c>
      <c r="F995" s="833">
        <f t="shared" si="91"/>
        <v>0</v>
      </c>
      <c r="G995" s="833">
        <f t="shared" si="92"/>
        <v>0</v>
      </c>
      <c r="H995" s="834">
        <v>1</v>
      </c>
      <c r="I995" s="835"/>
      <c r="J995" s="836"/>
      <c r="K995" s="836"/>
      <c r="L995" s="836"/>
      <c r="M995" s="836"/>
      <c r="N995" s="836"/>
      <c r="O995" s="836"/>
      <c r="P995" s="836"/>
      <c r="Q995" s="836"/>
      <c r="R995" s="837">
        <v>0.1</v>
      </c>
      <c r="T995" s="418">
        <v>53000</v>
      </c>
      <c r="U995" s="155"/>
      <c r="V995" s="155"/>
      <c r="AA995" s="180" t="str">
        <f>VLOOKUP(A995,[2]DG!$A:$C,3,0)</f>
        <v>Dây chảy 40K</v>
      </c>
    </row>
    <row r="996" spans="1:27" ht="20.100000000000001" hidden="1" customHeight="1">
      <c r="A996" s="873" t="s">
        <v>1749</v>
      </c>
      <c r="B996" s="859"/>
      <c r="C996" s="421" t="s">
        <v>1750</v>
      </c>
      <c r="D996" s="431" t="s">
        <v>1730</v>
      </c>
      <c r="E996" s="833">
        <v>78000</v>
      </c>
      <c r="F996" s="833">
        <f t="shared" si="91"/>
        <v>0</v>
      </c>
      <c r="G996" s="833">
        <f t="shared" si="92"/>
        <v>0</v>
      </c>
      <c r="H996" s="834">
        <v>1</v>
      </c>
      <c r="I996" s="835"/>
      <c r="J996" s="836"/>
      <c r="K996" s="836"/>
      <c r="L996" s="836"/>
      <c r="M996" s="836"/>
      <c r="N996" s="836"/>
      <c r="O996" s="836"/>
      <c r="P996" s="836"/>
      <c r="Q996" s="836"/>
      <c r="R996" s="837">
        <v>0.1</v>
      </c>
      <c r="T996" s="418">
        <v>53000</v>
      </c>
      <c r="U996" s="155"/>
      <c r="V996" s="155"/>
      <c r="AA996" s="180" t="str">
        <f>VLOOKUP(A996,[2]DG!$A:$C,3,0)</f>
        <v>Dây chảy 50K</v>
      </c>
    </row>
    <row r="997" spans="1:27" ht="20.100000000000001" hidden="1" customHeight="1">
      <c r="A997" s="873" t="s">
        <v>1751</v>
      </c>
      <c r="B997" s="859"/>
      <c r="C997" s="421" t="s">
        <v>1752</v>
      </c>
      <c r="D997" s="431" t="s">
        <v>1730</v>
      </c>
      <c r="E997" s="833">
        <v>163500</v>
      </c>
      <c r="F997" s="833">
        <f t="shared" si="91"/>
        <v>0</v>
      </c>
      <c r="G997" s="833">
        <f t="shared" si="92"/>
        <v>0</v>
      </c>
      <c r="H997" s="834">
        <v>1</v>
      </c>
      <c r="I997" s="835"/>
      <c r="J997" s="836"/>
      <c r="K997" s="836"/>
      <c r="L997" s="836"/>
      <c r="M997" s="836"/>
      <c r="N997" s="836"/>
      <c r="O997" s="836"/>
      <c r="P997" s="836"/>
      <c r="Q997" s="836"/>
      <c r="R997" s="837">
        <v>0.1</v>
      </c>
      <c r="T997" s="418">
        <v>83000</v>
      </c>
      <c r="U997" s="155"/>
      <c r="V997" s="155"/>
      <c r="AA997" s="180" t="str">
        <f>VLOOKUP(A997,[2]DG!$A:$C,3,0)</f>
        <v>Dây chảy 65K</v>
      </c>
    </row>
    <row r="998" spans="1:27" ht="20.100000000000001" hidden="1" customHeight="1">
      <c r="A998" s="873" t="s">
        <v>1753</v>
      </c>
      <c r="B998" s="859"/>
      <c r="C998" s="421" t="s">
        <v>1754</v>
      </c>
      <c r="D998" s="431" t="s">
        <v>1730</v>
      </c>
      <c r="E998" s="833">
        <v>163500</v>
      </c>
      <c r="F998" s="833">
        <f t="shared" si="91"/>
        <v>0</v>
      </c>
      <c r="G998" s="833">
        <f t="shared" si="92"/>
        <v>0</v>
      </c>
      <c r="H998" s="834">
        <v>1</v>
      </c>
      <c r="I998" s="835"/>
      <c r="J998" s="836"/>
      <c r="K998" s="836"/>
      <c r="L998" s="836"/>
      <c r="M998" s="836"/>
      <c r="N998" s="836"/>
      <c r="O998" s="836"/>
      <c r="P998" s="836"/>
      <c r="Q998" s="836"/>
      <c r="R998" s="837">
        <v>0.1</v>
      </c>
      <c r="T998" s="418">
        <v>95000</v>
      </c>
      <c r="U998" s="155"/>
      <c r="V998" s="155"/>
      <c r="AA998" s="180" t="str">
        <f>VLOOKUP(A998,[2]DG!$A:$C,3,0)</f>
        <v>Dây chảy 80K</v>
      </c>
    </row>
    <row r="999" spans="1:27" ht="20.100000000000001" hidden="1" customHeight="1">
      <c r="A999" s="873" t="s">
        <v>1755</v>
      </c>
      <c r="B999" s="859"/>
      <c r="C999" s="421" t="s">
        <v>1756</v>
      </c>
      <c r="D999" s="431" t="s">
        <v>1730</v>
      </c>
      <c r="E999" s="833">
        <v>163500</v>
      </c>
      <c r="F999" s="833">
        <f t="shared" si="91"/>
        <v>0</v>
      </c>
      <c r="G999" s="833">
        <f t="shared" si="92"/>
        <v>0</v>
      </c>
      <c r="H999" s="834">
        <v>1</v>
      </c>
      <c r="I999" s="835"/>
      <c r="J999" s="836"/>
      <c r="K999" s="836"/>
      <c r="L999" s="836"/>
      <c r="M999" s="836"/>
      <c r="N999" s="836"/>
      <c r="O999" s="836"/>
      <c r="P999" s="836"/>
      <c r="Q999" s="836"/>
      <c r="R999" s="837">
        <v>0.1</v>
      </c>
      <c r="T999" s="418">
        <v>138000</v>
      </c>
      <c r="U999" s="155"/>
      <c r="V999" s="155"/>
      <c r="AA999" s="180" t="str">
        <f>VLOOKUP(A999,[2]DG!$A:$C,3,0)</f>
        <v>Dây chảy 100K</v>
      </c>
    </row>
    <row r="1000" spans="1:27" ht="20.100000000000001" hidden="1" customHeight="1">
      <c r="A1000" s="873" t="s">
        <v>1757</v>
      </c>
      <c r="B1000" s="859"/>
      <c r="C1000" s="421" t="s">
        <v>1758</v>
      </c>
      <c r="D1000" s="431" t="s">
        <v>1730</v>
      </c>
      <c r="E1000" s="833">
        <v>554500</v>
      </c>
      <c r="F1000" s="833">
        <f t="shared" si="91"/>
        <v>0</v>
      </c>
      <c r="G1000" s="833">
        <f t="shared" si="92"/>
        <v>0</v>
      </c>
      <c r="H1000" s="834">
        <v>1</v>
      </c>
      <c r="I1000" s="835"/>
      <c r="J1000" s="836"/>
      <c r="K1000" s="836"/>
      <c r="L1000" s="836"/>
      <c r="M1000" s="836"/>
      <c r="N1000" s="836"/>
      <c r="O1000" s="836"/>
      <c r="P1000" s="836"/>
      <c r="Q1000" s="836"/>
      <c r="R1000" s="837">
        <v>0.1</v>
      </c>
      <c r="T1000" s="418">
        <v>243000</v>
      </c>
      <c r="U1000" s="155"/>
      <c r="V1000" s="155"/>
      <c r="AA1000" s="180" t="str">
        <f>VLOOKUP(A1000,[2]DG!$A:$C,3,0)</f>
        <v>Dây chảy 140K</v>
      </c>
    </row>
    <row r="1001" spans="1:27" ht="20.100000000000001" hidden="1" customHeight="1">
      <c r="A1001" s="873" t="s">
        <v>3711</v>
      </c>
      <c r="B1001" s="859"/>
      <c r="C1001" s="421" t="s">
        <v>1759</v>
      </c>
      <c r="D1001" s="364" t="s">
        <v>9</v>
      </c>
      <c r="E1001" s="833"/>
      <c r="F1001" s="833">
        <f t="shared" si="91"/>
        <v>0</v>
      </c>
      <c r="G1001" s="833">
        <f t="shared" si="92"/>
        <v>0</v>
      </c>
      <c r="H1001" s="834">
        <v>1</v>
      </c>
      <c r="I1001" s="835"/>
      <c r="J1001" s="836"/>
      <c r="K1001" s="836"/>
      <c r="L1001" s="836"/>
      <c r="M1001" s="836"/>
      <c r="N1001" s="836"/>
      <c r="O1001" s="836"/>
      <c r="P1001" s="836"/>
      <c r="Q1001" s="836"/>
      <c r="R1001" s="837">
        <v>0.8</v>
      </c>
      <c r="T1001" s="155"/>
      <c r="U1001" s="155">
        <v>7494</v>
      </c>
      <c r="V1001" s="155"/>
      <c r="AA1001" s="180" t="str">
        <f>VLOOKUP(A1001,[2]DG!$A:$C,3,0)</f>
        <v>Điện kế 1 pha 2 dây 220V-100A</v>
      </c>
    </row>
    <row r="1002" spans="1:27" ht="20.100000000000001" hidden="1" customHeight="1">
      <c r="A1002" s="873" t="s">
        <v>3712</v>
      </c>
      <c r="B1002" s="859"/>
      <c r="C1002" s="421" t="s">
        <v>1760</v>
      </c>
      <c r="D1002" s="364" t="s">
        <v>9</v>
      </c>
      <c r="E1002" s="833">
        <v>0</v>
      </c>
      <c r="F1002" s="833">
        <f t="shared" si="91"/>
        <v>0</v>
      </c>
      <c r="G1002" s="833">
        <f t="shared" si="92"/>
        <v>0</v>
      </c>
      <c r="H1002" s="834">
        <v>1</v>
      </c>
      <c r="I1002" s="835"/>
      <c r="J1002" s="836"/>
      <c r="K1002" s="836"/>
      <c r="L1002" s="836"/>
      <c r="M1002" s="836"/>
      <c r="N1002" s="836"/>
      <c r="O1002" s="836"/>
      <c r="P1002" s="836"/>
      <c r="Q1002" s="836"/>
      <c r="R1002" s="837">
        <v>0.8</v>
      </c>
      <c r="T1002" s="155">
        <v>0</v>
      </c>
      <c r="U1002" s="155">
        <v>7494</v>
      </c>
      <c r="V1002" s="155"/>
      <c r="AA1002" s="180" t="str">
        <f>VLOOKUP(A1002,[2]DG!$A:$C,3,0)</f>
        <v>Điện kế 1 pha 2 dây 220V-80A</v>
      </c>
    </row>
    <row r="1003" spans="1:27" ht="20.100000000000001" hidden="1" customHeight="1">
      <c r="A1003" s="873" t="s">
        <v>3713</v>
      </c>
      <c r="B1003" s="859"/>
      <c r="C1003" s="421" t="s">
        <v>1761</v>
      </c>
      <c r="D1003" s="364" t="s">
        <v>9</v>
      </c>
      <c r="E1003" s="833"/>
      <c r="F1003" s="833">
        <f t="shared" si="91"/>
        <v>0</v>
      </c>
      <c r="G1003" s="833">
        <f t="shared" si="92"/>
        <v>0</v>
      </c>
      <c r="H1003" s="834">
        <v>1</v>
      </c>
      <c r="I1003" s="835"/>
      <c r="J1003" s="836"/>
      <c r="K1003" s="836"/>
      <c r="L1003" s="836"/>
      <c r="M1003" s="836"/>
      <c r="N1003" s="836"/>
      <c r="O1003" s="836"/>
      <c r="P1003" s="836"/>
      <c r="Q1003" s="836"/>
      <c r="R1003" s="837">
        <v>1</v>
      </c>
      <c r="T1003" s="155"/>
      <c r="U1003" s="155">
        <v>7494</v>
      </c>
      <c r="V1003" s="155"/>
      <c r="AA1003" s="180" t="str">
        <f>VLOOKUP(A1003,[2]DG!$A:$C,3,0)</f>
        <v>Điện kế 1 pha 2 dây 220V-5A</v>
      </c>
    </row>
    <row r="1004" spans="1:27" ht="20.100000000000001" customHeight="1">
      <c r="A1004" s="873" t="s">
        <v>3714</v>
      </c>
      <c r="B1004" s="859"/>
      <c r="C1004" s="421" t="s">
        <v>3252</v>
      </c>
      <c r="D1004" s="364" t="s">
        <v>9</v>
      </c>
      <c r="E1004" s="833"/>
      <c r="F1004" s="833">
        <f t="shared" si="91"/>
        <v>0</v>
      </c>
      <c r="G1004" s="833">
        <f t="shared" si="92"/>
        <v>0</v>
      </c>
      <c r="H1004" s="834">
        <v>1</v>
      </c>
      <c r="I1004" s="835"/>
      <c r="J1004" s="836"/>
      <c r="K1004" s="836"/>
      <c r="L1004" s="836"/>
      <c r="M1004" s="836"/>
      <c r="N1004" s="836"/>
      <c r="O1004" s="836"/>
      <c r="P1004" s="836"/>
      <c r="Q1004" s="836"/>
      <c r="R1004" s="837">
        <v>1.5</v>
      </c>
      <c r="T1004" s="155"/>
      <c r="U1004" s="155">
        <v>7494</v>
      </c>
      <c r="V1004" s="155"/>
      <c r="AA1004" s="180" t="str">
        <f>VLOOKUP(A1004,[2]DG!$A:$C,3,0)</f>
        <v>Điện kế 3 pha 4 dây 220/380V-50A</v>
      </c>
    </row>
    <row r="1005" spans="1:27" ht="20.100000000000001" hidden="1" customHeight="1">
      <c r="A1005" s="873" t="s">
        <v>3715</v>
      </c>
      <c r="B1005" s="859" t="s">
        <v>1762</v>
      </c>
      <c r="C1005" s="421" t="s">
        <v>1763</v>
      </c>
      <c r="D1005" s="364" t="s">
        <v>9</v>
      </c>
      <c r="E1005" s="833"/>
      <c r="F1005" s="833">
        <f t="shared" si="91"/>
        <v>0</v>
      </c>
      <c r="G1005" s="833">
        <f t="shared" si="92"/>
        <v>0</v>
      </c>
      <c r="H1005" s="834">
        <v>1</v>
      </c>
      <c r="I1005" s="835"/>
      <c r="J1005" s="836"/>
      <c r="K1005" s="836"/>
      <c r="L1005" s="836"/>
      <c r="M1005" s="836"/>
      <c r="N1005" s="836"/>
      <c r="O1005" s="836"/>
      <c r="P1005" s="836"/>
      <c r="Q1005" s="836"/>
      <c r="R1005" s="837">
        <v>1.5</v>
      </c>
      <c r="T1005" s="155"/>
      <c r="U1005" s="155">
        <v>7494</v>
      </c>
      <c r="V1005" s="155"/>
      <c r="AA1005" s="180" t="str">
        <f>VLOOKUP(A1005,[2]DG!$A:$C,3,0)</f>
        <v>Điện kế 3 pha 4 dây 220/380V-5A</v>
      </c>
    </row>
    <row r="1006" spans="1:27" ht="20.100000000000001" hidden="1" customHeight="1">
      <c r="A1006" s="873" t="s">
        <v>1764</v>
      </c>
      <c r="B1006" s="859"/>
      <c r="C1006" s="421" t="s">
        <v>1765</v>
      </c>
      <c r="D1006" s="364" t="s">
        <v>9</v>
      </c>
      <c r="E1006" s="833"/>
      <c r="F1006" s="833">
        <f t="shared" si="91"/>
        <v>0</v>
      </c>
      <c r="G1006" s="833">
        <f t="shared" si="92"/>
        <v>0</v>
      </c>
      <c r="H1006" s="834">
        <v>1</v>
      </c>
      <c r="I1006" s="835"/>
      <c r="J1006" s="836"/>
      <c r="K1006" s="836"/>
      <c r="L1006" s="836"/>
      <c r="M1006" s="836"/>
      <c r="N1006" s="836"/>
      <c r="O1006" s="836"/>
      <c r="P1006" s="836"/>
      <c r="Q1006" s="836"/>
      <c r="R1006" s="837">
        <v>1.5</v>
      </c>
      <c r="T1006" s="155"/>
      <c r="U1006" s="155">
        <v>7494</v>
      </c>
      <c r="V1006" s="155"/>
      <c r="AA1006" s="180" t="str">
        <f>VLOOKUP(A1006,[2]DG!$A:$C,3,0)</f>
        <v>Điện kế 3 pha điện tử 600V-5A</v>
      </c>
    </row>
    <row r="1007" spans="1:27" ht="20.100000000000001" hidden="1" customHeight="1">
      <c r="A1007" s="873" t="s">
        <v>1766</v>
      </c>
      <c r="B1007" s="859" t="s">
        <v>4087</v>
      </c>
      <c r="C1007" s="421" t="s">
        <v>1767</v>
      </c>
      <c r="D1007" s="364" t="s">
        <v>9</v>
      </c>
      <c r="E1007" s="833">
        <v>0</v>
      </c>
      <c r="F1007" s="833">
        <f t="shared" si="91"/>
        <v>73925.279999999999</v>
      </c>
      <c r="G1007" s="833">
        <f t="shared" si="92"/>
        <v>300402.4769230769</v>
      </c>
      <c r="H1007" s="834" t="s">
        <v>4065</v>
      </c>
      <c r="I1007" s="835" t="s">
        <v>3372</v>
      </c>
      <c r="J1007" s="836">
        <v>0.79999999999999993</v>
      </c>
      <c r="K1007" s="836">
        <v>0.39</v>
      </c>
      <c r="L1007" s="836"/>
      <c r="M1007" s="836">
        <v>0.2</v>
      </c>
      <c r="N1007" s="836"/>
      <c r="O1007" s="836"/>
      <c r="P1007" s="836"/>
      <c r="Q1007" s="836"/>
      <c r="R1007" s="837">
        <v>1.5</v>
      </c>
      <c r="T1007" s="155"/>
      <c r="U1007" s="155">
        <v>7494</v>
      </c>
      <c r="V1007" s="155"/>
      <c r="AA1007" s="180" t="str">
        <f>VLOOKUP(A1007,[2]DG!$A:$C,3,0)</f>
        <v>Điện năng kế 3 pha 380V-5A</v>
      </c>
    </row>
    <row r="1008" spans="1:27" ht="20.100000000000001" hidden="1" customHeight="1">
      <c r="A1008" s="873" t="s">
        <v>1768</v>
      </c>
      <c r="B1008" s="859" t="s">
        <v>4119</v>
      </c>
      <c r="C1008" s="421" t="s">
        <v>4538</v>
      </c>
      <c r="D1008" s="364" t="s">
        <v>37</v>
      </c>
      <c r="E1008" s="833">
        <v>42500</v>
      </c>
      <c r="F1008" s="833">
        <f t="shared" si="91"/>
        <v>47388</v>
      </c>
      <c r="G1008" s="833">
        <f t="shared" si="92"/>
        <v>0</v>
      </c>
      <c r="H1008" s="834" t="s">
        <v>4065</v>
      </c>
      <c r="I1008" s="835" t="s">
        <v>3372</v>
      </c>
      <c r="J1008" s="836">
        <v>0.2</v>
      </c>
      <c r="K1008" s="836"/>
      <c r="L1008" s="836"/>
      <c r="M1008" s="836"/>
      <c r="N1008" s="836"/>
      <c r="O1008" s="836"/>
      <c r="P1008" s="836"/>
      <c r="Q1008" s="836"/>
      <c r="R1008" s="837">
        <v>0.1</v>
      </c>
      <c r="T1008" s="155">
        <v>42500</v>
      </c>
      <c r="U1008" s="155">
        <v>3088</v>
      </c>
      <c r="V1008" s="155"/>
      <c r="AA1008" s="180" t="str">
        <f>VLOOKUP(A1008,[2]DG!$A:$C,3,0)</f>
        <v>Bảng tên trạm, bảng báo nguy hiểm + đinh vít</v>
      </c>
    </row>
    <row r="1009" spans="1:27" ht="20.100000000000001" hidden="1" customHeight="1">
      <c r="A1009" s="873" t="s">
        <v>1769</v>
      </c>
      <c r="B1009" s="859"/>
      <c r="C1009" s="421" t="s">
        <v>1770</v>
      </c>
      <c r="D1009" s="364" t="s">
        <v>1771</v>
      </c>
      <c r="E1009" s="833">
        <v>1000000</v>
      </c>
      <c r="F1009" s="833">
        <f t="shared" si="91"/>
        <v>0</v>
      </c>
      <c r="G1009" s="833">
        <f t="shared" si="92"/>
        <v>0</v>
      </c>
      <c r="H1009" s="834">
        <v>1</v>
      </c>
      <c r="I1009" s="835"/>
      <c r="J1009" s="836"/>
      <c r="K1009" s="836"/>
      <c r="L1009" s="836"/>
      <c r="M1009" s="836"/>
      <c r="N1009" s="836"/>
      <c r="O1009" s="836"/>
      <c r="P1009" s="836"/>
      <c r="Q1009" s="836"/>
      <c r="R1009" s="837">
        <v>0</v>
      </c>
      <c r="T1009" s="155">
        <v>1000000</v>
      </c>
      <c r="U1009" s="155"/>
      <c r="V1009" s="155"/>
      <c r="AA1009" s="180" t="str">
        <f>VLOOKUP(A1009,[2]DG!$A:$C,3,0)</f>
        <v>Giếng tiếp địa khoan đất</v>
      </c>
    </row>
    <row r="1010" spans="1:27" ht="20.100000000000001" hidden="1" customHeight="1">
      <c r="A1010" s="873" t="s">
        <v>1772</v>
      </c>
      <c r="B1010" s="859"/>
      <c r="C1010" s="421" t="s">
        <v>1773</v>
      </c>
      <c r="D1010" s="364" t="s">
        <v>1771</v>
      </c>
      <c r="E1010" s="833">
        <v>6000000</v>
      </c>
      <c r="F1010" s="833">
        <f t="shared" si="91"/>
        <v>0</v>
      </c>
      <c r="G1010" s="833">
        <f t="shared" si="92"/>
        <v>0</v>
      </c>
      <c r="H1010" s="834">
        <v>1</v>
      </c>
      <c r="I1010" s="835"/>
      <c r="J1010" s="836"/>
      <c r="K1010" s="836"/>
      <c r="L1010" s="836"/>
      <c r="M1010" s="836"/>
      <c r="N1010" s="836"/>
      <c r="O1010" s="836"/>
      <c r="P1010" s="836"/>
      <c r="Q1010" s="836"/>
      <c r="R1010" s="837">
        <v>0</v>
      </c>
      <c r="T1010" s="155">
        <v>6000000</v>
      </c>
      <c r="U1010" s="155"/>
      <c r="V1010" s="155"/>
      <c r="AA1010" s="180" t="str">
        <f>VLOOKUP(A1010,[2]DG!$A:$C,3,0)</f>
        <v>Giếng tiếp địa khoan đá</v>
      </c>
    </row>
    <row r="1011" spans="1:27" ht="20.100000000000001" hidden="1" customHeight="1">
      <c r="A1011" s="873" t="s">
        <v>3716</v>
      </c>
      <c r="B1011" s="859" t="s">
        <v>1774</v>
      </c>
      <c r="C1011" s="421" t="s">
        <v>1775</v>
      </c>
      <c r="D1011" s="364" t="s">
        <v>9</v>
      </c>
      <c r="E1011" s="833">
        <v>150000</v>
      </c>
      <c r="F1011" s="833">
        <f t="shared" si="91"/>
        <v>0</v>
      </c>
      <c r="G1011" s="833">
        <f t="shared" si="92"/>
        <v>0</v>
      </c>
      <c r="H1011" s="834">
        <v>1</v>
      </c>
      <c r="I1011" s="835"/>
      <c r="J1011" s="836"/>
      <c r="K1011" s="836"/>
      <c r="L1011" s="836"/>
      <c r="M1011" s="836"/>
      <c r="N1011" s="836"/>
      <c r="O1011" s="836"/>
      <c r="P1011" s="836"/>
      <c r="Q1011" s="836"/>
      <c r="R1011" s="837">
        <v>2</v>
      </c>
      <c r="T1011" s="155">
        <v>150000</v>
      </c>
      <c r="U1011" s="155">
        <v>9726</v>
      </c>
      <c r="V1011" s="155"/>
      <c r="AA1011" s="180" t="str">
        <f>VLOOKUP(A1011,[2]DG!$A:$C,3,0)</f>
        <v>Sứ xuyên tường 24kV</v>
      </c>
    </row>
    <row r="1012" spans="1:27" ht="20.100000000000001" hidden="1" customHeight="1">
      <c r="A1012" s="873" t="s">
        <v>3717</v>
      </c>
      <c r="B1012" s="859"/>
      <c r="C1012" s="421" t="s">
        <v>1776</v>
      </c>
      <c r="D1012" s="364" t="s">
        <v>37</v>
      </c>
      <c r="E1012" s="833">
        <v>145890</v>
      </c>
      <c r="F1012" s="833">
        <f t="shared" si="91"/>
        <v>0</v>
      </c>
      <c r="G1012" s="833">
        <f t="shared" si="92"/>
        <v>0</v>
      </c>
      <c r="H1012" s="834">
        <v>1</v>
      </c>
      <c r="I1012" s="835"/>
      <c r="J1012" s="836"/>
      <c r="K1012" s="836"/>
      <c r="L1012" s="836"/>
      <c r="M1012" s="836"/>
      <c r="N1012" s="836"/>
      <c r="O1012" s="836"/>
      <c r="P1012" s="836"/>
      <c r="Q1012" s="836"/>
      <c r="R1012" s="837">
        <v>2</v>
      </c>
      <c r="T1012" s="155">
        <v>145890</v>
      </c>
      <c r="U1012" s="155"/>
      <c r="V1012" s="155"/>
      <c r="AA1012" s="180" t="str">
        <f>VLOOKUP(A1012,[2]DG!$A:$C,3,0)</f>
        <v>Giá lắp sứ xuyên tường</v>
      </c>
    </row>
    <row r="1013" spans="1:27" ht="20.100000000000001" hidden="1" customHeight="1">
      <c r="A1013" s="873" t="s">
        <v>1777</v>
      </c>
      <c r="B1013" s="859"/>
      <c r="C1013" s="421" t="s">
        <v>1778</v>
      </c>
      <c r="D1013" s="364" t="s">
        <v>37</v>
      </c>
      <c r="E1013" s="833">
        <v>79000</v>
      </c>
      <c r="F1013" s="833">
        <f t="shared" si="91"/>
        <v>0</v>
      </c>
      <c r="G1013" s="833">
        <f t="shared" si="92"/>
        <v>0</v>
      </c>
      <c r="H1013" s="834">
        <v>1</v>
      </c>
      <c r="I1013" s="835"/>
      <c r="J1013" s="836"/>
      <c r="K1013" s="836"/>
      <c r="L1013" s="836"/>
      <c r="M1013" s="836"/>
      <c r="N1013" s="836"/>
      <c r="O1013" s="836"/>
      <c r="P1013" s="836"/>
      <c r="Q1013" s="836"/>
      <c r="R1013" s="837">
        <v>50</v>
      </c>
      <c r="T1013" s="155">
        <v>79000</v>
      </c>
      <c r="U1013" s="155"/>
      <c r="V1013" s="155"/>
      <c r="AA1013" s="180" t="str">
        <f>VLOOKUP(A1013,[2]DG!$A:$C,3,0)</f>
        <v>Giá đỡ cáp ngầm (V63x6)</v>
      </c>
    </row>
    <row r="1014" spans="1:27" ht="20.100000000000001" hidden="1" customHeight="1">
      <c r="A1014" s="873" t="s">
        <v>1779</v>
      </c>
      <c r="B1014" s="859" t="s">
        <v>1780</v>
      </c>
      <c r="C1014" s="421" t="s">
        <v>1781</v>
      </c>
      <c r="D1014" s="364" t="s">
        <v>37</v>
      </c>
      <c r="E1014" s="833">
        <v>58000</v>
      </c>
      <c r="F1014" s="833">
        <f t="shared" si="91"/>
        <v>0</v>
      </c>
      <c r="G1014" s="833">
        <f t="shared" si="92"/>
        <v>0</v>
      </c>
      <c r="H1014" s="834">
        <v>1</v>
      </c>
      <c r="I1014" s="835"/>
      <c r="J1014" s="836"/>
      <c r="K1014" s="836"/>
      <c r="L1014" s="836"/>
      <c r="M1014" s="836"/>
      <c r="N1014" s="836"/>
      <c r="O1014" s="836"/>
      <c r="P1014" s="836"/>
      <c r="Q1014" s="836"/>
      <c r="R1014" s="837">
        <v>4</v>
      </c>
      <c r="T1014" s="155">
        <v>58000</v>
      </c>
      <c r="U1014" s="155">
        <v>3529</v>
      </c>
      <c r="V1014" s="155"/>
      <c r="AA1014" s="180" t="str">
        <f>VLOOKUP(A1014,[2]DG!$A:$C,3,0)</f>
        <v>Sứ đỡ thanh cái 24kV</v>
      </c>
    </row>
    <row r="1015" spans="1:27" ht="20.100000000000001" hidden="1" customHeight="1">
      <c r="A1015" s="873" t="s">
        <v>1782</v>
      </c>
      <c r="B1015" s="859" t="s">
        <v>1783</v>
      </c>
      <c r="C1015" s="421" t="s">
        <v>1784</v>
      </c>
      <c r="D1015" s="364" t="s">
        <v>774</v>
      </c>
      <c r="E1015" s="833">
        <v>78000</v>
      </c>
      <c r="F1015" s="833">
        <f t="shared" si="91"/>
        <v>0</v>
      </c>
      <c r="G1015" s="833">
        <f t="shared" si="92"/>
        <v>0</v>
      </c>
      <c r="H1015" s="834">
        <v>1</v>
      </c>
      <c r="I1015" s="835"/>
      <c r="J1015" s="836"/>
      <c r="K1015" s="836"/>
      <c r="L1015" s="836"/>
      <c r="M1015" s="836"/>
      <c r="N1015" s="836"/>
      <c r="O1015" s="836"/>
      <c r="P1015" s="836"/>
      <c r="Q1015" s="836"/>
      <c r="R1015" s="837">
        <v>7</v>
      </c>
      <c r="T1015" s="155">
        <v>78000</v>
      </c>
      <c r="U1015" s="155">
        <v>3028</v>
      </c>
      <c r="V1015" s="155">
        <v>353</v>
      </c>
      <c r="AA1015" s="180" t="str">
        <f>VLOOKUP(A1015,[2]DG!$A:$C,3,0)</f>
        <v>Thanh cái đồng 4x50</v>
      </c>
    </row>
    <row r="1016" spans="1:27" ht="20.100000000000001" hidden="1" customHeight="1">
      <c r="A1016" s="873" t="s">
        <v>1785</v>
      </c>
      <c r="B1016" s="859" t="s">
        <v>1783</v>
      </c>
      <c r="C1016" s="421" t="s">
        <v>1786</v>
      </c>
      <c r="D1016" s="364" t="s">
        <v>774</v>
      </c>
      <c r="E1016" s="833">
        <v>78000</v>
      </c>
      <c r="F1016" s="833">
        <f t="shared" si="91"/>
        <v>0</v>
      </c>
      <c r="G1016" s="833">
        <f t="shared" si="92"/>
        <v>0</v>
      </c>
      <c r="H1016" s="834">
        <v>1</v>
      </c>
      <c r="I1016" s="835"/>
      <c r="J1016" s="836"/>
      <c r="K1016" s="836"/>
      <c r="L1016" s="836"/>
      <c r="M1016" s="836"/>
      <c r="N1016" s="836"/>
      <c r="O1016" s="836"/>
      <c r="P1016" s="836"/>
      <c r="Q1016" s="836"/>
      <c r="R1016" s="837">
        <v>7</v>
      </c>
      <c r="T1016" s="155">
        <v>78000</v>
      </c>
      <c r="U1016" s="155">
        <v>3028</v>
      </c>
      <c r="V1016" s="155">
        <v>353</v>
      </c>
      <c r="AA1016" s="180" t="str">
        <f>VLOOKUP(A1016,[2]DG!$A:$C,3,0)</f>
        <v>Thanh cái đồng 4x30</v>
      </c>
    </row>
    <row r="1017" spans="1:27" ht="20.100000000000001" hidden="1" customHeight="1">
      <c r="A1017" s="873" t="s">
        <v>1787</v>
      </c>
      <c r="B1017" s="859" t="s">
        <v>1788</v>
      </c>
      <c r="C1017" s="421" t="s">
        <v>1789</v>
      </c>
      <c r="D1017" s="364" t="s">
        <v>774</v>
      </c>
      <c r="E1017" s="833">
        <v>40000</v>
      </c>
      <c r="F1017" s="833">
        <f t="shared" si="91"/>
        <v>0</v>
      </c>
      <c r="G1017" s="833">
        <f t="shared" si="92"/>
        <v>0</v>
      </c>
      <c r="H1017" s="834">
        <v>1</v>
      </c>
      <c r="I1017" s="835"/>
      <c r="J1017" s="836"/>
      <c r="K1017" s="836"/>
      <c r="L1017" s="836"/>
      <c r="M1017" s="836"/>
      <c r="N1017" s="836"/>
      <c r="O1017" s="836"/>
      <c r="P1017" s="836"/>
      <c r="Q1017" s="836"/>
      <c r="R1017" s="837">
        <v>7</v>
      </c>
      <c r="T1017" s="155">
        <v>40000</v>
      </c>
      <c r="U1017" s="155">
        <v>2163.1</v>
      </c>
      <c r="V1017" s="155">
        <v>353</v>
      </c>
      <c r="AA1017" s="180" t="str">
        <f>VLOOKUP(A1017,[2]DG!$A:$C,3,0)</f>
        <v>Thanh cái đồng 4x20</v>
      </c>
    </row>
    <row r="1018" spans="1:27" ht="20.100000000000001" hidden="1" customHeight="1">
      <c r="A1018" s="873" t="s">
        <v>3718</v>
      </c>
      <c r="B1018" s="859"/>
      <c r="C1018" s="421" t="s">
        <v>1790</v>
      </c>
      <c r="D1018" s="364" t="s">
        <v>37</v>
      </c>
      <c r="E1018" s="833">
        <v>224832</v>
      </c>
      <c r="F1018" s="833">
        <f t="shared" si="91"/>
        <v>0</v>
      </c>
      <c r="G1018" s="833">
        <f t="shared" si="92"/>
        <v>0</v>
      </c>
      <c r="H1018" s="834">
        <v>1</v>
      </c>
      <c r="I1018" s="835"/>
      <c r="J1018" s="836"/>
      <c r="K1018" s="836"/>
      <c r="L1018" s="836"/>
      <c r="M1018" s="836"/>
      <c r="N1018" s="836"/>
      <c r="O1018" s="836"/>
      <c r="P1018" s="836"/>
      <c r="Q1018" s="836"/>
      <c r="R1018" s="837">
        <v>100</v>
      </c>
      <c r="T1018" s="155">
        <v>224832</v>
      </c>
      <c r="U1018" s="155">
        <v>3635</v>
      </c>
      <c r="V1018" s="155">
        <v>6321</v>
      </c>
      <c r="AA1018" s="180" t="str">
        <f>VLOOKUP(A1018,[2]DG!$A:$C,3,0)</f>
        <v>Giá đỡ cáp trung thế</v>
      </c>
    </row>
    <row r="1019" spans="1:27" ht="20.100000000000001" hidden="1" customHeight="1">
      <c r="A1019" s="873" t="s">
        <v>3719</v>
      </c>
      <c r="B1019" s="859"/>
      <c r="C1019" s="421" t="s">
        <v>1790</v>
      </c>
      <c r="D1019" s="364" t="s">
        <v>37</v>
      </c>
      <c r="E1019" s="833">
        <v>1485126</v>
      </c>
      <c r="F1019" s="833">
        <f t="shared" si="91"/>
        <v>0</v>
      </c>
      <c r="G1019" s="833">
        <f t="shared" si="92"/>
        <v>0</v>
      </c>
      <c r="H1019" s="834">
        <v>1</v>
      </c>
      <c r="I1019" s="835"/>
      <c r="J1019" s="836"/>
      <c r="K1019" s="836"/>
      <c r="L1019" s="836"/>
      <c r="M1019" s="836"/>
      <c r="N1019" s="836"/>
      <c r="O1019" s="836"/>
      <c r="P1019" s="836"/>
      <c r="Q1019" s="836"/>
      <c r="R1019" s="837">
        <v>108</v>
      </c>
      <c r="T1019" s="155">
        <v>1485126</v>
      </c>
      <c r="U1019" s="155">
        <v>40778</v>
      </c>
      <c r="V1019" s="155">
        <v>70906</v>
      </c>
      <c r="AA1019" s="180" t="str">
        <f>VLOOKUP(A1019,[2]DG!$A:$C,3,0)</f>
        <v>Giá đỡ cáp trung thế</v>
      </c>
    </row>
    <row r="1020" spans="1:27" ht="20.100000000000001" hidden="1" customHeight="1">
      <c r="A1020" s="873" t="s">
        <v>3720</v>
      </c>
      <c r="B1020" s="859"/>
      <c r="C1020" s="421" t="s">
        <v>1790</v>
      </c>
      <c r="D1020" s="364" t="s">
        <v>37</v>
      </c>
      <c r="E1020" s="833">
        <v>1737562</v>
      </c>
      <c r="F1020" s="833">
        <f t="shared" si="91"/>
        <v>0</v>
      </c>
      <c r="G1020" s="833">
        <f t="shared" si="92"/>
        <v>0</v>
      </c>
      <c r="H1020" s="834">
        <v>1</v>
      </c>
      <c r="I1020" s="835"/>
      <c r="J1020" s="836"/>
      <c r="K1020" s="836"/>
      <c r="L1020" s="836"/>
      <c r="M1020" s="836"/>
      <c r="N1020" s="836"/>
      <c r="O1020" s="836"/>
      <c r="P1020" s="836"/>
      <c r="Q1020" s="836"/>
      <c r="R1020" s="837">
        <v>100</v>
      </c>
      <c r="T1020" s="155">
        <v>1737562</v>
      </c>
      <c r="U1020" s="155">
        <v>49598</v>
      </c>
      <c r="V1020" s="155">
        <v>86243</v>
      </c>
      <c r="AA1020" s="180" t="str">
        <f>VLOOKUP(A1020,[2]DG!$A:$C,3,0)</f>
        <v>Giá đỡ cáp trung thế</v>
      </c>
    </row>
    <row r="1021" spans="1:27" ht="20.100000000000001" hidden="1" customHeight="1">
      <c r="A1021" s="873" t="s">
        <v>3721</v>
      </c>
      <c r="B1021" s="859"/>
      <c r="C1021" s="421" t="s">
        <v>1790</v>
      </c>
      <c r="D1021" s="364" t="s">
        <v>37</v>
      </c>
      <c r="E1021" s="833">
        <v>9642295</v>
      </c>
      <c r="F1021" s="833">
        <f t="shared" si="91"/>
        <v>0</v>
      </c>
      <c r="G1021" s="833">
        <f t="shared" si="92"/>
        <v>0</v>
      </c>
      <c r="H1021" s="834">
        <v>1</v>
      </c>
      <c r="I1021" s="835"/>
      <c r="J1021" s="836"/>
      <c r="K1021" s="836"/>
      <c r="L1021" s="836"/>
      <c r="M1021" s="836"/>
      <c r="N1021" s="836"/>
      <c r="O1021" s="836"/>
      <c r="P1021" s="836"/>
      <c r="Q1021" s="836"/>
      <c r="R1021" s="837">
        <v>108</v>
      </c>
      <c r="T1021" s="155">
        <v>9642295</v>
      </c>
      <c r="U1021" s="155">
        <v>2733889</v>
      </c>
      <c r="V1021" s="155">
        <v>94274</v>
      </c>
      <c r="AA1021" s="180" t="str">
        <f>VLOOKUP(A1021,[2]DG!$A:$C,3,0)</f>
        <v>Giá đỡ cáp trung thế</v>
      </c>
    </row>
    <row r="1022" spans="1:27" ht="20.100000000000001" hidden="1" customHeight="1">
      <c r="A1022" s="873" t="s">
        <v>3722</v>
      </c>
      <c r="B1022" s="859"/>
      <c r="C1022" s="421" t="s">
        <v>1791</v>
      </c>
      <c r="D1022" s="364" t="s">
        <v>37</v>
      </c>
      <c r="E1022" s="833">
        <v>2739747.8958128802</v>
      </c>
      <c r="F1022" s="833">
        <f t="shared" si="91"/>
        <v>0</v>
      </c>
      <c r="G1022" s="833">
        <f t="shared" si="92"/>
        <v>0</v>
      </c>
      <c r="H1022" s="834">
        <v>1</v>
      </c>
      <c r="I1022" s="835"/>
      <c r="J1022" s="836"/>
      <c r="K1022" s="836"/>
      <c r="L1022" s="836"/>
      <c r="M1022" s="836"/>
      <c r="N1022" s="836"/>
      <c r="O1022" s="836"/>
      <c r="P1022" s="836"/>
      <c r="Q1022" s="836"/>
      <c r="R1022" s="837">
        <v>95</v>
      </c>
      <c r="T1022" s="155">
        <v>2739747.8958128802</v>
      </c>
      <c r="U1022" s="155">
        <v>51183.458362101461</v>
      </c>
      <c r="V1022" s="155">
        <v>88999.705867103505</v>
      </c>
      <c r="AA1022" s="180" t="str">
        <f>VLOOKUP(A1022,[2]DG!$A:$C,3,0)</f>
        <v>Giá đỡ cáp trung hạ thế</v>
      </c>
    </row>
    <row r="1023" spans="1:27" ht="20.100000000000001" hidden="1" customHeight="1">
      <c r="A1023" s="873" t="s">
        <v>3723</v>
      </c>
      <c r="B1023" s="859"/>
      <c r="C1023" s="421" t="s">
        <v>1792</v>
      </c>
      <c r="D1023" s="364" t="s">
        <v>37</v>
      </c>
      <c r="E1023" s="833">
        <v>939812</v>
      </c>
      <c r="F1023" s="833">
        <f t="shared" si="91"/>
        <v>0</v>
      </c>
      <c r="G1023" s="833">
        <f t="shared" si="92"/>
        <v>0</v>
      </c>
      <c r="H1023" s="834">
        <v>1</v>
      </c>
      <c r="I1023" s="835"/>
      <c r="J1023" s="836"/>
      <c r="K1023" s="836"/>
      <c r="L1023" s="836"/>
      <c r="M1023" s="836"/>
      <c r="N1023" s="836"/>
      <c r="O1023" s="836"/>
      <c r="P1023" s="836"/>
      <c r="Q1023" s="836"/>
      <c r="R1023" s="837">
        <v>40</v>
      </c>
      <c r="T1023" s="155">
        <v>939812</v>
      </c>
      <c r="U1023" s="155">
        <v>14415</v>
      </c>
      <c r="V1023" s="155">
        <v>25065</v>
      </c>
      <c r="AA1023" s="180" t="str">
        <f>VLOOKUP(A1023,[2]DG!$A:$C,3,0)</f>
        <v xml:space="preserve">Giá đỡ cáp hạ thế </v>
      </c>
    </row>
    <row r="1024" spans="1:27" ht="20.100000000000001" hidden="1" customHeight="1">
      <c r="A1024" s="873" t="s">
        <v>3724</v>
      </c>
      <c r="B1024" s="859"/>
      <c r="C1024" s="421" t="s">
        <v>1792</v>
      </c>
      <c r="D1024" s="364" t="s">
        <v>37</v>
      </c>
      <c r="E1024" s="833">
        <v>1020708</v>
      </c>
      <c r="F1024" s="833">
        <f t="shared" si="91"/>
        <v>0</v>
      </c>
      <c r="G1024" s="833">
        <f t="shared" si="92"/>
        <v>0</v>
      </c>
      <c r="H1024" s="834">
        <v>1</v>
      </c>
      <c r="I1024" s="835"/>
      <c r="J1024" s="836"/>
      <c r="K1024" s="836"/>
      <c r="L1024" s="836"/>
      <c r="M1024" s="836"/>
      <c r="N1024" s="836"/>
      <c r="O1024" s="836"/>
      <c r="P1024" s="836"/>
      <c r="Q1024" s="836"/>
      <c r="R1024" s="837">
        <v>45.8</v>
      </c>
      <c r="T1024" s="155">
        <v>1020708</v>
      </c>
      <c r="U1024" s="155">
        <v>28461</v>
      </c>
      <c r="V1024" s="155">
        <v>49488</v>
      </c>
      <c r="AA1024" s="180" t="str">
        <f>VLOOKUP(A1024,[2]DG!$A:$C,3,0)</f>
        <v xml:space="preserve">Giá đỡ cáp hạ thế </v>
      </c>
    </row>
    <row r="1025" spans="1:27" ht="20.100000000000001" hidden="1" customHeight="1">
      <c r="A1025" s="873" t="s">
        <v>3725</v>
      </c>
      <c r="B1025" s="859"/>
      <c r="C1025" s="421" t="s">
        <v>1792</v>
      </c>
      <c r="D1025" s="364" t="s">
        <v>37</v>
      </c>
      <c r="E1025" s="833">
        <v>1431322</v>
      </c>
      <c r="F1025" s="833">
        <f t="shared" si="91"/>
        <v>0</v>
      </c>
      <c r="G1025" s="833">
        <f t="shared" si="92"/>
        <v>0</v>
      </c>
      <c r="H1025" s="834">
        <v>1</v>
      </c>
      <c r="I1025" s="835"/>
      <c r="J1025" s="836"/>
      <c r="K1025" s="836"/>
      <c r="L1025" s="836"/>
      <c r="M1025" s="836"/>
      <c r="N1025" s="836"/>
      <c r="O1025" s="836"/>
      <c r="P1025" s="836"/>
      <c r="Q1025" s="836"/>
      <c r="R1025" s="837">
        <v>55.5</v>
      </c>
      <c r="T1025" s="155">
        <v>1431322</v>
      </c>
      <c r="U1025" s="155">
        <v>21761</v>
      </c>
      <c r="V1025" s="155">
        <v>37840</v>
      </c>
      <c r="AA1025" s="180" t="str">
        <f>VLOOKUP(A1025,[2]DG!$A:$C,3,0)</f>
        <v xml:space="preserve">Giá đỡ cáp hạ thế </v>
      </c>
    </row>
    <row r="1026" spans="1:27" ht="20.100000000000001" hidden="1" customHeight="1">
      <c r="A1026" s="873" t="s">
        <v>3726</v>
      </c>
      <c r="B1026" s="859"/>
      <c r="C1026" s="421" t="s">
        <v>1792</v>
      </c>
      <c r="D1026" s="364" t="s">
        <v>37</v>
      </c>
      <c r="E1026" s="833">
        <v>1297534</v>
      </c>
      <c r="F1026" s="833">
        <f t="shared" si="91"/>
        <v>0</v>
      </c>
      <c r="G1026" s="833">
        <f t="shared" si="92"/>
        <v>0</v>
      </c>
      <c r="H1026" s="834">
        <v>1</v>
      </c>
      <c r="I1026" s="835"/>
      <c r="J1026" s="836"/>
      <c r="K1026" s="836"/>
      <c r="L1026" s="836"/>
      <c r="M1026" s="836"/>
      <c r="N1026" s="836"/>
      <c r="O1026" s="836"/>
      <c r="P1026" s="836"/>
      <c r="Q1026" s="836"/>
      <c r="R1026" s="837">
        <v>75</v>
      </c>
      <c r="T1026" s="155">
        <v>1297534</v>
      </c>
      <c r="U1026" s="155">
        <v>19816</v>
      </c>
      <c r="V1026" s="155">
        <v>34456</v>
      </c>
      <c r="AA1026" s="180" t="str">
        <f>VLOOKUP(A1026,[2]DG!$A:$C,3,0)</f>
        <v xml:space="preserve">Giá đỡ cáp hạ thế </v>
      </c>
    </row>
    <row r="1027" spans="1:27" ht="20.100000000000001" hidden="1" customHeight="1">
      <c r="A1027" s="873" t="s">
        <v>3727</v>
      </c>
      <c r="B1027" s="859"/>
      <c r="C1027" s="421" t="s">
        <v>1792</v>
      </c>
      <c r="D1027" s="364" t="s">
        <v>191</v>
      </c>
      <c r="E1027" s="833">
        <v>1366432</v>
      </c>
      <c r="F1027" s="833">
        <f t="shared" si="91"/>
        <v>0</v>
      </c>
      <c r="G1027" s="833">
        <f t="shared" si="92"/>
        <v>0</v>
      </c>
      <c r="H1027" s="834">
        <v>1</v>
      </c>
      <c r="I1027" s="835"/>
      <c r="J1027" s="836"/>
      <c r="K1027" s="836"/>
      <c r="L1027" s="836"/>
      <c r="M1027" s="836"/>
      <c r="N1027" s="836"/>
      <c r="O1027" s="836"/>
      <c r="P1027" s="836"/>
      <c r="Q1027" s="836"/>
      <c r="R1027" s="837">
        <v>100</v>
      </c>
      <c r="T1027" s="155">
        <v>1366432</v>
      </c>
      <c r="U1027" s="155">
        <v>19894</v>
      </c>
      <c r="V1027" s="155">
        <v>34593</v>
      </c>
      <c r="AA1027" s="180" t="str">
        <f>VLOOKUP(A1027,[2]DG!$A:$C,3,0)</f>
        <v xml:space="preserve">Giá đỡ cáp hạ thế </v>
      </c>
    </row>
    <row r="1028" spans="1:27" ht="20.100000000000001" hidden="1" customHeight="1">
      <c r="A1028" s="873" t="s">
        <v>3728</v>
      </c>
      <c r="B1028" s="859"/>
      <c r="C1028" s="421" t="s">
        <v>1792</v>
      </c>
      <c r="D1028" s="364" t="s">
        <v>37</v>
      </c>
      <c r="E1028" s="833">
        <v>6367388</v>
      </c>
      <c r="F1028" s="833">
        <f t="shared" si="91"/>
        <v>0</v>
      </c>
      <c r="G1028" s="833">
        <f t="shared" si="92"/>
        <v>0</v>
      </c>
      <c r="H1028" s="834">
        <v>1</v>
      </c>
      <c r="I1028" s="835"/>
      <c r="J1028" s="836"/>
      <c r="K1028" s="836"/>
      <c r="L1028" s="836"/>
      <c r="M1028" s="836"/>
      <c r="N1028" s="836"/>
      <c r="O1028" s="836"/>
      <c r="P1028" s="836"/>
      <c r="Q1028" s="836"/>
      <c r="R1028" s="837">
        <v>527</v>
      </c>
      <c r="T1028" s="155">
        <v>6367388</v>
      </c>
      <c r="U1028" s="155">
        <v>202086</v>
      </c>
      <c r="V1028" s="155">
        <v>351394</v>
      </c>
      <c r="AA1028" s="180" t="str">
        <f>VLOOKUP(A1028,[2]DG!$A:$C,3,0)</f>
        <v xml:space="preserve">Giá đỡ cáp hạ thế </v>
      </c>
    </row>
    <row r="1029" spans="1:27" ht="20.100000000000001" hidden="1" customHeight="1">
      <c r="A1029" s="873" t="s">
        <v>1793</v>
      </c>
      <c r="B1029" s="860" t="s">
        <v>4112</v>
      </c>
      <c r="C1029" s="421" t="s">
        <v>1794</v>
      </c>
      <c r="D1029" s="364" t="s">
        <v>1795</v>
      </c>
      <c r="E1029" s="833">
        <v>752000</v>
      </c>
      <c r="F1029" s="833">
        <f t="shared" si="91"/>
        <v>109718.77679999999</v>
      </c>
      <c r="G1029" s="833">
        <f t="shared" si="92"/>
        <v>0</v>
      </c>
      <c r="H1029" s="834" t="s">
        <v>4065</v>
      </c>
      <c r="I1029" s="835" t="s">
        <v>3370</v>
      </c>
      <c r="J1029" s="836">
        <f t="shared" ref="J1029:J1033" si="93">12.42*R1029/1000</f>
        <v>0.55889999999999995</v>
      </c>
      <c r="K1029" s="836">
        <v>0.8</v>
      </c>
      <c r="L1029" s="836"/>
      <c r="M1029" s="836"/>
      <c r="N1029" s="836"/>
      <c r="O1029" s="836"/>
      <c r="P1029" s="836"/>
      <c r="Q1029" s="836"/>
      <c r="R1029" s="837">
        <v>45</v>
      </c>
      <c r="T1029" s="418">
        <v>504000</v>
      </c>
      <c r="U1029" s="155">
        <v>26505</v>
      </c>
      <c r="V1029" s="155"/>
      <c r="AA1029" s="180" t="str">
        <f>VLOOKUP(A1029,[2]DG!$A:$C,3,0)</f>
        <v>Giá chùm treo máy biến áp 3x15</v>
      </c>
    </row>
    <row r="1030" spans="1:27" ht="20.100000000000001" hidden="1" customHeight="1">
      <c r="A1030" s="873" t="s">
        <v>1796</v>
      </c>
      <c r="B1030" s="860" t="s">
        <v>4112</v>
      </c>
      <c r="C1030" s="421" t="s">
        <v>1797</v>
      </c>
      <c r="D1030" s="364" t="s">
        <v>9</v>
      </c>
      <c r="E1030" s="833">
        <v>752000</v>
      </c>
      <c r="F1030" s="833">
        <f t="shared" si="91"/>
        <v>109718.77679999999</v>
      </c>
      <c r="G1030" s="833">
        <f t="shared" si="92"/>
        <v>0</v>
      </c>
      <c r="H1030" s="834" t="s">
        <v>4065</v>
      </c>
      <c r="I1030" s="835" t="s">
        <v>3370</v>
      </c>
      <c r="J1030" s="836">
        <f t="shared" si="93"/>
        <v>0.55889999999999995</v>
      </c>
      <c r="K1030" s="836">
        <v>0.8</v>
      </c>
      <c r="L1030" s="836"/>
      <c r="M1030" s="836"/>
      <c r="N1030" s="836"/>
      <c r="O1030" s="836"/>
      <c r="P1030" s="836"/>
      <c r="Q1030" s="836"/>
      <c r="R1030" s="837">
        <v>45</v>
      </c>
      <c r="T1030" s="155">
        <v>752000</v>
      </c>
      <c r="U1030" s="155">
        <v>26505</v>
      </c>
      <c r="V1030" s="155"/>
      <c r="AA1030" s="180" t="str">
        <f>VLOOKUP(A1030,[2]DG!$A:$C,3,0)</f>
        <v>Giá chùm treo máy biến áp 3x25</v>
      </c>
    </row>
    <row r="1031" spans="1:27" ht="20.100000000000001" customHeight="1">
      <c r="A1031" s="873" t="s">
        <v>4583</v>
      </c>
      <c r="B1031" s="860" t="s">
        <v>4112</v>
      </c>
      <c r="C1031" s="421" t="s">
        <v>1798</v>
      </c>
      <c r="D1031" s="364" t="s">
        <v>9</v>
      </c>
      <c r="E1031" s="833">
        <v>752000</v>
      </c>
      <c r="F1031" s="833">
        <f t="shared" si="91"/>
        <v>109718.77679999999</v>
      </c>
      <c r="G1031" s="833">
        <f t="shared" si="92"/>
        <v>0</v>
      </c>
      <c r="H1031" s="834" t="s">
        <v>4065</v>
      </c>
      <c r="I1031" s="835" t="s">
        <v>3370</v>
      </c>
      <c r="J1031" s="836">
        <f t="shared" si="93"/>
        <v>0.55889999999999995</v>
      </c>
      <c r="K1031" s="836">
        <v>0.8</v>
      </c>
      <c r="L1031" s="836"/>
      <c r="M1031" s="836"/>
      <c r="N1031" s="836"/>
      <c r="O1031" s="836"/>
      <c r="P1031" s="836"/>
      <c r="Q1031" s="836"/>
      <c r="R1031" s="837">
        <v>45</v>
      </c>
      <c r="T1031" s="155">
        <v>752000</v>
      </c>
      <c r="U1031" s="155">
        <v>26505</v>
      </c>
      <c r="V1031" s="155"/>
      <c r="AA1031" s="180" t="str">
        <f>VLOOKUP(A1031,[2]DG!$A:$C,3,0)</f>
        <v>Gía chùm treo máy biến áp 3x37,5</v>
      </c>
    </row>
    <row r="1032" spans="1:27" ht="20.100000000000001" hidden="1" customHeight="1">
      <c r="A1032" s="873" t="s">
        <v>2703</v>
      </c>
      <c r="B1032" s="860" t="s">
        <v>4186</v>
      </c>
      <c r="C1032" s="421" t="s">
        <v>2885</v>
      </c>
      <c r="D1032" s="364" t="s">
        <v>1795</v>
      </c>
      <c r="E1032" s="833">
        <v>1554000</v>
      </c>
      <c r="F1032" s="833">
        <f t="shared" si="91"/>
        <v>109718.77679999999</v>
      </c>
      <c r="G1032" s="833">
        <f t="shared" si="92"/>
        <v>0</v>
      </c>
      <c r="H1032" s="834" t="s">
        <v>4065</v>
      </c>
      <c r="I1032" s="835" t="s">
        <v>3370</v>
      </c>
      <c r="J1032" s="836">
        <f t="shared" si="93"/>
        <v>0.55889999999999995</v>
      </c>
      <c r="K1032" s="836">
        <v>0.8</v>
      </c>
      <c r="L1032" s="836"/>
      <c r="M1032" s="836"/>
      <c r="N1032" s="836"/>
      <c r="O1032" s="836"/>
      <c r="P1032" s="836"/>
      <c r="Q1032" s="836"/>
      <c r="R1032" s="837">
        <v>45</v>
      </c>
      <c r="T1032" s="418">
        <v>1554000</v>
      </c>
      <c r="U1032" s="155">
        <v>106640</v>
      </c>
      <c r="V1032" s="155">
        <v>0</v>
      </c>
      <c r="AA1032" s="180" t="str">
        <f>VLOOKUP(A1032,[2]DG!$A:$C,3,0)</f>
        <v>Giá chùm treo máy biến áp 3x50</v>
      </c>
    </row>
    <row r="1033" spans="1:27" ht="20.100000000000001" hidden="1" customHeight="1">
      <c r="A1033" s="873" t="s">
        <v>2704</v>
      </c>
      <c r="B1033" s="860" t="s">
        <v>4186</v>
      </c>
      <c r="C1033" s="421" t="s">
        <v>4530</v>
      </c>
      <c r="D1033" s="364" t="s">
        <v>9</v>
      </c>
      <c r="E1033" s="833">
        <v>1554000</v>
      </c>
      <c r="F1033" s="833">
        <f t="shared" si="91"/>
        <v>124347.94704</v>
      </c>
      <c r="G1033" s="833">
        <f t="shared" si="92"/>
        <v>0</v>
      </c>
      <c r="H1033" s="834" t="s">
        <v>4065</v>
      </c>
      <c r="I1033" s="835" t="s">
        <v>3370</v>
      </c>
      <c r="J1033" s="836">
        <f t="shared" si="93"/>
        <v>0.63341999999999998</v>
      </c>
      <c r="K1033" s="836">
        <v>0.8</v>
      </c>
      <c r="L1033" s="836"/>
      <c r="M1033" s="836"/>
      <c r="N1033" s="836"/>
      <c r="O1033" s="836"/>
      <c r="P1033" s="836"/>
      <c r="Q1033" s="836"/>
      <c r="R1033" s="837">
        <v>51</v>
      </c>
      <c r="T1033" s="155">
        <v>752000</v>
      </c>
      <c r="U1033" s="155">
        <v>26505</v>
      </c>
      <c r="V1033" s="155"/>
      <c r="AA1033" s="180" t="str">
        <f>VLOOKUP(A1033,[2]DG!$A:$C,3,0)</f>
        <v>Gía chùm treo máy biến áp 3x75</v>
      </c>
    </row>
    <row r="1034" spans="1:27" ht="20.100000000000001" hidden="1" customHeight="1">
      <c r="A1034" s="873" t="s">
        <v>2705</v>
      </c>
      <c r="B1034" s="860" t="s">
        <v>4112</v>
      </c>
      <c r="C1034" s="421" t="s">
        <v>4531</v>
      </c>
      <c r="D1034" s="364" t="s">
        <v>9</v>
      </c>
      <c r="E1034" s="833">
        <v>2050000</v>
      </c>
      <c r="F1034" s="833">
        <f t="shared" si="91"/>
        <v>134100.72719999999</v>
      </c>
      <c r="G1034" s="833">
        <f t="shared" si="92"/>
        <v>0</v>
      </c>
      <c r="H1034" s="834" t="s">
        <v>4065</v>
      </c>
      <c r="I1034" s="835" t="s">
        <v>3370</v>
      </c>
      <c r="J1034" s="836">
        <f>12.42*R1034/1000</f>
        <v>0.68310000000000004</v>
      </c>
      <c r="K1034" s="836">
        <v>0.8</v>
      </c>
      <c r="L1034" s="836"/>
      <c r="M1034" s="836"/>
      <c r="N1034" s="836"/>
      <c r="O1034" s="836"/>
      <c r="P1034" s="836"/>
      <c r="Q1034" s="836"/>
      <c r="R1034" s="837">
        <v>55</v>
      </c>
      <c r="T1034" s="155">
        <v>752000</v>
      </c>
      <c r="U1034" s="155">
        <v>26505</v>
      </c>
      <c r="V1034" s="155"/>
      <c r="AA1034" s="180" t="str">
        <f>VLOOKUP(A1034,[2]DG!$A:$C,3,0)</f>
        <v>Gía chùm treo máy biến áp 3x100</v>
      </c>
    </row>
    <row r="1035" spans="1:27" ht="20.100000000000001" hidden="1" customHeight="1">
      <c r="A1035" s="873" t="s">
        <v>2329</v>
      </c>
      <c r="B1035" s="859"/>
      <c r="C1035" s="421" t="s">
        <v>1799</v>
      </c>
      <c r="D1035" s="364" t="s">
        <v>9</v>
      </c>
      <c r="E1035" s="833">
        <v>9100</v>
      </c>
      <c r="F1035" s="833">
        <f t="shared" si="91"/>
        <v>0</v>
      </c>
      <c r="G1035" s="833">
        <f t="shared" si="92"/>
        <v>0</v>
      </c>
      <c r="H1035" s="834" t="s">
        <v>4065</v>
      </c>
      <c r="I1035" s="835" t="s">
        <v>3372</v>
      </c>
      <c r="J1035" s="836">
        <f>0.55*0</f>
        <v>0</v>
      </c>
      <c r="K1035" s="836"/>
      <c r="L1035" s="836"/>
      <c r="M1035" s="836"/>
      <c r="N1035" s="836"/>
      <c r="O1035" s="836"/>
      <c r="P1035" s="836"/>
      <c r="Q1035" s="836"/>
      <c r="R1035" s="837">
        <v>0.2</v>
      </c>
      <c r="T1035" s="155">
        <v>4200</v>
      </c>
      <c r="U1035" s="155">
        <v>681</v>
      </c>
      <c r="V1035" s="155">
        <v>1473</v>
      </c>
      <c r="AA1035" s="180" t="str">
        <f>VLOOKUP(A1035,[2]DG!$A:$C,3,0)</f>
        <v>Đầu cosse ép Cu-Al 16mm2</v>
      </c>
    </row>
    <row r="1036" spans="1:27" ht="20.100000000000001" hidden="1" customHeight="1">
      <c r="A1036" s="873" t="s">
        <v>3729</v>
      </c>
      <c r="B1036" s="859"/>
      <c r="C1036" s="421" t="s">
        <v>1800</v>
      </c>
      <c r="D1036" s="364" t="s">
        <v>9</v>
      </c>
      <c r="E1036" s="833">
        <v>9800</v>
      </c>
      <c r="F1036" s="833">
        <f t="shared" si="91"/>
        <v>0</v>
      </c>
      <c r="G1036" s="833">
        <f t="shared" si="92"/>
        <v>0</v>
      </c>
      <c r="H1036" s="834" t="s">
        <v>4065</v>
      </c>
      <c r="I1036" s="835" t="s">
        <v>3372</v>
      </c>
      <c r="J1036" s="836">
        <f t="shared" ref="J1036:J1054" si="94">0.55*0</f>
        <v>0</v>
      </c>
      <c r="K1036" s="836"/>
      <c r="L1036" s="836"/>
      <c r="M1036" s="836"/>
      <c r="N1036" s="836"/>
      <c r="O1036" s="836"/>
      <c r="P1036" s="836"/>
      <c r="Q1036" s="836"/>
      <c r="R1036" s="837">
        <v>0.2</v>
      </c>
      <c r="T1036" s="155">
        <v>5000</v>
      </c>
      <c r="U1036" s="155">
        <v>592</v>
      </c>
      <c r="V1036" s="155">
        <v>1302</v>
      </c>
      <c r="AA1036" s="180" t="str">
        <f>VLOOKUP(A1036,[2]DG!$A:$C,3,0)</f>
        <v>Đầu cosse ép Cu-Al 25mm2</v>
      </c>
    </row>
    <row r="1037" spans="1:27" ht="20.100000000000001" hidden="1" customHeight="1">
      <c r="A1037" s="873" t="s">
        <v>3730</v>
      </c>
      <c r="B1037" s="859"/>
      <c r="C1037" s="421" t="s">
        <v>1801</v>
      </c>
      <c r="D1037" s="364" t="s">
        <v>9</v>
      </c>
      <c r="E1037" s="833">
        <v>13000</v>
      </c>
      <c r="F1037" s="833">
        <f t="shared" si="91"/>
        <v>0</v>
      </c>
      <c r="G1037" s="833">
        <f t="shared" si="92"/>
        <v>0</v>
      </c>
      <c r="H1037" s="834" t="s">
        <v>4065</v>
      </c>
      <c r="I1037" s="835" t="s">
        <v>3372</v>
      </c>
      <c r="J1037" s="836">
        <f t="shared" si="94"/>
        <v>0</v>
      </c>
      <c r="K1037" s="836"/>
      <c r="L1037" s="836"/>
      <c r="M1037" s="836"/>
      <c r="N1037" s="836"/>
      <c r="O1037" s="836"/>
      <c r="P1037" s="836"/>
      <c r="Q1037" s="836"/>
      <c r="R1037" s="837">
        <v>0.2</v>
      </c>
      <c r="T1037" s="155">
        <v>6500</v>
      </c>
      <c r="U1037" s="155">
        <v>592</v>
      </c>
      <c r="V1037" s="155">
        <v>1302</v>
      </c>
      <c r="AA1037" s="180" t="str">
        <f>VLOOKUP(A1037,[2]DG!$A:$C,3,0)</f>
        <v>Đầu cosse ép Cu-Al 50mm2</v>
      </c>
    </row>
    <row r="1038" spans="1:27" ht="20.100000000000001" hidden="1" customHeight="1">
      <c r="A1038" s="873" t="s">
        <v>3731</v>
      </c>
      <c r="B1038" s="859"/>
      <c r="C1038" s="421" t="s">
        <v>1802</v>
      </c>
      <c r="D1038" s="364" t="s">
        <v>9</v>
      </c>
      <c r="E1038" s="833">
        <v>18000</v>
      </c>
      <c r="F1038" s="833">
        <f t="shared" si="91"/>
        <v>0</v>
      </c>
      <c r="G1038" s="833">
        <f t="shared" si="92"/>
        <v>0</v>
      </c>
      <c r="H1038" s="834" t="s">
        <v>4065</v>
      </c>
      <c r="I1038" s="835" t="s">
        <v>3372</v>
      </c>
      <c r="J1038" s="836">
        <f t="shared" si="94"/>
        <v>0</v>
      </c>
      <c r="K1038" s="836"/>
      <c r="L1038" s="836"/>
      <c r="M1038" s="836"/>
      <c r="N1038" s="836"/>
      <c r="O1038" s="836"/>
      <c r="P1038" s="836"/>
      <c r="Q1038" s="836"/>
      <c r="R1038" s="837">
        <v>0.2</v>
      </c>
      <c r="T1038" s="155">
        <v>7400</v>
      </c>
      <c r="U1038" s="155">
        <v>1874</v>
      </c>
      <c r="V1038" s="155">
        <v>1767</v>
      </c>
      <c r="AA1038" s="180" t="str">
        <f>VLOOKUP(A1038,[2]DG!$A:$C,3,0)</f>
        <v>Đầu cosse ép Cu-Al 70mm2</v>
      </c>
    </row>
    <row r="1039" spans="1:27" ht="20.100000000000001" hidden="1" customHeight="1">
      <c r="A1039" s="873" t="s">
        <v>3732</v>
      </c>
      <c r="B1039" s="859"/>
      <c r="C1039" s="421" t="s">
        <v>1803</v>
      </c>
      <c r="D1039" s="364" t="s">
        <v>9</v>
      </c>
      <c r="E1039" s="833">
        <v>25000</v>
      </c>
      <c r="F1039" s="833">
        <f t="shared" si="91"/>
        <v>0</v>
      </c>
      <c r="G1039" s="833">
        <f t="shared" si="92"/>
        <v>0</v>
      </c>
      <c r="H1039" s="834" t="s">
        <v>4065</v>
      </c>
      <c r="I1039" s="835" t="s">
        <v>3372</v>
      </c>
      <c r="J1039" s="836">
        <f t="shared" si="94"/>
        <v>0</v>
      </c>
      <c r="K1039" s="836"/>
      <c r="L1039" s="836"/>
      <c r="M1039" s="836"/>
      <c r="N1039" s="836"/>
      <c r="O1039" s="836"/>
      <c r="P1039" s="836"/>
      <c r="Q1039" s="836"/>
      <c r="R1039" s="837">
        <v>0.2</v>
      </c>
      <c r="T1039" s="155">
        <v>9000</v>
      </c>
      <c r="U1039" s="155">
        <v>2384</v>
      </c>
      <c r="V1039" s="155">
        <v>1767</v>
      </c>
      <c r="AA1039" s="180" t="str">
        <f>VLOOKUP(A1039,[2]DG!$A:$C,3,0)</f>
        <v>Đầu cosse ép Cu-Al 95mm2</v>
      </c>
    </row>
    <row r="1040" spans="1:27" ht="20.100000000000001" hidden="1" customHeight="1">
      <c r="A1040" s="873" t="s">
        <v>3733</v>
      </c>
      <c r="B1040" s="859"/>
      <c r="C1040" s="421" t="s">
        <v>1804</v>
      </c>
      <c r="D1040" s="364" t="s">
        <v>9</v>
      </c>
      <c r="E1040" s="833">
        <v>34000</v>
      </c>
      <c r="F1040" s="833">
        <f t="shared" si="91"/>
        <v>0</v>
      </c>
      <c r="G1040" s="833">
        <f t="shared" si="92"/>
        <v>0</v>
      </c>
      <c r="H1040" s="834" t="s">
        <v>4065</v>
      </c>
      <c r="I1040" s="835" t="s">
        <v>3372</v>
      </c>
      <c r="J1040" s="836">
        <f t="shared" si="94"/>
        <v>0</v>
      </c>
      <c r="K1040" s="836"/>
      <c r="L1040" s="836"/>
      <c r="M1040" s="836"/>
      <c r="N1040" s="836"/>
      <c r="O1040" s="836"/>
      <c r="P1040" s="836"/>
      <c r="Q1040" s="836"/>
      <c r="R1040" s="837">
        <v>0.2</v>
      </c>
      <c r="T1040" s="155">
        <v>13000</v>
      </c>
      <c r="U1040" s="155">
        <v>1522.3</v>
      </c>
      <c r="V1040" s="155">
        <v>1822.5</v>
      </c>
      <c r="AA1040" s="180" t="str">
        <f>VLOOKUP(A1040,[2]DG!$A:$C,3,0)</f>
        <v>Đầu cosse ép Cu-Al 120mm2</v>
      </c>
    </row>
    <row r="1041" spans="1:27" ht="20.100000000000001" hidden="1" customHeight="1">
      <c r="A1041" s="873" t="s">
        <v>3734</v>
      </c>
      <c r="B1041" s="859"/>
      <c r="C1041" s="421" t="s">
        <v>1805</v>
      </c>
      <c r="D1041" s="364" t="s">
        <v>9</v>
      </c>
      <c r="E1041" s="833">
        <v>39000</v>
      </c>
      <c r="F1041" s="833">
        <f t="shared" si="91"/>
        <v>0</v>
      </c>
      <c r="G1041" s="833">
        <f t="shared" si="92"/>
        <v>0</v>
      </c>
      <c r="H1041" s="834" t="s">
        <v>4065</v>
      </c>
      <c r="I1041" s="835" t="s">
        <v>3372</v>
      </c>
      <c r="J1041" s="836">
        <f t="shared" si="94"/>
        <v>0</v>
      </c>
      <c r="K1041" s="836"/>
      <c r="L1041" s="836"/>
      <c r="M1041" s="836"/>
      <c r="N1041" s="836"/>
      <c r="O1041" s="836"/>
      <c r="P1041" s="836"/>
      <c r="Q1041" s="836"/>
      <c r="R1041" s="837">
        <v>0.2</v>
      </c>
      <c r="T1041" s="155">
        <v>14000</v>
      </c>
      <c r="U1041" s="155">
        <v>3747</v>
      </c>
      <c r="V1041" s="155">
        <v>2356</v>
      </c>
      <c r="AA1041" s="180" t="str">
        <f>VLOOKUP(A1041,[2]DG!$A:$C,3,0)</f>
        <v>Đầu cosse ép Cu-Al 150mm2</v>
      </c>
    </row>
    <row r="1042" spans="1:27" ht="20.100000000000001" hidden="1" customHeight="1">
      <c r="A1042" s="873" t="s">
        <v>3735</v>
      </c>
      <c r="B1042" s="859"/>
      <c r="C1042" s="421" t="s">
        <v>1806</v>
      </c>
      <c r="D1042" s="364" t="s">
        <v>9</v>
      </c>
      <c r="E1042" s="833">
        <v>46000</v>
      </c>
      <c r="F1042" s="833">
        <f t="shared" si="91"/>
        <v>0</v>
      </c>
      <c r="G1042" s="833">
        <f t="shared" si="92"/>
        <v>0</v>
      </c>
      <c r="H1042" s="834" t="s">
        <v>4065</v>
      </c>
      <c r="I1042" s="835" t="s">
        <v>3372</v>
      </c>
      <c r="J1042" s="836">
        <f t="shared" si="94"/>
        <v>0</v>
      </c>
      <c r="K1042" s="836"/>
      <c r="L1042" s="836"/>
      <c r="M1042" s="836"/>
      <c r="N1042" s="836"/>
      <c r="O1042" s="836"/>
      <c r="P1042" s="836"/>
      <c r="Q1042" s="836"/>
      <c r="R1042" s="837">
        <v>0.2</v>
      </c>
      <c r="T1042" s="155">
        <v>15550</v>
      </c>
      <c r="U1042" s="155">
        <v>2232.6</v>
      </c>
      <c r="V1042" s="155">
        <v>2343.1999999999998</v>
      </c>
      <c r="AA1042" s="180" t="str">
        <f>VLOOKUP(A1042,[2]DG!$A:$C,3,0)</f>
        <v>Đầu cosse ép Cu-Al 185mm2</v>
      </c>
    </row>
    <row r="1043" spans="1:27" ht="20.100000000000001" hidden="1" customHeight="1">
      <c r="A1043" s="873" t="s">
        <v>3736</v>
      </c>
      <c r="B1043" s="859"/>
      <c r="C1043" s="421" t="s">
        <v>1807</v>
      </c>
      <c r="D1043" s="364" t="s">
        <v>9</v>
      </c>
      <c r="E1043" s="833">
        <v>51000</v>
      </c>
      <c r="F1043" s="833">
        <f t="shared" si="91"/>
        <v>0</v>
      </c>
      <c r="G1043" s="833">
        <f t="shared" si="92"/>
        <v>0</v>
      </c>
      <c r="H1043" s="834" t="s">
        <v>4065</v>
      </c>
      <c r="I1043" s="835" t="s">
        <v>3372</v>
      </c>
      <c r="J1043" s="836">
        <f t="shared" si="94"/>
        <v>0</v>
      </c>
      <c r="K1043" s="836"/>
      <c r="L1043" s="836"/>
      <c r="M1043" s="836"/>
      <c r="N1043" s="836"/>
      <c r="O1043" s="836"/>
      <c r="P1043" s="836"/>
      <c r="Q1043" s="836"/>
      <c r="R1043" s="837">
        <v>0.2</v>
      </c>
      <c r="T1043" s="155">
        <v>19525</v>
      </c>
      <c r="U1043" s="155">
        <v>5620</v>
      </c>
      <c r="V1043" s="155">
        <v>2945</v>
      </c>
      <c r="AA1043" s="180" t="str">
        <f>VLOOKUP(A1043,[2]DG!$A:$C,3,0)</f>
        <v>Đầu cosse ép Cu-Al 200mm2</v>
      </c>
    </row>
    <row r="1044" spans="1:27" ht="20.100000000000001" hidden="1" customHeight="1">
      <c r="A1044" s="873" t="s">
        <v>3737</v>
      </c>
      <c r="B1044" s="859"/>
      <c r="C1044" s="421" t="s">
        <v>1808</v>
      </c>
      <c r="D1044" s="364" t="s">
        <v>9</v>
      </c>
      <c r="E1044" s="833">
        <v>59000</v>
      </c>
      <c r="F1044" s="833">
        <f t="shared" si="91"/>
        <v>0</v>
      </c>
      <c r="G1044" s="833">
        <f t="shared" si="92"/>
        <v>0</v>
      </c>
      <c r="H1044" s="834" t="s">
        <v>4065</v>
      </c>
      <c r="I1044" s="835" t="s">
        <v>3372</v>
      </c>
      <c r="J1044" s="836">
        <f t="shared" si="94"/>
        <v>0</v>
      </c>
      <c r="K1044" s="836"/>
      <c r="L1044" s="836"/>
      <c r="M1044" s="836"/>
      <c r="N1044" s="836"/>
      <c r="O1044" s="836"/>
      <c r="P1044" s="836"/>
      <c r="Q1044" s="836"/>
      <c r="R1044" s="837">
        <v>0.2</v>
      </c>
      <c r="T1044" s="155">
        <v>23500</v>
      </c>
      <c r="U1044" s="155">
        <v>2790.8</v>
      </c>
      <c r="V1044" s="155">
        <v>2604</v>
      </c>
      <c r="AA1044" s="180" t="str">
        <f>VLOOKUP(A1044,[2]DG!$A:$C,3,0)</f>
        <v>Đầu cosse ép Cu-Al 240mm2</v>
      </c>
    </row>
    <row r="1045" spans="1:27" ht="20.100000000000001" hidden="1" customHeight="1">
      <c r="A1045" s="873" t="s">
        <v>3738</v>
      </c>
      <c r="B1045" s="859"/>
      <c r="C1045" s="421" t="s">
        <v>1809</v>
      </c>
      <c r="D1045" s="364" t="s">
        <v>9</v>
      </c>
      <c r="E1045" s="833">
        <v>59000</v>
      </c>
      <c r="F1045" s="833">
        <f t="shared" si="91"/>
        <v>0</v>
      </c>
      <c r="G1045" s="833">
        <f t="shared" si="92"/>
        <v>0</v>
      </c>
      <c r="H1045" s="834" t="s">
        <v>4065</v>
      </c>
      <c r="I1045" s="835" t="s">
        <v>3372</v>
      </c>
      <c r="J1045" s="836">
        <f t="shared" si="94"/>
        <v>0</v>
      </c>
      <c r="K1045" s="836"/>
      <c r="L1045" s="836"/>
      <c r="M1045" s="836"/>
      <c r="N1045" s="836"/>
      <c r="O1045" s="836"/>
      <c r="P1045" s="836"/>
      <c r="Q1045" s="836"/>
      <c r="R1045" s="837">
        <v>0.2</v>
      </c>
      <c r="T1045" s="155">
        <v>23500</v>
      </c>
      <c r="U1045" s="155">
        <v>2790.8</v>
      </c>
      <c r="V1045" s="155">
        <v>2604</v>
      </c>
      <c r="AA1045" s="180" t="str">
        <f>VLOOKUP(A1045,[2]DG!$A:$C,3,0)</f>
        <v>Đầu cosse ép Cu-Al 250mm2</v>
      </c>
    </row>
    <row r="1046" spans="1:27" ht="20.100000000000001" hidden="1" customHeight="1">
      <c r="A1046" s="873" t="s">
        <v>3739</v>
      </c>
      <c r="B1046" s="859"/>
      <c r="C1046" s="421" t="s">
        <v>1810</v>
      </c>
      <c r="D1046" s="364" t="s">
        <v>9</v>
      </c>
      <c r="E1046" s="833">
        <v>139000</v>
      </c>
      <c r="F1046" s="833">
        <f t="shared" si="91"/>
        <v>0</v>
      </c>
      <c r="G1046" s="833">
        <f t="shared" si="92"/>
        <v>0</v>
      </c>
      <c r="H1046" s="834" t="s">
        <v>4065</v>
      </c>
      <c r="I1046" s="835" t="s">
        <v>3372</v>
      </c>
      <c r="J1046" s="836">
        <f t="shared" si="94"/>
        <v>0</v>
      </c>
      <c r="K1046" s="836"/>
      <c r="L1046" s="836"/>
      <c r="M1046" s="836"/>
      <c r="N1046" s="836"/>
      <c r="O1046" s="836"/>
      <c r="P1046" s="836"/>
      <c r="Q1046" s="836"/>
      <c r="R1046" s="837">
        <v>0.2</v>
      </c>
      <c r="T1046" s="155">
        <v>36000</v>
      </c>
      <c r="U1046" s="155">
        <v>2790.8</v>
      </c>
      <c r="V1046" s="155">
        <v>2604</v>
      </c>
      <c r="AA1046" s="180" t="str">
        <f>VLOOKUP(A1046,[2]DG!$A:$C,3,0)</f>
        <v>Đầu cosse ép Cu-Al 300mm2</v>
      </c>
    </row>
    <row r="1047" spans="1:27" ht="20.100000000000001" hidden="1" customHeight="1">
      <c r="A1047" s="873" t="s">
        <v>3739</v>
      </c>
      <c r="B1047" s="859"/>
      <c r="C1047" s="421" t="s">
        <v>1811</v>
      </c>
      <c r="D1047" s="364" t="s">
        <v>9</v>
      </c>
      <c r="E1047" s="833">
        <v>195000</v>
      </c>
      <c r="F1047" s="833">
        <f t="shared" si="91"/>
        <v>0</v>
      </c>
      <c r="G1047" s="833">
        <f t="shared" si="92"/>
        <v>0</v>
      </c>
      <c r="H1047" s="834" t="s">
        <v>4065</v>
      </c>
      <c r="I1047" s="835" t="s">
        <v>3372</v>
      </c>
      <c r="J1047" s="836">
        <f t="shared" si="94"/>
        <v>0</v>
      </c>
      <c r="K1047" s="836"/>
      <c r="L1047" s="836"/>
      <c r="M1047" s="836"/>
      <c r="N1047" s="836"/>
      <c r="O1047" s="836"/>
      <c r="P1047" s="836"/>
      <c r="Q1047" s="836"/>
      <c r="R1047" s="837">
        <v>0.2</v>
      </c>
      <c r="T1047" s="155">
        <v>52000</v>
      </c>
      <c r="U1047" s="155">
        <v>2790.8</v>
      </c>
      <c r="V1047" s="155">
        <v>2604</v>
      </c>
      <c r="AA1047" s="180" t="str">
        <f>VLOOKUP(A1047,[2]DG!$A:$C,3,0)</f>
        <v>Đầu cosse ép Cu-Al 300mm2</v>
      </c>
    </row>
    <row r="1048" spans="1:27" ht="20.100000000000001" hidden="1" customHeight="1">
      <c r="A1048" s="873" t="s">
        <v>1812</v>
      </c>
      <c r="B1048" s="859"/>
      <c r="C1048" s="421" t="s">
        <v>1813</v>
      </c>
      <c r="D1048" s="426" t="s">
        <v>9</v>
      </c>
      <c r="E1048" s="833">
        <v>900</v>
      </c>
      <c r="F1048" s="833">
        <f t="shared" si="91"/>
        <v>0</v>
      </c>
      <c r="G1048" s="833">
        <f t="shared" si="92"/>
        <v>0</v>
      </c>
      <c r="H1048" s="834" t="s">
        <v>4065</v>
      </c>
      <c r="I1048" s="835" t="s">
        <v>3372</v>
      </c>
      <c r="J1048" s="836">
        <f t="shared" si="94"/>
        <v>0</v>
      </c>
      <c r="K1048" s="836"/>
      <c r="L1048" s="836"/>
      <c r="M1048" s="836"/>
      <c r="N1048" s="836"/>
      <c r="O1048" s="836"/>
      <c r="P1048" s="836"/>
      <c r="Q1048" s="836"/>
      <c r="R1048" s="837">
        <v>0.1</v>
      </c>
      <c r="T1048" s="155">
        <v>900</v>
      </c>
      <c r="U1048" s="155">
        <v>681.3</v>
      </c>
      <c r="V1048" s="155">
        <v>1472.7</v>
      </c>
      <c r="AA1048" s="180" t="str">
        <f>VLOOKUP(A1048,[2]DG!$A:$C,3,0)</f>
        <v>Đầu cosse ép Cu 5mm2</v>
      </c>
    </row>
    <row r="1049" spans="1:27" ht="20.100000000000001" hidden="1" customHeight="1">
      <c r="A1049" s="873" t="s">
        <v>1814</v>
      </c>
      <c r="B1049" s="859"/>
      <c r="C1049" s="421" t="s">
        <v>1815</v>
      </c>
      <c r="D1049" s="426" t="s">
        <v>9</v>
      </c>
      <c r="E1049" s="833">
        <v>2000</v>
      </c>
      <c r="F1049" s="833">
        <f t="shared" si="91"/>
        <v>0</v>
      </c>
      <c r="G1049" s="833">
        <f t="shared" si="92"/>
        <v>0</v>
      </c>
      <c r="H1049" s="834" t="s">
        <v>4065</v>
      </c>
      <c r="I1049" s="835" t="s">
        <v>3372</v>
      </c>
      <c r="J1049" s="836">
        <f t="shared" si="94"/>
        <v>0</v>
      </c>
      <c r="K1049" s="836"/>
      <c r="L1049" s="836"/>
      <c r="M1049" s="836"/>
      <c r="N1049" s="836"/>
      <c r="O1049" s="836"/>
      <c r="P1049" s="836"/>
      <c r="Q1049" s="836"/>
      <c r="R1049" s="837">
        <v>0.1</v>
      </c>
      <c r="T1049" s="418">
        <v>1300</v>
      </c>
      <c r="U1049" s="155">
        <v>681.3</v>
      </c>
      <c r="V1049" s="155">
        <v>1472.7</v>
      </c>
      <c r="AA1049" s="180" t="str">
        <f>VLOOKUP(A1049,[2]DG!$A:$C,3,0)</f>
        <v>Đầu cosse ép Cu 11mm2</v>
      </c>
    </row>
    <row r="1050" spans="1:27" ht="20.100000000000001" hidden="1" customHeight="1">
      <c r="A1050" s="873" t="s">
        <v>1816</v>
      </c>
      <c r="B1050" s="859"/>
      <c r="C1050" s="421" t="s">
        <v>1817</v>
      </c>
      <c r="D1050" s="426" t="s">
        <v>9</v>
      </c>
      <c r="E1050" s="833">
        <v>2600</v>
      </c>
      <c r="F1050" s="833">
        <f t="shared" si="91"/>
        <v>0</v>
      </c>
      <c r="G1050" s="833">
        <f t="shared" si="92"/>
        <v>0</v>
      </c>
      <c r="H1050" s="834" t="s">
        <v>4065</v>
      </c>
      <c r="I1050" s="835" t="s">
        <v>3372</v>
      </c>
      <c r="J1050" s="836">
        <f t="shared" si="94"/>
        <v>0</v>
      </c>
      <c r="K1050" s="836"/>
      <c r="L1050" s="836"/>
      <c r="M1050" s="836"/>
      <c r="N1050" s="836"/>
      <c r="O1050" s="836"/>
      <c r="P1050" s="836"/>
      <c r="Q1050" s="836"/>
      <c r="R1050" s="837">
        <v>0.1</v>
      </c>
      <c r="T1050" s="418">
        <v>1700</v>
      </c>
      <c r="U1050" s="155">
        <v>681.3</v>
      </c>
      <c r="V1050" s="155">
        <v>1472.7</v>
      </c>
      <c r="AA1050" s="180" t="str">
        <f>VLOOKUP(A1050,[2]DG!$A:$C,3,0)</f>
        <v>Đầu cosse ép Cu 16mm2</v>
      </c>
    </row>
    <row r="1051" spans="1:27" ht="20.100000000000001" hidden="1" customHeight="1">
      <c r="A1051" s="873" t="s">
        <v>1818</v>
      </c>
      <c r="B1051" s="859"/>
      <c r="C1051" s="421" t="s">
        <v>1819</v>
      </c>
      <c r="D1051" s="426" t="s">
        <v>9</v>
      </c>
      <c r="E1051" s="833">
        <v>2200</v>
      </c>
      <c r="F1051" s="833">
        <f t="shared" si="91"/>
        <v>0</v>
      </c>
      <c r="G1051" s="833">
        <f t="shared" si="92"/>
        <v>0</v>
      </c>
      <c r="H1051" s="834" t="s">
        <v>4065</v>
      </c>
      <c r="I1051" s="835" t="s">
        <v>3372</v>
      </c>
      <c r="J1051" s="836">
        <f t="shared" si="94"/>
        <v>0</v>
      </c>
      <c r="K1051" s="836"/>
      <c r="L1051" s="836"/>
      <c r="M1051" s="836"/>
      <c r="N1051" s="836"/>
      <c r="O1051" s="836"/>
      <c r="P1051" s="836"/>
      <c r="Q1051" s="836"/>
      <c r="R1051" s="837">
        <v>0.1</v>
      </c>
      <c r="T1051" s="418">
        <v>2200</v>
      </c>
      <c r="U1051" s="155">
        <v>681.3</v>
      </c>
      <c r="V1051" s="155">
        <v>1472.7</v>
      </c>
      <c r="AA1051" s="180" t="str">
        <f>VLOOKUP(A1051,[2]DG!$A:$C,3,0)</f>
        <v>Đầu cosse ép Cu 22mm2</v>
      </c>
    </row>
    <row r="1052" spans="1:27" ht="20.100000000000001" hidden="1" customHeight="1">
      <c r="A1052" s="873" t="s">
        <v>1820</v>
      </c>
      <c r="B1052" s="859"/>
      <c r="C1052" s="421" t="s">
        <v>1821</v>
      </c>
      <c r="D1052" s="426" t="s">
        <v>9</v>
      </c>
      <c r="E1052" s="833">
        <v>6500</v>
      </c>
      <c r="F1052" s="833">
        <f t="shared" si="91"/>
        <v>0</v>
      </c>
      <c r="G1052" s="833">
        <f t="shared" si="92"/>
        <v>0</v>
      </c>
      <c r="H1052" s="834" t="s">
        <v>4065</v>
      </c>
      <c r="I1052" s="835"/>
      <c r="J1052" s="836">
        <f t="shared" si="94"/>
        <v>0</v>
      </c>
      <c r="K1052" s="836"/>
      <c r="L1052" s="836"/>
      <c r="M1052" s="836"/>
      <c r="N1052" s="836"/>
      <c r="O1052" s="836"/>
      <c r="P1052" s="836"/>
      <c r="Q1052" s="836"/>
      <c r="R1052" s="837">
        <v>0.1</v>
      </c>
      <c r="T1052" s="418">
        <v>2200</v>
      </c>
      <c r="U1052" s="155">
        <v>2163</v>
      </c>
      <c r="V1052" s="155">
        <v>1473</v>
      </c>
      <c r="AA1052" s="180" t="str">
        <f>VLOOKUP(A1052,[2]DG!$A:$C,3,0)</f>
        <v>Đầu cosse ép Cu 25mm2</v>
      </c>
    </row>
    <row r="1053" spans="1:27" ht="20.100000000000001" hidden="1" customHeight="1">
      <c r="A1053" s="873" t="s">
        <v>1822</v>
      </c>
      <c r="B1053" s="859"/>
      <c r="C1053" s="421" t="s">
        <v>1823</v>
      </c>
      <c r="D1053" s="426" t="s">
        <v>9</v>
      </c>
      <c r="E1053" s="833">
        <v>7800</v>
      </c>
      <c r="F1053" s="833">
        <f t="shared" si="91"/>
        <v>0</v>
      </c>
      <c r="G1053" s="833">
        <f t="shared" si="92"/>
        <v>0</v>
      </c>
      <c r="H1053" s="834" t="s">
        <v>4065</v>
      </c>
      <c r="I1053" s="835" t="s">
        <v>3372</v>
      </c>
      <c r="J1053" s="836">
        <f t="shared" si="94"/>
        <v>0</v>
      </c>
      <c r="K1053" s="836"/>
      <c r="L1053" s="836"/>
      <c r="M1053" s="836"/>
      <c r="N1053" s="836"/>
      <c r="O1053" s="836"/>
      <c r="P1053" s="836"/>
      <c r="Q1053" s="836"/>
      <c r="R1053" s="837">
        <v>0.1</v>
      </c>
      <c r="T1053" s="418">
        <v>3000</v>
      </c>
      <c r="U1053" s="155">
        <v>1192.2</v>
      </c>
      <c r="V1053" s="155">
        <v>1472.7</v>
      </c>
      <c r="AA1053" s="180" t="str">
        <f>VLOOKUP(A1053,[2]DG!$A:$C,3,0)</f>
        <v>Đầu cosse ép Cu 35mm2</v>
      </c>
    </row>
    <row r="1054" spans="1:27" ht="20.100000000000001" hidden="1" customHeight="1">
      <c r="A1054" s="873" t="s">
        <v>1824</v>
      </c>
      <c r="B1054" s="859"/>
      <c r="C1054" s="421" t="s">
        <v>1825</v>
      </c>
      <c r="D1054" s="426" t="s">
        <v>9</v>
      </c>
      <c r="E1054" s="833">
        <v>3000</v>
      </c>
      <c r="F1054" s="833">
        <f t="shared" ref="F1054:F1118" si="95">IF(OR(I1054="",J1054=""),0,IF(K1054*1=0,1,K1054)*VLOOKUP(I1054,TIENLUONG,4,0)*J1054)</f>
        <v>0</v>
      </c>
      <c r="G1054" s="833">
        <f t="shared" ref="G1054:G1118" si="96">L1054*VLOOKUP($L$1,CAMAY,2,0)+M1054*VLOOKUP($M$1,CAMAY,2,0)+N1054*VLOOKUP($N$1,CAMAY,2,0)+O1054*VLOOKUP($O$1,CAMAY,2,0)+P1054*VLOOKUP($P$1,CAMAY,2,0)</f>
        <v>0</v>
      </c>
      <c r="H1054" s="834" t="s">
        <v>4065</v>
      </c>
      <c r="I1054" s="835" t="s">
        <v>3372</v>
      </c>
      <c r="J1054" s="836">
        <f t="shared" si="94"/>
        <v>0</v>
      </c>
      <c r="K1054" s="836"/>
      <c r="L1054" s="836"/>
      <c r="M1054" s="836"/>
      <c r="N1054" s="836"/>
      <c r="O1054" s="836"/>
      <c r="P1054" s="836"/>
      <c r="Q1054" s="836"/>
      <c r="R1054" s="837">
        <v>0.1</v>
      </c>
      <c r="T1054" s="418">
        <v>3000</v>
      </c>
      <c r="U1054" s="155">
        <v>1192.2</v>
      </c>
      <c r="V1054" s="155">
        <v>1472.7</v>
      </c>
      <c r="AA1054" s="180" t="str">
        <f>VLOOKUP(A1054,[2]DG!$A:$C,3,0)</f>
        <v>Đầu cosse ép Cu 38mm2</v>
      </c>
    </row>
    <row r="1055" spans="1:27" ht="20.100000000000001" hidden="1" customHeight="1">
      <c r="A1055" s="873" t="s">
        <v>1826</v>
      </c>
      <c r="B1055" s="859"/>
      <c r="C1055" s="421" t="s">
        <v>1827</v>
      </c>
      <c r="D1055" s="426" t="s">
        <v>9</v>
      </c>
      <c r="E1055" s="833">
        <v>9100</v>
      </c>
      <c r="F1055" s="833">
        <f t="shared" si="95"/>
        <v>0</v>
      </c>
      <c r="G1055" s="833">
        <f t="shared" si="96"/>
        <v>0</v>
      </c>
      <c r="H1055" s="834" t="s">
        <v>4065</v>
      </c>
      <c r="I1055" s="835"/>
      <c r="J1055" s="836"/>
      <c r="K1055" s="836"/>
      <c r="L1055" s="836"/>
      <c r="M1055" s="836"/>
      <c r="N1055" s="836"/>
      <c r="O1055" s="836"/>
      <c r="P1055" s="836"/>
      <c r="Q1055" s="836"/>
      <c r="R1055" s="837">
        <v>0.1</v>
      </c>
      <c r="T1055" s="418">
        <v>7500</v>
      </c>
      <c r="U1055" s="155">
        <v>3785</v>
      </c>
      <c r="V1055" s="155">
        <v>1472.7</v>
      </c>
      <c r="AA1055" s="180" t="str">
        <f>VLOOKUP(A1055,[2]DG!$A:$C,3,0)</f>
        <v>Đầu cosse ép Cu 50mm2</v>
      </c>
    </row>
    <row r="1056" spans="1:27" ht="20.100000000000001" hidden="1" customHeight="1">
      <c r="A1056" s="873" t="s">
        <v>1828</v>
      </c>
      <c r="B1056" s="859"/>
      <c r="C1056" s="421" t="s">
        <v>1829</v>
      </c>
      <c r="D1056" s="426" t="s">
        <v>9</v>
      </c>
      <c r="E1056" s="833">
        <v>14000</v>
      </c>
      <c r="F1056" s="833">
        <f t="shared" si="95"/>
        <v>0</v>
      </c>
      <c r="G1056" s="833">
        <f t="shared" si="96"/>
        <v>0</v>
      </c>
      <c r="H1056" s="834" t="s">
        <v>4065</v>
      </c>
      <c r="I1056" s="835"/>
      <c r="J1056" s="836"/>
      <c r="K1056" s="836"/>
      <c r="L1056" s="836"/>
      <c r="M1056" s="836"/>
      <c r="N1056" s="836"/>
      <c r="O1056" s="836"/>
      <c r="P1056" s="836"/>
      <c r="Q1056" s="836"/>
      <c r="R1056" s="837">
        <v>0.2</v>
      </c>
      <c r="T1056" s="418">
        <v>8500</v>
      </c>
      <c r="U1056" s="155">
        <v>1874</v>
      </c>
      <c r="V1056" s="155">
        <v>1767</v>
      </c>
      <c r="AA1056" s="180" t="str">
        <f>VLOOKUP(A1056,[2]DG!$A:$C,3,0)</f>
        <v>Đầu cosse ép Cu 70mm2</v>
      </c>
    </row>
    <row r="1057" spans="1:27" ht="20.100000000000001" hidden="1" customHeight="1">
      <c r="A1057" s="873" t="s">
        <v>1830</v>
      </c>
      <c r="B1057" s="859"/>
      <c r="C1057" s="421" t="s">
        <v>1831</v>
      </c>
      <c r="D1057" s="426" t="s">
        <v>9</v>
      </c>
      <c r="E1057" s="833">
        <v>21000</v>
      </c>
      <c r="F1057" s="833">
        <f t="shared" si="95"/>
        <v>0</v>
      </c>
      <c r="G1057" s="833">
        <f t="shared" si="96"/>
        <v>0</v>
      </c>
      <c r="H1057" s="834" t="s">
        <v>4065</v>
      </c>
      <c r="I1057" s="835"/>
      <c r="J1057" s="836"/>
      <c r="K1057" s="836"/>
      <c r="L1057" s="836"/>
      <c r="M1057" s="836"/>
      <c r="N1057" s="836"/>
      <c r="O1057" s="836"/>
      <c r="P1057" s="836"/>
      <c r="Q1057" s="836"/>
      <c r="R1057" s="837">
        <v>0.2</v>
      </c>
      <c r="T1057" s="418">
        <v>10600</v>
      </c>
      <c r="U1057" s="155">
        <v>7571</v>
      </c>
      <c r="V1057" s="155">
        <v>1767</v>
      </c>
      <c r="AA1057" s="180" t="str">
        <f>VLOOKUP(A1057,[2]DG!$A:$C,3,0)</f>
        <v>Đầu cosse ép Cu 95mm2</v>
      </c>
    </row>
    <row r="1058" spans="1:27" ht="20.100000000000001" hidden="1" customHeight="1">
      <c r="A1058" s="873" t="s">
        <v>1832</v>
      </c>
      <c r="B1058" s="859"/>
      <c r="C1058" s="421" t="s">
        <v>1833</v>
      </c>
      <c r="D1058" s="426" t="s">
        <v>9</v>
      </c>
      <c r="E1058" s="833">
        <v>27000</v>
      </c>
      <c r="F1058" s="833">
        <f t="shared" si="95"/>
        <v>0</v>
      </c>
      <c r="G1058" s="833">
        <f t="shared" si="96"/>
        <v>0</v>
      </c>
      <c r="H1058" s="834" t="s">
        <v>4065</v>
      </c>
      <c r="I1058" s="835"/>
      <c r="J1058" s="836"/>
      <c r="K1058" s="836"/>
      <c r="L1058" s="836"/>
      <c r="M1058" s="836"/>
      <c r="N1058" s="836"/>
      <c r="O1058" s="836"/>
      <c r="P1058" s="836"/>
      <c r="Q1058" s="836"/>
      <c r="R1058" s="837">
        <v>0.1</v>
      </c>
      <c r="T1058" s="427">
        <v>17000</v>
      </c>
      <c r="U1058" s="155">
        <v>3065.7</v>
      </c>
      <c r="V1058" s="155">
        <v>2061.6999999999998</v>
      </c>
      <c r="AA1058" s="180" t="str">
        <f>VLOOKUP(A1058,[2]DG!$A:$C,3,0)</f>
        <v>Đầu cosse ép Cu 120mm2</v>
      </c>
    </row>
    <row r="1059" spans="1:27" ht="20.100000000000001" hidden="1" customHeight="1">
      <c r="A1059" s="873" t="s">
        <v>1834</v>
      </c>
      <c r="B1059" s="859"/>
      <c r="C1059" s="421" t="s">
        <v>1835</v>
      </c>
      <c r="D1059" s="426" t="s">
        <v>9</v>
      </c>
      <c r="E1059" s="833">
        <v>36000</v>
      </c>
      <c r="F1059" s="833">
        <f t="shared" si="95"/>
        <v>0</v>
      </c>
      <c r="G1059" s="833">
        <f t="shared" si="96"/>
        <v>0</v>
      </c>
      <c r="H1059" s="834" t="s">
        <v>4065</v>
      </c>
      <c r="I1059" s="835"/>
      <c r="J1059" s="836"/>
      <c r="K1059" s="836"/>
      <c r="L1059" s="836"/>
      <c r="M1059" s="836"/>
      <c r="N1059" s="836"/>
      <c r="O1059" s="836"/>
      <c r="P1059" s="836"/>
      <c r="Q1059" s="836"/>
      <c r="R1059" s="837">
        <v>0.2</v>
      </c>
      <c r="T1059" s="418">
        <v>21200</v>
      </c>
      <c r="U1059" s="155">
        <v>3746.9</v>
      </c>
      <c r="V1059" s="155">
        <v>2356.3000000000002</v>
      </c>
      <c r="AA1059" s="180" t="str">
        <f>VLOOKUP(A1059,[2]DG!$A:$C,3,0)</f>
        <v>Đầu cosse ép Cu 150mm2</v>
      </c>
    </row>
    <row r="1060" spans="1:27" ht="20.100000000000001" hidden="1" customHeight="1">
      <c r="A1060" s="873" t="s">
        <v>1836</v>
      </c>
      <c r="B1060" s="859"/>
      <c r="C1060" s="421" t="s">
        <v>1837</v>
      </c>
      <c r="D1060" s="426" t="s">
        <v>9</v>
      </c>
      <c r="E1060" s="833">
        <v>51000</v>
      </c>
      <c r="F1060" s="833">
        <f t="shared" si="95"/>
        <v>0</v>
      </c>
      <c r="G1060" s="833">
        <f t="shared" si="96"/>
        <v>0</v>
      </c>
      <c r="H1060" s="834" t="s">
        <v>4065</v>
      </c>
      <c r="I1060" s="835" t="s">
        <v>3372</v>
      </c>
      <c r="J1060" s="836">
        <f>0.55*0</f>
        <v>0</v>
      </c>
      <c r="K1060" s="836">
        <v>0</v>
      </c>
      <c r="L1060" s="836"/>
      <c r="M1060" s="836"/>
      <c r="N1060" s="836"/>
      <c r="O1060" s="836"/>
      <c r="P1060" s="836"/>
      <c r="Q1060" s="836"/>
      <c r="R1060" s="837">
        <v>0.2</v>
      </c>
      <c r="T1060" s="418">
        <v>28000</v>
      </c>
      <c r="U1060" s="155">
        <v>4496.3</v>
      </c>
      <c r="V1060" s="155">
        <v>2650.8</v>
      </c>
      <c r="AA1060" s="180" t="str">
        <f>VLOOKUP(A1060,[2]DG!$A:$C,3,0)</f>
        <v>Đầu cosse ép Cu 185mm2</v>
      </c>
    </row>
    <row r="1061" spans="1:27" ht="20.100000000000001" hidden="1" customHeight="1">
      <c r="A1061" s="873" t="s">
        <v>1838</v>
      </c>
      <c r="B1061" s="859"/>
      <c r="C1061" s="421" t="s">
        <v>1839</v>
      </c>
      <c r="D1061" s="426" t="s">
        <v>9</v>
      </c>
      <c r="E1061" s="833">
        <v>60000</v>
      </c>
      <c r="F1061" s="833">
        <f t="shared" si="95"/>
        <v>0</v>
      </c>
      <c r="G1061" s="833">
        <f t="shared" si="96"/>
        <v>0</v>
      </c>
      <c r="H1061" s="834" t="s">
        <v>4065</v>
      </c>
      <c r="I1061" s="835" t="s">
        <v>3372</v>
      </c>
      <c r="J1061" s="836">
        <f t="shared" ref="J1061:J1064" si="97">0.55*0</f>
        <v>0</v>
      </c>
      <c r="K1061" s="836"/>
      <c r="L1061" s="836"/>
      <c r="M1061" s="836"/>
      <c r="N1061" s="836"/>
      <c r="O1061" s="836"/>
      <c r="P1061" s="836"/>
      <c r="Q1061" s="836"/>
      <c r="R1061" s="837">
        <v>0.2</v>
      </c>
      <c r="T1061" s="418">
        <v>37000</v>
      </c>
      <c r="U1061" s="155">
        <v>5620.4</v>
      </c>
      <c r="V1061" s="155">
        <v>2945.4</v>
      </c>
      <c r="AA1061" s="180" t="str">
        <f>VLOOKUP(A1061,[2]DG!$A:$C,3,0)</f>
        <v>Đầu cosse ép Cu 200mm2</v>
      </c>
    </row>
    <row r="1062" spans="1:27" ht="20.100000000000001" hidden="1" customHeight="1">
      <c r="A1062" s="873" t="s">
        <v>1840</v>
      </c>
      <c r="B1062" s="859"/>
      <c r="C1062" s="421" t="s">
        <v>1841</v>
      </c>
      <c r="D1062" s="426" t="s">
        <v>9</v>
      </c>
      <c r="E1062" s="833">
        <v>70000</v>
      </c>
      <c r="F1062" s="833">
        <f t="shared" si="95"/>
        <v>0</v>
      </c>
      <c r="G1062" s="833">
        <f t="shared" si="96"/>
        <v>0</v>
      </c>
      <c r="H1062" s="834" t="s">
        <v>4065</v>
      </c>
      <c r="I1062" s="835" t="s">
        <v>3372</v>
      </c>
      <c r="J1062" s="836">
        <f t="shared" si="97"/>
        <v>0</v>
      </c>
      <c r="K1062" s="836"/>
      <c r="L1062" s="836"/>
      <c r="M1062" s="836"/>
      <c r="N1062" s="836"/>
      <c r="O1062" s="836"/>
      <c r="P1062" s="836"/>
      <c r="Q1062" s="836"/>
      <c r="R1062" s="837">
        <v>0.2</v>
      </c>
      <c r="T1062" s="418">
        <v>37000</v>
      </c>
      <c r="U1062" s="155">
        <v>5620.4</v>
      </c>
      <c r="V1062" s="155">
        <v>2945.4</v>
      </c>
      <c r="AA1062" s="180" t="str">
        <f>VLOOKUP(A1062,[2]DG!$A:$C,3,0)</f>
        <v>Đầu cosse ép Cu 240mm2</v>
      </c>
    </row>
    <row r="1063" spans="1:27" ht="20.100000000000001" hidden="1" customHeight="1">
      <c r="A1063" s="873" t="s">
        <v>1842</v>
      </c>
      <c r="B1063" s="859"/>
      <c r="C1063" s="421" t="s">
        <v>1843</v>
      </c>
      <c r="D1063" s="426" t="s">
        <v>9</v>
      </c>
      <c r="E1063" s="833">
        <v>42000</v>
      </c>
      <c r="F1063" s="833">
        <f t="shared" si="95"/>
        <v>0</v>
      </c>
      <c r="G1063" s="833">
        <f t="shared" si="96"/>
        <v>0</v>
      </c>
      <c r="H1063" s="834" t="s">
        <v>4065</v>
      </c>
      <c r="I1063" s="835" t="s">
        <v>3372</v>
      </c>
      <c r="J1063" s="836">
        <f t="shared" si="97"/>
        <v>0</v>
      </c>
      <c r="K1063" s="836"/>
      <c r="L1063" s="836"/>
      <c r="M1063" s="836"/>
      <c r="N1063" s="836"/>
      <c r="O1063" s="836"/>
      <c r="P1063" s="836"/>
      <c r="Q1063" s="836"/>
      <c r="R1063" s="837">
        <v>0.2</v>
      </c>
      <c r="T1063" s="427">
        <v>42000</v>
      </c>
      <c r="U1063" s="155">
        <v>6676.3</v>
      </c>
      <c r="V1063" s="155">
        <v>4123.5</v>
      </c>
      <c r="AA1063" s="180" t="str">
        <f>VLOOKUP(A1063,[2]DG!$A:$C,3,0)</f>
        <v>Đầu cosse ép Cu 250mm2</v>
      </c>
    </row>
    <row r="1064" spans="1:27" ht="20.100000000000001" hidden="1" customHeight="1">
      <c r="A1064" s="873" t="s">
        <v>1844</v>
      </c>
      <c r="B1064" s="859"/>
      <c r="C1064" s="421" t="s">
        <v>1845</v>
      </c>
      <c r="D1064" s="426" t="s">
        <v>9</v>
      </c>
      <c r="E1064" s="833">
        <v>108000</v>
      </c>
      <c r="F1064" s="833">
        <f t="shared" si="95"/>
        <v>0</v>
      </c>
      <c r="G1064" s="833">
        <f t="shared" si="96"/>
        <v>0</v>
      </c>
      <c r="H1064" s="834" t="s">
        <v>4065</v>
      </c>
      <c r="I1064" s="835" t="s">
        <v>3372</v>
      </c>
      <c r="J1064" s="836">
        <f t="shared" si="97"/>
        <v>0</v>
      </c>
      <c r="K1064" s="836"/>
      <c r="L1064" s="836"/>
      <c r="M1064" s="836"/>
      <c r="N1064" s="836"/>
      <c r="O1064" s="836"/>
      <c r="P1064" s="836"/>
      <c r="Q1064" s="836"/>
      <c r="R1064" s="837">
        <v>0.2</v>
      </c>
      <c r="T1064" s="427">
        <v>65000</v>
      </c>
      <c r="U1064" s="155">
        <v>6676.3</v>
      </c>
      <c r="V1064" s="155">
        <v>4123.5</v>
      </c>
      <c r="AA1064" s="180" t="str">
        <f>VLOOKUP(A1064,[2]DG!$A:$C,3,0)</f>
        <v>Đầu cosse ép Cu 300mm2</v>
      </c>
    </row>
    <row r="1065" spans="1:27" ht="20.100000000000001" hidden="1" customHeight="1">
      <c r="A1065" s="873" t="s">
        <v>1846</v>
      </c>
      <c r="B1065" s="859"/>
      <c r="C1065" s="421" t="s">
        <v>3215</v>
      </c>
      <c r="D1065" s="426" t="s">
        <v>9</v>
      </c>
      <c r="E1065" s="833">
        <v>700</v>
      </c>
      <c r="F1065" s="833">
        <f t="shared" si="95"/>
        <v>0</v>
      </c>
      <c r="G1065" s="833">
        <f t="shared" si="96"/>
        <v>0</v>
      </c>
      <c r="H1065" s="834" t="s">
        <v>4065</v>
      </c>
      <c r="I1065" s="835"/>
      <c r="J1065" s="836"/>
      <c r="K1065" s="836"/>
      <c r="L1065" s="836"/>
      <c r="M1065" s="836"/>
      <c r="N1065" s="836"/>
      <c r="O1065" s="836"/>
      <c r="P1065" s="836"/>
      <c r="Q1065" s="836"/>
      <c r="R1065" s="837">
        <v>0.1</v>
      </c>
      <c r="T1065" s="418">
        <v>450</v>
      </c>
      <c r="U1065" s="155"/>
      <c r="V1065" s="155"/>
      <c r="AA1065" s="180" t="str">
        <f>VLOOKUP(A1065,[2]DG!$A:$C,3,0)</f>
        <v>Chụp đầu cosse  11mm2</v>
      </c>
    </row>
    <row r="1066" spans="1:27" ht="20.100000000000001" hidden="1" customHeight="1">
      <c r="A1066" s="873" t="s">
        <v>1847</v>
      </c>
      <c r="B1066" s="859"/>
      <c r="C1066" s="421" t="s">
        <v>3216</v>
      </c>
      <c r="D1066" s="426" t="s">
        <v>9</v>
      </c>
      <c r="E1066" s="833">
        <v>700</v>
      </c>
      <c r="F1066" s="833">
        <f t="shared" si="95"/>
        <v>0</v>
      </c>
      <c r="G1066" s="833">
        <f t="shared" si="96"/>
        <v>0</v>
      </c>
      <c r="H1066" s="834" t="s">
        <v>4065</v>
      </c>
      <c r="I1066" s="835"/>
      <c r="J1066" s="836"/>
      <c r="K1066" s="836"/>
      <c r="L1066" s="836"/>
      <c r="M1066" s="836"/>
      <c r="N1066" s="836"/>
      <c r="O1066" s="836"/>
      <c r="P1066" s="836"/>
      <c r="Q1066" s="836"/>
      <c r="R1066" s="837">
        <v>0.1</v>
      </c>
      <c r="T1066" s="418">
        <v>450</v>
      </c>
      <c r="U1066" s="155"/>
      <c r="V1066" s="155"/>
      <c r="AA1066" s="180" t="str">
        <f>VLOOKUP(A1066,[2]DG!$A:$C,3,0)</f>
        <v>Chụp đầu cosse  16mm2</v>
      </c>
    </row>
    <row r="1067" spans="1:27" ht="20.100000000000001" hidden="1" customHeight="1">
      <c r="A1067" s="873" t="s">
        <v>1848</v>
      </c>
      <c r="B1067" s="859"/>
      <c r="C1067" s="421" t="s">
        <v>3217</v>
      </c>
      <c r="D1067" s="426" t="s">
        <v>9</v>
      </c>
      <c r="E1067" s="833">
        <v>800</v>
      </c>
      <c r="F1067" s="833">
        <f t="shared" si="95"/>
        <v>0</v>
      </c>
      <c r="G1067" s="833">
        <f t="shared" si="96"/>
        <v>0</v>
      </c>
      <c r="H1067" s="834" t="s">
        <v>4065</v>
      </c>
      <c r="I1067" s="835"/>
      <c r="J1067" s="836"/>
      <c r="K1067" s="836"/>
      <c r="L1067" s="836"/>
      <c r="M1067" s="836"/>
      <c r="N1067" s="836"/>
      <c r="O1067" s="836"/>
      <c r="P1067" s="836"/>
      <c r="Q1067" s="836"/>
      <c r="R1067" s="837">
        <v>0.1</v>
      </c>
      <c r="T1067" s="418">
        <v>550</v>
      </c>
      <c r="U1067" s="155"/>
      <c r="V1067" s="155"/>
      <c r="AA1067" s="180" t="str">
        <f>VLOOKUP(A1067,[2]DG!$A:$C,3,0)</f>
        <v>Chụp đầu cosse  25mm2</v>
      </c>
    </row>
    <row r="1068" spans="1:27" ht="20.100000000000001" hidden="1" customHeight="1">
      <c r="A1068" s="873" t="s">
        <v>1849</v>
      </c>
      <c r="B1068" s="859"/>
      <c r="C1068" s="421" t="s">
        <v>3218</v>
      </c>
      <c r="D1068" s="426" t="s">
        <v>9</v>
      </c>
      <c r="E1068" s="833">
        <v>800</v>
      </c>
      <c r="F1068" s="833">
        <f t="shared" si="95"/>
        <v>0</v>
      </c>
      <c r="G1068" s="833">
        <f t="shared" si="96"/>
        <v>0</v>
      </c>
      <c r="H1068" s="834" t="s">
        <v>4065</v>
      </c>
      <c r="I1068" s="835"/>
      <c r="J1068" s="836"/>
      <c r="K1068" s="836"/>
      <c r="L1068" s="836"/>
      <c r="M1068" s="836"/>
      <c r="N1068" s="836"/>
      <c r="O1068" s="836"/>
      <c r="P1068" s="836"/>
      <c r="Q1068" s="836"/>
      <c r="R1068" s="837">
        <v>0.1</v>
      </c>
      <c r="T1068" s="418">
        <v>650</v>
      </c>
      <c r="U1068" s="155"/>
      <c r="V1068" s="155"/>
      <c r="AA1068" s="180" t="str">
        <f>VLOOKUP(A1068,[2]DG!$A:$C,3,0)</f>
        <v>Chụp đầu cosse  35mm2</v>
      </c>
    </row>
    <row r="1069" spans="1:27" ht="20.100000000000001" hidden="1" customHeight="1">
      <c r="A1069" s="873" t="s">
        <v>1850</v>
      </c>
      <c r="B1069" s="859"/>
      <c r="C1069" s="421" t="s">
        <v>3219</v>
      </c>
      <c r="D1069" s="426" t="s">
        <v>9</v>
      </c>
      <c r="E1069" s="833">
        <v>1300</v>
      </c>
      <c r="F1069" s="833">
        <f t="shared" si="95"/>
        <v>0</v>
      </c>
      <c r="G1069" s="833">
        <f t="shared" si="96"/>
        <v>0</v>
      </c>
      <c r="H1069" s="834" t="s">
        <v>4065</v>
      </c>
      <c r="I1069" s="835"/>
      <c r="J1069" s="836"/>
      <c r="K1069" s="836"/>
      <c r="L1069" s="836"/>
      <c r="M1069" s="836"/>
      <c r="N1069" s="836"/>
      <c r="O1069" s="836"/>
      <c r="P1069" s="836"/>
      <c r="Q1069" s="836"/>
      <c r="R1069" s="837">
        <v>0.1</v>
      </c>
      <c r="T1069" s="418">
        <v>750</v>
      </c>
      <c r="U1069" s="155"/>
      <c r="V1069" s="155"/>
      <c r="AA1069" s="180" t="str">
        <f>VLOOKUP(A1069,[2]DG!$A:$C,3,0)</f>
        <v>Chụp đầu cosse  50mm2</v>
      </c>
    </row>
    <row r="1070" spans="1:27" ht="20.100000000000001" hidden="1" customHeight="1">
      <c r="A1070" s="873" t="s">
        <v>1851</v>
      </c>
      <c r="B1070" s="859">
        <v>0</v>
      </c>
      <c r="C1070" s="421" t="s">
        <v>3220</v>
      </c>
      <c r="D1070" s="426" t="s">
        <v>9</v>
      </c>
      <c r="E1070" s="833">
        <v>2300</v>
      </c>
      <c r="F1070" s="833">
        <f t="shared" si="95"/>
        <v>0</v>
      </c>
      <c r="G1070" s="833">
        <f t="shared" si="96"/>
        <v>0</v>
      </c>
      <c r="H1070" s="834" t="s">
        <v>4065</v>
      </c>
      <c r="I1070" s="835"/>
      <c r="J1070" s="836"/>
      <c r="K1070" s="836"/>
      <c r="L1070" s="836"/>
      <c r="M1070" s="836"/>
      <c r="N1070" s="836"/>
      <c r="O1070" s="836"/>
      <c r="P1070" s="836"/>
      <c r="Q1070" s="836"/>
      <c r="R1070" s="837">
        <v>0.1</v>
      </c>
      <c r="T1070" s="418">
        <v>1600</v>
      </c>
      <c r="U1070" s="155"/>
      <c r="V1070" s="155"/>
      <c r="AA1070" s="180" t="str">
        <f>VLOOKUP(A1070,[2]DG!$A:$C,3,0)</f>
        <v>Chụp đầu cosse  70mm2</v>
      </c>
    </row>
    <row r="1071" spans="1:27" ht="20.100000000000001" hidden="1" customHeight="1">
      <c r="A1071" s="873" t="s">
        <v>1852</v>
      </c>
      <c r="B1071" s="859">
        <v>0</v>
      </c>
      <c r="C1071" s="421" t="s">
        <v>3221</v>
      </c>
      <c r="D1071" s="426" t="s">
        <v>9</v>
      </c>
      <c r="E1071" s="833">
        <v>3300</v>
      </c>
      <c r="F1071" s="833">
        <f t="shared" si="95"/>
        <v>0</v>
      </c>
      <c r="G1071" s="833">
        <f t="shared" si="96"/>
        <v>0</v>
      </c>
      <c r="H1071" s="834" t="s">
        <v>4065</v>
      </c>
      <c r="I1071" s="835"/>
      <c r="J1071" s="836"/>
      <c r="K1071" s="836"/>
      <c r="L1071" s="836"/>
      <c r="M1071" s="836"/>
      <c r="N1071" s="836"/>
      <c r="O1071" s="836"/>
      <c r="P1071" s="836"/>
      <c r="Q1071" s="836"/>
      <c r="R1071" s="837">
        <v>0.1</v>
      </c>
      <c r="T1071" s="418">
        <v>2700</v>
      </c>
      <c r="U1071" s="155"/>
      <c r="V1071" s="155"/>
      <c r="AA1071" s="180" t="str">
        <f>VLOOKUP(A1071,[2]DG!$A:$C,3,0)</f>
        <v>Chụp đầu cosse  95mm2</v>
      </c>
    </row>
    <row r="1072" spans="1:27" ht="20.100000000000001" hidden="1" customHeight="1">
      <c r="A1072" s="873" t="s">
        <v>1853</v>
      </c>
      <c r="B1072" s="859">
        <v>0</v>
      </c>
      <c r="C1072" s="421" t="s">
        <v>3222</v>
      </c>
      <c r="D1072" s="426" t="s">
        <v>9</v>
      </c>
      <c r="E1072" s="833">
        <v>3900</v>
      </c>
      <c r="F1072" s="833">
        <f t="shared" si="95"/>
        <v>0</v>
      </c>
      <c r="G1072" s="833">
        <f t="shared" si="96"/>
        <v>0</v>
      </c>
      <c r="H1072" s="834" t="s">
        <v>4065</v>
      </c>
      <c r="I1072" s="835"/>
      <c r="J1072" s="836"/>
      <c r="K1072" s="836"/>
      <c r="L1072" s="836"/>
      <c r="M1072" s="836"/>
      <c r="N1072" s="836"/>
      <c r="O1072" s="836"/>
      <c r="P1072" s="836"/>
      <c r="Q1072" s="836"/>
      <c r="R1072" s="837">
        <v>0.1</v>
      </c>
      <c r="T1072" s="427">
        <v>3100</v>
      </c>
      <c r="U1072" s="155"/>
      <c r="V1072" s="155"/>
      <c r="AA1072" s="180" t="str">
        <f>VLOOKUP(A1072,[2]DG!$A:$C,3,0)</f>
        <v>Chụp đầu cosse  120mm2</v>
      </c>
    </row>
    <row r="1073" spans="1:27" ht="20.100000000000001" hidden="1" customHeight="1">
      <c r="A1073" s="873" t="s">
        <v>1854</v>
      </c>
      <c r="B1073" s="859"/>
      <c r="C1073" s="421" t="s">
        <v>3223</v>
      </c>
      <c r="D1073" s="426" t="s">
        <v>9</v>
      </c>
      <c r="E1073" s="833">
        <v>4600</v>
      </c>
      <c r="F1073" s="833">
        <f t="shared" si="95"/>
        <v>0</v>
      </c>
      <c r="G1073" s="833">
        <f t="shared" si="96"/>
        <v>0</v>
      </c>
      <c r="H1073" s="834" t="s">
        <v>4065</v>
      </c>
      <c r="I1073" s="835"/>
      <c r="J1073" s="836"/>
      <c r="K1073" s="836"/>
      <c r="L1073" s="836"/>
      <c r="M1073" s="836"/>
      <c r="N1073" s="836"/>
      <c r="O1073" s="836"/>
      <c r="P1073" s="836"/>
      <c r="Q1073" s="836"/>
      <c r="R1073" s="837">
        <v>0.1</v>
      </c>
      <c r="T1073" s="418">
        <v>3200</v>
      </c>
      <c r="U1073" s="155"/>
      <c r="V1073" s="155"/>
      <c r="AA1073" s="180" t="str">
        <f>VLOOKUP(A1073,[2]DG!$A:$C,3,0)</f>
        <v>Chụp đầu cosse  150mm2</v>
      </c>
    </row>
    <row r="1074" spans="1:27" ht="20.100000000000001" hidden="1" customHeight="1">
      <c r="A1074" s="873" t="s">
        <v>1855</v>
      </c>
      <c r="B1074" s="859"/>
      <c r="C1074" s="421" t="s">
        <v>3224</v>
      </c>
      <c r="D1074" s="426" t="s">
        <v>9</v>
      </c>
      <c r="E1074" s="833">
        <v>5200</v>
      </c>
      <c r="F1074" s="833">
        <f t="shared" si="95"/>
        <v>0</v>
      </c>
      <c r="G1074" s="833">
        <f t="shared" si="96"/>
        <v>0</v>
      </c>
      <c r="H1074" s="834" t="s">
        <v>4065</v>
      </c>
      <c r="I1074" s="835"/>
      <c r="J1074" s="836"/>
      <c r="K1074" s="836"/>
      <c r="L1074" s="836"/>
      <c r="M1074" s="836"/>
      <c r="N1074" s="836"/>
      <c r="O1074" s="836"/>
      <c r="P1074" s="836"/>
      <c r="Q1074" s="836"/>
      <c r="R1074" s="837">
        <v>0.1</v>
      </c>
      <c r="T1074" s="418">
        <v>3200</v>
      </c>
      <c r="U1074" s="155"/>
      <c r="V1074" s="155"/>
      <c r="AA1074" s="180" t="str">
        <f>VLOOKUP(A1074,[2]DG!$A:$C,3,0)</f>
        <v>Chụp đầu cosse  185mm2</v>
      </c>
    </row>
    <row r="1075" spans="1:27" ht="20.100000000000001" hidden="1" customHeight="1">
      <c r="A1075" s="873" t="s">
        <v>1856</v>
      </c>
      <c r="B1075" s="859"/>
      <c r="C1075" s="421" t="s">
        <v>3225</v>
      </c>
      <c r="D1075" s="426" t="s">
        <v>9</v>
      </c>
      <c r="E1075" s="833">
        <v>5200</v>
      </c>
      <c r="F1075" s="833">
        <f t="shared" si="95"/>
        <v>0</v>
      </c>
      <c r="G1075" s="833">
        <f t="shared" si="96"/>
        <v>0</v>
      </c>
      <c r="H1075" s="834" t="s">
        <v>4065</v>
      </c>
      <c r="I1075" s="835"/>
      <c r="J1075" s="836"/>
      <c r="K1075" s="836"/>
      <c r="L1075" s="836"/>
      <c r="M1075" s="836"/>
      <c r="N1075" s="836"/>
      <c r="O1075" s="836"/>
      <c r="P1075" s="836"/>
      <c r="Q1075" s="836"/>
      <c r="R1075" s="837">
        <v>0.1</v>
      </c>
      <c r="T1075" s="418">
        <v>3200</v>
      </c>
      <c r="U1075" s="155"/>
      <c r="V1075" s="155"/>
      <c r="AA1075" s="180" t="str">
        <f>VLOOKUP(A1075,[2]DG!$A:$C,3,0)</f>
        <v>Chụp đầu cosse  200mm2</v>
      </c>
    </row>
    <row r="1076" spans="1:27" ht="20.100000000000001" hidden="1" customHeight="1">
      <c r="A1076" s="873" t="s">
        <v>1857</v>
      </c>
      <c r="B1076" s="859"/>
      <c r="C1076" s="421" t="s">
        <v>3226</v>
      </c>
      <c r="D1076" s="426" t="s">
        <v>9</v>
      </c>
      <c r="E1076" s="833">
        <v>5900</v>
      </c>
      <c r="F1076" s="833">
        <f t="shared" si="95"/>
        <v>0</v>
      </c>
      <c r="G1076" s="833">
        <f t="shared" si="96"/>
        <v>0</v>
      </c>
      <c r="H1076" s="834" t="s">
        <v>4065</v>
      </c>
      <c r="I1076" s="835"/>
      <c r="J1076" s="836"/>
      <c r="K1076" s="836"/>
      <c r="L1076" s="836"/>
      <c r="M1076" s="836"/>
      <c r="N1076" s="836"/>
      <c r="O1076" s="836"/>
      <c r="P1076" s="836"/>
      <c r="Q1076" s="836"/>
      <c r="R1076" s="837">
        <v>0.1</v>
      </c>
      <c r="T1076" s="418">
        <v>3800</v>
      </c>
      <c r="U1076" s="155"/>
      <c r="V1076" s="155"/>
      <c r="AA1076" s="180" t="str">
        <f>VLOOKUP(A1076,[2]DG!$A:$C,3,0)</f>
        <v>Chụp đầu cosse  240mm2</v>
      </c>
    </row>
    <row r="1077" spans="1:27" ht="20.100000000000001" hidden="1" customHeight="1">
      <c r="A1077" s="873" t="s">
        <v>1858</v>
      </c>
      <c r="B1077" s="859"/>
      <c r="C1077" s="421" t="s">
        <v>3227</v>
      </c>
      <c r="D1077" s="426" t="s">
        <v>9</v>
      </c>
      <c r="E1077" s="833">
        <v>6000</v>
      </c>
      <c r="F1077" s="833">
        <f t="shared" si="95"/>
        <v>0</v>
      </c>
      <c r="G1077" s="833">
        <f t="shared" si="96"/>
        <v>0</v>
      </c>
      <c r="H1077" s="834" t="s">
        <v>4065</v>
      </c>
      <c r="I1077" s="835"/>
      <c r="J1077" s="836"/>
      <c r="K1077" s="836"/>
      <c r="L1077" s="836"/>
      <c r="M1077" s="836"/>
      <c r="N1077" s="836"/>
      <c r="O1077" s="836"/>
      <c r="P1077" s="836"/>
      <c r="Q1077" s="836"/>
      <c r="R1077" s="837">
        <v>0.1</v>
      </c>
      <c r="T1077" s="418">
        <v>3800</v>
      </c>
      <c r="U1077" s="155"/>
      <c r="V1077" s="155"/>
      <c r="AA1077" s="180" t="str">
        <f>VLOOKUP(A1077,[2]DG!$A:$C,3,0)</f>
        <v>Chụp đầu cosse  250mm2</v>
      </c>
    </row>
    <row r="1078" spans="1:27" ht="20.100000000000001" hidden="1" customHeight="1">
      <c r="A1078" s="873" t="s">
        <v>1859</v>
      </c>
      <c r="B1078" s="859"/>
      <c r="C1078" s="421" t="s">
        <v>3228</v>
      </c>
      <c r="D1078" s="426" t="s">
        <v>9</v>
      </c>
      <c r="E1078" s="833">
        <v>7800</v>
      </c>
      <c r="F1078" s="833">
        <f t="shared" si="95"/>
        <v>0</v>
      </c>
      <c r="G1078" s="833">
        <f t="shared" si="96"/>
        <v>0</v>
      </c>
      <c r="H1078" s="834" t="s">
        <v>4065</v>
      </c>
      <c r="I1078" s="835"/>
      <c r="J1078" s="836"/>
      <c r="K1078" s="836"/>
      <c r="L1078" s="836"/>
      <c r="M1078" s="836"/>
      <c r="N1078" s="836"/>
      <c r="O1078" s="836"/>
      <c r="P1078" s="836"/>
      <c r="Q1078" s="836"/>
      <c r="R1078" s="837">
        <v>0.1</v>
      </c>
      <c r="T1078" s="418">
        <v>5000</v>
      </c>
      <c r="U1078" s="155"/>
      <c r="V1078" s="155"/>
      <c r="AA1078" s="180" t="str">
        <f>VLOOKUP(A1078,[2]DG!$A:$C,3,0)</f>
        <v>Chụp đầu cosse  300mm2</v>
      </c>
    </row>
    <row r="1079" spans="1:27" ht="20.100000000000001" hidden="1" customHeight="1">
      <c r="A1079" s="873" t="s">
        <v>3740</v>
      </c>
      <c r="B1079" s="859"/>
      <c r="C1079" s="421" t="s">
        <v>1860</v>
      </c>
      <c r="D1079" s="364" t="s">
        <v>774</v>
      </c>
      <c r="E1079" s="833">
        <v>38200</v>
      </c>
      <c r="F1079" s="833">
        <f t="shared" si="95"/>
        <v>0</v>
      </c>
      <c r="G1079" s="833">
        <f t="shared" si="96"/>
        <v>0</v>
      </c>
      <c r="H1079" s="834">
        <v>1</v>
      </c>
      <c r="I1079" s="835"/>
      <c r="J1079" s="836"/>
      <c r="K1079" s="836"/>
      <c r="L1079" s="836"/>
      <c r="M1079" s="836"/>
      <c r="N1079" s="836"/>
      <c r="O1079" s="836"/>
      <c r="P1079" s="836"/>
      <c r="Q1079" s="836"/>
      <c r="R1079" s="837">
        <v>0.1</v>
      </c>
      <c r="T1079" s="155">
        <v>38200</v>
      </c>
      <c r="U1079" s="155"/>
      <c r="V1079" s="155"/>
      <c r="AA1079" s="180" t="str">
        <f>VLOOKUP(A1079,[2]DG!$A:$C,3,0)</f>
        <v>Cáp điện kế DK - 2x11</v>
      </c>
    </row>
    <row r="1080" spans="1:27" ht="20.100000000000001" hidden="1" customHeight="1">
      <c r="A1080" s="873" t="s">
        <v>3741</v>
      </c>
      <c r="B1080" s="859"/>
      <c r="C1080" s="421" t="s">
        <v>1861</v>
      </c>
      <c r="D1080" s="364" t="s">
        <v>774</v>
      </c>
      <c r="E1080" s="833">
        <v>14830</v>
      </c>
      <c r="F1080" s="833">
        <f t="shared" si="95"/>
        <v>0</v>
      </c>
      <c r="G1080" s="833">
        <f t="shared" si="96"/>
        <v>0</v>
      </c>
      <c r="H1080" s="834">
        <v>1</v>
      </c>
      <c r="I1080" s="835"/>
      <c r="J1080" s="836"/>
      <c r="K1080" s="836"/>
      <c r="L1080" s="836"/>
      <c r="M1080" s="836"/>
      <c r="N1080" s="836"/>
      <c r="O1080" s="836"/>
      <c r="P1080" s="836"/>
      <c r="Q1080" s="836"/>
      <c r="R1080" s="837">
        <v>0.1</v>
      </c>
      <c r="T1080" s="155">
        <v>14830</v>
      </c>
      <c r="U1080" s="155"/>
      <c r="V1080" s="155"/>
      <c r="AA1080" s="180" t="str">
        <f>VLOOKUP(A1080,[2]DG!$A:$C,3,0)</f>
        <v>Cáp điều khiển 7x1,5</v>
      </c>
    </row>
    <row r="1081" spans="1:27" ht="20.100000000000001" hidden="1" customHeight="1">
      <c r="A1081" s="873" t="s">
        <v>3742</v>
      </c>
      <c r="B1081" s="859"/>
      <c r="C1081" s="421" t="s">
        <v>1862</v>
      </c>
      <c r="D1081" s="364" t="s">
        <v>774</v>
      </c>
      <c r="E1081" s="833">
        <v>32900</v>
      </c>
      <c r="F1081" s="833">
        <f t="shared" si="95"/>
        <v>0</v>
      </c>
      <c r="G1081" s="833">
        <f t="shared" si="96"/>
        <v>0</v>
      </c>
      <c r="H1081" s="834">
        <v>1</v>
      </c>
      <c r="I1081" s="835"/>
      <c r="J1081" s="836"/>
      <c r="K1081" s="836"/>
      <c r="L1081" s="836"/>
      <c r="M1081" s="836"/>
      <c r="N1081" s="836"/>
      <c r="O1081" s="836"/>
      <c r="P1081" s="836"/>
      <c r="Q1081" s="836"/>
      <c r="R1081" s="837">
        <v>0.1</v>
      </c>
      <c r="T1081" s="155">
        <v>32900</v>
      </c>
      <c r="U1081" s="155"/>
      <c r="V1081" s="155"/>
      <c r="AA1081" s="180" t="str">
        <f>VLOOKUP(A1081,[2]DG!$A:$C,3,0)</f>
        <v>Cáp Duplex 2x11</v>
      </c>
    </row>
    <row r="1082" spans="1:27" ht="20.100000000000001" hidden="1" customHeight="1">
      <c r="A1082" s="873" t="s">
        <v>3743</v>
      </c>
      <c r="B1082" s="859">
        <v>270</v>
      </c>
      <c r="C1082" s="421" t="s">
        <v>4716</v>
      </c>
      <c r="D1082" s="364" t="s">
        <v>774</v>
      </c>
      <c r="E1082" s="833">
        <v>78000</v>
      </c>
      <c r="F1082" s="833">
        <f t="shared" si="95"/>
        <v>0</v>
      </c>
      <c r="G1082" s="833">
        <f t="shared" si="96"/>
        <v>0</v>
      </c>
      <c r="H1082" s="834">
        <v>43636</v>
      </c>
      <c r="I1082" s="835"/>
      <c r="J1082" s="836"/>
      <c r="K1082" s="836"/>
      <c r="L1082" s="836"/>
      <c r="M1082" s="836"/>
      <c r="N1082" s="836"/>
      <c r="O1082" s="836"/>
      <c r="P1082" s="836"/>
      <c r="Q1082" s="836"/>
      <c r="R1082" s="837">
        <v>0.1</v>
      </c>
      <c r="T1082" s="155">
        <v>76300</v>
      </c>
      <c r="U1082" s="155"/>
      <c r="V1082" s="155"/>
      <c r="AA1082" s="180" t="str">
        <f>VLOOKUP(A1082,[2]DG!$A:$C,3,0)</f>
        <v>Cáp Duplex 2x16</v>
      </c>
    </row>
    <row r="1083" spans="1:27" ht="20.100000000000001" customHeight="1">
      <c r="A1083" s="873" t="s">
        <v>4718</v>
      </c>
      <c r="B1083" s="859"/>
      <c r="C1083" s="421" t="s">
        <v>4717</v>
      </c>
      <c r="D1083" s="364" t="s">
        <v>774</v>
      </c>
      <c r="E1083" s="833">
        <v>23500</v>
      </c>
      <c r="F1083" s="833">
        <f t="shared" ref="F1083" si="98">IF(OR(I1083="",J1083=""),0,IF(K1083*1=0,1,K1083)*VLOOKUP(I1083,TIENLUONG,4,0)*J1083)</f>
        <v>0</v>
      </c>
      <c r="G1083" s="833">
        <f t="shared" ref="G1083" si="99">L1083*VLOOKUP($L$1,CAMAY,2,0)+M1083*VLOOKUP($M$1,CAMAY,2,0)+N1083*VLOOKUP($N$1,CAMAY,2,0)+O1083*VLOOKUP($O$1,CAMAY,2,0)+P1083*VLOOKUP($P$1,CAMAY,2,0)</f>
        <v>0</v>
      </c>
      <c r="H1083" s="834">
        <v>1</v>
      </c>
      <c r="I1083" s="835"/>
      <c r="J1083" s="836"/>
      <c r="K1083" s="836"/>
      <c r="L1083" s="836"/>
      <c r="M1083" s="836"/>
      <c r="N1083" s="836"/>
      <c r="O1083" s="836"/>
      <c r="P1083" s="836"/>
      <c r="Q1083" s="836"/>
      <c r="R1083" s="837">
        <v>0.1</v>
      </c>
      <c r="T1083" s="155">
        <v>76300</v>
      </c>
      <c r="U1083" s="155"/>
      <c r="V1083" s="155"/>
      <c r="AA1083" s="180" t="str">
        <f>VLOOKUP(A1083,[2]DG!$A:$C,3,0)</f>
        <v>Cáp Duplex Al 2x16</v>
      </c>
    </row>
    <row r="1084" spans="1:27" ht="20.100000000000001" hidden="1" customHeight="1">
      <c r="A1084" s="873" t="s">
        <v>3744</v>
      </c>
      <c r="B1084" s="859"/>
      <c r="C1084" s="421" t="s">
        <v>1863</v>
      </c>
      <c r="D1084" s="364" t="s">
        <v>774</v>
      </c>
      <c r="E1084" s="833">
        <v>49000</v>
      </c>
      <c r="F1084" s="833">
        <f t="shared" si="95"/>
        <v>0</v>
      </c>
      <c r="G1084" s="833">
        <f t="shared" si="96"/>
        <v>0</v>
      </c>
      <c r="H1084" s="834">
        <v>1</v>
      </c>
      <c r="I1084" s="835"/>
      <c r="J1084" s="836"/>
      <c r="K1084" s="836"/>
      <c r="L1084" s="836"/>
      <c r="M1084" s="836"/>
      <c r="N1084" s="836"/>
      <c r="O1084" s="836"/>
      <c r="P1084" s="836"/>
      <c r="Q1084" s="836"/>
      <c r="R1084" s="837">
        <v>0.1</v>
      </c>
      <c r="T1084" s="155">
        <v>49000</v>
      </c>
      <c r="U1084" s="155"/>
      <c r="V1084" s="155"/>
      <c r="AA1084" s="180" t="str">
        <f>VLOOKUP(A1084,[2]DG!$A:$C,3,0)</f>
        <v>Cáp Triplex 3x11</v>
      </c>
    </row>
    <row r="1085" spans="1:27" ht="20.100000000000001" hidden="1" customHeight="1">
      <c r="A1085" s="873" t="s">
        <v>3745</v>
      </c>
      <c r="B1085" s="859"/>
      <c r="C1085" s="421" t="s">
        <v>1864</v>
      </c>
      <c r="D1085" s="364" t="s">
        <v>774</v>
      </c>
      <c r="E1085" s="833">
        <v>72500</v>
      </c>
      <c r="F1085" s="833">
        <f t="shared" si="95"/>
        <v>0</v>
      </c>
      <c r="G1085" s="833">
        <f t="shared" si="96"/>
        <v>0</v>
      </c>
      <c r="H1085" s="834">
        <v>1</v>
      </c>
      <c r="I1085" s="835"/>
      <c r="J1085" s="836"/>
      <c r="K1085" s="836"/>
      <c r="L1085" s="836"/>
      <c r="M1085" s="836"/>
      <c r="N1085" s="836"/>
      <c r="O1085" s="836"/>
      <c r="P1085" s="836"/>
      <c r="Q1085" s="836"/>
      <c r="R1085" s="837">
        <v>0.1</v>
      </c>
      <c r="T1085" s="155">
        <v>72500</v>
      </c>
      <c r="U1085" s="155"/>
      <c r="V1085" s="155"/>
      <c r="AA1085" s="180" t="str">
        <f>VLOOKUP(A1085,[2]DG!$A:$C,3,0)</f>
        <v>Cáp Triplex 3x16</v>
      </c>
    </row>
    <row r="1086" spans="1:27" ht="20.100000000000001" hidden="1" customHeight="1">
      <c r="A1086" s="873" t="s">
        <v>3746</v>
      </c>
      <c r="B1086" s="859"/>
      <c r="C1086" s="421" t="s">
        <v>1866</v>
      </c>
      <c r="D1086" s="364" t="s">
        <v>774</v>
      </c>
      <c r="E1086" s="833">
        <v>65300</v>
      </c>
      <c r="F1086" s="833">
        <f t="shared" si="95"/>
        <v>0</v>
      </c>
      <c r="G1086" s="833">
        <f t="shared" si="96"/>
        <v>0</v>
      </c>
      <c r="H1086" s="834">
        <v>1</v>
      </c>
      <c r="I1086" s="835"/>
      <c r="J1086" s="836"/>
      <c r="K1086" s="836"/>
      <c r="L1086" s="836"/>
      <c r="M1086" s="836"/>
      <c r="N1086" s="836"/>
      <c r="O1086" s="836"/>
      <c r="P1086" s="836"/>
      <c r="Q1086" s="836"/>
      <c r="R1086" s="837">
        <v>0.1</v>
      </c>
      <c r="T1086" s="155">
        <v>65300</v>
      </c>
      <c r="U1086" s="155"/>
      <c r="V1086" s="155"/>
      <c r="AA1086" s="180" t="str">
        <f>VLOOKUP(A1086,[2]DG!$A:$C,3,0)</f>
        <v>Cáp Quadruplex 4x11</v>
      </c>
    </row>
    <row r="1087" spans="1:27" ht="20.100000000000001" hidden="1" customHeight="1">
      <c r="A1087" s="873" t="s">
        <v>3747</v>
      </c>
      <c r="B1087" s="859"/>
      <c r="C1087" s="421" t="s">
        <v>1868</v>
      </c>
      <c r="D1087" s="364" t="s">
        <v>774</v>
      </c>
      <c r="E1087" s="833">
        <v>96200</v>
      </c>
      <c r="F1087" s="833">
        <f t="shared" si="95"/>
        <v>0</v>
      </c>
      <c r="G1087" s="833">
        <f t="shared" si="96"/>
        <v>0</v>
      </c>
      <c r="H1087" s="834">
        <v>1</v>
      </c>
      <c r="I1087" s="835"/>
      <c r="J1087" s="836"/>
      <c r="K1087" s="836"/>
      <c r="L1087" s="836"/>
      <c r="M1087" s="836"/>
      <c r="N1087" s="836"/>
      <c r="O1087" s="836"/>
      <c r="P1087" s="836"/>
      <c r="Q1087" s="836"/>
      <c r="R1087" s="837">
        <v>0.1</v>
      </c>
      <c r="T1087" s="155">
        <v>96200</v>
      </c>
      <c r="U1087" s="155"/>
      <c r="V1087" s="155"/>
      <c r="AA1087" s="180" t="str">
        <f>VLOOKUP(A1087,[2]DG!$A:$C,3,0)</f>
        <v>Cáp Quadruplex 4x16</v>
      </c>
    </row>
    <row r="1088" spans="1:27" ht="20.100000000000001" hidden="1" customHeight="1">
      <c r="A1088" s="873" t="s">
        <v>1869</v>
      </c>
      <c r="B1088" s="860"/>
      <c r="C1088" s="421" t="s">
        <v>1870</v>
      </c>
      <c r="D1088" s="364" t="s">
        <v>37</v>
      </c>
      <c r="E1088" s="833">
        <v>110000</v>
      </c>
      <c r="F1088" s="833">
        <f t="shared" si="95"/>
        <v>0</v>
      </c>
      <c r="G1088" s="833">
        <f t="shared" si="96"/>
        <v>0</v>
      </c>
      <c r="H1088" s="834">
        <v>1</v>
      </c>
      <c r="I1088" s="835"/>
      <c r="J1088" s="836"/>
      <c r="K1088" s="836"/>
      <c r="L1088" s="836"/>
      <c r="M1088" s="836"/>
      <c r="N1088" s="836"/>
      <c r="O1088" s="836"/>
      <c r="P1088" s="836"/>
      <c r="Q1088" s="836"/>
      <c r="R1088" s="837">
        <v>0.1</v>
      </c>
      <c r="T1088" s="155">
        <v>110000</v>
      </c>
      <c r="U1088" s="155">
        <v>8065</v>
      </c>
      <c r="V1088" s="155"/>
      <c r="AA1088" s="180" t="str">
        <f>VLOOKUP(A1088,[2]DG!$A:$C,3,0)</f>
        <v>Bộ đèn huỳnh quang đơn 1,2m-40W</v>
      </c>
    </row>
    <row r="1089" spans="1:27" ht="20.100000000000001" hidden="1" customHeight="1">
      <c r="A1089" s="873" t="s">
        <v>1871</v>
      </c>
      <c r="B1089" s="859"/>
      <c r="C1089" s="421" t="s">
        <v>1872</v>
      </c>
      <c r="D1089" s="364" t="s">
        <v>196</v>
      </c>
      <c r="E1089" s="833">
        <v>860</v>
      </c>
      <c r="F1089" s="833">
        <f t="shared" si="95"/>
        <v>0</v>
      </c>
      <c r="G1089" s="833">
        <f t="shared" si="96"/>
        <v>0</v>
      </c>
      <c r="H1089" s="834">
        <v>1</v>
      </c>
      <c r="I1089" s="835"/>
      <c r="J1089" s="836"/>
      <c r="K1089" s="836"/>
      <c r="L1089" s="836"/>
      <c r="M1089" s="836"/>
      <c r="N1089" s="836"/>
      <c r="O1089" s="836"/>
      <c r="P1089" s="836"/>
      <c r="Q1089" s="836"/>
      <c r="R1089" s="837">
        <v>0.1</v>
      </c>
      <c r="T1089" s="155">
        <v>860</v>
      </c>
      <c r="U1089" s="155"/>
      <c r="V1089" s="155"/>
      <c r="AA1089" s="180" t="str">
        <f>VLOOKUP(A1089,[2]DG!$A:$C,3,0)</f>
        <v>Dây điện đôi 16/10</v>
      </c>
    </row>
    <row r="1090" spans="1:27" ht="20.100000000000001" hidden="1" customHeight="1">
      <c r="A1090" s="873" t="s">
        <v>1873</v>
      </c>
      <c r="B1090" s="859"/>
      <c r="C1090" s="421" t="s">
        <v>1874</v>
      </c>
      <c r="D1090" s="364" t="s">
        <v>196</v>
      </c>
      <c r="E1090" s="833">
        <v>17000</v>
      </c>
      <c r="F1090" s="833">
        <f t="shared" si="95"/>
        <v>0</v>
      </c>
      <c r="G1090" s="833">
        <f t="shared" si="96"/>
        <v>0</v>
      </c>
      <c r="H1090" s="834">
        <v>1</v>
      </c>
      <c r="I1090" s="835"/>
      <c r="J1090" s="836"/>
      <c r="K1090" s="836"/>
      <c r="L1090" s="836"/>
      <c r="M1090" s="836"/>
      <c r="N1090" s="836"/>
      <c r="O1090" s="836"/>
      <c r="P1090" s="836"/>
      <c r="Q1090" s="836"/>
      <c r="R1090" s="837">
        <v>0.1</v>
      </c>
      <c r="T1090" s="155">
        <v>17000</v>
      </c>
      <c r="U1090" s="155"/>
      <c r="V1090" s="155"/>
      <c r="AA1090" s="180" t="str">
        <f>VLOOKUP(A1090,[2]DG!$A:$C,3,0)</f>
        <v>Dây điện đôi 20/10</v>
      </c>
    </row>
    <row r="1091" spans="1:27" ht="20.100000000000001" hidden="1" customHeight="1">
      <c r="A1091" s="873" t="s">
        <v>1875</v>
      </c>
      <c r="B1091" s="859"/>
      <c r="C1091" s="421" t="s">
        <v>1876</v>
      </c>
      <c r="D1091" s="364" t="s">
        <v>196</v>
      </c>
      <c r="E1091" s="833">
        <v>2700</v>
      </c>
      <c r="F1091" s="833">
        <f t="shared" si="95"/>
        <v>0</v>
      </c>
      <c r="G1091" s="833">
        <f t="shared" si="96"/>
        <v>0</v>
      </c>
      <c r="H1091" s="834">
        <v>1</v>
      </c>
      <c r="I1091" s="835"/>
      <c r="J1091" s="836"/>
      <c r="K1091" s="836"/>
      <c r="L1091" s="836"/>
      <c r="M1091" s="836"/>
      <c r="N1091" s="836"/>
      <c r="O1091" s="836"/>
      <c r="P1091" s="836"/>
      <c r="Q1091" s="836"/>
      <c r="R1091" s="837">
        <v>0.1</v>
      </c>
      <c r="T1091" s="155">
        <v>2700</v>
      </c>
      <c r="U1091" s="155"/>
      <c r="V1091" s="155"/>
      <c r="AA1091" s="180" t="str">
        <f>VLOOKUP(A1091,[2]DG!$A:$C,3,0)</f>
        <v>Dây điện đôi 30/10</v>
      </c>
    </row>
    <row r="1092" spans="1:27" ht="20.100000000000001" hidden="1" customHeight="1">
      <c r="A1092" s="873" t="s">
        <v>1877</v>
      </c>
      <c r="B1092" s="859"/>
      <c r="C1092" s="421" t="s">
        <v>1878</v>
      </c>
      <c r="D1092" s="364" t="s">
        <v>1879</v>
      </c>
      <c r="E1092" s="833">
        <v>15000</v>
      </c>
      <c r="F1092" s="833">
        <f t="shared" si="95"/>
        <v>0</v>
      </c>
      <c r="G1092" s="833">
        <f t="shared" si="96"/>
        <v>0</v>
      </c>
      <c r="H1092" s="834">
        <v>1</v>
      </c>
      <c r="I1092" s="835"/>
      <c r="J1092" s="836"/>
      <c r="K1092" s="836"/>
      <c r="L1092" s="836"/>
      <c r="M1092" s="836"/>
      <c r="N1092" s="836"/>
      <c r="O1092" s="836"/>
      <c r="P1092" s="836"/>
      <c r="Q1092" s="836"/>
      <c r="R1092" s="837">
        <v>0.1</v>
      </c>
      <c r="T1092" s="155">
        <v>15000</v>
      </c>
      <c r="U1092" s="155"/>
      <c r="V1092" s="155"/>
      <c r="AA1092" s="180" t="str">
        <f>VLOOKUP(A1092,[2]DG!$A:$C,3,0)</f>
        <v>Dây rút cáp</v>
      </c>
    </row>
    <row r="1093" spans="1:27" ht="20.100000000000001" hidden="1" customHeight="1">
      <c r="A1093" s="873" t="s">
        <v>1880</v>
      </c>
      <c r="B1093" s="859"/>
      <c r="C1093" s="421" t="s">
        <v>1881</v>
      </c>
      <c r="D1093" s="364" t="s">
        <v>9</v>
      </c>
      <c r="E1093" s="833">
        <v>25000</v>
      </c>
      <c r="F1093" s="833">
        <f t="shared" si="95"/>
        <v>0</v>
      </c>
      <c r="G1093" s="833">
        <f t="shared" si="96"/>
        <v>0</v>
      </c>
      <c r="H1093" s="834">
        <v>1</v>
      </c>
      <c r="I1093" s="835"/>
      <c r="J1093" s="836"/>
      <c r="K1093" s="836"/>
      <c r="L1093" s="836"/>
      <c r="M1093" s="836"/>
      <c r="N1093" s="836"/>
      <c r="O1093" s="836"/>
      <c r="P1093" s="836"/>
      <c r="Q1093" s="836"/>
      <c r="R1093" s="837">
        <v>0.3</v>
      </c>
      <c r="T1093" s="155">
        <v>25000</v>
      </c>
      <c r="U1093" s="155">
        <v>11029</v>
      </c>
      <c r="V1093" s="155"/>
      <c r="AA1093" s="180" t="str">
        <f>VLOOKUP(A1093,[2]DG!$A:$C,3,0)</f>
        <v>Cầu dao 15A - 600V</v>
      </c>
    </row>
    <row r="1094" spans="1:27" ht="20.100000000000001" hidden="1" customHeight="1">
      <c r="A1094" s="873" t="s">
        <v>1882</v>
      </c>
      <c r="B1094" s="859"/>
      <c r="C1094" s="421" t="s">
        <v>1883</v>
      </c>
      <c r="D1094" s="364" t="s">
        <v>9</v>
      </c>
      <c r="E1094" s="833"/>
      <c r="F1094" s="833">
        <f t="shared" si="95"/>
        <v>0</v>
      </c>
      <c r="G1094" s="833">
        <f t="shared" si="96"/>
        <v>0</v>
      </c>
      <c r="H1094" s="834">
        <v>1</v>
      </c>
      <c r="I1094" s="835"/>
      <c r="J1094" s="836"/>
      <c r="K1094" s="836"/>
      <c r="L1094" s="836"/>
      <c r="M1094" s="836"/>
      <c r="N1094" s="836"/>
      <c r="O1094" s="836"/>
      <c r="P1094" s="836"/>
      <c r="Q1094" s="836"/>
      <c r="R1094" s="837">
        <v>0.3</v>
      </c>
      <c r="T1094" s="155"/>
      <c r="U1094" s="155">
        <v>12467</v>
      </c>
      <c r="V1094" s="155"/>
      <c r="AA1094" s="180" t="str">
        <f>VLOOKUP(A1094,[2]DG!$A:$C,3,0)</f>
        <v>Cầu dao 30A - 600V</v>
      </c>
    </row>
    <row r="1095" spans="1:27" ht="20.100000000000001" hidden="1" customHeight="1">
      <c r="A1095" s="873" t="s">
        <v>1884</v>
      </c>
      <c r="B1095" s="859"/>
      <c r="C1095" s="421" t="s">
        <v>1885</v>
      </c>
      <c r="D1095" s="364" t="s">
        <v>9</v>
      </c>
      <c r="E1095" s="833"/>
      <c r="F1095" s="833">
        <f t="shared" si="95"/>
        <v>0</v>
      </c>
      <c r="G1095" s="833">
        <f t="shared" si="96"/>
        <v>0</v>
      </c>
      <c r="H1095" s="834">
        <v>1</v>
      </c>
      <c r="I1095" s="835"/>
      <c r="J1095" s="836"/>
      <c r="K1095" s="836"/>
      <c r="L1095" s="836"/>
      <c r="M1095" s="836"/>
      <c r="N1095" s="836"/>
      <c r="O1095" s="836"/>
      <c r="P1095" s="836"/>
      <c r="Q1095" s="836"/>
      <c r="R1095" s="837">
        <v>0.3</v>
      </c>
      <c r="T1095" s="155"/>
      <c r="U1095" s="155">
        <v>15344</v>
      </c>
      <c r="V1095" s="155"/>
      <c r="AA1095" s="180" t="str">
        <f>VLOOKUP(A1095,[2]DG!$A:$C,3,0)</f>
        <v>Cầu dao 60A - 600V</v>
      </c>
    </row>
    <row r="1096" spans="1:27" ht="20.100000000000001" hidden="1" customHeight="1">
      <c r="A1096" s="873" t="s">
        <v>1886</v>
      </c>
      <c r="B1096" s="859"/>
      <c r="C1096" s="421" t="s">
        <v>1887</v>
      </c>
      <c r="D1096" s="364" t="s">
        <v>9</v>
      </c>
      <c r="E1096" s="833"/>
      <c r="F1096" s="833">
        <f t="shared" si="95"/>
        <v>0</v>
      </c>
      <c r="G1096" s="833">
        <f t="shared" si="96"/>
        <v>0</v>
      </c>
      <c r="H1096" s="834">
        <v>1</v>
      </c>
      <c r="I1096" s="835"/>
      <c r="J1096" s="836"/>
      <c r="K1096" s="836"/>
      <c r="L1096" s="836"/>
      <c r="M1096" s="836"/>
      <c r="N1096" s="836"/>
      <c r="O1096" s="836"/>
      <c r="P1096" s="836"/>
      <c r="Q1096" s="836"/>
      <c r="R1096" s="837">
        <v>0.3</v>
      </c>
      <c r="T1096" s="155"/>
      <c r="U1096" s="155">
        <v>19180</v>
      </c>
      <c r="V1096" s="155"/>
      <c r="AA1096" s="180" t="str">
        <f>VLOOKUP(A1096,[2]DG!$A:$C,3,0)</f>
        <v>Cầu dao 100A - 600V</v>
      </c>
    </row>
    <row r="1097" spans="1:27" ht="20.100000000000001" hidden="1" customHeight="1">
      <c r="A1097" s="873" t="s">
        <v>1888</v>
      </c>
      <c r="B1097" s="859"/>
      <c r="C1097" s="421" t="s">
        <v>1889</v>
      </c>
      <c r="D1097" s="364" t="s">
        <v>9</v>
      </c>
      <c r="E1097" s="833"/>
      <c r="F1097" s="833">
        <f t="shared" si="95"/>
        <v>0</v>
      </c>
      <c r="G1097" s="833">
        <f t="shared" si="96"/>
        <v>0</v>
      </c>
      <c r="H1097" s="834">
        <v>1</v>
      </c>
      <c r="I1097" s="835"/>
      <c r="J1097" s="836"/>
      <c r="K1097" s="836"/>
      <c r="L1097" s="836"/>
      <c r="M1097" s="836"/>
      <c r="N1097" s="836"/>
      <c r="O1097" s="836"/>
      <c r="P1097" s="836"/>
      <c r="Q1097" s="836"/>
      <c r="R1097" s="837">
        <v>0.3</v>
      </c>
      <c r="T1097" s="155"/>
      <c r="U1097" s="155">
        <v>23975</v>
      </c>
      <c r="V1097" s="155"/>
      <c r="AA1097" s="180" t="str">
        <f>VLOOKUP(A1097,[2]DG!$A:$C,3,0)</f>
        <v>Cầu dao 150A - 600V</v>
      </c>
    </row>
    <row r="1098" spans="1:27" ht="20.100000000000001" hidden="1" customHeight="1">
      <c r="A1098" s="873" t="s">
        <v>1890</v>
      </c>
      <c r="B1098" s="859"/>
      <c r="C1098" s="421" t="s">
        <v>1891</v>
      </c>
      <c r="D1098" s="364" t="s">
        <v>9</v>
      </c>
      <c r="E1098" s="833"/>
      <c r="F1098" s="833">
        <f t="shared" si="95"/>
        <v>0</v>
      </c>
      <c r="G1098" s="833">
        <f t="shared" si="96"/>
        <v>0</v>
      </c>
      <c r="H1098" s="834">
        <v>1</v>
      </c>
      <c r="I1098" s="835"/>
      <c r="J1098" s="836"/>
      <c r="K1098" s="836"/>
      <c r="L1098" s="836"/>
      <c r="M1098" s="836"/>
      <c r="N1098" s="836"/>
      <c r="O1098" s="836"/>
      <c r="P1098" s="836"/>
      <c r="Q1098" s="836"/>
      <c r="R1098" s="837">
        <v>0.3</v>
      </c>
      <c r="T1098" s="155"/>
      <c r="U1098" s="155">
        <v>28770</v>
      </c>
      <c r="V1098" s="155"/>
      <c r="AA1098" s="180" t="str">
        <f>VLOOKUP(A1098,[2]DG!$A:$C,3,0)</f>
        <v>Cầu dao 200A - 600V</v>
      </c>
    </row>
    <row r="1099" spans="1:27" ht="20.100000000000001" hidden="1" customHeight="1">
      <c r="A1099" s="873" t="s">
        <v>1892</v>
      </c>
      <c r="B1099" s="859"/>
      <c r="C1099" s="421" t="s">
        <v>1893</v>
      </c>
      <c r="D1099" s="364" t="s">
        <v>9</v>
      </c>
      <c r="E1099" s="833"/>
      <c r="F1099" s="833">
        <f t="shared" si="95"/>
        <v>0</v>
      </c>
      <c r="G1099" s="833">
        <f t="shared" si="96"/>
        <v>0</v>
      </c>
      <c r="H1099" s="834">
        <v>1</v>
      </c>
      <c r="I1099" s="835"/>
      <c r="J1099" s="836"/>
      <c r="K1099" s="836"/>
      <c r="L1099" s="836"/>
      <c r="M1099" s="836"/>
      <c r="N1099" s="836"/>
      <c r="O1099" s="836"/>
      <c r="P1099" s="836"/>
      <c r="Q1099" s="836"/>
      <c r="R1099" s="837">
        <v>0.3</v>
      </c>
      <c r="T1099" s="155"/>
      <c r="U1099" s="155">
        <v>33565</v>
      </c>
      <c r="V1099" s="155"/>
      <c r="AA1099" s="180" t="str">
        <f>VLOOKUP(A1099,[2]DG!$A:$C,3,0)</f>
        <v>Cầu dao 250A - 600V</v>
      </c>
    </row>
    <row r="1100" spans="1:27" ht="20.100000000000001" hidden="1" customHeight="1">
      <c r="A1100" s="873" t="s">
        <v>1894</v>
      </c>
      <c r="B1100" s="859"/>
      <c r="C1100" s="421" t="s">
        <v>1895</v>
      </c>
      <c r="D1100" s="364" t="s">
        <v>9</v>
      </c>
      <c r="E1100" s="833"/>
      <c r="F1100" s="833">
        <f t="shared" si="95"/>
        <v>0</v>
      </c>
      <c r="G1100" s="833">
        <f t="shared" si="96"/>
        <v>0</v>
      </c>
      <c r="H1100" s="834">
        <v>1</v>
      </c>
      <c r="I1100" s="835"/>
      <c r="J1100" s="836"/>
      <c r="K1100" s="836"/>
      <c r="L1100" s="836"/>
      <c r="M1100" s="836"/>
      <c r="N1100" s="836"/>
      <c r="O1100" s="836"/>
      <c r="P1100" s="836"/>
      <c r="Q1100" s="836"/>
      <c r="R1100" s="837">
        <v>0.3</v>
      </c>
      <c r="T1100" s="155"/>
      <c r="U1100" s="155">
        <v>38360</v>
      </c>
      <c r="V1100" s="155"/>
      <c r="AA1100" s="180" t="str">
        <f>VLOOKUP(A1100,[2]DG!$A:$C,3,0)</f>
        <v>Cầu dao 300A - 600V</v>
      </c>
    </row>
    <row r="1101" spans="1:27" ht="20.100000000000001" hidden="1" customHeight="1">
      <c r="A1101" s="873" t="s">
        <v>1896</v>
      </c>
      <c r="B1101" s="859"/>
      <c r="C1101" s="421" t="s">
        <v>1897</v>
      </c>
      <c r="D1101" s="364" t="s">
        <v>774</v>
      </c>
      <c r="E1101" s="833">
        <v>185600</v>
      </c>
      <c r="F1101" s="833">
        <f t="shared" si="95"/>
        <v>0</v>
      </c>
      <c r="G1101" s="833">
        <f t="shared" si="96"/>
        <v>0</v>
      </c>
      <c r="H1101" s="834">
        <v>1</v>
      </c>
      <c r="I1101" s="835"/>
      <c r="J1101" s="836"/>
      <c r="K1101" s="836"/>
      <c r="L1101" s="836"/>
      <c r="M1101" s="836"/>
      <c r="N1101" s="836"/>
      <c r="O1101" s="836"/>
      <c r="P1101" s="836"/>
      <c r="Q1101" s="836"/>
      <c r="R1101" s="837">
        <v>3</v>
      </c>
      <c r="T1101" s="155">
        <v>185600</v>
      </c>
      <c r="U1101" s="155"/>
      <c r="V1101" s="155"/>
      <c r="AA1101" s="180" t="str">
        <f>VLOOKUP(A1101,[2]DG!$A:$C,3,0)</f>
        <v>Ống PVC D200 dày 9,6mm</v>
      </c>
    </row>
    <row r="1102" spans="1:27" ht="20.100000000000001" hidden="1" customHeight="1">
      <c r="A1102" s="873" t="s">
        <v>1898</v>
      </c>
      <c r="B1102" s="859"/>
      <c r="C1102" s="421" t="s">
        <v>1899</v>
      </c>
      <c r="D1102" s="364" t="s">
        <v>774</v>
      </c>
      <c r="E1102" s="833">
        <v>114000</v>
      </c>
      <c r="F1102" s="833">
        <f t="shared" si="95"/>
        <v>0</v>
      </c>
      <c r="G1102" s="833">
        <f t="shared" si="96"/>
        <v>0</v>
      </c>
      <c r="H1102" s="834">
        <v>1</v>
      </c>
      <c r="I1102" s="835"/>
      <c r="J1102" s="836"/>
      <c r="K1102" s="836"/>
      <c r="L1102" s="836"/>
      <c r="M1102" s="836"/>
      <c r="N1102" s="836"/>
      <c r="O1102" s="836"/>
      <c r="P1102" s="836"/>
      <c r="Q1102" s="836"/>
      <c r="R1102" s="837">
        <v>3</v>
      </c>
      <c r="T1102" s="155">
        <v>114000</v>
      </c>
      <c r="U1102" s="155"/>
      <c r="V1102" s="155"/>
      <c r="AA1102" s="180" t="str">
        <f>VLOOKUP(A1102,[2]DG!$A:$C,3,0)</f>
        <v>Ống PVC D168 dày 7,0mm</v>
      </c>
    </row>
    <row r="1103" spans="1:27" ht="20.100000000000001" hidden="1" customHeight="1">
      <c r="A1103" s="873" t="s">
        <v>1900</v>
      </c>
      <c r="B1103" s="859"/>
      <c r="C1103" s="421" t="s">
        <v>1901</v>
      </c>
      <c r="D1103" s="364" t="s">
        <v>774</v>
      </c>
      <c r="E1103" s="833">
        <v>106600</v>
      </c>
      <c r="F1103" s="833">
        <f t="shared" si="95"/>
        <v>0</v>
      </c>
      <c r="G1103" s="833">
        <f t="shared" si="96"/>
        <v>0</v>
      </c>
      <c r="H1103" s="834">
        <v>1</v>
      </c>
      <c r="I1103" s="835"/>
      <c r="J1103" s="836"/>
      <c r="K1103" s="836"/>
      <c r="L1103" s="836"/>
      <c r="M1103" s="836"/>
      <c r="N1103" s="836"/>
      <c r="O1103" s="836"/>
      <c r="P1103" s="836"/>
      <c r="Q1103" s="836"/>
      <c r="R1103" s="837">
        <v>2</v>
      </c>
      <c r="T1103" s="155">
        <v>106600</v>
      </c>
      <c r="U1103" s="155"/>
      <c r="V1103" s="155"/>
      <c r="AA1103" s="180" t="str">
        <f>VLOOKUP(A1103,[2]DG!$A:$C,3,0)</f>
        <v>Ống PVC D140x6,7mm</v>
      </c>
    </row>
    <row r="1104" spans="1:27" ht="20.100000000000001" hidden="1" customHeight="1">
      <c r="A1104" s="873" t="s">
        <v>1902</v>
      </c>
      <c r="B1104" s="859">
        <v>0</v>
      </c>
      <c r="C1104" s="421" t="s">
        <v>1903</v>
      </c>
      <c r="D1104" s="364" t="s">
        <v>774</v>
      </c>
      <c r="E1104" s="833">
        <v>103700</v>
      </c>
      <c r="F1104" s="833">
        <f t="shared" si="95"/>
        <v>0</v>
      </c>
      <c r="G1104" s="833">
        <f t="shared" si="96"/>
        <v>0</v>
      </c>
      <c r="H1104" s="834" t="s">
        <v>4065</v>
      </c>
      <c r="I1104" s="835"/>
      <c r="J1104" s="836"/>
      <c r="K1104" s="836"/>
      <c r="L1104" s="836"/>
      <c r="M1104" s="836"/>
      <c r="N1104" s="836"/>
      <c r="O1104" s="836"/>
      <c r="P1104" s="836"/>
      <c r="Q1104" s="836"/>
      <c r="R1104" s="837">
        <v>2</v>
      </c>
      <c r="T1104" s="427">
        <v>65300</v>
      </c>
      <c r="U1104" s="155"/>
      <c r="V1104" s="155"/>
      <c r="AA1104" s="180" t="str">
        <f>VLOOKUP(A1104,[2]DG!$A:$C,3,0)</f>
        <v xml:space="preserve">Ống PVC D114x4,9mm </v>
      </c>
    </row>
    <row r="1105" spans="1:27" ht="20.100000000000001" hidden="1" customHeight="1">
      <c r="A1105" s="873" t="s">
        <v>1904</v>
      </c>
      <c r="B1105" s="859">
        <v>0</v>
      </c>
      <c r="C1105" s="421" t="s">
        <v>1905</v>
      </c>
      <c r="D1105" s="364" t="s">
        <v>774</v>
      </c>
      <c r="E1105" s="833">
        <v>63100</v>
      </c>
      <c r="F1105" s="833">
        <f t="shared" si="95"/>
        <v>0</v>
      </c>
      <c r="G1105" s="833">
        <f t="shared" si="96"/>
        <v>0</v>
      </c>
      <c r="H1105" s="834" t="s">
        <v>4065</v>
      </c>
      <c r="I1105" s="835"/>
      <c r="J1105" s="836"/>
      <c r="K1105" s="836"/>
      <c r="L1105" s="836"/>
      <c r="M1105" s="836"/>
      <c r="N1105" s="836"/>
      <c r="O1105" s="836"/>
      <c r="P1105" s="836"/>
      <c r="Q1105" s="836"/>
      <c r="R1105" s="837">
        <v>2</v>
      </c>
      <c r="T1105" s="427">
        <v>63200</v>
      </c>
      <c r="U1105" s="155"/>
      <c r="V1105" s="155"/>
      <c r="AA1105" s="180" t="str">
        <f>VLOOKUP(A1105,[2]DG!$A:$C,3,0)</f>
        <v xml:space="preserve">Ống PVC D90x3,8mm </v>
      </c>
    </row>
    <row r="1106" spans="1:27" ht="20.100000000000001" hidden="1" customHeight="1">
      <c r="A1106" s="873" t="s">
        <v>1906</v>
      </c>
      <c r="B1106" s="859"/>
      <c r="C1106" s="421" t="s">
        <v>1907</v>
      </c>
      <c r="D1106" s="364" t="s">
        <v>774</v>
      </c>
      <c r="E1106" s="833">
        <v>15900</v>
      </c>
      <c r="F1106" s="833">
        <f t="shared" si="95"/>
        <v>0</v>
      </c>
      <c r="G1106" s="833">
        <f t="shared" si="96"/>
        <v>0</v>
      </c>
      <c r="H1106" s="834">
        <v>1</v>
      </c>
      <c r="I1106" s="835"/>
      <c r="J1106" s="836"/>
      <c r="K1106" s="836"/>
      <c r="L1106" s="836"/>
      <c r="M1106" s="836"/>
      <c r="N1106" s="836"/>
      <c r="O1106" s="836"/>
      <c r="P1106" s="836"/>
      <c r="Q1106" s="836"/>
      <c r="R1106" s="837">
        <v>1.5</v>
      </c>
      <c r="T1106" s="155">
        <v>15900</v>
      </c>
      <c r="U1106" s="155">
        <v>2401</v>
      </c>
      <c r="V1106" s="155"/>
      <c r="AA1106" s="180" t="str">
        <f>VLOOKUP(A1106,[2]DG!$A:$C,3,0)</f>
        <v>Ống PVC D60x2,8mm</v>
      </c>
    </row>
    <row r="1107" spans="1:27" ht="20.100000000000001" hidden="1" customHeight="1">
      <c r="A1107" s="873" t="s">
        <v>1908</v>
      </c>
      <c r="B1107" s="859"/>
      <c r="C1107" s="421" t="s">
        <v>1909</v>
      </c>
      <c r="D1107" s="364" t="s">
        <v>774</v>
      </c>
      <c r="E1107" s="833">
        <v>11000</v>
      </c>
      <c r="F1107" s="833">
        <f t="shared" si="95"/>
        <v>0</v>
      </c>
      <c r="G1107" s="833">
        <f t="shared" si="96"/>
        <v>0</v>
      </c>
      <c r="H1107" s="834">
        <v>1</v>
      </c>
      <c r="I1107" s="835"/>
      <c r="J1107" s="836"/>
      <c r="K1107" s="836"/>
      <c r="L1107" s="836"/>
      <c r="M1107" s="836"/>
      <c r="N1107" s="836"/>
      <c r="O1107" s="836"/>
      <c r="P1107" s="836"/>
      <c r="Q1107" s="836"/>
      <c r="R1107" s="837">
        <v>1.5</v>
      </c>
      <c r="T1107" s="155">
        <v>11000</v>
      </c>
      <c r="U1107" s="155">
        <v>2214</v>
      </c>
      <c r="V1107" s="155"/>
      <c r="AA1107" s="180" t="str">
        <f>VLOOKUP(A1107,[2]DG!$A:$C,3,0)</f>
        <v>Ống PVC D49x2,4mm</v>
      </c>
    </row>
    <row r="1108" spans="1:27" ht="20.100000000000001" hidden="1" customHeight="1">
      <c r="A1108" s="873" t="s">
        <v>1910</v>
      </c>
      <c r="B1108" s="859"/>
      <c r="C1108" s="421" t="s">
        <v>1911</v>
      </c>
      <c r="D1108" s="364" t="s">
        <v>774</v>
      </c>
      <c r="E1108" s="833">
        <v>9800</v>
      </c>
      <c r="F1108" s="833">
        <f t="shared" si="95"/>
        <v>0</v>
      </c>
      <c r="G1108" s="833">
        <f t="shared" si="96"/>
        <v>0</v>
      </c>
      <c r="H1108" s="834">
        <v>1</v>
      </c>
      <c r="I1108" s="835"/>
      <c r="J1108" s="836"/>
      <c r="K1108" s="836"/>
      <c r="L1108" s="836"/>
      <c r="M1108" s="836"/>
      <c r="N1108" s="836"/>
      <c r="O1108" s="836"/>
      <c r="P1108" s="836"/>
      <c r="Q1108" s="836"/>
      <c r="R1108" s="837">
        <v>1</v>
      </c>
      <c r="T1108" s="427">
        <v>9800</v>
      </c>
      <c r="U1108" s="155">
        <v>2214</v>
      </c>
      <c r="V1108" s="155"/>
      <c r="AA1108" s="180" t="str">
        <f>VLOOKUP(A1108,[2]DG!$A:$C,3,0)</f>
        <v>Ống PVC D42x2,1mm</v>
      </c>
    </row>
    <row r="1109" spans="1:27" ht="20.100000000000001" hidden="1" customHeight="1">
      <c r="A1109" s="873" t="s">
        <v>1912</v>
      </c>
      <c r="B1109" s="859"/>
      <c r="C1109" s="421" t="s">
        <v>1913</v>
      </c>
      <c r="D1109" s="364" t="s">
        <v>774</v>
      </c>
      <c r="E1109" s="833">
        <v>3700</v>
      </c>
      <c r="F1109" s="833">
        <f t="shared" si="95"/>
        <v>0</v>
      </c>
      <c r="G1109" s="833">
        <f t="shared" si="96"/>
        <v>0</v>
      </c>
      <c r="H1109" s="834" t="s">
        <v>4065</v>
      </c>
      <c r="I1109" s="835"/>
      <c r="J1109" s="836"/>
      <c r="K1109" s="836"/>
      <c r="L1109" s="836"/>
      <c r="M1109" s="836"/>
      <c r="N1109" s="836"/>
      <c r="O1109" s="836"/>
      <c r="P1109" s="836"/>
      <c r="Q1109" s="836"/>
      <c r="R1109" s="837">
        <v>1</v>
      </c>
      <c r="T1109" s="427">
        <v>3700</v>
      </c>
      <c r="U1109" s="155">
        <v>14972</v>
      </c>
      <c r="V1109" s="155">
        <v>0</v>
      </c>
      <c r="AA1109" s="180" t="str">
        <f>VLOOKUP(A1109,[2]DG!$A:$C,3,0)</f>
        <v xml:space="preserve">Ống PVC D21x1,6mm </v>
      </c>
    </row>
    <row r="1110" spans="1:27" ht="20.100000000000001" hidden="1" customHeight="1">
      <c r="A1110" s="873" t="s">
        <v>1914</v>
      </c>
      <c r="B1110" s="859"/>
      <c r="C1110" s="421" t="s">
        <v>1915</v>
      </c>
      <c r="D1110" s="364" t="s">
        <v>196</v>
      </c>
      <c r="E1110" s="833">
        <v>5000</v>
      </c>
      <c r="F1110" s="833">
        <f t="shared" si="95"/>
        <v>0</v>
      </c>
      <c r="G1110" s="833">
        <f t="shared" si="96"/>
        <v>0</v>
      </c>
      <c r="H1110" s="834">
        <v>1</v>
      </c>
      <c r="I1110" s="835"/>
      <c r="J1110" s="836"/>
      <c r="K1110" s="836"/>
      <c r="L1110" s="836"/>
      <c r="M1110" s="836"/>
      <c r="N1110" s="836"/>
      <c r="O1110" s="836"/>
      <c r="P1110" s="836"/>
      <c r="Q1110" s="836"/>
      <c r="R1110" s="837">
        <v>0.2</v>
      </c>
      <c r="T1110" s="155">
        <v>5000</v>
      </c>
      <c r="U1110" s="155"/>
      <c r="V1110" s="155"/>
      <c r="AA1110" s="180" t="str">
        <f>VLOOKUP(A1110,[2]DG!$A:$C,3,0)</f>
        <v>Ống nhựa đàn hồi</v>
      </c>
    </row>
    <row r="1111" spans="1:27" ht="20.100000000000001" hidden="1" customHeight="1">
      <c r="A1111" s="873" t="s">
        <v>1916</v>
      </c>
      <c r="B1111" s="859"/>
      <c r="C1111" s="421" t="s">
        <v>1917</v>
      </c>
      <c r="D1111" s="364" t="s">
        <v>774</v>
      </c>
      <c r="E1111" s="833">
        <v>27500</v>
      </c>
      <c r="F1111" s="833">
        <f t="shared" si="95"/>
        <v>0</v>
      </c>
      <c r="G1111" s="833">
        <f t="shared" si="96"/>
        <v>0</v>
      </c>
      <c r="H1111" s="834">
        <v>1</v>
      </c>
      <c r="I1111" s="835"/>
      <c r="J1111" s="836"/>
      <c r="K1111" s="836"/>
      <c r="L1111" s="836"/>
      <c r="M1111" s="836"/>
      <c r="N1111" s="836"/>
      <c r="O1111" s="836"/>
      <c r="P1111" s="836"/>
      <c r="Q1111" s="836"/>
      <c r="R1111" s="837">
        <v>0.2</v>
      </c>
      <c r="T1111" s="155">
        <v>27500</v>
      </c>
      <c r="U1111" s="155">
        <v>4635</v>
      </c>
      <c r="V1111" s="155"/>
      <c r="AA1111" s="180" t="str">
        <f>VLOOKUP(A1111,[2]DG!$A:$C,3,0)</f>
        <v>Ống đàn hồi 168</v>
      </c>
    </row>
    <row r="1112" spans="1:27" ht="20.100000000000001" hidden="1" customHeight="1">
      <c r="A1112" s="873" t="s">
        <v>1918</v>
      </c>
      <c r="B1112" s="859"/>
      <c r="C1112" s="421" t="s">
        <v>1919</v>
      </c>
      <c r="D1112" s="364" t="s">
        <v>774</v>
      </c>
      <c r="E1112" s="833">
        <v>3100</v>
      </c>
      <c r="F1112" s="833">
        <f t="shared" si="95"/>
        <v>0</v>
      </c>
      <c r="G1112" s="833">
        <f t="shared" si="96"/>
        <v>0</v>
      </c>
      <c r="H1112" s="834">
        <v>1</v>
      </c>
      <c r="I1112" s="835"/>
      <c r="J1112" s="836"/>
      <c r="K1112" s="836"/>
      <c r="L1112" s="836"/>
      <c r="M1112" s="836"/>
      <c r="N1112" s="836"/>
      <c r="O1112" s="836"/>
      <c r="P1112" s="836"/>
      <c r="Q1112" s="836"/>
      <c r="R1112" s="837">
        <v>0.2</v>
      </c>
      <c r="T1112" s="155">
        <v>3100</v>
      </c>
      <c r="U1112" s="155">
        <v>4635</v>
      </c>
      <c r="V1112" s="155"/>
      <c r="AA1112" s="180" t="str">
        <f>VLOOKUP(A1112,[2]DG!$A:$C,3,0)</f>
        <v>Ống đàn hồi 42</v>
      </c>
    </row>
    <row r="1113" spans="1:27" ht="20.100000000000001" hidden="1" customHeight="1">
      <c r="A1113" s="873" t="s">
        <v>1920</v>
      </c>
      <c r="B1113" s="859"/>
      <c r="C1113" s="421" t="s">
        <v>1921</v>
      </c>
      <c r="D1113" s="364" t="s">
        <v>774</v>
      </c>
      <c r="E1113" s="833">
        <v>4000</v>
      </c>
      <c r="F1113" s="833">
        <f t="shared" si="95"/>
        <v>0</v>
      </c>
      <c r="G1113" s="833">
        <f t="shared" si="96"/>
        <v>0</v>
      </c>
      <c r="H1113" s="834">
        <v>1</v>
      </c>
      <c r="I1113" s="835"/>
      <c r="J1113" s="836"/>
      <c r="K1113" s="836"/>
      <c r="L1113" s="836"/>
      <c r="M1113" s="836"/>
      <c r="N1113" s="836"/>
      <c r="O1113" s="836"/>
      <c r="P1113" s="836"/>
      <c r="Q1113" s="836"/>
      <c r="R1113" s="837">
        <v>0.2</v>
      </c>
      <c r="T1113" s="155">
        <v>4000</v>
      </c>
      <c r="U1113" s="155">
        <v>4635</v>
      </c>
      <c r="V1113" s="155"/>
      <c r="AA1113" s="180" t="str">
        <f>VLOOKUP(A1113,[2]DG!$A:$C,3,0)</f>
        <v>Ống đàn hồi 114</v>
      </c>
    </row>
    <row r="1114" spans="1:27" ht="20.100000000000001" hidden="1" customHeight="1">
      <c r="A1114" s="873" t="s">
        <v>1922</v>
      </c>
      <c r="B1114" s="859"/>
      <c r="C1114" s="421" t="s">
        <v>1923</v>
      </c>
      <c r="D1114" s="364" t="s">
        <v>9</v>
      </c>
      <c r="E1114" s="833">
        <v>1000</v>
      </c>
      <c r="F1114" s="833">
        <f t="shared" si="95"/>
        <v>0</v>
      </c>
      <c r="G1114" s="833">
        <f t="shared" si="96"/>
        <v>0</v>
      </c>
      <c r="H1114" s="834">
        <v>1</v>
      </c>
      <c r="I1114" s="835"/>
      <c r="J1114" s="836"/>
      <c r="K1114" s="836"/>
      <c r="L1114" s="836"/>
      <c r="M1114" s="836"/>
      <c r="N1114" s="836"/>
      <c r="O1114" s="836"/>
      <c r="P1114" s="836"/>
      <c r="Q1114" s="836"/>
      <c r="R1114" s="837">
        <v>0.2</v>
      </c>
      <c r="T1114" s="155">
        <v>1000</v>
      </c>
      <c r="U1114" s="155"/>
      <c r="V1114" s="155"/>
      <c r="AA1114" s="180" t="str">
        <f>VLOOKUP(A1114,[2]DG!$A:$C,3,0)</f>
        <v>Cut PVC 21</v>
      </c>
    </row>
    <row r="1115" spans="1:27" ht="20.100000000000001" hidden="1" customHeight="1">
      <c r="A1115" s="873" t="s">
        <v>1924</v>
      </c>
      <c r="B1115" s="859"/>
      <c r="C1115" s="421" t="s">
        <v>1925</v>
      </c>
      <c r="D1115" s="364" t="s">
        <v>9</v>
      </c>
      <c r="E1115" s="833">
        <v>4600</v>
      </c>
      <c r="F1115" s="833">
        <f t="shared" si="95"/>
        <v>0</v>
      </c>
      <c r="G1115" s="833">
        <f t="shared" si="96"/>
        <v>0</v>
      </c>
      <c r="H1115" s="834">
        <v>1</v>
      </c>
      <c r="I1115" s="835"/>
      <c r="J1115" s="836"/>
      <c r="K1115" s="836"/>
      <c r="L1115" s="836"/>
      <c r="M1115" s="836"/>
      <c r="N1115" s="836"/>
      <c r="O1115" s="836"/>
      <c r="P1115" s="836"/>
      <c r="Q1115" s="836"/>
      <c r="R1115" s="837">
        <v>0.2</v>
      </c>
      <c r="T1115" s="155">
        <v>4600</v>
      </c>
      <c r="U1115" s="155"/>
      <c r="V1115" s="155"/>
      <c r="AA1115" s="180" t="str">
        <f>VLOOKUP(A1115,[2]DG!$A:$C,3,0)</f>
        <v>Co 45 độ PVC 42</v>
      </c>
    </row>
    <row r="1116" spans="1:27" ht="20.100000000000001" hidden="1" customHeight="1">
      <c r="A1116" s="873" t="s">
        <v>1926</v>
      </c>
      <c r="B1116" s="859"/>
      <c r="C1116" s="421" t="s">
        <v>1927</v>
      </c>
      <c r="D1116" s="364" t="s">
        <v>9</v>
      </c>
      <c r="E1116" s="833">
        <v>5500</v>
      </c>
      <c r="F1116" s="833">
        <f t="shared" si="95"/>
        <v>0</v>
      </c>
      <c r="G1116" s="833">
        <f t="shared" si="96"/>
        <v>0</v>
      </c>
      <c r="H1116" s="834">
        <v>1</v>
      </c>
      <c r="I1116" s="835"/>
      <c r="J1116" s="836"/>
      <c r="K1116" s="836"/>
      <c r="L1116" s="836"/>
      <c r="M1116" s="836"/>
      <c r="N1116" s="836"/>
      <c r="O1116" s="836"/>
      <c r="P1116" s="836"/>
      <c r="Q1116" s="836"/>
      <c r="R1116" s="837">
        <v>0.2</v>
      </c>
      <c r="T1116" s="155">
        <v>5500</v>
      </c>
      <c r="U1116" s="155"/>
      <c r="V1116" s="155"/>
      <c r="AA1116" s="180" t="str">
        <f>VLOOKUP(A1116,[2]DG!$A:$C,3,0)</f>
        <v>Co 90 độ PVC 42</v>
      </c>
    </row>
    <row r="1117" spans="1:27" ht="20.100000000000001" hidden="1" customHeight="1">
      <c r="A1117" s="873" t="s">
        <v>1928</v>
      </c>
      <c r="B1117" s="859"/>
      <c r="C1117" s="421" t="s">
        <v>1929</v>
      </c>
      <c r="D1117" s="364" t="s">
        <v>9</v>
      </c>
      <c r="E1117" s="833">
        <v>4600</v>
      </c>
      <c r="F1117" s="833">
        <f t="shared" si="95"/>
        <v>0</v>
      </c>
      <c r="G1117" s="833">
        <f t="shared" si="96"/>
        <v>0</v>
      </c>
      <c r="H1117" s="834">
        <v>1</v>
      </c>
      <c r="I1117" s="835"/>
      <c r="J1117" s="836"/>
      <c r="K1117" s="836"/>
      <c r="L1117" s="836"/>
      <c r="M1117" s="836"/>
      <c r="N1117" s="836"/>
      <c r="O1117" s="836"/>
      <c r="P1117" s="836"/>
      <c r="Q1117" s="836"/>
      <c r="R1117" s="837">
        <v>0.2</v>
      </c>
      <c r="T1117" s="155">
        <v>4600</v>
      </c>
      <c r="U1117" s="155"/>
      <c r="V1117" s="155"/>
      <c r="AA1117" s="180" t="str">
        <f>VLOOKUP(A1117,[2]DG!$A:$C,3,0)</f>
        <v>Co chữ T ống PVC 42</v>
      </c>
    </row>
    <row r="1118" spans="1:27" ht="20.100000000000001" hidden="1" customHeight="1">
      <c r="A1118" s="873" t="s">
        <v>1930</v>
      </c>
      <c r="B1118" s="859"/>
      <c r="C1118" s="421" t="s">
        <v>1931</v>
      </c>
      <c r="D1118" s="364" t="s">
        <v>9</v>
      </c>
      <c r="E1118" s="833">
        <v>9000</v>
      </c>
      <c r="F1118" s="833">
        <f t="shared" si="95"/>
        <v>0</v>
      </c>
      <c r="G1118" s="833">
        <f t="shared" si="96"/>
        <v>0</v>
      </c>
      <c r="H1118" s="834">
        <v>1</v>
      </c>
      <c r="I1118" s="835"/>
      <c r="J1118" s="836"/>
      <c r="K1118" s="836"/>
      <c r="L1118" s="836"/>
      <c r="M1118" s="836"/>
      <c r="N1118" s="836"/>
      <c r="O1118" s="836"/>
      <c r="P1118" s="836"/>
      <c r="Q1118" s="836"/>
      <c r="R1118" s="837">
        <v>0.2</v>
      </c>
      <c r="T1118" s="155">
        <v>9000</v>
      </c>
      <c r="U1118" s="155"/>
      <c r="V1118" s="155"/>
      <c r="AA1118" s="180" t="str">
        <f>VLOOKUP(A1118,[2]DG!$A:$C,3,0)</f>
        <v>Co 90 độ PVC 60</v>
      </c>
    </row>
    <row r="1119" spans="1:27" ht="20.100000000000001" hidden="1" customHeight="1">
      <c r="A1119" s="873" t="s">
        <v>1932</v>
      </c>
      <c r="B1119" s="859"/>
      <c r="C1119" s="421" t="s">
        <v>1933</v>
      </c>
      <c r="D1119" s="364" t="s">
        <v>9</v>
      </c>
      <c r="E1119" s="833">
        <v>7100</v>
      </c>
      <c r="F1119" s="833">
        <f t="shared" ref="F1119:F1190" si="100">IF(OR(I1119="",J1119=""),0,IF(K1119*1=0,1,K1119)*VLOOKUP(I1119,TIENLUONG,4,0)*J1119)</f>
        <v>0</v>
      </c>
      <c r="G1119" s="833">
        <f t="shared" ref="G1119:G1190" si="101">L1119*VLOOKUP($L$1,CAMAY,2,0)+M1119*VLOOKUP($M$1,CAMAY,2,0)+N1119*VLOOKUP($N$1,CAMAY,2,0)+O1119*VLOOKUP($O$1,CAMAY,2,0)+P1119*VLOOKUP($P$1,CAMAY,2,0)</f>
        <v>0</v>
      </c>
      <c r="H1119" s="834">
        <v>1</v>
      </c>
      <c r="I1119" s="835"/>
      <c r="J1119" s="836"/>
      <c r="K1119" s="836"/>
      <c r="L1119" s="836"/>
      <c r="M1119" s="836"/>
      <c r="N1119" s="836"/>
      <c r="O1119" s="836"/>
      <c r="P1119" s="836"/>
      <c r="Q1119" s="836"/>
      <c r="R1119" s="837">
        <v>0.2</v>
      </c>
      <c r="T1119" s="155">
        <v>7100</v>
      </c>
      <c r="U1119" s="155"/>
      <c r="V1119" s="155"/>
      <c r="AA1119" s="180" t="str">
        <f>VLOOKUP(A1119,[2]DG!$A:$C,3,0)</f>
        <v>Co 135 độ PVC 60</v>
      </c>
    </row>
    <row r="1120" spans="1:27" ht="20.100000000000001" hidden="1" customHeight="1">
      <c r="A1120" s="873" t="s">
        <v>1934</v>
      </c>
      <c r="B1120" s="859"/>
      <c r="C1120" s="421" t="s">
        <v>1935</v>
      </c>
      <c r="D1120" s="364" t="s">
        <v>9</v>
      </c>
      <c r="E1120" s="833">
        <v>22300</v>
      </c>
      <c r="F1120" s="833">
        <f t="shared" si="100"/>
        <v>0</v>
      </c>
      <c r="G1120" s="833">
        <f t="shared" si="101"/>
        <v>0</v>
      </c>
      <c r="H1120" s="834">
        <v>1</v>
      </c>
      <c r="I1120" s="835"/>
      <c r="J1120" s="836"/>
      <c r="K1120" s="836"/>
      <c r="L1120" s="836"/>
      <c r="M1120" s="836"/>
      <c r="N1120" s="836"/>
      <c r="O1120" s="836"/>
      <c r="P1120" s="836"/>
      <c r="Q1120" s="836"/>
      <c r="R1120" s="837">
        <v>0.2</v>
      </c>
      <c r="T1120" s="155">
        <v>22300</v>
      </c>
      <c r="U1120" s="155"/>
      <c r="V1120" s="155"/>
      <c r="AA1120" s="180" t="str">
        <f>VLOOKUP(A1120,[2]DG!$A:$C,3,0)</f>
        <v>Co sừng 90 độ PVC 90</v>
      </c>
    </row>
    <row r="1121" spans="1:27" ht="20.100000000000001" hidden="1" customHeight="1">
      <c r="A1121" s="873" t="s">
        <v>1936</v>
      </c>
      <c r="B1121" s="859"/>
      <c r="C1121" s="421" t="s">
        <v>1937</v>
      </c>
      <c r="D1121" s="364" t="s">
        <v>9</v>
      </c>
      <c r="E1121" s="833">
        <v>33900</v>
      </c>
      <c r="F1121" s="833">
        <f t="shared" si="100"/>
        <v>0</v>
      </c>
      <c r="G1121" s="833">
        <f t="shared" si="101"/>
        <v>0</v>
      </c>
      <c r="H1121" s="834">
        <v>1</v>
      </c>
      <c r="I1121" s="835"/>
      <c r="J1121" s="836"/>
      <c r="K1121" s="836"/>
      <c r="L1121" s="836"/>
      <c r="M1121" s="836"/>
      <c r="N1121" s="836"/>
      <c r="O1121" s="836"/>
      <c r="P1121" s="836"/>
      <c r="Q1121" s="836"/>
      <c r="R1121" s="837">
        <v>0.2</v>
      </c>
      <c r="T1121" s="155">
        <v>33900</v>
      </c>
      <c r="U1121" s="155"/>
      <c r="V1121" s="155"/>
      <c r="AA1121" s="180" t="str">
        <f>VLOOKUP(A1121,[2]DG!$A:$C,3,0)</f>
        <v>Co 135 độ PVC 90</v>
      </c>
    </row>
    <row r="1122" spans="1:27" ht="20.100000000000001" hidden="1" customHeight="1">
      <c r="A1122" s="873" t="s">
        <v>1938</v>
      </c>
      <c r="B1122" s="859"/>
      <c r="C1122" s="421" t="s">
        <v>3229</v>
      </c>
      <c r="D1122" s="364" t="s">
        <v>9</v>
      </c>
      <c r="E1122" s="833">
        <v>45400</v>
      </c>
      <c r="F1122" s="833">
        <f t="shared" si="100"/>
        <v>0</v>
      </c>
      <c r="G1122" s="833">
        <f t="shared" si="101"/>
        <v>0</v>
      </c>
      <c r="H1122" s="834">
        <v>1</v>
      </c>
      <c r="I1122" s="835"/>
      <c r="J1122" s="836"/>
      <c r="K1122" s="836"/>
      <c r="L1122" s="836"/>
      <c r="M1122" s="836"/>
      <c r="N1122" s="836"/>
      <c r="O1122" s="836"/>
      <c r="P1122" s="836"/>
      <c r="Q1122" s="836"/>
      <c r="R1122" s="837">
        <v>0.2</v>
      </c>
      <c r="T1122" s="155">
        <v>45400</v>
      </c>
      <c r="U1122" s="155"/>
      <c r="V1122" s="155"/>
      <c r="AA1122" s="180" t="str">
        <f>VLOOKUP(A1122,[2]DG!$A:$C,3,0)</f>
        <v>Co  90 độ PVC 90</v>
      </c>
    </row>
    <row r="1123" spans="1:27" ht="20.100000000000001" hidden="1" customHeight="1">
      <c r="A1123" s="873" t="s">
        <v>1939</v>
      </c>
      <c r="B1123" s="859"/>
      <c r="C1123" s="421" t="s">
        <v>3230</v>
      </c>
      <c r="D1123" s="364" t="s">
        <v>9</v>
      </c>
      <c r="E1123" s="833">
        <v>43100</v>
      </c>
      <c r="F1123" s="833">
        <f t="shared" si="100"/>
        <v>0</v>
      </c>
      <c r="G1123" s="833">
        <f t="shared" si="101"/>
        <v>0</v>
      </c>
      <c r="H1123" s="834">
        <v>1</v>
      </c>
      <c r="I1123" s="835"/>
      <c r="J1123" s="836"/>
      <c r="K1123" s="836"/>
      <c r="L1123" s="836"/>
      <c r="M1123" s="836"/>
      <c r="N1123" s="836"/>
      <c r="O1123" s="836"/>
      <c r="P1123" s="836"/>
      <c r="Q1123" s="836"/>
      <c r="R1123" s="837">
        <v>0.2</v>
      </c>
      <c r="T1123" s="155">
        <v>43100</v>
      </c>
      <c r="U1123" s="155"/>
      <c r="V1123" s="155"/>
      <c r="AA1123" s="180" t="str">
        <f>VLOOKUP(A1123,[2]DG!$A:$C,3,0)</f>
        <v>Co  90 độ PVC 114</v>
      </c>
    </row>
    <row r="1124" spans="1:27" ht="20.100000000000001" hidden="1" customHeight="1">
      <c r="A1124" s="873" t="s">
        <v>3301</v>
      </c>
      <c r="B1124" s="859"/>
      <c r="C1124" s="421" t="s">
        <v>3302</v>
      </c>
      <c r="D1124" s="364" t="s">
        <v>9</v>
      </c>
      <c r="E1124" s="833">
        <v>43100</v>
      </c>
      <c r="F1124" s="833">
        <f t="shared" si="100"/>
        <v>0</v>
      </c>
      <c r="G1124" s="833">
        <f t="shared" si="101"/>
        <v>0</v>
      </c>
      <c r="H1124" s="834">
        <v>1</v>
      </c>
      <c r="I1124" s="835"/>
      <c r="J1124" s="836"/>
      <c r="K1124" s="836"/>
      <c r="L1124" s="836"/>
      <c r="M1124" s="836"/>
      <c r="N1124" s="836"/>
      <c r="O1124" s="836"/>
      <c r="P1124" s="836"/>
      <c r="Q1124" s="836"/>
      <c r="R1124" s="837">
        <v>0.2</v>
      </c>
      <c r="T1124" s="155">
        <v>43100</v>
      </c>
      <c r="U1124" s="155"/>
      <c r="V1124" s="155"/>
      <c r="AA1124" s="180" t="str">
        <f>VLOOKUP(A1124,[2]DG!$A:$C,3,0)</f>
        <v>Co 135 độ PVC 114 (45 độ)</v>
      </c>
    </row>
    <row r="1125" spans="1:27" ht="20.100000000000001" hidden="1" customHeight="1">
      <c r="A1125" s="873" t="s">
        <v>1940</v>
      </c>
      <c r="B1125" s="859"/>
      <c r="C1125" s="421" t="s">
        <v>1941</v>
      </c>
      <c r="D1125" s="364" t="s">
        <v>9</v>
      </c>
      <c r="E1125" s="833">
        <v>51700</v>
      </c>
      <c r="F1125" s="833">
        <f t="shared" si="100"/>
        <v>0</v>
      </c>
      <c r="G1125" s="833">
        <f t="shared" si="101"/>
        <v>0</v>
      </c>
      <c r="H1125" s="834">
        <v>1</v>
      </c>
      <c r="I1125" s="835"/>
      <c r="J1125" s="836"/>
      <c r="K1125" s="836"/>
      <c r="L1125" s="836"/>
      <c r="M1125" s="836"/>
      <c r="N1125" s="836"/>
      <c r="O1125" s="836"/>
      <c r="P1125" s="836"/>
      <c r="Q1125" s="836"/>
      <c r="R1125" s="837">
        <v>0.2</v>
      </c>
      <c r="T1125" s="155">
        <v>51700</v>
      </c>
      <c r="U1125" s="155"/>
      <c r="V1125" s="155"/>
      <c r="AA1125" s="180" t="str">
        <f>VLOOKUP(A1125,[2]DG!$A:$C,3,0)</f>
        <v>Co sừng 90 độ PVC 114</v>
      </c>
    </row>
    <row r="1126" spans="1:27" ht="20.100000000000001" hidden="1" customHeight="1">
      <c r="A1126" s="873" t="s">
        <v>3748</v>
      </c>
      <c r="B1126" s="859"/>
      <c r="C1126" s="421" t="s">
        <v>1942</v>
      </c>
      <c r="D1126" s="364" t="s">
        <v>9</v>
      </c>
      <c r="E1126" s="833">
        <v>51700</v>
      </c>
      <c r="F1126" s="833">
        <f t="shared" si="100"/>
        <v>0</v>
      </c>
      <c r="G1126" s="833">
        <f t="shared" si="101"/>
        <v>0</v>
      </c>
      <c r="H1126" s="834">
        <v>1</v>
      </c>
      <c r="I1126" s="835"/>
      <c r="J1126" s="836"/>
      <c r="K1126" s="836"/>
      <c r="L1126" s="836"/>
      <c r="M1126" s="836"/>
      <c r="N1126" s="836"/>
      <c r="O1126" s="836"/>
      <c r="P1126" s="836"/>
      <c r="Q1126" s="836"/>
      <c r="R1126" s="837">
        <v>0.2</v>
      </c>
      <c r="T1126" s="155">
        <v>51700</v>
      </c>
      <c r="U1126" s="155"/>
      <c r="V1126" s="155"/>
      <c r="AA1126" s="180" t="str">
        <f>VLOOKUP(A1126,[2]DG!$A:$C,3,0)</f>
        <v>Co 90 độ PVC 140</v>
      </c>
    </row>
    <row r="1127" spans="1:27" ht="20.100000000000001" hidden="1" customHeight="1">
      <c r="A1127" s="873" t="s">
        <v>1943</v>
      </c>
      <c r="B1127" s="859"/>
      <c r="C1127" s="421" t="s">
        <v>1944</v>
      </c>
      <c r="D1127" s="364" t="s">
        <v>9</v>
      </c>
      <c r="E1127" s="833">
        <v>51700</v>
      </c>
      <c r="F1127" s="833">
        <f t="shared" si="100"/>
        <v>0</v>
      </c>
      <c r="G1127" s="833">
        <f t="shared" si="101"/>
        <v>0</v>
      </c>
      <c r="H1127" s="834">
        <v>1</v>
      </c>
      <c r="I1127" s="835"/>
      <c r="J1127" s="836"/>
      <c r="K1127" s="836"/>
      <c r="L1127" s="836"/>
      <c r="M1127" s="836"/>
      <c r="N1127" s="836"/>
      <c r="O1127" s="836"/>
      <c r="P1127" s="836"/>
      <c r="Q1127" s="836"/>
      <c r="R1127" s="837">
        <v>0.2</v>
      </c>
      <c r="T1127" s="155">
        <v>51700</v>
      </c>
      <c r="U1127" s="155"/>
      <c r="V1127" s="155"/>
      <c r="AA1127" s="180" t="str">
        <f>VLOOKUP(A1127,[2]DG!$A:$C,3,0)</f>
        <v>Co sừng 90 độ PVC 140</v>
      </c>
    </row>
    <row r="1128" spans="1:27" ht="20.100000000000001" hidden="1" customHeight="1">
      <c r="A1128" s="873" t="s">
        <v>1945</v>
      </c>
      <c r="B1128" s="859"/>
      <c r="C1128" s="421" t="s">
        <v>1946</v>
      </c>
      <c r="D1128" s="364" t="s">
        <v>9</v>
      </c>
      <c r="E1128" s="833">
        <v>73000</v>
      </c>
      <c r="F1128" s="833">
        <f t="shared" si="100"/>
        <v>0</v>
      </c>
      <c r="G1128" s="833">
        <f t="shared" si="101"/>
        <v>0</v>
      </c>
      <c r="H1128" s="834">
        <v>1</v>
      </c>
      <c r="I1128" s="835"/>
      <c r="J1128" s="836"/>
      <c r="K1128" s="836"/>
      <c r="L1128" s="836"/>
      <c r="M1128" s="836"/>
      <c r="N1128" s="836"/>
      <c r="O1128" s="836"/>
      <c r="P1128" s="836"/>
      <c r="Q1128" s="836"/>
      <c r="R1128" s="837">
        <v>0.2</v>
      </c>
      <c r="T1128" s="155">
        <v>73000</v>
      </c>
      <c r="U1128" s="155"/>
      <c r="V1128" s="155"/>
      <c r="AA1128" s="180" t="str">
        <f>VLOOKUP(A1128,[2]DG!$A:$C,3,0)</f>
        <v>Co sừng 90 độ PVC 168</v>
      </c>
    </row>
    <row r="1129" spans="1:27" ht="20.100000000000001" hidden="1" customHeight="1">
      <c r="A1129" s="873" t="s">
        <v>1947</v>
      </c>
      <c r="B1129" s="859"/>
      <c r="C1129" s="421" t="s">
        <v>1948</v>
      </c>
      <c r="D1129" s="364" t="s">
        <v>9</v>
      </c>
      <c r="E1129" s="833">
        <v>41200</v>
      </c>
      <c r="F1129" s="833">
        <f t="shared" si="100"/>
        <v>0</v>
      </c>
      <c r="G1129" s="833">
        <f t="shared" si="101"/>
        <v>0</v>
      </c>
      <c r="H1129" s="834">
        <v>1</v>
      </c>
      <c r="I1129" s="835"/>
      <c r="J1129" s="836"/>
      <c r="K1129" s="836"/>
      <c r="L1129" s="836"/>
      <c r="M1129" s="836"/>
      <c r="N1129" s="836"/>
      <c r="O1129" s="836"/>
      <c r="P1129" s="836"/>
      <c r="Q1129" s="836"/>
      <c r="R1129" s="837">
        <v>0.2</v>
      </c>
      <c r="T1129" s="155">
        <v>41200</v>
      </c>
      <c r="U1129" s="155"/>
      <c r="V1129" s="155"/>
      <c r="AA1129" s="180" t="str">
        <f>VLOOKUP(A1129,[2]DG!$A:$C,3,0)</f>
        <v>Nối ống PVC 140</v>
      </c>
    </row>
    <row r="1130" spans="1:27" ht="20.100000000000001" hidden="1" customHeight="1">
      <c r="A1130" s="873" t="s">
        <v>1949</v>
      </c>
      <c r="B1130" s="859"/>
      <c r="C1130" s="421" t="s">
        <v>1950</v>
      </c>
      <c r="D1130" s="364" t="s">
        <v>9</v>
      </c>
      <c r="E1130" s="833">
        <v>27500</v>
      </c>
      <c r="F1130" s="833">
        <f t="shared" si="100"/>
        <v>0</v>
      </c>
      <c r="G1130" s="833">
        <f t="shared" si="101"/>
        <v>0</v>
      </c>
      <c r="H1130" s="834">
        <v>1</v>
      </c>
      <c r="I1130" s="835"/>
      <c r="J1130" s="836"/>
      <c r="K1130" s="836"/>
      <c r="L1130" s="836"/>
      <c r="M1130" s="836"/>
      <c r="N1130" s="836"/>
      <c r="O1130" s="836"/>
      <c r="P1130" s="836"/>
      <c r="Q1130" s="836"/>
      <c r="R1130" s="837">
        <v>0.2</v>
      </c>
      <c r="T1130" s="155">
        <v>27500</v>
      </c>
      <c r="U1130" s="155"/>
      <c r="V1130" s="155"/>
      <c r="AA1130" s="180" t="str">
        <f>VLOOKUP(A1130,[2]DG!$A:$C,3,0)</f>
        <v>Nối ống PVC 114</v>
      </c>
    </row>
    <row r="1131" spans="1:27" ht="20.100000000000001" hidden="1" customHeight="1">
      <c r="A1131" s="873" t="s">
        <v>1951</v>
      </c>
      <c r="B1131" s="859"/>
      <c r="C1131" s="421" t="s">
        <v>1952</v>
      </c>
      <c r="D1131" s="364" t="s">
        <v>9</v>
      </c>
      <c r="E1131" s="833">
        <v>12400</v>
      </c>
      <c r="F1131" s="833">
        <f t="shared" si="100"/>
        <v>0</v>
      </c>
      <c r="G1131" s="833">
        <f t="shared" si="101"/>
        <v>0</v>
      </c>
      <c r="H1131" s="834">
        <v>1</v>
      </c>
      <c r="I1131" s="835"/>
      <c r="J1131" s="836"/>
      <c r="K1131" s="836"/>
      <c r="L1131" s="836"/>
      <c r="M1131" s="836"/>
      <c r="N1131" s="836"/>
      <c r="O1131" s="836"/>
      <c r="P1131" s="836"/>
      <c r="Q1131" s="836"/>
      <c r="R1131" s="837">
        <v>0.2</v>
      </c>
      <c r="T1131" s="155">
        <v>12400</v>
      </c>
      <c r="U1131" s="155"/>
      <c r="V1131" s="155"/>
      <c r="AA1131" s="180" t="str">
        <f>VLOOKUP(A1131,[2]DG!$A:$C,3,0)</f>
        <v xml:space="preserve">Nối thẳng ống PVC 90 </v>
      </c>
    </row>
    <row r="1132" spans="1:27" ht="20.100000000000001" hidden="1" customHeight="1">
      <c r="A1132" s="873" t="s">
        <v>1953</v>
      </c>
      <c r="B1132" s="859"/>
      <c r="C1132" s="421" t="s">
        <v>1954</v>
      </c>
      <c r="D1132" s="364" t="s">
        <v>9</v>
      </c>
      <c r="E1132" s="833">
        <v>4000</v>
      </c>
      <c r="F1132" s="833">
        <f t="shared" si="100"/>
        <v>0</v>
      </c>
      <c r="G1132" s="833">
        <f t="shared" si="101"/>
        <v>0</v>
      </c>
      <c r="H1132" s="834">
        <v>1</v>
      </c>
      <c r="I1132" s="835"/>
      <c r="J1132" s="836"/>
      <c r="K1132" s="836"/>
      <c r="L1132" s="836"/>
      <c r="M1132" s="836"/>
      <c r="N1132" s="836"/>
      <c r="O1132" s="836"/>
      <c r="P1132" s="836"/>
      <c r="Q1132" s="836"/>
      <c r="R1132" s="837">
        <v>0.2</v>
      </c>
      <c r="T1132" s="155">
        <v>4000</v>
      </c>
      <c r="U1132" s="155"/>
      <c r="V1132" s="155"/>
      <c r="AA1132" s="180" t="str">
        <f>VLOOKUP(A1132,[2]DG!$A:$C,3,0)</f>
        <v>Nối thẳng ống PVC 42</v>
      </c>
    </row>
    <row r="1133" spans="1:27" ht="20.100000000000001" hidden="1" customHeight="1">
      <c r="A1133" s="873" t="s">
        <v>1955</v>
      </c>
      <c r="B1133" s="859"/>
      <c r="C1133" s="421" t="s">
        <v>1956</v>
      </c>
      <c r="D1133" s="364" t="s">
        <v>9</v>
      </c>
      <c r="E1133" s="833">
        <v>700</v>
      </c>
      <c r="F1133" s="833">
        <f t="shared" si="100"/>
        <v>0</v>
      </c>
      <c r="G1133" s="833">
        <f t="shared" si="101"/>
        <v>0</v>
      </c>
      <c r="H1133" s="834">
        <v>1</v>
      </c>
      <c r="I1133" s="835"/>
      <c r="J1133" s="836"/>
      <c r="K1133" s="836"/>
      <c r="L1133" s="836"/>
      <c r="M1133" s="836"/>
      <c r="N1133" s="836"/>
      <c r="O1133" s="836"/>
      <c r="P1133" s="836"/>
      <c r="Q1133" s="836"/>
      <c r="R1133" s="837">
        <v>0.2</v>
      </c>
      <c r="T1133" s="155">
        <v>700</v>
      </c>
      <c r="U1133" s="155"/>
      <c r="V1133" s="155"/>
      <c r="AA1133" s="180" t="str">
        <f>VLOOKUP(A1133,[2]DG!$A:$C,3,0)</f>
        <v>Nối thẳng ống PVC 21</v>
      </c>
    </row>
    <row r="1134" spans="1:27" ht="20.100000000000001" hidden="1" customHeight="1">
      <c r="A1134" s="873" t="s">
        <v>1957</v>
      </c>
      <c r="B1134" s="859"/>
      <c r="C1134" s="421" t="s">
        <v>1958</v>
      </c>
      <c r="D1134" s="364" t="s">
        <v>9</v>
      </c>
      <c r="E1134" s="833">
        <v>11600</v>
      </c>
      <c r="F1134" s="833">
        <f t="shared" si="100"/>
        <v>0</v>
      </c>
      <c r="G1134" s="833">
        <f t="shared" si="101"/>
        <v>0</v>
      </c>
      <c r="H1134" s="834">
        <v>1</v>
      </c>
      <c r="I1134" s="835"/>
      <c r="J1134" s="836"/>
      <c r="K1134" s="836"/>
      <c r="L1134" s="836"/>
      <c r="M1134" s="836"/>
      <c r="N1134" s="836"/>
      <c r="O1134" s="836"/>
      <c r="P1134" s="836"/>
      <c r="Q1134" s="836"/>
      <c r="R1134" s="837">
        <v>0.2</v>
      </c>
      <c r="T1134" s="155">
        <v>11600</v>
      </c>
      <c r="U1134" s="155"/>
      <c r="V1134" s="155"/>
      <c r="AA1134" s="180" t="str">
        <f>VLOOKUP(A1134,[2]DG!$A:$C,3,0)</f>
        <v>Nối ống PVC 42 chữ T</v>
      </c>
    </row>
    <row r="1135" spans="1:27" ht="20.100000000000001" hidden="1" customHeight="1">
      <c r="A1135" s="873" t="s">
        <v>1959</v>
      </c>
      <c r="B1135" s="859"/>
      <c r="C1135" s="429" t="s">
        <v>1960</v>
      </c>
      <c r="D1135" s="364" t="s">
        <v>9</v>
      </c>
      <c r="E1135" s="833">
        <v>5000</v>
      </c>
      <c r="F1135" s="833">
        <f t="shared" si="100"/>
        <v>0</v>
      </c>
      <c r="G1135" s="833">
        <f t="shared" si="101"/>
        <v>0</v>
      </c>
      <c r="H1135" s="834">
        <v>1</v>
      </c>
      <c r="I1135" s="835"/>
      <c r="J1135" s="836"/>
      <c r="K1135" s="836"/>
      <c r="L1135" s="836"/>
      <c r="M1135" s="836"/>
      <c r="N1135" s="836"/>
      <c r="O1135" s="836"/>
      <c r="P1135" s="836"/>
      <c r="Q1135" s="836"/>
      <c r="R1135" s="837">
        <v>0.5</v>
      </c>
      <c r="T1135" s="155">
        <v>5000</v>
      </c>
      <c r="U1135" s="155"/>
      <c r="V1135" s="430"/>
      <c r="AA1135" s="180" t="str">
        <f>VLOOKUP(A1135,[2]DG!$A:$C,3,0)</f>
        <v>Tấm bakelit hay nhựa cách điện 600V (200x60x6)</v>
      </c>
    </row>
    <row r="1136" spans="1:27" ht="20.100000000000001" hidden="1" customHeight="1">
      <c r="A1136" s="873" t="s">
        <v>1961</v>
      </c>
      <c r="B1136" s="859">
        <v>0</v>
      </c>
      <c r="C1136" s="421" t="s">
        <v>4278</v>
      </c>
      <c r="D1136" s="364" t="s">
        <v>9</v>
      </c>
      <c r="E1136" s="833">
        <v>151000</v>
      </c>
      <c r="F1136" s="833">
        <f t="shared" si="100"/>
        <v>0</v>
      </c>
      <c r="G1136" s="833">
        <f t="shared" si="101"/>
        <v>0</v>
      </c>
      <c r="H1136" s="834" t="s">
        <v>4065</v>
      </c>
      <c r="I1136" s="835"/>
      <c r="J1136" s="836"/>
      <c r="K1136" s="836"/>
      <c r="L1136" s="836"/>
      <c r="M1136" s="836"/>
      <c r="N1136" s="836"/>
      <c r="O1136" s="836"/>
      <c r="P1136" s="836"/>
      <c r="Q1136" s="836"/>
      <c r="R1136" s="837">
        <v>0.5</v>
      </c>
      <c r="T1136" s="155">
        <v>300000</v>
      </c>
      <c r="U1136" s="155">
        <v>5404</v>
      </c>
      <c r="V1136" s="155">
        <v>0</v>
      </c>
      <c r="AA1136" s="180" t="str">
        <f>VLOOKUP(A1136,[2]DG!$A:$C,3,0)</f>
        <v xml:space="preserve">Bakelit 550x450 dầy 10mm </v>
      </c>
    </row>
    <row r="1137" spans="1:27" ht="20.100000000000001" hidden="1" customHeight="1">
      <c r="A1137" s="873" t="s">
        <v>1962</v>
      </c>
      <c r="B1137" s="859"/>
      <c r="C1137" s="421" t="s">
        <v>1963</v>
      </c>
      <c r="D1137" s="364" t="s">
        <v>9</v>
      </c>
      <c r="E1137" s="833">
        <v>92000</v>
      </c>
      <c r="F1137" s="833">
        <f t="shared" si="100"/>
        <v>0</v>
      </c>
      <c r="G1137" s="833">
        <f t="shared" si="101"/>
        <v>0</v>
      </c>
      <c r="H1137" s="834">
        <v>1</v>
      </c>
      <c r="I1137" s="835"/>
      <c r="J1137" s="836"/>
      <c r="K1137" s="836"/>
      <c r="L1137" s="836"/>
      <c r="M1137" s="836"/>
      <c r="N1137" s="836"/>
      <c r="O1137" s="836"/>
      <c r="P1137" s="836"/>
      <c r="Q1137" s="836"/>
      <c r="R1137" s="837">
        <v>0.5</v>
      </c>
      <c r="T1137" s="155">
        <v>92000</v>
      </c>
      <c r="U1137" s="155">
        <v>5404</v>
      </c>
      <c r="V1137" s="155"/>
      <c r="AA1137" s="180" t="str">
        <f>VLOOKUP(A1137,[2]DG!$A:$C,3,0)</f>
        <v>Bakelit 350x510 dầy 5mm</v>
      </c>
    </row>
    <row r="1138" spans="1:27" ht="20.100000000000001" hidden="1" customHeight="1">
      <c r="A1138" s="873" t="s">
        <v>3749</v>
      </c>
      <c r="B1138" s="859"/>
      <c r="C1138" s="421" t="s">
        <v>1964</v>
      </c>
      <c r="D1138" s="364" t="s">
        <v>9</v>
      </c>
      <c r="E1138" s="833">
        <v>92000</v>
      </c>
      <c r="F1138" s="833">
        <f t="shared" si="100"/>
        <v>0</v>
      </c>
      <c r="G1138" s="833">
        <f t="shared" si="101"/>
        <v>0</v>
      </c>
      <c r="H1138" s="834">
        <v>1</v>
      </c>
      <c r="I1138" s="835"/>
      <c r="J1138" s="836"/>
      <c r="K1138" s="836"/>
      <c r="L1138" s="836"/>
      <c r="M1138" s="836"/>
      <c r="N1138" s="836"/>
      <c r="O1138" s="836"/>
      <c r="P1138" s="836"/>
      <c r="Q1138" s="836"/>
      <c r="R1138" s="837">
        <v>0.5</v>
      </c>
      <c r="T1138" s="155">
        <v>92000</v>
      </c>
      <c r="U1138" s="155">
        <v>5404</v>
      </c>
      <c r="V1138" s="155"/>
      <c r="AA1138" s="180" t="str">
        <f>VLOOKUP(A1138,[2]DG!$A:$C,3,0)</f>
        <v xml:space="preserve">Bakelit 300x200 dầy 5mm </v>
      </c>
    </row>
    <row r="1139" spans="1:27" ht="20.100000000000001" hidden="1" customHeight="1">
      <c r="A1139" s="873" t="s">
        <v>1965</v>
      </c>
      <c r="B1139" s="859"/>
      <c r="C1139" s="421" t="s">
        <v>1966</v>
      </c>
      <c r="D1139" s="364" t="s">
        <v>9</v>
      </c>
      <c r="E1139" s="833">
        <v>15000</v>
      </c>
      <c r="F1139" s="833">
        <f t="shared" si="100"/>
        <v>0</v>
      </c>
      <c r="G1139" s="833">
        <f t="shared" si="101"/>
        <v>0</v>
      </c>
      <c r="H1139" s="834">
        <v>1</v>
      </c>
      <c r="I1139" s="835"/>
      <c r="J1139" s="836"/>
      <c r="K1139" s="836"/>
      <c r="L1139" s="836"/>
      <c r="M1139" s="836"/>
      <c r="N1139" s="836"/>
      <c r="O1139" s="836"/>
      <c r="P1139" s="836"/>
      <c r="Q1139" s="836"/>
      <c r="R1139" s="837">
        <v>0.5</v>
      </c>
      <c r="T1139" s="155">
        <v>15000</v>
      </c>
      <c r="U1139" s="155"/>
      <c r="V1139" s="155"/>
      <c r="AA1139" s="180" t="str">
        <f>VLOOKUP(A1139,[2]DG!$A:$C,3,0)</f>
        <v>Bảng gắn aptomat và điện kế dày 15mm</v>
      </c>
    </row>
    <row r="1140" spans="1:27" ht="20.100000000000001" hidden="1" customHeight="1">
      <c r="A1140" s="873" t="s">
        <v>1967</v>
      </c>
      <c r="B1140" s="859"/>
      <c r="C1140" s="421" t="s">
        <v>1968</v>
      </c>
      <c r="D1140" s="364" t="s">
        <v>9</v>
      </c>
      <c r="E1140" s="833">
        <v>20000</v>
      </c>
      <c r="F1140" s="833">
        <f t="shared" si="100"/>
        <v>0</v>
      </c>
      <c r="G1140" s="833">
        <f t="shared" si="101"/>
        <v>0</v>
      </c>
      <c r="H1140" s="834">
        <v>1</v>
      </c>
      <c r="I1140" s="835"/>
      <c r="J1140" s="836"/>
      <c r="K1140" s="836"/>
      <c r="L1140" s="836"/>
      <c r="M1140" s="836"/>
      <c r="N1140" s="836"/>
      <c r="O1140" s="836"/>
      <c r="P1140" s="836"/>
      <c r="Q1140" s="836"/>
      <c r="R1140" s="837">
        <v>0.5</v>
      </c>
      <c r="T1140" s="155">
        <v>20000</v>
      </c>
      <c r="U1140" s="155"/>
      <c r="V1140" s="155"/>
      <c r="AA1140" s="180" t="str">
        <f>VLOOKUP(A1140,[2]DG!$A:$C,3,0)</f>
        <v>Bảng nhựa gắn tủ điện kế điện tử</v>
      </c>
    </row>
    <row r="1141" spans="1:27" ht="20.100000000000001" hidden="1" customHeight="1">
      <c r="A1141" s="873" t="s">
        <v>1969</v>
      </c>
      <c r="B1141" s="859">
        <v>0</v>
      </c>
      <c r="C1141" s="421" t="s">
        <v>2915</v>
      </c>
      <c r="D1141" s="364" t="s">
        <v>1970</v>
      </c>
      <c r="E1141" s="833">
        <v>8000</v>
      </c>
      <c r="F1141" s="833">
        <f t="shared" si="100"/>
        <v>0</v>
      </c>
      <c r="G1141" s="833">
        <f t="shared" si="101"/>
        <v>0</v>
      </c>
      <c r="H1141" s="834" t="s">
        <v>4065</v>
      </c>
      <c r="I1141" s="835"/>
      <c r="J1141" s="836"/>
      <c r="K1141" s="836"/>
      <c r="L1141" s="836"/>
      <c r="M1141" s="836"/>
      <c r="N1141" s="836"/>
      <c r="O1141" s="836"/>
      <c r="P1141" s="836"/>
      <c r="Q1141" s="836"/>
      <c r="R1141" s="837">
        <v>0.1</v>
      </c>
      <c r="T1141" s="155">
        <v>5000</v>
      </c>
      <c r="U1141" s="155">
        <v>0</v>
      </c>
      <c r="V1141" s="155">
        <v>0</v>
      </c>
      <c r="AA1141" s="180" t="str">
        <f>VLOOKUP(A1141,[2]DG!$A:$C,3,0)</f>
        <v>Băng keo cách điện</v>
      </c>
    </row>
    <row r="1142" spans="1:27" ht="20.100000000000001" hidden="1" customHeight="1">
      <c r="A1142" s="873" t="s">
        <v>1971</v>
      </c>
      <c r="B1142" s="860"/>
      <c r="C1142" s="421" t="s">
        <v>1972</v>
      </c>
      <c r="D1142" s="364" t="s">
        <v>1973</v>
      </c>
      <c r="E1142" s="833">
        <v>30000</v>
      </c>
      <c r="F1142" s="833">
        <f t="shared" si="100"/>
        <v>0</v>
      </c>
      <c r="G1142" s="833">
        <f t="shared" si="101"/>
        <v>0</v>
      </c>
      <c r="H1142" s="834">
        <v>1</v>
      </c>
      <c r="I1142" s="835"/>
      <c r="J1142" s="836"/>
      <c r="K1142" s="836"/>
      <c r="L1142" s="836"/>
      <c r="M1142" s="836"/>
      <c r="N1142" s="836"/>
      <c r="O1142" s="836"/>
      <c r="P1142" s="836"/>
      <c r="Q1142" s="836"/>
      <c r="R1142" s="837">
        <v>0.2</v>
      </c>
      <c r="T1142" s="155">
        <v>30000</v>
      </c>
      <c r="U1142" s="155"/>
      <c r="V1142" s="155"/>
      <c r="AA1142" s="180" t="str">
        <f>VLOOKUP(A1142,[2]DG!$A:$C,3,0)</f>
        <v>Keo silicon bít miệng ống</v>
      </c>
    </row>
    <row r="1143" spans="1:27" ht="20.100000000000001" hidden="1" customHeight="1">
      <c r="A1143" s="872" t="s">
        <v>1974</v>
      </c>
      <c r="B1143" s="860">
        <v>0</v>
      </c>
      <c r="C1143" s="421" t="s">
        <v>1975</v>
      </c>
      <c r="D1143" s="364" t="s">
        <v>182</v>
      </c>
      <c r="E1143" s="833">
        <v>35200</v>
      </c>
      <c r="F1143" s="833">
        <f t="shared" si="100"/>
        <v>0</v>
      </c>
      <c r="G1143" s="833">
        <f t="shared" si="101"/>
        <v>0</v>
      </c>
      <c r="H1143" s="834" t="s">
        <v>4065</v>
      </c>
      <c r="I1143" s="835"/>
      <c r="J1143" s="836"/>
      <c r="K1143" s="836"/>
      <c r="L1143" s="836"/>
      <c r="M1143" s="836"/>
      <c r="N1143" s="836"/>
      <c r="O1143" s="836"/>
      <c r="P1143" s="836"/>
      <c r="Q1143" s="836"/>
      <c r="R1143" s="837">
        <v>1</v>
      </c>
      <c r="T1143" s="155">
        <v>28200</v>
      </c>
      <c r="U1143" s="155">
        <v>0</v>
      </c>
      <c r="V1143" s="155">
        <v>0</v>
      </c>
      <c r="AA1143" s="180" t="str">
        <f>VLOOKUP(A1143,[2]DG!$A:$C,3,0)</f>
        <v>Kẽm</v>
      </c>
    </row>
    <row r="1144" spans="1:27" ht="20.100000000000001" hidden="1" customHeight="1">
      <c r="A1144" s="873" t="s">
        <v>3750</v>
      </c>
      <c r="B1144" s="859"/>
      <c r="C1144" s="421" t="s">
        <v>1976</v>
      </c>
      <c r="D1144" s="364" t="s">
        <v>1977</v>
      </c>
      <c r="E1144" s="833">
        <v>11500</v>
      </c>
      <c r="F1144" s="833">
        <f t="shared" si="100"/>
        <v>0</v>
      </c>
      <c r="G1144" s="833">
        <f t="shared" si="101"/>
        <v>0</v>
      </c>
      <c r="H1144" s="834">
        <v>1</v>
      </c>
      <c r="I1144" s="835"/>
      <c r="J1144" s="836"/>
      <c r="K1144" s="836"/>
      <c r="L1144" s="836"/>
      <c r="M1144" s="836"/>
      <c r="N1144" s="836"/>
      <c r="O1144" s="836"/>
      <c r="P1144" s="836"/>
      <c r="Q1144" s="836"/>
      <c r="R1144" s="837">
        <v>0.2</v>
      </c>
      <c r="T1144" s="155">
        <v>11500</v>
      </c>
      <c r="U1144" s="155"/>
      <c r="V1144" s="155"/>
      <c r="AA1144" s="180" t="str">
        <f>VLOOKUP(A1144,[2]DG!$A:$C,3,0)</f>
        <v>Keo dán ống PVC (100gr)</v>
      </c>
    </row>
    <row r="1145" spans="1:27" ht="20.100000000000001" hidden="1" customHeight="1">
      <c r="A1145" s="873" t="s">
        <v>1978</v>
      </c>
      <c r="B1145" s="859"/>
      <c r="C1145" s="421" t="s">
        <v>1979</v>
      </c>
      <c r="D1145" s="364" t="s">
        <v>1980</v>
      </c>
      <c r="E1145" s="833">
        <v>26400</v>
      </c>
      <c r="F1145" s="833">
        <f t="shared" si="100"/>
        <v>0</v>
      </c>
      <c r="G1145" s="833">
        <f t="shared" si="101"/>
        <v>0</v>
      </c>
      <c r="H1145" s="834">
        <v>1</v>
      </c>
      <c r="I1145" s="835"/>
      <c r="J1145" s="836"/>
      <c r="K1145" s="836"/>
      <c r="L1145" s="836"/>
      <c r="M1145" s="836"/>
      <c r="N1145" s="836"/>
      <c r="O1145" s="836"/>
      <c r="P1145" s="836"/>
      <c r="Q1145" s="836"/>
      <c r="R1145" s="837">
        <v>0.2</v>
      </c>
      <c r="T1145" s="155">
        <v>26400</v>
      </c>
      <c r="U1145" s="155"/>
      <c r="V1145" s="155"/>
      <c r="AA1145" s="180" t="str">
        <f>VLOOKUP(A1145,[2]DG!$A:$C,3,0)</f>
        <v>Keo dán ống PVC (500gr)</v>
      </c>
    </row>
    <row r="1146" spans="1:27" ht="20.100000000000001" hidden="1" customHeight="1">
      <c r="A1146" s="873" t="s">
        <v>1981</v>
      </c>
      <c r="B1146" s="860"/>
      <c r="C1146" s="421" t="s">
        <v>1982</v>
      </c>
      <c r="D1146" s="364" t="s">
        <v>9</v>
      </c>
      <c r="E1146" s="833">
        <v>3700</v>
      </c>
      <c r="F1146" s="833">
        <f t="shared" si="100"/>
        <v>0</v>
      </c>
      <c r="G1146" s="833">
        <f t="shared" si="101"/>
        <v>0</v>
      </c>
      <c r="H1146" s="834">
        <v>1</v>
      </c>
      <c r="I1146" s="835"/>
      <c r="J1146" s="836"/>
      <c r="K1146" s="836"/>
      <c r="L1146" s="836"/>
      <c r="M1146" s="836"/>
      <c r="N1146" s="836"/>
      <c r="O1146" s="836"/>
      <c r="P1146" s="836"/>
      <c r="Q1146" s="836"/>
      <c r="R1146" s="837">
        <v>0.2</v>
      </c>
      <c r="T1146" s="155">
        <v>3700</v>
      </c>
      <c r="U1146" s="155"/>
      <c r="V1146" s="155"/>
      <c r="AA1146" s="180" t="str">
        <f>VLOOKUP(A1146,[2]DG!$A:$C,3,0)</f>
        <v>Khâu ven răng trong D42</v>
      </c>
    </row>
    <row r="1147" spans="1:27" ht="20.100000000000001" hidden="1" customHeight="1">
      <c r="A1147" s="873" t="s">
        <v>1983</v>
      </c>
      <c r="B1147" s="860"/>
      <c r="C1147" s="421" t="s">
        <v>1984</v>
      </c>
      <c r="D1147" s="364" t="s">
        <v>9</v>
      </c>
      <c r="E1147" s="833">
        <v>9500</v>
      </c>
      <c r="F1147" s="833">
        <f t="shared" si="100"/>
        <v>0</v>
      </c>
      <c r="G1147" s="833">
        <f t="shared" si="101"/>
        <v>0</v>
      </c>
      <c r="H1147" s="834">
        <v>1</v>
      </c>
      <c r="I1147" s="835"/>
      <c r="J1147" s="836"/>
      <c r="K1147" s="836"/>
      <c r="L1147" s="836"/>
      <c r="M1147" s="836"/>
      <c r="N1147" s="836"/>
      <c r="O1147" s="836"/>
      <c r="P1147" s="836"/>
      <c r="Q1147" s="836"/>
      <c r="R1147" s="837">
        <v>0.2</v>
      </c>
      <c r="T1147" s="155">
        <v>9500</v>
      </c>
      <c r="U1147" s="155"/>
      <c r="V1147" s="155"/>
      <c r="AA1147" s="180" t="str">
        <f>VLOOKUP(A1147,[2]DG!$A:$C,3,0)</f>
        <v>Khâu ven răng trong D90</v>
      </c>
    </row>
    <row r="1148" spans="1:27" ht="20.100000000000001" hidden="1" customHeight="1">
      <c r="A1148" s="873" t="s">
        <v>1985</v>
      </c>
      <c r="B1148" s="860"/>
      <c r="C1148" s="421" t="s">
        <v>1986</v>
      </c>
      <c r="D1148" s="364" t="s">
        <v>9</v>
      </c>
      <c r="E1148" s="833">
        <v>20000</v>
      </c>
      <c r="F1148" s="833">
        <f t="shared" si="100"/>
        <v>0</v>
      </c>
      <c r="G1148" s="833">
        <f t="shared" si="101"/>
        <v>0</v>
      </c>
      <c r="H1148" s="834">
        <v>1</v>
      </c>
      <c r="I1148" s="835"/>
      <c r="J1148" s="836"/>
      <c r="K1148" s="836"/>
      <c r="L1148" s="836"/>
      <c r="M1148" s="836"/>
      <c r="N1148" s="836"/>
      <c r="O1148" s="836"/>
      <c r="P1148" s="836"/>
      <c r="Q1148" s="836"/>
      <c r="R1148" s="837">
        <v>0.2</v>
      </c>
      <c r="T1148" s="155">
        <v>20000</v>
      </c>
      <c r="U1148" s="155"/>
      <c r="V1148" s="155"/>
      <c r="AA1148" s="180" t="str">
        <f>VLOOKUP(A1148,[2]DG!$A:$C,3,0)</f>
        <v>Khâu ven răng trong D114</v>
      </c>
    </row>
    <row r="1149" spans="1:27" ht="20.100000000000001" hidden="1" customHeight="1">
      <c r="A1149" s="873" t="s">
        <v>1987</v>
      </c>
      <c r="B1149" s="860"/>
      <c r="C1149" s="421" t="s">
        <v>1988</v>
      </c>
      <c r="D1149" s="364" t="s">
        <v>9</v>
      </c>
      <c r="E1149" s="833">
        <v>20000</v>
      </c>
      <c r="F1149" s="833">
        <f t="shared" si="100"/>
        <v>0</v>
      </c>
      <c r="G1149" s="833">
        <f t="shared" si="101"/>
        <v>0</v>
      </c>
      <c r="H1149" s="834">
        <v>1</v>
      </c>
      <c r="I1149" s="835"/>
      <c r="J1149" s="836"/>
      <c r="K1149" s="836"/>
      <c r="L1149" s="836"/>
      <c r="M1149" s="836"/>
      <c r="N1149" s="836"/>
      <c r="O1149" s="836"/>
      <c r="P1149" s="836"/>
      <c r="Q1149" s="836"/>
      <c r="R1149" s="837">
        <v>0.2</v>
      </c>
      <c r="T1149" s="155">
        <v>20000</v>
      </c>
      <c r="U1149" s="155"/>
      <c r="V1149" s="155"/>
      <c r="AA1149" s="180" t="str">
        <f>VLOOKUP(A1149,[2]DG!$A:$C,3,0)</f>
        <v>Khâu ven răng trong D140</v>
      </c>
    </row>
    <row r="1150" spans="1:27" ht="20.100000000000001" hidden="1" customHeight="1">
      <c r="A1150" s="873" t="s">
        <v>1989</v>
      </c>
      <c r="B1150" s="860"/>
      <c r="C1150" s="421" t="s">
        <v>1990</v>
      </c>
      <c r="D1150" s="364" t="s">
        <v>9</v>
      </c>
      <c r="E1150" s="833">
        <v>3200</v>
      </c>
      <c r="F1150" s="833">
        <f t="shared" si="100"/>
        <v>0</v>
      </c>
      <c r="G1150" s="833">
        <f t="shared" si="101"/>
        <v>0</v>
      </c>
      <c r="H1150" s="834">
        <v>1</v>
      </c>
      <c r="I1150" s="835"/>
      <c r="J1150" s="836"/>
      <c r="K1150" s="836"/>
      <c r="L1150" s="836"/>
      <c r="M1150" s="836"/>
      <c r="N1150" s="836"/>
      <c r="O1150" s="836"/>
      <c r="P1150" s="836"/>
      <c r="Q1150" s="836"/>
      <c r="R1150" s="837">
        <v>0.2</v>
      </c>
      <c r="T1150" s="155">
        <v>3200</v>
      </c>
      <c r="U1150" s="155"/>
      <c r="V1150" s="155"/>
      <c r="AA1150" s="180" t="str">
        <f>VLOOKUP(A1150,[2]DG!$A:$C,3,0)</f>
        <v>Khâu ven răng ngoài D42</v>
      </c>
    </row>
    <row r="1151" spans="1:27" ht="20.100000000000001" hidden="1" customHeight="1">
      <c r="A1151" s="873" t="s">
        <v>1991</v>
      </c>
      <c r="B1151" s="860"/>
      <c r="C1151" s="421" t="s">
        <v>1992</v>
      </c>
      <c r="D1151" s="364" t="s">
        <v>9</v>
      </c>
      <c r="E1151" s="833">
        <v>10600</v>
      </c>
      <c r="F1151" s="833">
        <f t="shared" si="100"/>
        <v>0</v>
      </c>
      <c r="G1151" s="833">
        <f t="shared" si="101"/>
        <v>0</v>
      </c>
      <c r="H1151" s="834">
        <v>1</v>
      </c>
      <c r="I1151" s="835"/>
      <c r="J1151" s="836"/>
      <c r="K1151" s="836"/>
      <c r="L1151" s="836"/>
      <c r="M1151" s="836"/>
      <c r="N1151" s="836"/>
      <c r="O1151" s="836"/>
      <c r="P1151" s="836"/>
      <c r="Q1151" s="836"/>
      <c r="R1151" s="837">
        <v>0.2</v>
      </c>
      <c r="T1151" s="155">
        <v>10600</v>
      </c>
      <c r="U1151" s="155"/>
      <c r="V1151" s="155"/>
      <c r="AA1151" s="180" t="str">
        <f>VLOOKUP(A1151,[2]DG!$A:$C,3,0)</f>
        <v>Khâu ven răng ngoài D90</v>
      </c>
    </row>
    <row r="1152" spans="1:27" ht="20.100000000000001" hidden="1" customHeight="1">
      <c r="A1152" s="873" t="s">
        <v>1993</v>
      </c>
      <c r="B1152" s="860"/>
      <c r="C1152" s="421" t="s">
        <v>1994</v>
      </c>
      <c r="D1152" s="364" t="s">
        <v>9</v>
      </c>
      <c r="E1152" s="833">
        <v>20000</v>
      </c>
      <c r="F1152" s="833">
        <f t="shared" si="100"/>
        <v>0</v>
      </c>
      <c r="G1152" s="833">
        <f t="shared" si="101"/>
        <v>0</v>
      </c>
      <c r="H1152" s="834">
        <v>1</v>
      </c>
      <c r="I1152" s="835"/>
      <c r="J1152" s="836"/>
      <c r="K1152" s="836"/>
      <c r="L1152" s="836"/>
      <c r="M1152" s="836"/>
      <c r="N1152" s="836"/>
      <c r="O1152" s="836"/>
      <c r="P1152" s="836"/>
      <c r="Q1152" s="836"/>
      <c r="R1152" s="837">
        <v>0.2</v>
      </c>
      <c r="T1152" s="155">
        <v>20000</v>
      </c>
      <c r="U1152" s="155"/>
      <c r="V1152" s="155"/>
      <c r="AA1152" s="180" t="str">
        <f>VLOOKUP(A1152,[2]DG!$A:$C,3,0)</f>
        <v>Khâu ven răng ngoài D114</v>
      </c>
    </row>
    <row r="1153" spans="1:27" ht="20.100000000000001" hidden="1" customHeight="1">
      <c r="A1153" s="873" t="s">
        <v>1995</v>
      </c>
      <c r="B1153" s="860"/>
      <c r="C1153" s="421" t="s">
        <v>1996</v>
      </c>
      <c r="D1153" s="364" t="s">
        <v>9</v>
      </c>
      <c r="E1153" s="833">
        <v>20000</v>
      </c>
      <c r="F1153" s="833">
        <f t="shared" si="100"/>
        <v>0</v>
      </c>
      <c r="G1153" s="833">
        <f t="shared" si="101"/>
        <v>0</v>
      </c>
      <c r="H1153" s="834">
        <v>1</v>
      </c>
      <c r="I1153" s="835"/>
      <c r="J1153" s="836"/>
      <c r="K1153" s="836"/>
      <c r="L1153" s="836"/>
      <c r="M1153" s="836"/>
      <c r="N1153" s="836"/>
      <c r="O1153" s="836"/>
      <c r="P1153" s="836"/>
      <c r="Q1153" s="836"/>
      <c r="R1153" s="837">
        <v>0.2</v>
      </c>
      <c r="T1153" s="155">
        <v>20000</v>
      </c>
      <c r="U1153" s="155"/>
      <c r="V1153" s="155"/>
      <c r="AA1153" s="180" t="str">
        <f>VLOOKUP(A1153,[2]DG!$A:$C,3,0)</f>
        <v>Khâu ven răng ngoài D140</v>
      </c>
    </row>
    <row r="1154" spans="1:27" ht="20.100000000000001" hidden="1" customHeight="1">
      <c r="A1154" s="873" t="s">
        <v>1997</v>
      </c>
      <c r="B1154" s="860"/>
      <c r="C1154" s="421" t="s">
        <v>4098</v>
      </c>
      <c r="D1154" s="364" t="s">
        <v>9</v>
      </c>
      <c r="E1154" s="833">
        <v>10200</v>
      </c>
      <c r="F1154" s="833">
        <f t="shared" si="100"/>
        <v>0</v>
      </c>
      <c r="G1154" s="833">
        <f t="shared" si="101"/>
        <v>0</v>
      </c>
      <c r="H1154" s="834">
        <v>1</v>
      </c>
      <c r="I1154" s="835"/>
      <c r="J1154" s="836"/>
      <c r="K1154" s="836"/>
      <c r="L1154" s="836"/>
      <c r="M1154" s="836"/>
      <c r="N1154" s="836"/>
      <c r="O1154" s="836"/>
      <c r="P1154" s="836"/>
      <c r="Q1154" s="836"/>
      <c r="R1154" s="837">
        <v>0.1</v>
      </c>
      <c r="T1154" s="155">
        <v>10200</v>
      </c>
      <c r="U1154" s="155">
        <v>6444</v>
      </c>
      <c r="V1154" s="155"/>
      <c r="AA1154" s="180" t="str">
        <f>VLOOKUP(A1154,[2]DG!$A:$C,3,0)</f>
        <v>Ốc siết cáp Cu - Al 1/0</v>
      </c>
    </row>
    <row r="1155" spans="1:27" ht="20.100000000000001" hidden="1" customHeight="1">
      <c r="A1155" s="873" t="s">
        <v>1998</v>
      </c>
      <c r="B1155" s="860"/>
      <c r="C1155" s="421" t="s">
        <v>4099</v>
      </c>
      <c r="D1155" s="364" t="s">
        <v>9</v>
      </c>
      <c r="E1155" s="833">
        <v>12200</v>
      </c>
      <c r="F1155" s="833">
        <f t="shared" si="100"/>
        <v>0</v>
      </c>
      <c r="G1155" s="833">
        <f t="shared" si="101"/>
        <v>0</v>
      </c>
      <c r="H1155" s="834">
        <v>1</v>
      </c>
      <c r="I1155" s="835"/>
      <c r="J1155" s="836"/>
      <c r="K1155" s="836"/>
      <c r="L1155" s="836"/>
      <c r="M1155" s="836"/>
      <c r="N1155" s="836"/>
      <c r="O1155" s="836"/>
      <c r="P1155" s="836"/>
      <c r="Q1155" s="836"/>
      <c r="R1155" s="837">
        <v>0.1</v>
      </c>
      <c r="T1155" s="155">
        <v>12200</v>
      </c>
      <c r="U1155" s="155">
        <v>6444</v>
      </c>
      <c r="V1155" s="155"/>
      <c r="AA1155" s="180" t="str">
        <f>VLOOKUP(A1155,[2]DG!$A:$C,3,0)</f>
        <v>Ốc siết cáp Cu - Al 2/0</v>
      </c>
    </row>
    <row r="1156" spans="1:27" ht="20.100000000000001" hidden="1" customHeight="1">
      <c r="A1156" s="873" t="s">
        <v>3751</v>
      </c>
      <c r="B1156" s="860"/>
      <c r="C1156" s="421" t="s">
        <v>1999</v>
      </c>
      <c r="D1156" s="364" t="s">
        <v>9</v>
      </c>
      <c r="E1156" s="833">
        <v>5700</v>
      </c>
      <c r="F1156" s="833">
        <f t="shared" si="100"/>
        <v>0</v>
      </c>
      <c r="G1156" s="833">
        <f t="shared" si="101"/>
        <v>0</v>
      </c>
      <c r="H1156" s="834">
        <v>1</v>
      </c>
      <c r="I1156" s="835"/>
      <c r="J1156" s="836"/>
      <c r="K1156" s="836"/>
      <c r="L1156" s="836"/>
      <c r="M1156" s="836"/>
      <c r="N1156" s="836"/>
      <c r="O1156" s="836"/>
      <c r="P1156" s="836"/>
      <c r="Q1156" s="836"/>
      <c r="R1156" s="837">
        <v>0.1</v>
      </c>
      <c r="T1156" s="155">
        <v>5700</v>
      </c>
      <c r="U1156" s="155">
        <v>6444</v>
      </c>
      <c r="V1156" s="155"/>
      <c r="AA1156" s="180" t="str">
        <f>VLOOKUP(A1156,[2]DG!$A:$C,3,0)</f>
        <v xml:space="preserve">Ốc siết cáp Cu-AL cở thích hợp </v>
      </c>
    </row>
    <row r="1157" spans="1:27" ht="20.100000000000001" hidden="1" customHeight="1">
      <c r="A1157" s="873" t="s">
        <v>2000</v>
      </c>
      <c r="B1157" s="860"/>
      <c r="C1157" s="421" t="s">
        <v>2001</v>
      </c>
      <c r="D1157" s="364" t="s">
        <v>9</v>
      </c>
      <c r="E1157" s="833">
        <v>4900</v>
      </c>
      <c r="F1157" s="833">
        <f t="shared" si="100"/>
        <v>0</v>
      </c>
      <c r="G1157" s="833">
        <f t="shared" si="101"/>
        <v>0</v>
      </c>
      <c r="H1157" s="834">
        <v>1</v>
      </c>
      <c r="I1157" s="835"/>
      <c r="J1157" s="836"/>
      <c r="K1157" s="836"/>
      <c r="L1157" s="836"/>
      <c r="M1157" s="836"/>
      <c r="N1157" s="836"/>
      <c r="O1157" s="836"/>
      <c r="P1157" s="836"/>
      <c r="Q1157" s="836"/>
      <c r="R1157" s="837">
        <v>0.1</v>
      </c>
      <c r="T1157" s="155">
        <v>4900</v>
      </c>
      <c r="U1157" s="155">
        <v>6444</v>
      </c>
      <c r="V1157" s="155"/>
      <c r="AA1157" s="180" t="str">
        <f>VLOOKUP(A1157,[2]DG!$A:$C,3,0)</f>
        <v xml:space="preserve">Ốc siết cáp cỡ 11mm2 </v>
      </c>
    </row>
    <row r="1158" spans="1:27" ht="20.100000000000001" hidden="1" customHeight="1">
      <c r="A1158" s="873" t="s">
        <v>2002</v>
      </c>
      <c r="B1158" s="860"/>
      <c r="C1158" s="421" t="s">
        <v>2003</v>
      </c>
      <c r="D1158" s="364" t="s">
        <v>9</v>
      </c>
      <c r="E1158" s="833">
        <v>4200</v>
      </c>
      <c r="F1158" s="833">
        <f t="shared" si="100"/>
        <v>0</v>
      </c>
      <c r="G1158" s="833">
        <f t="shared" si="101"/>
        <v>0</v>
      </c>
      <c r="H1158" s="834">
        <v>1</v>
      </c>
      <c r="I1158" s="835"/>
      <c r="J1158" s="836"/>
      <c r="K1158" s="836"/>
      <c r="L1158" s="836"/>
      <c r="M1158" s="836"/>
      <c r="N1158" s="836"/>
      <c r="O1158" s="836"/>
      <c r="P1158" s="836"/>
      <c r="Q1158" s="836"/>
      <c r="R1158" s="837">
        <v>0.1</v>
      </c>
      <c r="T1158" s="155">
        <v>4200</v>
      </c>
      <c r="U1158" s="155">
        <v>6444</v>
      </c>
      <c r="V1158" s="155"/>
      <c r="AA1158" s="180" t="str">
        <f>VLOOKUP(A1158,[2]DG!$A:$C,3,0)</f>
        <v xml:space="preserve">Ốc siết cáp cỡ 22mm2 </v>
      </c>
    </row>
    <row r="1159" spans="1:27" ht="20.100000000000001" hidden="1" customHeight="1">
      <c r="A1159" s="872" t="s">
        <v>2004</v>
      </c>
      <c r="B1159" s="859"/>
      <c r="C1159" s="421" t="s">
        <v>2005</v>
      </c>
      <c r="D1159" s="364" t="s">
        <v>9</v>
      </c>
      <c r="E1159" s="833">
        <v>36000</v>
      </c>
      <c r="F1159" s="833">
        <f t="shared" si="100"/>
        <v>0</v>
      </c>
      <c r="G1159" s="833">
        <f t="shared" si="101"/>
        <v>0</v>
      </c>
      <c r="H1159" s="834" t="s">
        <v>4065</v>
      </c>
      <c r="I1159" s="835"/>
      <c r="J1159" s="836"/>
      <c r="K1159" s="836"/>
      <c r="L1159" s="836"/>
      <c r="M1159" s="836"/>
      <c r="N1159" s="836"/>
      <c r="O1159" s="836"/>
      <c r="P1159" s="836"/>
      <c r="Q1159" s="836"/>
      <c r="R1159" s="837">
        <v>0.1</v>
      </c>
      <c r="T1159" s="155">
        <v>4200</v>
      </c>
      <c r="U1159" s="155">
        <v>6444</v>
      </c>
      <c r="V1159" s="155"/>
      <c r="AA1159" s="180" t="str">
        <f>VLOOKUP(A1159,[2]DG!$A:$C,3,0)</f>
        <v>Ốc siết cáp cỡ 25mm2</v>
      </c>
    </row>
    <row r="1160" spans="1:27" ht="20.100000000000001" hidden="1" customHeight="1">
      <c r="A1160" s="873" t="s">
        <v>2006</v>
      </c>
      <c r="B1160" s="860"/>
      <c r="C1160" s="421" t="s">
        <v>2007</v>
      </c>
      <c r="D1160" s="364" t="s">
        <v>9</v>
      </c>
      <c r="E1160" s="833">
        <v>6900</v>
      </c>
      <c r="F1160" s="833">
        <f t="shared" si="100"/>
        <v>0</v>
      </c>
      <c r="G1160" s="833">
        <f t="shared" si="101"/>
        <v>0</v>
      </c>
      <c r="H1160" s="834">
        <v>1</v>
      </c>
      <c r="I1160" s="835"/>
      <c r="J1160" s="836"/>
      <c r="K1160" s="836"/>
      <c r="L1160" s="836"/>
      <c r="M1160" s="836"/>
      <c r="N1160" s="836"/>
      <c r="O1160" s="836"/>
      <c r="P1160" s="836"/>
      <c r="Q1160" s="836"/>
      <c r="R1160" s="837">
        <v>0.1</v>
      </c>
      <c r="T1160" s="155">
        <v>6900</v>
      </c>
      <c r="U1160" s="155">
        <v>6444</v>
      </c>
      <c r="V1160" s="155"/>
      <c r="AA1160" s="180" t="str">
        <f>VLOOKUP(A1160,[2]DG!$A:$C,3,0)</f>
        <v xml:space="preserve">Ốc siết cáp cỡ 38mm2 </v>
      </c>
    </row>
    <row r="1161" spans="1:27" ht="20.100000000000001" hidden="1" customHeight="1">
      <c r="A1161" s="873" t="s">
        <v>2008</v>
      </c>
      <c r="B1161" s="860"/>
      <c r="C1161" s="421" t="s">
        <v>2009</v>
      </c>
      <c r="D1161" s="364" t="s">
        <v>9</v>
      </c>
      <c r="E1161" s="833">
        <v>8300</v>
      </c>
      <c r="F1161" s="833">
        <f t="shared" si="100"/>
        <v>0</v>
      </c>
      <c r="G1161" s="833">
        <f t="shared" si="101"/>
        <v>0</v>
      </c>
      <c r="H1161" s="834">
        <v>1</v>
      </c>
      <c r="I1161" s="835"/>
      <c r="J1161" s="836"/>
      <c r="K1161" s="836"/>
      <c r="L1161" s="836"/>
      <c r="M1161" s="836"/>
      <c r="N1161" s="836"/>
      <c r="O1161" s="836"/>
      <c r="P1161" s="836"/>
      <c r="Q1161" s="836"/>
      <c r="R1161" s="837">
        <v>0.1</v>
      </c>
      <c r="T1161" s="155">
        <v>8300</v>
      </c>
      <c r="U1161" s="155">
        <v>6444</v>
      </c>
      <c r="V1161" s="155"/>
      <c r="AA1161" s="180" t="str">
        <f>VLOOKUP(A1161,[2]DG!$A:$C,3,0)</f>
        <v xml:space="preserve">Ốc siết cáp cỡ 50mm2 </v>
      </c>
    </row>
    <row r="1162" spans="1:27" ht="20.100000000000001" hidden="1" customHeight="1">
      <c r="A1162" s="873" t="s">
        <v>2010</v>
      </c>
      <c r="B1162" s="860"/>
      <c r="C1162" s="421" t="s">
        <v>2011</v>
      </c>
      <c r="D1162" s="364" t="s">
        <v>9</v>
      </c>
      <c r="E1162" s="833">
        <v>12200</v>
      </c>
      <c r="F1162" s="833">
        <f t="shared" si="100"/>
        <v>0</v>
      </c>
      <c r="G1162" s="833">
        <f t="shared" si="101"/>
        <v>0</v>
      </c>
      <c r="H1162" s="834">
        <v>1</v>
      </c>
      <c r="I1162" s="835"/>
      <c r="J1162" s="836"/>
      <c r="K1162" s="836"/>
      <c r="L1162" s="836"/>
      <c r="M1162" s="836"/>
      <c r="N1162" s="836"/>
      <c r="O1162" s="836"/>
      <c r="P1162" s="836"/>
      <c r="Q1162" s="836"/>
      <c r="R1162" s="837">
        <v>0.1</v>
      </c>
      <c r="T1162" s="155">
        <v>12200</v>
      </c>
      <c r="U1162" s="155">
        <v>6444</v>
      </c>
      <c r="V1162" s="155"/>
      <c r="AA1162" s="180" t="str">
        <f>VLOOKUP(A1162,[2]DG!$A:$C,3,0)</f>
        <v xml:space="preserve">Ốc siết cáp cỡ 70mm2 </v>
      </c>
    </row>
    <row r="1163" spans="1:27" ht="20.100000000000001" hidden="1" customHeight="1">
      <c r="A1163" s="873" t="s">
        <v>2012</v>
      </c>
      <c r="B1163" s="860"/>
      <c r="C1163" s="421" t="s">
        <v>2013</v>
      </c>
      <c r="D1163" s="364" t="s">
        <v>9</v>
      </c>
      <c r="E1163" s="833">
        <v>20100</v>
      </c>
      <c r="F1163" s="833">
        <f t="shared" si="100"/>
        <v>0</v>
      </c>
      <c r="G1163" s="833">
        <f t="shared" si="101"/>
        <v>0</v>
      </c>
      <c r="H1163" s="834">
        <v>1</v>
      </c>
      <c r="I1163" s="835"/>
      <c r="J1163" s="836"/>
      <c r="K1163" s="836"/>
      <c r="L1163" s="836"/>
      <c r="M1163" s="836"/>
      <c r="N1163" s="836"/>
      <c r="O1163" s="836"/>
      <c r="P1163" s="836"/>
      <c r="Q1163" s="836"/>
      <c r="R1163" s="837">
        <v>0.1</v>
      </c>
      <c r="T1163" s="155">
        <v>20100</v>
      </c>
      <c r="U1163" s="155">
        <v>6444</v>
      </c>
      <c r="V1163" s="155"/>
      <c r="AA1163" s="180" t="str">
        <f>VLOOKUP(A1163,[2]DG!$A:$C,3,0)</f>
        <v xml:space="preserve">Ốc siết cáp cỡ 95mm2 </v>
      </c>
    </row>
    <row r="1164" spans="1:27" ht="20.100000000000001" hidden="1" customHeight="1">
      <c r="A1164" s="873" t="s">
        <v>2014</v>
      </c>
      <c r="B1164" s="860"/>
      <c r="C1164" s="421" t="s">
        <v>2015</v>
      </c>
      <c r="D1164" s="364" t="s">
        <v>9</v>
      </c>
      <c r="E1164" s="833">
        <v>20100</v>
      </c>
      <c r="F1164" s="833">
        <f t="shared" si="100"/>
        <v>0</v>
      </c>
      <c r="G1164" s="833">
        <f t="shared" si="101"/>
        <v>0</v>
      </c>
      <c r="H1164" s="834">
        <v>1</v>
      </c>
      <c r="I1164" s="835"/>
      <c r="J1164" s="836"/>
      <c r="K1164" s="836"/>
      <c r="L1164" s="836"/>
      <c r="M1164" s="836"/>
      <c r="N1164" s="836"/>
      <c r="O1164" s="836"/>
      <c r="P1164" s="836"/>
      <c r="Q1164" s="836"/>
      <c r="R1164" s="837">
        <v>0.1</v>
      </c>
      <c r="T1164" s="155">
        <v>20100</v>
      </c>
      <c r="U1164" s="155">
        <v>6444</v>
      </c>
      <c r="V1164" s="155"/>
      <c r="AA1164" s="180" t="str">
        <f>VLOOKUP(A1164,[2]DG!$A:$C,3,0)</f>
        <v xml:space="preserve">Ốc siết cáp cỡ 120mm2 </v>
      </c>
    </row>
    <row r="1165" spans="1:27" ht="20.100000000000001" hidden="1" customHeight="1">
      <c r="A1165" s="872" t="s">
        <v>2016</v>
      </c>
      <c r="B1165" s="859"/>
      <c r="C1165" s="421" t="s">
        <v>2017</v>
      </c>
      <c r="D1165" s="431" t="s">
        <v>9</v>
      </c>
      <c r="E1165" s="833">
        <v>28600</v>
      </c>
      <c r="F1165" s="833">
        <f t="shared" si="100"/>
        <v>0</v>
      </c>
      <c r="G1165" s="833">
        <f t="shared" si="101"/>
        <v>0</v>
      </c>
      <c r="H1165" s="834">
        <v>1</v>
      </c>
      <c r="I1165" s="835"/>
      <c r="J1165" s="836"/>
      <c r="K1165" s="836"/>
      <c r="L1165" s="836"/>
      <c r="M1165" s="836"/>
      <c r="N1165" s="836"/>
      <c r="O1165" s="836"/>
      <c r="P1165" s="836"/>
      <c r="Q1165" s="836"/>
      <c r="R1165" s="837">
        <v>0.1</v>
      </c>
      <c r="T1165" s="155">
        <v>28600</v>
      </c>
      <c r="U1165" s="155">
        <v>12978</v>
      </c>
      <c r="V1165" s="155"/>
      <c r="AA1165" s="180" t="str">
        <f>VLOOKUP(A1165,[2]DG!$A:$C,3,0)</f>
        <v>Ốc siết cáp cỡ 150mm2</v>
      </c>
    </row>
    <row r="1166" spans="1:27" ht="20.100000000000001" hidden="1" customHeight="1">
      <c r="A1166" s="872" t="s">
        <v>2018</v>
      </c>
      <c r="B1166" s="859"/>
      <c r="C1166" s="421" t="s">
        <v>2019</v>
      </c>
      <c r="D1166" s="431" t="s">
        <v>9</v>
      </c>
      <c r="E1166" s="833">
        <v>28600</v>
      </c>
      <c r="F1166" s="833">
        <f t="shared" si="100"/>
        <v>0</v>
      </c>
      <c r="G1166" s="833">
        <f t="shared" si="101"/>
        <v>0</v>
      </c>
      <c r="H1166" s="834">
        <v>1</v>
      </c>
      <c r="I1166" s="835"/>
      <c r="J1166" s="836"/>
      <c r="K1166" s="836"/>
      <c r="L1166" s="836"/>
      <c r="M1166" s="836"/>
      <c r="N1166" s="836"/>
      <c r="O1166" s="836"/>
      <c r="P1166" s="836"/>
      <c r="Q1166" s="836"/>
      <c r="R1166" s="837">
        <v>0.1</v>
      </c>
      <c r="T1166" s="155">
        <v>28600</v>
      </c>
      <c r="U1166" s="155">
        <v>12978</v>
      </c>
      <c r="V1166" s="155"/>
      <c r="AA1166" s="180" t="str">
        <f>VLOOKUP(A1166,[2]DG!$A:$C,3,0)</f>
        <v>Ốc siết cáp cỡ 185mm2</v>
      </c>
    </row>
    <row r="1167" spans="1:27" ht="15.75" hidden="1">
      <c r="A1167" s="872" t="s">
        <v>2020</v>
      </c>
      <c r="B1167" s="859"/>
      <c r="C1167" s="421" t="s">
        <v>2021</v>
      </c>
      <c r="D1167" s="431" t="s">
        <v>9</v>
      </c>
      <c r="E1167" s="833">
        <v>36000</v>
      </c>
      <c r="F1167" s="833">
        <f t="shared" si="100"/>
        <v>0</v>
      </c>
      <c r="G1167" s="833">
        <f t="shared" si="101"/>
        <v>0</v>
      </c>
      <c r="H1167" s="834">
        <v>1</v>
      </c>
      <c r="I1167" s="835"/>
      <c r="J1167" s="836"/>
      <c r="K1167" s="836"/>
      <c r="L1167" s="836"/>
      <c r="M1167" s="836"/>
      <c r="N1167" s="836"/>
      <c r="O1167" s="836"/>
      <c r="P1167" s="836"/>
      <c r="Q1167" s="836"/>
      <c r="R1167" s="837">
        <v>0.1</v>
      </c>
      <c r="T1167" s="155">
        <v>36000</v>
      </c>
      <c r="U1167" s="155">
        <v>12978</v>
      </c>
      <c r="V1167" s="155"/>
      <c r="AA1167" s="180" t="str">
        <f>VLOOKUP(A1167,[2]DG!$A:$C,3,0)</f>
        <v>Ốc siết cáp cỡ 240mm2</v>
      </c>
    </row>
    <row r="1168" spans="1:27" ht="15.75" hidden="1">
      <c r="A1168" s="873" t="s">
        <v>2022</v>
      </c>
      <c r="B1168" s="859"/>
      <c r="C1168" s="421" t="s">
        <v>2023</v>
      </c>
      <c r="D1168" s="364" t="s">
        <v>9</v>
      </c>
      <c r="E1168" s="833">
        <v>30000</v>
      </c>
      <c r="F1168" s="833">
        <f t="shared" si="100"/>
        <v>0</v>
      </c>
      <c r="G1168" s="833">
        <f t="shared" si="101"/>
        <v>0</v>
      </c>
      <c r="H1168" s="834">
        <v>1</v>
      </c>
      <c r="I1168" s="835"/>
      <c r="J1168" s="836"/>
      <c r="K1168" s="836"/>
      <c r="L1168" s="836"/>
      <c r="M1168" s="836"/>
      <c r="N1168" s="836"/>
      <c r="O1168" s="836"/>
      <c r="P1168" s="836"/>
      <c r="Q1168" s="836"/>
      <c r="R1168" s="837">
        <v>0.2</v>
      </c>
      <c r="T1168" s="155">
        <v>30000</v>
      </c>
      <c r="U1168" s="155"/>
      <c r="V1168" s="155"/>
      <c r="AA1168" s="180" t="str">
        <f>VLOOKUP(A1168,[2]DG!$A:$C,3,0)</f>
        <v>Ổ khóa</v>
      </c>
    </row>
    <row r="1169" spans="1:27" ht="15.75" hidden="1">
      <c r="A1169" s="872" t="s">
        <v>3752</v>
      </c>
      <c r="B1169" s="860"/>
      <c r="C1169" s="421" t="s">
        <v>2024</v>
      </c>
      <c r="D1169" s="364" t="s">
        <v>476</v>
      </c>
      <c r="E1169" s="833">
        <v>10000</v>
      </c>
      <c r="F1169" s="833">
        <f t="shared" si="100"/>
        <v>0</v>
      </c>
      <c r="G1169" s="833">
        <f t="shared" si="101"/>
        <v>0</v>
      </c>
      <c r="H1169" s="834">
        <v>1</v>
      </c>
      <c r="I1169" s="835"/>
      <c r="J1169" s="836"/>
      <c r="K1169" s="836"/>
      <c r="L1169" s="836"/>
      <c r="M1169" s="836"/>
      <c r="N1169" s="836"/>
      <c r="O1169" s="836"/>
      <c r="P1169" s="836"/>
      <c r="Q1169" s="836"/>
      <c r="R1169" s="837">
        <v>100</v>
      </c>
      <c r="T1169" s="155">
        <v>10000</v>
      </c>
      <c r="U1169" s="155"/>
      <c r="V1169" s="155"/>
      <c r="AA1169" s="180" t="str">
        <f>VLOOKUP(A1169,[2]DG!$A:$C,3,0)</f>
        <v>Ô xy gió</v>
      </c>
    </row>
    <row r="1170" spans="1:27" ht="15.75" hidden="1">
      <c r="A1170" s="873" t="s">
        <v>3753</v>
      </c>
      <c r="B1170" s="860"/>
      <c r="C1170" s="429" t="s">
        <v>2025</v>
      </c>
      <c r="D1170" s="364" t="s">
        <v>2026</v>
      </c>
      <c r="E1170" s="833"/>
      <c r="F1170" s="833">
        <f t="shared" si="100"/>
        <v>0</v>
      </c>
      <c r="G1170" s="833">
        <f t="shared" si="101"/>
        <v>0</v>
      </c>
      <c r="H1170" s="834">
        <v>1</v>
      </c>
      <c r="I1170" s="835"/>
      <c r="J1170" s="836"/>
      <c r="K1170" s="836"/>
      <c r="L1170" s="836"/>
      <c r="M1170" s="836"/>
      <c r="N1170" s="836"/>
      <c r="O1170" s="836"/>
      <c r="P1170" s="836"/>
      <c r="Q1170" s="836"/>
      <c r="R1170" s="837"/>
      <c r="T1170" s="155"/>
      <c r="U1170" s="155">
        <v>521806</v>
      </c>
      <c r="V1170" s="430">
        <v>725029</v>
      </c>
      <c r="AA1170" s="180" t="str">
        <f>VLOOKUP(A1170,[2]DG!$A:$C,3,0)</f>
        <v>Gia công và lắp dựng cột báo hiệu cao 9m</v>
      </c>
    </row>
    <row r="1171" spans="1:27" ht="15.75" hidden="1">
      <c r="A1171" s="873" t="s">
        <v>3754</v>
      </c>
      <c r="B1171" s="860"/>
      <c r="C1171" s="429" t="s">
        <v>2027</v>
      </c>
      <c r="D1171" s="364" t="s">
        <v>2026</v>
      </c>
      <c r="E1171" s="833"/>
      <c r="F1171" s="833">
        <f t="shared" si="100"/>
        <v>0</v>
      </c>
      <c r="G1171" s="833">
        <f t="shared" si="101"/>
        <v>0</v>
      </c>
      <c r="H1171" s="834">
        <v>1</v>
      </c>
      <c r="I1171" s="835"/>
      <c r="J1171" s="836"/>
      <c r="K1171" s="836"/>
      <c r="L1171" s="836"/>
      <c r="M1171" s="836"/>
      <c r="N1171" s="836"/>
      <c r="O1171" s="836"/>
      <c r="P1171" s="836"/>
      <c r="Q1171" s="836"/>
      <c r="R1171" s="837"/>
      <c r="T1171" s="155"/>
      <c r="U1171" s="155">
        <v>565009</v>
      </c>
      <c r="V1171" s="430">
        <v>792152</v>
      </c>
      <c r="AA1171" s="180" t="str">
        <f>VLOOKUP(A1171,[2]DG!$A:$C,3,0)</f>
        <v>Gia công và lắp dựng bảng báo hiệu</v>
      </c>
    </row>
    <row r="1172" spans="1:27" ht="15.75" hidden="1">
      <c r="A1172" s="873" t="s">
        <v>2028</v>
      </c>
      <c r="B1172" s="860"/>
      <c r="C1172" s="429" t="s">
        <v>2029</v>
      </c>
      <c r="D1172" s="364" t="s">
        <v>1624</v>
      </c>
      <c r="E1172" s="833"/>
      <c r="F1172" s="833">
        <f t="shared" si="100"/>
        <v>0</v>
      </c>
      <c r="G1172" s="833">
        <f t="shared" si="101"/>
        <v>0</v>
      </c>
      <c r="H1172" s="834">
        <v>1</v>
      </c>
      <c r="I1172" s="835"/>
      <c r="J1172" s="836"/>
      <c r="K1172" s="836"/>
      <c r="L1172" s="836"/>
      <c r="M1172" s="836"/>
      <c r="N1172" s="836"/>
      <c r="O1172" s="836"/>
      <c r="P1172" s="836"/>
      <c r="Q1172" s="836"/>
      <c r="R1172" s="837"/>
      <c r="T1172" s="155"/>
      <c r="U1172" s="155">
        <v>1000000</v>
      </c>
      <c r="V1172" s="430"/>
      <c r="AA1172" s="180" t="str">
        <f>VLOOKUP(A1172,[2]DG!$A:$C,3,0)</f>
        <v>Gia công và lắp thanh cái và phụ kiện trong tủ</v>
      </c>
    </row>
    <row r="1173" spans="1:27" ht="15.75" hidden="1">
      <c r="A1173" s="873" t="s">
        <v>3755</v>
      </c>
      <c r="B1173" s="859"/>
      <c r="C1173" s="429" t="s">
        <v>2030</v>
      </c>
      <c r="D1173" s="364" t="s">
        <v>481</v>
      </c>
      <c r="E1173" s="833">
        <v>6502</v>
      </c>
      <c r="F1173" s="833">
        <f t="shared" si="100"/>
        <v>0</v>
      </c>
      <c r="G1173" s="833">
        <f t="shared" si="101"/>
        <v>0</v>
      </c>
      <c r="H1173" s="834">
        <v>1</v>
      </c>
      <c r="I1173" s="835"/>
      <c r="J1173" s="836"/>
      <c r="K1173" s="836"/>
      <c r="L1173" s="836"/>
      <c r="M1173" s="836"/>
      <c r="N1173" s="836"/>
      <c r="O1173" s="836"/>
      <c r="P1173" s="836"/>
      <c r="Q1173" s="836"/>
      <c r="R1173" s="837">
        <v>0.5</v>
      </c>
      <c r="T1173" s="155">
        <v>6502</v>
      </c>
      <c r="U1173" s="155">
        <v>1354</v>
      </c>
      <c r="V1173" s="430"/>
      <c r="AA1173" s="180" t="str">
        <f>VLOOKUP(A1173,[2]DG!$A:$C,3,0)</f>
        <v>Sơn cột báo hiệu</v>
      </c>
    </row>
    <row r="1174" spans="1:27" ht="15.75" hidden="1">
      <c r="A1174" s="873" t="s">
        <v>3756</v>
      </c>
      <c r="B1174" s="859"/>
      <c r="C1174" s="429" t="s">
        <v>2031</v>
      </c>
      <c r="D1174" s="364" t="s">
        <v>481</v>
      </c>
      <c r="E1174" s="833">
        <v>6502</v>
      </c>
      <c r="F1174" s="833">
        <f t="shared" si="100"/>
        <v>0</v>
      </c>
      <c r="G1174" s="833">
        <f t="shared" si="101"/>
        <v>0</v>
      </c>
      <c r="H1174" s="834">
        <v>1</v>
      </c>
      <c r="I1174" s="835"/>
      <c r="J1174" s="836"/>
      <c r="K1174" s="836"/>
      <c r="L1174" s="836"/>
      <c r="M1174" s="836"/>
      <c r="N1174" s="836"/>
      <c r="O1174" s="836"/>
      <c r="P1174" s="836"/>
      <c r="Q1174" s="836"/>
      <c r="R1174" s="837">
        <v>0.5</v>
      </c>
      <c r="T1174" s="155">
        <v>6502</v>
      </c>
      <c r="U1174" s="155">
        <v>1354</v>
      </c>
      <c r="V1174" s="430"/>
      <c r="AA1174" s="180" t="str">
        <f>VLOOKUP(A1174,[2]DG!$A:$C,3,0)</f>
        <v>Sơn biển báo hiệu</v>
      </c>
    </row>
    <row r="1175" spans="1:27" ht="15.75" hidden="1">
      <c r="A1175" s="873" t="s">
        <v>2032</v>
      </c>
      <c r="B1175" s="859"/>
      <c r="C1175" s="429" t="s">
        <v>2033</v>
      </c>
      <c r="D1175" s="364" t="s">
        <v>2026</v>
      </c>
      <c r="E1175" s="833"/>
      <c r="F1175" s="833">
        <f t="shared" si="100"/>
        <v>0</v>
      </c>
      <c r="G1175" s="833">
        <f t="shared" si="101"/>
        <v>0</v>
      </c>
      <c r="H1175" s="834">
        <v>1</v>
      </c>
      <c r="I1175" s="835"/>
      <c r="J1175" s="836"/>
      <c r="K1175" s="836"/>
      <c r="L1175" s="836"/>
      <c r="M1175" s="836"/>
      <c r="N1175" s="836"/>
      <c r="O1175" s="836"/>
      <c r="P1175" s="836"/>
      <c r="Q1175" s="836"/>
      <c r="R1175" s="837"/>
      <c r="T1175" s="155"/>
      <c r="U1175" s="155">
        <v>8267</v>
      </c>
      <c r="V1175" s="430"/>
      <c r="AA1175" s="180" t="str">
        <f>VLOOKUP(A1175,[2]DG!$A:$C,3,0)</f>
        <v>Vận Chuyển thép</v>
      </c>
    </row>
    <row r="1176" spans="1:27" ht="15.75" hidden="1">
      <c r="A1176" s="873" t="s">
        <v>2034</v>
      </c>
      <c r="B1176" s="859"/>
      <c r="C1176" s="429" t="s">
        <v>3303</v>
      </c>
      <c r="D1176" s="364" t="s">
        <v>9</v>
      </c>
      <c r="E1176" s="833">
        <f>28961*2.8*15.3</f>
        <v>1240689.24</v>
      </c>
      <c r="F1176" s="833">
        <f t="shared" si="100"/>
        <v>0</v>
      </c>
      <c r="G1176" s="833">
        <f t="shared" si="101"/>
        <v>0</v>
      </c>
      <c r="H1176" s="834">
        <v>42312</v>
      </c>
      <c r="I1176" s="835"/>
      <c r="J1176" s="836"/>
      <c r="K1176" s="836"/>
      <c r="L1176" s="836"/>
      <c r="M1176" s="836"/>
      <c r="N1176" s="836"/>
      <c r="O1176" s="836"/>
      <c r="P1176" s="836"/>
      <c r="Q1176" s="836"/>
      <c r="R1176" s="837">
        <v>1</v>
      </c>
      <c r="T1176" s="155">
        <f>28961*2.8*15.3</f>
        <v>1240689.24</v>
      </c>
      <c r="U1176" s="155">
        <v>143732</v>
      </c>
      <c r="V1176" s="430">
        <v>0</v>
      </c>
      <c r="AA1176" s="180" t="str">
        <f>VLOOKUP(A1176,[2]DG!$A:$C,3,0)</f>
        <v>Đà U160x68x5x2800 đỡ MBA</v>
      </c>
    </row>
    <row r="1177" spans="1:27" ht="20.100000000000001" hidden="1" customHeight="1">
      <c r="A1177" s="873" t="s">
        <v>2035</v>
      </c>
      <c r="B1177" s="859"/>
      <c r="C1177" s="429" t="s">
        <v>3304</v>
      </c>
      <c r="D1177" s="364" t="s">
        <v>9</v>
      </c>
      <c r="E1177" s="833">
        <f>28961*19.8*2.8</f>
        <v>1605597.84</v>
      </c>
      <c r="F1177" s="833">
        <f t="shared" si="100"/>
        <v>0</v>
      </c>
      <c r="G1177" s="833">
        <f t="shared" si="101"/>
        <v>0</v>
      </c>
      <c r="H1177" s="834">
        <v>1</v>
      </c>
      <c r="I1177" s="835"/>
      <c r="J1177" s="836"/>
      <c r="K1177" s="836"/>
      <c r="L1177" s="836"/>
      <c r="M1177" s="836"/>
      <c r="N1177" s="836"/>
      <c r="O1177" s="836"/>
      <c r="P1177" s="836"/>
      <c r="Q1177" s="836"/>
      <c r="R1177" s="837">
        <v>1</v>
      </c>
      <c r="T1177" s="155">
        <f>28961*19.8*2.8</f>
        <v>1605597.84</v>
      </c>
      <c r="U1177" s="155">
        <v>72498</v>
      </c>
      <c r="V1177" s="430"/>
      <c r="AA1177" s="180" t="str">
        <f>VLOOKUP(A1177,[2]DG!$A:$C,3,0)</f>
        <v>Đà U200x80x5x2800 đỡ MBA</v>
      </c>
    </row>
    <row r="1178" spans="1:27" ht="20.100000000000001" hidden="1" customHeight="1">
      <c r="A1178" s="873" t="s">
        <v>2036</v>
      </c>
      <c r="B1178" s="859"/>
      <c r="C1178" s="429" t="s">
        <v>3305</v>
      </c>
      <c r="D1178" s="364" t="s">
        <v>9</v>
      </c>
      <c r="E1178" s="833">
        <f>28961*8.59*0.8</f>
        <v>199019.992</v>
      </c>
      <c r="F1178" s="833">
        <f t="shared" si="100"/>
        <v>0</v>
      </c>
      <c r="G1178" s="833">
        <f t="shared" si="101"/>
        <v>0</v>
      </c>
      <c r="H1178" s="834">
        <v>42312</v>
      </c>
      <c r="I1178" s="835"/>
      <c r="J1178" s="836"/>
      <c r="K1178" s="836"/>
      <c r="L1178" s="836"/>
      <c r="M1178" s="836"/>
      <c r="N1178" s="836"/>
      <c r="O1178" s="836"/>
      <c r="P1178" s="836"/>
      <c r="Q1178" s="836"/>
      <c r="R1178" s="837">
        <v>1</v>
      </c>
      <c r="T1178" s="155">
        <f>28961*8.59*0.8</f>
        <v>199019.992</v>
      </c>
      <c r="U1178" s="155">
        <v>47292</v>
      </c>
      <c r="V1178" s="430">
        <v>0</v>
      </c>
      <c r="AA1178" s="180" t="str">
        <f>VLOOKUP(A1178,[2]DG!$A:$C,3,0)</f>
        <v xml:space="preserve">Đà U100x46x5x800 </v>
      </c>
    </row>
    <row r="1179" spans="1:27" ht="20.100000000000001" hidden="1" customHeight="1">
      <c r="A1179" s="873" t="s">
        <v>2037</v>
      </c>
      <c r="B1179" s="859"/>
      <c r="C1179" s="429" t="s">
        <v>2038</v>
      </c>
      <c r="D1179" s="364" t="s">
        <v>9</v>
      </c>
      <c r="E1179" s="833">
        <v>22148</v>
      </c>
      <c r="F1179" s="833">
        <f t="shared" si="100"/>
        <v>0</v>
      </c>
      <c r="G1179" s="833">
        <f t="shared" si="101"/>
        <v>0</v>
      </c>
      <c r="H1179" s="834">
        <v>1</v>
      </c>
      <c r="I1179" s="835"/>
      <c r="J1179" s="836"/>
      <c r="K1179" s="836"/>
      <c r="L1179" s="836"/>
      <c r="M1179" s="836"/>
      <c r="N1179" s="836"/>
      <c r="O1179" s="836"/>
      <c r="P1179" s="836"/>
      <c r="Q1179" s="836"/>
      <c r="R1179" s="837">
        <v>1</v>
      </c>
      <c r="T1179" s="155">
        <v>22148</v>
      </c>
      <c r="U1179" s="155">
        <v>26505</v>
      </c>
      <c r="V1179" s="430"/>
      <c r="AA1179" s="180" t="str">
        <f>VLOOKUP(A1179,[2]DG!$A:$C,3,0)</f>
        <v>Đà sắt U80x340</v>
      </c>
    </row>
    <row r="1180" spans="1:27" ht="20.100000000000001" hidden="1" customHeight="1">
      <c r="A1180" s="873" t="s">
        <v>2039</v>
      </c>
      <c r="B1180" s="859"/>
      <c r="C1180" s="429" t="s">
        <v>3306</v>
      </c>
      <c r="D1180" s="364" t="s">
        <v>9</v>
      </c>
      <c r="E1180" s="833">
        <f>28961*0.4*8.59</f>
        <v>99509.996000000014</v>
      </c>
      <c r="F1180" s="833">
        <f t="shared" si="100"/>
        <v>0</v>
      </c>
      <c r="G1180" s="833">
        <f t="shared" si="101"/>
        <v>0</v>
      </c>
      <c r="H1180" s="834">
        <v>42312</v>
      </c>
      <c r="I1180" s="835"/>
      <c r="J1180" s="836"/>
      <c r="K1180" s="836"/>
      <c r="L1180" s="836"/>
      <c r="M1180" s="836"/>
      <c r="N1180" s="836"/>
      <c r="O1180" s="836"/>
      <c r="P1180" s="836"/>
      <c r="Q1180" s="836"/>
      <c r="R1180" s="837">
        <v>1</v>
      </c>
      <c r="T1180" s="155">
        <f>28961*0.4*8.59</f>
        <v>99509.996000000014</v>
      </c>
      <c r="U1180" s="155">
        <v>47292</v>
      </c>
      <c r="V1180" s="430">
        <v>0</v>
      </c>
      <c r="AA1180" s="180" t="str">
        <f>VLOOKUP(A1180,[2]DG!$A:$C,3,0)</f>
        <v xml:space="preserve">Đà U100x46x4.5x400 </v>
      </c>
    </row>
    <row r="1181" spans="1:27" ht="20.100000000000001" hidden="1" customHeight="1">
      <c r="A1181" s="879" t="s">
        <v>3427</v>
      </c>
      <c r="B1181" s="859"/>
      <c r="C1181" s="429" t="s">
        <v>3438</v>
      </c>
      <c r="D1181" s="364" t="s">
        <v>9</v>
      </c>
      <c r="E1181" s="833">
        <f>28961*8.59*0.5</f>
        <v>124387.495</v>
      </c>
      <c r="F1181" s="833">
        <f t="shared" ref="F1181:F1185" si="102">IF(OR(I1181="",J1181=""),0,IF(K1181*1=0,1,K1181)*VLOOKUP(I1181,TIENLUONG,4,0)*J1181)</f>
        <v>0</v>
      </c>
      <c r="G1181" s="833">
        <f t="shared" ref="G1181:G1185" si="103">L1181*VLOOKUP($L$1,CAMAY,2,0)+M1181*VLOOKUP($M$1,CAMAY,2,0)+N1181*VLOOKUP($N$1,CAMAY,2,0)+O1181*VLOOKUP($O$1,CAMAY,2,0)+P1181*VLOOKUP($P$1,CAMAY,2,0)</f>
        <v>0</v>
      </c>
      <c r="H1181" s="834">
        <v>42312</v>
      </c>
      <c r="I1181" s="835"/>
      <c r="J1181" s="836"/>
      <c r="K1181" s="836"/>
      <c r="L1181" s="836"/>
      <c r="M1181" s="836"/>
      <c r="N1181" s="836"/>
      <c r="O1181" s="836"/>
      <c r="P1181" s="836"/>
      <c r="Q1181" s="836"/>
      <c r="R1181" s="837">
        <v>1</v>
      </c>
      <c r="T1181" s="155">
        <f>28961*2.8*15.3</f>
        <v>1240689.24</v>
      </c>
      <c r="U1181" s="155">
        <v>143732</v>
      </c>
      <c r="V1181" s="430">
        <v>0</v>
      </c>
      <c r="AA1181" s="180" t="str">
        <f>VLOOKUP(A1181,[2]DG!$A:$C,3,0)</f>
        <v>Đà U100x46x4.5x500</v>
      </c>
    </row>
    <row r="1182" spans="1:27" ht="20.100000000000001" hidden="1" customHeight="1">
      <c r="A1182" s="879" t="s">
        <v>3428</v>
      </c>
      <c r="B1182" s="859"/>
      <c r="C1182" s="429" t="s">
        <v>3437</v>
      </c>
      <c r="D1182" s="364" t="s">
        <v>9</v>
      </c>
      <c r="E1182" s="833">
        <f>28961*8.59*0.7</f>
        <v>174142.49299999999</v>
      </c>
      <c r="F1182" s="833">
        <f t="shared" si="102"/>
        <v>0</v>
      </c>
      <c r="G1182" s="833">
        <f t="shared" si="103"/>
        <v>0</v>
      </c>
      <c r="H1182" s="834">
        <v>1</v>
      </c>
      <c r="I1182" s="835"/>
      <c r="J1182" s="836"/>
      <c r="K1182" s="836"/>
      <c r="L1182" s="836"/>
      <c r="M1182" s="836"/>
      <c r="N1182" s="836"/>
      <c r="O1182" s="836"/>
      <c r="P1182" s="836"/>
      <c r="Q1182" s="836"/>
      <c r="R1182" s="837">
        <v>1</v>
      </c>
      <c r="T1182" s="155">
        <f>28961*19.8*2.8</f>
        <v>1605597.84</v>
      </c>
      <c r="U1182" s="155">
        <v>72498</v>
      </c>
      <c r="V1182" s="430"/>
      <c r="AA1182" s="180" t="str">
        <f>VLOOKUP(A1182,[2]DG!$A:$C,3,0)</f>
        <v>Đà U100x46x4.5x700</v>
      </c>
    </row>
    <row r="1183" spans="1:27" ht="20.100000000000001" customHeight="1">
      <c r="A1183" s="879" t="s">
        <v>3429</v>
      </c>
      <c r="B1183" s="859"/>
      <c r="C1183" s="429" t="s">
        <v>3439</v>
      </c>
      <c r="D1183" s="364" t="s">
        <v>9</v>
      </c>
      <c r="E1183" s="833">
        <f>28961*8.59*0.7</f>
        <v>174142.49299999999</v>
      </c>
      <c r="F1183" s="833">
        <f t="shared" si="102"/>
        <v>0</v>
      </c>
      <c r="G1183" s="833">
        <f t="shared" si="103"/>
        <v>0</v>
      </c>
      <c r="H1183" s="834">
        <v>42312</v>
      </c>
      <c r="I1183" s="835"/>
      <c r="J1183" s="836"/>
      <c r="K1183" s="836"/>
      <c r="L1183" s="836"/>
      <c r="M1183" s="836"/>
      <c r="N1183" s="836"/>
      <c r="O1183" s="836"/>
      <c r="P1183" s="836"/>
      <c r="Q1183" s="836"/>
      <c r="R1183" s="837">
        <v>1</v>
      </c>
      <c r="T1183" s="155">
        <f>28961*8.59*0.8</f>
        <v>199019.992</v>
      </c>
      <c r="U1183" s="155">
        <v>47292</v>
      </c>
      <c r="V1183" s="430">
        <v>0</v>
      </c>
      <c r="AA1183" s="180" t="str">
        <f>VLOOKUP(A1183,[2]DG!$A:$C,3,0)</f>
        <v>Đà U100x46x4.5x700 - 6 lỗ (8,59kg/m)</v>
      </c>
    </row>
    <row r="1184" spans="1:27" ht="20.100000000000001" hidden="1" customHeight="1">
      <c r="A1184" s="879" t="s">
        <v>3430</v>
      </c>
      <c r="B1184" s="859"/>
      <c r="C1184" s="429" t="s">
        <v>3440</v>
      </c>
      <c r="D1184" s="364" t="s">
        <v>9</v>
      </c>
      <c r="E1184" s="833">
        <f>28961*14.2*0.74</f>
        <v>304322.18799999997</v>
      </c>
      <c r="F1184" s="833">
        <f t="shared" si="102"/>
        <v>0</v>
      </c>
      <c r="G1184" s="833">
        <f t="shared" si="103"/>
        <v>0</v>
      </c>
      <c r="H1184" s="834">
        <v>42311</v>
      </c>
      <c r="I1184" s="835"/>
      <c r="J1184" s="836"/>
      <c r="K1184" s="836"/>
      <c r="L1184" s="836"/>
      <c r="M1184" s="836"/>
      <c r="N1184" s="836"/>
      <c r="O1184" s="836"/>
      <c r="P1184" s="836"/>
      <c r="Q1184" s="836"/>
      <c r="R1184" s="837">
        <v>1</v>
      </c>
      <c r="T1184" s="155">
        <v>22148</v>
      </c>
      <c r="U1184" s="155">
        <v>26505</v>
      </c>
      <c r="V1184" s="430"/>
      <c r="AA1184" s="180" t="str">
        <f>VLOOKUP(A1184,[2]DG!$A:$C,3,0)</f>
        <v>Đà U100x68x5x740</v>
      </c>
    </row>
    <row r="1185" spans="1:27" ht="20.100000000000001" hidden="1" customHeight="1">
      <c r="A1185" s="879" t="s">
        <v>3431</v>
      </c>
      <c r="B1185" s="859"/>
      <c r="C1185" s="429" t="s">
        <v>3441</v>
      </c>
      <c r="D1185" s="364" t="s">
        <v>9</v>
      </c>
      <c r="E1185" s="833">
        <f>28961*14.2*1.7</f>
        <v>699118.53999999992</v>
      </c>
      <c r="F1185" s="833">
        <f t="shared" si="102"/>
        <v>0</v>
      </c>
      <c r="G1185" s="833">
        <f t="shared" si="103"/>
        <v>0</v>
      </c>
      <c r="H1185" s="834">
        <v>42312</v>
      </c>
      <c r="I1185" s="835"/>
      <c r="J1185" s="836"/>
      <c r="K1185" s="836"/>
      <c r="L1185" s="836"/>
      <c r="M1185" s="836"/>
      <c r="N1185" s="836"/>
      <c r="O1185" s="836"/>
      <c r="P1185" s="836"/>
      <c r="Q1185" s="836"/>
      <c r="R1185" s="837">
        <v>1</v>
      </c>
      <c r="T1185" s="155">
        <f>28961*0.4*8.59</f>
        <v>99509.996000000014</v>
      </c>
      <c r="U1185" s="155">
        <v>47292</v>
      </c>
      <c r="V1185" s="430">
        <v>0</v>
      </c>
      <c r="AA1185" s="180" t="str">
        <f>VLOOKUP(A1185,[2]DG!$A:$C,3,0)</f>
        <v>Đà U100x68x5x1700</v>
      </c>
    </row>
    <row r="1186" spans="1:27" ht="20.100000000000001" customHeight="1">
      <c r="A1186" s="879" t="s">
        <v>3432</v>
      </c>
      <c r="B1186" s="859"/>
      <c r="C1186" s="429" t="s">
        <v>4732</v>
      </c>
      <c r="D1186" s="364" t="s">
        <v>9</v>
      </c>
      <c r="E1186" s="833">
        <f>28961*14.2*1.81</f>
        <v>744355.62199999997</v>
      </c>
      <c r="F1186" s="833">
        <f t="shared" ref="F1186:F1187" si="104">IF(OR(I1186="",J1186=""),0,IF(K1186*1=0,1,K1186)*VLOOKUP(I1186,TIENLUONG,4,0)*J1186)</f>
        <v>0</v>
      </c>
      <c r="G1186" s="833">
        <f t="shared" ref="G1186:G1187" si="105">L1186*VLOOKUP($L$1,CAMAY,2,0)+M1186*VLOOKUP($M$1,CAMAY,2,0)+N1186*VLOOKUP($N$1,CAMAY,2,0)+O1186*VLOOKUP($O$1,CAMAY,2,0)+P1186*VLOOKUP($P$1,CAMAY,2,0)</f>
        <v>0</v>
      </c>
      <c r="H1186" s="834">
        <v>42313</v>
      </c>
      <c r="I1186" s="835"/>
      <c r="J1186" s="836"/>
      <c r="K1186" s="836"/>
      <c r="L1186" s="836"/>
      <c r="M1186" s="836"/>
      <c r="N1186" s="836"/>
      <c r="O1186" s="836"/>
      <c r="P1186" s="836"/>
      <c r="Q1186" s="836"/>
      <c r="R1186" s="837">
        <v>1</v>
      </c>
      <c r="T1186" s="155">
        <v>22148</v>
      </c>
      <c r="U1186" s="155">
        <v>26505</v>
      </c>
      <c r="V1186" s="430"/>
      <c r="AA1186" s="180" t="str">
        <f>VLOOKUP(A1186,[2]DG!$A:$C,3,0)</f>
        <v>Đà U160x64x5x1810 (14,2kg/m)</v>
      </c>
    </row>
    <row r="1187" spans="1:27" ht="20.100000000000001" hidden="1" customHeight="1">
      <c r="A1187" s="879" t="s">
        <v>3433</v>
      </c>
      <c r="B1187" s="859"/>
      <c r="C1187" s="429" t="s">
        <v>4733</v>
      </c>
      <c r="D1187" s="364" t="s">
        <v>9</v>
      </c>
      <c r="E1187" s="833">
        <f>28961*14.2*2.37</f>
        <v>974653.49399999995</v>
      </c>
      <c r="F1187" s="833">
        <f t="shared" si="104"/>
        <v>0</v>
      </c>
      <c r="G1187" s="833">
        <f t="shared" si="105"/>
        <v>0</v>
      </c>
      <c r="H1187" s="834">
        <v>42312</v>
      </c>
      <c r="I1187" s="835"/>
      <c r="J1187" s="836"/>
      <c r="K1187" s="836"/>
      <c r="L1187" s="836"/>
      <c r="M1187" s="836"/>
      <c r="N1187" s="836"/>
      <c r="O1187" s="836"/>
      <c r="P1187" s="836"/>
      <c r="Q1187" s="836"/>
      <c r="R1187" s="837">
        <v>1</v>
      </c>
      <c r="T1187" s="155">
        <f>28961*0.4*8.59</f>
        <v>99509.996000000014</v>
      </c>
      <c r="U1187" s="155">
        <v>47292</v>
      </c>
      <c r="V1187" s="430">
        <v>0</v>
      </c>
      <c r="AA1187" s="180" t="str">
        <f>VLOOKUP(A1187,[2]DG!$A:$C,3,0)</f>
        <v>Đà U100x68x5x2100</v>
      </c>
    </row>
    <row r="1188" spans="1:27" ht="20.100000000000001" hidden="1" customHeight="1">
      <c r="A1188" s="879" t="s">
        <v>3434</v>
      </c>
      <c r="B1188" s="859"/>
      <c r="C1188" s="429" t="s">
        <v>3442</v>
      </c>
      <c r="D1188" s="364" t="s">
        <v>9</v>
      </c>
      <c r="E1188" s="833">
        <f>28961*14.2*1.1</f>
        <v>452370.82</v>
      </c>
      <c r="F1188" s="833">
        <f t="shared" ref="F1188" si="106">IF(OR(I1188="",J1188=""),0,IF(K1188*1=0,1,K1188)*VLOOKUP(I1188,TIENLUONG,4,0)*J1188)</f>
        <v>0</v>
      </c>
      <c r="G1188" s="833">
        <f t="shared" ref="G1188" si="107">L1188*VLOOKUP($L$1,CAMAY,2,0)+M1188*VLOOKUP($M$1,CAMAY,2,0)+N1188*VLOOKUP($N$1,CAMAY,2,0)+O1188*VLOOKUP($O$1,CAMAY,2,0)+P1188*VLOOKUP($P$1,CAMAY,2,0)</f>
        <v>0</v>
      </c>
      <c r="H1188" s="834">
        <v>42312</v>
      </c>
      <c r="I1188" s="835"/>
      <c r="J1188" s="836"/>
      <c r="K1188" s="836"/>
      <c r="L1188" s="836"/>
      <c r="M1188" s="836"/>
      <c r="N1188" s="836"/>
      <c r="O1188" s="836"/>
      <c r="P1188" s="836"/>
      <c r="Q1188" s="836"/>
      <c r="R1188" s="837">
        <v>1</v>
      </c>
      <c r="T1188" s="155">
        <f>28961*0.4*8.59</f>
        <v>99509.996000000014</v>
      </c>
      <c r="U1188" s="155">
        <v>47292</v>
      </c>
      <c r="V1188" s="430">
        <v>0</v>
      </c>
      <c r="AA1188" s="180" t="str">
        <f>VLOOKUP(A1188,[2]DG!$A:$C,3,0)</f>
        <v>Đà U100x68x5x1100</v>
      </c>
    </row>
    <row r="1189" spans="1:27" ht="20.100000000000001" customHeight="1">
      <c r="A1189" s="873" t="s">
        <v>2873</v>
      </c>
      <c r="B1189" s="859"/>
      <c r="C1189" s="429" t="s">
        <v>2891</v>
      </c>
      <c r="D1189" s="364" t="s">
        <v>9</v>
      </c>
      <c r="E1189" s="833">
        <v>357131.94</v>
      </c>
      <c r="F1189" s="833">
        <f t="shared" si="100"/>
        <v>0</v>
      </c>
      <c r="G1189" s="833">
        <f t="shared" si="101"/>
        <v>0</v>
      </c>
      <c r="H1189" s="834">
        <v>42312</v>
      </c>
      <c r="I1189" s="835"/>
      <c r="J1189" s="836"/>
      <c r="K1189" s="836"/>
      <c r="L1189" s="836"/>
      <c r="M1189" s="836"/>
      <c r="N1189" s="836"/>
      <c r="O1189" s="836"/>
      <c r="P1189" s="836"/>
      <c r="Q1189" s="836"/>
      <c r="R1189" s="837">
        <v>1.2</v>
      </c>
      <c r="T1189" s="155">
        <v>357131.94</v>
      </c>
      <c r="U1189" s="155">
        <v>26505</v>
      </c>
      <c r="V1189" s="430">
        <v>0</v>
      </c>
      <c r="AA1189" s="180" t="str">
        <f>VLOOKUP(A1189,[2]DG!$A:$C,3,0)</f>
        <v>Đà U100x4.5x650 (1m x 12,34kg/m)</v>
      </c>
    </row>
    <row r="1190" spans="1:27" ht="20.100000000000001" hidden="1" customHeight="1">
      <c r="A1190" s="873" t="s">
        <v>2040</v>
      </c>
      <c r="B1190" s="859"/>
      <c r="C1190" s="429" t="s">
        <v>4654</v>
      </c>
      <c r="D1190" s="364" t="s">
        <v>163</v>
      </c>
      <c r="E1190" s="833">
        <v>40500</v>
      </c>
      <c r="F1190" s="833">
        <f t="shared" si="100"/>
        <v>0</v>
      </c>
      <c r="G1190" s="833">
        <f t="shared" si="101"/>
        <v>0</v>
      </c>
      <c r="H1190" s="834">
        <v>1</v>
      </c>
      <c r="I1190" s="835"/>
      <c r="J1190" s="836"/>
      <c r="K1190" s="836"/>
      <c r="L1190" s="836"/>
      <c r="M1190" s="836"/>
      <c r="N1190" s="836"/>
      <c r="O1190" s="836"/>
      <c r="P1190" s="836"/>
      <c r="Q1190" s="836"/>
      <c r="R1190" s="837">
        <v>2</v>
      </c>
      <c r="T1190" s="155">
        <v>40500</v>
      </c>
      <c r="U1190" s="155">
        <v>39758</v>
      </c>
      <c r="V1190" s="430"/>
      <c r="AA1190" s="180" t="str">
        <f>VLOOKUP(A1190,[2]DG!$A:$C,3,0)</f>
        <v>Xà kẹp TU, TI U50x32x4 350</v>
      </c>
    </row>
    <row r="1191" spans="1:27" ht="20.100000000000001" customHeight="1">
      <c r="A1191" s="873" t="s">
        <v>3319</v>
      </c>
      <c r="B1191" s="859"/>
      <c r="C1191" s="429" t="s">
        <v>3322</v>
      </c>
      <c r="D1191" s="364" t="s">
        <v>9</v>
      </c>
      <c r="E1191" s="833" t="e">
        <f>FEZN*(2.6+0.07*0)*9.02</f>
        <v>#REF!</v>
      </c>
      <c r="F1191" s="833">
        <f t="shared" ref="F1191:F1270" si="108">IF(OR(I1191="",J1191=""),0,IF(K1191*1=0,1,K1191)*VLOOKUP(I1191,TIENLUONG,4,0)*J1191)</f>
        <v>0</v>
      </c>
      <c r="G1191" s="833">
        <f t="shared" ref="G1191:G1241" si="109">L1191*VLOOKUP($L$1,CAMAY,2,0)+M1191*VLOOKUP($M$1,CAMAY,2,0)+N1191*VLOOKUP($N$1,CAMAY,2,0)+O1191*VLOOKUP($O$1,CAMAY,2,0)+P1191*VLOOKUP($P$1,CAMAY,2,0)</f>
        <v>0</v>
      </c>
      <c r="H1191" s="834" t="s">
        <v>4065</v>
      </c>
      <c r="I1191" s="835"/>
      <c r="J1191" s="836"/>
      <c r="K1191" s="836"/>
      <c r="L1191" s="836"/>
      <c r="M1191" s="836"/>
      <c r="N1191" s="836"/>
      <c r="O1191" s="836"/>
      <c r="P1191" s="836"/>
      <c r="Q1191" s="836"/>
      <c r="R1191" s="837">
        <v>1</v>
      </c>
      <c r="T1191" s="155">
        <f>28961*(2.6+0.07*0)*9.02</f>
        <v>679193.37199999997</v>
      </c>
      <c r="U1191" s="155">
        <v>143732</v>
      </c>
      <c r="V1191" s="430">
        <v>0</v>
      </c>
      <c r="AA1191" s="180" t="str">
        <f>VLOOKUP(A1191,[2]DG!$A:$C,3,0)</f>
        <v>Đà sắt L75x75x8x2600 3 ốp (25,35kg/cái)</v>
      </c>
    </row>
    <row r="1192" spans="1:27" ht="20.100000000000001" customHeight="1">
      <c r="A1192" s="873" t="s">
        <v>3314</v>
      </c>
      <c r="B1192" s="859"/>
      <c r="C1192" s="429" t="s">
        <v>3320</v>
      </c>
      <c r="D1192" s="364" t="s">
        <v>9</v>
      </c>
      <c r="E1192" s="833" t="e">
        <f>FEZN*(2.6+0.07*0)*9.02</f>
        <v>#REF!</v>
      </c>
      <c r="F1192" s="833">
        <f t="shared" si="108"/>
        <v>0</v>
      </c>
      <c r="G1192" s="833">
        <f t="shared" si="109"/>
        <v>0</v>
      </c>
      <c r="H1192" s="834" t="s">
        <v>4065</v>
      </c>
      <c r="I1192" s="835"/>
      <c r="J1192" s="836"/>
      <c r="K1192" s="836"/>
      <c r="L1192" s="836"/>
      <c r="M1192" s="836"/>
      <c r="N1192" s="836"/>
      <c r="O1192" s="836"/>
      <c r="P1192" s="836"/>
      <c r="Q1192" s="836"/>
      <c r="R1192" s="837">
        <v>1</v>
      </c>
      <c r="T1192" s="155">
        <f>28961*(2.6+0.07*0)*9.02</f>
        <v>679193.37199999997</v>
      </c>
      <c r="U1192" s="155">
        <v>143732</v>
      </c>
      <c r="V1192" s="430">
        <v>0</v>
      </c>
      <c r="AA1192" s="180" t="str">
        <f>VLOOKUP(A1192,[2]DG!$A:$C,3,0)</f>
        <v>Đà sắt L75x75x8x2600 0 ốp (23,45kg/cái)</v>
      </c>
    </row>
    <row r="1193" spans="1:27" ht="20.100000000000001" customHeight="1">
      <c r="A1193" s="873" t="s">
        <v>3308</v>
      </c>
      <c r="B1193" s="859"/>
      <c r="C1193" s="429" t="s">
        <v>3321</v>
      </c>
      <c r="D1193" s="364" t="s">
        <v>9</v>
      </c>
      <c r="E1193" s="833" t="e">
        <f>FEZN*(2.2+0.07*4)*9.02</f>
        <v>#REF!</v>
      </c>
      <c r="F1193" s="833">
        <f t="shared" si="108"/>
        <v>0</v>
      </c>
      <c r="G1193" s="833">
        <f t="shared" si="109"/>
        <v>0</v>
      </c>
      <c r="H1193" s="834" t="s">
        <v>4065</v>
      </c>
      <c r="I1193" s="835"/>
      <c r="J1193" s="836"/>
      <c r="K1193" s="836"/>
      <c r="L1193" s="836"/>
      <c r="M1193" s="836"/>
      <c r="N1193" s="836"/>
      <c r="O1193" s="836"/>
      <c r="P1193" s="836"/>
      <c r="Q1193" s="836"/>
      <c r="R1193" s="837">
        <v>1</v>
      </c>
      <c r="T1193" s="155">
        <f>28961*(2.2+0.07*4)*9.02</f>
        <v>647845.98560000013</v>
      </c>
      <c r="U1193" s="155">
        <v>143732</v>
      </c>
      <c r="V1193" s="430">
        <v>0</v>
      </c>
      <c r="AA1193" s="180" t="str">
        <f>VLOOKUP(A1193,[2]DG!$A:$C,3,0)</f>
        <v>Đà sắt L75x75x8x2200 4 ốp (22,37kg/cái)</v>
      </c>
    </row>
    <row r="1194" spans="1:27" ht="20.100000000000001" customHeight="1">
      <c r="A1194" s="873" t="s">
        <v>3309</v>
      </c>
      <c r="B1194" s="859"/>
      <c r="C1194" s="429" t="s">
        <v>3323</v>
      </c>
      <c r="D1194" s="364" t="s">
        <v>9</v>
      </c>
      <c r="E1194" s="833" t="e">
        <f>FEZN*(2.1+0.07*3)*9.02</f>
        <v>#REF!</v>
      </c>
      <c r="F1194" s="833">
        <f t="shared" si="108"/>
        <v>0</v>
      </c>
      <c r="G1194" s="833">
        <f t="shared" si="109"/>
        <v>0</v>
      </c>
      <c r="H1194" s="834" t="s">
        <v>4065</v>
      </c>
      <c r="I1194" s="835"/>
      <c r="J1194" s="836"/>
      <c r="K1194" s="836"/>
      <c r="L1194" s="836"/>
      <c r="M1194" s="836"/>
      <c r="N1194" s="836"/>
      <c r="O1194" s="836"/>
      <c r="P1194" s="836"/>
      <c r="Q1194" s="836"/>
      <c r="R1194" s="837">
        <v>1</v>
      </c>
      <c r="T1194" s="155">
        <f>28961*(2.1+0.07*3)*9.02</f>
        <v>603437.18819999998</v>
      </c>
      <c r="U1194" s="155">
        <v>72498</v>
      </c>
      <c r="V1194" s="430"/>
      <c r="AA1194" s="180" t="str">
        <f>VLOOKUP(A1194,[2]DG!$A:$C,3,0)</f>
        <v>Đà sắt L75x75x8x2100 lệch 100% 3 ốp (20,84kg/cái)</v>
      </c>
    </row>
    <row r="1195" spans="1:27" ht="20.100000000000001" customHeight="1">
      <c r="A1195" s="873" t="s">
        <v>3311</v>
      </c>
      <c r="B1195" s="859"/>
      <c r="C1195" s="429" t="s">
        <v>3324</v>
      </c>
      <c r="D1195" s="364" t="s">
        <v>9</v>
      </c>
      <c r="E1195" s="833" t="e">
        <f>FEZN*(2+0.07*3)*9.02</f>
        <v>#REF!</v>
      </c>
      <c r="F1195" s="833">
        <f t="shared" si="108"/>
        <v>0</v>
      </c>
      <c r="G1195" s="833">
        <f t="shared" si="109"/>
        <v>0</v>
      </c>
      <c r="H1195" s="834" t="s">
        <v>4065</v>
      </c>
      <c r="I1195" s="835"/>
      <c r="J1195" s="836"/>
      <c r="K1195" s="836"/>
      <c r="L1195" s="836"/>
      <c r="M1195" s="836"/>
      <c r="N1195" s="836"/>
      <c r="O1195" s="836"/>
      <c r="P1195" s="836"/>
      <c r="Q1195" s="836"/>
      <c r="R1195" s="837">
        <v>1</v>
      </c>
      <c r="T1195" s="155">
        <f>28961*(2+0.07*3)*9.02</f>
        <v>577314.36619999993</v>
      </c>
      <c r="U1195" s="155">
        <v>47292</v>
      </c>
      <c r="V1195" s="430">
        <v>0</v>
      </c>
      <c r="AA1195" s="180" t="str">
        <f>VLOOKUP(A1195,[2]DG!$A:$C,3,0)</f>
        <v>Đà sắt L75x75x8x2000 lệch 2/3 3 ốp (19,93kg/cái)</v>
      </c>
    </row>
    <row r="1196" spans="1:27" ht="20.100000000000001" customHeight="1">
      <c r="A1196" s="873" t="s">
        <v>3310</v>
      </c>
      <c r="B1196" s="859"/>
      <c r="C1196" s="429" t="s">
        <v>3325</v>
      </c>
      <c r="D1196" s="364" t="s">
        <v>9</v>
      </c>
      <c r="E1196" s="833" t="e">
        <f>FEZN*(1.6+0.07*2)*9.02</f>
        <v>#REF!</v>
      </c>
      <c r="F1196" s="833">
        <f t="shared" si="108"/>
        <v>0</v>
      </c>
      <c r="G1196" s="833">
        <f t="shared" si="109"/>
        <v>0</v>
      </c>
      <c r="H1196" s="834" t="s">
        <v>4065</v>
      </c>
      <c r="I1196" s="835"/>
      <c r="J1196" s="836"/>
      <c r="K1196" s="836"/>
      <c r="L1196" s="836"/>
      <c r="M1196" s="836"/>
      <c r="N1196" s="836"/>
      <c r="O1196" s="836"/>
      <c r="P1196" s="836"/>
      <c r="Q1196" s="836"/>
      <c r="R1196" s="837">
        <v>1</v>
      </c>
      <c r="T1196" s="155">
        <f>28961*(1.66+0.07*2)*9.02</f>
        <v>470210.79599999991</v>
      </c>
      <c r="U1196" s="155">
        <v>26505</v>
      </c>
      <c r="V1196" s="430"/>
      <c r="AA1196" s="180" t="str">
        <f>VLOOKUP(A1196,[2]DG!$A:$C,3,0)</f>
        <v>Đà sắt L75x75x8x1660 2 ốp (16,24kg/cái)</v>
      </c>
    </row>
    <row r="1197" spans="1:27" ht="20.100000000000001" customHeight="1">
      <c r="A1197" s="873" t="s">
        <v>4053</v>
      </c>
      <c r="B1197" s="859"/>
      <c r="C1197" s="429" t="s">
        <v>4056</v>
      </c>
      <c r="D1197" s="364" t="s">
        <v>9</v>
      </c>
      <c r="E1197" s="833" t="e">
        <f>FEZN*(0.8+0.07*1)*9.02</f>
        <v>#REF!</v>
      </c>
      <c r="F1197" s="833">
        <f t="shared" ref="F1197" si="110">IF(OR(I1197="",J1197=""),0,IF(K1197*1=0,1,K1197)*VLOOKUP(I1197,TIENLUONG,4,0)*J1197)</f>
        <v>0</v>
      </c>
      <c r="G1197" s="833">
        <f t="shared" ref="G1197" si="111">L1197*VLOOKUP($L$1,CAMAY,2,0)+M1197*VLOOKUP($M$1,CAMAY,2,0)+N1197*VLOOKUP($N$1,CAMAY,2,0)+O1197*VLOOKUP($O$1,CAMAY,2,0)+P1197*VLOOKUP($P$1,CAMAY,2,0)</f>
        <v>0</v>
      </c>
      <c r="H1197" s="834" t="s">
        <v>4065</v>
      </c>
      <c r="I1197" s="835"/>
      <c r="J1197" s="836"/>
      <c r="K1197" s="836"/>
      <c r="L1197" s="836"/>
      <c r="M1197" s="836"/>
      <c r="N1197" s="836"/>
      <c r="O1197" s="836"/>
      <c r="P1197" s="836"/>
      <c r="Q1197" s="836"/>
      <c r="R1197" s="837">
        <v>1</v>
      </c>
      <c r="T1197" s="155">
        <f>28961*(1.66+0.07*2)*9.02</f>
        <v>470210.79599999991</v>
      </c>
      <c r="U1197" s="155">
        <v>26505</v>
      </c>
      <c r="V1197" s="430"/>
      <c r="AA1197" s="180" t="str">
        <f>VLOOKUP(A1197,[2]DG!$A:$C,3,0)</f>
        <v>Đà sắt L75x75x8x800 1 ốp (7,85kg/cái)</v>
      </c>
    </row>
    <row r="1198" spans="1:27" ht="20.100000000000001" customHeight="1">
      <c r="A1198" s="873" t="s">
        <v>3313</v>
      </c>
      <c r="B1198" s="859"/>
      <c r="C1198" s="429" t="s">
        <v>4596</v>
      </c>
      <c r="D1198" s="364" t="s">
        <v>9</v>
      </c>
      <c r="E1198" s="833">
        <v>71533.670000000013</v>
      </c>
      <c r="F1198" s="833">
        <f t="shared" si="108"/>
        <v>0</v>
      </c>
      <c r="G1198" s="833">
        <f t="shared" si="109"/>
        <v>0</v>
      </c>
      <c r="H1198" s="834" t="s">
        <v>4065</v>
      </c>
      <c r="I1198" s="835"/>
      <c r="J1198" s="836"/>
      <c r="K1198" s="836"/>
      <c r="L1198" s="836"/>
      <c r="M1198" s="836"/>
      <c r="N1198" s="836"/>
      <c r="O1198" s="836"/>
      <c r="P1198" s="836"/>
      <c r="Q1198" s="836"/>
      <c r="R1198" s="837">
        <v>1</v>
      </c>
      <c r="T1198" s="155">
        <f>28961*0.81*3.05</f>
        <v>71548.150499999989</v>
      </c>
      <c r="U1198" s="155">
        <v>26505</v>
      </c>
      <c r="V1198" s="430"/>
      <c r="AA1198" s="180" t="str">
        <f>VLOOKUP(A1198,[2]DG!$A:$C,3,0)</f>
        <v>Thanh chống L50x50x5x810 (2,47kg/cái)</v>
      </c>
    </row>
    <row r="1199" spans="1:27" ht="20.100000000000001" customHeight="1">
      <c r="A1199" s="873" t="s">
        <v>4055</v>
      </c>
      <c r="B1199" s="859"/>
      <c r="C1199" s="429" t="s">
        <v>4597</v>
      </c>
      <c r="D1199" s="364" t="s">
        <v>9</v>
      </c>
      <c r="E1199" s="833">
        <f>28961*0.92*3.05</f>
        <v>81264.566000000006</v>
      </c>
      <c r="F1199" s="833">
        <f t="shared" ref="F1199" si="112">IF(OR(I1199="",J1199=""),0,IF(K1199*1=0,1,K1199)*VLOOKUP(I1199,TIENLUONG,4,0)*J1199)</f>
        <v>0</v>
      </c>
      <c r="G1199" s="833">
        <f t="shared" ref="G1199" si="113">L1199*VLOOKUP($L$1,CAMAY,2,0)+M1199*VLOOKUP($M$1,CAMAY,2,0)+N1199*VLOOKUP($N$1,CAMAY,2,0)+O1199*VLOOKUP($O$1,CAMAY,2,0)+P1199*VLOOKUP($P$1,CAMAY,2,0)</f>
        <v>0</v>
      </c>
      <c r="H1199" s="834">
        <v>1</v>
      </c>
      <c r="I1199" s="835"/>
      <c r="J1199" s="836"/>
      <c r="K1199" s="836"/>
      <c r="L1199" s="836"/>
      <c r="M1199" s="836"/>
      <c r="N1199" s="836"/>
      <c r="O1199" s="836"/>
      <c r="P1199" s="836"/>
      <c r="Q1199" s="836"/>
      <c r="R1199" s="837">
        <v>1</v>
      </c>
      <c r="T1199" s="155">
        <f>28961*0.81*3.05</f>
        <v>71548.150499999989</v>
      </c>
      <c r="U1199" s="155">
        <v>26505</v>
      </c>
      <c r="V1199" s="430"/>
      <c r="AA1199" s="180" t="str">
        <f>VLOOKUP(A1199,[2]DG!$A:$C,3,0)</f>
        <v>Thanh chống L50x50x5x920 (2,81kg/cái)</v>
      </c>
    </row>
    <row r="1200" spans="1:27" ht="23.25" customHeight="1">
      <c r="A1200" s="873" t="s">
        <v>3312</v>
      </c>
      <c r="B1200" s="859"/>
      <c r="C1200" s="429" t="s">
        <v>4598</v>
      </c>
      <c r="D1200" s="364" t="s">
        <v>9</v>
      </c>
      <c r="E1200" s="833">
        <f>28961*0.71*3.05</f>
        <v>62715.045499999986</v>
      </c>
      <c r="F1200" s="833">
        <f t="shared" si="108"/>
        <v>0</v>
      </c>
      <c r="G1200" s="833">
        <f t="shared" si="109"/>
        <v>0</v>
      </c>
      <c r="H1200" s="834">
        <v>1</v>
      </c>
      <c r="I1200" s="835"/>
      <c r="J1200" s="836"/>
      <c r="K1200" s="836"/>
      <c r="L1200" s="836"/>
      <c r="M1200" s="836"/>
      <c r="N1200" s="836"/>
      <c r="O1200" s="836"/>
      <c r="P1200" s="836"/>
      <c r="Q1200" s="836"/>
      <c r="R1200" s="837">
        <v>1</v>
      </c>
      <c r="T1200" s="155">
        <f>28961*0.71*3.05</f>
        <v>62715.045499999986</v>
      </c>
      <c r="U1200" s="155">
        <v>26505</v>
      </c>
      <c r="V1200" s="430"/>
      <c r="AA1200" s="180" t="str">
        <f>VLOOKUP(A1200,[2]DG!$A:$C,3,0)</f>
        <v>Thanh chống L50x50x5x710 (2,17kg/cái)</v>
      </c>
    </row>
    <row r="1201" spans="1:27" ht="20.100000000000001" customHeight="1">
      <c r="A1201" s="873" t="s">
        <v>4051</v>
      </c>
      <c r="B1201" s="859"/>
      <c r="C1201" s="429" t="s">
        <v>4599</v>
      </c>
      <c r="D1201" s="364" t="s">
        <v>9</v>
      </c>
      <c r="E1201" s="833">
        <f>28961*1.99*3.05</f>
        <v>175778.78949999998</v>
      </c>
      <c r="F1201" s="833">
        <f t="shared" ref="F1201" si="114">IF(OR(I1201="",J1201=""),0,IF(K1201*1=0,1,K1201)*VLOOKUP(I1201,TIENLUONG,4,0)*J1201)</f>
        <v>0</v>
      </c>
      <c r="G1201" s="833">
        <f t="shared" ref="G1201" si="115">L1201*VLOOKUP($L$1,CAMAY,2,0)+M1201*VLOOKUP($M$1,CAMAY,2,0)+N1201*VLOOKUP($N$1,CAMAY,2,0)+O1201*VLOOKUP($O$1,CAMAY,2,0)+P1201*VLOOKUP($P$1,CAMAY,2,0)</f>
        <v>0</v>
      </c>
      <c r="H1201" s="834">
        <v>1</v>
      </c>
      <c r="I1201" s="835"/>
      <c r="J1201" s="836"/>
      <c r="K1201" s="836"/>
      <c r="L1201" s="836"/>
      <c r="M1201" s="836"/>
      <c r="N1201" s="836"/>
      <c r="O1201" s="836"/>
      <c r="P1201" s="836"/>
      <c r="Q1201" s="836"/>
      <c r="R1201" s="837">
        <v>1</v>
      </c>
      <c r="T1201" s="155">
        <f>28961*0.71*3.05</f>
        <v>62715.045499999986</v>
      </c>
      <c r="U1201" s="155">
        <v>26505</v>
      </c>
      <c r="V1201" s="430"/>
      <c r="AA1201" s="180" t="str">
        <f>VLOOKUP(A1201,[2]DG!$A:$C,3,0)</f>
        <v>Thanh chống L50x50x5x1990 (6,07kg/cái)</v>
      </c>
    </row>
    <row r="1202" spans="1:27" ht="20.100000000000001" customHeight="1">
      <c r="A1202" s="873" t="s">
        <v>4052</v>
      </c>
      <c r="B1202" s="859"/>
      <c r="C1202" s="429" t="s">
        <v>4600</v>
      </c>
      <c r="D1202" s="364" t="s">
        <v>9</v>
      </c>
      <c r="E1202" s="833">
        <v>101653.11</v>
      </c>
      <c r="F1202" s="833">
        <f t="shared" ref="F1202" si="116">IF(OR(I1202="",J1202=""),0,IF(K1202*1=0,1,K1202)*VLOOKUP(I1202,TIENLUONG,4,0)*J1202)</f>
        <v>0</v>
      </c>
      <c r="G1202" s="833">
        <f t="shared" ref="G1202" si="117">L1202*VLOOKUP($L$1,CAMAY,2,0)+M1202*VLOOKUP($M$1,CAMAY,2,0)+N1202*VLOOKUP($N$1,CAMAY,2,0)+O1202*VLOOKUP($O$1,CAMAY,2,0)+P1202*VLOOKUP($P$1,CAMAY,2,0)</f>
        <v>0</v>
      </c>
      <c r="H1202" s="834" t="s">
        <v>4065</v>
      </c>
      <c r="I1202" s="835"/>
      <c r="J1202" s="836"/>
      <c r="K1202" s="836"/>
      <c r="L1202" s="836"/>
      <c r="M1202" s="836"/>
      <c r="N1202" s="836"/>
      <c r="O1202" s="836"/>
      <c r="P1202" s="836"/>
      <c r="Q1202" s="836"/>
      <c r="R1202" s="837">
        <v>1</v>
      </c>
      <c r="T1202" s="155">
        <f>28961*0.71*3.05</f>
        <v>62715.045499999986</v>
      </c>
      <c r="U1202" s="155">
        <v>26505</v>
      </c>
      <c r="V1202" s="430"/>
      <c r="AA1202" s="180" t="str">
        <f>VLOOKUP(A1202,[2]DG!$A:$C,3,0)</f>
        <v>Thanh chống L50x50x5x1150 (3,51kg/cái)</v>
      </c>
    </row>
    <row r="1203" spans="1:27" ht="20.100000000000001" customHeight="1">
      <c r="A1203" s="873" t="s">
        <v>4603</v>
      </c>
      <c r="B1203" s="859"/>
      <c r="C1203" s="429" t="s">
        <v>4602</v>
      </c>
      <c r="D1203" s="364" t="s">
        <v>182</v>
      </c>
      <c r="E1203" s="833">
        <v>28600</v>
      </c>
      <c r="F1203" s="833">
        <f t="shared" ref="F1203" si="118">IF(OR(I1203="",J1203=""),0,IF(K1203*1=0,1,K1203)*VLOOKUP(I1203,TIENLUONG,4,0)*J1203)</f>
        <v>0</v>
      </c>
      <c r="G1203" s="833">
        <f t="shared" ref="G1203" si="119">L1203*VLOOKUP($L$1,CAMAY,2,0)+M1203*VLOOKUP($M$1,CAMAY,2,0)+N1203*VLOOKUP($N$1,CAMAY,2,0)+O1203*VLOOKUP($O$1,CAMAY,2,0)+P1203*VLOOKUP($P$1,CAMAY,2,0)</f>
        <v>0</v>
      </c>
      <c r="H1203" s="834" t="s">
        <v>4065</v>
      </c>
      <c r="I1203" s="835"/>
      <c r="J1203" s="836"/>
      <c r="K1203" s="836"/>
      <c r="L1203" s="836"/>
      <c r="M1203" s="836"/>
      <c r="N1203" s="836"/>
      <c r="O1203" s="836"/>
      <c r="P1203" s="836"/>
      <c r="Q1203" s="836"/>
      <c r="R1203" s="837">
        <v>1</v>
      </c>
      <c r="T1203" s="155">
        <f>28961*0.71*3.05</f>
        <v>62715.045499999986</v>
      </c>
      <c r="U1203" s="155">
        <v>26505</v>
      </c>
      <c r="V1203" s="430"/>
      <c r="AA1203" s="180" t="str">
        <f>VLOOKUP(A1203,[2]DG!$A:$C,3,0)</f>
        <v>Thép CT3 V50x50x5/Zn (3,05kg/m)</v>
      </c>
    </row>
    <row r="1204" spans="1:27" ht="20.100000000000001" customHeight="1">
      <c r="A1204" s="873" t="s">
        <v>4601</v>
      </c>
      <c r="B1204" s="859"/>
      <c r="C1204" s="429" t="s">
        <v>4604</v>
      </c>
      <c r="D1204" s="364" t="s">
        <v>182</v>
      </c>
      <c r="E1204" s="833">
        <v>28600</v>
      </c>
      <c r="F1204" s="833">
        <f t="shared" ref="F1204" si="120">IF(OR(I1204="",J1204=""),0,IF(K1204*1=0,1,K1204)*VLOOKUP(I1204,TIENLUONG,4,0)*J1204)</f>
        <v>0</v>
      </c>
      <c r="G1204" s="833">
        <f t="shared" ref="G1204" si="121">L1204*VLOOKUP($L$1,CAMAY,2,0)+M1204*VLOOKUP($M$1,CAMAY,2,0)+N1204*VLOOKUP($N$1,CAMAY,2,0)+O1204*VLOOKUP($O$1,CAMAY,2,0)+P1204*VLOOKUP($P$1,CAMAY,2,0)</f>
        <v>0</v>
      </c>
      <c r="H1204" s="834" t="s">
        <v>4065</v>
      </c>
      <c r="I1204" s="835"/>
      <c r="J1204" s="836"/>
      <c r="K1204" s="836"/>
      <c r="L1204" s="836"/>
      <c r="M1204" s="836"/>
      <c r="N1204" s="836"/>
      <c r="O1204" s="836"/>
      <c r="P1204" s="836"/>
      <c r="Q1204" s="836"/>
      <c r="R1204" s="837">
        <v>1</v>
      </c>
      <c r="T1204" s="155">
        <f>28961*0.71*3.05</f>
        <v>62715.045499999986</v>
      </c>
      <c r="U1204" s="155">
        <v>26505</v>
      </c>
      <c r="V1204" s="430"/>
      <c r="AA1204" s="180" t="str">
        <f>VLOOKUP(A1204,[2]DG!$A:$C,3,0)</f>
        <v>Thép CT3 dẹt 50x5/Zn (1,5kg/m)</v>
      </c>
    </row>
    <row r="1205" spans="1:27" ht="20.100000000000001" hidden="1" customHeight="1">
      <c r="A1205" s="873" t="s">
        <v>2041</v>
      </c>
      <c r="B1205" s="860"/>
      <c r="C1205" s="429" t="s">
        <v>2042</v>
      </c>
      <c r="D1205" s="364" t="s">
        <v>163</v>
      </c>
      <c r="E1205" s="833">
        <v>40000</v>
      </c>
      <c r="F1205" s="833">
        <f t="shared" si="108"/>
        <v>0</v>
      </c>
      <c r="G1205" s="833">
        <f t="shared" si="109"/>
        <v>0</v>
      </c>
      <c r="H1205" s="834">
        <v>1</v>
      </c>
      <c r="I1205" s="835"/>
      <c r="J1205" s="836"/>
      <c r="K1205" s="836"/>
      <c r="L1205" s="836"/>
      <c r="M1205" s="836"/>
      <c r="N1205" s="836"/>
      <c r="O1205" s="836"/>
      <c r="P1205" s="836"/>
      <c r="Q1205" s="836"/>
      <c r="R1205" s="837">
        <v>1</v>
      </c>
      <c r="T1205" s="155">
        <v>40000</v>
      </c>
      <c r="U1205" s="155"/>
      <c r="V1205" s="155"/>
      <c r="AA1205" s="180" t="str">
        <f>VLOOKUP(A1205,[2]DG!$A:$C,3,0)</f>
        <v xml:space="preserve">Ampe kế 100/5A-600v +AS </v>
      </c>
    </row>
    <row r="1206" spans="1:27" ht="20.100000000000001" hidden="1" customHeight="1">
      <c r="A1206" s="873" t="s">
        <v>2043</v>
      </c>
      <c r="B1206" s="860"/>
      <c r="C1206" s="429" t="s">
        <v>2044</v>
      </c>
      <c r="D1206" s="364" t="s">
        <v>163</v>
      </c>
      <c r="E1206" s="833">
        <v>139000</v>
      </c>
      <c r="F1206" s="833">
        <f t="shared" si="108"/>
        <v>0</v>
      </c>
      <c r="G1206" s="833">
        <f t="shared" si="109"/>
        <v>0</v>
      </c>
      <c r="H1206" s="834">
        <v>1</v>
      </c>
      <c r="I1206" s="835"/>
      <c r="J1206" s="836"/>
      <c r="K1206" s="836"/>
      <c r="L1206" s="836"/>
      <c r="M1206" s="836"/>
      <c r="N1206" s="836"/>
      <c r="O1206" s="836"/>
      <c r="P1206" s="836"/>
      <c r="Q1206" s="836"/>
      <c r="R1206" s="837">
        <v>1</v>
      </c>
      <c r="T1206" s="155">
        <v>139000</v>
      </c>
      <c r="U1206" s="155"/>
      <c r="V1206" s="155"/>
      <c r="AA1206" s="180" t="str">
        <f>VLOOKUP(A1206,[2]DG!$A:$C,3,0)</f>
        <v>Volt kế 500V + VS + 2xChì ống 1A-230V</v>
      </c>
    </row>
    <row r="1207" spans="1:27" ht="20.100000000000001" hidden="1" customHeight="1">
      <c r="A1207" s="873" t="s">
        <v>2045</v>
      </c>
      <c r="B1207" s="860"/>
      <c r="C1207" s="429" t="s">
        <v>2046</v>
      </c>
      <c r="D1207" s="364" t="s">
        <v>163</v>
      </c>
      <c r="E1207" s="833">
        <v>80000</v>
      </c>
      <c r="F1207" s="833">
        <f t="shared" si="108"/>
        <v>0</v>
      </c>
      <c r="G1207" s="833">
        <f t="shared" si="109"/>
        <v>0</v>
      </c>
      <c r="H1207" s="834">
        <v>1</v>
      </c>
      <c r="I1207" s="835"/>
      <c r="J1207" s="836"/>
      <c r="K1207" s="836"/>
      <c r="L1207" s="836"/>
      <c r="M1207" s="836"/>
      <c r="N1207" s="836"/>
      <c r="O1207" s="836"/>
      <c r="P1207" s="836"/>
      <c r="Q1207" s="836"/>
      <c r="R1207" s="837">
        <v>2</v>
      </c>
      <c r="T1207" s="155">
        <v>80000</v>
      </c>
      <c r="U1207" s="155"/>
      <c r="V1207" s="155"/>
      <c r="AA1207" s="180" t="str">
        <f>VLOOKUP(A1207,[2]DG!$A:$C,3,0)</f>
        <v>Bộ Ampe kế + Volt kế (trạm 1 pha)</v>
      </c>
    </row>
    <row r="1208" spans="1:27" ht="20.100000000000001" hidden="1" customHeight="1">
      <c r="A1208" s="873" t="s">
        <v>2047</v>
      </c>
      <c r="B1208" s="860"/>
      <c r="C1208" s="429" t="s">
        <v>2048</v>
      </c>
      <c r="D1208" s="364" t="s">
        <v>163</v>
      </c>
      <c r="E1208" s="833">
        <v>160000</v>
      </c>
      <c r="F1208" s="833">
        <f t="shared" si="108"/>
        <v>0</v>
      </c>
      <c r="G1208" s="833">
        <f t="shared" si="109"/>
        <v>0</v>
      </c>
      <c r="H1208" s="834">
        <v>1</v>
      </c>
      <c r="I1208" s="835"/>
      <c r="J1208" s="836"/>
      <c r="K1208" s="836"/>
      <c r="L1208" s="836"/>
      <c r="M1208" s="836"/>
      <c r="N1208" s="836"/>
      <c r="O1208" s="836"/>
      <c r="P1208" s="836"/>
      <c r="Q1208" s="836"/>
      <c r="R1208" s="837">
        <v>2</v>
      </c>
      <c r="T1208" s="155">
        <v>160000</v>
      </c>
      <c r="U1208" s="155"/>
      <c r="V1208" s="155"/>
      <c r="AA1208" s="180" t="str">
        <f>VLOOKUP(A1208,[2]DG!$A:$C,3,0)</f>
        <v>Bộ Ampe kế + Volt kế (trạm 3 pha)</v>
      </c>
    </row>
    <row r="1209" spans="1:27" ht="20.100000000000001" hidden="1" customHeight="1">
      <c r="A1209" s="872" t="s">
        <v>3757</v>
      </c>
      <c r="B1209" s="860"/>
      <c r="C1209" s="421" t="s">
        <v>2049</v>
      </c>
      <c r="D1209" s="364" t="s">
        <v>476</v>
      </c>
      <c r="E1209" s="833">
        <v>40000</v>
      </c>
      <c r="F1209" s="833">
        <f t="shared" si="108"/>
        <v>0</v>
      </c>
      <c r="G1209" s="833">
        <f t="shared" si="109"/>
        <v>0</v>
      </c>
      <c r="H1209" s="834">
        <v>1</v>
      </c>
      <c r="I1209" s="835"/>
      <c r="J1209" s="836"/>
      <c r="K1209" s="836"/>
      <c r="L1209" s="836"/>
      <c r="M1209" s="836"/>
      <c r="N1209" s="836"/>
      <c r="O1209" s="836"/>
      <c r="P1209" s="836"/>
      <c r="Q1209" s="836"/>
      <c r="R1209" s="837">
        <v>0.5</v>
      </c>
      <c r="T1209" s="155">
        <v>40000</v>
      </c>
      <c r="U1209" s="155"/>
      <c r="V1209" s="155"/>
      <c r="AA1209" s="180" t="str">
        <f>VLOOKUP(A1209,[2]DG!$A:$C,3,0)</f>
        <v>Hơi Axetylen</v>
      </c>
    </row>
    <row r="1210" spans="1:27" ht="20.100000000000001" hidden="1" customHeight="1">
      <c r="A1210" s="875" t="s">
        <v>2050</v>
      </c>
      <c r="B1210" s="859"/>
      <c r="C1210" s="421" t="s">
        <v>4140</v>
      </c>
      <c r="D1210" s="364" t="s">
        <v>9</v>
      </c>
      <c r="E1210" s="833">
        <v>16000</v>
      </c>
      <c r="F1210" s="833">
        <f t="shared" si="108"/>
        <v>0</v>
      </c>
      <c r="G1210" s="833">
        <f t="shared" si="109"/>
        <v>0</v>
      </c>
      <c r="H1210" s="834">
        <v>1</v>
      </c>
      <c r="I1210" s="835"/>
      <c r="J1210" s="836"/>
      <c r="K1210" s="836"/>
      <c r="L1210" s="836"/>
      <c r="M1210" s="836"/>
      <c r="N1210" s="836"/>
      <c r="O1210" s="836"/>
      <c r="P1210" s="836"/>
      <c r="Q1210" s="836"/>
      <c r="R1210" s="837">
        <v>0.2</v>
      </c>
      <c r="T1210" s="155">
        <v>16000</v>
      </c>
      <c r="U1210" s="155">
        <v>6546</v>
      </c>
      <c r="V1210" s="155"/>
      <c r="AA1210" s="180" t="str">
        <f>VLOOKUP(A1210,[2]DG!$A:$C,3,0)</f>
        <v>Ghíp nối IPC 11-11</v>
      </c>
    </row>
    <row r="1211" spans="1:27" ht="20.100000000000001" hidden="1" customHeight="1">
      <c r="A1211" s="875" t="s">
        <v>2051</v>
      </c>
      <c r="B1211" s="859"/>
      <c r="C1211" s="421" t="s">
        <v>4139</v>
      </c>
      <c r="D1211" s="364" t="s">
        <v>9</v>
      </c>
      <c r="E1211" s="833">
        <v>16000</v>
      </c>
      <c r="F1211" s="833">
        <f t="shared" si="108"/>
        <v>0</v>
      </c>
      <c r="G1211" s="833">
        <f t="shared" si="109"/>
        <v>0</v>
      </c>
      <c r="H1211" s="834">
        <v>1</v>
      </c>
      <c r="I1211" s="835"/>
      <c r="J1211" s="836"/>
      <c r="K1211" s="836"/>
      <c r="L1211" s="836"/>
      <c r="M1211" s="836"/>
      <c r="N1211" s="836"/>
      <c r="O1211" s="836"/>
      <c r="P1211" s="836"/>
      <c r="Q1211" s="836"/>
      <c r="R1211" s="837">
        <v>0.2</v>
      </c>
      <c r="T1211" s="155">
        <v>16000</v>
      </c>
      <c r="U1211" s="155">
        <v>6546</v>
      </c>
      <c r="V1211" s="155"/>
      <c r="AA1211" s="180" t="str">
        <f>VLOOKUP(A1211,[2]DG!$A:$C,3,0)</f>
        <v>Ghíp nối IPC 22-11</v>
      </c>
    </row>
    <row r="1212" spans="1:27" ht="20.100000000000001" hidden="1" customHeight="1">
      <c r="A1212" s="875" t="s">
        <v>2052</v>
      </c>
      <c r="B1212" s="859"/>
      <c r="C1212" s="421" t="s">
        <v>4138</v>
      </c>
      <c r="D1212" s="364" t="s">
        <v>9</v>
      </c>
      <c r="E1212" s="833">
        <v>16000</v>
      </c>
      <c r="F1212" s="833">
        <f t="shared" si="108"/>
        <v>0</v>
      </c>
      <c r="G1212" s="833">
        <f t="shared" si="109"/>
        <v>0</v>
      </c>
      <c r="H1212" s="834">
        <v>1</v>
      </c>
      <c r="I1212" s="835"/>
      <c r="J1212" s="836"/>
      <c r="K1212" s="836"/>
      <c r="L1212" s="836"/>
      <c r="M1212" s="836"/>
      <c r="N1212" s="836"/>
      <c r="O1212" s="836"/>
      <c r="P1212" s="836"/>
      <c r="Q1212" s="836"/>
      <c r="R1212" s="837">
        <v>0.2</v>
      </c>
      <c r="T1212" s="155">
        <v>16000</v>
      </c>
      <c r="U1212" s="155">
        <v>6546</v>
      </c>
      <c r="V1212" s="155"/>
      <c r="AA1212" s="180" t="str">
        <f>VLOOKUP(A1212,[2]DG!$A:$C,3,0)</f>
        <v>Ghíp nối IPC 22-22</v>
      </c>
    </row>
    <row r="1213" spans="1:27" ht="20.100000000000001" customHeight="1">
      <c r="A1213" s="875" t="s">
        <v>4719</v>
      </c>
      <c r="B1213" s="859"/>
      <c r="C1213" s="421" t="s">
        <v>4720</v>
      </c>
      <c r="D1213" s="364" t="s">
        <v>9</v>
      </c>
      <c r="E1213" s="833">
        <v>19200</v>
      </c>
      <c r="F1213" s="833">
        <f t="shared" si="108"/>
        <v>0</v>
      </c>
      <c r="G1213" s="833">
        <f t="shared" si="109"/>
        <v>0</v>
      </c>
      <c r="H1213" s="834" t="s">
        <v>4065</v>
      </c>
      <c r="I1213" s="835"/>
      <c r="J1213" s="836"/>
      <c r="K1213" s="836"/>
      <c r="L1213" s="836"/>
      <c r="M1213" s="836"/>
      <c r="N1213" s="836"/>
      <c r="O1213" s="836"/>
      <c r="P1213" s="836"/>
      <c r="Q1213" s="836"/>
      <c r="R1213" s="837">
        <v>0.2</v>
      </c>
      <c r="T1213" s="155">
        <v>11700</v>
      </c>
      <c r="U1213" s="155">
        <v>6546</v>
      </c>
      <c r="V1213" s="155"/>
      <c r="AA1213" s="180" t="str">
        <f>VLOOKUP(A1213,[2]DG!$A:$C,3,0)</f>
        <v>Ghíp nối IPC 6-35 2BL</v>
      </c>
    </row>
    <row r="1214" spans="1:27" ht="20.100000000000001" hidden="1" customHeight="1">
      <c r="A1214" s="875" t="s">
        <v>4836</v>
      </c>
      <c r="B1214" s="859"/>
      <c r="C1214" s="421" t="s">
        <v>4843</v>
      </c>
      <c r="D1214" s="364" t="s">
        <v>9</v>
      </c>
      <c r="E1214" s="833">
        <v>11700</v>
      </c>
      <c r="F1214" s="833">
        <f t="shared" si="108"/>
        <v>0</v>
      </c>
      <c r="G1214" s="833">
        <f t="shared" si="109"/>
        <v>0</v>
      </c>
      <c r="H1214" s="834">
        <v>1</v>
      </c>
      <c r="I1214" s="835"/>
      <c r="J1214" s="836"/>
      <c r="K1214" s="836"/>
      <c r="L1214" s="836"/>
      <c r="M1214" s="836"/>
      <c r="N1214" s="836"/>
      <c r="O1214" s="836"/>
      <c r="P1214" s="836"/>
      <c r="Q1214" s="836"/>
      <c r="R1214" s="837">
        <v>0.2</v>
      </c>
      <c r="T1214" s="155">
        <v>11700</v>
      </c>
      <c r="U1214" s="155">
        <v>6546</v>
      </c>
      <c r="V1214" s="155"/>
      <c r="AA1214" s="180" t="str">
        <f>VLOOKUP(A1214,[2]DG!$A:$C,3,0)</f>
        <v>Ghíp nối IPC 50-25 1 bulong</v>
      </c>
    </row>
    <row r="1215" spans="1:27" ht="20.100000000000001" hidden="1" customHeight="1">
      <c r="A1215" s="875" t="s">
        <v>2054</v>
      </c>
      <c r="B1215" s="859"/>
      <c r="C1215" s="421" t="s">
        <v>4137</v>
      </c>
      <c r="D1215" s="364" t="s">
        <v>9</v>
      </c>
      <c r="E1215" s="833">
        <v>11700</v>
      </c>
      <c r="F1215" s="833">
        <f t="shared" si="108"/>
        <v>0</v>
      </c>
      <c r="G1215" s="833">
        <f t="shared" si="109"/>
        <v>0</v>
      </c>
      <c r="H1215" s="834">
        <v>1</v>
      </c>
      <c r="I1215" s="835"/>
      <c r="J1215" s="836"/>
      <c r="K1215" s="836"/>
      <c r="L1215" s="836"/>
      <c r="M1215" s="836"/>
      <c r="N1215" s="836"/>
      <c r="O1215" s="836"/>
      <c r="P1215" s="836"/>
      <c r="Q1215" s="836"/>
      <c r="R1215" s="837">
        <v>0.2</v>
      </c>
      <c r="T1215" s="155">
        <v>11700</v>
      </c>
      <c r="U1215" s="155">
        <v>6546</v>
      </c>
      <c r="V1215" s="155"/>
      <c r="AA1215" s="180" t="str">
        <f>VLOOKUP(A1215,[2]DG!$A:$C,3,0)</f>
        <v>Ghíp nối IPC 70-35</v>
      </c>
    </row>
    <row r="1216" spans="1:27" ht="20.100000000000001" customHeight="1">
      <c r="A1216" s="875" t="s">
        <v>2055</v>
      </c>
      <c r="B1216" s="859"/>
      <c r="C1216" s="421" t="s">
        <v>4136</v>
      </c>
      <c r="D1216" s="364" t="s">
        <v>9</v>
      </c>
      <c r="E1216" s="833">
        <v>22000</v>
      </c>
      <c r="F1216" s="833">
        <f t="shared" si="108"/>
        <v>0</v>
      </c>
      <c r="G1216" s="833">
        <f t="shared" si="109"/>
        <v>0</v>
      </c>
      <c r="H1216" s="834">
        <v>1</v>
      </c>
      <c r="I1216" s="835"/>
      <c r="J1216" s="836"/>
      <c r="K1216" s="836"/>
      <c r="L1216" s="836"/>
      <c r="M1216" s="836"/>
      <c r="N1216" s="836"/>
      <c r="O1216" s="836"/>
      <c r="P1216" s="836"/>
      <c r="Q1216" s="836"/>
      <c r="R1216" s="837">
        <v>0.2</v>
      </c>
      <c r="T1216" s="155">
        <v>22000</v>
      </c>
      <c r="U1216" s="155">
        <v>6546</v>
      </c>
      <c r="V1216" s="155"/>
      <c r="AA1216" s="180" t="str">
        <f>VLOOKUP(A1216,[2]DG!$A:$C,3,0)</f>
        <v>Ghíp nối IPC 70-25 2BL</v>
      </c>
    </row>
    <row r="1217" spans="1:27" ht="20.100000000000001" hidden="1" customHeight="1">
      <c r="A1217" s="875" t="s">
        <v>4837</v>
      </c>
      <c r="B1217" s="859">
        <v>0</v>
      </c>
      <c r="C1217" s="421" t="s">
        <v>4840</v>
      </c>
      <c r="D1217" s="364" t="s">
        <v>9</v>
      </c>
      <c r="E1217" s="833">
        <v>40000</v>
      </c>
      <c r="F1217" s="833">
        <f t="shared" si="108"/>
        <v>0</v>
      </c>
      <c r="G1217" s="833">
        <f t="shared" si="109"/>
        <v>0</v>
      </c>
      <c r="H1217" s="834" t="s">
        <v>4065</v>
      </c>
      <c r="I1217" s="835"/>
      <c r="J1217" s="836"/>
      <c r="K1217" s="836"/>
      <c r="L1217" s="836"/>
      <c r="M1217" s="836"/>
      <c r="N1217" s="836"/>
      <c r="O1217" s="836"/>
      <c r="P1217" s="836"/>
      <c r="Q1217" s="836"/>
      <c r="R1217" s="837">
        <v>0.2</v>
      </c>
      <c r="T1217" s="155">
        <v>45000</v>
      </c>
      <c r="U1217" s="155">
        <v>6546</v>
      </c>
      <c r="V1217" s="155">
        <v>0</v>
      </c>
      <c r="AA1217" s="180" t="str">
        <f>VLOOKUP(A1217,[2]DG!$A:$C,3,0)</f>
        <v>Ghíp nối IPC 95-25 (2 boulon)</v>
      </c>
    </row>
    <row r="1218" spans="1:27" ht="20.100000000000001" hidden="1" customHeight="1">
      <c r="A1218" s="875" t="s">
        <v>2056</v>
      </c>
      <c r="B1218" s="859"/>
      <c r="C1218" s="421" t="s">
        <v>4135</v>
      </c>
      <c r="D1218" s="364" t="s">
        <v>9</v>
      </c>
      <c r="E1218" s="833">
        <v>25000</v>
      </c>
      <c r="F1218" s="833">
        <f t="shared" si="108"/>
        <v>0</v>
      </c>
      <c r="G1218" s="833">
        <f t="shared" si="109"/>
        <v>0</v>
      </c>
      <c r="H1218" s="834">
        <v>1</v>
      </c>
      <c r="I1218" s="835"/>
      <c r="J1218" s="836"/>
      <c r="K1218" s="836"/>
      <c r="L1218" s="836"/>
      <c r="M1218" s="836"/>
      <c r="N1218" s="836"/>
      <c r="O1218" s="836"/>
      <c r="P1218" s="836"/>
      <c r="Q1218" s="836"/>
      <c r="R1218" s="837">
        <v>0.2</v>
      </c>
      <c r="T1218" s="155">
        <v>25000</v>
      </c>
      <c r="U1218" s="155">
        <v>6546</v>
      </c>
      <c r="V1218" s="155"/>
      <c r="AA1218" s="180" t="str">
        <f>VLOOKUP(A1218,[2]DG!$A:$C,3,0)</f>
        <v>Ghíp nối IPC 120-35</v>
      </c>
    </row>
    <row r="1219" spans="1:27" ht="20.100000000000001" hidden="1" customHeight="1">
      <c r="A1219" s="875" t="s">
        <v>4131</v>
      </c>
      <c r="B1219" s="859"/>
      <c r="C1219" s="421" t="s">
        <v>4134</v>
      </c>
      <c r="D1219" s="364" t="s">
        <v>9</v>
      </c>
      <c r="E1219" s="833">
        <v>45000</v>
      </c>
      <c r="F1219" s="833">
        <f t="shared" ref="F1219" si="122">IF(OR(I1219="",J1219=""),0,IF(K1219*1=0,1,K1219)*VLOOKUP(I1219,TIENLUONG,4,0)*J1219)</f>
        <v>0</v>
      </c>
      <c r="G1219" s="833">
        <f t="shared" ref="G1219" si="123">L1219*VLOOKUP($L$1,CAMAY,2,0)+M1219*VLOOKUP($M$1,CAMAY,2,0)+N1219*VLOOKUP($N$1,CAMAY,2,0)+O1219*VLOOKUP($O$1,CAMAY,2,0)+P1219*VLOOKUP($P$1,CAMAY,2,0)</f>
        <v>0</v>
      </c>
      <c r="H1219" s="834">
        <v>1</v>
      </c>
      <c r="I1219" s="835"/>
      <c r="J1219" s="836"/>
      <c r="K1219" s="836"/>
      <c r="L1219" s="836"/>
      <c r="M1219" s="836"/>
      <c r="N1219" s="836"/>
      <c r="O1219" s="836"/>
      <c r="P1219" s="836"/>
      <c r="Q1219" s="836"/>
      <c r="R1219" s="837">
        <v>0.2</v>
      </c>
      <c r="T1219" s="155">
        <v>25000</v>
      </c>
      <c r="U1219" s="155">
        <v>6546</v>
      </c>
      <c r="V1219" s="155"/>
      <c r="AA1219" s="180" t="str">
        <f>VLOOKUP(A1219,[2]DG!$A:$C,3,0)</f>
        <v>Ghíp nối IPC 120-25</v>
      </c>
    </row>
    <row r="1220" spans="1:27" ht="20.100000000000001" hidden="1" customHeight="1">
      <c r="A1220" s="875" t="s">
        <v>4132</v>
      </c>
      <c r="B1220" s="859"/>
      <c r="C1220" s="421" t="s">
        <v>4133</v>
      </c>
      <c r="D1220" s="364" t="s">
        <v>9</v>
      </c>
      <c r="E1220" s="833">
        <v>45000</v>
      </c>
      <c r="F1220" s="833">
        <f t="shared" ref="F1220" si="124">IF(OR(I1220="",J1220=""),0,IF(K1220*1=0,1,K1220)*VLOOKUP(I1220,TIENLUONG,4,0)*J1220)</f>
        <v>0</v>
      </c>
      <c r="G1220" s="833">
        <f t="shared" ref="G1220" si="125">L1220*VLOOKUP($L$1,CAMAY,2,0)+M1220*VLOOKUP($M$1,CAMAY,2,0)+N1220*VLOOKUP($N$1,CAMAY,2,0)+O1220*VLOOKUP($O$1,CAMAY,2,0)+P1220*VLOOKUP($P$1,CAMAY,2,0)</f>
        <v>0</v>
      </c>
      <c r="H1220" s="834">
        <v>1</v>
      </c>
      <c r="I1220" s="835"/>
      <c r="J1220" s="836"/>
      <c r="K1220" s="836"/>
      <c r="L1220" s="836"/>
      <c r="M1220" s="836"/>
      <c r="N1220" s="836"/>
      <c r="O1220" s="836"/>
      <c r="P1220" s="836"/>
      <c r="Q1220" s="836"/>
      <c r="R1220" s="837">
        <v>0.2</v>
      </c>
      <c r="T1220" s="155">
        <v>25000</v>
      </c>
      <c r="U1220" s="155">
        <v>6546</v>
      </c>
      <c r="V1220" s="155"/>
      <c r="AA1220" s="180" t="str">
        <f>VLOOKUP(A1220,[2]DG!$A:$C,3,0)</f>
        <v>Ghíp nối IPC 120-120</v>
      </c>
    </row>
    <row r="1221" spans="1:27" ht="20.100000000000001" hidden="1" customHeight="1">
      <c r="A1221" s="875" t="s">
        <v>2057</v>
      </c>
      <c r="B1221" s="859"/>
      <c r="C1221" s="421" t="s">
        <v>2058</v>
      </c>
      <c r="D1221" s="364" t="s">
        <v>9</v>
      </c>
      <c r="E1221" s="833">
        <v>18000</v>
      </c>
      <c r="F1221" s="833">
        <f t="shared" si="108"/>
        <v>0</v>
      </c>
      <c r="G1221" s="833">
        <f t="shared" si="109"/>
        <v>0</v>
      </c>
      <c r="H1221" s="834">
        <v>1</v>
      </c>
      <c r="I1221" s="835"/>
      <c r="J1221" s="836"/>
      <c r="K1221" s="836"/>
      <c r="L1221" s="836"/>
      <c r="M1221" s="836"/>
      <c r="N1221" s="836"/>
      <c r="O1221" s="836"/>
      <c r="P1221" s="836"/>
      <c r="Q1221" s="836"/>
      <c r="R1221" s="837">
        <v>0.2</v>
      </c>
      <c r="T1221" s="155">
        <v>18000</v>
      </c>
      <c r="U1221" s="155">
        <v>6546</v>
      </c>
      <c r="V1221" s="155"/>
      <c r="AA1221" s="180" t="str">
        <f>VLOOKUP(A1221,[2]DG!$A:$C,3,0)</f>
        <v>Ghíp nối IPC 50-50 1 bulong</v>
      </c>
    </row>
    <row r="1222" spans="1:27" ht="20.100000000000001" hidden="1" customHeight="1">
      <c r="A1222" s="875" t="s">
        <v>2059</v>
      </c>
      <c r="B1222" s="859"/>
      <c r="C1222" s="421" t="s">
        <v>2060</v>
      </c>
      <c r="D1222" s="364" t="s">
        <v>9</v>
      </c>
      <c r="E1222" s="833">
        <v>19600</v>
      </c>
      <c r="F1222" s="833">
        <f t="shared" si="108"/>
        <v>0</v>
      </c>
      <c r="G1222" s="833">
        <f t="shared" si="109"/>
        <v>0</v>
      </c>
      <c r="H1222" s="834">
        <v>1</v>
      </c>
      <c r="I1222" s="835"/>
      <c r="J1222" s="836"/>
      <c r="K1222" s="836"/>
      <c r="L1222" s="836"/>
      <c r="M1222" s="836"/>
      <c r="N1222" s="836"/>
      <c r="O1222" s="836"/>
      <c r="P1222" s="836"/>
      <c r="Q1222" s="836"/>
      <c r="R1222" s="837">
        <v>0.2</v>
      </c>
      <c r="T1222" s="155">
        <v>19600</v>
      </c>
      <c r="U1222" s="155">
        <v>6546</v>
      </c>
      <c r="V1222" s="155"/>
      <c r="AA1222" s="180" t="str">
        <f>VLOOKUP(A1222,[2]DG!$A:$C,3,0)</f>
        <v>Ghíp nối IPC 70-50 1 bulong</v>
      </c>
    </row>
    <row r="1223" spans="1:27" ht="20.100000000000001" hidden="1" customHeight="1">
      <c r="A1223" s="875" t="s">
        <v>2061</v>
      </c>
      <c r="B1223" s="859"/>
      <c r="C1223" s="421" t="s">
        <v>2062</v>
      </c>
      <c r="D1223" s="364" t="s">
        <v>9</v>
      </c>
      <c r="E1223" s="833">
        <v>19600</v>
      </c>
      <c r="F1223" s="833">
        <f t="shared" si="108"/>
        <v>0</v>
      </c>
      <c r="G1223" s="833">
        <f t="shared" si="109"/>
        <v>0</v>
      </c>
      <c r="H1223" s="834">
        <v>1</v>
      </c>
      <c r="I1223" s="835"/>
      <c r="J1223" s="836"/>
      <c r="K1223" s="836"/>
      <c r="L1223" s="836"/>
      <c r="M1223" s="836"/>
      <c r="N1223" s="836"/>
      <c r="O1223" s="836"/>
      <c r="P1223" s="836"/>
      <c r="Q1223" s="836"/>
      <c r="R1223" s="837">
        <v>0.2</v>
      </c>
      <c r="T1223" s="155">
        <v>19600</v>
      </c>
      <c r="U1223" s="155">
        <v>6546</v>
      </c>
      <c r="V1223" s="155"/>
      <c r="AA1223" s="180" t="str">
        <f>VLOOKUP(A1223,[2]DG!$A:$C,3,0)</f>
        <v>Ghíp nối IPC 95-50 1 bulong</v>
      </c>
    </row>
    <row r="1224" spans="1:27" ht="20.100000000000001" hidden="1" customHeight="1">
      <c r="A1224" s="875" t="s">
        <v>2063</v>
      </c>
      <c r="B1224" s="859"/>
      <c r="C1224" s="421" t="s">
        <v>2064</v>
      </c>
      <c r="D1224" s="364" t="s">
        <v>9</v>
      </c>
      <c r="E1224" s="833">
        <v>25000</v>
      </c>
      <c r="F1224" s="833">
        <f t="shared" si="108"/>
        <v>0</v>
      </c>
      <c r="G1224" s="833">
        <f t="shared" si="109"/>
        <v>0</v>
      </c>
      <c r="H1224" s="834">
        <v>1</v>
      </c>
      <c r="I1224" s="835"/>
      <c r="J1224" s="836"/>
      <c r="K1224" s="836"/>
      <c r="L1224" s="836"/>
      <c r="M1224" s="836"/>
      <c r="N1224" s="836"/>
      <c r="O1224" s="836"/>
      <c r="P1224" s="836"/>
      <c r="Q1224" s="836"/>
      <c r="R1224" s="837">
        <v>0.2</v>
      </c>
      <c r="T1224" s="155">
        <v>25000</v>
      </c>
      <c r="U1224" s="155">
        <v>6546</v>
      </c>
      <c r="V1224" s="155"/>
      <c r="AA1224" s="180" t="str">
        <f>VLOOKUP(A1224,[2]DG!$A:$C,3,0)</f>
        <v>Ghíp nối IPC 120-50</v>
      </c>
    </row>
    <row r="1225" spans="1:27" ht="20.100000000000001" customHeight="1">
      <c r="A1225" s="875" t="s">
        <v>4839</v>
      </c>
      <c r="B1225" s="859"/>
      <c r="C1225" s="421" t="s">
        <v>4841</v>
      </c>
      <c r="D1225" s="364" t="s">
        <v>9</v>
      </c>
      <c r="E1225" s="833">
        <v>25000</v>
      </c>
      <c r="F1225" s="833">
        <f t="shared" si="108"/>
        <v>0</v>
      </c>
      <c r="G1225" s="833">
        <f t="shared" si="109"/>
        <v>0</v>
      </c>
      <c r="H1225" s="834">
        <v>1</v>
      </c>
      <c r="I1225" s="835"/>
      <c r="J1225" s="836"/>
      <c r="K1225" s="836"/>
      <c r="L1225" s="836"/>
      <c r="M1225" s="836"/>
      <c r="N1225" s="836"/>
      <c r="O1225" s="836"/>
      <c r="P1225" s="836"/>
      <c r="Q1225" s="836"/>
      <c r="R1225" s="837">
        <v>0.2</v>
      </c>
      <c r="T1225" s="155">
        <v>25000</v>
      </c>
      <c r="U1225" s="155">
        <v>6546</v>
      </c>
      <c r="V1225" s="155"/>
      <c r="AA1225" s="180" t="str">
        <f>VLOOKUP(A1225,[2]DG!$A:$C,3,0)</f>
        <v>Ghíp nối IPC 150-25</v>
      </c>
    </row>
    <row r="1226" spans="1:27" ht="20.100000000000001" hidden="1" customHeight="1">
      <c r="A1226" s="875" t="s">
        <v>2065</v>
      </c>
      <c r="B1226" s="859"/>
      <c r="C1226" s="421" t="s">
        <v>2066</v>
      </c>
      <c r="D1226" s="364" t="s">
        <v>9</v>
      </c>
      <c r="E1226" s="833">
        <v>42000</v>
      </c>
      <c r="F1226" s="833">
        <f t="shared" si="108"/>
        <v>0</v>
      </c>
      <c r="G1226" s="833">
        <f t="shared" si="109"/>
        <v>0</v>
      </c>
      <c r="H1226" s="834">
        <v>1</v>
      </c>
      <c r="I1226" s="835"/>
      <c r="J1226" s="836"/>
      <c r="K1226" s="836"/>
      <c r="L1226" s="836"/>
      <c r="M1226" s="836"/>
      <c r="N1226" s="836"/>
      <c r="O1226" s="836"/>
      <c r="P1226" s="836"/>
      <c r="Q1226" s="836"/>
      <c r="R1226" s="837">
        <v>0.2</v>
      </c>
      <c r="T1226" s="155">
        <v>42000</v>
      </c>
      <c r="U1226" s="155">
        <v>6546</v>
      </c>
      <c r="V1226" s="155"/>
      <c r="AA1226" s="180" t="str">
        <f>VLOOKUP(A1226,[2]DG!$A:$C,3,0)</f>
        <v>Ghíp nối IPC 70-70</v>
      </c>
    </row>
    <row r="1227" spans="1:27" ht="20.100000000000001" hidden="1" customHeight="1">
      <c r="A1227" s="875" t="s">
        <v>2067</v>
      </c>
      <c r="B1227" s="859"/>
      <c r="C1227" s="421" t="s">
        <v>2068</v>
      </c>
      <c r="D1227" s="364" t="s">
        <v>9</v>
      </c>
      <c r="E1227" s="833">
        <v>19600</v>
      </c>
      <c r="F1227" s="833">
        <f t="shared" si="108"/>
        <v>0</v>
      </c>
      <c r="G1227" s="833">
        <f t="shared" si="109"/>
        <v>0</v>
      </c>
      <c r="H1227" s="834">
        <v>1</v>
      </c>
      <c r="I1227" s="835"/>
      <c r="J1227" s="836"/>
      <c r="K1227" s="836"/>
      <c r="L1227" s="836"/>
      <c r="M1227" s="836"/>
      <c r="N1227" s="836"/>
      <c r="O1227" s="836"/>
      <c r="P1227" s="836"/>
      <c r="Q1227" s="836"/>
      <c r="R1227" s="837">
        <v>0.2</v>
      </c>
      <c r="T1227" s="155">
        <v>19600</v>
      </c>
      <c r="U1227" s="155">
        <v>6546</v>
      </c>
      <c r="V1227" s="155"/>
      <c r="AA1227" s="180" t="str">
        <f>VLOOKUP(A1227,[2]DG!$A:$C,3,0)</f>
        <v>Ghíp nối IPC 95-70</v>
      </c>
    </row>
    <row r="1228" spans="1:27" ht="20.100000000000001" hidden="1" customHeight="1">
      <c r="A1228" s="875" t="s">
        <v>2069</v>
      </c>
      <c r="B1228" s="859"/>
      <c r="C1228" s="421" t="s">
        <v>2070</v>
      </c>
      <c r="D1228" s="364" t="s">
        <v>9</v>
      </c>
      <c r="E1228" s="833">
        <v>25000</v>
      </c>
      <c r="F1228" s="833">
        <f t="shared" si="108"/>
        <v>0</v>
      </c>
      <c r="G1228" s="833">
        <f t="shared" si="109"/>
        <v>0</v>
      </c>
      <c r="H1228" s="834">
        <v>1</v>
      </c>
      <c r="I1228" s="835"/>
      <c r="J1228" s="836"/>
      <c r="K1228" s="836"/>
      <c r="L1228" s="836"/>
      <c r="M1228" s="836"/>
      <c r="N1228" s="836"/>
      <c r="O1228" s="836"/>
      <c r="P1228" s="836"/>
      <c r="Q1228" s="836"/>
      <c r="R1228" s="837">
        <v>0.2</v>
      </c>
      <c r="T1228" s="155">
        <v>25000</v>
      </c>
      <c r="U1228" s="155">
        <v>6546</v>
      </c>
      <c r="V1228" s="155"/>
      <c r="AA1228" s="180" t="str">
        <f>VLOOKUP(A1228,[2]DG!$A:$C,3,0)</f>
        <v>Ghíp nối IPC 120-70</v>
      </c>
    </row>
    <row r="1229" spans="1:27" ht="20.100000000000001" hidden="1" customHeight="1">
      <c r="A1229" s="875" t="s">
        <v>4838</v>
      </c>
      <c r="B1229" s="859"/>
      <c r="C1229" s="421" t="s">
        <v>4842</v>
      </c>
      <c r="D1229" s="364" t="s">
        <v>9</v>
      </c>
      <c r="E1229" s="833">
        <v>25000</v>
      </c>
      <c r="F1229" s="833">
        <f t="shared" si="108"/>
        <v>0</v>
      </c>
      <c r="G1229" s="833">
        <f t="shared" si="109"/>
        <v>0</v>
      </c>
      <c r="H1229" s="834">
        <v>1</v>
      </c>
      <c r="I1229" s="835"/>
      <c r="J1229" s="836"/>
      <c r="K1229" s="836"/>
      <c r="L1229" s="836"/>
      <c r="M1229" s="836"/>
      <c r="N1229" s="836"/>
      <c r="O1229" s="836"/>
      <c r="P1229" s="836"/>
      <c r="Q1229" s="836"/>
      <c r="R1229" s="837">
        <v>0.2</v>
      </c>
      <c r="T1229" s="155">
        <v>25000</v>
      </c>
      <c r="U1229" s="155">
        <v>6546</v>
      </c>
      <c r="V1229" s="155"/>
      <c r="AA1229" s="180" t="str">
        <f>VLOOKUP(A1229,[2]DG!$A:$C,3,0)</f>
        <v>Ghíp nối IPC 150-150</v>
      </c>
    </row>
    <row r="1230" spans="1:27" ht="20.100000000000001" hidden="1" customHeight="1">
      <c r="A1230" s="875" t="s">
        <v>2071</v>
      </c>
      <c r="B1230" s="859">
        <v>0</v>
      </c>
      <c r="C1230" s="421" t="s">
        <v>2072</v>
      </c>
      <c r="D1230" s="364" t="s">
        <v>9</v>
      </c>
      <c r="E1230" s="833">
        <v>45000</v>
      </c>
      <c r="F1230" s="833">
        <f t="shared" si="108"/>
        <v>0</v>
      </c>
      <c r="G1230" s="833">
        <f t="shared" si="109"/>
        <v>0</v>
      </c>
      <c r="H1230" s="834">
        <v>42312</v>
      </c>
      <c r="I1230" s="835"/>
      <c r="J1230" s="836"/>
      <c r="K1230" s="836"/>
      <c r="L1230" s="836"/>
      <c r="M1230" s="836"/>
      <c r="N1230" s="836"/>
      <c r="O1230" s="836"/>
      <c r="P1230" s="836"/>
      <c r="Q1230" s="836"/>
      <c r="R1230" s="837">
        <v>0.2</v>
      </c>
      <c r="T1230" s="155">
        <v>45000</v>
      </c>
      <c r="U1230" s="155">
        <v>6546</v>
      </c>
      <c r="V1230" s="155">
        <v>0</v>
      </c>
      <c r="AA1230" s="180" t="str">
        <f>VLOOKUP(A1230,[2]DG!$A:$C,3,0)</f>
        <v>Ghíp nối IPC 95-95</v>
      </c>
    </row>
    <row r="1231" spans="1:27" ht="20.100000000000001" hidden="1" customHeight="1">
      <c r="A1231" s="875" t="s">
        <v>2073</v>
      </c>
      <c r="B1231" s="859"/>
      <c r="C1231" s="421" t="s">
        <v>2074</v>
      </c>
      <c r="D1231" s="364" t="s">
        <v>9</v>
      </c>
      <c r="E1231" s="833">
        <v>25000</v>
      </c>
      <c r="F1231" s="833">
        <f t="shared" si="108"/>
        <v>0</v>
      </c>
      <c r="G1231" s="833">
        <f t="shared" si="109"/>
        <v>0</v>
      </c>
      <c r="H1231" s="834">
        <v>1</v>
      </c>
      <c r="I1231" s="835"/>
      <c r="J1231" s="836"/>
      <c r="K1231" s="836"/>
      <c r="L1231" s="836"/>
      <c r="M1231" s="836"/>
      <c r="N1231" s="836"/>
      <c r="O1231" s="836"/>
      <c r="P1231" s="836"/>
      <c r="Q1231" s="836"/>
      <c r="R1231" s="837">
        <v>0.2</v>
      </c>
      <c r="T1231" s="155">
        <v>25000</v>
      </c>
      <c r="U1231" s="155">
        <v>6546</v>
      </c>
      <c r="V1231" s="155"/>
      <c r="AA1231" s="180" t="str">
        <f>VLOOKUP(A1231,[2]DG!$A:$C,3,0)</f>
        <v>Ghíp nối IPC 95-120</v>
      </c>
    </row>
    <row r="1232" spans="1:27" ht="20.100000000000001" hidden="1" customHeight="1">
      <c r="A1232" s="875" t="s">
        <v>2075</v>
      </c>
      <c r="B1232" s="859"/>
      <c r="C1232" s="421" t="s">
        <v>2076</v>
      </c>
      <c r="D1232" s="364" t="s">
        <v>9</v>
      </c>
      <c r="E1232" s="833">
        <v>25000</v>
      </c>
      <c r="F1232" s="833">
        <f t="shared" si="108"/>
        <v>0</v>
      </c>
      <c r="G1232" s="833">
        <f t="shared" si="109"/>
        <v>0</v>
      </c>
      <c r="H1232" s="834">
        <v>1</v>
      </c>
      <c r="I1232" s="835"/>
      <c r="J1232" s="836"/>
      <c r="K1232" s="836"/>
      <c r="L1232" s="836"/>
      <c r="M1232" s="836"/>
      <c r="N1232" s="836"/>
      <c r="O1232" s="836"/>
      <c r="P1232" s="836"/>
      <c r="Q1232" s="836"/>
      <c r="R1232" s="837">
        <v>0.2</v>
      </c>
      <c r="T1232" s="155">
        <v>25000</v>
      </c>
      <c r="U1232" s="155">
        <v>6546</v>
      </c>
      <c r="V1232" s="155"/>
      <c r="AA1232" s="180" t="str">
        <f>VLOOKUP(A1232,[2]DG!$A:$C,3,0)</f>
        <v>Ghíp nối IPC 95-150</v>
      </c>
    </row>
    <row r="1233" spans="1:27" ht="20.100000000000001" hidden="1" customHeight="1">
      <c r="A1233" s="876" t="s">
        <v>2077</v>
      </c>
      <c r="B1233" s="859"/>
      <c r="C1233" s="421" t="s">
        <v>2078</v>
      </c>
      <c r="D1233" s="364" t="s">
        <v>1265</v>
      </c>
      <c r="E1233" s="833"/>
      <c r="F1233" s="833">
        <f t="shared" si="108"/>
        <v>0</v>
      </c>
      <c r="G1233" s="833">
        <f t="shared" si="109"/>
        <v>0</v>
      </c>
      <c r="H1233" s="834">
        <v>1</v>
      </c>
      <c r="I1233" s="835"/>
      <c r="J1233" s="836"/>
      <c r="K1233" s="836"/>
      <c r="L1233" s="836"/>
      <c r="M1233" s="836"/>
      <c r="N1233" s="836"/>
      <c r="O1233" s="836"/>
      <c r="P1233" s="836"/>
      <c r="Q1233" s="836"/>
      <c r="R1233" s="837"/>
      <c r="T1233" s="155"/>
      <c r="U1233" s="155">
        <v>451548.3</v>
      </c>
      <c r="V1233" s="155"/>
      <c r="AA1233" s="180" t="str">
        <f>VLOOKUP(A1233,[2]DG!$A:$C,3,0)</f>
        <v>Kéo dây quadruplex CV-4x35-0.6/1kV</v>
      </c>
    </row>
    <row r="1234" spans="1:27" ht="20.100000000000001" hidden="1" customHeight="1">
      <c r="A1234" s="876" t="s">
        <v>2079</v>
      </c>
      <c r="B1234" s="859"/>
      <c r="C1234" s="421" t="s">
        <v>2080</v>
      </c>
      <c r="D1234" s="364" t="s">
        <v>1265</v>
      </c>
      <c r="E1234" s="833"/>
      <c r="F1234" s="833">
        <f t="shared" si="108"/>
        <v>0</v>
      </c>
      <c r="G1234" s="833">
        <f t="shared" si="109"/>
        <v>0</v>
      </c>
      <c r="H1234" s="834">
        <v>1</v>
      </c>
      <c r="I1234" s="835"/>
      <c r="J1234" s="836"/>
      <c r="K1234" s="836"/>
      <c r="L1234" s="836"/>
      <c r="M1234" s="836"/>
      <c r="N1234" s="836"/>
      <c r="O1234" s="836"/>
      <c r="P1234" s="836"/>
      <c r="Q1234" s="836"/>
      <c r="R1234" s="837"/>
      <c r="T1234" s="155"/>
      <c r="U1234" s="155">
        <v>574049</v>
      </c>
      <c r="V1234" s="155"/>
      <c r="AA1234" s="180" t="str">
        <f>VLOOKUP(A1234,[2]DG!$A:$C,3,0)</f>
        <v>Kéo dây quadruplex CV-4x22-0.6/1kV</v>
      </c>
    </row>
    <row r="1235" spans="1:27" ht="20.100000000000001" hidden="1" customHeight="1">
      <c r="A1235" s="876" t="s">
        <v>2081</v>
      </c>
      <c r="B1235" s="859"/>
      <c r="C1235" s="421" t="s">
        <v>2082</v>
      </c>
      <c r="D1235" s="364" t="s">
        <v>1265</v>
      </c>
      <c r="E1235" s="833"/>
      <c r="F1235" s="833">
        <f t="shared" si="108"/>
        <v>0</v>
      </c>
      <c r="G1235" s="833">
        <f t="shared" si="109"/>
        <v>0</v>
      </c>
      <c r="H1235" s="834">
        <v>1</v>
      </c>
      <c r="I1235" s="835"/>
      <c r="J1235" s="836"/>
      <c r="K1235" s="836"/>
      <c r="L1235" s="836"/>
      <c r="M1235" s="836"/>
      <c r="N1235" s="836"/>
      <c r="O1235" s="836"/>
      <c r="P1235" s="836"/>
      <c r="Q1235" s="836"/>
      <c r="R1235" s="837"/>
      <c r="T1235" s="155"/>
      <c r="U1235" s="155">
        <v>422191</v>
      </c>
      <c r="V1235" s="155"/>
      <c r="AA1235" s="180" t="str">
        <f>VLOOKUP(A1235,[2]DG!$A:$C,3,0)</f>
        <v>Kéo dây quadruplex CV-4x16-0.6/1kV</v>
      </c>
    </row>
    <row r="1236" spans="1:27" ht="20.100000000000001" hidden="1" customHeight="1">
      <c r="A1236" s="876" t="s">
        <v>2083</v>
      </c>
      <c r="B1236" s="859"/>
      <c r="C1236" s="421" t="s">
        <v>2084</v>
      </c>
      <c r="D1236" s="364" t="s">
        <v>1265</v>
      </c>
      <c r="E1236" s="833"/>
      <c r="F1236" s="833">
        <f t="shared" si="108"/>
        <v>0</v>
      </c>
      <c r="G1236" s="833">
        <f t="shared" si="109"/>
        <v>0</v>
      </c>
      <c r="H1236" s="834">
        <v>1</v>
      </c>
      <c r="I1236" s="835"/>
      <c r="J1236" s="836"/>
      <c r="K1236" s="836"/>
      <c r="L1236" s="836"/>
      <c r="M1236" s="836"/>
      <c r="N1236" s="836"/>
      <c r="O1236" s="836"/>
      <c r="P1236" s="836"/>
      <c r="Q1236" s="836"/>
      <c r="R1236" s="837"/>
      <c r="T1236" s="155"/>
      <c r="U1236" s="155">
        <v>422191</v>
      </c>
      <c r="V1236" s="155"/>
      <c r="AA1236" s="180" t="str">
        <f>VLOOKUP(A1236,[2]DG!$A:$C,3,0)</f>
        <v>Kéo dây quadruplex CV-4x14-0.6/1kV</v>
      </c>
    </row>
    <row r="1237" spans="1:27" ht="20.100000000000001" hidden="1" customHeight="1">
      <c r="A1237" s="876" t="s">
        <v>2085</v>
      </c>
      <c r="B1237" s="859"/>
      <c r="C1237" s="421" t="s">
        <v>2086</v>
      </c>
      <c r="D1237" s="364" t="s">
        <v>1265</v>
      </c>
      <c r="E1237" s="833"/>
      <c r="F1237" s="833">
        <f t="shared" si="108"/>
        <v>0</v>
      </c>
      <c r="G1237" s="833">
        <f t="shared" si="109"/>
        <v>0</v>
      </c>
      <c r="H1237" s="834">
        <v>1</v>
      </c>
      <c r="I1237" s="835"/>
      <c r="J1237" s="836"/>
      <c r="K1237" s="836"/>
      <c r="L1237" s="836"/>
      <c r="M1237" s="836"/>
      <c r="N1237" s="836"/>
      <c r="O1237" s="836"/>
      <c r="P1237" s="836"/>
      <c r="Q1237" s="836"/>
      <c r="R1237" s="837"/>
      <c r="T1237" s="155"/>
      <c r="U1237" s="155">
        <v>422191</v>
      </c>
      <c r="V1237" s="155"/>
      <c r="AA1237" s="180" t="str">
        <f>VLOOKUP(A1237,[2]DG!$A:$C,3,0)</f>
        <v>Kéo dây quadruplex CV-4x11-0.6/1kV</v>
      </c>
    </row>
    <row r="1238" spans="1:27" ht="20.100000000000001" hidden="1" customHeight="1">
      <c r="A1238" s="876" t="s">
        <v>3758</v>
      </c>
      <c r="B1238" s="859"/>
      <c r="C1238" s="421" t="s">
        <v>2087</v>
      </c>
      <c r="D1238" s="364" t="s">
        <v>1265</v>
      </c>
      <c r="E1238" s="833"/>
      <c r="F1238" s="833">
        <f t="shared" si="108"/>
        <v>0</v>
      </c>
      <c r="G1238" s="833">
        <f t="shared" si="109"/>
        <v>0</v>
      </c>
      <c r="H1238" s="834">
        <v>1</v>
      </c>
      <c r="I1238" s="835"/>
      <c r="J1238" s="836"/>
      <c r="K1238" s="836"/>
      <c r="L1238" s="836"/>
      <c r="M1238" s="836"/>
      <c r="N1238" s="836"/>
      <c r="O1238" s="836"/>
      <c r="P1238" s="836"/>
      <c r="Q1238" s="836"/>
      <c r="R1238" s="837"/>
      <c r="T1238" s="155"/>
      <c r="U1238" s="155">
        <v>422191</v>
      </c>
      <c r="V1238" s="155"/>
      <c r="AA1238" s="180" t="str">
        <f>VLOOKUP(A1238,[2]DG!$A:$C,3,0)</f>
        <v>Kéo dây triplex CV-3x16-0.6/1kV</v>
      </c>
    </row>
    <row r="1239" spans="1:27" ht="20.100000000000001" hidden="1" customHeight="1">
      <c r="A1239" s="876" t="s">
        <v>2088</v>
      </c>
      <c r="B1239" s="859"/>
      <c r="C1239" s="421" t="s">
        <v>2089</v>
      </c>
      <c r="D1239" s="364" t="s">
        <v>1265</v>
      </c>
      <c r="E1239" s="833"/>
      <c r="F1239" s="833">
        <f t="shared" si="108"/>
        <v>0</v>
      </c>
      <c r="G1239" s="833">
        <f t="shared" si="109"/>
        <v>0</v>
      </c>
      <c r="H1239" s="834">
        <v>1</v>
      </c>
      <c r="I1239" s="835"/>
      <c r="J1239" s="836"/>
      <c r="K1239" s="836"/>
      <c r="L1239" s="836"/>
      <c r="M1239" s="836"/>
      <c r="N1239" s="836"/>
      <c r="O1239" s="836"/>
      <c r="P1239" s="836"/>
      <c r="Q1239" s="836"/>
      <c r="R1239" s="837"/>
      <c r="T1239" s="155"/>
      <c r="U1239" s="155">
        <v>295533.69999999995</v>
      </c>
      <c r="V1239" s="155"/>
      <c r="AA1239" s="180" t="str">
        <f>VLOOKUP(A1239,[2]DG!$A:$C,3,0)</f>
        <v>Kéo dây duplex CV-2x11-0.6/1kV</v>
      </c>
    </row>
    <row r="1240" spans="1:27" ht="20.100000000000001" hidden="1" customHeight="1">
      <c r="A1240" s="873" t="s">
        <v>3759</v>
      </c>
      <c r="B1240" s="859"/>
      <c r="C1240" s="429" t="s">
        <v>2090</v>
      </c>
      <c r="D1240" s="364" t="s">
        <v>9</v>
      </c>
      <c r="E1240" s="833">
        <v>15000</v>
      </c>
      <c r="F1240" s="833">
        <f t="shared" si="108"/>
        <v>0</v>
      </c>
      <c r="G1240" s="833">
        <f t="shared" si="109"/>
        <v>0</v>
      </c>
      <c r="H1240" s="834">
        <v>1</v>
      </c>
      <c r="I1240" s="835"/>
      <c r="J1240" s="836"/>
      <c r="K1240" s="836"/>
      <c r="L1240" s="836"/>
      <c r="M1240" s="836"/>
      <c r="N1240" s="836"/>
      <c r="O1240" s="836"/>
      <c r="P1240" s="836"/>
      <c r="Q1240" s="836"/>
      <c r="R1240" s="837">
        <v>0.2</v>
      </c>
      <c r="T1240" s="155">
        <v>15000</v>
      </c>
      <c r="U1240" s="155"/>
      <c r="V1240" s="430"/>
      <c r="AA1240" s="180" t="str">
        <f>VLOOKUP(A1240,[2]DG!$A:$C,3,0)</f>
        <v>Đĩa sứ trắng báo hiệu cáp ngầm</v>
      </c>
    </row>
    <row r="1241" spans="1:27" ht="20.100000000000001" hidden="1" customHeight="1">
      <c r="A1241" s="873" t="s">
        <v>3760</v>
      </c>
      <c r="B1241" s="859"/>
      <c r="C1241" s="429" t="s">
        <v>2091</v>
      </c>
      <c r="D1241" s="364" t="s">
        <v>9</v>
      </c>
      <c r="E1241" s="833">
        <v>5000</v>
      </c>
      <c r="F1241" s="833">
        <f t="shared" si="108"/>
        <v>0</v>
      </c>
      <c r="G1241" s="833">
        <f t="shared" si="109"/>
        <v>0</v>
      </c>
      <c r="H1241" s="834">
        <v>1</v>
      </c>
      <c r="I1241" s="835"/>
      <c r="J1241" s="836"/>
      <c r="K1241" s="836"/>
      <c r="L1241" s="836"/>
      <c r="M1241" s="836"/>
      <c r="N1241" s="836"/>
      <c r="O1241" s="836"/>
      <c r="P1241" s="836"/>
      <c r="Q1241" s="836"/>
      <c r="R1241" s="837">
        <v>0.2</v>
      </c>
      <c r="T1241" s="155">
        <v>5000</v>
      </c>
      <c r="U1241" s="155"/>
      <c r="V1241" s="155"/>
      <c r="AA1241" s="180" t="str">
        <f>VLOOKUP(A1241,[2]DG!$A:$C,3,0)</f>
        <v>Đèn báo hiệu pha 5W-220V</v>
      </c>
    </row>
    <row r="1242" spans="1:27" ht="20.100000000000001" customHeight="1">
      <c r="A1242" s="873" t="s">
        <v>4593</v>
      </c>
      <c r="B1242" s="859"/>
      <c r="C1242" s="429" t="s">
        <v>4594</v>
      </c>
      <c r="D1242" s="364" t="s">
        <v>182</v>
      </c>
      <c r="E1242" s="833">
        <v>15500</v>
      </c>
      <c r="F1242" s="833">
        <f t="shared" ref="F1242" si="126">IF(OR(I1242="",J1242=""),0,IF(K1242*1=0,1,K1242)*VLOOKUP(I1242,TIENLUONG,4,0)*J1242)</f>
        <v>0</v>
      </c>
      <c r="G1242" s="833">
        <f t="shared" ref="G1242" si="127">L1242*VLOOKUP($L$1,CAMAY,2,0)+M1242*VLOOKUP($M$1,CAMAY,2,0)+N1242*VLOOKUP($N$1,CAMAY,2,0)+O1242*VLOOKUP($O$1,CAMAY,2,0)+P1242*VLOOKUP($P$1,CAMAY,2,0)</f>
        <v>0</v>
      </c>
      <c r="H1242" s="834">
        <v>1</v>
      </c>
      <c r="I1242" s="835"/>
      <c r="J1242" s="836"/>
      <c r="K1242" s="836"/>
      <c r="L1242" s="836"/>
      <c r="M1242" s="836"/>
      <c r="N1242" s="836"/>
      <c r="O1242" s="836"/>
      <c r="P1242" s="836"/>
      <c r="Q1242" s="836"/>
      <c r="R1242" s="837">
        <v>0.2</v>
      </c>
      <c r="T1242" s="155">
        <v>5000</v>
      </c>
      <c r="U1242" s="155"/>
      <c r="V1242" s="155"/>
      <c r="AA1242" s="180" t="str">
        <f>VLOOKUP(A1242,[2]DG!$A:$C,3,0)</f>
        <v>Lưới thép B40 3,5mm (2,2kg/m2)</v>
      </c>
    </row>
    <row r="1243" spans="1:27" ht="20.100000000000001" customHeight="1">
      <c r="A1243" s="872" t="s">
        <v>3670</v>
      </c>
      <c r="B1243" s="860"/>
      <c r="C1243" s="421"/>
      <c r="D1243" s="435"/>
      <c r="E1243" s="833"/>
      <c r="F1243" s="833"/>
      <c r="G1243" s="833"/>
      <c r="H1243" s="834"/>
      <c r="I1243" s="835"/>
      <c r="J1243" s="836"/>
      <c r="K1243" s="836"/>
      <c r="L1243" s="836"/>
      <c r="M1243" s="836"/>
      <c r="N1243" s="836"/>
      <c r="O1243" s="836"/>
      <c r="P1243" s="836"/>
      <c r="Q1243" s="836"/>
      <c r="R1243" s="837"/>
      <c r="T1243" s="435"/>
      <c r="U1243" s="435"/>
      <c r="V1243" s="430"/>
      <c r="AA1243" s="180">
        <f>VLOOKUP(A1243,[2]DG!$A:$C,3,0)</f>
        <v>0</v>
      </c>
    </row>
    <row r="1244" spans="1:27" ht="20.100000000000001" hidden="1" customHeight="1">
      <c r="A1244" s="880" t="s">
        <v>3761</v>
      </c>
      <c r="B1244" s="869" t="s">
        <v>4761</v>
      </c>
      <c r="C1244" s="844"/>
      <c r="D1244" s="845"/>
      <c r="E1244" s="846"/>
      <c r="F1244" s="846"/>
      <c r="G1244" s="846"/>
      <c r="H1244" s="847"/>
      <c r="I1244" s="848"/>
      <c r="J1244" s="849"/>
      <c r="K1244" s="849"/>
      <c r="L1244" s="849"/>
      <c r="M1244" s="849"/>
      <c r="N1244" s="849"/>
      <c r="O1244" s="849"/>
      <c r="P1244" s="849"/>
      <c r="Q1244" s="849"/>
      <c r="R1244" s="850"/>
      <c r="T1244" s="435"/>
      <c r="U1244" s="435"/>
      <c r="V1244" s="430"/>
      <c r="AA1244" s="180">
        <f>VLOOKUP(A1244,[2]DG!$A:$C,3,0)</f>
        <v>0</v>
      </c>
    </row>
    <row r="1245" spans="1:27" ht="20.100000000000001" customHeight="1">
      <c r="A1245" s="872" t="s">
        <v>3670</v>
      </c>
      <c r="B1245" s="860"/>
      <c r="C1245" s="421"/>
      <c r="D1245" s="435"/>
      <c r="E1245" s="833"/>
      <c r="F1245" s="833"/>
      <c r="G1245" s="833"/>
      <c r="H1245" s="834"/>
      <c r="I1245" s="835"/>
      <c r="J1245" s="836"/>
      <c r="K1245" s="836"/>
      <c r="L1245" s="836"/>
      <c r="M1245" s="836"/>
      <c r="N1245" s="836"/>
      <c r="O1245" s="836"/>
      <c r="P1245" s="836"/>
      <c r="Q1245" s="836"/>
      <c r="R1245" s="837"/>
      <c r="T1245" s="435"/>
      <c r="U1245" s="435"/>
      <c r="V1245" s="430"/>
      <c r="AA1245" s="180">
        <f>VLOOKUP(A1245,[2]DG!$A:$C,3,0)</f>
        <v>0</v>
      </c>
    </row>
    <row r="1246" spans="1:27" ht="20.100000000000001" hidden="1" customHeight="1">
      <c r="A1246" s="873" t="s">
        <v>2092</v>
      </c>
      <c r="B1246" s="860"/>
      <c r="C1246" s="421" t="s">
        <v>4750</v>
      </c>
      <c r="D1246" s="420" t="s">
        <v>9</v>
      </c>
      <c r="E1246" s="833">
        <v>7507000</v>
      </c>
      <c r="F1246" s="833">
        <f t="shared" si="108"/>
        <v>0</v>
      </c>
      <c r="G1246" s="833">
        <f t="shared" ref="G1246:G1272" si="128">L1246*VLOOKUP($L$1,CAMAY,2,0)+M1246*VLOOKUP($M$1,CAMAY,2,0)+N1246*VLOOKUP($N$1,CAMAY,2,0)+O1246*VLOOKUP($O$1,CAMAY,2,0)+P1246*VLOOKUP($P$1,CAMAY,2,0)+Q1246*VLOOKUP($Q$1,CAMAY,2,0)</f>
        <v>0</v>
      </c>
      <c r="H1246" s="834">
        <v>1</v>
      </c>
      <c r="I1246" s="835"/>
      <c r="J1246" s="836"/>
      <c r="K1246" s="836"/>
      <c r="L1246" s="836"/>
      <c r="M1246" s="836"/>
      <c r="N1246" s="836"/>
      <c r="O1246" s="836"/>
      <c r="P1246" s="836"/>
      <c r="Q1246" s="836"/>
      <c r="R1246" s="837">
        <v>50</v>
      </c>
      <c r="T1246" s="155">
        <v>7507000</v>
      </c>
      <c r="U1246" s="155">
        <v>58412</v>
      </c>
      <c r="V1246" s="155"/>
      <c r="AA1246" s="180" t="str">
        <f>VLOOKUP(A1246,[2]DG!$A:$C,3,0)</f>
        <v>Tủ điều khiển chiếu sáng</v>
      </c>
    </row>
    <row r="1247" spans="1:27" ht="20.100000000000001" customHeight="1">
      <c r="A1247" s="873" t="s">
        <v>4753</v>
      </c>
      <c r="B1247" s="863" t="s">
        <v>4751</v>
      </c>
      <c r="C1247" s="832" t="s">
        <v>4752</v>
      </c>
      <c r="D1247" s="420" t="s">
        <v>9</v>
      </c>
      <c r="E1247" s="833"/>
      <c r="F1247" s="833">
        <f t="shared" ref="F1247" si="129">IF(OR(I1247="",J1247=""),0,IF(K1247*1=0,1,K1247)*VLOOKUP(I1247,TIENLUONG,4,0)*J1247)</f>
        <v>576666.5</v>
      </c>
      <c r="G1247" s="833">
        <f t="shared" si="128"/>
        <v>0</v>
      </c>
      <c r="H1247" s="834">
        <v>1</v>
      </c>
      <c r="I1247" s="835" t="s">
        <v>3370</v>
      </c>
      <c r="J1247" s="836">
        <v>2.35</v>
      </c>
      <c r="K1247" s="836"/>
      <c r="L1247" s="836"/>
      <c r="M1247" s="836"/>
      <c r="N1247" s="836"/>
      <c r="O1247" s="836"/>
      <c r="P1247" s="836"/>
      <c r="Q1247" s="836"/>
      <c r="R1247" s="837">
        <v>50</v>
      </c>
      <c r="T1247" s="155">
        <v>7507000</v>
      </c>
      <c r="U1247" s="155">
        <v>58412</v>
      </c>
      <c r="V1247" s="155"/>
      <c r="AA1247" s="180" t="str">
        <f>VLOOKUP(A1247,[2]DG!$A:$C,3,0)</f>
        <v>Lắp đặt tủ điều khiển độ cao &lt;2m</v>
      </c>
    </row>
    <row r="1248" spans="1:27" ht="31.5" hidden="1">
      <c r="A1248" s="873" t="s">
        <v>2094</v>
      </c>
      <c r="B1248" s="859"/>
      <c r="C1248" s="429" t="s">
        <v>4743</v>
      </c>
      <c r="D1248" s="420" t="s">
        <v>400</v>
      </c>
      <c r="E1248" s="833">
        <v>1709000</v>
      </c>
      <c r="F1248" s="833">
        <f t="shared" si="108"/>
        <v>0</v>
      </c>
      <c r="G1248" s="833">
        <f t="shared" si="128"/>
        <v>0</v>
      </c>
      <c r="H1248" s="834">
        <v>1</v>
      </c>
      <c r="I1248" s="835"/>
      <c r="J1248" s="836"/>
      <c r="K1248" s="836"/>
      <c r="L1248" s="836"/>
      <c r="M1248" s="836"/>
      <c r="N1248" s="836"/>
      <c r="O1248" s="836"/>
      <c r="P1248" s="836"/>
      <c r="Q1248" s="836"/>
      <c r="R1248" s="837">
        <v>200</v>
      </c>
      <c r="T1248" s="155">
        <v>1709000</v>
      </c>
      <c r="U1248" s="155"/>
      <c r="V1248" s="430"/>
      <c r="AA1248" s="180" t="str">
        <f>VLOOKUP(A1248,[2]DG!$A:$C,3,0)</f>
        <v>Trụ thép tròn cao 6 mét</v>
      </c>
    </row>
    <row r="1249" spans="1:27" ht="31.5" hidden="1">
      <c r="A1249" s="873" t="s">
        <v>2095</v>
      </c>
      <c r="B1249" s="859"/>
      <c r="C1249" s="429" t="s">
        <v>4744</v>
      </c>
      <c r="D1249" s="420" t="s">
        <v>400</v>
      </c>
      <c r="E1249" s="833">
        <v>2006000</v>
      </c>
      <c r="F1249" s="833">
        <f t="shared" si="108"/>
        <v>0</v>
      </c>
      <c r="G1249" s="833">
        <f t="shared" si="128"/>
        <v>0</v>
      </c>
      <c r="H1249" s="834">
        <v>1</v>
      </c>
      <c r="I1249" s="835"/>
      <c r="J1249" s="836"/>
      <c r="K1249" s="836"/>
      <c r="L1249" s="836"/>
      <c r="M1249" s="836"/>
      <c r="N1249" s="836"/>
      <c r="O1249" s="836"/>
      <c r="P1249" s="836"/>
      <c r="Q1249" s="836"/>
      <c r="R1249" s="837">
        <v>250</v>
      </c>
      <c r="T1249" s="155">
        <v>2006000</v>
      </c>
      <c r="U1249" s="155"/>
      <c r="V1249" s="430"/>
      <c r="AA1249" s="180" t="str">
        <f>VLOOKUP(A1249,[2]DG!$A:$C,3,0)</f>
        <v>Trụ thép tròn cao 7 mét</v>
      </c>
    </row>
    <row r="1250" spans="1:27" ht="31.5">
      <c r="A1250" s="873" t="s">
        <v>4746</v>
      </c>
      <c r="B1250" s="859"/>
      <c r="C1250" s="429" t="s">
        <v>4745</v>
      </c>
      <c r="D1250" s="420" t="s">
        <v>400</v>
      </c>
      <c r="E1250" s="833">
        <v>1709000</v>
      </c>
      <c r="F1250" s="833">
        <f t="shared" ref="F1250:F1251" si="130">IF(OR(I1250="",J1250=""),0,IF(K1250*1=0,1,K1250)*VLOOKUP(I1250,TIENLUONG,4,0)*J1250)</f>
        <v>0</v>
      </c>
      <c r="G1250" s="833">
        <f t="shared" si="128"/>
        <v>0</v>
      </c>
      <c r="H1250" s="834">
        <v>1</v>
      </c>
      <c r="I1250" s="835"/>
      <c r="J1250" s="836"/>
      <c r="K1250" s="836"/>
      <c r="L1250" s="836"/>
      <c r="M1250" s="836"/>
      <c r="N1250" s="836"/>
      <c r="O1250" s="836"/>
      <c r="P1250" s="836"/>
      <c r="Q1250" s="836"/>
      <c r="R1250" s="837">
        <v>200</v>
      </c>
      <c r="T1250" s="155">
        <v>1709000</v>
      </c>
      <c r="U1250" s="155"/>
      <c r="V1250" s="430"/>
      <c r="AA1250" s="180" t="str">
        <f>VLOOKUP(A1250,[2]DG!$A:$C,3,0)</f>
        <v>Trụ đèn chiếu sáng côn tròn STK cao 8m, dày 3mm, D60/191mm. Đế 375x375x10mm</v>
      </c>
    </row>
    <row r="1251" spans="1:27" ht="31.5">
      <c r="A1251" s="873" t="s">
        <v>4747</v>
      </c>
      <c r="B1251" s="859"/>
      <c r="C1251" s="429" t="s">
        <v>4772</v>
      </c>
      <c r="D1251" s="420" t="s">
        <v>400</v>
      </c>
      <c r="E1251" s="833">
        <v>2006000</v>
      </c>
      <c r="F1251" s="833">
        <f t="shared" si="130"/>
        <v>0</v>
      </c>
      <c r="G1251" s="833">
        <f t="shared" si="128"/>
        <v>0</v>
      </c>
      <c r="H1251" s="834">
        <v>1</v>
      </c>
      <c r="I1251" s="835"/>
      <c r="J1251" s="836"/>
      <c r="K1251" s="836"/>
      <c r="L1251" s="836"/>
      <c r="M1251" s="836"/>
      <c r="N1251" s="836"/>
      <c r="O1251" s="836"/>
      <c r="P1251" s="836"/>
      <c r="Q1251" s="836"/>
      <c r="R1251" s="837">
        <v>250</v>
      </c>
      <c r="T1251" s="155">
        <v>2006000</v>
      </c>
      <c r="U1251" s="155"/>
      <c r="V1251" s="430"/>
      <c r="AA1251" s="180" t="str">
        <f>VLOOKUP(A1251,[2]DG!$A:$C,3,0)</f>
        <v>Trụ đèn chiếu sáng côn tròn STK cao 9m, dày 4mm, D60/150mm. Đế 375x375x10mm</v>
      </c>
    </row>
    <row r="1252" spans="1:27" ht="31.5">
      <c r="A1252" s="873" t="s">
        <v>4748</v>
      </c>
      <c r="B1252" s="859"/>
      <c r="C1252" s="429" t="s">
        <v>4773</v>
      </c>
      <c r="D1252" s="420" t="s">
        <v>400</v>
      </c>
      <c r="E1252" s="833">
        <v>1709000</v>
      </c>
      <c r="F1252" s="833">
        <f t="shared" ref="F1252:F1253" si="131">IF(OR(I1252="",J1252=""),0,IF(K1252*1=0,1,K1252)*VLOOKUP(I1252,TIENLUONG,4,0)*J1252)</f>
        <v>0</v>
      </c>
      <c r="G1252" s="833">
        <f t="shared" si="128"/>
        <v>0</v>
      </c>
      <c r="H1252" s="834">
        <v>1</v>
      </c>
      <c r="I1252" s="835"/>
      <c r="J1252" s="836"/>
      <c r="K1252" s="836"/>
      <c r="L1252" s="836"/>
      <c r="M1252" s="836"/>
      <c r="N1252" s="836"/>
      <c r="O1252" s="836"/>
      <c r="P1252" s="836"/>
      <c r="Q1252" s="836"/>
      <c r="R1252" s="837">
        <v>200</v>
      </c>
      <c r="T1252" s="155">
        <v>1709000</v>
      </c>
      <c r="U1252" s="155"/>
      <c r="V1252" s="430"/>
      <c r="AA1252" s="180" t="str">
        <f>VLOOKUP(A1252,[2]DG!$A:$C,3,0)</f>
        <v>Trụ đèn chiếu sáng côn tròn STK cao 10m, dày 4mm, D60/191mm. Đế 375x375x10mm</v>
      </c>
    </row>
    <row r="1253" spans="1:27" ht="31.5">
      <c r="A1253" s="873" t="s">
        <v>4749</v>
      </c>
      <c r="B1253" s="859"/>
      <c r="C1253" s="429" t="s">
        <v>4774</v>
      </c>
      <c r="D1253" s="420" t="s">
        <v>400</v>
      </c>
      <c r="E1253" s="833">
        <v>2006000</v>
      </c>
      <c r="F1253" s="833">
        <f t="shared" si="131"/>
        <v>0</v>
      </c>
      <c r="G1253" s="833">
        <f t="shared" si="128"/>
        <v>0</v>
      </c>
      <c r="H1253" s="834">
        <v>1</v>
      </c>
      <c r="I1253" s="835"/>
      <c r="J1253" s="836"/>
      <c r="K1253" s="836"/>
      <c r="L1253" s="836"/>
      <c r="M1253" s="836"/>
      <c r="N1253" s="836"/>
      <c r="O1253" s="836"/>
      <c r="P1253" s="836"/>
      <c r="Q1253" s="836"/>
      <c r="R1253" s="837">
        <v>250</v>
      </c>
      <c r="T1253" s="155">
        <v>2006000</v>
      </c>
      <c r="U1253" s="155"/>
      <c r="V1253" s="430"/>
      <c r="AA1253" s="180" t="str">
        <f>VLOOKUP(A1253,[2]DG!$A:$C,3,0)</f>
        <v>Trụ đèn chiếu sáng côn tròn STK cao 11m, dày 4mm, D60/150mm. Đế 375x375x10mm</v>
      </c>
    </row>
    <row r="1254" spans="1:27" ht="31.5">
      <c r="A1254" s="873" t="s">
        <v>4777</v>
      </c>
      <c r="B1254" s="859"/>
      <c r="C1254" s="429" t="s">
        <v>4780</v>
      </c>
      <c r="D1254" s="420" t="s">
        <v>9</v>
      </c>
      <c r="E1254" s="833">
        <v>3500000</v>
      </c>
      <c r="F1254" s="833">
        <f t="shared" si="108"/>
        <v>0</v>
      </c>
      <c r="G1254" s="833">
        <f t="shared" si="128"/>
        <v>0</v>
      </c>
      <c r="H1254" s="834">
        <v>43301</v>
      </c>
      <c r="I1254" s="835"/>
      <c r="J1254" s="836"/>
      <c r="K1254" s="836"/>
      <c r="L1254" s="836"/>
      <c r="M1254" s="836"/>
      <c r="N1254" s="836"/>
      <c r="O1254" s="836"/>
      <c r="P1254" s="836"/>
      <c r="Q1254" s="836"/>
      <c r="R1254" s="837">
        <v>200</v>
      </c>
      <c r="T1254" s="155">
        <v>85714</v>
      </c>
      <c r="U1254" s="155"/>
      <c r="V1254" s="430"/>
      <c r="AA1254" s="180" t="str">
        <f>VLOOKUP(A1254,[2]DG!$A:$C,3,0)</f>
        <v>Bộ đèn LED 150W (150x1), ánh sáng trắng, IP66, D49</v>
      </c>
    </row>
    <row r="1255" spans="1:27" ht="31.5">
      <c r="A1255" s="873" t="s">
        <v>4779</v>
      </c>
      <c r="B1255" s="859"/>
      <c r="C1255" s="429" t="s">
        <v>4781</v>
      </c>
      <c r="D1255" s="420" t="s">
        <v>9</v>
      </c>
      <c r="E1255" s="833">
        <v>3800000</v>
      </c>
      <c r="F1255" s="833">
        <f t="shared" ref="F1255" si="132">IF(OR(I1255="",J1255=""),0,IF(K1255*1=0,1,K1255)*VLOOKUP(I1255,TIENLUONG,4,0)*J1255)</f>
        <v>0</v>
      </c>
      <c r="G1255" s="833">
        <f t="shared" ref="G1255" si="133">L1255*VLOOKUP($L$1,CAMAY,2,0)+M1255*VLOOKUP($M$1,CAMAY,2,0)+N1255*VLOOKUP($N$1,CAMAY,2,0)+O1255*VLOOKUP($O$1,CAMAY,2,0)+P1255*VLOOKUP($P$1,CAMAY,2,0)+Q1255*VLOOKUP($Q$1,CAMAY,2,0)</f>
        <v>0</v>
      </c>
      <c r="H1255" s="834">
        <v>43301</v>
      </c>
      <c r="I1255" s="835"/>
      <c r="J1255" s="836"/>
      <c r="K1255" s="836"/>
      <c r="L1255" s="836"/>
      <c r="M1255" s="836"/>
      <c r="N1255" s="836"/>
      <c r="O1255" s="836"/>
      <c r="P1255" s="836"/>
      <c r="Q1255" s="836"/>
      <c r="R1255" s="837">
        <v>200</v>
      </c>
      <c r="T1255" s="155">
        <v>85714</v>
      </c>
      <c r="U1255" s="155"/>
      <c r="V1255" s="430"/>
      <c r="AA1255" s="180" t="str">
        <f>VLOOKUP(A1255,[2]DG!$A:$C,3,0)</f>
        <v>Bộ đèn LED 180W (180x1), ánh sáng trắng, IP66, D49</v>
      </c>
    </row>
    <row r="1256" spans="1:27" ht="31.5">
      <c r="A1256" s="873" t="s">
        <v>4778</v>
      </c>
      <c r="B1256" s="859"/>
      <c r="C1256" s="429" t="s">
        <v>4782</v>
      </c>
      <c r="D1256" s="420" t="s">
        <v>9</v>
      </c>
      <c r="E1256" s="833">
        <v>4200000</v>
      </c>
      <c r="F1256" s="833">
        <f t="shared" ref="F1256" si="134">IF(OR(I1256="",J1256=""),0,IF(K1256*1=0,1,K1256)*VLOOKUP(I1256,TIENLUONG,4,0)*J1256)</f>
        <v>0</v>
      </c>
      <c r="G1256" s="833">
        <f t="shared" ref="G1256" si="135">L1256*VLOOKUP($L$1,CAMAY,2,0)+M1256*VLOOKUP($M$1,CAMAY,2,0)+N1256*VLOOKUP($N$1,CAMAY,2,0)+O1256*VLOOKUP($O$1,CAMAY,2,0)+P1256*VLOOKUP($P$1,CAMAY,2,0)+Q1256*VLOOKUP($Q$1,CAMAY,2,0)</f>
        <v>0</v>
      </c>
      <c r="H1256" s="834">
        <v>43301</v>
      </c>
      <c r="I1256" s="835"/>
      <c r="J1256" s="836"/>
      <c r="K1256" s="836"/>
      <c r="L1256" s="836"/>
      <c r="M1256" s="836"/>
      <c r="N1256" s="836"/>
      <c r="O1256" s="836"/>
      <c r="P1256" s="836"/>
      <c r="Q1256" s="836"/>
      <c r="R1256" s="837">
        <v>200</v>
      </c>
      <c r="T1256" s="155">
        <v>85714</v>
      </c>
      <c r="U1256" s="155"/>
      <c r="V1256" s="430"/>
      <c r="AA1256" s="180" t="str">
        <f>VLOOKUP(A1256,[2]DG!$A:$C,3,0)</f>
        <v>Bộ đèn LED 200W (200x1), ánh sáng trắng, IP66, D49</v>
      </c>
    </row>
    <row r="1257" spans="1:27" ht="31.5">
      <c r="A1257" s="873" t="s">
        <v>4816</v>
      </c>
      <c r="B1257" s="859"/>
      <c r="C1257" s="429" t="s">
        <v>4768</v>
      </c>
      <c r="D1257" s="420" t="s">
        <v>2096</v>
      </c>
      <c r="E1257" s="833">
        <v>350000</v>
      </c>
      <c r="F1257" s="833">
        <f t="shared" si="108"/>
        <v>0</v>
      </c>
      <c r="G1257" s="833">
        <f t="shared" si="128"/>
        <v>0</v>
      </c>
      <c r="H1257" s="834">
        <v>1</v>
      </c>
      <c r="I1257" s="835"/>
      <c r="J1257" s="836"/>
      <c r="K1257" s="836"/>
      <c r="L1257" s="836"/>
      <c r="M1257" s="836"/>
      <c r="N1257" s="836"/>
      <c r="O1257" s="836"/>
      <c r="P1257" s="836"/>
      <c r="Q1257" s="836"/>
      <c r="R1257" s="837">
        <v>30</v>
      </c>
      <c r="T1257" s="155">
        <v>210000</v>
      </c>
      <c r="U1257" s="155"/>
      <c r="V1257" s="430"/>
      <c r="AA1257" s="180" t="str">
        <f>VLOOKUP(A1257,[2]DG!$A:$C,3,0)</f>
        <v>Cần đèn đơn STK cao 2m, vươn xa 1.5m, dày 2mm, D60mm + ống nối D49mm</v>
      </c>
    </row>
    <row r="1258" spans="1:27" ht="31.5">
      <c r="A1258" s="873" t="s">
        <v>4817</v>
      </c>
      <c r="B1258" s="859"/>
      <c r="C1258" s="429" t="s">
        <v>4769</v>
      </c>
      <c r="D1258" s="420" t="s">
        <v>2096</v>
      </c>
      <c r="E1258" s="833">
        <v>750000</v>
      </c>
      <c r="F1258" s="833">
        <f t="shared" si="108"/>
        <v>0</v>
      </c>
      <c r="G1258" s="833">
        <f t="shared" si="128"/>
        <v>0</v>
      </c>
      <c r="H1258" s="834">
        <v>1</v>
      </c>
      <c r="I1258" s="835"/>
      <c r="J1258" s="836"/>
      <c r="K1258" s="836"/>
      <c r="L1258" s="836"/>
      <c r="M1258" s="836"/>
      <c r="N1258" s="836"/>
      <c r="O1258" s="836"/>
      <c r="P1258" s="836"/>
      <c r="Q1258" s="836"/>
      <c r="R1258" s="837">
        <v>30</v>
      </c>
      <c r="T1258" s="155">
        <v>409500</v>
      </c>
      <c r="U1258" s="155"/>
      <c r="V1258" s="430"/>
      <c r="AA1258" s="180" t="str">
        <f>VLOOKUP(A1258,[2]DG!$A:$C,3,0)</f>
        <v>Cần đèn đôi STK cao 2m, vươn xa 1.5m, dày 2mm, D60mm + ống nối D49mm</v>
      </c>
    </row>
    <row r="1259" spans="1:27" ht="47.25">
      <c r="A1259" s="873" t="s">
        <v>4818</v>
      </c>
      <c r="B1259" s="859"/>
      <c r="C1259" s="429" t="s">
        <v>4770</v>
      </c>
      <c r="D1259" s="420" t="s">
        <v>2096</v>
      </c>
      <c r="E1259" s="833"/>
      <c r="F1259" s="833">
        <f t="shared" si="108"/>
        <v>0</v>
      </c>
      <c r="G1259" s="833">
        <f t="shared" si="128"/>
        <v>0</v>
      </c>
      <c r="H1259" s="834">
        <v>1</v>
      </c>
      <c r="I1259" s="835"/>
      <c r="J1259" s="836"/>
      <c r="K1259" s="836"/>
      <c r="L1259" s="836"/>
      <c r="M1259" s="836"/>
      <c r="N1259" s="836"/>
      <c r="O1259" s="836"/>
      <c r="P1259" s="836"/>
      <c r="Q1259" s="836"/>
      <c r="R1259" s="837">
        <v>30</v>
      </c>
      <c r="T1259" s="155">
        <v>350000</v>
      </c>
      <c r="U1259" s="155"/>
      <c r="V1259" s="430"/>
      <c r="AA1259" s="180" t="str">
        <f>VLOOKUP(A1259,[2]DG!$A:$C,3,0)</f>
        <v>Cần đèn ba STK cao 2m, vươn xa 1.5m, dày 2mm, D60mm + ống nối D49mm (1 nhánh để rời bắt bass)</v>
      </c>
    </row>
    <row r="1260" spans="1:27" ht="47.25">
      <c r="A1260" s="873" t="s">
        <v>4819</v>
      </c>
      <c r="B1260" s="859"/>
      <c r="C1260" s="429" t="s">
        <v>4771</v>
      </c>
      <c r="D1260" s="420" t="s">
        <v>2096</v>
      </c>
      <c r="E1260" s="833"/>
      <c r="F1260" s="833">
        <f t="shared" si="108"/>
        <v>0</v>
      </c>
      <c r="G1260" s="833">
        <f t="shared" si="128"/>
        <v>0</v>
      </c>
      <c r="H1260" s="834">
        <v>1</v>
      </c>
      <c r="I1260" s="835"/>
      <c r="J1260" s="836"/>
      <c r="K1260" s="836"/>
      <c r="L1260" s="836"/>
      <c r="M1260" s="836"/>
      <c r="N1260" s="836"/>
      <c r="O1260" s="836"/>
      <c r="P1260" s="836"/>
      <c r="Q1260" s="836"/>
      <c r="R1260" s="837">
        <v>30</v>
      </c>
      <c r="T1260" s="155">
        <v>252000</v>
      </c>
      <c r="U1260" s="155"/>
      <c r="V1260" s="430"/>
      <c r="AA1260" s="180" t="str">
        <f>VLOOKUP(A1260,[2]DG!$A:$C,3,0)</f>
        <v>Cần đèn bốn STK cao 2m, vươn xa 1.5m, dày 2mm, D60mm + ống nối D49mm (2 nhánh để rời bắt bass)</v>
      </c>
    </row>
    <row r="1261" spans="1:27" ht="31.5">
      <c r="A1261" s="873" t="s">
        <v>4820</v>
      </c>
      <c r="B1261" s="859"/>
      <c r="C1261" s="429" t="s">
        <v>4775</v>
      </c>
      <c r="D1261" s="420" t="s">
        <v>2096</v>
      </c>
      <c r="E1261" s="833"/>
      <c r="F1261" s="833">
        <f t="shared" si="108"/>
        <v>0</v>
      </c>
      <c r="G1261" s="833">
        <f t="shared" si="128"/>
        <v>0</v>
      </c>
      <c r="H1261" s="834">
        <v>1</v>
      </c>
      <c r="I1261" s="835"/>
      <c r="J1261" s="836"/>
      <c r="K1261" s="836"/>
      <c r="L1261" s="836"/>
      <c r="M1261" s="836"/>
      <c r="N1261" s="836"/>
      <c r="O1261" s="836"/>
      <c r="P1261" s="836"/>
      <c r="Q1261" s="836"/>
      <c r="R1261" s="837">
        <v>30</v>
      </c>
      <c r="T1261" s="155">
        <v>472500</v>
      </c>
      <c r="U1261" s="155"/>
      <c r="V1261" s="430"/>
      <c r="AA1261" s="180" t="str">
        <f>VLOOKUP(A1261,[2]DG!$A:$C,3,0)</f>
        <v>Cần đèn đơn STK cao 2m, vươn xa 1.8m, dày 2mm, D60mm + ống nối D49mm</v>
      </c>
    </row>
    <row r="1262" spans="1:27" ht="31.5">
      <c r="A1262" s="873" t="s">
        <v>4821</v>
      </c>
      <c r="B1262" s="859"/>
      <c r="C1262" s="429" t="s">
        <v>4776</v>
      </c>
      <c r="D1262" s="420" t="s">
        <v>2096</v>
      </c>
      <c r="E1262" s="833"/>
      <c r="F1262" s="833">
        <f t="shared" si="108"/>
        <v>0</v>
      </c>
      <c r="G1262" s="833">
        <f t="shared" si="128"/>
        <v>0</v>
      </c>
      <c r="H1262" s="834">
        <v>1</v>
      </c>
      <c r="I1262" s="835"/>
      <c r="J1262" s="836"/>
      <c r="K1262" s="836"/>
      <c r="L1262" s="836"/>
      <c r="M1262" s="836"/>
      <c r="N1262" s="836"/>
      <c r="O1262" s="836"/>
      <c r="P1262" s="836"/>
      <c r="Q1262" s="836"/>
      <c r="R1262" s="837"/>
      <c r="T1262" s="155"/>
      <c r="U1262" s="155"/>
      <c r="V1262" s="430"/>
      <c r="AA1262" s="180" t="str">
        <f>VLOOKUP(A1262,[2]DG!$A:$C,3,0)</f>
        <v>Cần đèn đôi STK cao 2m, vươn xa 1.8m, dày 2mm, D60mm + ống nối D49mm</v>
      </c>
    </row>
    <row r="1263" spans="1:27" ht="31.5">
      <c r="A1263" s="873" t="s">
        <v>3242</v>
      </c>
      <c r="B1263" s="859"/>
      <c r="C1263" s="429" t="s">
        <v>3243</v>
      </c>
      <c r="D1263" s="420" t="s">
        <v>2096</v>
      </c>
      <c r="E1263" s="833">
        <v>250000</v>
      </c>
      <c r="F1263" s="833">
        <f t="shared" si="108"/>
        <v>0</v>
      </c>
      <c r="G1263" s="833">
        <f t="shared" si="128"/>
        <v>0</v>
      </c>
      <c r="H1263" s="834">
        <v>1</v>
      </c>
      <c r="I1263" s="835"/>
      <c r="J1263" s="836"/>
      <c r="K1263" s="836"/>
      <c r="L1263" s="836"/>
      <c r="M1263" s="836"/>
      <c r="N1263" s="836"/>
      <c r="O1263" s="836"/>
      <c r="P1263" s="836"/>
      <c r="Q1263" s="836"/>
      <c r="R1263" s="837">
        <v>30</v>
      </c>
      <c r="T1263" s="155">
        <v>250000</v>
      </c>
      <c r="U1263" s="155"/>
      <c r="V1263" s="430"/>
      <c r="AA1263" s="180" t="str">
        <f>VLOOKUP(A1263,[2]DG!$A:$C,3,0)</f>
        <v>Cần đèn D27 cao 1m vươn 1,8m nghiêng 15 độ Fe/Zn</v>
      </c>
    </row>
    <row r="1264" spans="1:27" ht="20.100000000000001" customHeight="1">
      <c r="A1264" s="873" t="s">
        <v>3256</v>
      </c>
      <c r="B1264" s="859"/>
      <c r="C1264" s="429" t="s">
        <v>3255</v>
      </c>
      <c r="D1264" s="420" t="s">
        <v>37</v>
      </c>
      <c r="E1264" s="833">
        <v>270000</v>
      </c>
      <c r="F1264" s="833">
        <f t="shared" si="108"/>
        <v>0</v>
      </c>
      <c r="G1264" s="833">
        <f t="shared" si="128"/>
        <v>0</v>
      </c>
      <c r="H1264" s="834">
        <v>1</v>
      </c>
      <c r="I1264" s="835"/>
      <c r="J1264" s="836"/>
      <c r="K1264" s="836"/>
      <c r="L1264" s="836"/>
      <c r="M1264" s="836"/>
      <c r="N1264" s="836"/>
      <c r="O1264" s="836"/>
      <c r="P1264" s="836"/>
      <c r="Q1264" s="836"/>
      <c r="R1264" s="837">
        <v>5</v>
      </c>
      <c r="T1264" s="155">
        <v>270000</v>
      </c>
      <c r="U1264" s="155"/>
      <c r="V1264" s="430"/>
      <c r="AA1264" s="180" t="str">
        <f>VLOOKUP(A1264,[2]DG!$A:$C,3,0)</f>
        <v>Bộ đèn hộp ngoài trời bóng LED 4U 40W</v>
      </c>
    </row>
    <row r="1265" spans="1:27" ht="20.100000000000001" customHeight="1">
      <c r="A1265" s="873" t="s">
        <v>3257</v>
      </c>
      <c r="B1265" s="859"/>
      <c r="C1265" s="429" t="s">
        <v>3258</v>
      </c>
      <c r="D1265" s="420" t="s">
        <v>9</v>
      </c>
      <c r="E1265" s="833">
        <v>135000</v>
      </c>
      <c r="F1265" s="833">
        <f t="shared" si="108"/>
        <v>0</v>
      </c>
      <c r="G1265" s="833">
        <f t="shared" si="128"/>
        <v>0</v>
      </c>
      <c r="H1265" s="834">
        <v>1</v>
      </c>
      <c r="I1265" s="835"/>
      <c r="J1265" s="836"/>
      <c r="K1265" s="836"/>
      <c r="L1265" s="836"/>
      <c r="M1265" s="836"/>
      <c r="N1265" s="836"/>
      <c r="O1265" s="836"/>
      <c r="P1265" s="836"/>
      <c r="Q1265" s="836"/>
      <c r="R1265" s="837">
        <v>0.2</v>
      </c>
      <c r="T1265" s="155">
        <v>135000</v>
      </c>
      <c r="U1265" s="155"/>
      <c r="V1265" s="430"/>
      <c r="AA1265" s="180" t="str">
        <f>VLOOKUP(A1265,[2]DG!$A:$C,3,0)</f>
        <v>Bóng đèn LED 4U 40W</v>
      </c>
    </row>
    <row r="1266" spans="1:27" ht="20.100000000000001" hidden="1" customHeight="1">
      <c r="A1266" s="873" t="s">
        <v>3762</v>
      </c>
      <c r="B1266" s="859"/>
      <c r="C1266" s="429" t="s">
        <v>2097</v>
      </c>
      <c r="D1266" s="420" t="s">
        <v>37</v>
      </c>
      <c r="E1266" s="833">
        <v>1669500</v>
      </c>
      <c r="F1266" s="833">
        <f t="shared" si="108"/>
        <v>0</v>
      </c>
      <c r="G1266" s="833">
        <f t="shared" si="128"/>
        <v>0</v>
      </c>
      <c r="H1266" s="834">
        <v>1</v>
      </c>
      <c r="I1266" s="835"/>
      <c r="J1266" s="836"/>
      <c r="K1266" s="836"/>
      <c r="L1266" s="836"/>
      <c r="M1266" s="836"/>
      <c r="N1266" s="836"/>
      <c r="O1266" s="836"/>
      <c r="P1266" s="836"/>
      <c r="Q1266" s="836"/>
      <c r="R1266" s="837">
        <v>1</v>
      </c>
      <c r="T1266" s="155">
        <v>1669500</v>
      </c>
      <c r="U1266" s="155"/>
      <c r="V1266" s="430"/>
      <c r="AA1266" s="180" t="str">
        <f>VLOOKUP(A1266,[2]DG!$A:$C,3,0)</f>
        <v>Choá đèn + bóng 250W (CĐT cung cấp)</v>
      </c>
    </row>
    <row r="1267" spans="1:27" ht="20.100000000000001" customHeight="1">
      <c r="A1267" s="873" t="s">
        <v>4828</v>
      </c>
      <c r="B1267" s="859"/>
      <c r="C1267" s="429" t="s">
        <v>4829</v>
      </c>
      <c r="D1267" s="420" t="s">
        <v>9</v>
      </c>
      <c r="E1267" s="833">
        <v>7500</v>
      </c>
      <c r="F1267" s="833">
        <f t="shared" si="108"/>
        <v>0</v>
      </c>
      <c r="G1267" s="833">
        <f t="shared" si="128"/>
        <v>0</v>
      </c>
      <c r="H1267" s="834">
        <v>1</v>
      </c>
      <c r="I1267" s="835"/>
      <c r="J1267" s="836"/>
      <c r="K1267" s="836"/>
      <c r="L1267" s="836"/>
      <c r="M1267" s="836"/>
      <c r="N1267" s="836"/>
      <c r="O1267" s="836"/>
      <c r="P1267" s="836"/>
      <c r="Q1267" s="836"/>
      <c r="R1267" s="837">
        <v>0.1</v>
      </c>
      <c r="T1267" s="155">
        <v>3000</v>
      </c>
      <c r="U1267" s="155"/>
      <c r="V1267" s="430"/>
      <c r="AA1267" s="180" t="str">
        <f>VLOOKUP(A1267,[2]DG!$A:$C,3,0)</f>
        <v>Cầu chì đuôi cá 2A</v>
      </c>
    </row>
    <row r="1268" spans="1:27" ht="20.100000000000001" customHeight="1">
      <c r="A1268" s="873" t="s">
        <v>4800</v>
      </c>
      <c r="B1268" s="859"/>
      <c r="C1268" s="429" t="s">
        <v>4799</v>
      </c>
      <c r="D1268" s="420" t="s">
        <v>9</v>
      </c>
      <c r="E1268" s="833">
        <v>35650</v>
      </c>
      <c r="F1268" s="833">
        <f t="shared" si="108"/>
        <v>0</v>
      </c>
      <c r="G1268" s="833">
        <f t="shared" si="128"/>
        <v>0</v>
      </c>
      <c r="H1268" s="834">
        <v>1</v>
      </c>
      <c r="I1268" s="835"/>
      <c r="J1268" s="836"/>
      <c r="K1268" s="836"/>
      <c r="L1268" s="836"/>
      <c r="M1268" s="836"/>
      <c r="N1268" s="836"/>
      <c r="O1268" s="836"/>
      <c r="P1268" s="836"/>
      <c r="Q1268" s="836"/>
      <c r="R1268" s="837">
        <v>0.1</v>
      </c>
      <c r="T1268" s="155">
        <v>35650</v>
      </c>
      <c r="U1268" s="155"/>
      <c r="V1268" s="430"/>
      <c r="AA1268" s="180" t="str">
        <f>VLOOKUP(A1268,[2]DG!$A:$C,3,0)</f>
        <v>Domino đấu nối trong trụ đèn</v>
      </c>
    </row>
    <row r="1269" spans="1:27" ht="20.100000000000001" customHeight="1">
      <c r="A1269" s="873" t="s">
        <v>3234</v>
      </c>
      <c r="B1269" s="864" t="s">
        <v>2778</v>
      </c>
      <c r="C1269" s="440" t="s">
        <v>4797</v>
      </c>
      <c r="D1269" s="439" t="s">
        <v>2096</v>
      </c>
      <c r="E1269" s="833"/>
      <c r="F1269" s="833">
        <f t="shared" si="108"/>
        <v>225093</v>
      </c>
      <c r="G1269" s="833">
        <f t="shared" si="128"/>
        <v>219863.42307692309</v>
      </c>
      <c r="H1269" s="834">
        <v>1</v>
      </c>
      <c r="I1269" s="835" t="s">
        <v>3372</v>
      </c>
      <c r="J1269" s="836">
        <v>0.95</v>
      </c>
      <c r="K1269" s="836"/>
      <c r="L1269" s="836"/>
      <c r="M1269" s="836"/>
      <c r="N1269" s="836"/>
      <c r="O1269" s="836"/>
      <c r="P1269" s="836"/>
      <c r="Q1269" s="836">
        <v>0.15</v>
      </c>
      <c r="R1269" s="837"/>
      <c r="T1269" s="441"/>
      <c r="U1269" s="155">
        <v>133521</v>
      </c>
      <c r="V1269" s="155">
        <v>272018</v>
      </c>
      <c r="AA1269" s="180" t="str">
        <f>VLOOKUP(A1269,[2]DG!$A:$C,3,0)</f>
        <v>Lắp đặt cần đèn D60, L&lt;=2,8m</v>
      </c>
    </row>
    <row r="1270" spans="1:27" ht="20.100000000000001" customHeight="1">
      <c r="A1270" s="873" t="s">
        <v>3235</v>
      </c>
      <c r="B1270" s="864" t="s">
        <v>3232</v>
      </c>
      <c r="C1270" s="440" t="s">
        <v>4796</v>
      </c>
      <c r="D1270" s="439" t="s">
        <v>2096</v>
      </c>
      <c r="E1270" s="833"/>
      <c r="F1270" s="833">
        <f t="shared" si="108"/>
        <v>248787</v>
      </c>
      <c r="G1270" s="833">
        <f t="shared" si="128"/>
        <v>219863.42307692309</v>
      </c>
      <c r="H1270" s="834">
        <v>1</v>
      </c>
      <c r="I1270" s="835" t="s">
        <v>3372</v>
      </c>
      <c r="J1270" s="836">
        <v>1.05</v>
      </c>
      <c r="K1270" s="836"/>
      <c r="L1270" s="836"/>
      <c r="M1270" s="836"/>
      <c r="N1270" s="836"/>
      <c r="O1270" s="836"/>
      <c r="P1270" s="836"/>
      <c r="Q1270" s="836">
        <v>0.15</v>
      </c>
      <c r="R1270" s="837"/>
      <c r="T1270" s="441"/>
      <c r="U1270" s="155">
        <v>147575</v>
      </c>
      <c r="V1270" s="155">
        <v>272018</v>
      </c>
      <c r="AA1270" s="180" t="str">
        <f>VLOOKUP(A1270,[2]DG!$A:$C,3,0)</f>
        <v>Lắp đặt cần đèn D60, L&lt;=3,2m</v>
      </c>
    </row>
    <row r="1271" spans="1:27" ht="20.100000000000001" customHeight="1">
      <c r="A1271" s="873" t="s">
        <v>3236</v>
      </c>
      <c r="B1271" s="864" t="s">
        <v>3233</v>
      </c>
      <c r="C1271" s="440" t="s">
        <v>4798</v>
      </c>
      <c r="D1271" s="439" t="s">
        <v>2096</v>
      </c>
      <c r="E1271" s="833"/>
      <c r="F1271" s="833">
        <f t="shared" ref="F1271:F1305" si="136">IF(OR(I1271="",J1271=""),0,IF(K1271*1=0,1,K1271)*VLOOKUP(I1271,TIENLUONG,4,0)*J1271)</f>
        <v>270111.59999999998</v>
      </c>
      <c r="G1271" s="833">
        <f t="shared" si="128"/>
        <v>219863.42307692309</v>
      </c>
      <c r="H1271" s="834">
        <v>1</v>
      </c>
      <c r="I1271" s="835" t="s">
        <v>3372</v>
      </c>
      <c r="J1271" s="836">
        <v>1.1399999999999999</v>
      </c>
      <c r="K1271" s="836"/>
      <c r="L1271" s="836"/>
      <c r="M1271" s="836"/>
      <c r="N1271" s="836"/>
      <c r="O1271" s="836"/>
      <c r="P1271" s="836"/>
      <c r="Q1271" s="836">
        <v>0.15</v>
      </c>
      <c r="R1271" s="837"/>
      <c r="T1271" s="441"/>
      <c r="U1271" s="155">
        <v>160225</v>
      </c>
      <c r="V1271" s="155">
        <v>340022</v>
      </c>
      <c r="AA1271" s="180" t="str">
        <f>VLOOKUP(A1271,[2]DG!$A:$C,3,0)</f>
        <v>Lắp đặt cần đèn D60, L&lt;=3,6m</v>
      </c>
    </row>
    <row r="1272" spans="1:27" ht="20.100000000000001" customHeight="1">
      <c r="A1272" s="873" t="s">
        <v>3239</v>
      </c>
      <c r="B1272" s="864" t="s">
        <v>3237</v>
      </c>
      <c r="C1272" s="421" t="s">
        <v>3238</v>
      </c>
      <c r="D1272" s="420" t="s">
        <v>37</v>
      </c>
      <c r="E1272" s="833"/>
      <c r="F1272" s="833">
        <f t="shared" si="136"/>
        <v>0</v>
      </c>
      <c r="G1272" s="833">
        <f t="shared" si="128"/>
        <v>0</v>
      </c>
      <c r="H1272" s="834">
        <v>1</v>
      </c>
      <c r="I1272" s="835"/>
      <c r="J1272" s="836"/>
      <c r="K1272" s="836"/>
      <c r="L1272" s="836"/>
      <c r="M1272" s="836"/>
      <c r="N1272" s="836"/>
      <c r="O1272" s="836"/>
      <c r="P1272" s="836"/>
      <c r="Q1272" s="836"/>
      <c r="R1272" s="837"/>
      <c r="T1272" s="155"/>
      <c r="U1272" s="155">
        <v>70274</v>
      </c>
      <c r="V1272" s="155">
        <v>330767</v>
      </c>
      <c r="AA1272" s="180" t="str">
        <f>VLOOKUP(A1272,[2]DG!$A:$C,3,0)</f>
        <v>Làm tiếp địa lặp lại cho hệ thống chiếu sáng cáp treo</v>
      </c>
    </row>
    <row r="1273" spans="1:27" ht="20.100000000000001" customHeight="1">
      <c r="A1273" s="873" t="s">
        <v>4801</v>
      </c>
      <c r="B1273" s="864" t="s">
        <v>4757</v>
      </c>
      <c r="C1273" s="421" t="s">
        <v>4758</v>
      </c>
      <c r="D1273" s="420" t="s">
        <v>37</v>
      </c>
      <c r="E1273" s="833"/>
      <c r="F1273" s="833">
        <f t="shared" si="136"/>
        <v>118470</v>
      </c>
      <c r="G1273" s="833">
        <f t="shared" ref="G1273:G1298" si="137">L1273*VLOOKUP($L$1,CAMAY,2,0)+M1273*VLOOKUP($M$1,CAMAY,2,0)+N1273*VLOOKUP($N$1,CAMAY,2,0)+O1273*VLOOKUP($O$1,CAMAY,2,0)+P1273*VLOOKUP($P$1,CAMAY,2,0)+Q1273*VLOOKUP($Q$1,CAMAY,2,0)</f>
        <v>219863.42307692309</v>
      </c>
      <c r="H1273" s="834">
        <v>1</v>
      </c>
      <c r="I1273" s="835" t="s">
        <v>3372</v>
      </c>
      <c r="J1273" s="836">
        <v>0.5</v>
      </c>
      <c r="K1273" s="836"/>
      <c r="L1273" s="836"/>
      <c r="M1273" s="836"/>
      <c r="N1273" s="836"/>
      <c r="O1273" s="836"/>
      <c r="P1273" s="836"/>
      <c r="Q1273" s="836">
        <v>0.15</v>
      </c>
      <c r="R1273" s="837"/>
      <c r="T1273" s="155"/>
      <c r="U1273" s="155">
        <v>70274</v>
      </c>
      <c r="V1273" s="155">
        <v>204014</v>
      </c>
      <c r="AA1273" s="180" t="str">
        <f>VLOOKUP(A1273,[2]DG!$A:$C,3,0)</f>
        <v>Lắp chóa đèn chiếu sáng độ cao &lt;=12m</v>
      </c>
    </row>
    <row r="1274" spans="1:27" ht="20.100000000000001" customHeight="1">
      <c r="A1274" s="873" t="s">
        <v>4802</v>
      </c>
      <c r="B1274" s="864" t="s">
        <v>4757</v>
      </c>
      <c r="C1274" s="421" t="s">
        <v>4803</v>
      </c>
      <c r="D1274" s="420" t="s">
        <v>37</v>
      </c>
      <c r="E1274" s="833"/>
      <c r="F1274" s="833">
        <f t="shared" ref="F1274" si="138">IF(OR(I1274="",J1274=""),0,IF(K1274*1=0,1,K1274)*VLOOKUP(I1274,TIENLUONG,4,0)*J1274)</f>
        <v>165858</v>
      </c>
      <c r="G1274" s="833">
        <f t="shared" ref="G1274" si="139">L1274*VLOOKUP($L$1,CAMAY,2,0)+M1274*VLOOKUP($M$1,CAMAY,2,0)+N1274*VLOOKUP($N$1,CAMAY,2,0)+O1274*VLOOKUP($O$1,CAMAY,2,0)+P1274*VLOOKUP($P$1,CAMAY,2,0)+Q1274*VLOOKUP($Q$1,CAMAY,2,0)</f>
        <v>219863.42307692309</v>
      </c>
      <c r="H1274" s="834">
        <v>1</v>
      </c>
      <c r="I1274" s="835" t="s">
        <v>3372</v>
      </c>
      <c r="J1274" s="836">
        <v>0.7</v>
      </c>
      <c r="K1274" s="836"/>
      <c r="L1274" s="836"/>
      <c r="M1274" s="836"/>
      <c r="N1274" s="836"/>
      <c r="O1274" s="836"/>
      <c r="P1274" s="836"/>
      <c r="Q1274" s="836">
        <v>0.15</v>
      </c>
      <c r="R1274" s="837"/>
      <c r="T1274" s="155"/>
      <c r="U1274" s="155">
        <v>70274</v>
      </c>
      <c r="V1274" s="155">
        <v>204014</v>
      </c>
      <c r="AA1274" s="180" t="str">
        <f>VLOOKUP(A1274,[2]DG!$A:$C,3,0)</f>
        <v>Lắp chóa đèn chiếu sáng độ cao &gt;12m</v>
      </c>
    </row>
    <row r="1275" spans="1:27" ht="20.100000000000001" customHeight="1">
      <c r="A1275" s="873" t="s">
        <v>4783</v>
      </c>
      <c r="B1275" s="860" t="s">
        <v>4790</v>
      </c>
      <c r="C1275" s="429" t="s">
        <v>4784</v>
      </c>
      <c r="D1275" s="420" t="s">
        <v>400</v>
      </c>
      <c r="E1275" s="833"/>
      <c r="F1275" s="833">
        <f t="shared" si="136"/>
        <v>613475</v>
      </c>
      <c r="G1275" s="833">
        <f t="shared" si="137"/>
        <v>150201.23846153845</v>
      </c>
      <c r="H1275" s="834">
        <v>1</v>
      </c>
      <c r="I1275" s="835" t="s">
        <v>3370</v>
      </c>
      <c r="J1275" s="836">
        <v>2.5</v>
      </c>
      <c r="K1275" s="836"/>
      <c r="L1275" s="836"/>
      <c r="M1275" s="836">
        <v>0.1</v>
      </c>
      <c r="N1275" s="836"/>
      <c r="O1275" s="836"/>
      <c r="P1275" s="836"/>
      <c r="Q1275" s="836"/>
      <c r="R1275" s="837"/>
      <c r="T1275" s="155"/>
      <c r="U1275" s="155">
        <v>74568</v>
      </c>
      <c r="V1275" s="155"/>
      <c r="AA1275" s="180" t="str">
        <f>VLOOKUP(A1275,[2]DG!$A:$C,3,0)</f>
        <v>Lắp trụ thép ≤ 8m bằng cơ giới</v>
      </c>
    </row>
    <row r="1276" spans="1:27" ht="20.100000000000001" customHeight="1">
      <c r="A1276" s="873" t="s">
        <v>4786</v>
      </c>
      <c r="B1276" s="860" t="s">
        <v>4794</v>
      </c>
      <c r="C1276" s="429" t="s">
        <v>4785</v>
      </c>
      <c r="D1276" s="420" t="s">
        <v>400</v>
      </c>
      <c r="E1276" s="833"/>
      <c r="F1276" s="833">
        <f t="shared" ref="F1276" si="140">IF(OR(I1276="",J1276=""),0,IF(K1276*1=0,1,K1276)*VLOOKUP(I1276,TIENLUONG,4,0)*J1276)</f>
        <v>613475</v>
      </c>
      <c r="G1276" s="833">
        <f t="shared" ref="G1276" si="141">L1276*VLOOKUP($L$1,CAMAY,2,0)+M1276*VLOOKUP($M$1,CAMAY,2,0)+N1276*VLOOKUP($N$1,CAMAY,2,0)+O1276*VLOOKUP($O$1,CAMAY,2,0)+P1276*VLOOKUP($P$1,CAMAY,2,0)+Q1276*VLOOKUP($Q$1,CAMAY,2,0)</f>
        <v>150201.23846153845</v>
      </c>
      <c r="H1276" s="834">
        <v>1</v>
      </c>
      <c r="I1276" s="835" t="s">
        <v>3370</v>
      </c>
      <c r="J1276" s="836">
        <v>2.5</v>
      </c>
      <c r="K1276" s="836"/>
      <c r="L1276" s="836"/>
      <c r="M1276" s="836">
        <v>0.1</v>
      </c>
      <c r="N1276" s="836"/>
      <c r="O1276" s="836"/>
      <c r="P1276" s="836"/>
      <c r="Q1276" s="836"/>
      <c r="R1276" s="837"/>
      <c r="T1276" s="155"/>
      <c r="U1276" s="155">
        <v>74568</v>
      </c>
      <c r="V1276" s="155"/>
      <c r="AA1276" s="180" t="str">
        <f>VLOOKUP(A1276,[2]DG!$A:$C,3,0)</f>
        <v>Lắp trụ thép ≤ 10m bằng cơ giới</v>
      </c>
    </row>
    <row r="1277" spans="1:27" ht="20.100000000000001" customHeight="1">
      <c r="A1277" s="873" t="s">
        <v>4788</v>
      </c>
      <c r="B1277" s="860" t="s">
        <v>4795</v>
      </c>
      <c r="C1277" s="429" t="s">
        <v>4787</v>
      </c>
      <c r="D1277" s="420" t="s">
        <v>400</v>
      </c>
      <c r="E1277" s="833"/>
      <c r="F1277" s="833">
        <f t="shared" ref="F1277" si="142">IF(OR(I1277="",J1277=""),0,IF(K1277*1=0,1,K1277)*VLOOKUP(I1277,TIENLUONG,4,0)*J1277)</f>
        <v>736170</v>
      </c>
      <c r="G1277" s="833">
        <f t="shared" ref="G1277" si="143">L1277*VLOOKUP($L$1,CAMAY,2,0)+M1277*VLOOKUP($M$1,CAMAY,2,0)+N1277*VLOOKUP($N$1,CAMAY,2,0)+O1277*VLOOKUP($O$1,CAMAY,2,0)+P1277*VLOOKUP($P$1,CAMAY,2,0)+Q1277*VLOOKUP($Q$1,CAMAY,2,0)</f>
        <v>225301.85769230768</v>
      </c>
      <c r="H1277" s="834">
        <v>1</v>
      </c>
      <c r="I1277" s="835" t="s">
        <v>3370</v>
      </c>
      <c r="J1277" s="836">
        <v>3</v>
      </c>
      <c r="K1277" s="836"/>
      <c r="L1277" s="836"/>
      <c r="M1277" s="836">
        <v>0.15</v>
      </c>
      <c r="N1277" s="836"/>
      <c r="O1277" s="836"/>
      <c r="P1277" s="836"/>
      <c r="Q1277" s="836"/>
      <c r="R1277" s="837"/>
      <c r="T1277" s="155"/>
      <c r="U1277" s="155">
        <v>74568</v>
      </c>
      <c r="V1277" s="155"/>
      <c r="AA1277" s="180" t="str">
        <f>VLOOKUP(A1277,[2]DG!$A:$C,3,0)</f>
        <v>Lắp trụ thép ≤ 12m bằng cơ giới</v>
      </c>
    </row>
    <row r="1278" spans="1:27" ht="20.100000000000001" customHeight="1">
      <c r="A1278" s="873" t="s">
        <v>4792</v>
      </c>
      <c r="B1278" s="860" t="s">
        <v>2784</v>
      </c>
      <c r="C1278" s="429" t="s">
        <v>2098</v>
      </c>
      <c r="D1278" s="420" t="s">
        <v>400</v>
      </c>
      <c r="E1278" s="833"/>
      <c r="F1278" s="833">
        <f t="shared" si="136"/>
        <v>613475</v>
      </c>
      <c r="G1278" s="833">
        <f t="shared" si="137"/>
        <v>225301.85769230768</v>
      </c>
      <c r="H1278" s="834">
        <v>1</v>
      </c>
      <c r="I1278" s="835" t="s">
        <v>3370</v>
      </c>
      <c r="J1278" s="836">
        <v>2.5</v>
      </c>
      <c r="K1278" s="836"/>
      <c r="L1278" s="836"/>
      <c r="M1278" s="836">
        <v>0.15</v>
      </c>
      <c r="N1278" s="836"/>
      <c r="O1278" s="836"/>
      <c r="P1278" s="836"/>
      <c r="Q1278" s="836"/>
      <c r="R1278" s="837"/>
      <c r="T1278" s="155"/>
      <c r="U1278" s="155">
        <v>63462</v>
      </c>
      <c r="V1278" s="155">
        <v>112201</v>
      </c>
      <c r="AA1278" s="180" t="str">
        <f>VLOOKUP(A1278,[2]DG!$A:$C,3,0)</f>
        <v>Lắp trụ BTLT ≤ 10m bằng cơ giới</v>
      </c>
    </row>
    <row r="1279" spans="1:27" ht="20.100000000000001" customHeight="1">
      <c r="A1279" s="873" t="s">
        <v>4793</v>
      </c>
      <c r="B1279" s="860" t="s">
        <v>4789</v>
      </c>
      <c r="C1279" s="429" t="s">
        <v>4791</v>
      </c>
      <c r="D1279" s="420" t="s">
        <v>400</v>
      </c>
      <c r="E1279" s="833"/>
      <c r="F1279" s="833">
        <f t="shared" ref="F1279" si="144">IF(OR(I1279="",J1279=""),0,IF(K1279*1=0,1,K1279)*VLOOKUP(I1279,TIENLUONG,4,0)*J1279)</f>
        <v>858865</v>
      </c>
      <c r="G1279" s="833">
        <f t="shared" ref="G1279" si="145">L1279*VLOOKUP($L$1,CAMAY,2,0)+M1279*VLOOKUP($M$1,CAMAY,2,0)+N1279*VLOOKUP($N$1,CAMAY,2,0)+O1279*VLOOKUP($O$1,CAMAY,2,0)+P1279*VLOOKUP($P$1,CAMAY,2,0)+Q1279*VLOOKUP($Q$1,CAMAY,2,0)</f>
        <v>300402.4769230769</v>
      </c>
      <c r="H1279" s="834">
        <v>1</v>
      </c>
      <c r="I1279" s="835" t="s">
        <v>3370</v>
      </c>
      <c r="J1279" s="836">
        <v>3.5</v>
      </c>
      <c r="K1279" s="836"/>
      <c r="L1279" s="836"/>
      <c r="M1279" s="836">
        <v>0.2</v>
      </c>
      <c r="N1279" s="836"/>
      <c r="O1279" s="836"/>
      <c r="P1279" s="836"/>
      <c r="Q1279" s="836"/>
      <c r="R1279" s="837"/>
      <c r="T1279" s="155"/>
      <c r="U1279" s="155">
        <v>63462</v>
      </c>
      <c r="V1279" s="155">
        <v>112201</v>
      </c>
      <c r="AA1279" s="180" t="str">
        <f>VLOOKUP(A1279,[2]DG!$A:$C,3,0)</f>
        <v>Lắp trụ BTLT &gt; 10m bằng cơ giới</v>
      </c>
    </row>
    <row r="1280" spans="1:27" ht="20.100000000000001" customHeight="1">
      <c r="A1280" s="873" t="s">
        <v>4812</v>
      </c>
      <c r="B1280" s="860" t="s">
        <v>4810</v>
      </c>
      <c r="C1280" s="429" t="s">
        <v>4811</v>
      </c>
      <c r="D1280" s="420" t="s">
        <v>196</v>
      </c>
      <c r="E1280" s="833"/>
      <c r="F1280" s="833">
        <f t="shared" si="136"/>
        <v>6134.75</v>
      </c>
      <c r="G1280" s="833">
        <f t="shared" si="137"/>
        <v>0</v>
      </c>
      <c r="H1280" s="834">
        <v>1</v>
      </c>
      <c r="I1280" s="835" t="s">
        <v>3370</v>
      </c>
      <c r="J1280" s="836">
        <f>2.5/100</f>
        <v>2.5000000000000001E-2</v>
      </c>
      <c r="K1280" s="836"/>
      <c r="L1280" s="836"/>
      <c r="M1280" s="836"/>
      <c r="N1280" s="836"/>
      <c r="O1280" s="836"/>
      <c r="P1280" s="836"/>
      <c r="Q1280" s="836"/>
      <c r="R1280" s="837"/>
      <c r="T1280" s="155"/>
      <c r="U1280" s="155">
        <f>325522/100</f>
        <v>3255.22</v>
      </c>
      <c r="V1280" s="155">
        <f>1763041/100</f>
        <v>17630.41</v>
      </c>
      <c r="AA1280" s="180" t="str">
        <f>VLOOKUP(A1280,[2]DG!$A:$C,3,0)</f>
        <v>Luồn dây từ cáp ngầm lên đèn</v>
      </c>
    </row>
    <row r="1281" spans="1:27" ht="20.100000000000001" customHeight="1">
      <c r="A1281" s="873" t="s">
        <v>4813</v>
      </c>
      <c r="B1281" s="860" t="s">
        <v>4815</v>
      </c>
      <c r="C1281" s="429" t="s">
        <v>4814</v>
      </c>
      <c r="D1281" s="420" t="s">
        <v>196</v>
      </c>
      <c r="E1281" s="833"/>
      <c r="F1281" s="833">
        <f t="shared" ref="F1281" si="146">IF(OR(I1281="",J1281=""),0,IF(K1281*1=0,1,K1281)*VLOOKUP(I1281,TIENLUONG,4,0)*J1281)</f>
        <v>6134.75</v>
      </c>
      <c r="G1281" s="833">
        <f t="shared" ref="G1281" si="147">L1281*VLOOKUP($L$1,CAMAY,2,0)+M1281*VLOOKUP($M$1,CAMAY,2,0)+N1281*VLOOKUP($N$1,CAMAY,2,0)+O1281*VLOOKUP($O$1,CAMAY,2,0)+P1281*VLOOKUP($P$1,CAMAY,2,0)+Q1281*VLOOKUP($Q$1,CAMAY,2,0)</f>
        <v>0</v>
      </c>
      <c r="H1281" s="834">
        <v>1</v>
      </c>
      <c r="I1281" s="835" t="s">
        <v>3370</v>
      </c>
      <c r="J1281" s="836">
        <f>2.5/100</f>
        <v>2.5000000000000001E-2</v>
      </c>
      <c r="K1281" s="836"/>
      <c r="L1281" s="836"/>
      <c r="M1281" s="836"/>
      <c r="N1281" s="836"/>
      <c r="O1281" s="836"/>
      <c r="P1281" s="836"/>
      <c r="Q1281" s="836"/>
      <c r="R1281" s="837"/>
      <c r="T1281" s="155"/>
      <c r="U1281" s="155">
        <f>325522/100</f>
        <v>3255.22</v>
      </c>
      <c r="V1281" s="155">
        <f>1763041/100</f>
        <v>17630.41</v>
      </c>
      <c r="AA1281" s="180" t="str">
        <f>VLOOKUP(A1281,[2]DG!$A:$C,3,0)</f>
        <v>Luồn dây từ cáp treo lên đèn</v>
      </c>
    </row>
    <row r="1282" spans="1:27" ht="20.100000000000001" hidden="1" customHeight="1">
      <c r="A1282" s="873" t="s">
        <v>2100</v>
      </c>
      <c r="B1282" s="864" t="s">
        <v>3240</v>
      </c>
      <c r="C1282" s="440" t="s">
        <v>3292</v>
      </c>
      <c r="D1282" s="439" t="s">
        <v>774</v>
      </c>
      <c r="E1282" s="833"/>
      <c r="F1282" s="833">
        <f t="shared" si="136"/>
        <v>0</v>
      </c>
      <c r="G1282" s="833">
        <f t="shared" si="137"/>
        <v>0</v>
      </c>
      <c r="H1282" s="834">
        <v>1</v>
      </c>
      <c r="I1282" s="835"/>
      <c r="J1282" s="836"/>
      <c r="K1282" s="836"/>
      <c r="L1282" s="836"/>
      <c r="M1282" s="836"/>
      <c r="N1282" s="836"/>
      <c r="O1282" s="836"/>
      <c r="P1282" s="836"/>
      <c r="Q1282" s="836"/>
      <c r="R1282" s="837"/>
      <c r="T1282" s="441"/>
      <c r="U1282" s="155">
        <f>210822/100</f>
        <v>2108.2199999999998</v>
      </c>
      <c r="V1282" s="155">
        <f>440760/100</f>
        <v>4407.6000000000004</v>
      </c>
      <c r="AA1282" s="180" t="str">
        <f>VLOOKUP(A1282,[2]DG!$A:$C,3,0)</f>
        <v>Kéo rải cáp chiếu sáng D&gt;25</v>
      </c>
    </row>
    <row r="1283" spans="1:27" ht="20.100000000000001" customHeight="1">
      <c r="A1283" s="873" t="s">
        <v>3241</v>
      </c>
      <c r="B1283" s="864" t="s">
        <v>2781</v>
      </c>
      <c r="C1283" s="440" t="s">
        <v>3293</v>
      </c>
      <c r="D1283" s="439" t="s">
        <v>774</v>
      </c>
      <c r="E1283" s="833"/>
      <c r="F1283" s="833">
        <f t="shared" si="136"/>
        <v>0</v>
      </c>
      <c r="G1283" s="833">
        <f t="shared" si="137"/>
        <v>0</v>
      </c>
      <c r="H1283" s="834">
        <v>1</v>
      </c>
      <c r="I1283" s="835"/>
      <c r="J1283" s="836"/>
      <c r="K1283" s="836"/>
      <c r="L1283" s="836"/>
      <c r="M1283" s="836"/>
      <c r="N1283" s="836"/>
      <c r="O1283" s="836"/>
      <c r="P1283" s="836"/>
      <c r="Q1283" s="836"/>
      <c r="R1283" s="837"/>
      <c r="T1283" s="441"/>
      <c r="U1283" s="155">
        <f>351370/100</f>
        <v>3513.7</v>
      </c>
      <c r="V1283" s="155">
        <f>1763041/100</f>
        <v>17630.41</v>
      </c>
      <c r="AA1283" s="180" t="str">
        <f>VLOOKUP(A1283,[2]DG!$A:$C,3,0)</f>
        <v>Kéo dây chiếu sáng tiết diện dây 26 ¸ 50mm²</v>
      </c>
    </row>
    <row r="1284" spans="1:27" ht="20.100000000000001" customHeight="1">
      <c r="A1284" s="873" t="s">
        <v>4756</v>
      </c>
      <c r="B1284" s="860" t="s">
        <v>2101</v>
      </c>
      <c r="C1284" s="429" t="s">
        <v>2102</v>
      </c>
      <c r="D1284" s="420" t="s">
        <v>196</v>
      </c>
      <c r="E1284" s="833"/>
      <c r="F1284" s="833">
        <f t="shared" si="136"/>
        <v>0</v>
      </c>
      <c r="G1284" s="833">
        <f t="shared" si="137"/>
        <v>0</v>
      </c>
      <c r="H1284" s="834">
        <v>1</v>
      </c>
      <c r="I1284" s="835"/>
      <c r="J1284" s="836"/>
      <c r="K1284" s="836"/>
      <c r="L1284" s="836"/>
      <c r="M1284" s="836"/>
      <c r="N1284" s="836"/>
      <c r="O1284" s="836"/>
      <c r="P1284" s="836"/>
      <c r="Q1284" s="836"/>
      <c r="R1284" s="837"/>
      <c r="T1284" s="155"/>
      <c r="U1284" s="155">
        <v>372.84</v>
      </c>
      <c r="V1284" s="432"/>
      <c r="AA1284" s="180" t="str">
        <f>VLOOKUP(A1284,[2]DG!$A:$C,3,0)</f>
        <v>Lắp rải cáp ngầm chiếu sáng</v>
      </c>
    </row>
    <row r="1285" spans="1:27" ht="20.100000000000001" hidden="1" customHeight="1">
      <c r="A1285" s="873" t="s">
        <v>2103</v>
      </c>
      <c r="B1285" s="860" t="s">
        <v>2104</v>
      </c>
      <c r="C1285" s="429" t="s">
        <v>2105</v>
      </c>
      <c r="D1285" s="420" t="s">
        <v>37</v>
      </c>
      <c r="E1285" s="833"/>
      <c r="F1285" s="833">
        <f t="shared" si="136"/>
        <v>0</v>
      </c>
      <c r="G1285" s="833">
        <f t="shared" si="137"/>
        <v>0</v>
      </c>
      <c r="H1285" s="834">
        <v>1</v>
      </c>
      <c r="I1285" s="835"/>
      <c r="J1285" s="836"/>
      <c r="K1285" s="836"/>
      <c r="L1285" s="836"/>
      <c r="M1285" s="836"/>
      <c r="N1285" s="836"/>
      <c r="O1285" s="836"/>
      <c r="P1285" s="836"/>
      <c r="Q1285" s="836"/>
      <c r="R1285" s="837"/>
      <c r="T1285" s="155"/>
      <c r="U1285" s="155">
        <v>22827</v>
      </c>
      <c r="V1285" s="432"/>
      <c r="AA1285" s="180" t="str">
        <f>VLOOKUP(A1285,[2]DG!$A:$C,3,0)</f>
        <v>Lắp đầu cáp ngầm chiếu sáng</v>
      </c>
    </row>
    <row r="1286" spans="1:27" ht="20.100000000000001" customHeight="1">
      <c r="A1286" s="873" t="s">
        <v>4755</v>
      </c>
      <c r="B1286" s="865" t="s">
        <v>2782</v>
      </c>
      <c r="C1286" s="429" t="s">
        <v>4754</v>
      </c>
      <c r="D1286" s="420" t="s">
        <v>9</v>
      </c>
      <c r="E1286" s="833"/>
      <c r="F1286" s="833">
        <f t="shared" si="136"/>
        <v>61347.5</v>
      </c>
      <c r="G1286" s="833">
        <f t="shared" si="137"/>
        <v>0</v>
      </c>
      <c r="H1286" s="834">
        <v>1</v>
      </c>
      <c r="I1286" s="835" t="s">
        <v>3370</v>
      </c>
      <c r="J1286" s="836">
        <v>0.25</v>
      </c>
      <c r="K1286" s="836"/>
      <c r="L1286" s="836"/>
      <c r="M1286" s="836"/>
      <c r="N1286" s="836"/>
      <c r="O1286" s="836"/>
      <c r="P1286" s="836"/>
      <c r="Q1286" s="836"/>
      <c r="R1286" s="837"/>
      <c r="T1286" s="155"/>
      <c r="U1286" s="432"/>
      <c r="V1286" s="432"/>
      <c r="AA1286" s="180" t="str">
        <f>VLOOKUP(A1286,[2]DG!$A:$C,3,0)</f>
        <v>Lắp cầu chì đuôi cá 2A</v>
      </c>
    </row>
    <row r="1287" spans="1:27" ht="20.100000000000001" customHeight="1">
      <c r="A1287" s="873" t="s">
        <v>4807</v>
      </c>
      <c r="B1287" s="860" t="s">
        <v>4808</v>
      </c>
      <c r="C1287" s="429" t="s">
        <v>4804</v>
      </c>
      <c r="D1287" s="364" t="s">
        <v>476</v>
      </c>
      <c r="E1287" s="833"/>
      <c r="F1287" s="833">
        <f t="shared" ref="F1287" si="148">IF(OR(I1287="",J1287=""),0,IF(K1287*1=0,1,K1287)*VLOOKUP(I1287,TIENLUONG,4,0)*J1287)</f>
        <v>23694</v>
      </c>
      <c r="G1287" s="833">
        <f t="shared" ref="G1287" si="149">L1287*VLOOKUP($L$1,CAMAY,2,0)+M1287*VLOOKUP($M$1,CAMAY,2,0)+N1287*VLOOKUP($N$1,CAMAY,2,0)+O1287*VLOOKUP($O$1,CAMAY,2,0)+P1287*VLOOKUP($P$1,CAMAY,2,0)+Q1287*VLOOKUP($Q$1,CAMAY,2,0)</f>
        <v>0</v>
      </c>
      <c r="H1287" s="834">
        <v>1</v>
      </c>
      <c r="I1287" s="835" t="s">
        <v>3372</v>
      </c>
      <c r="J1287" s="836">
        <v>0.1</v>
      </c>
      <c r="K1287" s="836"/>
      <c r="L1287" s="836"/>
      <c r="M1287" s="836"/>
      <c r="N1287" s="836"/>
      <c r="O1287" s="836"/>
      <c r="P1287" s="836"/>
      <c r="Q1287" s="836"/>
      <c r="R1287" s="837"/>
      <c r="T1287" s="155"/>
      <c r="U1287" s="155">
        <v>67111</v>
      </c>
      <c r="V1287" s="432"/>
      <c r="AA1287" s="180" t="str">
        <f>VLOOKUP(A1287,[2]DG!$A:$C,3,0)</f>
        <v>Lắp bảng điện của cột</v>
      </c>
    </row>
    <row r="1288" spans="1:27" ht="20.100000000000001" customHeight="1">
      <c r="A1288" s="873" t="s">
        <v>4806</v>
      </c>
      <c r="B1288" s="860" t="s">
        <v>4809</v>
      </c>
      <c r="C1288" s="429" t="s">
        <v>4805</v>
      </c>
      <c r="D1288" s="364" t="s">
        <v>476</v>
      </c>
      <c r="E1288" s="833"/>
      <c r="F1288" s="833">
        <f t="shared" ref="F1288" si="150">IF(OR(I1288="",J1288=""),0,IF(K1288*1=0,1,K1288)*VLOOKUP(I1288,TIENLUONG,4,0)*J1288)</f>
        <v>71082</v>
      </c>
      <c r="G1288" s="833">
        <f t="shared" ref="G1288" si="151">L1288*VLOOKUP($L$1,CAMAY,2,0)+M1288*VLOOKUP($M$1,CAMAY,2,0)+N1288*VLOOKUP($N$1,CAMAY,2,0)+O1288*VLOOKUP($O$1,CAMAY,2,0)+P1288*VLOOKUP($P$1,CAMAY,2,0)+Q1288*VLOOKUP($Q$1,CAMAY,2,0)</f>
        <v>0</v>
      </c>
      <c r="H1288" s="834">
        <v>1</v>
      </c>
      <c r="I1288" s="835" t="s">
        <v>3372</v>
      </c>
      <c r="J1288" s="836">
        <v>0.3</v>
      </c>
      <c r="K1288" s="836"/>
      <c r="L1288" s="836"/>
      <c r="M1288" s="836"/>
      <c r="N1288" s="836"/>
      <c r="O1288" s="836"/>
      <c r="P1288" s="836"/>
      <c r="Q1288" s="836"/>
      <c r="R1288" s="837"/>
      <c r="T1288" s="155"/>
      <c r="U1288" s="155">
        <v>67111</v>
      </c>
      <c r="V1288" s="432"/>
      <c r="AA1288" s="180" t="str">
        <f>VLOOKUP(A1288,[2]DG!$A:$C,3,0)</f>
        <v>Lắp cửa cột</v>
      </c>
    </row>
    <row r="1289" spans="1:27" ht="20.100000000000001" hidden="1" customHeight="1">
      <c r="A1289" s="873" t="s">
        <v>2106</v>
      </c>
      <c r="B1289" s="860" t="s">
        <v>2107</v>
      </c>
      <c r="C1289" s="429" t="s">
        <v>2108</v>
      </c>
      <c r="D1289" s="364" t="s">
        <v>476</v>
      </c>
      <c r="E1289" s="833"/>
      <c r="F1289" s="833">
        <f t="shared" si="136"/>
        <v>0</v>
      </c>
      <c r="G1289" s="833">
        <f t="shared" si="137"/>
        <v>0</v>
      </c>
      <c r="H1289" s="834">
        <v>1</v>
      </c>
      <c r="I1289" s="835"/>
      <c r="J1289" s="836"/>
      <c r="K1289" s="836"/>
      <c r="L1289" s="836"/>
      <c r="M1289" s="836"/>
      <c r="N1289" s="836"/>
      <c r="O1289" s="836"/>
      <c r="P1289" s="836"/>
      <c r="Q1289" s="836"/>
      <c r="R1289" s="837"/>
      <c r="T1289" s="155"/>
      <c r="U1289" s="155">
        <v>67111</v>
      </c>
      <c r="V1289" s="432"/>
      <c r="AA1289" s="180" t="str">
        <f>VLOOKUP(A1289,[2]DG!$A:$C,3,0)</f>
        <v>Đào đất mương cáp CS</v>
      </c>
    </row>
    <row r="1290" spans="1:27" ht="20.100000000000001" hidden="1" customHeight="1">
      <c r="A1290" s="873" t="s">
        <v>2109</v>
      </c>
      <c r="B1290" s="860" t="s">
        <v>2110</v>
      </c>
      <c r="C1290" s="429" t="s">
        <v>2111</v>
      </c>
      <c r="D1290" s="364" t="s">
        <v>476</v>
      </c>
      <c r="E1290" s="833"/>
      <c r="F1290" s="833">
        <f t="shared" si="136"/>
        <v>0</v>
      </c>
      <c r="G1290" s="833">
        <f t="shared" si="137"/>
        <v>0</v>
      </c>
      <c r="H1290" s="834">
        <v>1</v>
      </c>
      <c r="I1290" s="835"/>
      <c r="J1290" s="836"/>
      <c r="K1290" s="836"/>
      <c r="L1290" s="836"/>
      <c r="M1290" s="836"/>
      <c r="N1290" s="836"/>
      <c r="O1290" s="836"/>
      <c r="P1290" s="836"/>
      <c r="Q1290" s="836"/>
      <c r="R1290" s="837"/>
      <c r="T1290" s="155"/>
      <c r="U1290" s="155">
        <v>14992</v>
      </c>
      <c r="V1290" s="432"/>
      <c r="AA1290" s="180" t="str">
        <f>VLOOKUP(A1290,[2]DG!$A:$C,3,0)</f>
        <v>Đắp đất mương cáp CS đất cấp 3</v>
      </c>
    </row>
    <row r="1291" spans="1:27" ht="20.100000000000001" hidden="1" customHeight="1">
      <c r="A1291" s="873" t="s">
        <v>3763</v>
      </c>
      <c r="B1291" s="860" t="s">
        <v>2112</v>
      </c>
      <c r="C1291" s="429" t="s">
        <v>2113</v>
      </c>
      <c r="D1291" s="364" t="s">
        <v>476</v>
      </c>
      <c r="E1291" s="833"/>
      <c r="F1291" s="833">
        <f t="shared" si="136"/>
        <v>0</v>
      </c>
      <c r="G1291" s="833">
        <f t="shared" si="137"/>
        <v>0</v>
      </c>
      <c r="H1291" s="834">
        <v>1</v>
      </c>
      <c r="I1291" s="835"/>
      <c r="J1291" s="836"/>
      <c r="K1291" s="836"/>
      <c r="L1291" s="836"/>
      <c r="M1291" s="836"/>
      <c r="N1291" s="836"/>
      <c r="O1291" s="836"/>
      <c r="P1291" s="836"/>
      <c r="Q1291" s="836"/>
      <c r="R1291" s="837"/>
      <c r="T1291" s="155"/>
      <c r="U1291" s="155">
        <v>12090</v>
      </c>
      <c r="V1291" s="432"/>
      <c r="AA1291" s="180" t="str">
        <f>VLOOKUP(A1291,[2]DG!$A:$C,3,0)</f>
        <v>Đắp cát mương cáp CS</v>
      </c>
    </row>
    <row r="1292" spans="1:27" ht="20.100000000000001" hidden="1" customHeight="1">
      <c r="A1292" s="873" t="s">
        <v>3764</v>
      </c>
      <c r="B1292" s="860" t="s">
        <v>2114</v>
      </c>
      <c r="C1292" s="429" t="s">
        <v>2115</v>
      </c>
      <c r="D1292" s="364" t="s">
        <v>476</v>
      </c>
      <c r="E1292" s="833"/>
      <c r="F1292" s="833">
        <f t="shared" si="136"/>
        <v>0</v>
      </c>
      <c r="G1292" s="833">
        <f t="shared" si="137"/>
        <v>0</v>
      </c>
      <c r="H1292" s="834">
        <v>1</v>
      </c>
      <c r="I1292" s="835"/>
      <c r="J1292" s="836"/>
      <c r="K1292" s="836"/>
      <c r="L1292" s="836"/>
      <c r="M1292" s="836"/>
      <c r="N1292" s="836"/>
      <c r="O1292" s="836"/>
      <c r="P1292" s="836"/>
      <c r="Q1292" s="836"/>
      <c r="R1292" s="837"/>
      <c r="T1292" s="155"/>
      <c r="U1292" s="155">
        <v>67111</v>
      </c>
      <c r="V1292" s="432"/>
      <c r="AA1292" s="180" t="str">
        <f>VLOOKUP(A1292,[2]DG!$A:$C,3,0)</f>
        <v>Đào móng trụ CS sâu ≤ 1m trên vỉa hè</v>
      </c>
    </row>
    <row r="1293" spans="1:27" ht="20.100000000000001" hidden="1" customHeight="1">
      <c r="A1293" s="873" t="s">
        <v>3765</v>
      </c>
      <c r="B1293" s="860" t="s">
        <v>2116</v>
      </c>
      <c r="C1293" s="429" t="s">
        <v>2117</v>
      </c>
      <c r="D1293" s="364" t="s">
        <v>476</v>
      </c>
      <c r="E1293" s="833"/>
      <c r="F1293" s="833">
        <f t="shared" si="136"/>
        <v>0</v>
      </c>
      <c r="G1293" s="833">
        <f t="shared" si="137"/>
        <v>0</v>
      </c>
      <c r="H1293" s="834">
        <v>1</v>
      </c>
      <c r="I1293" s="835"/>
      <c r="J1293" s="836"/>
      <c r="K1293" s="836"/>
      <c r="L1293" s="836"/>
      <c r="M1293" s="836"/>
      <c r="N1293" s="836"/>
      <c r="O1293" s="836"/>
      <c r="P1293" s="836"/>
      <c r="Q1293" s="836"/>
      <c r="R1293" s="837"/>
      <c r="T1293" s="155"/>
      <c r="U1293" s="155">
        <v>74568</v>
      </c>
      <c r="V1293" s="432"/>
      <c r="AA1293" s="180" t="str">
        <f>VLOOKUP(A1293,[2]DG!$A:$C,3,0)</f>
        <v>Đào móng trụ CS sâu &gt;1m trên vỉa hè</v>
      </c>
    </row>
    <row r="1294" spans="1:27" ht="20.100000000000001" hidden="1" customHeight="1">
      <c r="A1294" s="873" t="s">
        <v>3766</v>
      </c>
      <c r="B1294" s="860" t="s">
        <v>2118</v>
      </c>
      <c r="C1294" s="429" t="s">
        <v>2119</v>
      </c>
      <c r="D1294" s="364" t="s">
        <v>476</v>
      </c>
      <c r="E1294" s="833"/>
      <c r="F1294" s="833">
        <f t="shared" si="136"/>
        <v>0</v>
      </c>
      <c r="G1294" s="833">
        <f t="shared" si="137"/>
        <v>0</v>
      </c>
      <c r="H1294" s="834">
        <v>1</v>
      </c>
      <c r="I1294" s="835"/>
      <c r="J1294" s="836"/>
      <c r="K1294" s="836"/>
      <c r="L1294" s="836"/>
      <c r="M1294" s="836"/>
      <c r="N1294" s="836"/>
      <c r="O1294" s="836"/>
      <c r="P1294" s="836"/>
      <c r="Q1294" s="836"/>
      <c r="R1294" s="837"/>
      <c r="T1294" s="155"/>
      <c r="U1294" s="155">
        <v>16201</v>
      </c>
      <c r="V1294" s="432"/>
      <c r="AA1294" s="180" t="str">
        <f>VLOOKUP(A1294,[2]DG!$A:$C,3,0)</f>
        <v>Đắp đất móng trụ CS, đất cấp 3</v>
      </c>
    </row>
    <row r="1295" spans="1:27" ht="20.100000000000001" hidden="1" customHeight="1">
      <c r="A1295" s="873" t="s">
        <v>3767</v>
      </c>
      <c r="B1295" s="860" t="s">
        <v>2120</v>
      </c>
      <c r="C1295" s="429" t="s">
        <v>2121</v>
      </c>
      <c r="D1295" s="364" t="s">
        <v>476</v>
      </c>
      <c r="E1295" s="833"/>
      <c r="F1295" s="833">
        <f t="shared" si="136"/>
        <v>0</v>
      </c>
      <c r="G1295" s="833">
        <f t="shared" si="137"/>
        <v>0</v>
      </c>
      <c r="H1295" s="834">
        <v>1</v>
      </c>
      <c r="I1295" s="835"/>
      <c r="J1295" s="836"/>
      <c r="K1295" s="836"/>
      <c r="L1295" s="836"/>
      <c r="M1295" s="836"/>
      <c r="N1295" s="836"/>
      <c r="O1295" s="836"/>
      <c r="P1295" s="836"/>
      <c r="Q1295" s="836"/>
      <c r="R1295" s="837"/>
      <c r="T1295" s="155"/>
      <c r="U1295" s="155">
        <v>13541</v>
      </c>
      <c r="V1295" s="432"/>
      <c r="AA1295" s="180" t="str">
        <f>VLOOKUP(A1295,[2]DG!$A:$C,3,0)</f>
        <v>Đắp cát móng trụ CS</v>
      </c>
    </row>
    <row r="1296" spans="1:27" ht="20.100000000000001" hidden="1" customHeight="1">
      <c r="A1296" s="873" t="s">
        <v>3768</v>
      </c>
      <c r="B1296" s="860" t="s">
        <v>2122</v>
      </c>
      <c r="C1296" s="429" t="s">
        <v>2123</v>
      </c>
      <c r="D1296" s="420" t="s">
        <v>404</v>
      </c>
      <c r="E1296" s="833"/>
      <c r="F1296" s="833">
        <f t="shared" si="136"/>
        <v>0</v>
      </c>
      <c r="G1296" s="833">
        <f t="shared" si="137"/>
        <v>0</v>
      </c>
      <c r="H1296" s="834">
        <v>1</v>
      </c>
      <c r="I1296" s="835"/>
      <c r="J1296" s="836"/>
      <c r="K1296" s="836"/>
      <c r="L1296" s="836"/>
      <c r="M1296" s="836"/>
      <c r="N1296" s="836"/>
      <c r="O1296" s="836"/>
      <c r="P1296" s="836"/>
      <c r="Q1296" s="836"/>
      <c r="R1296" s="837"/>
      <c r="T1296" s="155"/>
      <c r="U1296" s="155">
        <v>15707</v>
      </c>
      <c r="V1296" s="432"/>
      <c r="AA1296" s="180" t="str">
        <f>VLOOKUP(A1296,[2]DG!$A:$C,3,0)</f>
        <v>Đóng cọc tiếp địa hệ thống CS</v>
      </c>
    </row>
    <row r="1297" spans="1:27" ht="20.100000000000001" hidden="1" customHeight="1">
      <c r="A1297" s="873" t="s">
        <v>2124</v>
      </c>
      <c r="B1297" s="860" t="s">
        <v>2125</v>
      </c>
      <c r="C1297" s="429" t="s">
        <v>2126</v>
      </c>
      <c r="D1297" s="364" t="s">
        <v>476</v>
      </c>
      <c r="E1297" s="833"/>
      <c r="F1297" s="833">
        <f t="shared" si="136"/>
        <v>0</v>
      </c>
      <c r="G1297" s="833">
        <f t="shared" si="137"/>
        <v>0</v>
      </c>
      <c r="H1297" s="834">
        <v>1</v>
      </c>
      <c r="I1297" s="835"/>
      <c r="J1297" s="836"/>
      <c r="K1297" s="836"/>
      <c r="L1297" s="836"/>
      <c r="M1297" s="836"/>
      <c r="N1297" s="836"/>
      <c r="O1297" s="836"/>
      <c r="P1297" s="836"/>
      <c r="Q1297" s="836"/>
      <c r="R1297" s="837"/>
      <c r="T1297" s="155"/>
      <c r="U1297" s="155">
        <v>13541</v>
      </c>
      <c r="V1297" s="432"/>
      <c r="AA1297" s="180" t="str">
        <f>VLOOKUP(A1297,[2]DG!$A:$C,3,0)</f>
        <v>Đổ bêtông móng trụ M150 &lt;=250cm</v>
      </c>
    </row>
    <row r="1298" spans="1:27" ht="20.100000000000001" customHeight="1">
      <c r="A1298" s="873" t="s">
        <v>2994</v>
      </c>
      <c r="B1298" s="860">
        <v>0</v>
      </c>
      <c r="C1298" s="429" t="s">
        <v>2995</v>
      </c>
      <c r="D1298" s="364" t="s">
        <v>774</v>
      </c>
      <c r="E1298" s="833">
        <v>95000</v>
      </c>
      <c r="F1298" s="833">
        <f t="shared" si="136"/>
        <v>0</v>
      </c>
      <c r="G1298" s="833">
        <f t="shared" si="137"/>
        <v>0</v>
      </c>
      <c r="H1298" s="834" t="s">
        <v>4065</v>
      </c>
      <c r="I1298" s="835"/>
      <c r="J1298" s="836"/>
      <c r="K1298" s="836"/>
      <c r="L1298" s="836"/>
      <c r="M1298" s="836"/>
      <c r="N1298" s="836"/>
      <c r="O1298" s="836"/>
      <c r="P1298" s="836"/>
      <c r="Q1298" s="836"/>
      <c r="R1298" s="837"/>
      <c r="T1298" s="155">
        <v>25000</v>
      </c>
      <c r="U1298" s="155"/>
      <c r="V1298" s="432"/>
      <c r="AA1298" s="180" t="str">
        <f>VLOOKUP(A1298,[2]DG!$A:$C,3,0)</f>
        <v>Ống co nhiệt D34</v>
      </c>
    </row>
    <row r="1299" spans="1:27" ht="20.100000000000001" customHeight="1">
      <c r="A1299" s="866" t="s">
        <v>4682</v>
      </c>
      <c r="B1299" s="870" t="s">
        <v>4123</v>
      </c>
      <c r="C1299" s="154" t="s">
        <v>2716</v>
      </c>
      <c r="D1299" s="146" t="s">
        <v>2717</v>
      </c>
      <c r="E1299" s="833">
        <v>33118</v>
      </c>
      <c r="F1299" s="833">
        <v>606310</v>
      </c>
      <c r="G1299" s="833">
        <v>4324</v>
      </c>
      <c r="H1299" s="834" t="s">
        <v>4065</v>
      </c>
      <c r="I1299" s="835"/>
      <c r="J1299" s="836"/>
      <c r="K1299" s="836"/>
      <c r="L1299" s="836"/>
      <c r="M1299" s="836"/>
      <c r="N1299" s="836"/>
      <c r="O1299" s="836"/>
      <c r="P1299" s="836"/>
      <c r="Q1299" s="836"/>
      <c r="R1299" s="837"/>
      <c r="T1299" s="155">
        <v>25000</v>
      </c>
      <c r="U1299" s="155"/>
      <c r="V1299" s="432"/>
      <c r="AA1299" s="180" t="str">
        <f>VLOOKUP(A1299,[2]DG!$A:$C,3,0)</f>
        <v>Đo vẽ mặt cắt tuyến dọc tuyến</v>
      </c>
    </row>
    <row r="1300" spans="1:27" ht="20.100000000000001" customHeight="1">
      <c r="A1300" s="866" t="s">
        <v>4683</v>
      </c>
      <c r="B1300" s="870" t="s">
        <v>4300</v>
      </c>
      <c r="C1300" s="154" t="s">
        <v>2718</v>
      </c>
      <c r="D1300" s="146" t="s">
        <v>2717</v>
      </c>
      <c r="E1300" s="833">
        <v>44322</v>
      </c>
      <c r="F1300" s="833">
        <v>787992</v>
      </c>
      <c r="G1300" s="833">
        <v>9220</v>
      </c>
      <c r="H1300" s="834" t="s">
        <v>4065</v>
      </c>
      <c r="I1300" s="835"/>
      <c r="J1300" s="836"/>
      <c r="K1300" s="836"/>
      <c r="L1300" s="836"/>
      <c r="M1300" s="836"/>
      <c r="N1300" s="836"/>
      <c r="O1300" s="836"/>
      <c r="P1300" s="836"/>
      <c r="Q1300" s="836"/>
      <c r="R1300" s="837"/>
      <c r="T1300" s="155">
        <v>25000</v>
      </c>
      <c r="U1300" s="155"/>
      <c r="V1300" s="432"/>
      <c r="AA1300" s="180" t="str">
        <f>VLOOKUP(A1300,[2]DG!$A:$C,3,0)</f>
        <v>Đo vẽ mặt cắt tuyến ngang tuyến</v>
      </c>
    </row>
    <row r="1301" spans="1:27" ht="20.100000000000001" customHeight="1">
      <c r="A1301" s="866" t="s">
        <v>4684</v>
      </c>
      <c r="B1301" s="870" t="s">
        <v>4123</v>
      </c>
      <c r="C1301" s="154" t="s">
        <v>2716</v>
      </c>
      <c r="D1301" s="146" t="s">
        <v>2717</v>
      </c>
      <c r="E1301" s="833">
        <v>33118</v>
      </c>
      <c r="F1301" s="833">
        <v>653034</v>
      </c>
      <c r="G1301" s="833">
        <v>4324</v>
      </c>
      <c r="H1301" s="834" t="s">
        <v>4065</v>
      </c>
      <c r="I1301" s="835"/>
      <c r="J1301" s="836"/>
      <c r="K1301" s="836"/>
      <c r="L1301" s="836"/>
      <c r="M1301" s="836"/>
      <c r="N1301" s="836"/>
      <c r="O1301" s="836"/>
      <c r="P1301" s="836"/>
      <c r="Q1301" s="836"/>
      <c r="R1301" s="837"/>
      <c r="T1301" s="155">
        <v>25000</v>
      </c>
      <c r="U1301" s="155"/>
      <c r="V1301" s="432"/>
      <c r="AA1301" s="180" t="str">
        <f>VLOOKUP(A1301,[2]DG!$A:$C,3,0)</f>
        <v>Đo vẽ mặt cắt tuyến dọc tuyến</v>
      </c>
    </row>
    <row r="1302" spans="1:27" ht="20.100000000000001" customHeight="1">
      <c r="A1302" s="866" t="s">
        <v>4685</v>
      </c>
      <c r="B1302" s="870" t="s">
        <v>4300</v>
      </c>
      <c r="C1302" s="154" t="s">
        <v>2718</v>
      </c>
      <c r="D1302" s="146" t="s">
        <v>2717</v>
      </c>
      <c r="E1302" s="833">
        <v>44322</v>
      </c>
      <c r="F1302" s="833">
        <v>848717</v>
      </c>
      <c r="G1302" s="833">
        <v>9220</v>
      </c>
      <c r="H1302" s="834" t="s">
        <v>4065</v>
      </c>
      <c r="I1302" s="835"/>
      <c r="J1302" s="836"/>
      <c r="K1302" s="836"/>
      <c r="L1302" s="836"/>
      <c r="M1302" s="836"/>
      <c r="N1302" s="836"/>
      <c r="O1302" s="836"/>
      <c r="P1302" s="836"/>
      <c r="Q1302" s="836"/>
      <c r="R1302" s="837"/>
      <c r="T1302" s="155">
        <v>25000</v>
      </c>
      <c r="U1302" s="155"/>
      <c r="V1302" s="432"/>
      <c r="AA1302" s="180" t="str">
        <f>VLOOKUP(A1302,[2]DG!$A:$C,3,0)</f>
        <v>Đo vẽ mặt cắt tuyến ngang tuyến</v>
      </c>
    </row>
    <row r="1303" spans="1:27" ht="20.100000000000001" customHeight="1">
      <c r="A1303" s="866" t="s">
        <v>4963</v>
      </c>
      <c r="B1303" s="870" t="s">
        <v>4123</v>
      </c>
      <c r="C1303" s="154" t="s">
        <v>2716</v>
      </c>
      <c r="D1303" s="146" t="s">
        <v>2717</v>
      </c>
      <c r="E1303" s="833">
        <v>33118</v>
      </c>
      <c r="F1303" s="833">
        <v>653034</v>
      </c>
      <c r="G1303" s="833">
        <v>4324</v>
      </c>
      <c r="H1303" s="834" t="s">
        <v>4065</v>
      </c>
      <c r="I1303" s="835"/>
      <c r="J1303" s="836"/>
      <c r="K1303" s="836"/>
      <c r="L1303" s="836"/>
      <c r="M1303" s="836"/>
      <c r="N1303" s="836"/>
      <c r="O1303" s="836"/>
      <c r="P1303" s="836"/>
      <c r="Q1303" s="836"/>
      <c r="R1303" s="837"/>
      <c r="T1303" s="155">
        <v>25000</v>
      </c>
      <c r="U1303" s="155"/>
      <c r="V1303" s="432"/>
      <c r="AA1303" s="180" t="str">
        <f>VLOOKUP(A1303,[2]DG!$A:$C,3,0)</f>
        <v>Đo vẽ mặt cắt tuyến dọc tuyến</v>
      </c>
    </row>
    <row r="1304" spans="1:27" ht="20.100000000000001" customHeight="1">
      <c r="A1304" s="866" t="s">
        <v>4964</v>
      </c>
      <c r="B1304" s="870" t="s">
        <v>4300</v>
      </c>
      <c r="C1304" s="154" t="s">
        <v>2718</v>
      </c>
      <c r="D1304" s="146" t="s">
        <v>2717</v>
      </c>
      <c r="E1304" s="833">
        <v>44322</v>
      </c>
      <c r="F1304" s="833">
        <v>848717</v>
      </c>
      <c r="G1304" s="833">
        <v>9220</v>
      </c>
      <c r="H1304" s="834" t="s">
        <v>4065</v>
      </c>
      <c r="I1304" s="835"/>
      <c r="J1304" s="836"/>
      <c r="K1304" s="836"/>
      <c r="L1304" s="836"/>
      <c r="M1304" s="836"/>
      <c r="N1304" s="836"/>
      <c r="O1304" s="836"/>
      <c r="P1304" s="836"/>
      <c r="Q1304" s="836"/>
      <c r="R1304" s="837"/>
      <c r="T1304" s="155">
        <v>25000</v>
      </c>
      <c r="U1304" s="155"/>
      <c r="V1304" s="432"/>
      <c r="AA1304" s="180" t="str">
        <f>VLOOKUP(A1304,[2]DG!$A:$C,3,0)</f>
        <v>Đo vẽ mặt cắt tuyến ngang tuyến</v>
      </c>
    </row>
    <row r="1305" spans="1:27" ht="31.5" hidden="1">
      <c r="A1305" s="873" t="s">
        <v>2127</v>
      </c>
      <c r="B1305" s="860" t="s">
        <v>1248</v>
      </c>
      <c r="C1305" s="429" t="s">
        <v>2128</v>
      </c>
      <c r="D1305" s="364" t="s">
        <v>476</v>
      </c>
      <c r="E1305" s="833"/>
      <c r="F1305" s="833">
        <f t="shared" si="136"/>
        <v>0</v>
      </c>
      <c r="G1305" s="833">
        <f t="shared" ref="G1305" si="152">L1305*VLOOKUP($L$1,CAMAY,2,0)+M1305*VLOOKUP($M$1,CAMAY,2,0)+N1305*VLOOKUP($N$1,CAMAY,2,0)+O1305*VLOOKUP($O$1,CAMAY,2,0)+P1305*VLOOKUP($P$1,CAMAY,2,0)</f>
        <v>0</v>
      </c>
      <c r="H1305" s="834">
        <v>1</v>
      </c>
      <c r="I1305" s="835"/>
      <c r="J1305" s="836"/>
      <c r="K1305" s="836"/>
      <c r="L1305" s="836"/>
      <c r="M1305" s="836"/>
      <c r="N1305" s="836"/>
      <c r="O1305" s="836"/>
      <c r="P1305" s="836"/>
      <c r="Q1305" s="836"/>
      <c r="R1305" s="837"/>
      <c r="T1305" s="155"/>
      <c r="U1305" s="155"/>
      <c r="V1305" s="432"/>
      <c r="AA1305" s="180" t="str">
        <f>VLOOKUP(A1305,[2]DG!$A:$C,3,0)</f>
        <v>Đổ betông M200 đá 1x2 (Nhân công đã qui đổi về ĐG chiếu sáng)</v>
      </c>
    </row>
    <row r="1306" spans="1:27" ht="20.100000000000001" customHeight="1">
      <c r="AA1306" s="180" t="e">
        <f>VLOOKUP(A1306,[2]DG!$A:$C,3,0)</f>
        <v>#N/A</v>
      </c>
    </row>
    <row r="1307" spans="1:27" ht="20.100000000000001" customHeight="1">
      <c r="AA1307" s="180" t="e">
        <f>VLOOKUP(A1307,[2]DG!$A:$C,3,0)</f>
        <v>#N/A</v>
      </c>
    </row>
    <row r="1308" spans="1:27" ht="20.100000000000001" hidden="1" customHeight="1">
      <c r="A1308" s="867" t="s">
        <v>2137</v>
      </c>
      <c r="B1308" s="867" t="s">
        <v>2354</v>
      </c>
      <c r="C1308" s="838" t="s">
        <v>2353</v>
      </c>
      <c r="D1308" s="839" t="s">
        <v>4189</v>
      </c>
      <c r="E1308" s="840" t="s">
        <v>2141</v>
      </c>
      <c r="F1308" s="841"/>
      <c r="G1308" s="840"/>
      <c r="H1308" s="839" t="s">
        <v>4190</v>
      </c>
      <c r="I1308" s="839" t="s">
        <v>4191</v>
      </c>
      <c r="J1308" s="839" t="s">
        <v>4192</v>
      </c>
      <c r="K1308" s="839" t="s">
        <v>4193</v>
      </c>
      <c r="L1308" s="839" t="s">
        <v>4194</v>
      </c>
      <c r="M1308" s="839" t="s">
        <v>4195</v>
      </c>
      <c r="N1308" s="839" t="s">
        <v>4439</v>
      </c>
      <c r="O1308" s="839" t="s">
        <v>4196</v>
      </c>
      <c r="P1308" s="839" t="s">
        <v>4440</v>
      </c>
      <c r="Q1308" s="839" t="s">
        <v>4447</v>
      </c>
      <c r="R1308" s="839" t="s">
        <v>4441</v>
      </c>
      <c r="S1308" s="839" t="s">
        <v>4760</v>
      </c>
      <c r="T1308" s="839" t="s">
        <v>4442</v>
      </c>
      <c r="U1308" s="839" t="s">
        <v>4443</v>
      </c>
      <c r="V1308" s="839" t="s">
        <v>4444</v>
      </c>
      <c r="W1308" s="839" t="s">
        <v>4445</v>
      </c>
      <c r="X1308" s="839" t="s">
        <v>4446</v>
      </c>
      <c r="AA1308" s="180" t="str">
        <f>VLOOKUP(A1308,[2]DG!$A:$C,3,0)</f>
        <v>Công việc</v>
      </c>
    </row>
    <row r="1309" spans="1:27" ht="20.100000000000001" customHeight="1">
      <c r="A1309" s="868"/>
      <c r="B1309" s="835"/>
      <c r="C1309" s="784"/>
      <c r="D1309" s="785"/>
      <c r="E1309" s="786" t="s">
        <v>3</v>
      </c>
      <c r="F1309" s="786" t="s">
        <v>4</v>
      </c>
      <c r="G1309" s="786" t="s">
        <v>5</v>
      </c>
      <c r="H1309" s="785"/>
      <c r="I1309" s="322"/>
      <c r="J1309" s="322"/>
      <c r="K1309" s="787"/>
      <c r="L1309" s="788"/>
      <c r="M1309" s="788">
        <f t="shared" ref="M1309:X1309" si="153">VLOOKUP(M1308,CAMAY,2,0)</f>
        <v>45040.000000000007</v>
      </c>
      <c r="N1309" s="788">
        <f t="shared" si="153"/>
        <v>160403.81818181821</v>
      </c>
      <c r="O1309" s="788">
        <f t="shared" si="153"/>
        <v>54559.818181818191</v>
      </c>
      <c r="P1309" s="788">
        <f t="shared" si="153"/>
        <v>93662.727272727279</v>
      </c>
      <c r="Q1309" s="788">
        <f t="shared" ref="Q1309" si="154">VLOOKUP(Q1308,CAMAY,2,0)</f>
        <v>418464.00000000006</v>
      </c>
      <c r="R1309" s="788">
        <f t="shared" si="153"/>
        <v>424992</v>
      </c>
      <c r="S1309" s="788">
        <f t="shared" si="153"/>
        <v>1465756.153846154</v>
      </c>
      <c r="T1309" s="788">
        <f t="shared" si="153"/>
        <v>77079.818181818191</v>
      </c>
      <c r="U1309" s="788">
        <f t="shared" si="153"/>
        <v>436512</v>
      </c>
      <c r="V1309" s="788">
        <f t="shared" si="153"/>
        <v>838080.00000000012</v>
      </c>
      <c r="W1309" s="788">
        <f t="shared" si="153"/>
        <v>792288</v>
      </c>
      <c r="X1309" s="788">
        <f t="shared" si="153"/>
        <v>135017.63636363635</v>
      </c>
      <c r="AA1309" s="180" t="e">
        <f>VLOOKUP(A1309,[2]DG!$A:$C,3,0)</f>
        <v>#N/A</v>
      </c>
    </row>
    <row r="1310" spans="1:27" ht="20.100000000000001" customHeight="1">
      <c r="A1310" s="882" t="s">
        <v>4197</v>
      </c>
      <c r="B1310" s="835" t="s">
        <v>4198</v>
      </c>
      <c r="C1310" s="784" t="s">
        <v>1568</v>
      </c>
      <c r="D1310" s="438" t="s">
        <v>9</v>
      </c>
      <c r="E1310" s="438"/>
      <c r="F1310" s="789">
        <f t="shared" ref="F1310:F1342" si="155">IF(I1310&lt;&gt;"",VLOOKUP(I1310,TIENLUONG,4,0)*J1310,0)+IF(K1310&lt;&gt;"",VLOOKUP(K1310,TIENLUONG,4,0)*L1310,0)</f>
        <v>3012818.49</v>
      </c>
      <c r="G1310" s="789">
        <f>M1310*M$1309+N1310*N$1309+O1310*O$1309+P1310*P$1309+R1310*R$1309+S1310*S$1309+T1310*T$1309+U1310*U$1309+V1310*V$1309+W1310*W$1309+X1310*X$1309+Q1310*Q$1309</f>
        <v>142926.28672727273</v>
      </c>
      <c r="H1310" s="438"/>
      <c r="I1310" s="322" t="s">
        <v>3377</v>
      </c>
      <c r="J1310" s="322">
        <v>3.31</v>
      </c>
      <c r="K1310" s="322" t="s">
        <v>3386</v>
      </c>
      <c r="L1310" s="322">
        <v>7.71</v>
      </c>
      <c r="M1310" s="322">
        <v>0.17199999999999999</v>
      </c>
      <c r="N1310" s="322">
        <v>4.1000000000000002E-2</v>
      </c>
      <c r="O1310" s="322"/>
      <c r="P1310" s="322">
        <v>4.1000000000000002E-2</v>
      </c>
      <c r="Q1310" s="322"/>
      <c r="R1310" s="322">
        <v>0.108</v>
      </c>
      <c r="S1310" s="322"/>
      <c r="T1310" s="322">
        <v>0.185</v>
      </c>
      <c r="U1310" s="322">
        <v>0.14799999999999999</v>
      </c>
      <c r="V1310" s="322"/>
      <c r="W1310" s="322"/>
      <c r="X1310" s="322"/>
      <c r="AA1310" s="180" t="str">
        <f>VLOOKUP(A1310,[2]DG!$A:$C,3,0)</f>
        <v>LBS SF6 3pha 24kV 630A 12kA + bộ truyền động</v>
      </c>
    </row>
    <row r="1311" spans="1:27" ht="20.100000000000001" customHeight="1">
      <c r="A1311" s="882" t="s">
        <v>4199</v>
      </c>
      <c r="B1311" s="835" t="s">
        <v>4198</v>
      </c>
      <c r="C1311" s="784" t="s">
        <v>1571</v>
      </c>
      <c r="D1311" s="438" t="s">
        <v>9</v>
      </c>
      <c r="E1311" s="438"/>
      <c r="F1311" s="789">
        <f t="shared" si="155"/>
        <v>3012818.49</v>
      </c>
      <c r="G1311" s="789">
        <f t="shared" ref="G1311:G1370" si="156">M1311*M$1309+N1311*N$1309+O1311*O$1309+P1311*P$1309+R1311*R$1309+S1311*S$1309+T1311*T$1309+U1311*U$1309+V1311*V$1309+W1311*W$1309+X1311*X$1309+Q1311*Q$1309</f>
        <v>142926.28672727273</v>
      </c>
      <c r="H1311" s="438"/>
      <c r="I1311" s="322" t="s">
        <v>3377</v>
      </c>
      <c r="J1311" s="322">
        <v>3.31</v>
      </c>
      <c r="K1311" s="322" t="s">
        <v>3386</v>
      </c>
      <c r="L1311" s="322">
        <v>7.71</v>
      </c>
      <c r="M1311" s="322">
        <v>0.17199999999999999</v>
      </c>
      <c r="N1311" s="322">
        <v>4.1000000000000002E-2</v>
      </c>
      <c r="O1311" s="322"/>
      <c r="P1311" s="322">
        <v>4.1000000000000002E-2</v>
      </c>
      <c r="Q1311" s="322"/>
      <c r="R1311" s="322">
        <v>0.108</v>
      </c>
      <c r="S1311" s="322"/>
      <c r="T1311" s="322">
        <v>0.185</v>
      </c>
      <c r="U1311" s="322">
        <v>0.14799999999999999</v>
      </c>
      <c r="V1311" s="322"/>
      <c r="W1311" s="322"/>
      <c r="X1311" s="322"/>
      <c r="AA1311" s="180" t="str">
        <f>VLOOKUP(A1311,[2]DG!$A:$C,3,0)</f>
        <v>Recloser 24kV 630A</v>
      </c>
    </row>
    <row r="1312" spans="1:27" ht="20.100000000000001" customHeight="1">
      <c r="A1312" s="882" t="s">
        <v>4200</v>
      </c>
      <c r="B1312" s="835" t="s">
        <v>2600</v>
      </c>
      <c r="C1312" s="784" t="s">
        <v>4201</v>
      </c>
      <c r="D1312" s="438" t="s">
        <v>9</v>
      </c>
      <c r="E1312" s="438"/>
      <c r="F1312" s="789">
        <f t="shared" si="155"/>
        <v>60717.18233333333</v>
      </c>
      <c r="G1312" s="789">
        <f t="shared" si="156"/>
        <v>1540.9118606060606</v>
      </c>
      <c r="H1312" s="438"/>
      <c r="I1312" s="322" t="s">
        <v>3377</v>
      </c>
      <c r="J1312" s="322">
        <v>0.124</v>
      </c>
      <c r="K1312" s="322" t="s">
        <v>3386</v>
      </c>
      <c r="L1312" s="322">
        <f>0.289/3</f>
        <v>9.6333333333333326E-2</v>
      </c>
      <c r="M1312" s="322">
        <f>0.0073/3</f>
        <v>2.4333333333333334E-3</v>
      </c>
      <c r="N1312" s="322"/>
      <c r="O1312" s="322"/>
      <c r="P1312" s="322">
        <f>0.0041/3</f>
        <v>1.3666666666666669E-3</v>
      </c>
      <c r="Q1312" s="322"/>
      <c r="R1312" s="322">
        <f>0.0092/3</f>
        <v>3.0666666666666668E-3</v>
      </c>
      <c r="S1312" s="322"/>
      <c r="T1312" s="322"/>
      <c r="U1312" s="322"/>
      <c r="V1312" s="322"/>
      <c r="W1312" s="322"/>
      <c r="X1312" s="322"/>
      <c r="AA1312" s="180" t="str">
        <f>VLOOKUP(A1312,[2]DG!$A:$C,3,0)</f>
        <v xml:space="preserve">FCO 24KV - 100A </v>
      </c>
    </row>
    <row r="1313" spans="1:27" ht="20.100000000000001" customHeight="1">
      <c r="A1313" s="882" t="s">
        <v>4202</v>
      </c>
      <c r="B1313" s="835" t="s">
        <v>2600</v>
      </c>
      <c r="C1313" s="784" t="s">
        <v>1546</v>
      </c>
      <c r="D1313" s="438" t="s">
        <v>9</v>
      </c>
      <c r="E1313" s="438"/>
      <c r="F1313" s="789">
        <f t="shared" si="155"/>
        <v>60717.18233333333</v>
      </c>
      <c r="G1313" s="789">
        <f t="shared" si="156"/>
        <v>1540.9118606060606</v>
      </c>
      <c r="H1313" s="438"/>
      <c r="I1313" s="322" t="s">
        <v>3377</v>
      </c>
      <c r="J1313" s="322">
        <v>0.124</v>
      </c>
      <c r="K1313" s="322" t="s">
        <v>3386</v>
      </c>
      <c r="L1313" s="322">
        <f>0.289/3</f>
        <v>9.6333333333333326E-2</v>
      </c>
      <c r="M1313" s="322">
        <f>0.0073/3</f>
        <v>2.4333333333333334E-3</v>
      </c>
      <c r="N1313" s="322"/>
      <c r="O1313" s="322"/>
      <c r="P1313" s="322">
        <f>0.0041/3</f>
        <v>1.3666666666666669E-3</v>
      </c>
      <c r="Q1313" s="322"/>
      <c r="R1313" s="322">
        <f>0.0092/3</f>
        <v>3.0666666666666668E-3</v>
      </c>
      <c r="S1313" s="322"/>
      <c r="T1313" s="322"/>
      <c r="U1313" s="322"/>
      <c r="V1313" s="322"/>
      <c r="W1313" s="322"/>
      <c r="X1313" s="322"/>
      <c r="AA1313" s="180" t="str">
        <f>VLOOKUP(A1313,[2]DG!$A:$C,3,0)</f>
        <v xml:space="preserve">FCO 24KV - 200A </v>
      </c>
    </row>
    <row r="1314" spans="1:27" ht="20.100000000000001" customHeight="1">
      <c r="A1314" s="882" t="s">
        <v>4203</v>
      </c>
      <c r="B1314" s="835" t="s">
        <v>2601</v>
      </c>
      <c r="C1314" s="784" t="s">
        <v>4519</v>
      </c>
      <c r="D1314" s="438" t="s">
        <v>9</v>
      </c>
      <c r="E1314" s="438"/>
      <c r="F1314" s="789">
        <f t="shared" si="155"/>
        <v>118809.81</v>
      </c>
      <c r="G1314" s="789">
        <f t="shared" si="156"/>
        <v>24706.128000000001</v>
      </c>
      <c r="H1314" s="438"/>
      <c r="I1314" s="322" t="s">
        <v>3377</v>
      </c>
      <c r="J1314" s="322">
        <v>0.28000000000000003</v>
      </c>
      <c r="K1314" s="322" t="s">
        <v>3386</v>
      </c>
      <c r="L1314" s="322">
        <v>0.15</v>
      </c>
      <c r="M1314" s="322">
        <v>3.9E-2</v>
      </c>
      <c r="N1314" s="322"/>
      <c r="O1314" s="322"/>
      <c r="P1314" s="322"/>
      <c r="Q1314" s="322"/>
      <c r="R1314" s="322">
        <v>5.3999999999999999E-2</v>
      </c>
      <c r="S1314" s="322"/>
      <c r="T1314" s="322"/>
      <c r="U1314" s="322"/>
      <c r="V1314" s="322"/>
      <c r="W1314" s="322"/>
      <c r="X1314" s="322"/>
      <c r="AA1314" s="180" t="str">
        <f>VLOOKUP(A1314,[2]DG!$A:$C,3,0)</f>
        <v>LA 18kV 10kA</v>
      </c>
    </row>
    <row r="1315" spans="1:27" ht="20.100000000000001" customHeight="1">
      <c r="A1315" s="882" t="s">
        <v>4204</v>
      </c>
      <c r="B1315" s="835" t="s">
        <v>4205</v>
      </c>
      <c r="C1315" s="784" t="s">
        <v>2895</v>
      </c>
      <c r="D1315" s="438" t="s">
        <v>9</v>
      </c>
      <c r="E1315" s="438"/>
      <c r="F1315" s="789">
        <f t="shared" si="155"/>
        <v>5500.99</v>
      </c>
      <c r="G1315" s="789">
        <f t="shared" si="156"/>
        <v>2015.248</v>
      </c>
      <c r="H1315" s="438"/>
      <c r="I1315" s="322" t="s">
        <v>3377</v>
      </c>
      <c r="J1315" s="322">
        <v>0.01</v>
      </c>
      <c r="K1315" s="322" t="s">
        <v>3386</v>
      </c>
      <c r="L1315" s="322">
        <v>0.01</v>
      </c>
      <c r="M1315" s="322">
        <v>7.0000000000000001E-3</v>
      </c>
      <c r="N1315" s="322"/>
      <c r="O1315" s="322"/>
      <c r="P1315" s="322"/>
      <c r="Q1315" s="322"/>
      <c r="R1315" s="322">
        <v>4.0000000000000001E-3</v>
      </c>
      <c r="S1315" s="322"/>
      <c r="T1315" s="322"/>
      <c r="U1315" s="322"/>
      <c r="V1315" s="322"/>
      <c r="W1315" s="322"/>
      <c r="X1315" s="322"/>
      <c r="AA1315" s="180" t="str">
        <f>VLOOKUP(A1315,[2]DG!$A:$C,3,0)</f>
        <v>Sứ treo Polyme 24kV</v>
      </c>
    </row>
    <row r="1316" spans="1:27" ht="20.100000000000001" customHeight="1">
      <c r="A1316" s="882" t="s">
        <v>4206</v>
      </c>
      <c r="B1316" s="835" t="s">
        <v>4207</v>
      </c>
      <c r="C1316" s="784" t="s">
        <v>2893</v>
      </c>
      <c r="D1316" s="438" t="s">
        <v>9</v>
      </c>
      <c r="E1316" s="438"/>
      <c r="F1316" s="789">
        <f t="shared" si="155"/>
        <v>10919.130000000001</v>
      </c>
      <c r="G1316" s="789">
        <f t="shared" si="156"/>
        <v>3875.7440000000001</v>
      </c>
      <c r="H1316" s="438"/>
      <c r="I1316" s="322" t="s">
        <v>3377</v>
      </c>
      <c r="J1316" s="322">
        <v>0.01</v>
      </c>
      <c r="K1316" s="322" t="s">
        <v>3386</v>
      </c>
      <c r="L1316" s="322">
        <v>0.03</v>
      </c>
      <c r="M1316" s="322">
        <v>0.02</v>
      </c>
      <c r="N1316" s="322"/>
      <c r="O1316" s="322"/>
      <c r="P1316" s="322"/>
      <c r="Q1316" s="322"/>
      <c r="R1316" s="322">
        <v>7.0000000000000001E-3</v>
      </c>
      <c r="S1316" s="322"/>
      <c r="T1316" s="322"/>
      <c r="U1316" s="322"/>
      <c r="V1316" s="322"/>
      <c r="W1316" s="322"/>
      <c r="X1316" s="322"/>
      <c r="AA1316" s="180" t="str">
        <f>VLOOKUP(A1316,[2]DG!$A:$C,3,0)</f>
        <v>Sứ đứng 24kV ĐR 540mm</v>
      </c>
    </row>
    <row r="1317" spans="1:27" ht="20.100000000000001" customHeight="1">
      <c r="A1317" s="882" t="s">
        <v>4208</v>
      </c>
      <c r="B1317" s="835" t="s">
        <v>4209</v>
      </c>
      <c r="C1317" s="784" t="s">
        <v>2856</v>
      </c>
      <c r="D1317" s="438" t="s">
        <v>2894</v>
      </c>
      <c r="E1317" s="438"/>
      <c r="F1317" s="789">
        <f t="shared" si="155"/>
        <v>0</v>
      </c>
      <c r="G1317" s="789">
        <f t="shared" si="156"/>
        <v>0</v>
      </c>
      <c r="H1317" s="438"/>
      <c r="I1317" s="322"/>
      <c r="J1317" s="322"/>
      <c r="K1317" s="322"/>
      <c r="L1317" s="322"/>
      <c r="M1317" s="322"/>
      <c r="N1317" s="322"/>
      <c r="O1317" s="322"/>
      <c r="P1317" s="322"/>
      <c r="Q1317" s="322"/>
      <c r="R1317" s="322"/>
      <c r="S1317" s="322"/>
      <c r="T1317" s="322"/>
      <c r="U1317" s="322"/>
      <c r="V1317" s="322"/>
      <c r="W1317" s="322"/>
      <c r="X1317" s="322"/>
      <c r="AA1317" s="180" t="str">
        <f>VLOOKUP(A1317,[2]DG!$A:$C,3,0)</f>
        <v>Cáp AC50</v>
      </c>
    </row>
    <row r="1318" spans="1:27" ht="20.100000000000001" customHeight="1">
      <c r="A1318" s="882" t="s">
        <v>4686</v>
      </c>
      <c r="B1318" s="835" t="s">
        <v>4240</v>
      </c>
      <c r="C1318" s="784" t="s">
        <v>4681</v>
      </c>
      <c r="D1318" s="438" t="s">
        <v>2894</v>
      </c>
      <c r="E1318" s="438"/>
      <c r="F1318" s="789">
        <f t="shared" si="155"/>
        <v>26726.2</v>
      </c>
      <c r="G1318" s="789">
        <f t="shared" si="156"/>
        <v>2071.84</v>
      </c>
      <c r="H1318" s="438"/>
      <c r="I1318" s="322" t="s">
        <v>3372</v>
      </c>
      <c r="J1318" s="322">
        <v>0.03</v>
      </c>
      <c r="K1318" s="322" t="s">
        <v>3385</v>
      </c>
      <c r="L1318" s="322">
        <v>0.08</v>
      </c>
      <c r="M1318" s="322">
        <v>4.5999999999999999E-2</v>
      </c>
      <c r="N1318" s="322"/>
      <c r="O1318" s="322"/>
      <c r="P1318" s="322"/>
      <c r="Q1318" s="322"/>
      <c r="R1318" s="322"/>
      <c r="S1318" s="322"/>
      <c r="T1318" s="322"/>
      <c r="U1318" s="322"/>
      <c r="V1318" s="322"/>
      <c r="W1318" s="322"/>
      <c r="X1318" s="322"/>
      <c r="AA1318" s="180" t="str">
        <f>VLOOKUP(A1318,[2]DG!$A:$C,3,0)</f>
        <v>Cáp CXV25</v>
      </c>
    </row>
    <row r="1319" spans="1:27" ht="20.100000000000001" customHeight="1">
      <c r="A1319" s="882" t="s">
        <v>4210</v>
      </c>
      <c r="B1319" s="835" t="s">
        <v>4209</v>
      </c>
      <c r="C1319" s="784" t="s">
        <v>2910</v>
      </c>
      <c r="D1319" s="438" t="s">
        <v>2894</v>
      </c>
      <c r="E1319" s="438"/>
      <c r="F1319" s="789">
        <f t="shared" si="155"/>
        <v>0</v>
      </c>
      <c r="G1319" s="789">
        <f t="shared" si="156"/>
        <v>0</v>
      </c>
      <c r="H1319" s="438"/>
      <c r="I1319" s="322"/>
      <c r="J1319" s="322"/>
      <c r="K1319" s="322"/>
      <c r="L1319" s="322"/>
      <c r="M1319" s="322"/>
      <c r="N1319" s="322"/>
      <c r="O1319" s="322"/>
      <c r="P1319" s="322"/>
      <c r="Q1319" s="322"/>
      <c r="R1319" s="322"/>
      <c r="S1319" s="322"/>
      <c r="T1319" s="322"/>
      <c r="U1319" s="322"/>
      <c r="V1319" s="322"/>
      <c r="W1319" s="322"/>
      <c r="X1319" s="322"/>
      <c r="AA1319" s="180" t="str">
        <f>VLOOKUP(A1319,[2]DG!$A:$C,3,0)</f>
        <v>Cáp AC95</v>
      </c>
    </row>
    <row r="1320" spans="1:27" ht="20.100000000000001" customHeight="1">
      <c r="A1320" s="882" t="s">
        <v>4211</v>
      </c>
      <c r="B1320" s="835" t="s">
        <v>4209</v>
      </c>
      <c r="C1320" s="784" t="s">
        <v>2911</v>
      </c>
      <c r="D1320" s="438" t="s">
        <v>2894</v>
      </c>
      <c r="E1320" s="438"/>
      <c r="F1320" s="789">
        <f t="shared" si="155"/>
        <v>269465.7</v>
      </c>
      <c r="G1320" s="789">
        <f t="shared" si="156"/>
        <v>104921.152</v>
      </c>
      <c r="H1320" s="438"/>
      <c r="I1320" s="322" t="s">
        <v>3372</v>
      </c>
      <c r="J1320" s="322">
        <v>0.33</v>
      </c>
      <c r="K1320" s="322" t="s">
        <v>3385</v>
      </c>
      <c r="L1320" s="322">
        <v>0.78</v>
      </c>
      <c r="M1320" s="322">
        <v>5.8000000000000003E-2</v>
      </c>
      <c r="N1320" s="322"/>
      <c r="O1320" s="322"/>
      <c r="P1320" s="322"/>
      <c r="Q1320" s="322"/>
      <c r="R1320" s="322">
        <v>8.1000000000000003E-2</v>
      </c>
      <c r="S1320" s="322"/>
      <c r="T1320" s="322"/>
      <c r="U1320" s="322"/>
      <c r="V1320" s="322">
        <v>8.1000000000000003E-2</v>
      </c>
      <c r="W1320" s="322"/>
      <c r="X1320" s="322"/>
      <c r="AA1320" s="180" t="str">
        <f>VLOOKUP(A1320,[2]DG!$A:$C,3,0)</f>
        <v>Cáp ACXV50</v>
      </c>
    </row>
    <row r="1321" spans="1:27" ht="20.100000000000001" customHeight="1">
      <c r="A1321" s="882" t="s">
        <v>4212</v>
      </c>
      <c r="B1321" s="835" t="s">
        <v>4209</v>
      </c>
      <c r="C1321" s="784" t="s">
        <v>2912</v>
      </c>
      <c r="D1321" s="438" t="s">
        <v>2894</v>
      </c>
      <c r="E1321" s="438"/>
      <c r="F1321" s="789">
        <f t="shared" si="155"/>
        <v>269465.7</v>
      </c>
      <c r="G1321" s="789">
        <f t="shared" si="156"/>
        <v>104921.152</v>
      </c>
      <c r="H1321" s="438"/>
      <c r="I1321" s="322" t="s">
        <v>3372</v>
      </c>
      <c r="J1321" s="322">
        <v>0.33</v>
      </c>
      <c r="K1321" s="322" t="s">
        <v>3385</v>
      </c>
      <c r="L1321" s="322">
        <v>0.78</v>
      </c>
      <c r="M1321" s="322">
        <v>5.8000000000000003E-2</v>
      </c>
      <c r="N1321" s="322"/>
      <c r="O1321" s="322"/>
      <c r="P1321" s="322"/>
      <c r="Q1321" s="322"/>
      <c r="R1321" s="322">
        <v>8.1000000000000003E-2</v>
      </c>
      <c r="S1321" s="322"/>
      <c r="T1321" s="322"/>
      <c r="U1321" s="322"/>
      <c r="V1321" s="322">
        <v>8.1000000000000003E-2</v>
      </c>
      <c r="W1321" s="322"/>
      <c r="X1321" s="322"/>
      <c r="AA1321" s="180" t="str">
        <f>VLOOKUP(A1321,[2]DG!$A:$C,3,0)</f>
        <v>Cáp ACXV70</v>
      </c>
    </row>
    <row r="1322" spans="1:27" ht="20.100000000000001" customHeight="1">
      <c r="A1322" s="882" t="s">
        <v>4213</v>
      </c>
      <c r="B1322" s="835" t="s">
        <v>4209</v>
      </c>
      <c r="C1322" s="784" t="s">
        <v>2913</v>
      </c>
      <c r="D1322" s="438" t="s">
        <v>2894</v>
      </c>
      <c r="E1322" s="438"/>
      <c r="F1322" s="789">
        <f t="shared" si="155"/>
        <v>269465.7</v>
      </c>
      <c r="G1322" s="789">
        <f>M1322*M$1309+N1322*N$1309+O1322*O$1309+P1322*P$1309+R1322*R$1309+S1322*S$1309+T1322*T$1309+U1322*U$1309+V1322*V$1309+W1322*W$1309+X1322*X$1309+Q1322*Q$1309</f>
        <v>104921.152</v>
      </c>
      <c r="H1322" s="438"/>
      <c r="I1322" s="322" t="s">
        <v>3372</v>
      </c>
      <c r="J1322" s="322">
        <v>0.33</v>
      </c>
      <c r="K1322" s="322" t="s">
        <v>3385</v>
      </c>
      <c r="L1322" s="322">
        <v>0.78</v>
      </c>
      <c r="M1322" s="322">
        <v>5.8000000000000003E-2</v>
      </c>
      <c r="N1322" s="322"/>
      <c r="O1322" s="322"/>
      <c r="P1322" s="322"/>
      <c r="Q1322" s="322"/>
      <c r="R1322" s="322">
        <v>8.1000000000000003E-2</v>
      </c>
      <c r="S1322" s="322"/>
      <c r="T1322" s="322"/>
      <c r="U1322" s="322"/>
      <c r="V1322" s="322">
        <v>8.1000000000000003E-2</v>
      </c>
      <c r="W1322" s="322"/>
      <c r="X1322" s="322"/>
      <c r="AA1322" s="180" t="str">
        <f>VLOOKUP(A1322,[2]DG!$A:$C,3,0)</f>
        <v>Cáp ACXV95</v>
      </c>
    </row>
    <row r="1323" spans="1:27" ht="20.100000000000001" customHeight="1">
      <c r="A1323" s="882" t="s">
        <v>4214</v>
      </c>
      <c r="B1323" s="835" t="s">
        <v>4209</v>
      </c>
      <c r="C1323" s="784" t="s">
        <v>4403</v>
      </c>
      <c r="D1323" s="438" t="s">
        <v>2894</v>
      </c>
      <c r="E1323" s="438"/>
      <c r="F1323" s="789">
        <f t="shared" si="155"/>
        <v>269465.7</v>
      </c>
      <c r="G1323" s="789">
        <f t="shared" si="156"/>
        <v>104921.152</v>
      </c>
      <c r="H1323" s="438"/>
      <c r="I1323" s="322" t="s">
        <v>3372</v>
      </c>
      <c r="J1323" s="322">
        <v>0.33</v>
      </c>
      <c r="K1323" s="322" t="s">
        <v>3385</v>
      </c>
      <c r="L1323" s="322">
        <v>0.78</v>
      </c>
      <c r="M1323" s="322">
        <v>5.8000000000000003E-2</v>
      </c>
      <c r="N1323" s="322"/>
      <c r="O1323" s="322"/>
      <c r="P1323" s="322"/>
      <c r="Q1323" s="322"/>
      <c r="R1323" s="322">
        <v>8.1000000000000003E-2</v>
      </c>
      <c r="S1323" s="322"/>
      <c r="T1323" s="322"/>
      <c r="U1323" s="322"/>
      <c r="V1323" s="322">
        <v>8.1000000000000003E-2</v>
      </c>
      <c r="W1323" s="322"/>
      <c r="X1323" s="322"/>
      <c r="AA1323" s="180" t="str">
        <f>VLOOKUP(A1323,[2]DG!$A:$C,3,0)</f>
        <v>Cáp ngầm C/DSTA/PVC 0,6kV - 4x120mm2</v>
      </c>
    </row>
    <row r="1324" spans="1:27" ht="20.100000000000001" customHeight="1">
      <c r="A1324" s="882" t="s">
        <v>4521</v>
      </c>
      <c r="B1324" s="835" t="s">
        <v>4209</v>
      </c>
      <c r="C1324" s="784" t="s">
        <v>4522</v>
      </c>
      <c r="D1324" s="438" t="s">
        <v>2894</v>
      </c>
      <c r="E1324" s="438"/>
      <c r="F1324" s="789">
        <f t="shared" si="155"/>
        <v>26726.2</v>
      </c>
      <c r="G1324" s="789">
        <f t="shared" si="156"/>
        <v>2071.84</v>
      </c>
      <c r="H1324" s="438"/>
      <c r="I1324" s="322" t="s">
        <v>3372</v>
      </c>
      <c r="J1324" s="322">
        <v>0.03</v>
      </c>
      <c r="K1324" s="322" t="s">
        <v>3385</v>
      </c>
      <c r="L1324" s="322">
        <v>0.08</v>
      </c>
      <c r="M1324" s="322">
        <v>4.5999999999999999E-2</v>
      </c>
      <c r="N1324" s="322"/>
      <c r="O1324" s="322"/>
      <c r="P1324" s="322"/>
      <c r="Q1324" s="322"/>
      <c r="R1324" s="322"/>
      <c r="S1324" s="322"/>
      <c r="T1324" s="322"/>
      <c r="U1324" s="322"/>
      <c r="V1324" s="322"/>
      <c r="W1324" s="322"/>
      <c r="X1324" s="322"/>
      <c r="AA1324" s="180" t="str">
        <f>VLOOKUP(A1324,[2]DG!$A:$C,3,0)</f>
        <v>Cáp ABC4x95</v>
      </c>
    </row>
    <row r="1325" spans="1:27" ht="20.100000000000001" customHeight="1">
      <c r="A1325" s="882" t="s">
        <v>4400</v>
      </c>
      <c r="B1325" s="835" t="s">
        <v>4209</v>
      </c>
      <c r="C1325" s="784" t="s">
        <v>4401</v>
      </c>
      <c r="D1325" s="438" t="s">
        <v>2894</v>
      </c>
      <c r="E1325" s="438"/>
      <c r="F1325" s="789">
        <f t="shared" si="155"/>
        <v>26726.2</v>
      </c>
      <c r="G1325" s="789">
        <f t="shared" si="156"/>
        <v>2071.84</v>
      </c>
      <c r="H1325" s="438"/>
      <c r="I1325" s="322" t="s">
        <v>3372</v>
      </c>
      <c r="J1325" s="322">
        <v>0.03</v>
      </c>
      <c r="K1325" s="322" t="s">
        <v>3385</v>
      </c>
      <c r="L1325" s="322">
        <v>0.08</v>
      </c>
      <c r="M1325" s="322">
        <v>4.5999999999999999E-2</v>
      </c>
      <c r="N1325" s="322"/>
      <c r="O1325" s="322"/>
      <c r="P1325" s="322"/>
      <c r="Q1325" s="322"/>
      <c r="R1325" s="322"/>
      <c r="S1325" s="322"/>
      <c r="T1325" s="322"/>
      <c r="U1325" s="322"/>
      <c r="V1325" s="322"/>
      <c r="W1325" s="322"/>
      <c r="X1325" s="322"/>
      <c r="AA1325" s="180" t="str">
        <f>VLOOKUP(A1325,[2]DG!$A:$C,3,0)</f>
        <v>Cáp ABC4x120</v>
      </c>
    </row>
    <row r="1326" spans="1:27" ht="20.100000000000001" customHeight="1">
      <c r="A1326" s="882" t="s">
        <v>4215</v>
      </c>
      <c r="B1326" s="835" t="s">
        <v>4209</v>
      </c>
      <c r="C1326" s="784" t="s">
        <v>4412</v>
      </c>
      <c r="D1326" s="438" t="s">
        <v>2894</v>
      </c>
      <c r="E1326" s="438"/>
      <c r="F1326" s="789">
        <f t="shared" ref="F1326" si="157">IF(I1326&lt;&gt;"",VLOOKUP(I1326,TIENLUONG,4,0)*J1326,0)+IF(K1326&lt;&gt;"",VLOOKUP(K1326,TIENLUONG,4,0)*L1326,0)</f>
        <v>26726.2</v>
      </c>
      <c r="G1326" s="789">
        <f t="shared" si="156"/>
        <v>2071.84</v>
      </c>
      <c r="H1326" s="438"/>
      <c r="I1326" s="322" t="s">
        <v>3372</v>
      </c>
      <c r="J1326" s="322">
        <v>0.03</v>
      </c>
      <c r="K1326" s="322" t="s">
        <v>3385</v>
      </c>
      <c r="L1326" s="322">
        <v>0.08</v>
      </c>
      <c r="M1326" s="322">
        <v>4.5999999999999999E-2</v>
      </c>
      <c r="N1326" s="322"/>
      <c r="O1326" s="322"/>
      <c r="P1326" s="322"/>
      <c r="Q1326" s="322"/>
      <c r="R1326" s="322"/>
      <c r="S1326" s="322"/>
      <c r="T1326" s="322"/>
      <c r="U1326" s="322"/>
      <c r="V1326" s="322"/>
      <c r="W1326" s="322"/>
      <c r="X1326" s="322"/>
      <c r="AA1326" s="180" t="str">
        <f>VLOOKUP(A1326,[2]DG!$A:$C,3,0)</f>
        <v>Cáp ABC4x150</v>
      </c>
    </row>
    <row r="1327" spans="1:27" ht="20.100000000000001" customHeight="1">
      <c r="A1327" s="882" t="s">
        <v>4679</v>
      </c>
      <c r="B1327" s="835" t="s">
        <v>4209</v>
      </c>
      <c r="C1327" s="784" t="s">
        <v>4680</v>
      </c>
      <c r="D1327" s="438" t="s">
        <v>2894</v>
      </c>
      <c r="E1327" s="438"/>
      <c r="F1327" s="789">
        <f t="shared" si="155"/>
        <v>26726.2</v>
      </c>
      <c r="G1327" s="789">
        <f t="shared" si="156"/>
        <v>2071.84</v>
      </c>
      <c r="H1327" s="438"/>
      <c r="I1327" s="322" t="s">
        <v>3372</v>
      </c>
      <c r="J1327" s="322">
        <v>0.03</v>
      </c>
      <c r="K1327" s="322" t="s">
        <v>3385</v>
      </c>
      <c r="L1327" s="322">
        <v>0.08</v>
      </c>
      <c r="M1327" s="322">
        <v>4.5999999999999999E-2</v>
      </c>
      <c r="N1327" s="322"/>
      <c r="O1327" s="322"/>
      <c r="P1327" s="322"/>
      <c r="Q1327" s="322"/>
      <c r="R1327" s="322"/>
      <c r="S1327" s="322"/>
      <c r="T1327" s="322"/>
      <c r="U1327" s="322"/>
      <c r="V1327" s="322"/>
      <c r="W1327" s="322"/>
      <c r="X1327" s="322"/>
      <c r="AA1327" s="180" t="str">
        <f>VLOOKUP(A1327,[2]DG!$A:$C,3,0)</f>
        <v>Cáp CVV4x4</v>
      </c>
    </row>
    <row r="1328" spans="1:27" ht="20.100000000000001" customHeight="1">
      <c r="A1328" s="882" t="s">
        <v>4216</v>
      </c>
      <c r="B1328" s="835" t="s">
        <v>4217</v>
      </c>
      <c r="C1328" s="784" t="s">
        <v>2839</v>
      </c>
      <c r="D1328" s="438" t="s">
        <v>1348</v>
      </c>
      <c r="E1328" s="438"/>
      <c r="F1328" s="789">
        <f t="shared" si="155"/>
        <v>142942.9</v>
      </c>
      <c r="G1328" s="789">
        <f t="shared" si="156"/>
        <v>4037.4265454545462</v>
      </c>
      <c r="H1328" s="438"/>
      <c r="I1328" s="322" t="s">
        <v>3372</v>
      </c>
      <c r="J1328" s="322">
        <v>0.21</v>
      </c>
      <c r="K1328" s="322" t="s">
        <v>3385</v>
      </c>
      <c r="L1328" s="322">
        <v>0.38</v>
      </c>
      <c r="M1328" s="322"/>
      <c r="N1328" s="322"/>
      <c r="O1328" s="322">
        <v>7.3999999999999996E-2</v>
      </c>
      <c r="P1328" s="322"/>
      <c r="Q1328" s="322"/>
      <c r="R1328" s="322"/>
      <c r="S1328" s="322"/>
      <c r="T1328" s="322"/>
      <c r="U1328" s="322"/>
      <c r="V1328" s="322"/>
      <c r="W1328" s="322"/>
      <c r="X1328" s="322"/>
      <c r="AA1328" s="180" t="str">
        <f>VLOOKUP(A1328,[2]DG!$A:$C,3,0)</f>
        <v>Tiếp địa lặp lại trụ 7,5m</v>
      </c>
    </row>
    <row r="1329" spans="1:27" ht="20.100000000000001" customHeight="1">
      <c r="A1329" s="882" t="s">
        <v>4218</v>
      </c>
      <c r="B1329" s="835" t="s">
        <v>4217</v>
      </c>
      <c r="C1329" s="784" t="s">
        <v>2840</v>
      </c>
      <c r="D1329" s="438" t="s">
        <v>1348</v>
      </c>
      <c r="E1329" s="438"/>
      <c r="F1329" s="789">
        <f t="shared" si="155"/>
        <v>142942.9</v>
      </c>
      <c r="G1329" s="789">
        <f t="shared" si="156"/>
        <v>4037.4265454545462</v>
      </c>
      <c r="H1329" s="438"/>
      <c r="I1329" s="322" t="s">
        <v>3372</v>
      </c>
      <c r="J1329" s="322">
        <v>0.21</v>
      </c>
      <c r="K1329" s="322" t="s">
        <v>3385</v>
      </c>
      <c r="L1329" s="322">
        <v>0.38</v>
      </c>
      <c r="M1329" s="322"/>
      <c r="N1329" s="322"/>
      <c r="O1329" s="322">
        <v>7.3999999999999996E-2</v>
      </c>
      <c r="P1329" s="322"/>
      <c r="Q1329" s="322"/>
      <c r="R1329" s="322"/>
      <c r="S1329" s="322"/>
      <c r="T1329" s="322"/>
      <c r="U1329" s="322"/>
      <c r="V1329" s="322"/>
      <c r="W1329" s="322"/>
      <c r="X1329" s="322"/>
      <c r="AA1329" s="180" t="str">
        <f>VLOOKUP(A1329,[2]DG!$A:$C,3,0)</f>
        <v>Tiếp địa lặp lại trụ 8,5m</v>
      </c>
    </row>
    <row r="1330" spans="1:27" ht="20.100000000000001" customHeight="1">
      <c r="A1330" s="882" t="s">
        <v>4219</v>
      </c>
      <c r="B1330" s="835" t="s">
        <v>4217</v>
      </c>
      <c r="C1330" s="784" t="s">
        <v>2841</v>
      </c>
      <c r="D1330" s="438" t="s">
        <v>1348</v>
      </c>
      <c r="E1330" s="438"/>
      <c r="F1330" s="789">
        <f t="shared" si="155"/>
        <v>142942.9</v>
      </c>
      <c r="G1330" s="789">
        <f t="shared" si="156"/>
        <v>4037.4265454545462</v>
      </c>
      <c r="H1330" s="438"/>
      <c r="I1330" s="322" t="s">
        <v>3372</v>
      </c>
      <c r="J1330" s="322">
        <v>0.21</v>
      </c>
      <c r="K1330" s="322" t="s">
        <v>3385</v>
      </c>
      <c r="L1330" s="322">
        <v>0.38</v>
      </c>
      <c r="M1330" s="322"/>
      <c r="N1330" s="322"/>
      <c r="O1330" s="322">
        <v>7.3999999999999996E-2</v>
      </c>
      <c r="P1330" s="322"/>
      <c r="Q1330" s="322"/>
      <c r="R1330" s="322"/>
      <c r="S1330" s="322"/>
      <c r="T1330" s="322"/>
      <c r="U1330" s="322"/>
      <c r="V1330" s="322"/>
      <c r="W1330" s="322"/>
      <c r="X1330" s="322"/>
      <c r="AA1330" s="180" t="str">
        <f>VLOOKUP(A1330,[2]DG!$A:$C,3,0)</f>
        <v>Tiếp địa lặp lại trụ 8,5m cáp ABC</v>
      </c>
    </row>
    <row r="1331" spans="1:27" ht="20.100000000000001" customHeight="1">
      <c r="A1331" s="882" t="s">
        <v>4220</v>
      </c>
      <c r="B1331" s="835" t="s">
        <v>4217</v>
      </c>
      <c r="C1331" s="784" t="s">
        <v>2199</v>
      </c>
      <c r="D1331" s="438" t="s">
        <v>1348</v>
      </c>
      <c r="E1331" s="438"/>
      <c r="F1331" s="789">
        <f t="shared" si="155"/>
        <v>142942.9</v>
      </c>
      <c r="G1331" s="789">
        <f t="shared" si="156"/>
        <v>4037.4265454545462</v>
      </c>
      <c r="H1331" s="438"/>
      <c r="I1331" s="322" t="s">
        <v>3372</v>
      </c>
      <c r="J1331" s="322">
        <v>0.21</v>
      </c>
      <c r="K1331" s="322" t="s">
        <v>3385</v>
      </c>
      <c r="L1331" s="322">
        <v>0.38</v>
      </c>
      <c r="M1331" s="322"/>
      <c r="N1331" s="322"/>
      <c r="O1331" s="322">
        <v>7.3999999999999996E-2</v>
      </c>
      <c r="P1331" s="322"/>
      <c r="Q1331" s="322"/>
      <c r="R1331" s="322"/>
      <c r="S1331" s="322"/>
      <c r="T1331" s="322"/>
      <c r="U1331" s="322"/>
      <c r="V1331" s="322"/>
      <c r="W1331" s="322"/>
      <c r="X1331" s="322"/>
      <c r="AA1331" s="180" t="str">
        <f>VLOOKUP(A1331,[2]DG!$A:$C,3,0)</f>
        <v>Tiếp địa lặp lại trụ 12m</v>
      </c>
    </row>
    <row r="1332" spans="1:27" ht="20.100000000000001" customHeight="1">
      <c r="A1332" s="882" t="s">
        <v>4221</v>
      </c>
      <c r="B1332" s="835" t="s">
        <v>4222</v>
      </c>
      <c r="C1332" s="784" t="s">
        <v>2842</v>
      </c>
      <c r="D1332" s="438" t="s">
        <v>1348</v>
      </c>
      <c r="E1332" s="438"/>
      <c r="F1332" s="789">
        <f t="shared" si="155"/>
        <v>1134065.6000000001</v>
      </c>
      <c r="G1332" s="789">
        <f t="shared" si="156"/>
        <v>28371.105454545461</v>
      </c>
      <c r="H1332" s="438"/>
      <c r="I1332" s="322" t="s">
        <v>3372</v>
      </c>
      <c r="J1332" s="322">
        <v>1.64</v>
      </c>
      <c r="K1332" s="322" t="s">
        <v>3385</v>
      </c>
      <c r="L1332" s="322">
        <v>3.04</v>
      </c>
      <c r="M1332" s="322"/>
      <c r="N1332" s="322"/>
      <c r="O1332" s="322">
        <v>0.52</v>
      </c>
      <c r="P1332" s="322"/>
      <c r="Q1332" s="322"/>
      <c r="R1332" s="322"/>
      <c r="S1332" s="322"/>
      <c r="T1332" s="322"/>
      <c r="U1332" s="322"/>
      <c r="V1332" s="322"/>
      <c r="W1332" s="322"/>
      <c r="X1332" s="322"/>
      <c r="AA1332" s="180" t="str">
        <f>VLOOKUP(A1332,[2]DG!$A:$C,3,0)</f>
        <v>Tiếp địa TBA 1 pha</v>
      </c>
    </row>
    <row r="1333" spans="1:27" ht="20.100000000000001" customHeight="1">
      <c r="A1333" s="882" t="s">
        <v>4223</v>
      </c>
      <c r="B1333" s="835" t="s">
        <v>4222</v>
      </c>
      <c r="C1333" s="784" t="s">
        <v>2843</v>
      </c>
      <c r="D1333" s="438" t="s">
        <v>1348</v>
      </c>
      <c r="E1333" s="438"/>
      <c r="F1333" s="789">
        <f t="shared" si="155"/>
        <v>1134065.6000000001</v>
      </c>
      <c r="G1333" s="789">
        <f t="shared" si="156"/>
        <v>28371.105454545461</v>
      </c>
      <c r="H1333" s="438"/>
      <c r="I1333" s="322" t="s">
        <v>3372</v>
      </c>
      <c r="J1333" s="322">
        <v>1.64</v>
      </c>
      <c r="K1333" s="322" t="s">
        <v>3385</v>
      </c>
      <c r="L1333" s="322">
        <v>3.04</v>
      </c>
      <c r="M1333" s="322"/>
      <c r="N1333" s="322"/>
      <c r="O1333" s="322">
        <v>0.52</v>
      </c>
      <c r="P1333" s="322"/>
      <c r="Q1333" s="322"/>
      <c r="R1333" s="322"/>
      <c r="S1333" s="322"/>
      <c r="T1333" s="322"/>
      <c r="U1333" s="322"/>
      <c r="V1333" s="322"/>
      <c r="W1333" s="322"/>
      <c r="X1333" s="322"/>
      <c r="AA1333" s="180" t="str">
        <f>VLOOKUP(A1333,[2]DG!$A:$C,3,0)</f>
        <v>Tiếp địa TBA 3 pha</v>
      </c>
    </row>
    <row r="1334" spans="1:27" ht="20.100000000000001" customHeight="1">
      <c r="A1334" s="882" t="s">
        <v>4224</v>
      </c>
      <c r="B1334" s="835" t="s">
        <v>4225</v>
      </c>
      <c r="C1334" s="784" t="s">
        <v>1534</v>
      </c>
      <c r="D1334" s="438" t="s">
        <v>1480</v>
      </c>
      <c r="E1334" s="438"/>
      <c r="F1334" s="789">
        <f t="shared" si="155"/>
        <v>2124251.44</v>
      </c>
      <c r="G1334" s="789">
        <f t="shared" si="156"/>
        <v>360324.22036363633</v>
      </c>
      <c r="H1334" s="438"/>
      <c r="I1334" s="322" t="s">
        <v>3377</v>
      </c>
      <c r="J1334" s="322">
        <v>2.33</v>
      </c>
      <c r="K1334" s="322" t="s">
        <v>3386</v>
      </c>
      <c r="L1334" s="322">
        <v>5.44</v>
      </c>
      <c r="M1334" s="322">
        <v>0.18</v>
      </c>
      <c r="N1334" s="322">
        <v>0.18</v>
      </c>
      <c r="O1334" s="322"/>
      <c r="P1334" s="322"/>
      <c r="Q1334" s="322"/>
      <c r="R1334" s="322">
        <v>0.22700000000000001</v>
      </c>
      <c r="S1334" s="322"/>
      <c r="T1334" s="322"/>
      <c r="U1334" s="322"/>
      <c r="V1334" s="322"/>
      <c r="W1334" s="322">
        <v>0.22500000000000001</v>
      </c>
      <c r="X1334" s="322">
        <v>0.36</v>
      </c>
      <c r="AA1334" s="180" t="str">
        <f>VLOOKUP(A1334,[2]DG!$A:$C,3,0)</f>
        <v>Máy biến áp 22/0,4kV- 1000kVA</v>
      </c>
    </row>
    <row r="1335" spans="1:27" ht="20.100000000000001" customHeight="1">
      <c r="A1335" s="882" t="s">
        <v>4226</v>
      </c>
      <c r="B1335" s="835" t="s">
        <v>4225</v>
      </c>
      <c r="C1335" s="784" t="s">
        <v>1531</v>
      </c>
      <c r="D1335" s="438" t="s">
        <v>1480</v>
      </c>
      <c r="E1335" s="438"/>
      <c r="F1335" s="789">
        <f t="shared" si="155"/>
        <v>2124251.44</v>
      </c>
      <c r="G1335" s="789">
        <f t="shared" si="156"/>
        <v>360324.22036363633</v>
      </c>
      <c r="H1335" s="438"/>
      <c r="I1335" s="322" t="s">
        <v>3377</v>
      </c>
      <c r="J1335" s="322">
        <v>2.33</v>
      </c>
      <c r="K1335" s="322" t="s">
        <v>3386</v>
      </c>
      <c r="L1335" s="322">
        <v>5.44</v>
      </c>
      <c r="M1335" s="322">
        <v>0.18</v>
      </c>
      <c r="N1335" s="322">
        <v>0.18</v>
      </c>
      <c r="O1335" s="322"/>
      <c r="P1335" s="322"/>
      <c r="Q1335" s="322"/>
      <c r="R1335" s="322">
        <v>0.22700000000000001</v>
      </c>
      <c r="S1335" s="322"/>
      <c r="T1335" s="322"/>
      <c r="U1335" s="322"/>
      <c r="V1335" s="322"/>
      <c r="W1335" s="322">
        <v>0.22500000000000001</v>
      </c>
      <c r="X1335" s="322">
        <v>0.36</v>
      </c>
      <c r="AA1335" s="180" t="str">
        <f>VLOOKUP(A1335,[2]DG!$A:$C,3,0)</f>
        <v>Máy biến áp 22/0,4kV- 750kVA</v>
      </c>
    </row>
    <row r="1336" spans="1:27" ht="20.100000000000001" customHeight="1">
      <c r="A1336" s="882" t="s">
        <v>4227</v>
      </c>
      <c r="B1336" s="835" t="s">
        <v>4225</v>
      </c>
      <c r="C1336" s="784" t="s">
        <v>1529</v>
      </c>
      <c r="D1336" s="438" t="s">
        <v>1480</v>
      </c>
      <c r="E1336" s="438"/>
      <c r="F1336" s="789">
        <f t="shared" si="155"/>
        <v>2124251.44</v>
      </c>
      <c r="G1336" s="789">
        <f t="shared" si="156"/>
        <v>360324.22036363633</v>
      </c>
      <c r="H1336" s="438"/>
      <c r="I1336" s="322" t="s">
        <v>3377</v>
      </c>
      <c r="J1336" s="322">
        <v>2.33</v>
      </c>
      <c r="K1336" s="322" t="s">
        <v>3386</v>
      </c>
      <c r="L1336" s="322">
        <v>5.44</v>
      </c>
      <c r="M1336" s="322">
        <v>0.18</v>
      </c>
      <c r="N1336" s="322">
        <v>0.18</v>
      </c>
      <c r="O1336" s="322"/>
      <c r="P1336" s="322"/>
      <c r="Q1336" s="322"/>
      <c r="R1336" s="322">
        <v>0.22700000000000001</v>
      </c>
      <c r="S1336" s="322"/>
      <c r="T1336" s="322"/>
      <c r="U1336" s="322"/>
      <c r="V1336" s="322"/>
      <c r="W1336" s="322">
        <v>0.22500000000000001</v>
      </c>
      <c r="X1336" s="322">
        <v>0.36</v>
      </c>
      <c r="AA1336" s="180" t="str">
        <f>VLOOKUP(A1336,[2]DG!$A:$C,3,0)</f>
        <v>Máy biến áp 22/0,4kV- 630kVA</v>
      </c>
    </row>
    <row r="1337" spans="1:27" ht="20.100000000000001" customHeight="1">
      <c r="A1337" s="882" t="s">
        <v>4228</v>
      </c>
      <c r="B1337" s="835" t="s">
        <v>4225</v>
      </c>
      <c r="C1337" s="784" t="s">
        <v>1527</v>
      </c>
      <c r="D1337" s="438" t="s">
        <v>1480</v>
      </c>
      <c r="E1337" s="438"/>
      <c r="F1337" s="789">
        <f t="shared" si="155"/>
        <v>2124251.44</v>
      </c>
      <c r="G1337" s="789">
        <f t="shared" si="156"/>
        <v>360324.22036363633</v>
      </c>
      <c r="H1337" s="438"/>
      <c r="I1337" s="322" t="s">
        <v>3377</v>
      </c>
      <c r="J1337" s="322">
        <v>2.33</v>
      </c>
      <c r="K1337" s="322" t="s">
        <v>3386</v>
      </c>
      <c r="L1337" s="322">
        <v>5.44</v>
      </c>
      <c r="M1337" s="322">
        <v>0.18</v>
      </c>
      <c r="N1337" s="322">
        <v>0.18</v>
      </c>
      <c r="O1337" s="322"/>
      <c r="P1337" s="322"/>
      <c r="Q1337" s="322"/>
      <c r="R1337" s="322">
        <v>0.22700000000000001</v>
      </c>
      <c r="S1337" s="322"/>
      <c r="T1337" s="322"/>
      <c r="U1337" s="322"/>
      <c r="V1337" s="322"/>
      <c r="W1337" s="322">
        <v>0.22500000000000001</v>
      </c>
      <c r="X1337" s="322">
        <v>0.36</v>
      </c>
      <c r="AA1337" s="180" t="str">
        <f>VLOOKUP(A1337,[2]DG!$A:$C,3,0)</f>
        <v>Máy biến áp 22/0,4kV- 560kVA</v>
      </c>
    </row>
    <row r="1338" spans="1:27" ht="20.100000000000001" customHeight="1">
      <c r="A1338" s="882" t="s">
        <v>4229</v>
      </c>
      <c r="B1338" s="835" t="s">
        <v>4225</v>
      </c>
      <c r="C1338" s="784" t="s">
        <v>1525</v>
      </c>
      <c r="D1338" s="438" t="s">
        <v>1480</v>
      </c>
      <c r="E1338" s="438"/>
      <c r="F1338" s="789">
        <f t="shared" si="155"/>
        <v>2124251.44</v>
      </c>
      <c r="G1338" s="789">
        <f t="shared" si="156"/>
        <v>360324.22036363633</v>
      </c>
      <c r="H1338" s="438"/>
      <c r="I1338" s="322" t="s">
        <v>3377</v>
      </c>
      <c r="J1338" s="322">
        <v>2.33</v>
      </c>
      <c r="K1338" s="322" t="s">
        <v>3386</v>
      </c>
      <c r="L1338" s="322">
        <v>5.44</v>
      </c>
      <c r="M1338" s="322">
        <v>0.18</v>
      </c>
      <c r="N1338" s="322">
        <v>0.18</v>
      </c>
      <c r="O1338" s="322"/>
      <c r="P1338" s="322"/>
      <c r="Q1338" s="322"/>
      <c r="R1338" s="322">
        <v>0.22700000000000001</v>
      </c>
      <c r="S1338" s="322"/>
      <c r="T1338" s="322"/>
      <c r="U1338" s="322"/>
      <c r="V1338" s="322"/>
      <c r="W1338" s="322">
        <v>0.22500000000000001</v>
      </c>
      <c r="X1338" s="322">
        <v>0.36</v>
      </c>
      <c r="AA1338" s="180" t="str">
        <f>VLOOKUP(A1338,[2]DG!$A:$C,3,0)</f>
        <v>Máy biến áp 22/0,4kV- 400kVA</v>
      </c>
    </row>
    <row r="1339" spans="1:27" ht="20.100000000000001" customHeight="1">
      <c r="A1339" s="882" t="s">
        <v>4230</v>
      </c>
      <c r="B1339" s="835" t="s">
        <v>4225</v>
      </c>
      <c r="C1339" s="784" t="s">
        <v>1523</v>
      </c>
      <c r="D1339" s="438" t="s">
        <v>1480</v>
      </c>
      <c r="E1339" s="438"/>
      <c r="F1339" s="789">
        <f t="shared" si="155"/>
        <v>2124251.44</v>
      </c>
      <c r="G1339" s="789">
        <f t="shared" si="156"/>
        <v>360324.22036363633</v>
      </c>
      <c r="H1339" s="438"/>
      <c r="I1339" s="322" t="s">
        <v>3377</v>
      </c>
      <c r="J1339" s="322">
        <v>2.33</v>
      </c>
      <c r="K1339" s="322" t="s">
        <v>3386</v>
      </c>
      <c r="L1339" s="322">
        <v>5.44</v>
      </c>
      <c r="M1339" s="322">
        <v>0.18</v>
      </c>
      <c r="N1339" s="322">
        <v>0.18</v>
      </c>
      <c r="O1339" s="322"/>
      <c r="P1339" s="322"/>
      <c r="Q1339" s="322"/>
      <c r="R1339" s="322">
        <v>0.22700000000000001</v>
      </c>
      <c r="S1339" s="322"/>
      <c r="T1339" s="322"/>
      <c r="U1339" s="322"/>
      <c r="V1339" s="322"/>
      <c r="W1339" s="322">
        <v>0.22500000000000001</v>
      </c>
      <c r="X1339" s="322">
        <v>0.36</v>
      </c>
      <c r="AA1339" s="180" t="str">
        <f>VLOOKUP(A1339,[2]DG!$A:$C,3,0)</f>
        <v>Máy biến áp 22/0,4kV- 320kVA</v>
      </c>
    </row>
    <row r="1340" spans="1:27" ht="20.100000000000001" customHeight="1">
      <c r="A1340" s="882" t="s">
        <v>4231</v>
      </c>
      <c r="B1340" s="835" t="s">
        <v>4225</v>
      </c>
      <c r="C1340" s="784" t="s">
        <v>1521</v>
      </c>
      <c r="D1340" s="438" t="s">
        <v>1480</v>
      </c>
      <c r="E1340" s="438"/>
      <c r="F1340" s="789">
        <f t="shared" si="155"/>
        <v>2124251.44</v>
      </c>
      <c r="G1340" s="789">
        <f t="shared" si="156"/>
        <v>360324.22036363633</v>
      </c>
      <c r="H1340" s="438"/>
      <c r="I1340" s="322" t="s">
        <v>3377</v>
      </c>
      <c r="J1340" s="322">
        <v>2.33</v>
      </c>
      <c r="K1340" s="322" t="s">
        <v>3386</v>
      </c>
      <c r="L1340" s="322">
        <v>5.44</v>
      </c>
      <c r="M1340" s="322">
        <v>0.18</v>
      </c>
      <c r="N1340" s="322">
        <v>0.18</v>
      </c>
      <c r="O1340" s="322"/>
      <c r="P1340" s="322"/>
      <c r="Q1340" s="322"/>
      <c r="R1340" s="322">
        <v>0.22700000000000001</v>
      </c>
      <c r="S1340" s="322"/>
      <c r="T1340" s="322"/>
      <c r="U1340" s="322"/>
      <c r="V1340" s="322"/>
      <c r="W1340" s="322">
        <v>0.22500000000000001</v>
      </c>
      <c r="X1340" s="322">
        <v>0.36</v>
      </c>
      <c r="AA1340" s="180" t="str">
        <f>VLOOKUP(A1340,[2]DG!$A:$C,3,0)</f>
        <v>Máy biến áp 22/0,4kV- 250kVA</v>
      </c>
    </row>
    <row r="1341" spans="1:27" ht="20.100000000000001" customHeight="1">
      <c r="A1341" s="882" t="s">
        <v>4232</v>
      </c>
      <c r="B1341" s="835" t="s">
        <v>4225</v>
      </c>
      <c r="C1341" s="784" t="s">
        <v>1518</v>
      </c>
      <c r="D1341" s="438" t="s">
        <v>1480</v>
      </c>
      <c r="E1341" s="438"/>
      <c r="F1341" s="789">
        <f t="shared" si="155"/>
        <v>2124251.44</v>
      </c>
      <c r="G1341" s="789">
        <f t="shared" si="156"/>
        <v>360324.22036363633</v>
      </c>
      <c r="H1341" s="438"/>
      <c r="I1341" s="322" t="s">
        <v>3377</v>
      </c>
      <c r="J1341" s="322">
        <v>2.33</v>
      </c>
      <c r="K1341" s="322" t="s">
        <v>3386</v>
      </c>
      <c r="L1341" s="322">
        <v>5.44</v>
      </c>
      <c r="M1341" s="322">
        <v>0.18</v>
      </c>
      <c r="N1341" s="322">
        <v>0.18</v>
      </c>
      <c r="O1341" s="322"/>
      <c r="P1341" s="322"/>
      <c r="Q1341" s="322"/>
      <c r="R1341" s="322">
        <v>0.22700000000000001</v>
      </c>
      <c r="S1341" s="322"/>
      <c r="T1341" s="322"/>
      <c r="U1341" s="322"/>
      <c r="V1341" s="322"/>
      <c r="W1341" s="322">
        <v>0.22500000000000001</v>
      </c>
      <c r="X1341" s="322">
        <v>0.36</v>
      </c>
      <c r="AA1341" s="180" t="str">
        <f>VLOOKUP(A1341,[2]DG!$A:$C,3,0)</f>
        <v>Máy biến áp 22/0,4kV  160kVA</v>
      </c>
    </row>
    <row r="1342" spans="1:27" ht="20.100000000000001" customHeight="1">
      <c r="A1342" s="882" t="s">
        <v>4233</v>
      </c>
      <c r="B1342" s="835" t="s">
        <v>4234</v>
      </c>
      <c r="C1342" s="784" t="s">
        <v>1495</v>
      </c>
      <c r="D1342" s="438" t="s">
        <v>1480</v>
      </c>
      <c r="E1342" s="438"/>
      <c r="F1342" s="789">
        <f t="shared" si="155"/>
        <v>1282235.68</v>
      </c>
      <c r="G1342" s="789">
        <f t="shared" si="156"/>
        <v>266420.15181818185</v>
      </c>
      <c r="H1342" s="438"/>
      <c r="I1342" s="322" t="s">
        <v>3377</v>
      </c>
      <c r="J1342" s="322">
        <v>1.41</v>
      </c>
      <c r="K1342" s="322" t="s">
        <v>3386</v>
      </c>
      <c r="L1342" s="322">
        <v>3.28</v>
      </c>
      <c r="M1342" s="322">
        <v>0.14399999999999999</v>
      </c>
      <c r="N1342" s="322">
        <v>0.14399999999999999</v>
      </c>
      <c r="O1342" s="322"/>
      <c r="P1342" s="322"/>
      <c r="Q1342" s="322"/>
      <c r="R1342" s="322">
        <v>0.13900000000000001</v>
      </c>
      <c r="S1342" s="322"/>
      <c r="T1342" s="322"/>
      <c r="U1342" s="322"/>
      <c r="V1342" s="322"/>
      <c r="W1342" s="322">
        <v>0.185</v>
      </c>
      <c r="X1342" s="322">
        <v>0.23100000000000001</v>
      </c>
      <c r="AA1342" s="180" t="str">
        <f>VLOOKUP(A1342,[2]DG!$A:$C,3,0)</f>
        <v>Máy biến áp 12,7/0,22-0,44kV  50kVA</v>
      </c>
    </row>
    <row r="1343" spans="1:27" ht="20.100000000000001" customHeight="1">
      <c r="A1343" s="882" t="s">
        <v>4235</v>
      </c>
      <c r="B1343" s="835" t="s">
        <v>4234</v>
      </c>
      <c r="C1343" s="784" t="s">
        <v>1497</v>
      </c>
      <c r="D1343" s="438" t="s">
        <v>1480</v>
      </c>
      <c r="E1343" s="438"/>
      <c r="F1343" s="789">
        <f t="shared" ref="F1343:F1369" si="158">IF(I1343&lt;&gt;"",VLOOKUP(I1343,TIENLUONG,4,0)*J1343,0)+IF(K1343&lt;&gt;"",VLOOKUP(K1343,TIENLUONG,4,0)*L1343,0)</f>
        <v>1282235.68</v>
      </c>
      <c r="G1343" s="789">
        <f t="shared" si="156"/>
        <v>266420.15181818185</v>
      </c>
      <c r="H1343" s="438"/>
      <c r="I1343" s="322" t="s">
        <v>3377</v>
      </c>
      <c r="J1343" s="322">
        <v>1.41</v>
      </c>
      <c r="K1343" s="322" t="s">
        <v>3386</v>
      </c>
      <c r="L1343" s="322">
        <v>3.28</v>
      </c>
      <c r="M1343" s="322">
        <v>0.14399999999999999</v>
      </c>
      <c r="N1343" s="322">
        <v>0.14399999999999999</v>
      </c>
      <c r="O1343" s="322"/>
      <c r="P1343" s="322"/>
      <c r="Q1343" s="322"/>
      <c r="R1343" s="322">
        <v>0.13900000000000001</v>
      </c>
      <c r="S1343" s="322"/>
      <c r="T1343" s="322"/>
      <c r="U1343" s="322"/>
      <c r="V1343" s="322"/>
      <c r="W1343" s="322">
        <v>0.185</v>
      </c>
      <c r="X1343" s="322">
        <v>0.23100000000000001</v>
      </c>
      <c r="AA1343" s="180" t="str">
        <f>VLOOKUP(A1343,[2]DG!$A:$C,3,0)</f>
        <v>Máy biến áp 12,7/0,22-0,44kV  75kVA</v>
      </c>
    </row>
    <row r="1344" spans="1:27" ht="20.100000000000001" customHeight="1">
      <c r="A1344" s="882" t="s">
        <v>4236</v>
      </c>
      <c r="B1344" s="835" t="s">
        <v>4234</v>
      </c>
      <c r="C1344" s="784" t="s">
        <v>1493</v>
      </c>
      <c r="D1344" s="438" t="s">
        <v>1480</v>
      </c>
      <c r="E1344" s="438"/>
      <c r="F1344" s="789">
        <f t="shared" si="158"/>
        <v>1282235.68</v>
      </c>
      <c r="G1344" s="789">
        <f t="shared" si="156"/>
        <v>266420.15181818185</v>
      </c>
      <c r="H1344" s="438"/>
      <c r="I1344" s="322" t="s">
        <v>3377</v>
      </c>
      <c r="J1344" s="322">
        <v>1.41</v>
      </c>
      <c r="K1344" s="322" t="s">
        <v>3386</v>
      </c>
      <c r="L1344" s="322">
        <v>3.28</v>
      </c>
      <c r="M1344" s="322">
        <v>0.14399999999999999</v>
      </c>
      <c r="N1344" s="322">
        <v>0.14399999999999999</v>
      </c>
      <c r="O1344" s="322"/>
      <c r="P1344" s="322"/>
      <c r="Q1344" s="322"/>
      <c r="R1344" s="322">
        <v>0.13900000000000001</v>
      </c>
      <c r="S1344" s="322"/>
      <c r="T1344" s="322"/>
      <c r="U1344" s="322"/>
      <c r="V1344" s="322"/>
      <c r="W1344" s="322">
        <v>0.185</v>
      </c>
      <c r="X1344" s="322">
        <v>0.23100000000000001</v>
      </c>
      <c r="AA1344" s="180" t="str">
        <f>VLOOKUP(A1344,[2]DG!$A:$C,3,0)</f>
        <v>Máy biến áp 12,7/0,22-0,44kV  37,5kVA</v>
      </c>
    </row>
    <row r="1345" spans="1:27" ht="20.100000000000001" customHeight="1">
      <c r="A1345" s="882" t="s">
        <v>4237</v>
      </c>
      <c r="B1345" s="835" t="s">
        <v>4234</v>
      </c>
      <c r="C1345" s="784" t="s">
        <v>1492</v>
      </c>
      <c r="D1345" s="438" t="s">
        <v>1480</v>
      </c>
      <c r="E1345" s="438"/>
      <c r="F1345" s="789">
        <f t="shared" si="158"/>
        <v>1282235.68</v>
      </c>
      <c r="G1345" s="789">
        <f t="shared" si="156"/>
        <v>266420.15181818185</v>
      </c>
      <c r="H1345" s="438"/>
      <c r="I1345" s="322" t="s">
        <v>3377</v>
      </c>
      <c r="J1345" s="322">
        <v>1.41</v>
      </c>
      <c r="K1345" s="322" t="s">
        <v>3386</v>
      </c>
      <c r="L1345" s="322">
        <v>3.28</v>
      </c>
      <c r="M1345" s="322">
        <v>0.14399999999999999</v>
      </c>
      <c r="N1345" s="322">
        <v>0.14399999999999999</v>
      </c>
      <c r="O1345" s="322"/>
      <c r="P1345" s="322"/>
      <c r="Q1345" s="322"/>
      <c r="R1345" s="322">
        <v>0.13900000000000001</v>
      </c>
      <c r="S1345" s="322"/>
      <c r="T1345" s="322"/>
      <c r="U1345" s="322"/>
      <c r="V1345" s="322"/>
      <c r="W1345" s="322">
        <v>0.185</v>
      </c>
      <c r="X1345" s="322">
        <v>0.23100000000000001</v>
      </c>
      <c r="AA1345" s="180" t="str">
        <f>VLOOKUP(A1345,[2]DG!$A:$C,3,0)</f>
        <v>Máy biến áp 12,7/0,22-0,44kV  25kVA</v>
      </c>
    </row>
    <row r="1346" spans="1:27" ht="20.100000000000001" customHeight="1">
      <c r="A1346" s="882" t="s">
        <v>4238</v>
      </c>
      <c r="B1346" s="835" t="s">
        <v>4234</v>
      </c>
      <c r="C1346" s="784" t="s">
        <v>1490</v>
      </c>
      <c r="D1346" s="438" t="s">
        <v>1480</v>
      </c>
      <c r="E1346" s="438"/>
      <c r="F1346" s="789">
        <f t="shared" si="158"/>
        <v>1282235.68</v>
      </c>
      <c r="G1346" s="789">
        <f t="shared" si="156"/>
        <v>266420.15181818185</v>
      </c>
      <c r="H1346" s="438"/>
      <c r="I1346" s="322" t="s">
        <v>3377</v>
      </c>
      <c r="J1346" s="322">
        <v>1.41</v>
      </c>
      <c r="K1346" s="322" t="s">
        <v>3386</v>
      </c>
      <c r="L1346" s="322">
        <v>3.28</v>
      </c>
      <c r="M1346" s="322">
        <v>0.14399999999999999</v>
      </c>
      <c r="N1346" s="322">
        <v>0.14399999999999999</v>
      </c>
      <c r="O1346" s="322"/>
      <c r="P1346" s="322"/>
      <c r="Q1346" s="322"/>
      <c r="R1346" s="322">
        <v>0.13900000000000001</v>
      </c>
      <c r="S1346" s="322"/>
      <c r="T1346" s="322"/>
      <c r="U1346" s="322"/>
      <c r="V1346" s="322"/>
      <c r="W1346" s="322">
        <v>0.185</v>
      </c>
      <c r="X1346" s="322">
        <v>0.23100000000000001</v>
      </c>
      <c r="AA1346" s="180" t="str">
        <f>VLOOKUP(A1346,[2]DG!$A:$C,3,0)</f>
        <v>Máy biến áp 12,7/0,22-0,44kV  15kVA</v>
      </c>
    </row>
    <row r="1347" spans="1:27" ht="20.100000000000001" customHeight="1">
      <c r="A1347" s="882" t="s">
        <v>4239</v>
      </c>
      <c r="B1347" s="835" t="s">
        <v>4240</v>
      </c>
      <c r="C1347" s="784" t="s">
        <v>345</v>
      </c>
      <c r="D1347" s="438" t="s">
        <v>2894</v>
      </c>
      <c r="E1347" s="438"/>
      <c r="F1347" s="789">
        <f t="shared" si="158"/>
        <v>26726.2</v>
      </c>
      <c r="G1347" s="789">
        <f t="shared" si="156"/>
        <v>2071.84</v>
      </c>
      <c r="H1347" s="438"/>
      <c r="I1347" s="322" t="s">
        <v>3372</v>
      </c>
      <c r="J1347" s="322">
        <v>0.03</v>
      </c>
      <c r="K1347" s="322" t="s">
        <v>3385</v>
      </c>
      <c r="L1347" s="322">
        <v>0.08</v>
      </c>
      <c r="M1347" s="322">
        <v>4.5999999999999999E-2</v>
      </c>
      <c r="N1347" s="322"/>
      <c r="O1347" s="322"/>
      <c r="P1347" s="322"/>
      <c r="Q1347" s="322"/>
      <c r="R1347" s="322"/>
      <c r="S1347" s="322"/>
      <c r="T1347" s="322"/>
      <c r="U1347" s="322"/>
      <c r="V1347" s="322"/>
      <c r="W1347" s="322"/>
      <c r="X1347" s="322"/>
      <c r="AA1347" s="180" t="str">
        <f>VLOOKUP(A1347,[2]DG!$A:$C,3,0)</f>
        <v>Cáp đồng bọc CV70</v>
      </c>
    </row>
    <row r="1348" spans="1:27" ht="20.100000000000001" customHeight="1">
      <c r="A1348" s="882" t="s">
        <v>4241</v>
      </c>
      <c r="B1348" s="835" t="s">
        <v>4240</v>
      </c>
      <c r="C1348" s="784" t="s">
        <v>344</v>
      </c>
      <c r="D1348" s="438" t="s">
        <v>2894</v>
      </c>
      <c r="E1348" s="438"/>
      <c r="F1348" s="789">
        <f t="shared" si="158"/>
        <v>26726.2</v>
      </c>
      <c r="G1348" s="789">
        <f t="shared" si="156"/>
        <v>2071.84</v>
      </c>
      <c r="H1348" s="438"/>
      <c r="I1348" s="322" t="s">
        <v>3372</v>
      </c>
      <c r="J1348" s="322">
        <v>0.03</v>
      </c>
      <c r="K1348" s="322" t="s">
        <v>3385</v>
      </c>
      <c r="L1348" s="322">
        <v>0.08</v>
      </c>
      <c r="M1348" s="322">
        <v>4.5999999999999999E-2</v>
      </c>
      <c r="N1348" s="322"/>
      <c r="O1348" s="322"/>
      <c r="P1348" s="322"/>
      <c r="Q1348" s="322"/>
      <c r="R1348" s="322"/>
      <c r="S1348" s="322"/>
      <c r="T1348" s="322"/>
      <c r="U1348" s="322"/>
      <c r="V1348" s="322"/>
      <c r="W1348" s="322"/>
      <c r="X1348" s="322"/>
      <c r="AA1348" s="180" t="str">
        <f>VLOOKUP(A1348,[2]DG!$A:$C,3,0)</f>
        <v>Cáp đồng bọc CV50</v>
      </c>
    </row>
    <row r="1349" spans="1:27" ht="20.100000000000001" customHeight="1">
      <c r="A1349" s="882" t="s">
        <v>4242</v>
      </c>
      <c r="B1349" s="835" t="s">
        <v>4240</v>
      </c>
      <c r="C1349" s="784" t="s">
        <v>345</v>
      </c>
      <c r="D1349" s="438" t="s">
        <v>2894</v>
      </c>
      <c r="E1349" s="438"/>
      <c r="F1349" s="789">
        <f t="shared" si="158"/>
        <v>26726.2</v>
      </c>
      <c r="G1349" s="789">
        <f t="shared" si="156"/>
        <v>2071.84</v>
      </c>
      <c r="H1349" s="438"/>
      <c r="I1349" s="322" t="s">
        <v>3372</v>
      </c>
      <c r="J1349" s="322">
        <v>0.03</v>
      </c>
      <c r="K1349" s="322" t="s">
        <v>3385</v>
      </c>
      <c r="L1349" s="322">
        <v>0.08</v>
      </c>
      <c r="M1349" s="322">
        <v>4.5999999999999999E-2</v>
      </c>
      <c r="N1349" s="322"/>
      <c r="O1349" s="322"/>
      <c r="P1349" s="322"/>
      <c r="Q1349" s="322"/>
      <c r="R1349" s="322"/>
      <c r="S1349" s="322"/>
      <c r="T1349" s="322"/>
      <c r="U1349" s="322"/>
      <c r="V1349" s="322"/>
      <c r="W1349" s="322"/>
      <c r="X1349" s="322"/>
      <c r="AA1349" s="180" t="str">
        <f>VLOOKUP(A1349,[2]DG!$A:$C,3,0)</f>
        <v>Cáp đồng bọc CV70</v>
      </c>
    </row>
    <row r="1350" spans="1:27" ht="20.100000000000001" customHeight="1">
      <c r="A1350" s="882" t="s">
        <v>4243</v>
      </c>
      <c r="B1350" s="835" t="s">
        <v>4240</v>
      </c>
      <c r="C1350" s="784" t="s">
        <v>346</v>
      </c>
      <c r="D1350" s="438" t="s">
        <v>2894</v>
      </c>
      <c r="E1350" s="438"/>
      <c r="F1350" s="789">
        <f t="shared" si="158"/>
        <v>26726.2</v>
      </c>
      <c r="G1350" s="789">
        <f t="shared" si="156"/>
        <v>2071.84</v>
      </c>
      <c r="H1350" s="438"/>
      <c r="I1350" s="322" t="s">
        <v>3372</v>
      </c>
      <c r="J1350" s="322">
        <v>0.03</v>
      </c>
      <c r="K1350" s="322" t="s">
        <v>3385</v>
      </c>
      <c r="L1350" s="322">
        <v>0.08</v>
      </c>
      <c r="M1350" s="322">
        <v>4.5999999999999999E-2</v>
      </c>
      <c r="N1350" s="322"/>
      <c r="O1350" s="322"/>
      <c r="P1350" s="322"/>
      <c r="Q1350" s="322"/>
      <c r="R1350" s="322"/>
      <c r="S1350" s="322"/>
      <c r="T1350" s="322"/>
      <c r="U1350" s="322"/>
      <c r="V1350" s="322"/>
      <c r="W1350" s="322"/>
      <c r="X1350" s="322"/>
      <c r="AA1350" s="180" t="str">
        <f>VLOOKUP(A1350,[2]DG!$A:$C,3,0)</f>
        <v>Cáp đồng bọc CV95</v>
      </c>
    </row>
    <row r="1351" spans="1:27" ht="20.100000000000001" customHeight="1">
      <c r="A1351" s="882" t="s">
        <v>4244</v>
      </c>
      <c r="B1351" s="835" t="s">
        <v>4240</v>
      </c>
      <c r="C1351" s="784" t="s">
        <v>347</v>
      </c>
      <c r="D1351" s="438" t="s">
        <v>2894</v>
      </c>
      <c r="E1351" s="438"/>
      <c r="F1351" s="789">
        <f t="shared" si="158"/>
        <v>26726.2</v>
      </c>
      <c r="G1351" s="789">
        <f t="shared" si="156"/>
        <v>2071.84</v>
      </c>
      <c r="H1351" s="438"/>
      <c r="I1351" s="322" t="s">
        <v>3372</v>
      </c>
      <c r="J1351" s="322">
        <v>0.03</v>
      </c>
      <c r="K1351" s="322" t="s">
        <v>3385</v>
      </c>
      <c r="L1351" s="322">
        <v>0.08</v>
      </c>
      <c r="M1351" s="322">
        <v>4.5999999999999999E-2</v>
      </c>
      <c r="N1351" s="322"/>
      <c r="O1351" s="322"/>
      <c r="P1351" s="322"/>
      <c r="Q1351" s="322"/>
      <c r="R1351" s="322"/>
      <c r="S1351" s="322"/>
      <c r="T1351" s="322"/>
      <c r="U1351" s="322"/>
      <c r="V1351" s="322"/>
      <c r="W1351" s="322"/>
      <c r="X1351" s="322"/>
      <c r="AA1351" s="180" t="str">
        <f>VLOOKUP(A1351,[2]DG!$A:$C,3,0)</f>
        <v>Cáp đồng bọc CV120</v>
      </c>
    </row>
    <row r="1352" spans="1:27" ht="20.100000000000001" customHeight="1">
      <c r="A1352" s="882" t="s">
        <v>4245</v>
      </c>
      <c r="B1352" s="835" t="s">
        <v>4240</v>
      </c>
      <c r="C1352" s="784" t="s">
        <v>348</v>
      </c>
      <c r="D1352" s="438" t="s">
        <v>2894</v>
      </c>
      <c r="E1352" s="438"/>
      <c r="F1352" s="789">
        <f t="shared" si="158"/>
        <v>26726.2</v>
      </c>
      <c r="G1352" s="789">
        <f t="shared" si="156"/>
        <v>2071.84</v>
      </c>
      <c r="H1352" s="438"/>
      <c r="I1352" s="322" t="s">
        <v>3372</v>
      </c>
      <c r="J1352" s="322">
        <v>0.03</v>
      </c>
      <c r="K1352" s="322" t="s">
        <v>3385</v>
      </c>
      <c r="L1352" s="322">
        <v>0.08</v>
      </c>
      <c r="M1352" s="322">
        <v>4.5999999999999999E-2</v>
      </c>
      <c r="N1352" s="322"/>
      <c r="O1352" s="322"/>
      <c r="P1352" s="322"/>
      <c r="Q1352" s="322"/>
      <c r="R1352" s="322"/>
      <c r="S1352" s="322"/>
      <c r="T1352" s="322"/>
      <c r="U1352" s="322"/>
      <c r="V1352" s="322"/>
      <c r="W1352" s="322"/>
      <c r="X1352" s="322"/>
      <c r="AA1352" s="180" t="str">
        <f>VLOOKUP(A1352,[2]DG!$A:$C,3,0)</f>
        <v>Cáp đồng bọc CV150</v>
      </c>
    </row>
    <row r="1353" spans="1:27" ht="20.100000000000001" customHeight="1">
      <c r="A1353" s="882" t="s">
        <v>4246</v>
      </c>
      <c r="B1353" s="835" t="s">
        <v>4240</v>
      </c>
      <c r="C1353" s="784" t="s">
        <v>349</v>
      </c>
      <c r="D1353" s="438" t="s">
        <v>2894</v>
      </c>
      <c r="E1353" s="438"/>
      <c r="F1353" s="789">
        <f t="shared" si="158"/>
        <v>26726.2</v>
      </c>
      <c r="G1353" s="789">
        <f t="shared" si="156"/>
        <v>2071.84</v>
      </c>
      <c r="H1353" s="438"/>
      <c r="I1353" s="322" t="s">
        <v>3372</v>
      </c>
      <c r="J1353" s="322">
        <v>0.03</v>
      </c>
      <c r="K1353" s="322" t="s">
        <v>3385</v>
      </c>
      <c r="L1353" s="322">
        <v>0.08</v>
      </c>
      <c r="M1353" s="322">
        <v>4.5999999999999999E-2</v>
      </c>
      <c r="N1353" s="322"/>
      <c r="O1353" s="322"/>
      <c r="P1353" s="322"/>
      <c r="Q1353" s="322"/>
      <c r="R1353" s="322"/>
      <c r="S1353" s="322"/>
      <c r="T1353" s="322"/>
      <c r="U1353" s="322"/>
      <c r="V1353" s="322"/>
      <c r="W1353" s="322"/>
      <c r="X1353" s="322"/>
      <c r="AA1353" s="180" t="str">
        <f>VLOOKUP(A1353,[2]DG!$A:$C,3,0)</f>
        <v>Cáp đồng bọc CV185</v>
      </c>
    </row>
    <row r="1354" spans="1:27" ht="20.100000000000001" customHeight="1">
      <c r="A1354" s="882" t="s">
        <v>4402</v>
      </c>
      <c r="B1354" s="835" t="s">
        <v>4240</v>
      </c>
      <c r="C1354" s="784" t="s">
        <v>350</v>
      </c>
      <c r="D1354" s="438" t="s">
        <v>2894</v>
      </c>
      <c r="E1354" s="438"/>
      <c r="F1354" s="789">
        <f t="shared" si="158"/>
        <v>26726.2</v>
      </c>
      <c r="G1354" s="789">
        <f t="shared" si="156"/>
        <v>2071.84</v>
      </c>
      <c r="H1354" s="438"/>
      <c r="I1354" s="322" t="s">
        <v>3372</v>
      </c>
      <c r="J1354" s="322">
        <v>0.03</v>
      </c>
      <c r="K1354" s="322" t="s">
        <v>3385</v>
      </c>
      <c r="L1354" s="322">
        <v>0.08</v>
      </c>
      <c r="M1354" s="322">
        <v>4.5999999999999999E-2</v>
      </c>
      <c r="N1354" s="322"/>
      <c r="O1354" s="322"/>
      <c r="P1354" s="322"/>
      <c r="Q1354" s="322"/>
      <c r="R1354" s="322"/>
      <c r="S1354" s="322"/>
      <c r="T1354" s="322"/>
      <c r="U1354" s="322"/>
      <c r="V1354" s="322"/>
      <c r="W1354" s="322"/>
      <c r="X1354" s="322"/>
      <c r="AA1354" s="180" t="str">
        <f>VLOOKUP(A1354,[2]DG!$A:$C,3,0)</f>
        <v>Cáp đồng bọc CV200</v>
      </c>
    </row>
    <row r="1355" spans="1:27" ht="20.100000000000001" customHeight="1">
      <c r="A1355" s="882" t="s">
        <v>4247</v>
      </c>
      <c r="B1355" s="835" t="s">
        <v>4240</v>
      </c>
      <c r="C1355" s="784" t="s">
        <v>350</v>
      </c>
      <c r="D1355" s="438" t="s">
        <v>2894</v>
      </c>
      <c r="E1355" s="438"/>
      <c r="F1355" s="789">
        <f t="shared" ref="F1355" si="159">IF(I1355&lt;&gt;"",VLOOKUP(I1355,TIENLUONG,4,0)*J1355,0)+IF(K1355&lt;&gt;"",VLOOKUP(K1355,TIENLUONG,4,0)*L1355,0)</f>
        <v>26726.2</v>
      </c>
      <c r="G1355" s="789">
        <f t="shared" si="156"/>
        <v>2071.84</v>
      </c>
      <c r="H1355" s="438"/>
      <c r="I1355" s="322" t="s">
        <v>3372</v>
      </c>
      <c r="J1355" s="322">
        <v>0.03</v>
      </c>
      <c r="K1355" s="322" t="s">
        <v>3385</v>
      </c>
      <c r="L1355" s="322">
        <v>0.08</v>
      </c>
      <c r="M1355" s="322">
        <v>4.5999999999999999E-2</v>
      </c>
      <c r="N1355" s="322"/>
      <c r="O1355" s="322"/>
      <c r="P1355" s="322"/>
      <c r="Q1355" s="322"/>
      <c r="R1355" s="322"/>
      <c r="S1355" s="322"/>
      <c r="T1355" s="322"/>
      <c r="U1355" s="322"/>
      <c r="V1355" s="322"/>
      <c r="W1355" s="322"/>
      <c r="X1355" s="322"/>
      <c r="AA1355" s="180" t="str">
        <f>VLOOKUP(A1355,[2]DG!$A:$C,3,0)</f>
        <v>Cáp đồng bọc CV200</v>
      </c>
    </row>
    <row r="1356" spans="1:27" ht="20.100000000000001" customHeight="1">
      <c r="A1356" s="882" t="s">
        <v>4248</v>
      </c>
      <c r="B1356" s="835" t="s">
        <v>4240</v>
      </c>
      <c r="C1356" s="784" t="s">
        <v>353</v>
      </c>
      <c r="D1356" s="438" t="s">
        <v>2894</v>
      </c>
      <c r="E1356" s="438"/>
      <c r="F1356" s="789">
        <f t="shared" si="158"/>
        <v>26726.2</v>
      </c>
      <c r="G1356" s="789">
        <f t="shared" si="156"/>
        <v>2071.84</v>
      </c>
      <c r="H1356" s="438"/>
      <c r="I1356" s="322" t="s">
        <v>3372</v>
      </c>
      <c r="J1356" s="322">
        <v>0.03</v>
      </c>
      <c r="K1356" s="322" t="s">
        <v>3385</v>
      </c>
      <c r="L1356" s="322">
        <v>0.08</v>
      </c>
      <c r="M1356" s="322">
        <v>4.5999999999999999E-2</v>
      </c>
      <c r="N1356" s="322"/>
      <c r="O1356" s="322"/>
      <c r="P1356" s="322"/>
      <c r="Q1356" s="322"/>
      <c r="R1356" s="322"/>
      <c r="S1356" s="322"/>
      <c r="T1356" s="322"/>
      <c r="U1356" s="322"/>
      <c r="V1356" s="322"/>
      <c r="W1356" s="322"/>
      <c r="X1356" s="322"/>
      <c r="AA1356" s="180" t="str">
        <f>VLOOKUP(A1356,[2]DG!$A:$C,3,0)</f>
        <v>Cáp đồng bọc CV300</v>
      </c>
    </row>
    <row r="1357" spans="1:27" ht="20.100000000000001" customHeight="1">
      <c r="A1357" s="882" t="s">
        <v>4249</v>
      </c>
      <c r="B1357" s="835" t="s">
        <v>2600</v>
      </c>
      <c r="C1357" s="784" t="s">
        <v>1544</v>
      </c>
      <c r="D1357" s="438" t="s">
        <v>9</v>
      </c>
      <c r="E1357" s="438"/>
      <c r="F1357" s="789">
        <f t="shared" si="158"/>
        <v>60717.18233333333</v>
      </c>
      <c r="G1357" s="789">
        <f t="shared" si="156"/>
        <v>1540.9118606060606</v>
      </c>
      <c r="H1357" s="438"/>
      <c r="I1357" s="322" t="s">
        <v>3377</v>
      </c>
      <c r="J1357" s="322">
        <v>0.124</v>
      </c>
      <c r="K1357" s="322" t="s">
        <v>3386</v>
      </c>
      <c r="L1357" s="322">
        <f>0.289/3</f>
        <v>9.6333333333333326E-2</v>
      </c>
      <c r="M1357" s="322">
        <f>0.0073/3</f>
        <v>2.4333333333333334E-3</v>
      </c>
      <c r="N1357" s="322"/>
      <c r="O1357" s="322"/>
      <c r="P1357" s="322">
        <f>0.0041/3</f>
        <v>1.3666666666666669E-3</v>
      </c>
      <c r="Q1357" s="322"/>
      <c r="R1357" s="322">
        <f>0.0092/3</f>
        <v>3.0666666666666668E-3</v>
      </c>
      <c r="S1357" s="322"/>
      <c r="T1357" s="322"/>
      <c r="U1357" s="322"/>
      <c r="V1357" s="322"/>
      <c r="W1357" s="322"/>
      <c r="X1357" s="322"/>
      <c r="AA1357" s="180" t="str">
        <f>VLOOKUP(A1357,[2]DG!$A:$C,3,0)</f>
        <v>FCO 24kV - 100A</v>
      </c>
    </row>
    <row r="1358" spans="1:27" ht="20.100000000000001" customHeight="1">
      <c r="A1358" s="882" t="s">
        <v>4250</v>
      </c>
      <c r="B1358" s="835" t="s">
        <v>2601</v>
      </c>
      <c r="C1358" s="784" t="s">
        <v>4519</v>
      </c>
      <c r="D1358" s="438" t="s">
        <v>9</v>
      </c>
      <c r="E1358" s="438"/>
      <c r="F1358" s="789">
        <f t="shared" si="158"/>
        <v>118809.81</v>
      </c>
      <c r="G1358" s="789">
        <f t="shared" si="156"/>
        <v>24706.128000000001</v>
      </c>
      <c r="H1358" s="438"/>
      <c r="I1358" s="322" t="s">
        <v>3377</v>
      </c>
      <c r="J1358" s="322">
        <v>0.28000000000000003</v>
      </c>
      <c r="K1358" s="322" t="s">
        <v>3386</v>
      </c>
      <c r="L1358" s="322">
        <v>0.15</v>
      </c>
      <c r="M1358" s="322">
        <v>3.9E-2</v>
      </c>
      <c r="N1358" s="322"/>
      <c r="O1358" s="322"/>
      <c r="P1358" s="322"/>
      <c r="Q1358" s="322"/>
      <c r="R1358" s="322">
        <v>5.3999999999999999E-2</v>
      </c>
      <c r="S1358" s="322"/>
      <c r="T1358" s="322"/>
      <c r="U1358" s="322"/>
      <c r="V1358" s="322"/>
      <c r="W1358" s="322"/>
      <c r="X1358" s="322"/>
      <c r="AA1358" s="180" t="str">
        <f>VLOOKUP(A1358,[2]DG!$A:$C,3,0)</f>
        <v>LA 18kV 10kA</v>
      </c>
    </row>
    <row r="1359" spans="1:27" ht="20.100000000000001" customHeight="1">
      <c r="A1359" s="882" t="s">
        <v>4251</v>
      </c>
      <c r="B1359" s="835" t="s">
        <v>4252</v>
      </c>
      <c r="C1359" s="784" t="s">
        <v>1683</v>
      </c>
      <c r="D1359" s="438" t="s">
        <v>9</v>
      </c>
      <c r="E1359" s="438"/>
      <c r="F1359" s="789">
        <f t="shared" si="158"/>
        <v>160191.5</v>
      </c>
      <c r="G1359" s="789">
        <f t="shared" si="156"/>
        <v>25652.196727272727</v>
      </c>
      <c r="H1359" s="438"/>
      <c r="I1359" s="322" t="s">
        <v>3372</v>
      </c>
      <c r="J1359" s="322">
        <v>0.2</v>
      </c>
      <c r="K1359" s="322" t="s">
        <v>3385</v>
      </c>
      <c r="L1359" s="322">
        <v>0.46</v>
      </c>
      <c r="M1359" s="322">
        <v>2.5000000000000001E-2</v>
      </c>
      <c r="N1359" s="322"/>
      <c r="O1359" s="322"/>
      <c r="P1359" s="322">
        <v>3.4000000000000002E-2</v>
      </c>
      <c r="Q1359" s="322">
        <v>5.0999999999999997E-2</v>
      </c>
      <c r="R1359" s="322"/>
      <c r="S1359" s="322"/>
      <c r="T1359" s="322"/>
      <c r="U1359" s="322"/>
      <c r="V1359" s="322"/>
      <c r="W1359" s="322"/>
      <c r="X1359" s="322"/>
      <c r="AA1359" s="180" t="str">
        <f>VLOOKUP(A1359,[2]DG!$A:$C,3,0)</f>
        <v>MCCB 3 cực 400V-75A - 10KA</v>
      </c>
    </row>
    <row r="1360" spans="1:27" ht="20.100000000000001" customHeight="1">
      <c r="A1360" s="882" t="s">
        <v>4253</v>
      </c>
      <c r="B1360" s="835" t="s">
        <v>4252</v>
      </c>
      <c r="C1360" s="784" t="s">
        <v>1681</v>
      </c>
      <c r="D1360" s="438" t="s">
        <v>9</v>
      </c>
      <c r="E1360" s="438"/>
      <c r="F1360" s="789">
        <f t="shared" si="158"/>
        <v>160191.5</v>
      </c>
      <c r="G1360" s="789">
        <f t="shared" si="156"/>
        <v>25652.196727272727</v>
      </c>
      <c r="H1360" s="438"/>
      <c r="I1360" s="322" t="s">
        <v>3372</v>
      </c>
      <c r="J1360" s="322">
        <v>0.2</v>
      </c>
      <c r="K1360" s="322" t="s">
        <v>3385</v>
      </c>
      <c r="L1360" s="322">
        <v>0.46</v>
      </c>
      <c r="M1360" s="322">
        <v>2.5000000000000001E-2</v>
      </c>
      <c r="N1360" s="322"/>
      <c r="O1360" s="322"/>
      <c r="P1360" s="322">
        <v>3.4000000000000002E-2</v>
      </c>
      <c r="Q1360" s="322">
        <v>5.0999999999999997E-2</v>
      </c>
      <c r="R1360" s="322"/>
      <c r="S1360" s="322"/>
      <c r="T1360" s="322"/>
      <c r="U1360" s="322"/>
      <c r="V1360" s="322"/>
      <c r="W1360" s="322"/>
      <c r="X1360" s="322"/>
      <c r="AA1360" s="180" t="str">
        <f>VLOOKUP(A1360,[2]DG!$A:$C,3,0)</f>
        <v>MCCB 3 cực 400V-80A - 10KA</v>
      </c>
    </row>
    <row r="1361" spans="1:27" ht="20.100000000000001" customHeight="1">
      <c r="A1361" s="882" t="s">
        <v>4254</v>
      </c>
      <c r="B1361" s="835" t="s">
        <v>4255</v>
      </c>
      <c r="C1361" s="784" t="s">
        <v>1687</v>
      </c>
      <c r="D1361" s="438" t="s">
        <v>9</v>
      </c>
      <c r="E1361" s="438"/>
      <c r="F1361" s="789">
        <f t="shared" si="158"/>
        <v>160191.5</v>
      </c>
      <c r="G1361" s="789">
        <f t="shared" si="156"/>
        <v>25652.196727272727</v>
      </c>
      <c r="H1361" s="438"/>
      <c r="I1361" s="322" t="s">
        <v>3372</v>
      </c>
      <c r="J1361" s="322">
        <v>0.2</v>
      </c>
      <c r="K1361" s="322" t="s">
        <v>3385</v>
      </c>
      <c r="L1361" s="322">
        <v>0.46</v>
      </c>
      <c r="M1361" s="322">
        <v>2.5000000000000001E-2</v>
      </c>
      <c r="N1361" s="322"/>
      <c r="O1361" s="322"/>
      <c r="P1361" s="322">
        <v>3.4000000000000002E-2</v>
      </c>
      <c r="Q1361" s="322">
        <v>5.0999999999999997E-2</v>
      </c>
      <c r="R1361" s="322"/>
      <c r="S1361" s="322"/>
      <c r="T1361" s="322"/>
      <c r="U1361" s="322"/>
      <c r="V1361" s="322"/>
      <c r="W1361" s="322"/>
      <c r="X1361" s="322"/>
      <c r="AA1361" s="180" t="str">
        <f>VLOOKUP(A1361,[2]DG!$A:$C,3,0)</f>
        <v>MCCB 3 cực 400V -125A - 30KA</v>
      </c>
    </row>
    <row r="1362" spans="1:27" ht="20.100000000000001" customHeight="1">
      <c r="A1362" s="882" t="s">
        <v>4256</v>
      </c>
      <c r="B1362" s="835" t="s">
        <v>4255</v>
      </c>
      <c r="C1362" s="784" t="s">
        <v>1691</v>
      </c>
      <c r="D1362" s="438" t="s">
        <v>9</v>
      </c>
      <c r="E1362" s="438"/>
      <c r="F1362" s="789">
        <f t="shared" si="158"/>
        <v>160191.5</v>
      </c>
      <c r="G1362" s="789">
        <f t="shared" si="156"/>
        <v>25652.196727272727</v>
      </c>
      <c r="H1362" s="438"/>
      <c r="I1362" s="322" t="s">
        <v>3372</v>
      </c>
      <c r="J1362" s="322">
        <v>0.2</v>
      </c>
      <c r="K1362" s="322" t="s">
        <v>3385</v>
      </c>
      <c r="L1362" s="322">
        <v>0.46</v>
      </c>
      <c r="M1362" s="322">
        <v>2.5000000000000001E-2</v>
      </c>
      <c r="N1362" s="322"/>
      <c r="O1362" s="322"/>
      <c r="P1362" s="322">
        <v>3.4000000000000002E-2</v>
      </c>
      <c r="Q1362" s="322">
        <v>5.0999999999999997E-2</v>
      </c>
      <c r="R1362" s="322"/>
      <c r="S1362" s="322"/>
      <c r="T1362" s="322"/>
      <c r="U1362" s="322"/>
      <c r="V1362" s="322"/>
      <c r="W1362" s="322"/>
      <c r="X1362" s="322"/>
      <c r="AA1362" s="180" t="str">
        <f>VLOOKUP(A1362,[2]DG!$A:$C,3,0)</f>
        <v>MCCB 3 cực 400V -200A - 35KA</v>
      </c>
    </row>
    <row r="1363" spans="1:27" ht="20.100000000000001" customHeight="1">
      <c r="A1363" s="882" t="s">
        <v>4257</v>
      </c>
      <c r="B1363" s="835" t="s">
        <v>4255</v>
      </c>
      <c r="C1363" s="784" t="s">
        <v>1693</v>
      </c>
      <c r="D1363" s="438" t="s">
        <v>9</v>
      </c>
      <c r="E1363" s="438"/>
      <c r="F1363" s="789">
        <f t="shared" si="158"/>
        <v>160191.5</v>
      </c>
      <c r="G1363" s="789">
        <f t="shared" si="156"/>
        <v>25652.196727272727</v>
      </c>
      <c r="H1363" s="438"/>
      <c r="I1363" s="322" t="s">
        <v>3372</v>
      </c>
      <c r="J1363" s="322">
        <v>0.2</v>
      </c>
      <c r="K1363" s="322" t="s">
        <v>3385</v>
      </c>
      <c r="L1363" s="322">
        <v>0.46</v>
      </c>
      <c r="M1363" s="322">
        <v>2.5000000000000001E-2</v>
      </c>
      <c r="N1363" s="322"/>
      <c r="O1363" s="322"/>
      <c r="P1363" s="322">
        <v>3.4000000000000002E-2</v>
      </c>
      <c r="Q1363" s="322">
        <v>5.0999999999999997E-2</v>
      </c>
      <c r="R1363" s="322"/>
      <c r="S1363" s="322"/>
      <c r="T1363" s="322"/>
      <c r="U1363" s="322"/>
      <c r="V1363" s="322"/>
      <c r="W1363" s="322"/>
      <c r="X1363" s="322"/>
      <c r="AA1363" s="180" t="str">
        <f>VLOOKUP(A1363,[2]DG!$A:$C,3,0)</f>
        <v xml:space="preserve">MCCB 3 cực 400V -250A - 35KA </v>
      </c>
    </row>
    <row r="1364" spans="1:27" ht="20.100000000000001" customHeight="1">
      <c r="A1364" s="882" t="s">
        <v>4258</v>
      </c>
      <c r="B1364" s="835" t="s">
        <v>2603</v>
      </c>
      <c r="C1364" s="784" t="s">
        <v>1695</v>
      </c>
      <c r="D1364" s="438" t="s">
        <v>9</v>
      </c>
      <c r="E1364" s="438"/>
      <c r="F1364" s="789">
        <f t="shared" si="158"/>
        <v>257287.3</v>
      </c>
      <c r="G1364" s="789">
        <f t="shared" si="156"/>
        <v>52373.686909090909</v>
      </c>
      <c r="H1364" s="438"/>
      <c r="I1364" s="322" t="s">
        <v>3372</v>
      </c>
      <c r="J1364" s="322">
        <v>0.32</v>
      </c>
      <c r="K1364" s="322" t="s">
        <v>3385</v>
      </c>
      <c r="L1364" s="322">
        <v>0.74</v>
      </c>
      <c r="M1364" s="322">
        <v>5.0999999999999997E-2</v>
      </c>
      <c r="N1364" s="322"/>
      <c r="O1364" s="322"/>
      <c r="P1364" s="322">
        <v>7.0000000000000007E-2</v>
      </c>
      <c r="Q1364" s="322">
        <v>0.104</v>
      </c>
      <c r="R1364" s="322"/>
      <c r="S1364" s="322"/>
      <c r="T1364" s="322"/>
      <c r="U1364" s="322"/>
      <c r="V1364" s="322"/>
      <c r="W1364" s="322"/>
      <c r="X1364" s="322"/>
      <c r="AA1364" s="180" t="str">
        <f>VLOOKUP(A1364,[2]DG!$A:$C,3,0)</f>
        <v>MCCB 3 cực 400V -400A - 35KA</v>
      </c>
    </row>
    <row r="1365" spans="1:27" ht="20.100000000000001" customHeight="1">
      <c r="A1365" s="882" t="s">
        <v>4259</v>
      </c>
      <c r="B1365" s="835" t="s">
        <v>2604</v>
      </c>
      <c r="C1365" s="784" t="s">
        <v>1697</v>
      </c>
      <c r="D1365" s="438" t="s">
        <v>9</v>
      </c>
      <c r="E1365" s="438"/>
      <c r="F1365" s="789">
        <f t="shared" si="158"/>
        <v>322835.25</v>
      </c>
      <c r="G1365" s="789">
        <f t="shared" si="156"/>
        <v>65850.001272727284</v>
      </c>
      <c r="H1365" s="438"/>
      <c r="I1365" s="322" t="s">
        <v>3372</v>
      </c>
      <c r="J1365" s="322">
        <v>0.4</v>
      </c>
      <c r="K1365" s="322" t="s">
        <v>3385</v>
      </c>
      <c r="L1365" s="322">
        <v>0.93</v>
      </c>
      <c r="M1365" s="322">
        <v>6.4000000000000001E-2</v>
      </c>
      <c r="N1365" s="322"/>
      <c r="O1365" s="322"/>
      <c r="P1365" s="322">
        <v>8.6999999999999994E-2</v>
      </c>
      <c r="Q1365" s="322">
        <v>0.13100000000000001</v>
      </c>
      <c r="R1365" s="322"/>
      <c r="S1365" s="322"/>
      <c r="T1365" s="322"/>
      <c r="U1365" s="322"/>
      <c r="V1365" s="322"/>
      <c r="W1365" s="322"/>
      <c r="X1365" s="322"/>
      <c r="AA1365" s="180" t="str">
        <f>VLOOKUP(A1365,[2]DG!$A:$C,3,0)</f>
        <v>MCCB 3 cực 400V - 500A/35KA</v>
      </c>
    </row>
    <row r="1366" spans="1:27" ht="20.100000000000001" customHeight="1">
      <c r="A1366" s="882" t="s">
        <v>4260</v>
      </c>
      <c r="B1366" s="835" t="s">
        <v>2604</v>
      </c>
      <c r="C1366" s="784" t="s">
        <v>1701</v>
      </c>
      <c r="D1366" s="438" t="s">
        <v>9</v>
      </c>
      <c r="E1366" s="438"/>
      <c r="F1366" s="789">
        <f t="shared" si="158"/>
        <v>322835.25</v>
      </c>
      <c r="G1366" s="789">
        <f t="shared" si="156"/>
        <v>65850.001272727284</v>
      </c>
      <c r="H1366" s="438"/>
      <c r="I1366" s="322" t="s">
        <v>3372</v>
      </c>
      <c r="J1366" s="322">
        <v>0.4</v>
      </c>
      <c r="K1366" s="322" t="s">
        <v>3385</v>
      </c>
      <c r="L1366" s="322">
        <v>0.93</v>
      </c>
      <c r="M1366" s="322">
        <v>6.4000000000000001E-2</v>
      </c>
      <c r="N1366" s="322"/>
      <c r="O1366" s="322"/>
      <c r="P1366" s="322">
        <v>8.6999999999999994E-2</v>
      </c>
      <c r="Q1366" s="322">
        <v>0.13100000000000001</v>
      </c>
      <c r="R1366" s="322"/>
      <c r="S1366" s="322"/>
      <c r="T1366" s="322"/>
      <c r="U1366" s="322"/>
      <c r="V1366" s="322"/>
      <c r="W1366" s="322"/>
      <c r="X1366" s="322"/>
      <c r="AA1366" s="180" t="str">
        <f>VLOOKUP(A1366,[2]DG!$A:$C,3,0)</f>
        <v>MCCB 3 cực 400V -630A - 35KA</v>
      </c>
    </row>
    <row r="1367" spans="1:27" ht="20.100000000000001" customHeight="1">
      <c r="A1367" s="882" t="s">
        <v>4261</v>
      </c>
      <c r="B1367" s="835" t="s">
        <v>4262</v>
      </c>
      <c r="C1367" s="784" t="s">
        <v>1705</v>
      </c>
      <c r="D1367" s="438" t="s">
        <v>9</v>
      </c>
      <c r="E1367" s="438"/>
      <c r="F1367" s="789">
        <f t="shared" si="158"/>
        <v>458752.8</v>
      </c>
      <c r="G1367" s="789">
        <f t="shared" si="156"/>
        <v>82022.069272727284</v>
      </c>
      <c r="H1367" s="438"/>
      <c r="I1367" s="322" t="s">
        <v>3372</v>
      </c>
      <c r="J1367" s="322">
        <v>0.56999999999999995</v>
      </c>
      <c r="K1367" s="322" t="s">
        <v>3385</v>
      </c>
      <c r="L1367" s="322">
        <v>1.32</v>
      </c>
      <c r="M1367" s="322">
        <v>0.08</v>
      </c>
      <c r="N1367" s="322"/>
      <c r="O1367" s="322"/>
      <c r="P1367" s="322">
        <v>0.109</v>
      </c>
      <c r="Q1367" s="322">
        <v>0.16300000000000001</v>
      </c>
      <c r="R1367" s="322"/>
      <c r="S1367" s="322"/>
      <c r="T1367" s="322"/>
      <c r="U1367" s="322"/>
      <c r="V1367" s="322"/>
      <c r="W1367" s="322"/>
      <c r="X1367" s="322"/>
      <c r="AA1367" s="180" t="str">
        <f>VLOOKUP(A1367,[2]DG!$A:$C,3,0)</f>
        <v>MCCB 3 cực 400V -1000A - 50KA</v>
      </c>
    </row>
    <row r="1368" spans="1:27" ht="20.100000000000001" customHeight="1">
      <c r="A1368" s="882" t="s">
        <v>4263</v>
      </c>
      <c r="B1368" s="835" t="s">
        <v>4262</v>
      </c>
      <c r="C1368" s="784" t="s">
        <v>1707</v>
      </c>
      <c r="D1368" s="438" t="s">
        <v>9</v>
      </c>
      <c r="E1368" s="438"/>
      <c r="F1368" s="789">
        <f t="shared" si="158"/>
        <v>458752.8</v>
      </c>
      <c r="G1368" s="789">
        <f t="shared" si="156"/>
        <v>82022.069272727284</v>
      </c>
      <c r="H1368" s="438"/>
      <c r="I1368" s="322" t="s">
        <v>3372</v>
      </c>
      <c r="J1368" s="322">
        <v>0.56999999999999995</v>
      </c>
      <c r="K1368" s="322" t="s">
        <v>3385</v>
      </c>
      <c r="L1368" s="322">
        <v>1.32</v>
      </c>
      <c r="M1368" s="322">
        <v>0.08</v>
      </c>
      <c r="N1368" s="322"/>
      <c r="O1368" s="322"/>
      <c r="P1368" s="322">
        <v>0.109</v>
      </c>
      <c r="Q1368" s="322">
        <v>0.16300000000000001</v>
      </c>
      <c r="R1368" s="322"/>
      <c r="S1368" s="322"/>
      <c r="T1368" s="322"/>
      <c r="U1368" s="322"/>
      <c r="V1368" s="322"/>
      <c r="W1368" s="322"/>
      <c r="X1368" s="322"/>
      <c r="AA1368" s="180" t="str">
        <f>VLOOKUP(A1368,[2]DG!$A:$C,3,0)</f>
        <v>MCCB 3 cực 400V -1250A - 85KA</v>
      </c>
    </row>
    <row r="1369" spans="1:27" ht="20.100000000000001" customHeight="1">
      <c r="A1369" s="882" t="s">
        <v>4264</v>
      </c>
      <c r="B1369" s="835" t="s">
        <v>4262</v>
      </c>
      <c r="C1369" s="784" t="s">
        <v>1709</v>
      </c>
      <c r="D1369" s="438" t="s">
        <v>9</v>
      </c>
      <c r="E1369" s="438"/>
      <c r="F1369" s="789">
        <f t="shared" si="158"/>
        <v>458752.8</v>
      </c>
      <c r="G1369" s="789">
        <f t="shared" si="156"/>
        <v>82022.069272727284</v>
      </c>
      <c r="H1369" s="438"/>
      <c r="I1369" s="322" t="s">
        <v>3372</v>
      </c>
      <c r="J1369" s="322">
        <v>0.56999999999999995</v>
      </c>
      <c r="K1369" s="322" t="s">
        <v>3385</v>
      </c>
      <c r="L1369" s="322">
        <v>1.32</v>
      </c>
      <c r="M1369" s="322">
        <v>0.08</v>
      </c>
      <c r="N1369" s="322"/>
      <c r="O1369" s="322"/>
      <c r="P1369" s="322">
        <v>0.109</v>
      </c>
      <c r="Q1369" s="322">
        <v>0.16300000000000001</v>
      </c>
      <c r="R1369" s="322"/>
      <c r="S1369" s="322"/>
      <c r="T1369" s="322"/>
      <c r="U1369" s="322"/>
      <c r="V1369" s="322"/>
      <c r="W1369" s="322"/>
      <c r="X1369" s="322"/>
      <c r="AA1369" s="180" t="str">
        <f>VLOOKUP(A1369,[2]DG!$A:$C,3,0)</f>
        <v>MCCB 3 cực 400V -1600A - 85KA</v>
      </c>
    </row>
    <row r="1370" spans="1:27" ht="20.100000000000001" customHeight="1">
      <c r="A1370" s="882" t="s">
        <v>4264</v>
      </c>
      <c r="B1370" s="835" t="s">
        <v>4262</v>
      </c>
      <c r="C1370" s="784" t="s">
        <v>1709</v>
      </c>
      <c r="D1370" s="438" t="s">
        <v>9</v>
      </c>
      <c r="E1370" s="438"/>
      <c r="F1370" s="789">
        <f t="shared" ref="F1370" si="160">IF(I1370&lt;&gt;"",VLOOKUP(I1370,TIENLUONG,4,0)*J1370,0)+IF(K1370&lt;&gt;"",VLOOKUP(K1370,TIENLUONG,4,0)*L1370,0)</f>
        <v>523107.28</v>
      </c>
      <c r="G1370" s="789">
        <f t="shared" si="156"/>
        <v>82022.069272727284</v>
      </c>
      <c r="H1370" s="438"/>
      <c r="I1370" s="322" t="s">
        <v>3372</v>
      </c>
      <c r="J1370" s="322">
        <v>0.79</v>
      </c>
      <c r="K1370" s="322" t="s">
        <v>3386</v>
      </c>
      <c r="L1370" s="322">
        <v>1.24</v>
      </c>
      <c r="M1370" s="322">
        <v>0.08</v>
      </c>
      <c r="N1370" s="322"/>
      <c r="O1370" s="322"/>
      <c r="P1370" s="322">
        <v>0.109</v>
      </c>
      <c r="Q1370" s="322">
        <v>0.16300000000000001</v>
      </c>
      <c r="R1370" s="322"/>
      <c r="S1370" s="322"/>
      <c r="T1370" s="322"/>
      <c r="U1370" s="322"/>
      <c r="V1370" s="322"/>
      <c r="W1370" s="322"/>
      <c r="X1370" s="322"/>
      <c r="AA1370" s="180" t="str">
        <f>VLOOKUP(A1370,[2]DG!$A:$C,3,0)</f>
        <v>MCCB 3 cực 400V -1600A - 85KA</v>
      </c>
    </row>
    <row r="1371" spans="1:27" ht="20.100000000000001" hidden="1" customHeight="1"/>
    <row r="1372" spans="1:27" ht="20.100000000000001" hidden="1" customHeight="1"/>
    <row r="1373" spans="1:27" ht="20.100000000000001" hidden="1" customHeight="1"/>
  </sheetData>
  <autoFilter ref="A1:AM1373">
    <filterColumn colId="26">
      <filters>
        <filter val="#N/A"/>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FF00"/>
  </sheetPr>
  <dimension ref="A1:BL408"/>
  <sheetViews>
    <sheetView showZeros="0" topLeftCell="A394" zoomScale="85" zoomScaleNormal="85" workbookViewId="0">
      <selection activeCell="E398" sqref="E398"/>
    </sheetView>
  </sheetViews>
  <sheetFormatPr defaultColWidth="10.140625" defaultRowHeight="20.100000000000001" customHeight="1"/>
  <cols>
    <col min="1" max="1" width="10.140625" style="373"/>
    <col min="2" max="2" width="19" style="373" customWidth="1"/>
    <col min="3" max="3" width="10.140625" style="374"/>
    <col min="4" max="4" width="10.140625" style="373"/>
    <col min="5" max="6" width="10.140625" style="374"/>
    <col min="7" max="15" width="10.140625" style="373"/>
    <col min="16" max="16" width="10.140625" style="374"/>
    <col min="17" max="29" width="10.140625" style="373"/>
    <col min="30" max="30" width="10.140625" style="374"/>
    <col min="31" max="16384" width="10.140625" style="373"/>
  </cols>
  <sheetData>
    <row r="1" spans="1:38" ht="20.100000000000001" customHeight="1">
      <c r="A1" s="373">
        <v>1</v>
      </c>
      <c r="B1" s="373">
        <f>A1+1</f>
        <v>2</v>
      </c>
      <c r="C1" s="71" t="e">
        <f ca="1">SETTING!$O$10</f>
        <v>#REF!</v>
      </c>
      <c r="D1" s="378"/>
      <c r="E1" s="378"/>
      <c r="F1" s="378"/>
      <c r="G1" s="378"/>
      <c r="H1" s="378"/>
      <c r="I1" s="378"/>
      <c r="J1" s="378"/>
      <c r="K1" s="378"/>
      <c r="L1" s="378"/>
      <c r="M1" s="373">
        <f t="shared" ref="M1:Y1" si="0">L1+1</f>
        <v>1</v>
      </c>
      <c r="N1" s="373">
        <f t="shared" si="0"/>
        <v>2</v>
      </c>
      <c r="O1" s="373">
        <f t="shared" si="0"/>
        <v>3</v>
      </c>
      <c r="P1" s="373">
        <f t="shared" si="0"/>
        <v>4</v>
      </c>
      <c r="Q1" s="373">
        <f t="shared" si="0"/>
        <v>5</v>
      </c>
      <c r="R1" s="373">
        <f t="shared" si="0"/>
        <v>6</v>
      </c>
      <c r="S1" s="373">
        <f t="shared" si="0"/>
        <v>7</v>
      </c>
      <c r="T1" s="373">
        <f t="shared" si="0"/>
        <v>8</v>
      </c>
      <c r="U1" s="373">
        <f t="shared" si="0"/>
        <v>9</v>
      </c>
      <c r="V1" s="373">
        <f t="shared" si="0"/>
        <v>10</v>
      </c>
      <c r="W1" s="373">
        <f t="shared" si="0"/>
        <v>11</v>
      </c>
      <c r="X1" s="373">
        <f t="shared" si="0"/>
        <v>12</v>
      </c>
      <c r="Y1" s="373">
        <f t="shared" si="0"/>
        <v>13</v>
      </c>
      <c r="AB1" s="84">
        <f>IF(IF(SUM(Q11:AC11)&gt;0,HLOOKUP(1,$Q$11:$AC$40,30,0),0)&gt;0,HLOOKUP(IF(SUM(Q11:AC11)&gt;0,HLOOKUP(1,$Q$11:$AC$40,30,0),0),$Q$2:$AC$3,2,0),0)</f>
        <v>6</v>
      </c>
      <c r="AC1" s="373">
        <f>IF(AB1=0,17,AB1)</f>
        <v>6</v>
      </c>
      <c r="AD1" s="374" t="s">
        <v>2535</v>
      </c>
      <c r="AF1" s="373">
        <v>32</v>
      </c>
      <c r="AG1" s="373">
        <v>33</v>
      </c>
      <c r="AH1" s="373">
        <v>34</v>
      </c>
      <c r="AI1" s="373">
        <v>35</v>
      </c>
      <c r="AK1" s="78" t="s">
        <v>2538</v>
      </c>
      <c r="AL1" s="373">
        <v>38</v>
      </c>
    </row>
    <row r="2" spans="1:38" ht="20.100000000000001" customHeight="1">
      <c r="A2" s="113" t="s">
        <v>2629</v>
      </c>
      <c r="Q2" s="85">
        <v>25</v>
      </c>
      <c r="R2" s="85">
        <v>37.5</v>
      </c>
      <c r="S2" s="85">
        <v>50</v>
      </c>
      <c r="T2" s="85">
        <v>75</v>
      </c>
      <c r="U2" s="85">
        <v>100</v>
      </c>
      <c r="V2" s="85">
        <v>160</v>
      </c>
      <c r="W2" s="85">
        <v>250</v>
      </c>
      <c r="X2" s="85">
        <v>320</v>
      </c>
      <c r="Y2" s="85">
        <v>400</v>
      </c>
      <c r="Z2" s="85">
        <v>560</v>
      </c>
      <c r="AA2" s="85">
        <v>630</v>
      </c>
      <c r="AB2" s="85">
        <v>750</v>
      </c>
      <c r="AC2" s="85">
        <v>1000</v>
      </c>
      <c r="AK2" s="80">
        <v>1</v>
      </c>
    </row>
    <row r="3" spans="1:38" ht="20.100000000000001" customHeight="1">
      <c r="A3" s="80" t="s">
        <v>2361</v>
      </c>
      <c r="C3" s="1371" t="s">
        <v>2347</v>
      </c>
      <c r="D3" s="1371" t="s">
        <v>2356</v>
      </c>
      <c r="E3" s="1371" t="s">
        <v>2359</v>
      </c>
      <c r="F3" s="1371" t="s">
        <v>3846</v>
      </c>
      <c r="G3" s="1450" t="s">
        <v>2141</v>
      </c>
      <c r="H3" s="1451"/>
      <c r="I3" s="1452"/>
      <c r="J3" s="1372" t="s">
        <v>2348</v>
      </c>
      <c r="K3" s="1372"/>
      <c r="L3" s="1372"/>
      <c r="O3" s="373" t="s">
        <v>2347</v>
      </c>
      <c r="Q3" s="85">
        <v>4</v>
      </c>
      <c r="R3" s="85">
        <v>5</v>
      </c>
      <c r="S3" s="85">
        <v>6</v>
      </c>
      <c r="T3" s="85">
        <v>7</v>
      </c>
      <c r="U3" s="85">
        <v>8</v>
      </c>
      <c r="V3" s="85">
        <v>9</v>
      </c>
      <c r="W3" s="85">
        <v>10</v>
      </c>
      <c r="X3" s="85">
        <v>11</v>
      </c>
      <c r="Y3" s="85">
        <v>12</v>
      </c>
      <c r="Z3" s="85">
        <v>13</v>
      </c>
      <c r="AA3" s="85">
        <v>14</v>
      </c>
      <c r="AB3" s="85">
        <v>15</v>
      </c>
      <c r="AC3" s="85">
        <v>16</v>
      </c>
      <c r="AD3" s="374">
        <v>17</v>
      </c>
      <c r="AK3" s="80">
        <v>2</v>
      </c>
    </row>
    <row r="4" spans="1:38" ht="20.100000000000001" customHeight="1">
      <c r="A4" s="80" t="s">
        <v>398</v>
      </c>
      <c r="C4" s="1449"/>
      <c r="D4" s="1449"/>
      <c r="E4" s="1449"/>
      <c r="F4" s="1449"/>
      <c r="G4" s="581" t="s">
        <v>3</v>
      </c>
      <c r="H4" s="581" t="s">
        <v>4</v>
      </c>
      <c r="I4" s="581" t="s">
        <v>5</v>
      </c>
      <c r="J4" s="581" t="s">
        <v>3</v>
      </c>
      <c r="K4" s="581" t="s">
        <v>4</v>
      </c>
      <c r="L4" s="581" t="s">
        <v>5</v>
      </c>
      <c r="AK4" s="80">
        <v>3</v>
      </c>
    </row>
    <row r="5" spans="1:38" ht="20.100000000000001" customHeight="1">
      <c r="A5" s="80" t="s">
        <v>2631</v>
      </c>
      <c r="C5" s="42"/>
      <c r="D5" s="41"/>
      <c r="E5" s="42"/>
      <c r="F5" s="42"/>
      <c r="G5" s="41"/>
      <c r="H5" s="41"/>
      <c r="I5" s="41"/>
      <c r="J5" s="41"/>
      <c r="K5" s="41"/>
      <c r="L5" s="41"/>
      <c r="AK5" s="80">
        <v>4</v>
      </c>
    </row>
    <row r="6" spans="1:38" ht="20.100000000000001" customHeight="1">
      <c r="A6" s="80" t="s">
        <v>2632</v>
      </c>
      <c r="C6" s="372">
        <f ca="1">COUNTIF($F$6:F6,"&gt;0")</f>
        <v>0</v>
      </c>
      <c r="D6" s="43">
        <f>IF(B6="",0,VLOOKUP(B6,BKDD,4,0))</f>
        <v>0</v>
      </c>
      <c r="E6" s="372">
        <f>IF(B6="",0,VLOOKUP(B6,BKDD,5,0))</f>
        <v>0</v>
      </c>
      <c r="F6" s="372">
        <f ca="1">SUMIF(maBK,B6,tongBK1)</f>
        <v>0</v>
      </c>
      <c r="G6" s="582">
        <f>IF(B6="",0,VLOOKUP(B6,BKDD,10,0))</f>
        <v>0</v>
      </c>
      <c r="H6" s="582">
        <f>IF(B6="",0,VLOOKUP(B6,BKDD,11,0))</f>
        <v>0</v>
      </c>
      <c r="I6" s="582">
        <f>IF(B6="",0,VLOOKUP(B6,BKDD,12,0))</f>
        <v>0</v>
      </c>
      <c r="J6" s="582">
        <f ca="1">G6*$F6</f>
        <v>0</v>
      </c>
      <c r="K6" s="582">
        <f ca="1">H6*$F6</f>
        <v>0</v>
      </c>
      <c r="L6" s="582">
        <f ca="1">I6*$F6</f>
        <v>0</v>
      </c>
      <c r="M6" s="373">
        <f ca="1">IF(SUM(J6:L6)&gt;0,1,0)</f>
        <v>0</v>
      </c>
      <c r="AK6" s="80">
        <v>5</v>
      </c>
    </row>
    <row r="7" spans="1:38" ht="20.100000000000001" customHeight="1">
      <c r="A7" s="80" t="s">
        <v>2633</v>
      </c>
      <c r="D7" s="47"/>
      <c r="Q7" s="373" t="str">
        <f>Q12&amp;"x"&amp;Q9&amp;"kVA: 0"&amp;Q11&amp;" trạm "</f>
        <v xml:space="preserve">x25kVA: 0 trạm </v>
      </c>
      <c r="R7" s="373" t="str">
        <f t="shared" ref="R7:AC7" si="1">R12&amp;"x"&amp;R9&amp;"kVA: 0"&amp;R11&amp;" trạm "</f>
        <v xml:space="preserve">x37,5kVA: 0 trạm </v>
      </c>
      <c r="S7" s="373" t="str">
        <f t="shared" si="1"/>
        <v xml:space="preserve">1x50kVA: 01 trạm </v>
      </c>
      <c r="T7" s="373" t="str">
        <f t="shared" si="1"/>
        <v xml:space="preserve">x75kVA: 0 trạm </v>
      </c>
      <c r="U7" s="373" t="str">
        <f t="shared" si="1"/>
        <v xml:space="preserve">x100kVA: 0 trạm </v>
      </c>
      <c r="V7" s="373" t="str">
        <f t="shared" si="1"/>
        <v xml:space="preserve">x160kVA: 0 trạm </v>
      </c>
      <c r="W7" s="373" t="str">
        <f t="shared" si="1"/>
        <v xml:space="preserve">x250kVA: 0 trạm </v>
      </c>
      <c r="X7" s="373" t="str">
        <f t="shared" si="1"/>
        <v xml:space="preserve">x320kVA: 0 trạm </v>
      </c>
      <c r="Y7" s="373" t="str">
        <f t="shared" si="1"/>
        <v xml:space="preserve">x400kVA: 0 trạm </v>
      </c>
      <c r="Z7" s="373" t="str">
        <f t="shared" si="1"/>
        <v xml:space="preserve">x560kVA: 0 trạm </v>
      </c>
      <c r="AA7" s="373" t="str">
        <f t="shared" si="1"/>
        <v xml:space="preserve">x630kVA: 0 trạm </v>
      </c>
      <c r="AB7" s="373" t="str">
        <f t="shared" si="1"/>
        <v xml:space="preserve">x750kVA: 0 trạm </v>
      </c>
      <c r="AC7" s="373" t="str">
        <f t="shared" si="1"/>
        <v xml:space="preserve">x1000kVA: 0 trạm </v>
      </c>
      <c r="AK7" s="82">
        <v>6</v>
      </c>
    </row>
    <row r="8" spans="1:38" ht="20.100000000000001" customHeight="1">
      <c r="A8" s="80" t="s">
        <v>2634</v>
      </c>
      <c r="C8" s="71"/>
      <c r="D8" s="378"/>
      <c r="E8" s="378"/>
      <c r="F8" s="378"/>
      <c r="G8" s="378"/>
      <c r="H8" s="378"/>
      <c r="I8" s="378"/>
      <c r="N8" s="380" t="s">
        <v>2529</v>
      </c>
      <c r="AG8" s="78" t="s">
        <v>2136</v>
      </c>
    </row>
    <row r="9" spans="1:38" ht="20.100000000000001" customHeight="1">
      <c r="A9" s="80" t="s">
        <v>2635</v>
      </c>
      <c r="C9" s="71" t="str">
        <f>SETTING!$O$9</f>
        <v>BẢNG 3: DỰ TOÁN CHI PHÍ XÂY DỰNG CÔNG TRÌNH</v>
      </c>
      <c r="D9" s="378"/>
      <c r="E9" s="378"/>
      <c r="F9" s="378"/>
      <c r="G9" s="378"/>
      <c r="H9" s="378"/>
      <c r="I9" s="378"/>
      <c r="N9" s="78" t="s">
        <v>2497</v>
      </c>
      <c r="O9" s="78"/>
      <c r="P9" s="79"/>
      <c r="Q9" s="79">
        <v>25</v>
      </c>
      <c r="R9" s="79">
        <v>37.5</v>
      </c>
      <c r="S9" s="79">
        <v>50</v>
      </c>
      <c r="T9" s="79">
        <v>75</v>
      </c>
      <c r="U9" s="79">
        <v>100</v>
      </c>
      <c r="V9" s="79">
        <v>160</v>
      </c>
      <c r="W9" s="79">
        <v>250</v>
      </c>
      <c r="X9" s="79">
        <v>320</v>
      </c>
      <c r="Y9" s="79">
        <v>400</v>
      </c>
      <c r="Z9" s="79">
        <v>560</v>
      </c>
      <c r="AA9" s="79">
        <v>630</v>
      </c>
      <c r="AB9" s="79">
        <v>750</v>
      </c>
      <c r="AC9" s="79">
        <v>1000</v>
      </c>
      <c r="AG9" s="80">
        <v>25</v>
      </c>
    </row>
    <row r="10" spans="1:38" ht="20.100000000000001" customHeight="1">
      <c r="A10" s="80" t="s">
        <v>2636</v>
      </c>
      <c r="N10" s="41" t="s">
        <v>2530</v>
      </c>
      <c r="O10" s="41"/>
      <c r="P10" s="42"/>
      <c r="Q10" s="86">
        <v>3</v>
      </c>
      <c r="R10" s="86">
        <v>3</v>
      </c>
      <c r="S10" s="86">
        <v>6</v>
      </c>
      <c r="T10" s="86">
        <v>8</v>
      </c>
      <c r="U10" s="86">
        <v>10</v>
      </c>
      <c r="V10" s="86">
        <v>6</v>
      </c>
      <c r="W10" s="86">
        <v>8</v>
      </c>
      <c r="X10" s="86">
        <v>10</v>
      </c>
      <c r="Y10" s="86">
        <v>12</v>
      </c>
      <c r="Z10" s="86">
        <v>20</v>
      </c>
      <c r="AA10" s="86">
        <v>25</v>
      </c>
      <c r="AB10" s="86">
        <v>25</v>
      </c>
      <c r="AC10" s="86">
        <v>40</v>
      </c>
      <c r="AG10" s="80">
        <v>37.5</v>
      </c>
    </row>
    <row r="11" spans="1:38" ht="47.25">
      <c r="A11" s="82" t="s">
        <v>2637</v>
      </c>
      <c r="C11" s="334" t="s">
        <v>2347</v>
      </c>
      <c r="D11" s="335" t="s">
        <v>2360</v>
      </c>
      <c r="E11" s="335" t="s">
        <v>2398</v>
      </c>
      <c r="F11" s="335" t="s">
        <v>3847</v>
      </c>
      <c r="G11" s="335" t="s">
        <v>3848</v>
      </c>
      <c r="H11" s="335" t="s">
        <v>3849</v>
      </c>
      <c r="I11" s="335" t="s">
        <v>3850</v>
      </c>
      <c r="J11" s="335" t="s">
        <v>4832</v>
      </c>
      <c r="K11" s="335" t="s">
        <v>3850</v>
      </c>
      <c r="N11" s="80" t="s">
        <v>2498</v>
      </c>
      <c r="O11" s="80" t="s">
        <v>2527</v>
      </c>
      <c r="P11" s="372"/>
      <c r="Q11" s="370"/>
      <c r="R11" s="370"/>
      <c r="S11" s="370">
        <v>1</v>
      </c>
      <c r="T11" s="370"/>
      <c r="U11" s="370"/>
      <c r="V11" s="370"/>
      <c r="W11" s="370"/>
      <c r="X11" s="370"/>
      <c r="Y11" s="370"/>
      <c r="Z11" s="370"/>
      <c r="AA11" s="370"/>
      <c r="AB11" s="370"/>
      <c r="AC11" s="370"/>
      <c r="AD11" s="374" t="s">
        <v>2537</v>
      </c>
      <c r="AG11" s="80">
        <v>50</v>
      </c>
    </row>
    <row r="12" spans="1:38" ht="20.100000000000001" customHeight="1">
      <c r="C12" s="336" t="s">
        <v>2361</v>
      </c>
      <c r="D12" s="52" t="s">
        <v>2362</v>
      </c>
      <c r="E12" s="48" t="s">
        <v>2363</v>
      </c>
      <c r="F12" s="583" t="s">
        <v>3851</v>
      </c>
      <c r="G12" s="583">
        <f>G13+G17+G20</f>
        <v>0</v>
      </c>
      <c r="H12" s="583" t="s">
        <v>3851</v>
      </c>
      <c r="I12" s="583">
        <f>I13+I17+I20</f>
        <v>0</v>
      </c>
      <c r="J12" s="583" t="s">
        <v>3851</v>
      </c>
      <c r="K12" s="583">
        <f>K13+K17+K20</f>
        <v>0</v>
      </c>
      <c r="N12" s="80" t="s">
        <v>2499</v>
      </c>
      <c r="O12" s="80" t="s">
        <v>2527</v>
      </c>
      <c r="P12" s="372"/>
      <c r="Q12" s="370"/>
      <c r="R12" s="370"/>
      <c r="S12" s="370">
        <v>1</v>
      </c>
      <c r="T12" s="370"/>
      <c r="U12" s="370"/>
      <c r="V12" s="370"/>
      <c r="W12" s="370"/>
      <c r="X12" s="370"/>
      <c r="Y12" s="370"/>
      <c r="Z12" s="370"/>
      <c r="AA12" s="370"/>
      <c r="AB12" s="370"/>
      <c r="AC12" s="370"/>
      <c r="AG12" s="80">
        <v>75</v>
      </c>
    </row>
    <row r="13" spans="1:38" ht="20.100000000000001" customHeight="1">
      <c r="C13" s="337">
        <v>1</v>
      </c>
      <c r="D13" s="53" t="s">
        <v>2364</v>
      </c>
      <c r="E13" s="49" t="s">
        <v>2357</v>
      </c>
      <c r="F13" s="584" t="s">
        <v>3852</v>
      </c>
      <c r="G13" s="584">
        <f>SUM(G14:G16)</f>
        <v>0</v>
      </c>
      <c r="H13" s="584" t="s">
        <v>3853</v>
      </c>
      <c r="I13" s="584">
        <f>SUM(I14:I16)</f>
        <v>0</v>
      </c>
      <c r="J13" s="584" t="s">
        <v>3853</v>
      </c>
      <c r="K13" s="584">
        <f>SUM(K14:K16)</f>
        <v>0</v>
      </c>
      <c r="N13" s="80" t="s">
        <v>2533</v>
      </c>
      <c r="O13" s="80"/>
      <c r="P13" s="372"/>
      <c r="Q13" s="372">
        <f>IF(Q12=3,70,50)</f>
        <v>50</v>
      </c>
      <c r="R13" s="372">
        <f>IF(R12=3,95,70)</f>
        <v>70</v>
      </c>
      <c r="S13" s="372">
        <f>IF(S12=3,95,70)</f>
        <v>70</v>
      </c>
      <c r="T13" s="372">
        <f>IF(T12=3,120,95)</f>
        <v>95</v>
      </c>
      <c r="U13" s="372">
        <f>IF(U12=3,150,120)</f>
        <v>120</v>
      </c>
      <c r="V13" s="372">
        <v>120</v>
      </c>
      <c r="W13" s="372">
        <v>150</v>
      </c>
      <c r="X13" s="372">
        <v>240</v>
      </c>
      <c r="Y13" s="372">
        <v>240</v>
      </c>
      <c r="Z13" s="372">
        <v>240</v>
      </c>
      <c r="AA13" s="372">
        <v>240</v>
      </c>
      <c r="AB13" s="372">
        <v>240</v>
      </c>
      <c r="AC13" s="372">
        <v>240</v>
      </c>
      <c r="AG13" s="80">
        <v>100</v>
      </c>
    </row>
    <row r="14" spans="1:38" ht="20.100000000000001" customHeight="1">
      <c r="C14" s="392" t="s">
        <v>2406</v>
      </c>
      <c r="D14" s="54" t="s">
        <v>2365</v>
      </c>
      <c r="E14" s="375" t="s">
        <v>2366</v>
      </c>
      <c r="F14" s="50" t="s">
        <v>3</v>
      </c>
      <c r="G14" s="50"/>
      <c r="H14" s="50" t="s">
        <v>3</v>
      </c>
      <c r="I14" s="50"/>
      <c r="J14" s="50" t="s">
        <v>3</v>
      </c>
      <c r="K14" s="50"/>
      <c r="N14" s="80" t="s">
        <v>2501</v>
      </c>
      <c r="O14" s="80"/>
      <c r="P14" s="372"/>
      <c r="Q14" s="372">
        <v>1</v>
      </c>
      <c r="R14" s="372">
        <v>1</v>
      </c>
      <c r="S14" s="372">
        <v>1</v>
      </c>
      <c r="T14" s="372">
        <v>1</v>
      </c>
      <c r="U14" s="372">
        <v>1</v>
      </c>
      <c r="V14" s="372">
        <v>1</v>
      </c>
      <c r="W14" s="372">
        <v>1</v>
      </c>
      <c r="X14" s="372">
        <v>1</v>
      </c>
      <c r="Y14" s="372">
        <v>1</v>
      </c>
      <c r="Z14" s="372">
        <v>2</v>
      </c>
      <c r="AA14" s="372">
        <v>2</v>
      </c>
      <c r="AB14" s="372">
        <v>4</v>
      </c>
      <c r="AC14" s="372">
        <v>4</v>
      </c>
      <c r="AG14" s="80">
        <v>160</v>
      </c>
    </row>
    <row r="15" spans="1:38" ht="20.100000000000001" customHeight="1">
      <c r="C15" s="392" t="s">
        <v>2675</v>
      </c>
      <c r="D15" s="54" t="s">
        <v>2367</v>
      </c>
      <c r="E15" s="375" t="s">
        <v>2387</v>
      </c>
      <c r="F15" s="50" t="s">
        <v>3854</v>
      </c>
      <c r="G15" s="50"/>
      <c r="H15" s="50" t="s">
        <v>3854</v>
      </c>
      <c r="I15" s="50"/>
      <c r="J15" s="50" t="s">
        <v>3854</v>
      </c>
      <c r="K15" s="50"/>
      <c r="N15" s="80" t="s">
        <v>2534</v>
      </c>
      <c r="O15" s="80"/>
      <c r="P15" s="372"/>
      <c r="Q15" s="372">
        <f>IF(Q9=3,70,50)</f>
        <v>50</v>
      </c>
      <c r="R15" s="372">
        <f>IF(R9=3,70,50)</f>
        <v>50</v>
      </c>
      <c r="S15" s="372">
        <f>IF(S9=3,70,50)</f>
        <v>50</v>
      </c>
      <c r="T15" s="372">
        <f>IF(T9=3,95,70)</f>
        <v>70</v>
      </c>
      <c r="U15" s="372">
        <f>IF(U9=3,120,95)</f>
        <v>95</v>
      </c>
      <c r="V15" s="372">
        <v>95</v>
      </c>
      <c r="W15" s="372">
        <v>120</v>
      </c>
      <c r="X15" s="372">
        <v>200</v>
      </c>
      <c r="Y15" s="372">
        <v>200</v>
      </c>
      <c r="Z15" s="372">
        <v>240</v>
      </c>
      <c r="AA15" s="372">
        <v>240</v>
      </c>
      <c r="AB15" s="372">
        <v>240</v>
      </c>
      <c r="AC15" s="372">
        <v>240</v>
      </c>
      <c r="AG15" s="80">
        <v>250</v>
      </c>
    </row>
    <row r="16" spans="1:38" ht="31.5">
      <c r="C16" s="392" t="s">
        <v>2676</v>
      </c>
      <c r="D16" s="54" t="s">
        <v>2400</v>
      </c>
      <c r="E16" s="375" t="s">
        <v>2368</v>
      </c>
      <c r="F16" s="50" t="s">
        <v>2369</v>
      </c>
      <c r="G16" s="50"/>
      <c r="H16" s="50" t="s">
        <v>2369</v>
      </c>
      <c r="I16" s="50"/>
      <c r="J16" s="50" t="s">
        <v>2369</v>
      </c>
      <c r="K16" s="50"/>
      <c r="N16" s="80" t="s">
        <v>2501</v>
      </c>
      <c r="O16" s="80"/>
      <c r="P16" s="372"/>
      <c r="Q16" s="372">
        <v>1</v>
      </c>
      <c r="R16" s="372">
        <v>1</v>
      </c>
      <c r="S16" s="372">
        <v>1</v>
      </c>
      <c r="T16" s="372">
        <v>1</v>
      </c>
      <c r="U16" s="372">
        <v>1</v>
      </c>
      <c r="V16" s="372">
        <v>1</v>
      </c>
      <c r="W16" s="372">
        <v>1</v>
      </c>
      <c r="X16" s="372">
        <v>1</v>
      </c>
      <c r="Y16" s="372">
        <v>1</v>
      </c>
      <c r="Z16" s="372">
        <v>1</v>
      </c>
      <c r="AA16" s="372">
        <v>1</v>
      </c>
      <c r="AB16" s="372">
        <v>2</v>
      </c>
      <c r="AC16" s="372">
        <v>2</v>
      </c>
      <c r="AG16" s="80">
        <v>320</v>
      </c>
    </row>
    <row r="17" spans="3:33" ht="20.100000000000001" customHeight="1">
      <c r="C17" s="337">
        <v>2</v>
      </c>
      <c r="D17" s="53" t="s">
        <v>2370</v>
      </c>
      <c r="E17" s="49" t="s">
        <v>2371</v>
      </c>
      <c r="F17" s="584" t="s">
        <v>3855</v>
      </c>
      <c r="G17" s="584">
        <f>SUM(G18:G19)</f>
        <v>0</v>
      </c>
      <c r="H17" s="584" t="s">
        <v>3855</v>
      </c>
      <c r="I17" s="584">
        <f>SUM(I18:I19)</f>
        <v>0</v>
      </c>
      <c r="J17" s="584" t="s">
        <v>3855</v>
      </c>
      <c r="K17" s="584">
        <f>SUM(K18:K19)</f>
        <v>0</v>
      </c>
      <c r="N17" s="80" t="s">
        <v>2500</v>
      </c>
      <c r="O17" s="80"/>
      <c r="P17" s="372"/>
      <c r="Q17" s="372"/>
      <c r="R17" s="372">
        <f>IF(R12=3,40,0)</f>
        <v>0</v>
      </c>
      <c r="S17" s="372">
        <f>IF(S12=3,60,0)</f>
        <v>0</v>
      </c>
      <c r="T17" s="372">
        <f>IF(T12=3,80,0)</f>
        <v>0</v>
      </c>
      <c r="U17" s="372">
        <f>IF(U12=3,130,0)</f>
        <v>0</v>
      </c>
      <c r="V17" s="372">
        <f>IF(V12&gt;0,60,0)</f>
        <v>0</v>
      </c>
      <c r="W17" s="372">
        <f>IF(W12&gt;0,100,0)</f>
        <v>0</v>
      </c>
      <c r="X17" s="372">
        <f>IF(X12&gt;0,130,0)</f>
        <v>0</v>
      </c>
      <c r="Y17" s="372">
        <f>IF(Y12&gt;0,160,0)</f>
        <v>0</v>
      </c>
      <c r="Z17" s="372">
        <f>IF(Z12&gt;0,220,0)</f>
        <v>0</v>
      </c>
      <c r="AA17" s="372">
        <f>IF(AA12&gt;0,250,0)</f>
        <v>0</v>
      </c>
      <c r="AB17" s="372">
        <f>IF(AB12&gt;0,300,0)</f>
        <v>0</v>
      </c>
      <c r="AC17" s="372">
        <f>IF(AC12&gt;0,380,0)</f>
        <v>0</v>
      </c>
      <c r="AG17" s="80">
        <v>400</v>
      </c>
    </row>
    <row r="18" spans="3:33" ht="20.100000000000001" customHeight="1">
      <c r="C18" s="392" t="s">
        <v>2406</v>
      </c>
      <c r="D18" s="54" t="s">
        <v>2389</v>
      </c>
      <c r="E18" s="375" t="s">
        <v>2372</v>
      </c>
      <c r="F18" s="50" t="str">
        <f>"NC x "&amp;HSNCDD</f>
        <v>NC x 1</v>
      </c>
      <c r="G18" s="50"/>
      <c r="H18" s="50" t="str">
        <f>"NC x "&amp;HSNCTBA</f>
        <v>NC x 1</v>
      </c>
      <c r="I18" s="50"/>
      <c r="J18" s="50" t="str">
        <f>"NC x "&amp;HSNCTBA</f>
        <v>NC x 1</v>
      </c>
      <c r="K18" s="50"/>
      <c r="N18" s="80" t="s">
        <v>2502</v>
      </c>
      <c r="O18" s="80"/>
      <c r="P18" s="372"/>
      <c r="Q18" s="372">
        <f>IF(Q12=1,75,125)</f>
        <v>125</v>
      </c>
      <c r="R18" s="372">
        <f>IF(R12=1,100,200)</f>
        <v>200</v>
      </c>
      <c r="S18" s="372">
        <f>IF(S12=1,125,250)</f>
        <v>125</v>
      </c>
      <c r="T18" s="372">
        <f>IF(T12=1,200,400)</f>
        <v>400</v>
      </c>
      <c r="U18" s="372">
        <f>IF(U12=1,250,500)</f>
        <v>500</v>
      </c>
      <c r="V18" s="372">
        <v>250</v>
      </c>
      <c r="W18" s="372">
        <v>400</v>
      </c>
      <c r="X18" s="372">
        <v>500</v>
      </c>
      <c r="Y18" s="372">
        <v>630</v>
      </c>
      <c r="Z18" s="372">
        <v>1000</v>
      </c>
      <c r="AA18" s="372">
        <v>1000</v>
      </c>
      <c r="AB18" s="372">
        <v>1250</v>
      </c>
      <c r="AC18" s="372">
        <v>1600</v>
      </c>
      <c r="AG18" s="80">
        <v>560</v>
      </c>
    </row>
    <row r="19" spans="3:33" ht="20.100000000000001" customHeight="1">
      <c r="C19" s="392" t="s">
        <v>2675</v>
      </c>
      <c r="D19" s="54" t="s">
        <v>2390</v>
      </c>
      <c r="E19" s="375" t="s">
        <v>2373</v>
      </c>
      <c r="F19" s="50" t="str">
        <f>"NC x "&amp;HSNCDD</f>
        <v>NC x 1</v>
      </c>
      <c r="G19" s="50"/>
      <c r="H19" s="50" t="str">
        <f>"NC x "&amp;HSNCTBA</f>
        <v>NC x 1</v>
      </c>
      <c r="I19" s="50"/>
      <c r="J19" s="50" t="str">
        <f>"NC x "&amp;HSNCTBA</f>
        <v>NC x 1</v>
      </c>
      <c r="K19" s="50"/>
      <c r="N19" s="80" t="s">
        <v>2221</v>
      </c>
      <c r="O19" s="80" t="s">
        <v>2455</v>
      </c>
      <c r="P19" s="372" t="s">
        <v>400</v>
      </c>
      <c r="Q19" s="372"/>
      <c r="R19" s="372"/>
      <c r="S19" s="372"/>
      <c r="T19" s="372"/>
      <c r="U19" s="372"/>
      <c r="V19" s="372"/>
      <c r="W19" s="372"/>
      <c r="X19" s="372"/>
      <c r="Y19" s="372"/>
      <c r="Z19" s="372"/>
      <c r="AA19" s="372"/>
      <c r="AB19" s="372"/>
      <c r="AC19" s="372"/>
      <c r="AD19" s="374">
        <v>0</v>
      </c>
      <c r="AG19" s="80">
        <v>630</v>
      </c>
    </row>
    <row r="20" spans="3:33" ht="20.100000000000001" customHeight="1">
      <c r="C20" s="337">
        <v>3</v>
      </c>
      <c r="D20" s="53" t="s">
        <v>2374</v>
      </c>
      <c r="E20" s="49" t="s">
        <v>2375</v>
      </c>
      <c r="F20" s="584" t="s">
        <v>3856</v>
      </c>
      <c r="G20" s="584">
        <f>SUM(G21:G22)</f>
        <v>0</v>
      </c>
      <c r="H20" s="584" t="s">
        <v>3856</v>
      </c>
      <c r="I20" s="584">
        <f>SUM(I21:I22)</f>
        <v>0</v>
      </c>
      <c r="J20" s="584" t="s">
        <v>3856</v>
      </c>
      <c r="K20" s="584">
        <f>SUM(K21:K22)</f>
        <v>0</v>
      </c>
      <c r="N20" s="80" t="s">
        <v>2522</v>
      </c>
      <c r="O20" s="80" t="s">
        <v>2523</v>
      </c>
      <c r="P20" s="372" t="s">
        <v>3857</v>
      </c>
      <c r="Q20" s="372">
        <f>IF(Q$12=3,1,0)</f>
        <v>0</v>
      </c>
      <c r="R20" s="372">
        <f>IF(R$12=3,1,0)</f>
        <v>0</v>
      </c>
      <c r="S20" s="372">
        <f>IF(S$12=3,1,0)</f>
        <v>0</v>
      </c>
      <c r="T20" s="372">
        <f>IF(T$12=3,1,0)</f>
        <v>0</v>
      </c>
      <c r="U20" s="372">
        <f>IF(U$12=3,1,0)</f>
        <v>0</v>
      </c>
      <c r="V20" s="372"/>
      <c r="W20" s="372"/>
      <c r="X20" s="372"/>
      <c r="Y20" s="372"/>
      <c r="Z20" s="372"/>
      <c r="AA20" s="372"/>
      <c r="AB20" s="372"/>
      <c r="AC20" s="372"/>
      <c r="AD20" s="374">
        <v>0</v>
      </c>
      <c r="AG20" s="80">
        <v>750</v>
      </c>
    </row>
    <row r="21" spans="3:33" ht="20.100000000000001" customHeight="1">
      <c r="C21" s="392"/>
      <c r="D21" s="54" t="s">
        <v>2391</v>
      </c>
      <c r="E21" s="375" t="s">
        <v>2376</v>
      </c>
      <c r="F21" s="50" t="str">
        <f>"MTC x "&amp;HSMTCDD</f>
        <v>MTC x 1</v>
      </c>
      <c r="G21" s="50"/>
      <c r="H21" s="50" t="str">
        <f>"MTC x "&amp;HSMTCTBA</f>
        <v>MTC x 1</v>
      </c>
      <c r="I21" s="50"/>
      <c r="J21" s="50" t="str">
        <f>"MTC x "&amp;HSMTCTBA</f>
        <v>MTC x 1</v>
      </c>
      <c r="K21" s="50"/>
      <c r="N21" s="80" t="s">
        <v>2524</v>
      </c>
      <c r="O21" s="80" t="s">
        <v>2525</v>
      </c>
      <c r="P21" s="372" t="s">
        <v>37</v>
      </c>
      <c r="Q21" s="81">
        <f>IF(AND(Q$12&lt;3,Q$12&lt;&gt;""),1,0)</f>
        <v>0</v>
      </c>
      <c r="R21" s="81">
        <f t="shared" ref="R21:U24" si="2">IF(AND(R$12&lt;3,R$12&lt;&gt;""),1,0)</f>
        <v>0</v>
      </c>
      <c r="S21" s="81">
        <f t="shared" si="2"/>
        <v>1</v>
      </c>
      <c r="T21" s="81">
        <f t="shared" si="2"/>
        <v>0</v>
      </c>
      <c r="U21" s="81">
        <f t="shared" si="2"/>
        <v>0</v>
      </c>
      <c r="V21" s="81"/>
      <c r="W21" s="81"/>
      <c r="X21" s="81"/>
      <c r="Y21" s="81"/>
      <c r="Z21" s="81"/>
      <c r="AA21" s="81"/>
      <c r="AB21" s="81"/>
      <c r="AC21" s="81"/>
      <c r="AD21" s="374">
        <v>0</v>
      </c>
      <c r="AG21" s="82">
        <v>1000</v>
      </c>
    </row>
    <row r="22" spans="3:33" ht="20.100000000000001" customHeight="1">
      <c r="C22" s="392"/>
      <c r="D22" s="54" t="s">
        <v>2392</v>
      </c>
      <c r="E22" s="375" t="s">
        <v>3231</v>
      </c>
      <c r="F22" s="50" t="str">
        <f>"MTC x "&amp;HSMTCDD</f>
        <v>MTC x 1</v>
      </c>
      <c r="G22" s="50"/>
      <c r="H22" s="50" t="str">
        <f>"MTC x "&amp;HSMTCTBA</f>
        <v>MTC x 1</v>
      </c>
      <c r="I22" s="50"/>
      <c r="J22" s="50" t="str">
        <f>"MTC x "&amp;HSMTCTBA</f>
        <v>MTC x 1</v>
      </c>
      <c r="K22" s="50"/>
      <c r="N22" s="80" t="s">
        <v>2168</v>
      </c>
      <c r="O22" s="80" t="s">
        <v>2169</v>
      </c>
      <c r="P22" s="372" t="s">
        <v>37</v>
      </c>
      <c r="Q22" s="372"/>
      <c r="R22" s="372"/>
      <c r="S22" s="372"/>
      <c r="T22" s="372"/>
      <c r="U22" s="372"/>
      <c r="V22" s="372"/>
      <c r="W22" s="372"/>
      <c r="X22" s="372"/>
      <c r="Y22" s="372"/>
      <c r="Z22" s="372"/>
      <c r="AA22" s="372"/>
      <c r="AB22" s="372"/>
      <c r="AC22" s="372"/>
      <c r="AD22" s="374">
        <v>0</v>
      </c>
    </row>
    <row r="23" spans="3:33" ht="20.100000000000001" customHeight="1">
      <c r="C23" s="338" t="s">
        <v>2379</v>
      </c>
      <c r="D23" s="55" t="s">
        <v>2393</v>
      </c>
      <c r="E23" s="51" t="s">
        <v>2375</v>
      </c>
      <c r="F23" s="585" t="s">
        <v>3858</v>
      </c>
      <c r="G23" s="585">
        <f>65%*G17</f>
        <v>0</v>
      </c>
      <c r="H23" s="585" t="s">
        <v>3859</v>
      </c>
      <c r="I23" s="585">
        <f>5.5%*I12</f>
        <v>0</v>
      </c>
      <c r="J23" s="585" t="s">
        <v>4902</v>
      </c>
      <c r="K23" s="585">
        <f>5%*K12</f>
        <v>0</v>
      </c>
      <c r="N23" s="80" t="s">
        <v>2479</v>
      </c>
      <c r="O23" s="80" t="s">
        <v>2494</v>
      </c>
      <c r="P23" s="372" t="s">
        <v>37</v>
      </c>
      <c r="Q23" s="81">
        <f>IF(AND(Q$12&lt;3,Q$12&lt;&gt;""),1,0)</f>
        <v>0</v>
      </c>
      <c r="R23" s="81">
        <f t="shared" si="2"/>
        <v>0</v>
      </c>
      <c r="S23" s="81">
        <f t="shared" si="2"/>
        <v>1</v>
      </c>
      <c r="T23" s="81">
        <f t="shared" si="2"/>
        <v>0</v>
      </c>
      <c r="U23" s="81">
        <f t="shared" si="2"/>
        <v>0</v>
      </c>
      <c r="V23" s="81"/>
      <c r="W23" s="81"/>
      <c r="X23" s="81"/>
      <c r="Y23" s="81"/>
      <c r="Z23" s="81"/>
      <c r="AA23" s="81"/>
      <c r="AB23" s="81"/>
      <c r="AC23" s="81"/>
      <c r="AD23" s="374">
        <v>0</v>
      </c>
    </row>
    <row r="24" spans="3:33" ht="20.100000000000001" customHeight="1">
      <c r="C24" s="338"/>
      <c r="D24" s="55" t="s">
        <v>2394</v>
      </c>
      <c r="E24" s="51" t="s">
        <v>2388</v>
      </c>
      <c r="F24" s="585" t="s">
        <v>3860</v>
      </c>
      <c r="G24" s="585">
        <f>G23+G12</f>
        <v>0</v>
      </c>
      <c r="H24" s="585" t="s">
        <v>3860</v>
      </c>
      <c r="I24" s="585">
        <f>I23+I12</f>
        <v>0</v>
      </c>
      <c r="J24" s="585" t="s">
        <v>3860</v>
      </c>
      <c r="K24" s="585">
        <f>K23+K12</f>
        <v>0</v>
      </c>
      <c r="N24" s="80" t="s">
        <v>2480</v>
      </c>
      <c r="O24" s="80" t="s">
        <v>2492</v>
      </c>
      <c r="P24" s="372" t="s">
        <v>37</v>
      </c>
      <c r="Q24" s="81">
        <f>IF(AND(Q$12&lt;3,Q$12&lt;&gt;""),1,0)</f>
        <v>0</v>
      </c>
      <c r="R24" s="81">
        <f t="shared" si="2"/>
        <v>0</v>
      </c>
      <c r="S24" s="81">
        <f t="shared" si="2"/>
        <v>1</v>
      </c>
      <c r="T24" s="81">
        <f t="shared" si="2"/>
        <v>0</v>
      </c>
      <c r="U24" s="81">
        <f t="shared" si="2"/>
        <v>0</v>
      </c>
      <c r="V24" s="81"/>
      <c r="W24" s="81"/>
      <c r="X24" s="81"/>
      <c r="Y24" s="81"/>
      <c r="Z24" s="81"/>
      <c r="AA24" s="81"/>
      <c r="AB24" s="81"/>
      <c r="AC24" s="81"/>
      <c r="AD24" s="374">
        <v>0</v>
      </c>
    </row>
    <row r="25" spans="3:33" ht="20.100000000000001" customHeight="1">
      <c r="C25" s="338" t="s">
        <v>2380</v>
      </c>
      <c r="D25" s="55" t="s">
        <v>2395</v>
      </c>
      <c r="E25" s="51" t="s">
        <v>2381</v>
      </c>
      <c r="F25" s="585" t="s">
        <v>3861</v>
      </c>
      <c r="G25" s="585">
        <f>G24*6%</f>
        <v>0</v>
      </c>
      <c r="H25" s="585" t="s">
        <v>3862</v>
      </c>
      <c r="I25" s="585">
        <f>I24*6%</f>
        <v>0</v>
      </c>
      <c r="J25" s="585" t="s">
        <v>4903</v>
      </c>
      <c r="K25" s="585">
        <f>K24*5.5%</f>
        <v>0</v>
      </c>
      <c r="N25" s="80" t="s">
        <v>2488</v>
      </c>
      <c r="O25" s="80" t="s">
        <v>2493</v>
      </c>
      <c r="P25" s="372" t="s">
        <v>37</v>
      </c>
      <c r="Q25" s="372">
        <f>IF(Q$12=3,1,0)</f>
        <v>0</v>
      </c>
      <c r="R25" s="372">
        <f>IF(R$12=3,1,0)</f>
        <v>0</v>
      </c>
      <c r="S25" s="372">
        <f>IF(S$12=3,1,0)</f>
        <v>0</v>
      </c>
      <c r="T25" s="372">
        <f>IF(T$12=3,1,0)</f>
        <v>0</v>
      </c>
      <c r="U25" s="372">
        <f>IF(U$12=3,1,0)</f>
        <v>0</v>
      </c>
      <c r="V25" s="372">
        <f>IF(V11&gt;0,V11,0)</f>
        <v>0</v>
      </c>
      <c r="W25" s="372">
        <f t="shared" ref="W25:AC25" si="3">IF(W11&gt;0,W11,0)</f>
        <v>0</v>
      </c>
      <c r="X25" s="372">
        <f t="shared" si="3"/>
        <v>0</v>
      </c>
      <c r="Y25" s="372">
        <f t="shared" si="3"/>
        <v>0</v>
      </c>
      <c r="Z25" s="372">
        <f t="shared" si="3"/>
        <v>0</v>
      </c>
      <c r="AA25" s="372">
        <f t="shared" si="3"/>
        <v>0</v>
      </c>
      <c r="AB25" s="372">
        <f t="shared" si="3"/>
        <v>0</v>
      </c>
      <c r="AC25" s="372">
        <f t="shared" si="3"/>
        <v>0</v>
      </c>
      <c r="AD25" s="374">
        <v>0</v>
      </c>
    </row>
    <row r="26" spans="3:33" ht="20.100000000000001" customHeight="1">
      <c r="C26" s="338"/>
      <c r="D26" s="55" t="s">
        <v>2382</v>
      </c>
      <c r="E26" s="51" t="s">
        <v>2383</v>
      </c>
      <c r="F26" s="585" t="s">
        <v>3863</v>
      </c>
      <c r="G26" s="585">
        <f>G25+G24</f>
        <v>0</v>
      </c>
      <c r="H26" s="585" t="s">
        <v>3863</v>
      </c>
      <c r="I26" s="585">
        <f>I25+I24</f>
        <v>0</v>
      </c>
      <c r="J26" s="585" t="s">
        <v>3863</v>
      </c>
      <c r="K26" s="585">
        <f>K25+K24</f>
        <v>0</v>
      </c>
      <c r="N26" s="80" t="s">
        <v>2495</v>
      </c>
      <c r="O26" s="80" t="s">
        <v>2526</v>
      </c>
      <c r="P26" s="372" t="s">
        <v>37</v>
      </c>
      <c r="Q26" s="372"/>
      <c r="R26" s="372"/>
      <c r="S26" s="372"/>
      <c r="T26" s="372"/>
      <c r="U26" s="372"/>
      <c r="V26" s="372">
        <f>IF(V11&gt;0,V11,0)</f>
        <v>0</v>
      </c>
      <c r="W26" s="372">
        <f t="shared" ref="W26:AC26" si="4">IF(W11&gt;0,W11,0)</f>
        <v>0</v>
      </c>
      <c r="X26" s="372">
        <f t="shared" si="4"/>
        <v>0</v>
      </c>
      <c r="Y26" s="372">
        <f t="shared" si="4"/>
        <v>0</v>
      </c>
      <c r="Z26" s="372">
        <f t="shared" si="4"/>
        <v>0</v>
      </c>
      <c r="AA26" s="372">
        <f t="shared" si="4"/>
        <v>0</v>
      </c>
      <c r="AB26" s="372">
        <f t="shared" si="4"/>
        <v>0</v>
      </c>
      <c r="AC26" s="372">
        <f t="shared" si="4"/>
        <v>0</v>
      </c>
      <c r="AD26" s="374">
        <v>0</v>
      </c>
    </row>
    <row r="27" spans="3:33" ht="20.100000000000001" customHeight="1">
      <c r="C27" s="338" t="s">
        <v>2384</v>
      </c>
      <c r="D27" s="55" t="s">
        <v>2396</v>
      </c>
      <c r="E27" s="51" t="s">
        <v>2385</v>
      </c>
      <c r="F27" s="585" t="s">
        <v>3864</v>
      </c>
      <c r="G27" s="585">
        <f>G26*10%</f>
        <v>0</v>
      </c>
      <c r="H27" s="585" t="s">
        <v>3864</v>
      </c>
      <c r="I27" s="585">
        <f>I26*10%</f>
        <v>0</v>
      </c>
      <c r="J27" s="585" t="s">
        <v>3864</v>
      </c>
      <c r="K27" s="585">
        <f>K26*10%</f>
        <v>0</v>
      </c>
      <c r="N27" s="80" t="s">
        <v>2510</v>
      </c>
      <c r="O27" s="80" t="s">
        <v>2504</v>
      </c>
      <c r="P27" s="372" t="s">
        <v>37</v>
      </c>
      <c r="Q27" s="372"/>
      <c r="R27" s="372"/>
      <c r="S27" s="372"/>
      <c r="T27" s="372"/>
      <c r="U27" s="372"/>
      <c r="V27" s="372">
        <f>IF(V11&gt;0,V11,0)</f>
        <v>0</v>
      </c>
      <c r="W27" s="372">
        <f t="shared" ref="W27:AC27" si="5">IF(W11&gt;0,W11,0)</f>
        <v>0</v>
      </c>
      <c r="X27" s="372">
        <f t="shared" si="5"/>
        <v>0</v>
      </c>
      <c r="Y27" s="372">
        <f t="shared" si="5"/>
        <v>0</v>
      </c>
      <c r="Z27" s="372">
        <f t="shared" si="5"/>
        <v>0</v>
      </c>
      <c r="AA27" s="372">
        <f t="shared" si="5"/>
        <v>0</v>
      </c>
      <c r="AB27" s="372">
        <f t="shared" si="5"/>
        <v>0</v>
      </c>
      <c r="AC27" s="372">
        <f t="shared" si="5"/>
        <v>0</v>
      </c>
      <c r="AD27" s="374">
        <v>0</v>
      </c>
    </row>
    <row r="28" spans="3:33" ht="20.100000000000001" customHeight="1">
      <c r="C28" s="339"/>
      <c r="D28" s="340" t="s">
        <v>2397</v>
      </c>
      <c r="E28" s="341" t="s">
        <v>2386</v>
      </c>
      <c r="F28" s="341" t="s">
        <v>3865</v>
      </c>
      <c r="G28" s="341">
        <f>G26+G27</f>
        <v>0</v>
      </c>
      <c r="H28" s="341" t="s">
        <v>3865</v>
      </c>
      <c r="I28" s="341">
        <f>I26+I27</f>
        <v>0</v>
      </c>
      <c r="J28" s="341" t="s">
        <v>3865</v>
      </c>
      <c r="K28" s="341">
        <f>K26+K27</f>
        <v>0</v>
      </c>
      <c r="N28" s="80" t="s">
        <v>2509</v>
      </c>
      <c r="O28" s="80" t="s">
        <v>2505</v>
      </c>
      <c r="P28" s="372" t="s">
        <v>37</v>
      </c>
      <c r="Q28" s="372"/>
      <c r="R28" s="372"/>
      <c r="S28" s="372"/>
      <c r="T28" s="372"/>
      <c r="U28" s="372"/>
      <c r="V28" s="372">
        <f>IF(V11&gt;0,V11,0)</f>
        <v>0</v>
      </c>
      <c r="W28" s="372">
        <f t="shared" ref="W28:AC28" si="6">IF(W11&gt;0,W11,0)</f>
        <v>0</v>
      </c>
      <c r="X28" s="372">
        <f t="shared" si="6"/>
        <v>0</v>
      </c>
      <c r="Y28" s="372">
        <f t="shared" si="6"/>
        <v>0</v>
      </c>
      <c r="Z28" s="372">
        <f t="shared" si="6"/>
        <v>0</v>
      </c>
      <c r="AA28" s="372">
        <f t="shared" si="6"/>
        <v>0</v>
      </c>
      <c r="AB28" s="372">
        <f t="shared" si="6"/>
        <v>0</v>
      </c>
      <c r="AC28" s="372">
        <f t="shared" si="6"/>
        <v>0</v>
      </c>
      <c r="AD28" s="374">
        <v>0</v>
      </c>
    </row>
    <row r="29" spans="3:33" ht="20.100000000000001" customHeight="1">
      <c r="C29" s="373"/>
      <c r="E29" s="373"/>
      <c r="F29" s="373"/>
      <c r="N29" s="80" t="s">
        <v>2508</v>
      </c>
      <c r="O29" s="80" t="s">
        <v>2503</v>
      </c>
      <c r="P29" s="372" t="s">
        <v>37</v>
      </c>
      <c r="Q29" s="372"/>
      <c r="R29" s="372"/>
      <c r="S29" s="372"/>
      <c r="T29" s="372"/>
      <c r="U29" s="372"/>
      <c r="V29" s="372">
        <f>IF(V11&gt;0,V11,0)</f>
        <v>0</v>
      </c>
      <c r="W29" s="372">
        <f t="shared" ref="W29:AC29" si="7">IF(W11&gt;0,W11,0)</f>
        <v>0</v>
      </c>
      <c r="X29" s="372">
        <f t="shared" si="7"/>
        <v>0</v>
      </c>
      <c r="Y29" s="372">
        <f t="shared" si="7"/>
        <v>0</v>
      </c>
      <c r="Z29" s="372">
        <f t="shared" si="7"/>
        <v>0</v>
      </c>
      <c r="AA29" s="372">
        <f t="shared" si="7"/>
        <v>0</v>
      </c>
      <c r="AB29" s="372">
        <f t="shared" si="7"/>
        <v>0</v>
      </c>
      <c r="AC29" s="372">
        <f t="shared" si="7"/>
        <v>0</v>
      </c>
      <c r="AD29" s="374">
        <v>0</v>
      </c>
    </row>
    <row r="30" spans="3:33" ht="20.100000000000001" customHeight="1">
      <c r="N30" s="80" t="s">
        <v>2507</v>
      </c>
      <c r="O30" s="80" t="s">
        <v>2506</v>
      </c>
      <c r="P30" s="372" t="s">
        <v>37</v>
      </c>
      <c r="Q30" s="372"/>
      <c r="R30" s="372"/>
      <c r="S30" s="372"/>
      <c r="T30" s="372"/>
      <c r="U30" s="372"/>
      <c r="V30" s="372">
        <f>IF(V11&gt;0,V11,0)</f>
        <v>0</v>
      </c>
      <c r="W30" s="372">
        <f t="shared" ref="W30:AC30" si="8">IF(W11&gt;0,W11,0)</f>
        <v>0</v>
      </c>
      <c r="X30" s="372">
        <f t="shared" si="8"/>
        <v>0</v>
      </c>
      <c r="Y30" s="372">
        <f t="shared" si="8"/>
        <v>0</v>
      </c>
      <c r="Z30" s="372">
        <f t="shared" si="8"/>
        <v>0</v>
      </c>
      <c r="AA30" s="372">
        <f t="shared" si="8"/>
        <v>0</v>
      </c>
      <c r="AB30" s="372">
        <f t="shared" si="8"/>
        <v>0</v>
      </c>
      <c r="AC30" s="372">
        <f t="shared" si="8"/>
        <v>0</v>
      </c>
      <c r="AD30" s="374">
        <v>0</v>
      </c>
    </row>
    <row r="31" spans="3:33" ht="20.100000000000001" customHeight="1">
      <c r="C31" s="71" t="str">
        <f>SETTING!$O$8</f>
        <v>BẢNG 2: TỔNG HỢP CHI PHÍ XÂY DỰNG, THIẾT BỊ, QUẢN LÝ DỰ ÁN, TƯ VẤN VÀ CHI PHÍ KHÁC</v>
      </c>
      <c r="D31" s="378"/>
      <c r="E31" s="378"/>
      <c r="F31" s="378"/>
      <c r="G31" s="378"/>
      <c r="H31" s="378"/>
      <c r="I31" s="378"/>
      <c r="N31" s="80" t="s">
        <v>2481</v>
      </c>
      <c r="O31" s="80" t="s">
        <v>2487</v>
      </c>
      <c r="P31" s="372" t="s">
        <v>37</v>
      </c>
      <c r="Q31" s="81">
        <f>Q11</f>
        <v>0</v>
      </c>
      <c r="R31" s="81">
        <f t="shared" ref="R31:AC31" si="9">R11</f>
        <v>0</v>
      </c>
      <c r="S31" s="81">
        <f t="shared" si="9"/>
        <v>1</v>
      </c>
      <c r="T31" s="81">
        <f t="shared" si="9"/>
        <v>0</v>
      </c>
      <c r="U31" s="81">
        <f t="shared" si="9"/>
        <v>0</v>
      </c>
      <c r="V31" s="81">
        <f t="shared" si="9"/>
        <v>0</v>
      </c>
      <c r="W31" s="81">
        <f t="shared" si="9"/>
        <v>0</v>
      </c>
      <c r="X31" s="81">
        <f t="shared" si="9"/>
        <v>0</v>
      </c>
      <c r="Y31" s="81">
        <f t="shared" si="9"/>
        <v>0</v>
      </c>
      <c r="Z31" s="81">
        <f t="shared" si="9"/>
        <v>0</v>
      </c>
      <c r="AA31" s="81">
        <f t="shared" si="9"/>
        <v>0</v>
      </c>
      <c r="AB31" s="81">
        <f t="shared" si="9"/>
        <v>0</v>
      </c>
      <c r="AC31" s="81">
        <f t="shared" si="9"/>
        <v>0</v>
      </c>
      <c r="AD31" s="374">
        <v>0</v>
      </c>
    </row>
    <row r="32" spans="3:33" ht="20.100000000000001" customHeight="1">
      <c r="C32" s="71" t="str">
        <f>"CÔNG TRÌNH: "&amp;SETTING!$K$2</f>
        <v xml:space="preserve">CÔNG TRÌNH: ĐƯỜNG XUÂN BẮC  - BẢO QUANG. </v>
      </c>
      <c r="D32" s="378"/>
      <c r="E32" s="378"/>
      <c r="F32" s="378"/>
      <c r="G32" s="378"/>
      <c r="H32" s="378"/>
      <c r="I32" s="378"/>
      <c r="N32" s="80" t="s">
        <v>2482</v>
      </c>
      <c r="O32" s="80" t="s">
        <v>2519</v>
      </c>
      <c r="P32" s="372" t="s">
        <v>37</v>
      </c>
      <c r="Q32" s="81">
        <f>IF(AND(Q$12&lt;3,Q$12&lt;&gt;""),1,0)</f>
        <v>0</v>
      </c>
      <c r="R32" s="81">
        <f>IF(AND(R$12&lt;3,R$12&lt;&gt;""),1,0)</f>
        <v>0</v>
      </c>
      <c r="S32" s="81">
        <f>IF(AND(S$12&lt;3,S$12&lt;&gt;""),1,0)</f>
        <v>1</v>
      </c>
      <c r="T32" s="81">
        <f>IF(AND(T$12&lt;3,T$12&lt;&gt;""),1,0)</f>
        <v>0</v>
      </c>
      <c r="U32" s="81">
        <f>IF(AND(U$12&lt;3,U$12&lt;&gt;""),1,0)</f>
        <v>0</v>
      </c>
      <c r="V32" s="81"/>
      <c r="W32" s="81"/>
      <c r="X32" s="81"/>
      <c r="Y32" s="81"/>
      <c r="Z32" s="81"/>
      <c r="AA32" s="81"/>
      <c r="AB32" s="81"/>
      <c r="AC32" s="81"/>
      <c r="AD32" s="374">
        <v>0</v>
      </c>
    </row>
    <row r="33" spans="3:64" ht="20.100000000000001" customHeight="1">
      <c r="C33" s="71" t="str">
        <f>"HẠNG MỤC: "&amp;SETTING!$K$3</f>
        <v>HẠNG MỤC: DI DỜI HỆ THỐNG TRỤ ĐIỆN.</v>
      </c>
      <c r="D33" s="378"/>
      <c r="E33" s="378"/>
      <c r="F33" s="378"/>
      <c r="G33" s="378"/>
      <c r="H33" s="378"/>
      <c r="I33" s="378"/>
      <c r="N33" s="80" t="s">
        <v>2520</v>
      </c>
      <c r="O33" s="80" t="s">
        <v>2521</v>
      </c>
      <c r="P33" s="372" t="s">
        <v>37</v>
      </c>
      <c r="Q33" s="372">
        <f>IF(Q$12=3,1,0)</f>
        <v>0</v>
      </c>
      <c r="R33" s="372">
        <f>IF(R$12=3,1,0)</f>
        <v>0</v>
      </c>
      <c r="S33" s="372">
        <f>IF(S$12=3,1,0)</f>
        <v>0</v>
      </c>
      <c r="T33" s="372">
        <f>IF(T$12=3,1,0)</f>
        <v>0</v>
      </c>
      <c r="U33" s="372">
        <f>IF(U$12=3,1,0)</f>
        <v>0</v>
      </c>
      <c r="V33" s="372">
        <f>IF(V11&gt;0,V11,0)</f>
        <v>0</v>
      </c>
      <c r="W33" s="372">
        <f t="shared" ref="W33:AC33" si="10">IF(W11&gt;0,W11,0)</f>
        <v>0</v>
      </c>
      <c r="X33" s="372">
        <f t="shared" si="10"/>
        <v>0</v>
      </c>
      <c r="Y33" s="372">
        <f t="shared" si="10"/>
        <v>0</v>
      </c>
      <c r="Z33" s="372">
        <f t="shared" si="10"/>
        <v>0</v>
      </c>
      <c r="AA33" s="372">
        <f t="shared" si="10"/>
        <v>0</v>
      </c>
      <c r="AB33" s="372">
        <f t="shared" si="10"/>
        <v>0</v>
      </c>
      <c r="AC33" s="372">
        <f t="shared" si="10"/>
        <v>0</v>
      </c>
      <c r="AD33" s="374">
        <v>0</v>
      </c>
    </row>
    <row r="34" spans="3:64" ht="20.100000000000001" customHeight="1">
      <c r="C34" s="1367" t="s">
        <v>2347</v>
      </c>
      <c r="D34" s="1368" t="s">
        <v>2401</v>
      </c>
      <c r="E34" s="1368" t="s">
        <v>2402</v>
      </c>
      <c r="F34" s="1369" t="s">
        <v>3866</v>
      </c>
      <c r="G34" s="586" t="s">
        <v>3867</v>
      </c>
      <c r="H34" s="586"/>
      <c r="I34" s="1453" t="s">
        <v>3868</v>
      </c>
      <c r="N34" s="80" t="s">
        <v>2486</v>
      </c>
      <c r="O34" s="80" t="s">
        <v>2485</v>
      </c>
      <c r="P34" s="372" t="s">
        <v>37</v>
      </c>
      <c r="Q34" s="81">
        <f>IF(AND(Q$12&lt;3,Q$12&lt;&gt;""),1,0)</f>
        <v>0</v>
      </c>
      <c r="R34" s="81">
        <f>IF(AND(R$12&lt;3,R$12&lt;&gt;""),1,0)</f>
        <v>0</v>
      </c>
      <c r="S34" s="81">
        <f>IF(AND(S$12&lt;3,S$12&lt;&gt;""),1,0)</f>
        <v>1</v>
      </c>
      <c r="T34" s="81">
        <f>IF(AND(T$12&lt;3,T$12&lt;&gt;""),1,0)</f>
        <v>0</v>
      </c>
      <c r="U34" s="81">
        <f>IF(AND(U$12&lt;3,U$12&lt;&gt;""),1,0)</f>
        <v>0</v>
      </c>
      <c r="V34" s="81"/>
      <c r="W34" s="81"/>
      <c r="X34" s="81"/>
      <c r="Y34" s="81"/>
      <c r="Z34" s="81"/>
      <c r="AA34" s="81"/>
      <c r="AB34" s="81"/>
      <c r="AC34" s="81"/>
      <c r="AD34" s="374">
        <v>0</v>
      </c>
    </row>
    <row r="35" spans="3:64" ht="20.100000000000001" customHeight="1">
      <c r="C35" s="1367"/>
      <c r="D35" s="1368"/>
      <c r="E35" s="1368"/>
      <c r="F35" s="1370"/>
      <c r="G35" s="577" t="s">
        <v>3869</v>
      </c>
      <c r="H35" s="577" t="s">
        <v>2348</v>
      </c>
      <c r="I35" s="1454"/>
      <c r="N35" s="80" t="s">
        <v>2511</v>
      </c>
      <c r="O35" s="80" t="s">
        <v>2512</v>
      </c>
      <c r="P35" s="372" t="s">
        <v>37</v>
      </c>
      <c r="Q35" s="372">
        <f>IF(Q$12=3,1,0)</f>
        <v>0</v>
      </c>
      <c r="R35" s="372">
        <f>IF(R$12=3,1,0)</f>
        <v>0</v>
      </c>
      <c r="S35" s="372">
        <f>IF(S$12=3,1,0)</f>
        <v>0</v>
      </c>
      <c r="T35" s="372">
        <f>IF(T$12=3,1,0)</f>
        <v>0</v>
      </c>
      <c r="U35" s="372">
        <f>IF(U$12=3,1,0)</f>
        <v>0</v>
      </c>
      <c r="V35" s="372">
        <f>IF(V11&gt;0,V11,0)</f>
        <v>0</v>
      </c>
      <c r="W35" s="372">
        <f t="shared" ref="W35:AC35" si="11">IF(W11&gt;0,W11,0)</f>
        <v>0</v>
      </c>
      <c r="X35" s="372">
        <f t="shared" si="11"/>
        <v>0</v>
      </c>
      <c r="Y35" s="372">
        <f t="shared" si="11"/>
        <v>0</v>
      </c>
      <c r="Z35" s="372">
        <f t="shared" si="11"/>
        <v>0</v>
      </c>
      <c r="AA35" s="372">
        <f t="shared" si="11"/>
        <v>0</v>
      </c>
      <c r="AB35" s="372">
        <f t="shared" si="11"/>
        <v>0</v>
      </c>
      <c r="AC35" s="372">
        <f t="shared" si="11"/>
        <v>0</v>
      </c>
      <c r="AD35" s="374">
        <v>0</v>
      </c>
    </row>
    <row r="36" spans="3:64" ht="20.100000000000001" customHeight="1">
      <c r="C36" s="342" t="s">
        <v>2357</v>
      </c>
      <c r="D36" s="57" t="s">
        <v>3315</v>
      </c>
      <c r="E36" s="58" t="s">
        <v>2403</v>
      </c>
      <c r="F36" s="587">
        <f>F37+F44</f>
        <v>0</v>
      </c>
      <c r="G36" s="588"/>
      <c r="H36" s="587">
        <f>H37+H44</f>
        <v>0</v>
      </c>
      <c r="I36" s="587">
        <f>F36+H36</f>
        <v>0</v>
      </c>
      <c r="J36" s="374"/>
      <c r="N36" s="80" t="s">
        <v>2483</v>
      </c>
      <c r="O36" s="80" t="s">
        <v>2513</v>
      </c>
      <c r="P36" s="372" t="s">
        <v>37</v>
      </c>
      <c r="Q36" s="81">
        <f>IF(AND(Q$12&lt;3,Q$12&lt;&gt;""),1,0)</f>
        <v>0</v>
      </c>
      <c r="R36" s="81">
        <f>IF(AND(R$12&lt;3,R$12&lt;&gt;""),1,0)</f>
        <v>0</v>
      </c>
      <c r="S36" s="81">
        <f>IF(AND(S$12&lt;3,S$12&lt;&gt;""),1,0)</f>
        <v>1</v>
      </c>
      <c r="T36" s="81">
        <f>IF(AND(T$12&lt;3,T$12&lt;&gt;""),1,0)</f>
        <v>0</v>
      </c>
      <c r="U36" s="81">
        <f>IF(AND(U$12&lt;3,U$12&lt;&gt;""),1,0)</f>
        <v>0</v>
      </c>
      <c r="V36" s="81"/>
      <c r="W36" s="81"/>
      <c r="X36" s="81"/>
      <c r="Y36" s="81"/>
      <c r="Z36" s="81"/>
      <c r="AA36" s="81"/>
      <c r="AB36" s="81"/>
      <c r="AC36" s="81"/>
      <c r="AD36" s="374">
        <v>0</v>
      </c>
    </row>
    <row r="37" spans="3:64" ht="20.100000000000001" customHeight="1">
      <c r="C37" s="168" t="s">
        <v>2648</v>
      </c>
      <c r="D37" s="119" t="s">
        <v>2404</v>
      </c>
      <c r="E37" s="120" t="s">
        <v>2830</v>
      </c>
      <c r="F37" s="589">
        <f>F38+F41</f>
        <v>0</v>
      </c>
      <c r="G37" s="590"/>
      <c r="H37" s="589">
        <f>H38+H41</f>
        <v>0</v>
      </c>
      <c r="I37" s="589">
        <f>I38+I41</f>
        <v>0</v>
      </c>
      <c r="J37" s="374">
        <f>IF(I37&gt;0,1,0)</f>
        <v>0</v>
      </c>
      <c r="N37" s="80" t="s">
        <v>2514</v>
      </c>
      <c r="O37" s="80" t="s">
        <v>2515</v>
      </c>
      <c r="P37" s="372" t="s">
        <v>37</v>
      </c>
      <c r="Q37" s="372">
        <f>IF(Q$12=3,1,0)</f>
        <v>0</v>
      </c>
      <c r="R37" s="372">
        <f>IF(R$12=3,1,0)</f>
        <v>0</v>
      </c>
      <c r="S37" s="372">
        <f>IF(S$12=3,1,0)</f>
        <v>0</v>
      </c>
      <c r="T37" s="372">
        <f>IF(T$12=3,1,0)</f>
        <v>0</v>
      </c>
      <c r="U37" s="372">
        <f>IF(U$12=3,1,0)</f>
        <v>0</v>
      </c>
      <c r="V37" s="372">
        <f>IF(V11&gt;0,V11,0)</f>
        <v>0</v>
      </c>
      <c r="W37" s="372">
        <f t="shared" ref="W37:AC37" si="12">IF(W11&gt;0,W11,0)</f>
        <v>0</v>
      </c>
      <c r="X37" s="372">
        <f t="shared" si="12"/>
        <v>0</v>
      </c>
      <c r="Y37" s="372">
        <f t="shared" si="12"/>
        <v>0</v>
      </c>
      <c r="Z37" s="372">
        <f t="shared" si="12"/>
        <v>0</v>
      </c>
      <c r="AA37" s="372">
        <f t="shared" si="12"/>
        <v>0</v>
      </c>
      <c r="AB37" s="372">
        <f t="shared" si="12"/>
        <v>0</v>
      </c>
      <c r="AC37" s="372">
        <f t="shared" si="12"/>
        <v>0</v>
      </c>
      <c r="AD37" s="374">
        <v>0</v>
      </c>
    </row>
    <row r="38" spans="3:64" ht="20.100000000000001" customHeight="1">
      <c r="C38" s="343" t="s">
        <v>2649</v>
      </c>
      <c r="D38" s="297" t="s">
        <v>2405</v>
      </c>
      <c r="E38" s="298" t="s">
        <v>2441</v>
      </c>
      <c r="F38" s="591">
        <f>SUM(F39:F40)</f>
        <v>0</v>
      </c>
      <c r="G38" s="592"/>
      <c r="H38" s="591">
        <f>SUM(H39:H40)</f>
        <v>0</v>
      </c>
      <c r="I38" s="591">
        <f>SUM(I39:I40)</f>
        <v>0</v>
      </c>
      <c r="J38" s="374">
        <f t="shared" ref="J38:J79" si="13">IF(I38&gt;0,1,0)</f>
        <v>0</v>
      </c>
      <c r="N38" s="80" t="s">
        <v>2484</v>
      </c>
      <c r="O38" s="80" t="s">
        <v>2516</v>
      </c>
      <c r="P38" s="372" t="s">
        <v>37</v>
      </c>
      <c r="Q38" s="81">
        <f>IF(AND(Q$12&lt;3,Q$12&lt;&gt;""),1,0)</f>
        <v>0</v>
      </c>
      <c r="R38" s="81">
        <f>IF(AND(R$12&lt;3,R$12&lt;&gt;""),1,0)</f>
        <v>0</v>
      </c>
      <c r="S38" s="81">
        <f>IF(AND(S$12&lt;3,S$12&lt;&gt;""),1,0)</f>
        <v>1</v>
      </c>
      <c r="T38" s="81">
        <f>IF(AND(T$12&lt;3,T$12&lt;&gt;""),1,0)</f>
        <v>0</v>
      </c>
      <c r="U38" s="81">
        <f>IF(AND(U$12&lt;3,U$12&lt;&gt;""),1,0)</f>
        <v>0</v>
      </c>
      <c r="V38" s="81"/>
      <c r="W38" s="81"/>
      <c r="X38" s="81"/>
      <c r="Y38" s="81"/>
      <c r="Z38" s="81"/>
      <c r="AA38" s="81"/>
      <c r="AB38" s="81"/>
      <c r="AC38" s="81"/>
      <c r="AD38" s="374">
        <v>0</v>
      </c>
    </row>
    <row r="39" spans="3:64" ht="20.100000000000001" customHeight="1">
      <c r="C39" s="344" t="s">
        <v>3259</v>
      </c>
      <c r="D39" s="59" t="s">
        <v>3261</v>
      </c>
      <c r="E39" s="375" t="s">
        <v>2442</v>
      </c>
      <c r="F39" s="593"/>
      <c r="G39" s="594">
        <v>0.1</v>
      </c>
      <c r="H39" s="593">
        <f>G39*F39</f>
        <v>0</v>
      </c>
      <c r="I39" s="593">
        <f>H39+F39</f>
        <v>0</v>
      </c>
      <c r="J39" s="374">
        <f t="shared" si="13"/>
        <v>0</v>
      </c>
      <c r="N39" s="82" t="s">
        <v>2517</v>
      </c>
      <c r="O39" s="82" t="s">
        <v>2518</v>
      </c>
      <c r="P39" s="83" t="s">
        <v>37</v>
      </c>
      <c r="Q39" s="83">
        <f>IF(Q$12=3,1,0)</f>
        <v>0</v>
      </c>
      <c r="R39" s="83">
        <f>IF(R$12=3,1,0)</f>
        <v>0</v>
      </c>
      <c r="S39" s="83">
        <f>IF(S$12=3,1,0)</f>
        <v>0</v>
      </c>
      <c r="T39" s="83">
        <f>IF(T$12=3,1,0)</f>
        <v>0</v>
      </c>
      <c r="U39" s="83">
        <f>IF(U$12=3,1,0)</f>
        <v>0</v>
      </c>
      <c r="V39" s="83">
        <f>IF(V11&gt;0,V11,0)</f>
        <v>0</v>
      </c>
      <c r="W39" s="83">
        <f t="shared" ref="W39:AC39" si="14">IF(W11&gt;0,W11,0)</f>
        <v>0</v>
      </c>
      <c r="X39" s="83">
        <f t="shared" si="14"/>
        <v>0</v>
      </c>
      <c r="Y39" s="83">
        <f t="shared" si="14"/>
        <v>0</v>
      </c>
      <c r="Z39" s="83">
        <f t="shared" si="14"/>
        <v>0</v>
      </c>
      <c r="AA39" s="83">
        <f t="shared" si="14"/>
        <v>0</v>
      </c>
      <c r="AB39" s="83">
        <f t="shared" si="14"/>
        <v>0</v>
      </c>
      <c r="AC39" s="83">
        <f t="shared" si="14"/>
        <v>0</v>
      </c>
      <c r="AD39" s="374">
        <v>0</v>
      </c>
      <c r="AH39" s="373" t="s">
        <v>2226</v>
      </c>
      <c r="AI39" s="373" t="s">
        <v>2229</v>
      </c>
      <c r="AJ39" s="373" t="s">
        <v>2233</v>
      </c>
      <c r="AK39" s="373" t="s">
        <v>2235</v>
      </c>
      <c r="AL39" s="373" t="s">
        <v>2238</v>
      </c>
      <c r="AM39" s="373" t="s">
        <v>2240</v>
      </c>
      <c r="AN39" s="373" t="s">
        <v>2241</v>
      </c>
      <c r="AO39" s="373" t="s">
        <v>2243</v>
      </c>
      <c r="AP39" s="373" t="s">
        <v>2245</v>
      </c>
      <c r="AQ39" s="373" t="s">
        <v>2248</v>
      </c>
      <c r="AR39" s="373" t="s">
        <v>2250</v>
      </c>
      <c r="AS39" s="373" t="s">
        <v>2252</v>
      </c>
      <c r="AT39" s="373" t="s">
        <v>2253</v>
      </c>
      <c r="AU39" s="373" t="s">
        <v>2255</v>
      </c>
      <c r="AV39" s="373" t="s">
        <v>2258</v>
      </c>
      <c r="AW39" s="373" t="s">
        <v>2261</v>
      </c>
      <c r="AX39" s="373" t="s">
        <v>2263</v>
      </c>
      <c r="AY39" s="373" t="s">
        <v>2265</v>
      </c>
      <c r="AZ39" s="373" t="s">
        <v>2267</v>
      </c>
      <c r="BA39" s="373" t="s">
        <v>2269</v>
      </c>
    </row>
    <row r="40" spans="3:64" ht="20.100000000000001" customHeight="1">
      <c r="C40" s="344" t="s">
        <v>3265</v>
      </c>
      <c r="D40" s="59" t="s">
        <v>3263</v>
      </c>
      <c r="E40" s="375" t="s">
        <v>2442</v>
      </c>
      <c r="F40" s="593"/>
      <c r="G40" s="594">
        <v>0.1</v>
      </c>
      <c r="H40" s="593">
        <f>G40*F40</f>
        <v>0</v>
      </c>
      <c r="I40" s="593">
        <f>H40+F40</f>
        <v>0</v>
      </c>
      <c r="J40" s="374">
        <f t="shared" si="13"/>
        <v>0</v>
      </c>
      <c r="M40" s="373">
        <v>1</v>
      </c>
      <c r="Q40" s="374">
        <f>Q9</f>
        <v>25</v>
      </c>
      <c r="R40" s="374">
        <f t="shared" ref="R40:AC40" si="15">R9</f>
        <v>37.5</v>
      </c>
      <c r="S40" s="374">
        <f t="shared" si="15"/>
        <v>50</v>
      </c>
      <c r="T40" s="374">
        <f t="shared" si="15"/>
        <v>75</v>
      </c>
      <c r="U40" s="374">
        <f t="shared" si="15"/>
        <v>100</v>
      </c>
      <c r="V40" s="374">
        <f t="shared" si="15"/>
        <v>160</v>
      </c>
      <c r="W40" s="374">
        <f t="shared" si="15"/>
        <v>250</v>
      </c>
      <c r="X40" s="374">
        <f t="shared" si="15"/>
        <v>320</v>
      </c>
      <c r="Y40" s="374">
        <f t="shared" si="15"/>
        <v>400</v>
      </c>
      <c r="Z40" s="374">
        <f t="shared" si="15"/>
        <v>560</v>
      </c>
      <c r="AA40" s="374">
        <f t="shared" si="15"/>
        <v>630</v>
      </c>
      <c r="AB40" s="374">
        <f t="shared" si="15"/>
        <v>750</v>
      </c>
      <c r="AC40" s="374">
        <f t="shared" si="15"/>
        <v>1000</v>
      </c>
      <c r="AH40" s="373" t="str">
        <f>VLOOKUP(AH41,R_DD!$A$8:$D$2042,4,0)</f>
        <v>Trụ bê tông ly tâm 8.4m</v>
      </c>
      <c r="AI40" s="373" t="str">
        <f>VLOOKUP(AI41,R_DD!$A$8:$D$2042,4,0)</f>
        <v>Trụ bê tông ly tâm 12m (TC + MTC)</v>
      </c>
      <c r="AJ40" s="373" t="str">
        <f>VLOOKUP(AJ41,R_DD!$A$8:$D$2042,4,0)</f>
        <v>Móng M8</v>
      </c>
      <c r="AK40" s="373" t="str">
        <f>VLOOKUP(AK41,R_DD!$A$8:$D$2042,4,0)</f>
        <v>Móng M12</v>
      </c>
      <c r="AL40" s="373" t="str">
        <f>VLOOKUP(AL41,R_DD!$A$8:$D$2042,4,0)</f>
        <v>Tiếp địa lặp lại (trụ 8.4m)</v>
      </c>
      <c r="AM40" s="373" t="str">
        <f>VLOOKUP(AM41,R_DD!$A$8:$D$2042,4,0)</f>
        <v>Tiếp địa lặp lại trụ 12m</v>
      </c>
      <c r="AN40" s="373" t="str">
        <f>VLOOKUP(AN41,R_DD!$A$8:$D$2042,4,0)</f>
        <v>Bộ chằng xuống đơn cho trụ hạ thế: CX.ht</v>
      </c>
      <c r="AO40" s="373" t="str">
        <f>VLOOKUP(AO41,R_DD!$A$8:$D$2042,4,0)</f>
        <v>Bộ chằng lệch đơn cho trụ hạ thế: CL.ht</v>
      </c>
      <c r="AP40" s="373" t="str">
        <f>VLOOKUP(AP41,R_DD!$A$8:$D$2042,4,0)</f>
        <v>Bộ chằng xuống đơn cho trụ 12m: CX12</v>
      </c>
      <c r="AQ40" s="373" t="str">
        <f>VLOOKUP(AQ41,R_DD!$A$8:$D$2042,4,0)</f>
        <v>Bộ chằng lệch đơn cho trụ 12m: CL12</v>
      </c>
      <c r="AR40" s="373" t="str">
        <f>VLOOKUP(AR41,R_DD!$A$8:$D$2042,4,0)</f>
        <v>Bộ móng neo xòe cho chằng xuống: NXX</v>
      </c>
      <c r="AS40" s="373" t="str">
        <f>VLOOKUP(AS41,R_DD!$A$8:$D$2042,4,0)</f>
        <v>Bộ móng neo xòe cho chằng lệch: NXL</v>
      </c>
      <c r="AT40" s="373" t="str">
        <f>VLOOKUP(AT41,R_DD!$A$8:$D$2042,4,0)</f>
        <v>Bộ móng neo cho chằng xuống trung thế: MNX12</v>
      </c>
      <c r="AU40" s="373" t="str">
        <f>VLOOKUP(AU41,R_DD!$A$8:$D$2042,4,0)</f>
        <v>Bộ móng neo cho chằng lệch trung thế: MNL12</v>
      </c>
      <c r="AV40" s="373" t="str">
        <f>VLOOKUP(AV41,R_DD!$A$8:$D$2042,4,0)</f>
        <v>Bộ đỡ dây trung hòa vào trụ</v>
      </c>
      <c r="AW40" s="373" t="str">
        <f>VLOOKUP(AW41,R_DD!$A$8:$D$2042,4,0)</f>
        <v>Bộ dừng dây trung hòa vào trụ</v>
      </c>
      <c r="AX40" s="373" t="str">
        <f>VLOOKUP(AX41,R_DD!$A$8:$D$2042,4,0)</f>
        <v>Bộ sứ đứng đỡ thẳng</v>
      </c>
      <c r="AY40" s="373" t="str">
        <f>VLOOKUP(AY41,R_DD!$A$8:$D$2042,4,0)</f>
        <v>Bộ sứ đỉnh đỡ thẳng</v>
      </c>
      <c r="AZ40" s="373" t="str">
        <f>VLOOKUP(AZ41,R_DD!$A$8:$D$2042,4,0)</f>
        <v>Bộ sứ đỉnh đỡ góc</v>
      </c>
      <c r="BA40" s="373" t="str">
        <f>VLOOKUP(BA41,R_DD!$A$8:$D$2042,4,0)</f>
        <v>Chuỗi sứ treo polyme lắp vào trụ</v>
      </c>
      <c r="BB40" s="373" t="e">
        <f>VLOOKUP(BB41,R_DD!$A$8:$D$2042,4,0)</f>
        <v>#N/A</v>
      </c>
      <c r="BC40" s="373" t="e">
        <f>VLOOKUP(BC41,R_DD!$A$8:$D$2042,4,0)</f>
        <v>#VALUE!</v>
      </c>
      <c r="BD40" s="373" t="str">
        <f>VLOOKUP(BD41,R_DD!$A$8:$D$2042,4,0)</f>
        <v>Chuỗi sứ treo polyme lắp vào xà</v>
      </c>
      <c r="BE40" s="373" t="str">
        <f>VLOOKUP(BE41,R_DD!$A$8:$D$2042,4,0)</f>
        <v>Móng bê tông trụ đơn 12m</v>
      </c>
      <c r="BF40" s="373" t="str">
        <f>VLOOKUP(BF41,R_DD!$A$8:$D$2042,4,0)</f>
        <v>Bộ xà đơn L75x75x8 dài 2.2m: X-22Đ - C810</v>
      </c>
      <c r="BG40" s="373" t="str">
        <f>VLOOKUP(BG41,R_DD!$A$8:$D$2042,4,0)</f>
        <v>Bộ xà kép L75x75x8 dài 2.2m: X-22K-Đ - C810</v>
      </c>
      <c r="BH40" s="373" t="str">
        <f>VLOOKUP(BH41,R_DD!$A$8:$D$2042,4,0)</f>
        <v>Hộp phân phối 6CB cho cáp 3xABC</v>
      </c>
      <c r="BI40" s="373" t="str">
        <f>VLOOKUP(BI41,R_DD!$A$8:$D$2042,4,0)</f>
        <v>Hộp phân phối trực tiếp cho cáp 4xABC</v>
      </c>
      <c r="BJ40" s="373" t="str">
        <f>VLOOKUP(BJ41,R_DD!$A$8:$D$2042,4,0)</f>
        <v>Móc đơn treo cáp ABC trụ hạ thế</v>
      </c>
      <c r="BK40" s="373" t="str">
        <f>VLOOKUP(BK41,R_DD!$A$8:$D$2042,4,0)</f>
        <v>Móc đôi treo cáp ABC trụ hạ thế</v>
      </c>
      <c r="BL40" s="373" t="str">
        <f>VLOOKUP(BL41,R_DD!$A$8:$D$2042,4,0)</f>
        <v>Bộ dừng cáp ABC trụ hạ thế</v>
      </c>
    </row>
    <row r="41" spans="3:64" ht="20.100000000000001" customHeight="1">
      <c r="C41" s="343" t="s">
        <v>2650</v>
      </c>
      <c r="D41" s="297" t="s">
        <v>2434</v>
      </c>
      <c r="E41" s="298" t="s">
        <v>2439</v>
      </c>
      <c r="F41" s="591"/>
      <c r="G41" s="592"/>
      <c r="H41" s="591">
        <f>SUBTOTAL(9,H42:H42)</f>
        <v>0</v>
      </c>
      <c r="I41" s="591">
        <f>SUBTOTAL(9,I42:I42)</f>
        <v>0</v>
      </c>
      <c r="J41" s="374">
        <f t="shared" si="13"/>
        <v>0</v>
      </c>
      <c r="M41" s="373">
        <v>50</v>
      </c>
      <c r="N41" s="308" t="s">
        <v>3191</v>
      </c>
      <c r="O41" s="312" t="s">
        <v>3194</v>
      </c>
      <c r="P41" s="595" t="s">
        <v>2502</v>
      </c>
      <c r="Q41" s="310" t="s">
        <v>2350</v>
      </c>
      <c r="R41" s="315" t="s">
        <v>3193</v>
      </c>
      <c r="S41" s="319" t="s">
        <v>3192</v>
      </c>
      <c r="T41" s="317" t="s">
        <v>3195</v>
      </c>
      <c r="U41" s="321" t="s">
        <v>2350</v>
      </c>
      <c r="V41" s="596" t="s">
        <v>3193</v>
      </c>
      <c r="AD41" s="117" t="s">
        <v>2644</v>
      </c>
      <c r="AE41" s="113" t="s">
        <v>2347</v>
      </c>
      <c r="AF41" s="113" t="s">
        <v>2642</v>
      </c>
      <c r="AG41" s="113" t="s">
        <v>2630</v>
      </c>
      <c r="AH41" s="132" t="s">
        <v>2476</v>
      </c>
      <c r="AI41" s="132" t="s">
        <v>2221</v>
      </c>
      <c r="AJ41" s="132" t="s">
        <v>2154</v>
      </c>
      <c r="AK41" s="132" t="s">
        <v>876</v>
      </c>
      <c r="AL41" s="132" t="s">
        <v>2186</v>
      </c>
      <c r="AM41" s="132" t="s">
        <v>2198</v>
      </c>
      <c r="AN41" s="132" t="s">
        <v>2271</v>
      </c>
      <c r="AO41" s="132" t="s">
        <v>2273</v>
      </c>
      <c r="AP41" s="132" t="s">
        <v>2579</v>
      </c>
      <c r="AQ41" s="132" t="s">
        <v>2581</v>
      </c>
      <c r="AR41" s="132" t="s">
        <v>2277</v>
      </c>
      <c r="AS41" s="132" t="s">
        <v>2280</v>
      </c>
      <c r="AT41" s="132" t="s">
        <v>2591</v>
      </c>
      <c r="AU41" s="132" t="s">
        <v>2592</v>
      </c>
      <c r="AV41" s="132" t="s">
        <v>2333</v>
      </c>
      <c r="AW41" s="132" t="s">
        <v>2283</v>
      </c>
      <c r="AX41" s="132" t="s">
        <v>2285</v>
      </c>
      <c r="AY41" s="132" t="s">
        <v>2286</v>
      </c>
      <c r="AZ41" s="132" t="s">
        <v>2287</v>
      </c>
      <c r="BA41" s="132" t="s">
        <v>2593</v>
      </c>
      <c r="BC41" s="373" t="e">
        <f>IF(RIGHT(BB41,1)&lt;&gt;"K",REPLACE(BB41,FIND("Đ",BB41,1),1,"K"),BB41)</f>
        <v>#VALUE!</v>
      </c>
      <c r="BD41" s="132" t="s">
        <v>2292</v>
      </c>
      <c r="BE41" s="132" t="s">
        <v>2343</v>
      </c>
      <c r="BF41" s="132" t="s">
        <v>2238</v>
      </c>
      <c r="BG41" s="132" t="s">
        <v>2241</v>
      </c>
      <c r="BH41" s="132" t="s">
        <v>2795</v>
      </c>
      <c r="BI41" s="132" t="s">
        <v>2797</v>
      </c>
      <c r="BJ41" s="132" t="s">
        <v>3044</v>
      </c>
      <c r="BK41" s="132" t="s">
        <v>3045</v>
      </c>
      <c r="BL41" s="132" t="s">
        <v>3046</v>
      </c>
    </row>
    <row r="42" spans="3:64" ht="20.100000000000001" customHeight="1">
      <c r="C42" s="344" t="s">
        <v>3260</v>
      </c>
      <c r="D42" s="59" t="s">
        <v>3261</v>
      </c>
      <c r="E42" s="60" t="s">
        <v>2443</v>
      </c>
      <c r="F42" s="593"/>
      <c r="G42" s="597">
        <v>0.1</v>
      </c>
      <c r="H42" s="593">
        <f>G42*F42</f>
        <v>0</v>
      </c>
      <c r="I42" s="598">
        <f>H42+F42</f>
        <v>0</v>
      </c>
      <c r="J42" s="374">
        <f t="shared" si="13"/>
        <v>0</v>
      </c>
      <c r="M42" s="373">
        <f>M41/12.7</f>
        <v>3.9370078740157481</v>
      </c>
      <c r="N42" s="309">
        <v>3</v>
      </c>
      <c r="O42" s="313">
        <v>40</v>
      </c>
      <c r="P42" s="599">
        <v>75</v>
      </c>
      <c r="Q42" s="311">
        <v>11</v>
      </c>
      <c r="R42" s="316">
        <v>1</v>
      </c>
      <c r="S42" s="320">
        <v>75</v>
      </c>
      <c r="T42" s="318">
        <v>100</v>
      </c>
      <c r="U42" s="322">
        <v>11</v>
      </c>
      <c r="V42" s="600">
        <v>1</v>
      </c>
      <c r="AD42" s="117"/>
      <c r="AE42" s="129">
        <v>1</v>
      </c>
      <c r="AF42" s="129" t="s">
        <v>2638</v>
      </c>
      <c r="AG42" s="130"/>
      <c r="AH42" s="131"/>
      <c r="AI42" s="131">
        <v>1</v>
      </c>
      <c r="AJ42" s="131"/>
      <c r="AK42" s="131">
        <v>1</v>
      </c>
      <c r="AL42" s="131"/>
      <c r="AM42" s="131">
        <v>1</v>
      </c>
      <c r="AN42" s="131"/>
      <c r="AO42" s="131"/>
      <c r="AP42" s="131">
        <v>1</v>
      </c>
      <c r="AQ42" s="131">
        <v>1</v>
      </c>
      <c r="AR42" s="131"/>
      <c r="AS42" s="131"/>
      <c r="AT42" s="131">
        <v>1</v>
      </c>
      <c r="AU42" s="131">
        <v>1</v>
      </c>
      <c r="AV42" s="131">
        <v>1</v>
      </c>
      <c r="AW42" s="131">
        <v>1</v>
      </c>
      <c r="AX42" s="131">
        <v>1</v>
      </c>
      <c r="AY42" s="131">
        <v>1</v>
      </c>
      <c r="AZ42" s="131">
        <v>1</v>
      </c>
      <c r="BA42" s="131">
        <v>1</v>
      </c>
      <c r="BB42" s="130"/>
      <c r="BC42" s="130"/>
      <c r="BD42" s="130"/>
      <c r="BE42" s="130"/>
      <c r="BF42" s="130"/>
      <c r="BG42" s="130"/>
      <c r="BH42" s="130"/>
      <c r="BI42" s="130"/>
      <c r="BJ42" s="130"/>
      <c r="BK42" s="130"/>
      <c r="BL42" s="130"/>
    </row>
    <row r="43" spans="3:64" ht="20.100000000000001" customHeight="1">
      <c r="C43" s="344" t="s">
        <v>3264</v>
      </c>
      <c r="D43" s="59" t="s">
        <v>3262</v>
      </c>
      <c r="E43" s="60" t="s">
        <v>2443</v>
      </c>
      <c r="F43" s="593"/>
      <c r="G43" s="597">
        <v>0.1</v>
      </c>
      <c r="H43" s="593">
        <f>G43*F43</f>
        <v>0</v>
      </c>
      <c r="I43" s="598">
        <f>H43+F43</f>
        <v>0</v>
      </c>
      <c r="J43" s="374">
        <f t="shared" si="13"/>
        <v>0</v>
      </c>
      <c r="M43" s="373" t="e">
        <f ca="1">SelectUp(M42,N42:N56)</f>
        <v>#NAME?</v>
      </c>
      <c r="N43" s="309">
        <v>6</v>
      </c>
      <c r="O43" s="313">
        <v>60</v>
      </c>
      <c r="P43" s="599">
        <v>125</v>
      </c>
      <c r="Q43" s="311">
        <v>14</v>
      </c>
      <c r="R43" s="316">
        <v>1</v>
      </c>
      <c r="S43" s="320">
        <v>88</v>
      </c>
      <c r="T43" s="318">
        <v>150</v>
      </c>
      <c r="U43" s="322">
        <v>14</v>
      </c>
      <c r="V43" s="600">
        <v>1</v>
      </c>
      <c r="AD43" s="117"/>
      <c r="AE43" s="80"/>
      <c r="AF43" s="80"/>
      <c r="AG43" s="372" t="s">
        <v>2361</v>
      </c>
      <c r="AH43" s="372"/>
      <c r="AI43" s="372">
        <v>1</v>
      </c>
      <c r="AJ43" s="372"/>
      <c r="AK43" s="372">
        <v>1</v>
      </c>
      <c r="AL43" s="372"/>
      <c r="AM43" s="372"/>
      <c r="AN43" s="372"/>
      <c r="AO43" s="372"/>
      <c r="AP43" s="372"/>
      <c r="AQ43" s="372"/>
      <c r="AR43" s="372"/>
      <c r="AS43" s="372"/>
      <c r="AT43" s="372"/>
      <c r="AU43" s="372"/>
      <c r="AV43" s="372">
        <v>1</v>
      </c>
      <c r="AW43" s="372"/>
      <c r="AX43" s="372"/>
      <c r="AY43" s="372">
        <v>1</v>
      </c>
      <c r="AZ43" s="372"/>
      <c r="BA43" s="372"/>
      <c r="BB43" s="372"/>
      <c r="BC43" s="372"/>
      <c r="BD43" s="372"/>
      <c r="BE43" s="372"/>
      <c r="BF43" s="372"/>
      <c r="BG43" s="372"/>
      <c r="BH43" s="372"/>
      <c r="BI43" s="372"/>
      <c r="BJ43" s="372"/>
      <c r="BK43" s="372"/>
      <c r="BL43" s="372"/>
    </row>
    <row r="44" spans="3:64" ht="20.100000000000001" customHeight="1">
      <c r="C44" s="168" t="s">
        <v>2651</v>
      </c>
      <c r="D44" s="119" t="s">
        <v>2407</v>
      </c>
      <c r="E44" s="120" t="s">
        <v>2830</v>
      </c>
      <c r="F44" s="589">
        <f>SUM(F45:F46)</f>
        <v>0</v>
      </c>
      <c r="G44" s="590"/>
      <c r="H44" s="589">
        <f>SUM(H45:H46)</f>
        <v>0</v>
      </c>
      <c r="I44" s="589">
        <f>SUM(I45:I46)</f>
        <v>0</v>
      </c>
      <c r="J44" s="374">
        <f t="shared" si="13"/>
        <v>0</v>
      </c>
      <c r="N44" s="309">
        <v>8</v>
      </c>
      <c r="O44" s="313">
        <v>80</v>
      </c>
      <c r="P44" s="599">
        <v>150</v>
      </c>
      <c r="Q44" s="311">
        <v>16</v>
      </c>
      <c r="R44" s="316">
        <v>1</v>
      </c>
      <c r="S44" s="320">
        <v>95</v>
      </c>
      <c r="T44" s="318">
        <v>200</v>
      </c>
      <c r="U44" s="322">
        <v>16</v>
      </c>
      <c r="V44" s="600">
        <v>1</v>
      </c>
      <c r="W44" s="79"/>
      <c r="X44" s="79"/>
      <c r="Y44" s="79"/>
      <c r="Z44" s="79"/>
      <c r="AA44" s="79"/>
      <c r="AB44" s="79"/>
      <c r="AC44" s="79"/>
      <c r="AD44" s="117"/>
      <c r="AE44" s="80"/>
      <c r="AF44" s="80"/>
      <c r="AG44" s="372" t="s">
        <v>398</v>
      </c>
      <c r="AH44" s="372"/>
      <c r="AI44" s="372">
        <v>1</v>
      </c>
      <c r="AJ44" s="372"/>
      <c r="AK44" s="372">
        <v>1</v>
      </c>
      <c r="AL44" s="372"/>
      <c r="AM44" s="372"/>
      <c r="AN44" s="372"/>
      <c r="AO44" s="372"/>
      <c r="AP44" s="372">
        <v>1</v>
      </c>
      <c r="AQ44" s="372"/>
      <c r="AR44" s="372"/>
      <c r="AS44" s="372"/>
      <c r="AT44" s="372">
        <v>1</v>
      </c>
      <c r="AU44" s="372"/>
      <c r="AV44" s="372">
        <v>1</v>
      </c>
      <c r="AW44" s="372"/>
      <c r="AX44" s="372"/>
      <c r="AY44" s="372"/>
      <c r="AZ44" s="372">
        <v>1</v>
      </c>
      <c r="BA44" s="372"/>
      <c r="BB44" s="372"/>
      <c r="BC44" s="372"/>
      <c r="BD44" s="372"/>
      <c r="BE44" s="372"/>
      <c r="BF44" s="372"/>
      <c r="BG44" s="372"/>
      <c r="BH44" s="372"/>
      <c r="BI44" s="372"/>
      <c r="BJ44" s="372"/>
      <c r="BK44" s="372"/>
      <c r="BL44" s="372"/>
    </row>
    <row r="45" spans="3:64" ht="20.100000000000001" customHeight="1">
      <c r="C45" s="392" t="s">
        <v>2652</v>
      </c>
      <c r="D45" s="59" t="s">
        <v>3270</v>
      </c>
      <c r="E45" s="375" t="s">
        <v>2444</v>
      </c>
      <c r="F45" s="593"/>
      <c r="G45" s="594">
        <v>0.1</v>
      </c>
      <c r="H45" s="598">
        <f>G45*F45</f>
        <v>0</v>
      </c>
      <c r="I45" s="598">
        <f>+H45+F45</f>
        <v>0</v>
      </c>
      <c r="J45" s="374">
        <f t="shared" si="13"/>
        <v>0</v>
      </c>
      <c r="N45" s="309">
        <v>10</v>
      </c>
      <c r="O45" s="313">
        <v>100</v>
      </c>
      <c r="P45" s="599">
        <v>160</v>
      </c>
      <c r="Q45" s="311">
        <v>25</v>
      </c>
      <c r="R45" s="316">
        <v>1</v>
      </c>
      <c r="S45" s="320">
        <v>115</v>
      </c>
      <c r="T45" s="318">
        <v>250</v>
      </c>
      <c r="U45" s="322">
        <v>25</v>
      </c>
      <c r="V45" s="600">
        <v>1</v>
      </c>
      <c r="W45" s="86"/>
      <c r="X45" s="86"/>
      <c r="Y45" s="86"/>
      <c r="Z45" s="86"/>
      <c r="AA45" s="86"/>
      <c r="AB45" s="86"/>
      <c r="AC45" s="86"/>
      <c r="AD45" s="117"/>
      <c r="AE45" s="80"/>
      <c r="AF45" s="80"/>
      <c r="AG45" s="372" t="s">
        <v>2631</v>
      </c>
      <c r="AH45" s="372"/>
      <c r="AI45" s="372">
        <v>1</v>
      </c>
      <c r="AJ45" s="372"/>
      <c r="AK45" s="372">
        <v>1</v>
      </c>
      <c r="AL45" s="372"/>
      <c r="AM45" s="372"/>
      <c r="AN45" s="372"/>
      <c r="AO45" s="372"/>
      <c r="AP45" s="372">
        <v>1</v>
      </c>
      <c r="AQ45" s="372"/>
      <c r="AR45" s="372"/>
      <c r="AS45" s="372"/>
      <c r="AT45" s="372">
        <v>1</v>
      </c>
      <c r="AU45" s="372"/>
      <c r="AV45" s="372">
        <v>1</v>
      </c>
      <c r="AW45" s="372">
        <v>1</v>
      </c>
      <c r="AX45" s="372"/>
      <c r="AY45" s="372">
        <v>1</v>
      </c>
      <c r="AZ45" s="372"/>
      <c r="BA45" s="372">
        <v>1</v>
      </c>
      <c r="BB45" s="372"/>
      <c r="BC45" s="372"/>
      <c r="BD45" s="372"/>
      <c r="BE45" s="372"/>
      <c r="BF45" s="372"/>
      <c r="BG45" s="372"/>
      <c r="BH45" s="372"/>
      <c r="BI45" s="372"/>
      <c r="BJ45" s="372"/>
      <c r="BK45" s="372"/>
      <c r="BL45" s="372"/>
    </row>
    <row r="46" spans="3:64" ht="20.100000000000001" customHeight="1">
      <c r="C46" s="392" t="s">
        <v>2653</v>
      </c>
      <c r="D46" s="59" t="s">
        <v>3271</v>
      </c>
      <c r="E46" s="375" t="s">
        <v>2444</v>
      </c>
      <c r="F46" s="598"/>
      <c r="G46" s="594">
        <v>0.1</v>
      </c>
      <c r="H46" s="598">
        <f>G46*F46</f>
        <v>0</v>
      </c>
      <c r="I46" s="598">
        <f>+H46+F46</f>
        <v>0</v>
      </c>
      <c r="J46" s="374">
        <f t="shared" si="13"/>
        <v>0</v>
      </c>
      <c r="N46" s="309">
        <v>12</v>
      </c>
      <c r="O46" s="313">
        <v>130</v>
      </c>
      <c r="P46" s="599">
        <v>200</v>
      </c>
      <c r="Q46" s="314">
        <v>35</v>
      </c>
      <c r="R46" s="316">
        <v>1</v>
      </c>
      <c r="S46" s="320">
        <v>140</v>
      </c>
      <c r="T46" s="318">
        <v>300</v>
      </c>
      <c r="U46" s="323">
        <v>35</v>
      </c>
      <c r="V46" s="600">
        <v>1</v>
      </c>
      <c r="W46" s="370"/>
      <c r="X46" s="370"/>
      <c r="Y46" s="370"/>
      <c r="Z46" s="370"/>
      <c r="AA46" s="370"/>
      <c r="AB46" s="370"/>
      <c r="AC46" s="370"/>
      <c r="AD46" s="117"/>
      <c r="AE46" s="80"/>
      <c r="AF46" s="80"/>
      <c r="AG46" s="372" t="s">
        <v>2632</v>
      </c>
      <c r="AH46" s="372"/>
      <c r="AI46" s="372">
        <v>1</v>
      </c>
      <c r="AJ46" s="372"/>
      <c r="AK46" s="372">
        <v>1</v>
      </c>
      <c r="AL46" s="372"/>
      <c r="AM46" s="372"/>
      <c r="AN46" s="372"/>
      <c r="AO46" s="372"/>
      <c r="AP46" s="372">
        <v>1</v>
      </c>
      <c r="AQ46" s="372"/>
      <c r="AR46" s="372"/>
      <c r="AS46" s="372"/>
      <c r="AT46" s="372">
        <v>1</v>
      </c>
      <c r="AU46" s="372"/>
      <c r="AV46" s="372">
        <v>1</v>
      </c>
      <c r="AW46" s="372"/>
      <c r="AX46" s="372"/>
      <c r="AY46" s="372"/>
      <c r="AZ46" s="372"/>
      <c r="BA46" s="372">
        <v>1</v>
      </c>
      <c r="BB46" s="372"/>
      <c r="BC46" s="372"/>
      <c r="BD46" s="372"/>
      <c r="BE46" s="372"/>
      <c r="BF46" s="372"/>
      <c r="BG46" s="372"/>
      <c r="BH46" s="372"/>
      <c r="BI46" s="372"/>
      <c r="BJ46" s="372"/>
      <c r="BK46" s="372"/>
      <c r="BL46" s="372"/>
    </row>
    <row r="47" spans="3:64" ht="20.100000000000001" customHeight="1">
      <c r="C47" s="48" t="s">
        <v>2371</v>
      </c>
      <c r="D47" s="118" t="s">
        <v>3316</v>
      </c>
      <c r="E47" s="56" t="s">
        <v>2645</v>
      </c>
      <c r="F47" s="601">
        <f>+F48+F52</f>
        <v>0</v>
      </c>
      <c r="G47" s="602"/>
      <c r="H47" s="601">
        <f>H48+H52</f>
        <v>0</v>
      </c>
      <c r="I47" s="601">
        <f>F47+H47</f>
        <v>0</v>
      </c>
      <c r="J47" s="374">
        <f t="shared" si="13"/>
        <v>0</v>
      </c>
      <c r="N47" s="309">
        <v>15</v>
      </c>
      <c r="O47" s="313">
        <v>160</v>
      </c>
      <c r="P47" s="599">
        <v>250</v>
      </c>
      <c r="Q47" s="314">
        <v>50</v>
      </c>
      <c r="R47" s="316">
        <v>1</v>
      </c>
      <c r="S47" s="320">
        <v>189</v>
      </c>
      <c r="T47" s="318">
        <v>400</v>
      </c>
      <c r="U47" s="323">
        <v>50</v>
      </c>
      <c r="V47" s="600">
        <v>1</v>
      </c>
      <c r="W47" s="370"/>
      <c r="X47" s="370"/>
      <c r="Y47" s="370"/>
      <c r="Z47" s="370"/>
      <c r="AA47" s="370"/>
      <c r="AB47" s="370"/>
      <c r="AC47" s="370"/>
      <c r="AD47" s="117"/>
      <c r="AE47" s="80"/>
      <c r="AF47" s="80"/>
      <c r="AG47" s="372" t="s">
        <v>2633</v>
      </c>
      <c r="AH47" s="372"/>
      <c r="AI47" s="372">
        <v>1</v>
      </c>
      <c r="AJ47" s="372"/>
      <c r="AK47" s="372">
        <v>1</v>
      </c>
      <c r="AL47" s="372"/>
      <c r="AM47" s="372"/>
      <c r="AN47" s="372"/>
      <c r="AO47" s="372"/>
      <c r="AP47" s="372">
        <v>2</v>
      </c>
      <c r="AQ47" s="372"/>
      <c r="AR47" s="372"/>
      <c r="AS47" s="372"/>
      <c r="AT47" s="372">
        <v>2</v>
      </c>
      <c r="AU47" s="372"/>
      <c r="AV47" s="372"/>
      <c r="AW47" s="372">
        <v>2</v>
      </c>
      <c r="AX47" s="372"/>
      <c r="AY47" s="372">
        <v>1</v>
      </c>
      <c r="AZ47" s="372"/>
      <c r="BA47" s="372">
        <v>2</v>
      </c>
      <c r="BB47" s="372"/>
      <c r="BC47" s="372"/>
      <c r="BD47" s="372"/>
      <c r="BE47" s="372"/>
      <c r="BF47" s="372"/>
      <c r="BG47" s="372"/>
      <c r="BH47" s="372"/>
      <c r="BI47" s="372"/>
      <c r="BJ47" s="372"/>
      <c r="BK47" s="372"/>
      <c r="BL47" s="372"/>
    </row>
    <row r="48" spans="3:64" ht="20.100000000000001" customHeight="1">
      <c r="C48" s="168" t="s">
        <v>2654</v>
      </c>
      <c r="D48" s="119" t="s">
        <v>2646</v>
      </c>
      <c r="E48" s="120" t="s">
        <v>2829</v>
      </c>
      <c r="F48" s="589">
        <f>SUBTOTAL(9,F49:F51)</f>
        <v>0</v>
      </c>
      <c r="G48" s="590"/>
      <c r="H48" s="589">
        <f>SUBTOTAL(9,H49:H51)</f>
        <v>0</v>
      </c>
      <c r="I48" s="589">
        <f>SUBTOTAL(9,I49:I51)</f>
        <v>0</v>
      </c>
      <c r="J48" s="374">
        <f t="shared" si="13"/>
        <v>0</v>
      </c>
      <c r="N48" s="309">
        <v>20</v>
      </c>
      <c r="O48" s="313">
        <v>220</v>
      </c>
      <c r="P48" s="599">
        <v>320</v>
      </c>
      <c r="Q48" s="311">
        <v>70</v>
      </c>
      <c r="R48" s="316">
        <v>1</v>
      </c>
      <c r="S48" s="320">
        <v>215</v>
      </c>
      <c r="T48" s="318">
        <v>500</v>
      </c>
      <c r="U48" s="322">
        <v>70</v>
      </c>
      <c r="V48" s="600">
        <v>1</v>
      </c>
      <c r="W48" s="372"/>
      <c r="X48" s="372"/>
      <c r="Y48" s="372"/>
      <c r="Z48" s="372"/>
      <c r="AA48" s="372"/>
      <c r="AB48" s="372"/>
      <c r="AC48" s="372"/>
      <c r="AD48" s="117"/>
      <c r="AE48" s="80"/>
      <c r="AF48" s="80"/>
      <c r="AG48" s="372" t="s">
        <v>2634</v>
      </c>
      <c r="AH48" s="372"/>
      <c r="AI48" s="372">
        <v>1</v>
      </c>
      <c r="AJ48" s="372"/>
      <c r="AK48" s="372">
        <v>1</v>
      </c>
      <c r="AL48" s="372"/>
      <c r="AM48" s="372"/>
      <c r="AN48" s="372"/>
      <c r="AO48" s="372"/>
      <c r="AP48" s="372">
        <v>1</v>
      </c>
      <c r="AQ48" s="372"/>
      <c r="AR48" s="372"/>
      <c r="AS48" s="372"/>
      <c r="AT48" s="372">
        <v>1</v>
      </c>
      <c r="AU48" s="372"/>
      <c r="AV48" s="372"/>
      <c r="AW48" s="372">
        <v>1</v>
      </c>
      <c r="AX48" s="372"/>
      <c r="AY48" s="372"/>
      <c r="AZ48" s="372"/>
      <c r="BA48" s="372">
        <v>1</v>
      </c>
      <c r="BB48" s="372"/>
      <c r="BC48" s="372"/>
      <c r="BD48" s="372"/>
      <c r="BE48" s="372"/>
      <c r="BF48" s="372"/>
      <c r="BG48" s="372"/>
      <c r="BH48" s="372"/>
      <c r="BI48" s="372"/>
      <c r="BJ48" s="372"/>
      <c r="BK48" s="372"/>
      <c r="BL48" s="372"/>
    </row>
    <row r="49" spans="3:64" ht="20.100000000000001" customHeight="1">
      <c r="C49" s="345" t="s">
        <v>3294</v>
      </c>
      <c r="D49" s="125" t="s">
        <v>2708</v>
      </c>
      <c r="E49" s="62" t="s">
        <v>2369</v>
      </c>
      <c r="F49" s="593"/>
      <c r="G49" s="597">
        <v>0.1</v>
      </c>
      <c r="H49" s="593">
        <f>G49*F49</f>
        <v>0</v>
      </c>
      <c r="I49" s="593">
        <f t="shared" ref="I49:I56" si="16">H49+F49</f>
        <v>0</v>
      </c>
      <c r="J49" s="374">
        <f t="shared" si="13"/>
        <v>0</v>
      </c>
      <c r="N49" s="309">
        <v>25</v>
      </c>
      <c r="O49" s="313">
        <v>250</v>
      </c>
      <c r="P49" s="599">
        <v>400</v>
      </c>
      <c r="Q49" s="311">
        <v>95</v>
      </c>
      <c r="R49" s="316">
        <v>1</v>
      </c>
      <c r="S49" s="320">
        <v>260</v>
      </c>
      <c r="T49" s="318">
        <v>600</v>
      </c>
      <c r="U49" s="322">
        <v>95</v>
      </c>
      <c r="V49" s="600">
        <v>1</v>
      </c>
      <c r="W49" s="372"/>
      <c r="X49" s="372"/>
      <c r="Y49" s="372"/>
      <c r="Z49" s="372"/>
      <c r="AA49" s="372"/>
      <c r="AB49" s="372"/>
      <c r="AC49" s="372"/>
      <c r="AD49" s="117"/>
      <c r="AE49" s="80"/>
      <c r="AF49" s="80"/>
      <c r="AG49" s="372" t="s">
        <v>2635</v>
      </c>
      <c r="AH49" s="372"/>
      <c r="AI49" s="372">
        <v>1</v>
      </c>
      <c r="AJ49" s="372"/>
      <c r="AK49" s="372">
        <v>1</v>
      </c>
      <c r="AL49" s="372"/>
      <c r="AM49" s="372"/>
      <c r="AN49" s="372"/>
      <c r="AO49" s="372"/>
      <c r="AP49" s="372">
        <v>2</v>
      </c>
      <c r="AQ49" s="372">
        <v>1</v>
      </c>
      <c r="AR49" s="372"/>
      <c r="AS49" s="372"/>
      <c r="AT49" s="372">
        <v>2</v>
      </c>
      <c r="AU49" s="372">
        <v>1</v>
      </c>
      <c r="AV49" s="372"/>
      <c r="AW49" s="372">
        <v>3</v>
      </c>
      <c r="AX49" s="372"/>
      <c r="AY49" s="372"/>
      <c r="AZ49" s="372"/>
      <c r="BA49" s="372">
        <v>3</v>
      </c>
      <c r="BB49" s="372"/>
      <c r="BC49" s="372"/>
      <c r="BD49" s="372"/>
      <c r="BE49" s="372"/>
      <c r="BF49" s="372"/>
      <c r="BG49" s="372"/>
      <c r="BH49" s="372"/>
      <c r="BI49" s="372"/>
      <c r="BJ49" s="372"/>
      <c r="BK49" s="372"/>
      <c r="BL49" s="372"/>
    </row>
    <row r="50" spans="3:64" ht="20.100000000000001" customHeight="1">
      <c r="C50" s="345" t="s">
        <v>3295</v>
      </c>
      <c r="D50" s="125" t="s">
        <v>2709</v>
      </c>
      <c r="E50" s="62" t="s">
        <v>2369</v>
      </c>
      <c r="F50" s="593"/>
      <c r="G50" s="597">
        <v>0.1</v>
      </c>
      <c r="H50" s="593">
        <f>G50*F50</f>
        <v>0</v>
      </c>
      <c r="I50" s="593">
        <f t="shared" si="16"/>
        <v>0</v>
      </c>
      <c r="J50" s="374">
        <f t="shared" si="13"/>
        <v>0</v>
      </c>
      <c r="N50" s="309">
        <v>30</v>
      </c>
      <c r="O50" s="313">
        <v>300</v>
      </c>
      <c r="P50" s="599">
        <v>500</v>
      </c>
      <c r="Q50" s="311">
        <v>120</v>
      </c>
      <c r="R50" s="316">
        <v>1</v>
      </c>
      <c r="S50" s="320">
        <v>324</v>
      </c>
      <c r="T50" s="318">
        <v>800</v>
      </c>
      <c r="U50" s="322">
        <v>120</v>
      </c>
      <c r="V50" s="600">
        <v>1</v>
      </c>
      <c r="W50" s="372"/>
      <c r="X50" s="372"/>
      <c r="Y50" s="372"/>
      <c r="Z50" s="372"/>
      <c r="AA50" s="372"/>
      <c r="AB50" s="372"/>
      <c r="AC50" s="372"/>
      <c r="AD50" s="117"/>
      <c r="AE50" s="80"/>
      <c r="AF50" s="80"/>
      <c r="AG50" s="372" t="s">
        <v>2636</v>
      </c>
      <c r="AH50" s="372"/>
      <c r="AI50" s="372">
        <v>1</v>
      </c>
      <c r="AJ50" s="372"/>
      <c r="AK50" s="372">
        <v>1</v>
      </c>
      <c r="AL50" s="372"/>
      <c r="AM50" s="372"/>
      <c r="AN50" s="372"/>
      <c r="AO50" s="372"/>
      <c r="AP50" s="372">
        <v>2</v>
      </c>
      <c r="AQ50" s="372">
        <v>2</v>
      </c>
      <c r="AR50" s="372"/>
      <c r="AS50" s="372"/>
      <c r="AT50" s="372">
        <v>2</v>
      </c>
      <c r="AU50" s="372">
        <v>2</v>
      </c>
      <c r="AV50" s="372"/>
      <c r="AW50" s="372">
        <v>4</v>
      </c>
      <c r="AX50" s="372"/>
      <c r="AY50" s="372"/>
      <c r="AZ50" s="372"/>
      <c r="BA50" s="372">
        <v>4</v>
      </c>
      <c r="BB50" s="372"/>
      <c r="BC50" s="372"/>
      <c r="BD50" s="372"/>
      <c r="BE50" s="372"/>
      <c r="BF50" s="372"/>
      <c r="BG50" s="372"/>
      <c r="BH50" s="372"/>
      <c r="BI50" s="372"/>
      <c r="BJ50" s="372"/>
      <c r="BK50" s="372"/>
      <c r="BL50" s="372"/>
    </row>
    <row r="51" spans="3:64" ht="20.100000000000001" customHeight="1">
      <c r="C51" s="345" t="s">
        <v>3296</v>
      </c>
      <c r="D51" s="125" t="s">
        <v>2710</v>
      </c>
      <c r="E51" s="62" t="s">
        <v>2369</v>
      </c>
      <c r="F51" s="593"/>
      <c r="G51" s="597">
        <v>0.1</v>
      </c>
      <c r="H51" s="593">
        <f>G51*F51</f>
        <v>0</v>
      </c>
      <c r="I51" s="593">
        <f t="shared" si="16"/>
        <v>0</v>
      </c>
      <c r="J51" s="374">
        <f t="shared" si="13"/>
        <v>0</v>
      </c>
      <c r="N51" s="309">
        <v>40</v>
      </c>
      <c r="O51" s="313">
        <v>380</v>
      </c>
      <c r="P51" s="599">
        <v>630</v>
      </c>
      <c r="Q51" s="311">
        <v>150</v>
      </c>
      <c r="R51" s="316">
        <v>1</v>
      </c>
      <c r="S51" s="320">
        <v>384</v>
      </c>
      <c r="T51" s="318">
        <v>1000</v>
      </c>
      <c r="U51" s="322">
        <v>150</v>
      </c>
      <c r="V51" s="600">
        <v>1</v>
      </c>
      <c r="W51" s="372"/>
      <c r="X51" s="372"/>
      <c r="Y51" s="372"/>
      <c r="Z51" s="372"/>
      <c r="AA51" s="372"/>
      <c r="AB51" s="372"/>
      <c r="AC51" s="372"/>
      <c r="AD51" s="117"/>
      <c r="AE51" s="80"/>
      <c r="AF51" s="80"/>
      <c r="AG51" s="372" t="s">
        <v>2637</v>
      </c>
      <c r="AH51" s="134"/>
      <c r="AI51" s="134">
        <v>1</v>
      </c>
      <c r="AJ51" s="134"/>
      <c r="AK51" s="134">
        <v>1</v>
      </c>
      <c r="AL51" s="134"/>
      <c r="AM51" s="134"/>
      <c r="AN51" s="134"/>
      <c r="AO51" s="134"/>
      <c r="AP51" s="134"/>
      <c r="AQ51" s="134">
        <v>2</v>
      </c>
      <c r="AR51" s="134"/>
      <c r="AS51" s="134"/>
      <c r="AT51" s="134"/>
      <c r="AU51" s="134">
        <v>2</v>
      </c>
      <c r="AV51" s="134"/>
      <c r="AW51" s="134">
        <v>2</v>
      </c>
      <c r="AX51" s="134"/>
      <c r="AY51" s="134">
        <v>1</v>
      </c>
      <c r="AZ51" s="134"/>
      <c r="BA51" s="134">
        <v>2</v>
      </c>
      <c r="BB51" s="134"/>
      <c r="BC51" s="372"/>
      <c r="BD51" s="372"/>
      <c r="BE51" s="372"/>
      <c r="BF51" s="372"/>
      <c r="BG51" s="372"/>
      <c r="BH51" s="372"/>
      <c r="BI51" s="372"/>
      <c r="BJ51" s="372"/>
      <c r="BK51" s="372"/>
      <c r="BL51" s="372"/>
    </row>
    <row r="52" spans="3:64" ht="20.100000000000001" customHeight="1">
      <c r="C52" s="168" t="s">
        <v>2655</v>
      </c>
      <c r="D52" s="119" t="s">
        <v>2647</v>
      </c>
      <c r="E52" s="120" t="s">
        <v>2831</v>
      </c>
      <c r="F52" s="589">
        <f>SUBTOTAL(9,F53:F56)</f>
        <v>0</v>
      </c>
      <c r="G52" s="590"/>
      <c r="H52" s="589">
        <f>SUBTOTAL(9,H53:H56)</f>
        <v>0</v>
      </c>
      <c r="I52" s="589">
        <f>SUBTOTAL(9,I53:I56)</f>
        <v>0</v>
      </c>
      <c r="J52" s="374">
        <f t="shared" si="13"/>
        <v>0</v>
      </c>
      <c r="N52" s="309">
        <v>60</v>
      </c>
      <c r="O52" s="85"/>
      <c r="P52" s="599">
        <v>800</v>
      </c>
      <c r="Q52" s="311">
        <v>185</v>
      </c>
      <c r="R52" s="316">
        <v>1</v>
      </c>
      <c r="S52" s="320">
        <v>405</v>
      </c>
      <c r="T52" s="318">
        <v>1500</v>
      </c>
      <c r="U52" s="322">
        <v>185</v>
      </c>
      <c r="V52" s="600">
        <v>1</v>
      </c>
      <c r="W52" s="372"/>
      <c r="X52" s="372"/>
      <c r="Y52" s="372"/>
      <c r="Z52" s="372"/>
      <c r="AA52" s="372"/>
      <c r="AB52" s="372"/>
      <c r="AC52" s="372"/>
      <c r="AD52" s="117"/>
      <c r="AE52" s="129">
        <v>2</v>
      </c>
      <c r="AF52" s="129" t="s">
        <v>2639</v>
      </c>
      <c r="AG52" s="130"/>
      <c r="AH52" s="133"/>
      <c r="AI52" s="133">
        <v>1</v>
      </c>
      <c r="AJ52" s="133"/>
      <c r="AK52" s="133">
        <v>1</v>
      </c>
      <c r="AL52" s="133"/>
      <c r="AM52" s="133">
        <v>1</v>
      </c>
      <c r="AN52" s="133"/>
      <c r="AO52" s="133"/>
      <c r="AP52" s="133">
        <v>1</v>
      </c>
      <c r="AQ52" s="133">
        <v>1</v>
      </c>
      <c r="AR52" s="133"/>
      <c r="AS52" s="133"/>
      <c r="AT52" s="133">
        <v>1</v>
      </c>
      <c r="AU52" s="133">
        <v>1</v>
      </c>
      <c r="AV52" s="133">
        <v>1</v>
      </c>
      <c r="AW52" s="133">
        <v>1</v>
      </c>
      <c r="AX52" s="133">
        <v>1</v>
      </c>
      <c r="AY52" s="133">
        <v>1</v>
      </c>
      <c r="AZ52" s="133">
        <v>1</v>
      </c>
      <c r="BA52" s="133"/>
      <c r="BB52" s="133">
        <v>1</v>
      </c>
      <c r="BC52" s="130">
        <v>1</v>
      </c>
      <c r="BD52" s="130">
        <v>1</v>
      </c>
      <c r="BE52" s="130">
        <v>1</v>
      </c>
      <c r="BF52" s="130">
        <v>1</v>
      </c>
      <c r="BG52" s="130">
        <v>1</v>
      </c>
      <c r="BH52" s="130"/>
      <c r="BI52" s="130"/>
      <c r="BJ52" s="130"/>
      <c r="BK52" s="130"/>
      <c r="BL52" s="130"/>
    </row>
    <row r="53" spans="3:64" ht="20.100000000000001" customHeight="1">
      <c r="C53" s="345" t="s">
        <v>3297</v>
      </c>
      <c r="D53" s="125" t="s">
        <v>2708</v>
      </c>
      <c r="E53" s="62" t="s">
        <v>2369</v>
      </c>
      <c r="F53" s="593"/>
      <c r="G53" s="597">
        <v>0.1</v>
      </c>
      <c r="H53" s="593">
        <f>G53*F53</f>
        <v>0</v>
      </c>
      <c r="I53" s="593">
        <f t="shared" si="16"/>
        <v>0</v>
      </c>
      <c r="J53" s="374">
        <f t="shared" si="13"/>
        <v>0</v>
      </c>
      <c r="N53" s="309">
        <v>80</v>
      </c>
      <c r="O53" s="85"/>
      <c r="P53" s="599">
        <v>1000</v>
      </c>
      <c r="Q53" s="311">
        <v>200</v>
      </c>
      <c r="R53" s="316">
        <v>1</v>
      </c>
      <c r="S53" s="320">
        <v>443</v>
      </c>
      <c r="T53" s="85"/>
      <c r="U53" s="322">
        <v>200</v>
      </c>
      <c r="V53" s="600">
        <v>1</v>
      </c>
      <c r="W53" s="372"/>
      <c r="X53" s="372"/>
      <c r="Y53" s="372"/>
      <c r="Z53" s="372"/>
      <c r="AA53" s="372"/>
      <c r="AB53" s="372"/>
      <c r="AC53" s="372"/>
      <c r="AD53" s="117"/>
      <c r="AE53" s="80"/>
      <c r="AF53" s="80"/>
      <c r="AG53" s="372" t="s">
        <v>2361</v>
      </c>
      <c r="AH53" s="134"/>
      <c r="AI53" s="134">
        <v>1</v>
      </c>
      <c r="AJ53" s="134"/>
      <c r="AK53" s="134">
        <v>1</v>
      </c>
      <c r="AL53" s="134"/>
      <c r="AM53" s="134"/>
      <c r="AN53" s="134"/>
      <c r="AO53" s="134"/>
      <c r="AP53" s="134"/>
      <c r="AQ53" s="134"/>
      <c r="AR53" s="134"/>
      <c r="AS53" s="134"/>
      <c r="AT53" s="134"/>
      <c r="AU53" s="134"/>
      <c r="AV53" s="134">
        <v>1</v>
      </c>
      <c r="AW53" s="134"/>
      <c r="AX53" s="134">
        <f>IF(BB41="X-1,66Đ",2,3)</f>
        <v>3</v>
      </c>
      <c r="AY53" s="134">
        <f>IF($BB$41="X-1,66Đ",1,0)</f>
        <v>0</v>
      </c>
      <c r="AZ53" s="134"/>
      <c r="BA53" s="134"/>
      <c r="BB53" s="134">
        <v>1</v>
      </c>
      <c r="BC53" s="372"/>
      <c r="BD53" s="372"/>
      <c r="BE53" s="372"/>
      <c r="BF53" s="372"/>
      <c r="BG53" s="372"/>
      <c r="BH53" s="372"/>
      <c r="BI53" s="372"/>
      <c r="BJ53" s="372"/>
      <c r="BK53" s="372"/>
      <c r="BL53" s="372"/>
    </row>
    <row r="54" spans="3:64" ht="20.100000000000001" customHeight="1">
      <c r="C54" s="345" t="s">
        <v>3298</v>
      </c>
      <c r="D54" s="125" t="s">
        <v>2709</v>
      </c>
      <c r="E54" s="62" t="s">
        <v>2369</v>
      </c>
      <c r="F54" s="593"/>
      <c r="G54" s="597">
        <v>0.1</v>
      </c>
      <c r="H54" s="593">
        <f>G54*F54</f>
        <v>0</v>
      </c>
      <c r="I54" s="593">
        <f t="shared" si="16"/>
        <v>0</v>
      </c>
      <c r="J54" s="374">
        <f t="shared" si="13"/>
        <v>0</v>
      </c>
      <c r="N54" s="309">
        <v>100</v>
      </c>
      <c r="O54" s="85"/>
      <c r="P54" s="599">
        <v>1250</v>
      </c>
      <c r="Q54" s="311">
        <v>250</v>
      </c>
      <c r="R54" s="316">
        <v>1</v>
      </c>
      <c r="S54" s="320">
        <v>518</v>
      </c>
      <c r="T54" s="85"/>
      <c r="U54" s="322">
        <v>250</v>
      </c>
      <c r="V54" s="600">
        <v>1</v>
      </c>
      <c r="W54" s="372"/>
      <c r="X54" s="372"/>
      <c r="Y54" s="372"/>
      <c r="Z54" s="372"/>
      <c r="AA54" s="372"/>
      <c r="AB54" s="372"/>
      <c r="AC54" s="372"/>
      <c r="AD54" s="117"/>
      <c r="AE54" s="80"/>
      <c r="AF54" s="80"/>
      <c r="AG54" s="372" t="s">
        <v>398</v>
      </c>
      <c r="AH54" s="134"/>
      <c r="AI54" s="134">
        <v>1</v>
      </c>
      <c r="AJ54" s="134"/>
      <c r="AK54" s="134">
        <v>1</v>
      </c>
      <c r="AL54" s="134"/>
      <c r="AM54" s="134"/>
      <c r="AN54" s="134"/>
      <c r="AO54" s="134"/>
      <c r="AP54" s="134">
        <v>1</v>
      </c>
      <c r="AQ54" s="134"/>
      <c r="AR54" s="134"/>
      <c r="AS54" s="134"/>
      <c r="AT54" s="134">
        <v>1</v>
      </c>
      <c r="AU54" s="134"/>
      <c r="AV54" s="134">
        <v>1</v>
      </c>
      <c r="AW54" s="134"/>
      <c r="AX54" s="134"/>
      <c r="AY54" s="134"/>
      <c r="AZ54" s="134">
        <v>1</v>
      </c>
      <c r="BA54" s="134"/>
      <c r="BB54" s="134"/>
      <c r="BC54" s="372">
        <v>1</v>
      </c>
      <c r="BD54" s="372"/>
      <c r="BE54" s="372"/>
      <c r="BF54" s="372"/>
      <c r="BG54" s="372">
        <v>1</v>
      </c>
      <c r="BH54" s="372"/>
      <c r="BI54" s="372"/>
      <c r="BJ54" s="372"/>
      <c r="BK54" s="372"/>
      <c r="BL54" s="372"/>
    </row>
    <row r="55" spans="3:64" ht="20.100000000000001" customHeight="1">
      <c r="C55" s="345" t="s">
        <v>3299</v>
      </c>
      <c r="D55" s="125" t="s">
        <v>2710</v>
      </c>
      <c r="E55" s="62" t="s">
        <v>2369</v>
      </c>
      <c r="F55" s="593"/>
      <c r="G55" s="597">
        <v>0.1</v>
      </c>
      <c r="H55" s="593">
        <f>G55*F55</f>
        <v>0</v>
      </c>
      <c r="I55" s="593">
        <f t="shared" si="16"/>
        <v>0</v>
      </c>
      <c r="J55" s="374">
        <f t="shared" si="13"/>
        <v>0</v>
      </c>
      <c r="N55" s="309">
        <v>120</v>
      </c>
      <c r="O55" s="85"/>
      <c r="P55" s="599">
        <v>1600</v>
      </c>
      <c r="Q55" s="311">
        <v>120</v>
      </c>
      <c r="R55" s="316">
        <v>2</v>
      </c>
      <c r="S55" s="320">
        <f>2*324</f>
        <v>648</v>
      </c>
      <c r="T55" s="85"/>
      <c r="U55" s="322">
        <v>120</v>
      </c>
      <c r="V55" s="600">
        <v>2</v>
      </c>
      <c r="W55" s="372"/>
      <c r="X55" s="372"/>
      <c r="Y55" s="372"/>
      <c r="Z55" s="372"/>
      <c r="AA55" s="372"/>
      <c r="AB55" s="372"/>
      <c r="AC55" s="372"/>
      <c r="AD55" s="117"/>
      <c r="AE55" s="80"/>
      <c r="AF55" s="80"/>
      <c r="AG55" s="372" t="s">
        <v>2631</v>
      </c>
      <c r="AH55" s="134"/>
      <c r="AI55" s="134">
        <v>1</v>
      </c>
      <c r="AJ55" s="134"/>
      <c r="AK55" s="134">
        <v>1</v>
      </c>
      <c r="AL55" s="134"/>
      <c r="AM55" s="134"/>
      <c r="AN55" s="134"/>
      <c r="AO55" s="134"/>
      <c r="AP55" s="134">
        <v>1</v>
      </c>
      <c r="AQ55" s="134"/>
      <c r="AR55" s="134"/>
      <c r="AS55" s="134"/>
      <c r="AT55" s="134">
        <v>1</v>
      </c>
      <c r="AU55" s="134"/>
      <c r="AV55" s="134">
        <v>1</v>
      </c>
      <c r="AW55" s="134">
        <v>1</v>
      </c>
      <c r="AX55" s="134">
        <v>1</v>
      </c>
      <c r="AY55" s="134">
        <f>IF($BB$41="X-1,66Đ",1,0)</f>
        <v>0</v>
      </c>
      <c r="AZ55" s="134"/>
      <c r="BA55" s="134">
        <v>1</v>
      </c>
      <c r="BB55" s="134">
        <v>1</v>
      </c>
      <c r="BC55" s="372"/>
      <c r="BD55" s="372">
        <v>3</v>
      </c>
      <c r="BE55" s="372"/>
      <c r="BF55" s="372"/>
      <c r="BG55" s="372">
        <v>1</v>
      </c>
      <c r="BH55" s="372"/>
      <c r="BI55" s="372"/>
      <c r="BJ55" s="372"/>
      <c r="BK55" s="372"/>
      <c r="BL55" s="372"/>
    </row>
    <row r="56" spans="3:64" ht="20.100000000000001" customHeight="1">
      <c r="C56" s="345" t="s">
        <v>3300</v>
      </c>
      <c r="D56" s="125" t="s">
        <v>2711</v>
      </c>
      <c r="E56" s="62" t="s">
        <v>2369</v>
      </c>
      <c r="F56" s="593"/>
      <c r="G56" s="597">
        <v>0.1</v>
      </c>
      <c r="H56" s="593">
        <f>G56*F56</f>
        <v>0</v>
      </c>
      <c r="I56" s="593">
        <f t="shared" si="16"/>
        <v>0</v>
      </c>
      <c r="J56" s="374">
        <f t="shared" si="13"/>
        <v>0</v>
      </c>
      <c r="N56" s="309">
        <v>140</v>
      </c>
      <c r="O56" s="135"/>
      <c r="P56" s="85"/>
      <c r="Q56" s="311">
        <v>150</v>
      </c>
      <c r="R56" s="316">
        <v>2</v>
      </c>
      <c r="S56" s="320">
        <f>2*384</f>
        <v>768</v>
      </c>
      <c r="T56" s="237"/>
      <c r="U56" s="322">
        <v>150</v>
      </c>
      <c r="V56" s="600">
        <v>2</v>
      </c>
      <c r="W56" s="81"/>
      <c r="X56" s="81"/>
      <c r="Y56" s="81"/>
      <c r="Z56" s="81"/>
      <c r="AA56" s="81"/>
      <c r="AB56" s="81"/>
      <c r="AC56" s="81"/>
      <c r="AD56" s="117"/>
      <c r="AE56" s="80"/>
      <c r="AF56" s="80"/>
      <c r="AG56" s="372" t="s">
        <v>2632</v>
      </c>
      <c r="AH56" s="134"/>
      <c r="AI56" s="134">
        <v>1</v>
      </c>
      <c r="AJ56" s="134"/>
      <c r="AK56" s="134">
        <v>1</v>
      </c>
      <c r="AL56" s="134"/>
      <c r="AM56" s="134"/>
      <c r="AN56" s="134"/>
      <c r="AO56" s="134"/>
      <c r="AP56" s="134">
        <v>1</v>
      </c>
      <c r="AQ56" s="134"/>
      <c r="AR56" s="134"/>
      <c r="AS56" s="134"/>
      <c r="AT56" s="134">
        <v>1</v>
      </c>
      <c r="AU56" s="134"/>
      <c r="AV56" s="134">
        <v>1</v>
      </c>
      <c r="AW56" s="134"/>
      <c r="AX56" s="134"/>
      <c r="AY56" s="134"/>
      <c r="AZ56" s="134"/>
      <c r="BA56" s="134">
        <v>1</v>
      </c>
      <c r="BB56" s="134"/>
      <c r="BC56" s="372"/>
      <c r="BD56" s="372">
        <v>3</v>
      </c>
      <c r="BE56" s="372"/>
      <c r="BF56" s="372"/>
      <c r="BG56" s="372"/>
      <c r="BH56" s="372"/>
      <c r="BI56" s="372"/>
      <c r="BJ56" s="372"/>
      <c r="BK56" s="372"/>
      <c r="BL56" s="372"/>
    </row>
    <row r="57" spans="3:64" ht="20.100000000000001" customHeight="1">
      <c r="C57" s="336" t="s">
        <v>2375</v>
      </c>
      <c r="D57" s="52" t="s">
        <v>2408</v>
      </c>
      <c r="E57" s="56" t="str">
        <f>HSQLDA&amp;" % x Gxd "</f>
        <v xml:space="preserve">3,453 % x Gxd </v>
      </c>
      <c r="F57" s="601">
        <f>HSQLDA/100*F36</f>
        <v>0</v>
      </c>
      <c r="G57" s="602">
        <v>0.1</v>
      </c>
      <c r="H57" s="603">
        <f t="shared" ref="H57:H71" si="17">F57*G57</f>
        <v>0</v>
      </c>
      <c r="I57" s="601">
        <f>F57+H57</f>
        <v>0</v>
      </c>
      <c r="J57" s="374">
        <f t="shared" si="13"/>
        <v>0</v>
      </c>
      <c r="N57" s="41"/>
      <c r="O57" s="41"/>
      <c r="P57" s="42"/>
      <c r="Q57" s="311">
        <v>200</v>
      </c>
      <c r="R57" s="316">
        <v>2</v>
      </c>
      <c r="S57" s="320">
        <f>2*443</f>
        <v>886</v>
      </c>
      <c r="T57" s="85"/>
      <c r="U57" s="322">
        <v>200</v>
      </c>
      <c r="V57" s="600">
        <v>2</v>
      </c>
      <c r="W57" s="372"/>
      <c r="X57" s="372"/>
      <c r="Y57" s="372"/>
      <c r="Z57" s="372"/>
      <c r="AA57" s="372"/>
      <c r="AB57" s="372"/>
      <c r="AC57" s="372"/>
      <c r="AD57" s="117"/>
      <c r="AE57" s="80"/>
      <c r="AF57" s="80"/>
      <c r="AG57" s="372" t="s">
        <v>2633</v>
      </c>
      <c r="AH57" s="134"/>
      <c r="AI57" s="134">
        <v>1</v>
      </c>
      <c r="AJ57" s="134"/>
      <c r="AK57" s="134">
        <v>1</v>
      </c>
      <c r="AL57" s="134"/>
      <c r="AM57" s="134"/>
      <c r="AN57" s="134"/>
      <c r="AO57" s="134"/>
      <c r="AP57" s="134">
        <v>2</v>
      </c>
      <c r="AQ57" s="134"/>
      <c r="AR57" s="134"/>
      <c r="AS57" s="134"/>
      <c r="AT57" s="134">
        <v>2</v>
      </c>
      <c r="AU57" s="134"/>
      <c r="AV57" s="134"/>
      <c r="AW57" s="134">
        <v>2</v>
      </c>
      <c r="AX57" s="134">
        <v>3</v>
      </c>
      <c r="AY57" s="134">
        <f>IF($BB$41="X-1,66Đ",1,0)</f>
        <v>0</v>
      </c>
      <c r="AZ57" s="134"/>
      <c r="BA57" s="134">
        <v>2</v>
      </c>
      <c r="BB57" s="134"/>
      <c r="BC57" s="372"/>
      <c r="BD57" s="372">
        <v>6</v>
      </c>
      <c r="BE57" s="372"/>
      <c r="BF57" s="372"/>
      <c r="BG57" s="372">
        <v>1</v>
      </c>
      <c r="BH57" s="372"/>
      <c r="BI57" s="372"/>
      <c r="BJ57" s="372"/>
      <c r="BK57" s="372"/>
      <c r="BL57" s="372"/>
    </row>
    <row r="58" spans="3:64" ht="20.100000000000001" customHeight="1">
      <c r="C58" s="336" t="s">
        <v>2412</v>
      </c>
      <c r="D58" s="52" t="s">
        <v>2413</v>
      </c>
      <c r="E58" s="56" t="s">
        <v>2440</v>
      </c>
      <c r="F58" s="601">
        <f>SUM(F64:F72)+F59</f>
        <v>4000000</v>
      </c>
      <c r="G58" s="602"/>
      <c r="H58" s="601">
        <f>SUM(H64:H72)+H59</f>
        <v>400000</v>
      </c>
      <c r="I58" s="601">
        <f t="shared" ref="I58:I64" si="18">F58+H58</f>
        <v>4400000</v>
      </c>
      <c r="J58" s="374">
        <f t="shared" si="13"/>
        <v>1</v>
      </c>
      <c r="N58" s="80"/>
      <c r="O58" s="80"/>
      <c r="P58" s="372"/>
      <c r="Q58" s="311">
        <v>250</v>
      </c>
      <c r="R58" s="316">
        <v>2</v>
      </c>
      <c r="S58" s="320">
        <f>2*518</f>
        <v>1036</v>
      </c>
      <c r="T58" s="238"/>
      <c r="U58" s="322">
        <v>250</v>
      </c>
      <c r="V58" s="600">
        <v>2</v>
      </c>
      <c r="W58" s="81"/>
      <c r="X58" s="81"/>
      <c r="Y58" s="81"/>
      <c r="Z58" s="81"/>
      <c r="AA58" s="81"/>
      <c r="AB58" s="81"/>
      <c r="AC58" s="81"/>
      <c r="AD58" s="117"/>
      <c r="AE58" s="80"/>
      <c r="AF58" s="80"/>
      <c r="AG58" s="372" t="s">
        <v>2634</v>
      </c>
      <c r="AH58" s="134"/>
      <c r="AI58" s="134">
        <v>1</v>
      </c>
      <c r="AJ58" s="134"/>
      <c r="AK58" s="134">
        <v>1</v>
      </c>
      <c r="AL58" s="134"/>
      <c r="AM58" s="134"/>
      <c r="AN58" s="134"/>
      <c r="AO58" s="134"/>
      <c r="AP58" s="134">
        <v>1</v>
      </c>
      <c r="AQ58" s="134"/>
      <c r="AR58" s="134"/>
      <c r="AS58" s="134"/>
      <c r="AT58" s="134">
        <v>1</v>
      </c>
      <c r="AU58" s="134"/>
      <c r="AV58" s="134"/>
      <c r="AW58" s="134">
        <v>1</v>
      </c>
      <c r="AX58" s="134"/>
      <c r="AY58" s="134"/>
      <c r="AZ58" s="134"/>
      <c r="BA58" s="134">
        <v>1</v>
      </c>
      <c r="BB58" s="134"/>
      <c r="BC58" s="372"/>
      <c r="BD58" s="372">
        <v>3</v>
      </c>
      <c r="BE58" s="372"/>
      <c r="BF58" s="372"/>
      <c r="BG58" s="372">
        <v>1</v>
      </c>
      <c r="BH58" s="372"/>
      <c r="BI58" s="372"/>
      <c r="BJ58" s="372"/>
      <c r="BK58" s="372"/>
      <c r="BL58" s="372"/>
    </row>
    <row r="59" spans="3:64" ht="20.100000000000001" customHeight="1">
      <c r="C59" s="346" t="s">
        <v>2656</v>
      </c>
      <c r="D59" s="61" t="s">
        <v>2414</v>
      </c>
      <c r="E59" s="62" t="s">
        <v>2832</v>
      </c>
      <c r="F59" s="604">
        <f>SUM(F60:F63)</f>
        <v>0</v>
      </c>
      <c r="G59" s="605">
        <v>0.1</v>
      </c>
      <c r="H59" s="606">
        <f t="shared" si="17"/>
        <v>0</v>
      </c>
      <c r="I59" s="604">
        <f t="shared" si="18"/>
        <v>0</v>
      </c>
      <c r="J59" s="374">
        <f t="shared" si="13"/>
        <v>0</v>
      </c>
      <c r="N59" s="80"/>
      <c r="O59" s="80"/>
      <c r="P59" s="372"/>
      <c r="Q59" s="238"/>
      <c r="R59" s="238"/>
      <c r="S59" s="238"/>
      <c r="T59" s="81"/>
      <c r="U59" s="81"/>
      <c r="V59" s="81"/>
      <c r="W59" s="81"/>
      <c r="X59" s="81"/>
      <c r="Y59" s="81"/>
      <c r="Z59" s="81"/>
      <c r="AA59" s="81"/>
      <c r="AB59" s="81"/>
      <c r="AC59" s="81"/>
      <c r="AD59" s="117"/>
      <c r="AE59" s="80"/>
      <c r="AF59" s="80"/>
      <c r="AG59" s="372" t="s">
        <v>2635</v>
      </c>
      <c r="AH59" s="134"/>
      <c r="AI59" s="134">
        <v>1</v>
      </c>
      <c r="AJ59" s="134"/>
      <c r="AK59" s="134">
        <v>1</v>
      </c>
      <c r="AL59" s="134"/>
      <c r="AM59" s="134"/>
      <c r="AN59" s="134"/>
      <c r="AO59" s="134"/>
      <c r="AP59" s="134">
        <v>2</v>
      </c>
      <c r="AQ59" s="134">
        <v>1</v>
      </c>
      <c r="AR59" s="134"/>
      <c r="AS59" s="134"/>
      <c r="AT59" s="134">
        <v>2</v>
      </c>
      <c r="AU59" s="134">
        <v>1</v>
      </c>
      <c r="AV59" s="134"/>
      <c r="AW59" s="134">
        <v>3</v>
      </c>
      <c r="AX59" s="134">
        <v>4</v>
      </c>
      <c r="AY59" s="134"/>
      <c r="AZ59" s="134"/>
      <c r="BA59" s="134">
        <v>3</v>
      </c>
      <c r="BB59" s="134"/>
      <c r="BC59" s="372"/>
      <c r="BD59" s="372">
        <v>9</v>
      </c>
      <c r="BE59" s="372"/>
      <c r="BF59" s="372"/>
      <c r="BG59" s="372">
        <v>2</v>
      </c>
      <c r="BH59" s="372"/>
      <c r="BI59" s="372"/>
      <c r="BJ59" s="372"/>
      <c r="BK59" s="372"/>
      <c r="BL59" s="372"/>
    </row>
    <row r="60" spans="3:64" ht="20.100000000000001" customHeight="1">
      <c r="C60" s="346" t="s">
        <v>2657</v>
      </c>
      <c r="D60" s="63" t="s">
        <v>2435</v>
      </c>
      <c r="E60" s="62" t="s">
        <v>2369</v>
      </c>
      <c r="F60" s="593"/>
      <c r="G60" s="597">
        <v>0.1</v>
      </c>
      <c r="H60" s="607">
        <f t="shared" si="17"/>
        <v>0</v>
      </c>
      <c r="I60" s="593">
        <f t="shared" si="18"/>
        <v>0</v>
      </c>
      <c r="J60" s="374">
        <f t="shared" si="13"/>
        <v>0</v>
      </c>
      <c r="N60" s="80"/>
      <c r="O60" s="80"/>
      <c r="P60" s="372"/>
      <c r="Q60" s="372"/>
      <c r="R60" s="372"/>
      <c r="S60" s="372"/>
      <c r="T60" s="372"/>
      <c r="U60" s="372"/>
      <c r="V60" s="372"/>
      <c r="W60" s="372"/>
      <c r="X60" s="372"/>
      <c r="Y60" s="372"/>
      <c r="Z60" s="372"/>
      <c r="AA60" s="372"/>
      <c r="AB60" s="372"/>
      <c r="AC60" s="372"/>
      <c r="AD60" s="117"/>
      <c r="AE60" s="80"/>
      <c r="AF60" s="80"/>
      <c r="AG60" s="372" t="s">
        <v>2636</v>
      </c>
      <c r="AH60" s="134"/>
      <c r="AI60" s="134">
        <v>1</v>
      </c>
      <c r="AJ60" s="134"/>
      <c r="AK60" s="134">
        <v>1</v>
      </c>
      <c r="AL60" s="134"/>
      <c r="AM60" s="134"/>
      <c r="AN60" s="134"/>
      <c r="AO60" s="134"/>
      <c r="AP60" s="134">
        <v>2</v>
      </c>
      <c r="AQ60" s="134">
        <v>2</v>
      </c>
      <c r="AR60" s="134"/>
      <c r="AS60" s="134"/>
      <c r="AT60" s="134">
        <v>2</v>
      </c>
      <c r="AU60" s="134">
        <v>2</v>
      </c>
      <c r="AV60" s="134"/>
      <c r="AW60" s="134">
        <v>4</v>
      </c>
      <c r="AX60" s="134">
        <v>6</v>
      </c>
      <c r="AY60" s="134"/>
      <c r="AZ60" s="134"/>
      <c r="BA60" s="134">
        <v>4</v>
      </c>
      <c r="BB60" s="134"/>
      <c r="BC60" s="372"/>
      <c r="BD60" s="372">
        <v>12</v>
      </c>
      <c r="BE60" s="372"/>
      <c r="BF60" s="372"/>
      <c r="BG60" s="372">
        <v>2</v>
      </c>
      <c r="BH60" s="372"/>
      <c r="BI60" s="372"/>
      <c r="BJ60" s="372"/>
      <c r="BK60" s="372"/>
      <c r="BL60" s="372"/>
    </row>
    <row r="61" spans="3:64" ht="20.100000000000001" customHeight="1">
      <c r="C61" s="346" t="s">
        <v>2658</v>
      </c>
      <c r="D61" s="63" t="s">
        <v>2436</v>
      </c>
      <c r="E61" s="50" t="s">
        <v>2369</v>
      </c>
      <c r="F61" s="608">
        <f>IF(F60&gt;0,2*2*100*20*23000/100,)</f>
        <v>0</v>
      </c>
      <c r="G61" s="597">
        <v>0.1</v>
      </c>
      <c r="H61" s="607">
        <f t="shared" si="17"/>
        <v>0</v>
      </c>
      <c r="I61" s="593">
        <f t="shared" si="18"/>
        <v>0</v>
      </c>
      <c r="J61" s="374">
        <f t="shared" si="13"/>
        <v>0</v>
      </c>
      <c r="N61" s="80"/>
      <c r="O61" s="80"/>
      <c r="P61" s="372"/>
      <c r="Q61" s="372"/>
      <c r="R61" s="372"/>
      <c r="S61" s="372"/>
      <c r="T61" s="372"/>
      <c r="U61" s="372"/>
      <c r="V61" s="372"/>
      <c r="W61" s="372"/>
      <c r="X61" s="372"/>
      <c r="Y61" s="372"/>
      <c r="Z61" s="372"/>
      <c r="AA61" s="372"/>
      <c r="AB61" s="372"/>
      <c r="AC61" s="372"/>
      <c r="AD61" s="117"/>
      <c r="AE61" s="80"/>
      <c r="AF61" s="80"/>
      <c r="AG61" s="372" t="s">
        <v>2637</v>
      </c>
      <c r="AH61" s="134"/>
      <c r="AI61" s="134">
        <v>1</v>
      </c>
      <c r="AJ61" s="134"/>
      <c r="AK61" s="134">
        <v>1</v>
      </c>
      <c r="AL61" s="134"/>
      <c r="AM61" s="134"/>
      <c r="AN61" s="134"/>
      <c r="AO61" s="134"/>
      <c r="AP61" s="134"/>
      <c r="AQ61" s="134">
        <v>2</v>
      </c>
      <c r="AR61" s="134"/>
      <c r="AS61" s="134"/>
      <c r="AT61" s="134"/>
      <c r="AU61" s="134">
        <v>2</v>
      </c>
      <c r="AV61" s="134"/>
      <c r="AW61" s="134">
        <v>2</v>
      </c>
      <c r="AX61" s="134">
        <v>3</v>
      </c>
      <c r="AY61" s="134">
        <f>IF($BB$41="X-1,66Đ",1,0)</f>
        <v>0</v>
      </c>
      <c r="AZ61" s="134"/>
      <c r="BA61" s="134">
        <v>2</v>
      </c>
      <c r="BB61" s="134">
        <v>1</v>
      </c>
      <c r="BC61" s="372"/>
      <c r="BD61" s="372">
        <v>6</v>
      </c>
      <c r="BE61" s="372"/>
      <c r="BF61" s="372"/>
      <c r="BG61" s="372">
        <v>1</v>
      </c>
      <c r="BH61" s="372"/>
      <c r="BI61" s="372"/>
      <c r="BJ61" s="372"/>
      <c r="BK61" s="372"/>
      <c r="BL61" s="372"/>
    </row>
    <row r="62" spans="3:64" ht="20.100000000000001" customHeight="1">
      <c r="C62" s="346" t="s">
        <v>2659</v>
      </c>
      <c r="D62" s="63" t="s">
        <v>2437</v>
      </c>
      <c r="E62" s="375" t="s">
        <v>3338</v>
      </c>
      <c r="F62" s="608">
        <f>F60*5%</f>
        <v>0</v>
      </c>
      <c r="G62" s="597">
        <v>0.1</v>
      </c>
      <c r="H62" s="607">
        <f t="shared" si="17"/>
        <v>0</v>
      </c>
      <c r="I62" s="593">
        <f t="shared" si="18"/>
        <v>0</v>
      </c>
      <c r="J62" s="374">
        <f t="shared" si="13"/>
        <v>0</v>
      </c>
      <c r="N62" s="80"/>
      <c r="O62" s="80"/>
      <c r="P62" s="372"/>
      <c r="Q62" s="372"/>
      <c r="R62" s="372"/>
      <c r="S62" s="372"/>
      <c r="T62" s="372"/>
      <c r="U62" s="372"/>
      <c r="V62" s="372"/>
      <c r="W62" s="372"/>
      <c r="X62" s="372"/>
      <c r="Y62" s="372"/>
      <c r="Z62" s="372"/>
      <c r="AA62" s="372"/>
      <c r="AB62" s="372"/>
      <c r="AC62" s="372"/>
      <c r="AD62" s="117"/>
      <c r="AE62" s="129">
        <v>3</v>
      </c>
      <c r="AF62" s="129" t="s">
        <v>2640</v>
      </c>
      <c r="AG62" s="133"/>
      <c r="AH62" s="133">
        <v>1</v>
      </c>
      <c r="AI62" s="133"/>
      <c r="AJ62" s="133">
        <v>1</v>
      </c>
      <c r="AK62" s="133"/>
      <c r="AL62" s="133">
        <v>1</v>
      </c>
      <c r="AM62" s="133"/>
      <c r="AN62" s="133">
        <v>1</v>
      </c>
      <c r="AO62" s="133">
        <v>1</v>
      </c>
      <c r="AP62" s="133"/>
      <c r="AQ62" s="133"/>
      <c r="AR62" s="133">
        <v>1</v>
      </c>
      <c r="AS62" s="133">
        <v>1</v>
      </c>
      <c r="AT62" s="133"/>
      <c r="AU62" s="133"/>
      <c r="AV62" s="133"/>
      <c r="AW62" s="133"/>
      <c r="AX62" s="133"/>
      <c r="AY62" s="133"/>
      <c r="AZ62" s="133"/>
      <c r="BA62" s="133"/>
      <c r="BB62" s="133"/>
      <c r="BC62" s="133"/>
      <c r="BD62" s="133"/>
      <c r="BE62" s="133"/>
      <c r="BF62" s="133"/>
      <c r="BG62" s="133"/>
      <c r="BH62" s="133">
        <v>1</v>
      </c>
      <c r="BI62" s="133"/>
      <c r="BJ62" s="133">
        <v>1</v>
      </c>
      <c r="BK62" s="133">
        <v>1</v>
      </c>
      <c r="BL62" s="133">
        <v>1</v>
      </c>
    </row>
    <row r="63" spans="3:64" ht="20.100000000000001" customHeight="1">
      <c r="C63" s="346" t="s">
        <v>2660</v>
      </c>
      <c r="D63" s="63" t="s">
        <v>2438</v>
      </c>
      <c r="E63" s="375" t="s">
        <v>3338</v>
      </c>
      <c r="F63" s="608">
        <f>5%*F60</f>
        <v>0</v>
      </c>
      <c r="G63" s="597">
        <v>0.1</v>
      </c>
      <c r="H63" s="607">
        <f t="shared" si="17"/>
        <v>0</v>
      </c>
      <c r="I63" s="593">
        <f t="shared" si="18"/>
        <v>0</v>
      </c>
      <c r="J63" s="374">
        <f t="shared" si="13"/>
        <v>0</v>
      </c>
      <c r="N63" s="80"/>
      <c r="O63" s="80"/>
      <c r="P63" s="372"/>
      <c r="Q63" s="372"/>
      <c r="R63" s="372"/>
      <c r="S63" s="372"/>
      <c r="T63" s="372"/>
      <c r="U63" s="372"/>
      <c r="V63" s="372"/>
      <c r="W63" s="372"/>
      <c r="X63" s="372"/>
      <c r="Y63" s="372"/>
      <c r="Z63" s="372"/>
      <c r="AA63" s="372"/>
      <c r="AB63" s="372"/>
      <c r="AC63" s="372"/>
      <c r="AD63" s="117"/>
      <c r="AE63" s="80"/>
      <c r="AF63" s="80"/>
      <c r="AG63" s="134" t="s">
        <v>2361</v>
      </c>
      <c r="AH63" s="134">
        <v>1</v>
      </c>
      <c r="AI63" s="134"/>
      <c r="AJ63" s="134">
        <v>1</v>
      </c>
      <c r="AK63" s="134"/>
      <c r="AL63" s="134">
        <v>1</v>
      </c>
      <c r="AM63" s="134"/>
      <c r="AN63" s="134"/>
      <c r="AO63" s="134"/>
      <c r="AP63" s="134"/>
      <c r="AQ63" s="134"/>
      <c r="AR63" s="134">
        <f>AN63</f>
        <v>0</v>
      </c>
      <c r="AS63" s="134">
        <f>AO63</f>
        <v>0</v>
      </c>
      <c r="AT63" s="134"/>
      <c r="AU63" s="134"/>
      <c r="AV63" s="134"/>
      <c r="AW63" s="134"/>
      <c r="AX63" s="134"/>
      <c r="AY63" s="134"/>
      <c r="AZ63" s="134"/>
      <c r="BA63" s="134"/>
      <c r="BB63" s="134"/>
      <c r="BC63" s="134"/>
      <c r="BD63" s="134"/>
      <c r="BE63" s="134"/>
      <c r="BF63" s="134"/>
      <c r="BG63" s="134"/>
      <c r="BH63" s="134">
        <v>1</v>
      </c>
      <c r="BI63" s="134"/>
      <c r="BJ63" s="134">
        <v>1</v>
      </c>
      <c r="BK63" s="134"/>
      <c r="BL63" s="134"/>
    </row>
    <row r="64" spans="3:64" ht="20.100000000000001" customHeight="1">
      <c r="C64" s="346" t="s">
        <v>2661</v>
      </c>
      <c r="D64" s="54" t="s">
        <v>2416</v>
      </c>
      <c r="E64" s="62" t="e">
        <f ca="1">IF(tk&gt;10000000,"Bảng chiết tính","Giá tối thiểu")</f>
        <v>#REF!</v>
      </c>
      <c r="F64" s="608"/>
      <c r="G64" s="605">
        <v>0.1</v>
      </c>
      <c r="H64" s="606">
        <f t="shared" si="17"/>
        <v>0</v>
      </c>
      <c r="I64" s="604">
        <f t="shared" si="18"/>
        <v>0</v>
      </c>
      <c r="J64" s="374">
        <f t="shared" si="13"/>
        <v>0</v>
      </c>
      <c r="N64" s="80"/>
      <c r="O64" s="80"/>
      <c r="P64" s="372"/>
      <c r="Q64" s="372"/>
      <c r="R64" s="372"/>
      <c r="S64" s="372"/>
      <c r="T64" s="372"/>
      <c r="U64" s="372"/>
      <c r="V64" s="372"/>
      <c r="W64" s="372"/>
      <c r="X64" s="372"/>
      <c r="Y64" s="372"/>
      <c r="Z64" s="372"/>
      <c r="AA64" s="372"/>
      <c r="AB64" s="372"/>
      <c r="AC64" s="372"/>
      <c r="AD64" s="117"/>
      <c r="AE64" s="80"/>
      <c r="AF64" s="80"/>
      <c r="AG64" s="134" t="s">
        <v>398</v>
      </c>
      <c r="AH64" s="134">
        <v>1</v>
      </c>
      <c r="AI64" s="134"/>
      <c r="AJ64" s="134">
        <v>1</v>
      </c>
      <c r="AK64" s="134"/>
      <c r="AL64" s="134"/>
      <c r="AM64" s="134"/>
      <c r="AN64" s="134">
        <v>1</v>
      </c>
      <c r="AO64" s="134"/>
      <c r="AP64" s="134"/>
      <c r="AQ64" s="134"/>
      <c r="AR64" s="134">
        <f t="shared" ref="AR64:AS71" si="19">AN64</f>
        <v>1</v>
      </c>
      <c r="AS64" s="134">
        <f t="shared" si="19"/>
        <v>0</v>
      </c>
      <c r="AT64" s="134"/>
      <c r="AU64" s="134"/>
      <c r="AV64" s="134"/>
      <c r="AW64" s="134"/>
      <c r="AX64" s="134"/>
      <c r="AY64" s="134"/>
      <c r="AZ64" s="134"/>
      <c r="BA64" s="134"/>
      <c r="BB64" s="134"/>
      <c r="BC64" s="134"/>
      <c r="BD64" s="134"/>
      <c r="BE64" s="134"/>
      <c r="BF64" s="134"/>
      <c r="BG64" s="134"/>
      <c r="BH64" s="134"/>
      <c r="BI64" s="134"/>
      <c r="BJ64" s="134"/>
      <c r="BK64" s="134">
        <v>1</v>
      </c>
      <c r="BL64" s="134"/>
    </row>
    <row r="65" spans="3:64" ht="20.100000000000001" customHeight="1">
      <c r="C65" s="346" t="s">
        <v>2662</v>
      </c>
      <c r="D65" s="54" t="s">
        <v>2417</v>
      </c>
      <c r="E65" s="62" t="s">
        <v>2415</v>
      </c>
      <c r="F65" s="608"/>
      <c r="G65" s="605">
        <v>0.1</v>
      </c>
      <c r="H65" s="606">
        <f t="shared" si="17"/>
        <v>0</v>
      </c>
      <c r="I65" s="604">
        <f>F65+H65</f>
        <v>0</v>
      </c>
      <c r="J65" s="374">
        <f t="shared" si="13"/>
        <v>0</v>
      </c>
      <c r="N65" s="80"/>
      <c r="O65" s="80"/>
      <c r="P65" s="372"/>
      <c r="Q65" s="372"/>
      <c r="R65" s="372"/>
      <c r="S65" s="372"/>
      <c r="T65" s="372"/>
      <c r="U65" s="372"/>
      <c r="V65" s="372"/>
      <c r="W65" s="372"/>
      <c r="X65" s="372"/>
      <c r="Y65" s="372"/>
      <c r="Z65" s="372"/>
      <c r="AA65" s="372"/>
      <c r="AB65" s="372"/>
      <c r="AC65" s="372"/>
      <c r="AD65" s="117"/>
      <c r="AE65" s="80"/>
      <c r="AF65" s="80"/>
      <c r="AG65" s="134" t="s">
        <v>2631</v>
      </c>
      <c r="AH65" s="134">
        <v>1</v>
      </c>
      <c r="AI65" s="134"/>
      <c r="AJ65" s="134">
        <v>1</v>
      </c>
      <c r="AK65" s="134"/>
      <c r="AL65" s="134"/>
      <c r="AM65" s="134"/>
      <c r="AN65" s="134">
        <v>1</v>
      </c>
      <c r="AO65" s="134"/>
      <c r="AP65" s="134"/>
      <c r="AQ65" s="134"/>
      <c r="AR65" s="134">
        <f t="shared" si="19"/>
        <v>1</v>
      </c>
      <c r="AS65" s="134">
        <f t="shared" si="19"/>
        <v>0</v>
      </c>
      <c r="AT65" s="134"/>
      <c r="AU65" s="134"/>
      <c r="AV65" s="134"/>
      <c r="AW65" s="134"/>
      <c r="AX65" s="134"/>
      <c r="AY65" s="134"/>
      <c r="AZ65" s="134"/>
      <c r="BA65" s="134"/>
      <c r="BB65" s="134"/>
      <c r="BC65" s="134"/>
      <c r="BD65" s="134"/>
      <c r="BE65" s="134"/>
      <c r="BF65" s="134"/>
      <c r="BG65" s="134"/>
      <c r="BH65" s="134"/>
      <c r="BI65" s="134"/>
      <c r="BJ65" s="134">
        <v>1</v>
      </c>
      <c r="BK65" s="134"/>
      <c r="BL65" s="134"/>
    </row>
    <row r="66" spans="3:64" ht="20.100000000000001" customHeight="1">
      <c r="C66" s="346" t="s">
        <v>2663</v>
      </c>
      <c r="D66" s="64" t="s">
        <v>2418</v>
      </c>
      <c r="E66" s="376" t="str">
        <f>IF(F66=2000000,"Giá tối thiểu",HSTTTK&amp;" % x Gxd ")</f>
        <v>Giá tối thiểu</v>
      </c>
      <c r="F66" s="666">
        <f>IF(HSTTTK*F36/100&lt;2000000,2000000,HSTTTK*F36/100)</f>
        <v>2000000</v>
      </c>
      <c r="G66" s="594">
        <v>0.1</v>
      </c>
      <c r="H66" s="609">
        <f t="shared" si="17"/>
        <v>200000</v>
      </c>
      <c r="I66" s="610">
        <f t="shared" ref="I66:I71" si="20">F66+H66</f>
        <v>2200000</v>
      </c>
      <c r="J66" s="374">
        <f t="shared" si="13"/>
        <v>1</v>
      </c>
      <c r="N66" s="80"/>
      <c r="O66" s="80"/>
      <c r="P66" s="372"/>
      <c r="Q66" s="81"/>
      <c r="R66" s="81"/>
      <c r="S66" s="81"/>
      <c r="T66" s="81"/>
      <c r="U66" s="81"/>
      <c r="V66" s="81"/>
      <c r="W66" s="81"/>
      <c r="X66" s="81"/>
      <c r="Y66" s="81"/>
      <c r="Z66" s="81"/>
      <c r="AA66" s="81"/>
      <c r="AB66" s="81"/>
      <c r="AC66" s="81"/>
      <c r="AD66" s="117"/>
      <c r="AE66" s="80"/>
      <c r="AF66" s="80"/>
      <c r="AG66" s="134" t="s">
        <v>2632</v>
      </c>
      <c r="AH66" s="134">
        <v>1</v>
      </c>
      <c r="AI66" s="134"/>
      <c r="AJ66" s="134">
        <v>1</v>
      </c>
      <c r="AK66" s="134"/>
      <c r="AL66" s="134"/>
      <c r="AM66" s="134"/>
      <c r="AN66" s="134">
        <v>1</v>
      </c>
      <c r="AO66" s="134"/>
      <c r="AP66" s="134"/>
      <c r="AQ66" s="134"/>
      <c r="AR66" s="134">
        <f t="shared" si="19"/>
        <v>1</v>
      </c>
      <c r="AS66" s="134">
        <f t="shared" si="19"/>
        <v>0</v>
      </c>
      <c r="AT66" s="134"/>
      <c r="AU66" s="134"/>
      <c r="AV66" s="134"/>
      <c r="AW66" s="134"/>
      <c r="AX66" s="134"/>
      <c r="AY66" s="134"/>
      <c r="AZ66" s="134"/>
      <c r="BA66" s="134"/>
      <c r="BB66" s="134"/>
      <c r="BC66" s="134"/>
      <c r="BD66" s="134"/>
      <c r="BE66" s="134"/>
      <c r="BF66" s="134"/>
      <c r="BG66" s="134"/>
      <c r="BH66" s="134"/>
      <c r="BI66" s="134"/>
      <c r="BJ66" s="134"/>
      <c r="BK66" s="134">
        <v>1</v>
      </c>
      <c r="BL66" s="134"/>
    </row>
    <row r="67" spans="3:64" ht="20.100000000000001" customHeight="1">
      <c r="C67" s="346" t="s">
        <v>2664</v>
      </c>
      <c r="D67" s="64" t="s">
        <v>2419</v>
      </c>
      <c r="E67" s="376" t="str">
        <f>IF(F67=2000000,"Giá tối thiểu",HSTTDT&amp;" % x Gxd ")</f>
        <v>Giá tối thiểu</v>
      </c>
      <c r="F67" s="666">
        <f>IF(HSTTDT*F36/100&lt;2000000,2000000,HSTTDT*F36/100)</f>
        <v>2000000</v>
      </c>
      <c r="G67" s="594">
        <v>0.1</v>
      </c>
      <c r="H67" s="609">
        <f t="shared" si="17"/>
        <v>200000</v>
      </c>
      <c r="I67" s="610">
        <f t="shared" si="20"/>
        <v>2200000</v>
      </c>
      <c r="J67" s="374">
        <f t="shared" si="13"/>
        <v>1</v>
      </c>
      <c r="N67" s="80"/>
      <c r="O67" s="80"/>
      <c r="P67" s="372"/>
      <c r="Q67" s="81"/>
      <c r="R67" s="81"/>
      <c r="S67" s="81"/>
      <c r="T67" s="81"/>
      <c r="U67" s="81"/>
      <c r="V67" s="81"/>
      <c r="W67" s="81"/>
      <c r="X67" s="81"/>
      <c r="Y67" s="81"/>
      <c r="Z67" s="81"/>
      <c r="AA67" s="81"/>
      <c r="AB67" s="81"/>
      <c r="AC67" s="81"/>
      <c r="AD67" s="117"/>
      <c r="AE67" s="80"/>
      <c r="AF67" s="80"/>
      <c r="AG67" s="134" t="s">
        <v>2633</v>
      </c>
      <c r="AH67" s="134">
        <v>1</v>
      </c>
      <c r="AI67" s="134"/>
      <c r="AJ67" s="134">
        <v>1</v>
      </c>
      <c r="AK67" s="134"/>
      <c r="AL67" s="134"/>
      <c r="AM67" s="134"/>
      <c r="AN67" s="134">
        <v>2</v>
      </c>
      <c r="AO67" s="134"/>
      <c r="AP67" s="134"/>
      <c r="AQ67" s="134"/>
      <c r="AR67" s="134">
        <f t="shared" si="19"/>
        <v>2</v>
      </c>
      <c r="AS67" s="134">
        <f t="shared" si="19"/>
        <v>0</v>
      </c>
      <c r="AT67" s="134"/>
      <c r="AU67" s="134"/>
      <c r="AV67" s="134"/>
      <c r="AW67" s="134"/>
      <c r="AX67" s="134"/>
      <c r="AY67" s="134"/>
      <c r="AZ67" s="134"/>
      <c r="BA67" s="134"/>
      <c r="BB67" s="134"/>
      <c r="BC67" s="134"/>
      <c r="BD67" s="134"/>
      <c r="BE67" s="134"/>
      <c r="BF67" s="134"/>
      <c r="BG67" s="134"/>
      <c r="BH67" s="134"/>
      <c r="BI67" s="134"/>
      <c r="BJ67" s="134"/>
      <c r="BK67" s="134"/>
      <c r="BL67" s="134">
        <v>2</v>
      </c>
    </row>
    <row r="68" spans="3:64" ht="20.100000000000001" customHeight="1">
      <c r="C68" s="346" t="s">
        <v>2665</v>
      </c>
      <c r="D68" s="64" t="s">
        <v>3337</v>
      </c>
      <c r="E68" s="65" t="str">
        <f>HSHSDTXD&amp;" % x Gxd  "</f>
        <v xml:space="preserve">0,549 % x Gxd  </v>
      </c>
      <c r="F68" s="608">
        <f>HSHSDTXD*F36/100</f>
        <v>0</v>
      </c>
      <c r="G68" s="594">
        <v>0.1</v>
      </c>
      <c r="H68" s="611">
        <f t="shared" si="17"/>
        <v>0</v>
      </c>
      <c r="I68" s="610">
        <f t="shared" si="20"/>
        <v>0</v>
      </c>
      <c r="J68" s="374">
        <f t="shared" si="13"/>
        <v>0</v>
      </c>
      <c r="N68" s="80"/>
      <c r="O68" s="80"/>
      <c r="P68" s="372"/>
      <c r="Q68" s="372"/>
      <c r="R68" s="372"/>
      <c r="S68" s="372"/>
      <c r="T68" s="372"/>
      <c r="U68" s="372"/>
      <c r="V68" s="372"/>
      <c r="W68" s="372"/>
      <c r="X68" s="372"/>
      <c r="Y68" s="372"/>
      <c r="Z68" s="372"/>
      <c r="AA68" s="372"/>
      <c r="AB68" s="372"/>
      <c r="AC68" s="372"/>
      <c r="AD68" s="117"/>
      <c r="AE68" s="80"/>
      <c r="AF68" s="80"/>
      <c r="AG68" s="134" t="s">
        <v>2634</v>
      </c>
      <c r="AH68" s="134">
        <v>1</v>
      </c>
      <c r="AI68" s="134"/>
      <c r="AJ68" s="134">
        <v>1</v>
      </c>
      <c r="AK68" s="134"/>
      <c r="AL68" s="134"/>
      <c r="AM68" s="134"/>
      <c r="AN68" s="134">
        <v>1</v>
      </c>
      <c r="AO68" s="134"/>
      <c r="AP68" s="134"/>
      <c r="AQ68" s="134"/>
      <c r="AR68" s="134">
        <f t="shared" si="19"/>
        <v>1</v>
      </c>
      <c r="AS68" s="134">
        <f t="shared" si="19"/>
        <v>0</v>
      </c>
      <c r="AT68" s="134"/>
      <c r="AU68" s="134"/>
      <c r="AV68" s="134"/>
      <c r="AW68" s="134"/>
      <c r="AX68" s="134"/>
      <c r="AY68" s="134"/>
      <c r="AZ68" s="134"/>
      <c r="BA68" s="134"/>
      <c r="BB68" s="134"/>
      <c r="BC68" s="134"/>
      <c r="BD68" s="134"/>
      <c r="BE68" s="134"/>
      <c r="BF68" s="134"/>
      <c r="BG68" s="134"/>
      <c r="BH68" s="134"/>
      <c r="BI68" s="134"/>
      <c r="BJ68" s="134"/>
      <c r="BK68" s="134"/>
      <c r="BL68" s="134">
        <v>1</v>
      </c>
    </row>
    <row r="69" spans="3:64" ht="20.100000000000001" customHeight="1">
      <c r="C69" s="346" t="s">
        <v>2666</v>
      </c>
      <c r="D69" s="64" t="s">
        <v>2409</v>
      </c>
      <c r="E69" s="65" t="str">
        <f>HSHSDTTB&amp;" % x Gxd  "</f>
        <v xml:space="preserve">0,549 % x Gxd  </v>
      </c>
      <c r="F69" s="608">
        <f>HSHSDTTB*F36/100</f>
        <v>0</v>
      </c>
      <c r="G69" s="594">
        <v>0.1</v>
      </c>
      <c r="H69" s="609">
        <f t="shared" si="17"/>
        <v>0</v>
      </c>
      <c r="I69" s="610">
        <f t="shared" si="20"/>
        <v>0</v>
      </c>
      <c r="J69" s="374">
        <f t="shared" si="13"/>
        <v>0</v>
      </c>
      <c r="N69" s="80"/>
      <c r="O69" s="80"/>
      <c r="P69" s="372"/>
      <c r="Q69" s="81"/>
      <c r="R69" s="81"/>
      <c r="S69" s="81"/>
      <c r="T69" s="81"/>
      <c r="U69" s="81"/>
      <c r="V69" s="81"/>
      <c r="W69" s="81"/>
      <c r="X69" s="81"/>
      <c r="Y69" s="81"/>
      <c r="Z69" s="81"/>
      <c r="AA69" s="81"/>
      <c r="AB69" s="81"/>
      <c r="AC69" s="81"/>
      <c r="AD69" s="117"/>
      <c r="AE69" s="80"/>
      <c r="AF69" s="80"/>
      <c r="AG69" s="134" t="s">
        <v>2635</v>
      </c>
      <c r="AH69" s="134">
        <v>1</v>
      </c>
      <c r="AI69" s="134"/>
      <c r="AJ69" s="134">
        <v>1</v>
      </c>
      <c r="AK69" s="134"/>
      <c r="AL69" s="134"/>
      <c r="AM69" s="134"/>
      <c r="AN69" s="134">
        <v>1</v>
      </c>
      <c r="AO69" s="134">
        <v>2</v>
      </c>
      <c r="AP69" s="134"/>
      <c r="AQ69" s="134"/>
      <c r="AR69" s="134">
        <f t="shared" si="19"/>
        <v>1</v>
      </c>
      <c r="AS69" s="134">
        <f t="shared" si="19"/>
        <v>2</v>
      </c>
      <c r="AT69" s="134"/>
      <c r="AU69" s="134"/>
      <c r="AV69" s="134"/>
      <c r="AW69" s="134"/>
      <c r="AX69" s="134"/>
      <c r="AY69" s="134"/>
      <c r="AZ69" s="134"/>
      <c r="BA69" s="134"/>
      <c r="BB69" s="134"/>
      <c r="BC69" s="134"/>
      <c r="BD69" s="134"/>
      <c r="BE69" s="134"/>
      <c r="BF69" s="134"/>
      <c r="BG69" s="134"/>
      <c r="BH69" s="134"/>
      <c r="BI69" s="134"/>
      <c r="BJ69" s="134"/>
      <c r="BK69" s="134"/>
      <c r="BL69" s="134">
        <v>3</v>
      </c>
    </row>
    <row r="70" spans="3:64" ht="20.100000000000001" customHeight="1">
      <c r="C70" s="346" t="s">
        <v>2667</v>
      </c>
      <c r="D70" s="64" t="s">
        <v>2410</v>
      </c>
      <c r="E70" s="376" t="str">
        <f>HSGSTCXD&amp;" % x Gxd "</f>
        <v xml:space="preserve">3,508 % x Gxd </v>
      </c>
      <c r="F70" s="608">
        <f>HSGSTCXD*F37/100</f>
        <v>0</v>
      </c>
      <c r="G70" s="594">
        <v>0.1</v>
      </c>
      <c r="H70" s="609">
        <f t="shared" si="17"/>
        <v>0</v>
      </c>
      <c r="I70" s="610">
        <f t="shared" si="20"/>
        <v>0</v>
      </c>
      <c r="J70" s="374">
        <f t="shared" si="13"/>
        <v>0</v>
      </c>
      <c r="N70" s="80"/>
      <c r="O70" s="80"/>
      <c r="P70" s="372"/>
      <c r="Q70" s="372"/>
      <c r="R70" s="372"/>
      <c r="S70" s="372"/>
      <c r="T70" s="372"/>
      <c r="U70" s="372"/>
      <c r="V70" s="372"/>
      <c r="W70" s="372"/>
      <c r="X70" s="372"/>
      <c r="Y70" s="372"/>
      <c r="Z70" s="372"/>
      <c r="AA70" s="372"/>
      <c r="AB70" s="372"/>
      <c r="AC70" s="372"/>
      <c r="AD70" s="117"/>
      <c r="AE70" s="80"/>
      <c r="AF70" s="80"/>
      <c r="AG70" s="134" t="s">
        <v>2636</v>
      </c>
      <c r="AH70" s="134">
        <v>1</v>
      </c>
      <c r="AI70" s="134"/>
      <c r="AJ70" s="134">
        <v>1</v>
      </c>
      <c r="AK70" s="134"/>
      <c r="AL70" s="134"/>
      <c r="AM70" s="134"/>
      <c r="AN70" s="134">
        <v>2</v>
      </c>
      <c r="AO70" s="134">
        <v>2</v>
      </c>
      <c r="AP70" s="134"/>
      <c r="AQ70" s="134"/>
      <c r="AR70" s="134">
        <f t="shared" si="19"/>
        <v>2</v>
      </c>
      <c r="AS70" s="134">
        <f t="shared" si="19"/>
        <v>2</v>
      </c>
      <c r="AT70" s="134"/>
      <c r="AU70" s="134"/>
      <c r="AV70" s="134"/>
      <c r="AW70" s="134"/>
      <c r="AX70" s="134"/>
      <c r="AY70" s="134"/>
      <c r="AZ70" s="134"/>
      <c r="BA70" s="134"/>
      <c r="BB70" s="134"/>
      <c r="BC70" s="134"/>
      <c r="BD70" s="134"/>
      <c r="BE70" s="134"/>
      <c r="BF70" s="134"/>
      <c r="BG70" s="134"/>
      <c r="BH70" s="134"/>
      <c r="BI70" s="134"/>
      <c r="BJ70" s="134"/>
      <c r="BK70" s="134"/>
      <c r="BL70" s="134">
        <v>4</v>
      </c>
    </row>
    <row r="71" spans="3:64" ht="20.100000000000001" customHeight="1">
      <c r="C71" s="346" t="s">
        <v>2668</v>
      </c>
      <c r="D71" s="64" t="s">
        <v>2411</v>
      </c>
      <c r="E71" s="375" t="str">
        <f>HSGSLDTB&amp;" % x Gtb "</f>
        <v xml:space="preserve">1,147 % x Gtb </v>
      </c>
      <c r="F71" s="608">
        <f>HSGSLDTB*F47/100</f>
        <v>0</v>
      </c>
      <c r="G71" s="594">
        <v>0.1</v>
      </c>
      <c r="H71" s="609">
        <f t="shared" si="17"/>
        <v>0</v>
      </c>
      <c r="I71" s="610">
        <f t="shared" si="20"/>
        <v>0</v>
      </c>
      <c r="J71" s="374">
        <f t="shared" si="13"/>
        <v>0</v>
      </c>
      <c r="N71" s="80"/>
      <c r="O71" s="80"/>
      <c r="P71" s="372"/>
      <c r="Q71" s="81"/>
      <c r="R71" s="81"/>
      <c r="S71" s="81"/>
      <c r="T71" s="81"/>
      <c r="U71" s="81"/>
      <c r="V71" s="81"/>
      <c r="W71" s="81"/>
      <c r="X71" s="81"/>
      <c r="Y71" s="81"/>
      <c r="Z71" s="81"/>
      <c r="AA71" s="81"/>
      <c r="AB71" s="81"/>
      <c r="AC71" s="81"/>
      <c r="AD71" s="117"/>
      <c r="AE71" s="80"/>
      <c r="AF71" s="80"/>
      <c r="AG71" s="134" t="s">
        <v>2637</v>
      </c>
      <c r="AH71" s="134">
        <v>1</v>
      </c>
      <c r="AI71" s="134"/>
      <c r="AJ71" s="134">
        <v>1</v>
      </c>
      <c r="AK71" s="134"/>
      <c r="AL71" s="134"/>
      <c r="AM71" s="134"/>
      <c r="AN71" s="134">
        <v>2</v>
      </c>
      <c r="AO71" s="134">
        <v>1</v>
      </c>
      <c r="AP71" s="134"/>
      <c r="AQ71" s="134"/>
      <c r="AR71" s="134">
        <f t="shared" si="19"/>
        <v>2</v>
      </c>
      <c r="AS71" s="134">
        <f t="shared" si="19"/>
        <v>1</v>
      </c>
      <c r="AT71" s="134"/>
      <c r="AU71" s="134"/>
      <c r="AV71" s="134"/>
      <c r="AW71" s="134"/>
      <c r="AX71" s="134"/>
      <c r="AY71" s="134"/>
      <c r="AZ71" s="134"/>
      <c r="BA71" s="134"/>
      <c r="BB71" s="134"/>
      <c r="BC71" s="134"/>
      <c r="BD71" s="134"/>
      <c r="BE71" s="134"/>
      <c r="BF71" s="134"/>
      <c r="BG71" s="134"/>
      <c r="BH71" s="134"/>
      <c r="BI71" s="134"/>
      <c r="BJ71" s="134">
        <v>1</v>
      </c>
      <c r="BK71" s="134"/>
      <c r="BL71" s="134">
        <v>2</v>
      </c>
    </row>
    <row r="72" spans="3:64" ht="20.100000000000001" customHeight="1">
      <c r="C72" s="346" t="s">
        <v>2669</v>
      </c>
      <c r="D72" s="64" t="s">
        <v>2420</v>
      </c>
      <c r="E72" s="50" t="s">
        <v>2421</v>
      </c>
      <c r="F72" s="612"/>
      <c r="G72" s="597">
        <f>+G70</f>
        <v>0.1</v>
      </c>
      <c r="H72" s="607">
        <f>+G72*F72</f>
        <v>0</v>
      </c>
      <c r="I72" s="593">
        <f>+H72+F72</f>
        <v>0</v>
      </c>
      <c r="J72" s="374">
        <f t="shared" si="13"/>
        <v>0</v>
      </c>
      <c r="N72" s="80"/>
      <c r="O72" s="80"/>
      <c r="P72" s="372"/>
      <c r="Q72" s="372"/>
      <c r="R72" s="372"/>
      <c r="S72" s="372"/>
      <c r="T72" s="372"/>
      <c r="U72" s="372"/>
      <c r="V72" s="372"/>
      <c r="W72" s="372"/>
      <c r="X72" s="372"/>
      <c r="Y72" s="372"/>
      <c r="Z72" s="372"/>
      <c r="AA72" s="372"/>
      <c r="AB72" s="372"/>
      <c r="AC72" s="372"/>
      <c r="AD72" s="117"/>
      <c r="AE72" s="129">
        <v>4</v>
      </c>
      <c r="AF72" s="129" t="s">
        <v>2641</v>
      </c>
      <c r="AG72" s="133"/>
      <c r="AH72" s="133">
        <v>1</v>
      </c>
      <c r="AI72" s="133"/>
      <c r="AJ72" s="133">
        <v>1</v>
      </c>
      <c r="AK72" s="133"/>
      <c r="AL72" s="133">
        <v>1</v>
      </c>
      <c r="AM72" s="133"/>
      <c r="AN72" s="133">
        <v>1</v>
      </c>
      <c r="AO72" s="133">
        <v>1</v>
      </c>
      <c r="AP72" s="133"/>
      <c r="AQ72" s="133"/>
      <c r="AR72" s="133">
        <v>1</v>
      </c>
      <c r="AS72" s="133">
        <v>1</v>
      </c>
      <c r="AT72" s="133"/>
      <c r="AU72" s="133"/>
      <c r="AV72" s="133"/>
      <c r="AW72" s="133"/>
      <c r="AX72" s="133"/>
      <c r="AY72" s="133"/>
      <c r="AZ72" s="133"/>
      <c r="BA72" s="133"/>
      <c r="BB72" s="133"/>
      <c r="BC72" s="133"/>
      <c r="BD72" s="133"/>
      <c r="BE72" s="133"/>
      <c r="BF72" s="133"/>
      <c r="BG72" s="133"/>
      <c r="BH72" s="133"/>
      <c r="BI72" s="133">
        <v>1</v>
      </c>
      <c r="BJ72" s="133">
        <v>1</v>
      </c>
      <c r="BK72" s="133">
        <v>1</v>
      </c>
      <c r="BL72" s="133">
        <v>1</v>
      </c>
    </row>
    <row r="73" spans="3:64" ht="20.100000000000001" customHeight="1">
      <c r="C73" s="336" t="s">
        <v>2422</v>
      </c>
      <c r="D73" s="52" t="s">
        <v>2423</v>
      </c>
      <c r="E73" s="56"/>
      <c r="F73" s="601">
        <f>SUM(F74:F76)</f>
        <v>0</v>
      </c>
      <c r="G73" s="602"/>
      <c r="H73" s="601">
        <f>SUM(H74:H76)</f>
        <v>0</v>
      </c>
      <c r="I73" s="601">
        <f>SUM(I74:I76)</f>
        <v>0</v>
      </c>
      <c r="J73" s="374">
        <f t="shared" si="13"/>
        <v>0</v>
      </c>
      <c r="N73" s="80"/>
      <c r="O73" s="80"/>
      <c r="P73" s="372"/>
      <c r="Q73" s="81"/>
      <c r="R73" s="81"/>
      <c r="S73" s="81"/>
      <c r="T73" s="81"/>
      <c r="U73" s="81"/>
      <c r="V73" s="81"/>
      <c r="W73" s="81"/>
      <c r="X73" s="81"/>
      <c r="Y73" s="81"/>
      <c r="Z73" s="81"/>
      <c r="AA73" s="81"/>
      <c r="AB73" s="81"/>
      <c r="AC73" s="81"/>
      <c r="AD73" s="117"/>
      <c r="AE73" s="80"/>
      <c r="AF73" s="80"/>
      <c r="AG73" s="134" t="s">
        <v>2361</v>
      </c>
      <c r="AH73" s="134">
        <v>1</v>
      </c>
      <c r="AI73" s="134"/>
      <c r="AJ73" s="134">
        <v>1</v>
      </c>
      <c r="AK73" s="134"/>
      <c r="AL73" s="134">
        <v>1</v>
      </c>
      <c r="AM73" s="134"/>
      <c r="AN73" s="134"/>
      <c r="AO73" s="134"/>
      <c r="AP73" s="134"/>
      <c r="AQ73" s="134"/>
      <c r="AR73" s="134">
        <f>AN73</f>
        <v>0</v>
      </c>
      <c r="AS73" s="134">
        <f>AO73</f>
        <v>0</v>
      </c>
      <c r="AT73" s="134"/>
      <c r="AU73" s="134"/>
      <c r="AV73" s="134"/>
      <c r="AW73" s="134"/>
      <c r="AX73" s="134"/>
      <c r="AY73" s="134"/>
      <c r="AZ73" s="134"/>
      <c r="BA73" s="134"/>
      <c r="BB73" s="134"/>
      <c r="BC73" s="134"/>
      <c r="BD73" s="134"/>
      <c r="BE73" s="134"/>
      <c r="BF73" s="134"/>
      <c r="BG73" s="134"/>
      <c r="BH73" s="134"/>
      <c r="BI73" s="134">
        <v>1</v>
      </c>
      <c r="BJ73" s="134">
        <v>1</v>
      </c>
      <c r="BK73" s="134"/>
      <c r="BL73" s="134"/>
    </row>
    <row r="74" spans="3:64" ht="20.100000000000001" customHeight="1">
      <c r="C74" s="346" t="s">
        <v>2670</v>
      </c>
      <c r="D74" s="64" t="s">
        <v>2988</v>
      </c>
      <c r="E74" s="66" t="s">
        <v>2989</v>
      </c>
      <c r="F74" s="613">
        <f>1%*F36</f>
        <v>0</v>
      </c>
      <c r="G74" s="594">
        <v>0.1</v>
      </c>
      <c r="H74" s="610">
        <f>F74*G74</f>
        <v>0</v>
      </c>
      <c r="I74" s="610">
        <f>F74+H74</f>
        <v>0</v>
      </c>
      <c r="J74" s="374">
        <f t="shared" si="13"/>
        <v>0</v>
      </c>
      <c r="N74" s="82"/>
      <c r="O74" s="82"/>
      <c r="P74" s="83"/>
      <c r="Q74" s="83"/>
      <c r="R74" s="83"/>
      <c r="S74" s="83"/>
      <c r="T74" s="83"/>
      <c r="U74" s="83"/>
      <c r="V74" s="83"/>
      <c r="W74" s="83"/>
      <c r="X74" s="83"/>
      <c r="Y74" s="83"/>
      <c r="Z74" s="83"/>
      <c r="AA74" s="83"/>
      <c r="AB74" s="83"/>
      <c r="AC74" s="83"/>
      <c r="AD74" s="117"/>
      <c r="AE74" s="80"/>
      <c r="AF74" s="80"/>
      <c r="AG74" s="134" t="s">
        <v>398</v>
      </c>
      <c r="AH74" s="134">
        <v>1</v>
      </c>
      <c r="AI74" s="134"/>
      <c r="AJ74" s="134">
        <v>1</v>
      </c>
      <c r="AK74" s="134"/>
      <c r="AL74" s="134"/>
      <c r="AM74" s="134"/>
      <c r="AN74" s="134">
        <v>1</v>
      </c>
      <c r="AO74" s="134"/>
      <c r="AP74" s="134"/>
      <c r="AQ74" s="134"/>
      <c r="AR74" s="134">
        <f t="shared" ref="AR74:AS81" si="21">AN74</f>
        <v>1</v>
      </c>
      <c r="AS74" s="134">
        <f t="shared" si="21"/>
        <v>0</v>
      </c>
      <c r="AT74" s="134"/>
      <c r="AU74" s="134"/>
      <c r="AV74" s="134"/>
      <c r="AW74" s="134"/>
      <c r="AX74" s="134"/>
      <c r="AY74" s="134"/>
      <c r="AZ74" s="134"/>
      <c r="BA74" s="134"/>
      <c r="BB74" s="134"/>
      <c r="BC74" s="134"/>
      <c r="BD74" s="134"/>
      <c r="BE74" s="134"/>
      <c r="BF74" s="134"/>
      <c r="BG74" s="134"/>
      <c r="BH74" s="134"/>
      <c r="BI74" s="134">
        <v>1</v>
      </c>
      <c r="BJ74" s="134"/>
      <c r="BK74" s="134">
        <v>1</v>
      </c>
      <c r="BL74" s="134"/>
    </row>
    <row r="75" spans="3:64" ht="20.100000000000001" customHeight="1">
      <c r="C75" s="346" t="s">
        <v>2671</v>
      </c>
      <c r="D75" s="64" t="s">
        <v>2986</v>
      </c>
      <c r="E75" s="66" t="s">
        <v>2987</v>
      </c>
      <c r="F75" s="613">
        <f>2%*F36</f>
        <v>0</v>
      </c>
      <c r="G75" s="594">
        <v>0.1</v>
      </c>
      <c r="H75" s="610">
        <f>F75*G75</f>
        <v>0</v>
      </c>
      <c r="I75" s="610">
        <f>F75+H75</f>
        <v>0</v>
      </c>
      <c r="J75" s="374">
        <f t="shared" si="13"/>
        <v>0</v>
      </c>
      <c r="Q75" s="374"/>
      <c r="R75" s="374"/>
      <c r="S75" s="374"/>
      <c r="T75" s="374"/>
      <c r="U75" s="374"/>
      <c r="V75" s="374"/>
      <c r="W75" s="374"/>
      <c r="X75" s="374"/>
      <c r="Y75" s="374"/>
      <c r="Z75" s="374"/>
      <c r="AA75" s="374"/>
      <c r="AB75" s="374"/>
      <c r="AC75" s="374"/>
      <c r="AD75" s="117"/>
      <c r="AE75" s="80"/>
      <c r="AF75" s="80"/>
      <c r="AG75" s="134" t="s">
        <v>2631</v>
      </c>
      <c r="AH75" s="134">
        <v>1</v>
      </c>
      <c r="AI75" s="134"/>
      <c r="AJ75" s="134">
        <v>1</v>
      </c>
      <c r="AK75" s="134"/>
      <c r="AL75" s="134"/>
      <c r="AM75" s="134"/>
      <c r="AN75" s="134">
        <v>1</v>
      </c>
      <c r="AO75" s="134"/>
      <c r="AP75" s="134"/>
      <c r="AQ75" s="134"/>
      <c r="AR75" s="134">
        <f t="shared" si="21"/>
        <v>1</v>
      </c>
      <c r="AS75" s="134">
        <f t="shared" si="21"/>
        <v>0</v>
      </c>
      <c r="AT75" s="134"/>
      <c r="AU75" s="134"/>
      <c r="AV75" s="134"/>
      <c r="AW75" s="134"/>
      <c r="AX75" s="134"/>
      <c r="AY75" s="134"/>
      <c r="AZ75" s="134"/>
      <c r="BA75" s="134"/>
      <c r="BB75" s="134"/>
      <c r="BC75" s="134"/>
      <c r="BD75" s="134"/>
      <c r="BE75" s="134"/>
      <c r="BF75" s="134"/>
      <c r="BG75" s="134"/>
      <c r="BH75" s="134"/>
      <c r="BI75" s="134"/>
      <c r="BJ75" s="134">
        <v>1</v>
      </c>
      <c r="BK75" s="134"/>
      <c r="BL75" s="134"/>
    </row>
    <row r="76" spans="3:64" ht="20.100000000000001" customHeight="1">
      <c r="C76" s="346" t="s">
        <v>2672</v>
      </c>
      <c r="D76" s="64" t="s">
        <v>2424</v>
      </c>
      <c r="E76" s="66" t="s">
        <v>2707</v>
      </c>
      <c r="F76" s="610">
        <f>SUM(F77:F78)</f>
        <v>0</v>
      </c>
      <c r="G76" s="594">
        <v>0.1</v>
      </c>
      <c r="H76" s="610">
        <f>SUM(H77:H78)</f>
        <v>0</v>
      </c>
      <c r="I76" s="610">
        <f>SUM(I77:I78)</f>
        <v>0</v>
      </c>
      <c r="J76" s="374">
        <f t="shared" si="13"/>
        <v>0</v>
      </c>
      <c r="AD76" s="117"/>
      <c r="AE76" s="80"/>
      <c r="AF76" s="80"/>
      <c r="AG76" s="134" t="s">
        <v>2632</v>
      </c>
      <c r="AH76" s="134">
        <v>1</v>
      </c>
      <c r="AI76" s="134"/>
      <c r="AJ76" s="134">
        <v>1</v>
      </c>
      <c r="AK76" s="134"/>
      <c r="AL76" s="134"/>
      <c r="AM76" s="134"/>
      <c r="AN76" s="134">
        <v>1</v>
      </c>
      <c r="AO76" s="134"/>
      <c r="AP76" s="134"/>
      <c r="AQ76" s="134"/>
      <c r="AR76" s="134">
        <f t="shared" si="21"/>
        <v>1</v>
      </c>
      <c r="AS76" s="134">
        <f t="shared" si="21"/>
        <v>0</v>
      </c>
      <c r="AT76" s="134"/>
      <c r="AU76" s="134"/>
      <c r="AV76" s="134"/>
      <c r="AW76" s="134"/>
      <c r="AX76" s="134"/>
      <c r="AY76" s="134"/>
      <c r="AZ76" s="134"/>
      <c r="BA76" s="134"/>
      <c r="BB76" s="134"/>
      <c r="BC76" s="134"/>
      <c r="BD76" s="134"/>
      <c r="BE76" s="134"/>
      <c r="BF76" s="134"/>
      <c r="BG76" s="134"/>
      <c r="BH76" s="134"/>
      <c r="BI76" s="134"/>
      <c r="BJ76" s="134"/>
      <c r="BK76" s="134">
        <v>1</v>
      </c>
      <c r="BL76" s="134"/>
    </row>
    <row r="77" spans="3:64" ht="20.100000000000001" customHeight="1">
      <c r="C77" s="346" t="s">
        <v>2673</v>
      </c>
      <c r="D77" s="67" t="s">
        <v>2425</v>
      </c>
      <c r="E77" s="66" t="s">
        <v>4729</v>
      </c>
      <c r="F77" s="679">
        <f>2*(F44+F52)/100</f>
        <v>0</v>
      </c>
      <c r="G77" s="594">
        <v>0.1</v>
      </c>
      <c r="H77" s="610">
        <f>F77*G77</f>
        <v>0</v>
      </c>
      <c r="I77" s="610">
        <f>F77+H77</f>
        <v>0</v>
      </c>
      <c r="J77" s="374">
        <f t="shared" si="13"/>
        <v>0</v>
      </c>
      <c r="K77" s="373" t="s">
        <v>4731</v>
      </c>
      <c r="AD77" s="117"/>
      <c r="AE77" s="80"/>
      <c r="AF77" s="80"/>
      <c r="AG77" s="134" t="s">
        <v>2633</v>
      </c>
      <c r="AH77" s="134">
        <v>1</v>
      </c>
      <c r="AI77" s="134"/>
      <c r="AJ77" s="134">
        <v>1</v>
      </c>
      <c r="AK77" s="134"/>
      <c r="AL77" s="134"/>
      <c r="AM77" s="134"/>
      <c r="AN77" s="134">
        <v>2</v>
      </c>
      <c r="AO77" s="134"/>
      <c r="AP77" s="134"/>
      <c r="AQ77" s="134"/>
      <c r="AR77" s="134">
        <f t="shared" si="21"/>
        <v>2</v>
      </c>
      <c r="AS77" s="134">
        <f t="shared" si="21"/>
        <v>0</v>
      </c>
      <c r="AT77" s="134"/>
      <c r="AU77" s="134"/>
      <c r="AV77" s="134"/>
      <c r="AW77" s="134"/>
      <c r="AX77" s="134"/>
      <c r="AY77" s="134"/>
      <c r="AZ77" s="134"/>
      <c r="BA77" s="134"/>
      <c r="BB77" s="134"/>
      <c r="BC77" s="134"/>
      <c r="BD77" s="134"/>
      <c r="BE77" s="134"/>
      <c r="BF77" s="134"/>
      <c r="BG77" s="134"/>
      <c r="BH77" s="134"/>
      <c r="BI77" s="134"/>
      <c r="BJ77" s="134"/>
      <c r="BK77" s="134"/>
      <c r="BL77" s="134">
        <v>2</v>
      </c>
    </row>
    <row r="78" spans="3:64" ht="20.100000000000001" customHeight="1">
      <c r="C78" s="347" t="s">
        <v>2674</v>
      </c>
      <c r="D78" s="68" t="s">
        <v>2426</v>
      </c>
      <c r="E78" s="69" t="s">
        <v>4730</v>
      </c>
      <c r="F78" s="681">
        <f>(F48+F37)*2/100</f>
        <v>0</v>
      </c>
      <c r="G78" s="615">
        <v>0.1</v>
      </c>
      <c r="H78" s="614">
        <f>F78*G78</f>
        <v>0</v>
      </c>
      <c r="I78" s="614">
        <f>F78+H78</f>
        <v>0</v>
      </c>
      <c r="J78" s="374">
        <f t="shared" si="13"/>
        <v>0</v>
      </c>
      <c r="AD78" s="117"/>
      <c r="AE78" s="80"/>
      <c r="AF78" s="80"/>
      <c r="AG78" s="134" t="s">
        <v>2634</v>
      </c>
      <c r="AH78" s="134">
        <v>1</v>
      </c>
      <c r="AI78" s="134"/>
      <c r="AJ78" s="134">
        <v>1</v>
      </c>
      <c r="AK78" s="134"/>
      <c r="AL78" s="134"/>
      <c r="AM78" s="134"/>
      <c r="AN78" s="134">
        <v>1</v>
      </c>
      <c r="AO78" s="134"/>
      <c r="AP78" s="134"/>
      <c r="AQ78" s="134"/>
      <c r="AR78" s="134">
        <f t="shared" si="21"/>
        <v>1</v>
      </c>
      <c r="AS78" s="134">
        <f t="shared" si="21"/>
        <v>0</v>
      </c>
      <c r="AT78" s="134"/>
      <c r="AU78" s="134"/>
      <c r="AV78" s="134"/>
      <c r="AW78" s="134"/>
      <c r="AX78" s="134"/>
      <c r="AY78" s="134"/>
      <c r="AZ78" s="134"/>
      <c r="BA78" s="134"/>
      <c r="BB78" s="134"/>
      <c r="BC78" s="134"/>
      <c r="BD78" s="134"/>
      <c r="BE78" s="134"/>
      <c r="BF78" s="134"/>
      <c r="BG78" s="134"/>
      <c r="BH78" s="134"/>
      <c r="BI78" s="134"/>
      <c r="BJ78" s="134"/>
      <c r="BK78" s="134"/>
      <c r="BL78" s="134">
        <v>1</v>
      </c>
    </row>
    <row r="79" spans="3:64" ht="20.100000000000001" customHeight="1">
      <c r="C79" s="577" t="s">
        <v>2632</v>
      </c>
      <c r="D79" s="348" t="s">
        <v>2427</v>
      </c>
      <c r="E79" s="349" t="str">
        <f>10&amp;"%(A+B+C+D+E)"</f>
        <v>10%(A+B+C+D+E)</v>
      </c>
      <c r="F79" s="616"/>
      <c r="G79" s="616"/>
      <c r="H79" s="616"/>
      <c r="I79" s="616">
        <f>10%*(I47+I57+I58+I73+I36)</f>
        <v>440000</v>
      </c>
      <c r="J79" s="374">
        <f t="shared" si="13"/>
        <v>1</v>
      </c>
      <c r="AD79" s="117"/>
      <c r="AE79" s="80"/>
      <c r="AF79" s="80"/>
      <c r="AG79" s="134" t="s">
        <v>2635</v>
      </c>
      <c r="AH79" s="134">
        <v>1</v>
      </c>
      <c r="AI79" s="134"/>
      <c r="AJ79" s="134">
        <v>1</v>
      </c>
      <c r="AK79" s="134"/>
      <c r="AL79" s="134"/>
      <c r="AM79" s="134"/>
      <c r="AN79" s="134">
        <v>1</v>
      </c>
      <c r="AO79" s="134">
        <v>2</v>
      </c>
      <c r="AP79" s="134"/>
      <c r="AQ79" s="134"/>
      <c r="AR79" s="134">
        <f t="shared" si="21"/>
        <v>1</v>
      </c>
      <c r="AS79" s="134">
        <f t="shared" si="21"/>
        <v>2</v>
      </c>
      <c r="AT79" s="134"/>
      <c r="AU79" s="134"/>
      <c r="AV79" s="134"/>
      <c r="AW79" s="134"/>
      <c r="AX79" s="134"/>
      <c r="AY79" s="134"/>
      <c r="AZ79" s="134"/>
      <c r="BA79" s="134"/>
      <c r="BB79" s="134"/>
      <c r="BC79" s="134"/>
      <c r="BD79" s="134"/>
      <c r="BE79" s="134"/>
      <c r="BF79" s="134"/>
      <c r="BG79" s="134"/>
      <c r="BH79" s="134"/>
      <c r="BI79" s="134"/>
      <c r="BJ79" s="134"/>
      <c r="BK79" s="134"/>
      <c r="BL79" s="134">
        <v>3</v>
      </c>
    </row>
    <row r="80" spans="3:64" ht="20.100000000000001" customHeight="1">
      <c r="C80" s="128"/>
      <c r="D80" s="73"/>
      <c r="E80" s="74"/>
      <c r="F80" s="74"/>
      <c r="G80" s="74"/>
      <c r="H80" s="74"/>
      <c r="I80" s="617"/>
      <c r="J80" s="374">
        <v>1</v>
      </c>
      <c r="AD80" s="117"/>
      <c r="AE80" s="80"/>
      <c r="AF80" s="80"/>
      <c r="AG80" s="134" t="s">
        <v>2636</v>
      </c>
      <c r="AH80" s="134">
        <v>1</v>
      </c>
      <c r="AI80" s="134"/>
      <c r="AJ80" s="134">
        <v>1</v>
      </c>
      <c r="AK80" s="134"/>
      <c r="AL80" s="134"/>
      <c r="AM80" s="134"/>
      <c r="AN80" s="134">
        <v>2</v>
      </c>
      <c r="AO80" s="134">
        <v>2</v>
      </c>
      <c r="AP80" s="134"/>
      <c r="AQ80" s="134"/>
      <c r="AR80" s="134">
        <f t="shared" si="21"/>
        <v>2</v>
      </c>
      <c r="AS80" s="134">
        <f t="shared" si="21"/>
        <v>2</v>
      </c>
      <c r="AT80" s="134"/>
      <c r="AU80" s="134"/>
      <c r="AV80" s="134"/>
      <c r="AW80" s="134"/>
      <c r="AX80" s="134"/>
      <c r="AY80" s="134"/>
      <c r="AZ80" s="134"/>
      <c r="BA80" s="134"/>
      <c r="BB80" s="134"/>
      <c r="BC80" s="134"/>
      <c r="BD80" s="134"/>
      <c r="BE80" s="134"/>
      <c r="BF80" s="134"/>
      <c r="BG80" s="134"/>
      <c r="BH80" s="134"/>
      <c r="BI80" s="134"/>
      <c r="BJ80" s="134"/>
      <c r="BK80" s="134"/>
      <c r="BL80" s="134">
        <v>4</v>
      </c>
    </row>
    <row r="81" spans="3:64" ht="20.100000000000001" customHeight="1">
      <c r="C81" s="71" t="str">
        <f>R_SETTING!$A$31</f>
        <v>LẬP DỰ TOÁN</v>
      </c>
      <c r="D81" s="71"/>
      <c r="E81" s="71" t="str">
        <f>R_SETTING!$C$31</f>
        <v>KIỂM TRA</v>
      </c>
      <c r="F81" s="378"/>
      <c r="G81" s="71" t="str">
        <f>SETTING!$K$5</f>
        <v>CÔNG TY TNHH TRANG SONG ANH</v>
      </c>
      <c r="H81" s="378"/>
      <c r="I81" s="378"/>
      <c r="J81" s="374">
        <v>1</v>
      </c>
      <c r="AD81" s="117"/>
      <c r="AE81" s="80"/>
      <c r="AF81" s="80"/>
      <c r="AG81" s="134" t="s">
        <v>2637</v>
      </c>
      <c r="AH81" s="134">
        <v>1</v>
      </c>
      <c r="AI81" s="134"/>
      <c r="AJ81" s="134">
        <v>1</v>
      </c>
      <c r="AK81" s="134"/>
      <c r="AL81" s="134"/>
      <c r="AM81" s="134"/>
      <c r="AN81" s="134">
        <v>2</v>
      </c>
      <c r="AO81" s="134">
        <v>1</v>
      </c>
      <c r="AP81" s="134"/>
      <c r="AQ81" s="134"/>
      <c r="AR81" s="134">
        <f t="shared" si="21"/>
        <v>2</v>
      </c>
      <c r="AS81" s="134">
        <f t="shared" si="21"/>
        <v>1</v>
      </c>
      <c r="AT81" s="134"/>
      <c r="AU81" s="134"/>
      <c r="AV81" s="134"/>
      <c r="AW81" s="134"/>
      <c r="AX81" s="134"/>
      <c r="AY81" s="134"/>
      <c r="AZ81" s="134"/>
      <c r="BA81" s="134"/>
      <c r="BB81" s="134"/>
      <c r="BC81" s="134"/>
      <c r="BD81" s="134"/>
      <c r="BE81" s="134"/>
      <c r="BF81" s="134"/>
      <c r="BG81" s="134"/>
      <c r="BH81" s="134"/>
      <c r="BI81" s="134"/>
      <c r="BJ81" s="134">
        <v>1</v>
      </c>
      <c r="BK81" s="134"/>
      <c r="BL81" s="134">
        <v>2</v>
      </c>
    </row>
    <row r="82" spans="3:64" ht="20.100000000000001" customHeight="1">
      <c r="C82" s="377"/>
      <c r="D82" s="377"/>
      <c r="E82" s="72"/>
      <c r="G82" s="71" t="s">
        <v>3870</v>
      </c>
      <c r="H82" s="378"/>
      <c r="I82" s="378"/>
      <c r="J82" s="374">
        <v>1</v>
      </c>
      <c r="AD82" s="117"/>
      <c r="AE82" s="129">
        <v>5</v>
      </c>
      <c r="AF82" s="129" t="s">
        <v>3266</v>
      </c>
      <c r="AG82" s="133"/>
      <c r="AH82" s="133">
        <v>1</v>
      </c>
      <c r="AI82" s="131">
        <v>1</v>
      </c>
      <c r="AJ82" s="133">
        <v>1</v>
      </c>
      <c r="AK82" s="131">
        <v>1</v>
      </c>
      <c r="AL82" s="133">
        <v>1</v>
      </c>
      <c r="AM82" s="131">
        <v>1</v>
      </c>
      <c r="AN82" s="133">
        <v>1</v>
      </c>
      <c r="AO82" s="133">
        <v>1</v>
      </c>
      <c r="AP82" s="131">
        <v>1</v>
      </c>
      <c r="AQ82" s="131">
        <v>1</v>
      </c>
      <c r="AR82" s="133">
        <v>1</v>
      </c>
      <c r="AS82" s="133">
        <v>1</v>
      </c>
      <c r="AT82" s="131">
        <v>1</v>
      </c>
      <c r="AU82" s="131">
        <v>1</v>
      </c>
      <c r="AV82" s="131">
        <v>1</v>
      </c>
      <c r="AW82" s="131">
        <v>1</v>
      </c>
      <c r="AX82" s="131"/>
      <c r="AY82" s="131">
        <v>1</v>
      </c>
      <c r="AZ82" s="131">
        <v>1</v>
      </c>
      <c r="BA82" s="131">
        <v>1</v>
      </c>
      <c r="BB82" s="133">
        <v>1</v>
      </c>
      <c r="BC82" s="133"/>
      <c r="BD82" s="133"/>
      <c r="BE82" s="133"/>
      <c r="BF82" s="133"/>
      <c r="BG82" s="133"/>
      <c r="BH82" s="133"/>
      <c r="BI82" s="133"/>
      <c r="BJ82" s="133"/>
      <c r="BK82" s="133"/>
      <c r="BL82" s="133"/>
    </row>
    <row r="83" spans="3:64" ht="20.100000000000001" customHeight="1">
      <c r="C83" s="377"/>
      <c r="D83" s="377"/>
      <c r="E83" s="72"/>
      <c r="G83" s="72"/>
      <c r="J83" s="374">
        <v>1</v>
      </c>
      <c r="AD83" s="117"/>
      <c r="AE83" s="80"/>
      <c r="AF83" s="80"/>
      <c r="AG83" s="372" t="s">
        <v>2361</v>
      </c>
      <c r="AH83" s="134">
        <v>1</v>
      </c>
      <c r="AI83" s="372">
        <v>1</v>
      </c>
      <c r="AJ83" s="134">
        <v>1</v>
      </c>
      <c r="AK83" s="372">
        <v>1</v>
      </c>
      <c r="AL83" s="134">
        <v>1</v>
      </c>
      <c r="AM83" s="372"/>
      <c r="AN83" s="134"/>
      <c r="AO83" s="134"/>
      <c r="AP83" s="372"/>
      <c r="AQ83" s="372"/>
      <c r="AR83" s="134">
        <f>AN83</f>
        <v>0</v>
      </c>
      <c r="AS83" s="134">
        <f>AO83</f>
        <v>0</v>
      </c>
      <c r="AT83" s="372"/>
      <c r="AU83" s="372"/>
      <c r="AV83" s="372">
        <v>1</v>
      </c>
      <c r="AW83" s="372"/>
      <c r="AX83" s="372"/>
      <c r="AY83" s="372">
        <v>1</v>
      </c>
      <c r="AZ83" s="372"/>
      <c r="BA83" s="372"/>
      <c r="BB83" s="134"/>
      <c r="BC83" s="134"/>
      <c r="BD83" s="134"/>
      <c r="BE83" s="134"/>
      <c r="BF83" s="134"/>
      <c r="BG83" s="134"/>
      <c r="BH83" s="134">
        <v>1</v>
      </c>
      <c r="BI83" s="134"/>
      <c r="BJ83" s="134">
        <v>1</v>
      </c>
      <c r="BK83" s="134"/>
      <c r="BL83" s="134"/>
    </row>
    <row r="84" spans="3:64" ht="20.100000000000001" customHeight="1">
      <c r="C84" s="377"/>
      <c r="D84" s="377"/>
      <c r="E84" s="72"/>
      <c r="G84" s="72"/>
      <c r="J84" s="374">
        <v>1</v>
      </c>
      <c r="AD84" s="117"/>
      <c r="AE84" s="80"/>
      <c r="AF84" s="80"/>
      <c r="AG84" s="372" t="s">
        <v>398</v>
      </c>
      <c r="AH84" s="134">
        <v>1</v>
      </c>
      <c r="AI84" s="372">
        <v>1</v>
      </c>
      <c r="AJ84" s="134">
        <v>1</v>
      </c>
      <c r="AK84" s="372">
        <v>1</v>
      </c>
      <c r="AL84" s="134"/>
      <c r="AM84" s="372"/>
      <c r="AN84" s="134">
        <v>1</v>
      </c>
      <c r="AO84" s="134"/>
      <c r="AP84" s="372">
        <v>1</v>
      </c>
      <c r="AQ84" s="372"/>
      <c r="AR84" s="134">
        <f t="shared" ref="AR84:AS91" si="22">AN84</f>
        <v>1</v>
      </c>
      <c r="AS84" s="134">
        <f t="shared" si="22"/>
        <v>0</v>
      </c>
      <c r="AT84" s="372">
        <v>1</v>
      </c>
      <c r="AU84" s="372"/>
      <c r="AV84" s="372">
        <v>1</v>
      </c>
      <c r="AW84" s="372"/>
      <c r="AX84" s="372"/>
      <c r="AY84" s="372"/>
      <c r="AZ84" s="372">
        <v>1</v>
      </c>
      <c r="BA84" s="372"/>
      <c r="BB84" s="134"/>
      <c r="BC84" s="134"/>
      <c r="BD84" s="134"/>
      <c r="BE84" s="134"/>
      <c r="BF84" s="134"/>
      <c r="BG84" s="134"/>
      <c r="BH84" s="134"/>
      <c r="BI84" s="134"/>
      <c r="BJ84" s="134"/>
      <c r="BK84" s="134">
        <v>1</v>
      </c>
      <c r="BL84" s="134"/>
    </row>
    <row r="85" spans="3:64" ht="20.100000000000001" customHeight="1">
      <c r="C85" s="792" t="str">
        <f>SETTING!$K$6</f>
        <v>NGUYỄN ĐỨC SƠN</v>
      </c>
      <c r="D85" s="792"/>
      <c r="E85" s="792" t="str">
        <f>SETTING!$K$7</f>
        <v>TRƯƠNG HỒNG CHINH</v>
      </c>
      <c r="F85" s="554"/>
      <c r="G85" s="792" t="str">
        <f>SETTING!$K$9</f>
        <v>TRẦN QUANG NINH</v>
      </c>
      <c r="H85" s="554"/>
      <c r="I85" s="554"/>
      <c r="J85" s="374">
        <v>1</v>
      </c>
      <c r="AD85" s="117"/>
      <c r="AE85" s="80"/>
      <c r="AF85" s="80"/>
      <c r="AG85" s="372" t="s">
        <v>2631</v>
      </c>
      <c r="AH85" s="134">
        <v>1</v>
      </c>
      <c r="AI85" s="372">
        <v>1</v>
      </c>
      <c r="AJ85" s="134">
        <v>1</v>
      </c>
      <c r="AK85" s="372">
        <v>1</v>
      </c>
      <c r="AL85" s="134"/>
      <c r="AM85" s="372"/>
      <c r="AN85" s="134">
        <v>1</v>
      </c>
      <c r="AO85" s="134"/>
      <c r="AP85" s="372">
        <v>1</v>
      </c>
      <c r="AQ85" s="372"/>
      <c r="AR85" s="134">
        <f t="shared" si="22"/>
        <v>1</v>
      </c>
      <c r="AS85" s="134">
        <f t="shared" si="22"/>
        <v>0</v>
      </c>
      <c r="AT85" s="372">
        <v>1</v>
      </c>
      <c r="AU85" s="372"/>
      <c r="AV85" s="372">
        <v>1</v>
      </c>
      <c r="AW85" s="372">
        <v>1</v>
      </c>
      <c r="AX85" s="372"/>
      <c r="AY85" s="372">
        <v>1</v>
      </c>
      <c r="AZ85" s="372"/>
      <c r="BA85" s="372">
        <v>1</v>
      </c>
      <c r="BB85" s="134"/>
      <c r="BC85" s="134"/>
      <c r="BD85" s="134"/>
      <c r="BE85" s="134"/>
      <c r="BF85" s="134"/>
      <c r="BG85" s="134"/>
      <c r="BH85" s="134"/>
      <c r="BI85" s="134"/>
      <c r="BJ85" s="134">
        <v>1</v>
      </c>
      <c r="BK85" s="134"/>
      <c r="BL85" s="134"/>
    </row>
    <row r="86" spans="3:64" ht="20.100000000000001" customHeight="1">
      <c r="J86" s="377"/>
      <c r="AD86" s="117"/>
      <c r="AE86" s="80"/>
      <c r="AF86" s="80"/>
      <c r="AG86" s="372" t="s">
        <v>2632</v>
      </c>
      <c r="AH86" s="134">
        <v>1</v>
      </c>
      <c r="AI86" s="372">
        <v>1</v>
      </c>
      <c r="AJ86" s="134">
        <v>1</v>
      </c>
      <c r="AK86" s="372">
        <v>1</v>
      </c>
      <c r="AL86" s="134"/>
      <c r="AM86" s="372"/>
      <c r="AN86" s="134">
        <v>1</v>
      </c>
      <c r="AO86" s="134"/>
      <c r="AP86" s="372">
        <v>1</v>
      </c>
      <c r="AQ86" s="372"/>
      <c r="AR86" s="134">
        <f t="shared" si="22"/>
        <v>1</v>
      </c>
      <c r="AS86" s="134">
        <f t="shared" si="22"/>
        <v>0</v>
      </c>
      <c r="AT86" s="372">
        <v>1</v>
      </c>
      <c r="AU86" s="372"/>
      <c r="AV86" s="372">
        <v>1</v>
      </c>
      <c r="AW86" s="372"/>
      <c r="AX86" s="372"/>
      <c r="AY86" s="372"/>
      <c r="AZ86" s="372"/>
      <c r="BA86" s="372">
        <v>1</v>
      </c>
      <c r="BB86" s="134"/>
      <c r="BC86" s="134"/>
      <c r="BD86" s="134"/>
      <c r="BE86" s="134"/>
      <c r="BF86" s="134"/>
      <c r="BG86" s="134"/>
      <c r="BH86" s="134"/>
      <c r="BI86" s="134"/>
      <c r="BJ86" s="134"/>
      <c r="BK86" s="134">
        <v>1</v>
      </c>
      <c r="BL86" s="134"/>
    </row>
    <row r="87" spans="3:64" ht="20.100000000000001" customHeight="1">
      <c r="J87" s="377"/>
      <c r="AD87" s="117"/>
      <c r="AE87" s="80"/>
      <c r="AF87" s="80"/>
      <c r="AG87" s="372" t="s">
        <v>2633</v>
      </c>
      <c r="AH87" s="134">
        <v>1</v>
      </c>
      <c r="AI87" s="372">
        <v>1</v>
      </c>
      <c r="AJ87" s="134">
        <v>1</v>
      </c>
      <c r="AK87" s="372">
        <v>1</v>
      </c>
      <c r="AL87" s="134"/>
      <c r="AM87" s="372"/>
      <c r="AN87" s="134">
        <v>2</v>
      </c>
      <c r="AO87" s="134"/>
      <c r="AP87" s="372">
        <v>2</v>
      </c>
      <c r="AQ87" s="372"/>
      <c r="AR87" s="134">
        <f t="shared" si="22"/>
        <v>2</v>
      </c>
      <c r="AS87" s="134">
        <f t="shared" si="22"/>
        <v>0</v>
      </c>
      <c r="AT87" s="372">
        <v>2</v>
      </c>
      <c r="AU87" s="372"/>
      <c r="AV87" s="372"/>
      <c r="AW87" s="372">
        <v>2</v>
      </c>
      <c r="AX87" s="372"/>
      <c r="AY87" s="372">
        <v>1</v>
      </c>
      <c r="AZ87" s="372"/>
      <c r="BA87" s="372">
        <v>2</v>
      </c>
      <c r="BB87" s="134"/>
      <c r="BC87" s="134"/>
      <c r="BD87" s="134"/>
      <c r="BE87" s="134"/>
      <c r="BF87" s="134"/>
      <c r="BG87" s="134"/>
      <c r="BH87" s="134"/>
      <c r="BI87" s="134"/>
      <c r="BJ87" s="134"/>
      <c r="BK87" s="134"/>
      <c r="BL87" s="134">
        <v>2</v>
      </c>
    </row>
    <row r="88" spans="3:64" ht="20.100000000000001" customHeight="1">
      <c r="C88" s="71"/>
      <c r="J88" s="71"/>
      <c r="AD88" s="117"/>
      <c r="AE88" s="80"/>
      <c r="AF88" s="80"/>
      <c r="AG88" s="372" t="s">
        <v>2634</v>
      </c>
      <c r="AH88" s="134">
        <v>1</v>
      </c>
      <c r="AI88" s="372">
        <v>1</v>
      </c>
      <c r="AJ88" s="134">
        <v>1</v>
      </c>
      <c r="AK88" s="372">
        <v>1</v>
      </c>
      <c r="AL88" s="134"/>
      <c r="AM88" s="372"/>
      <c r="AN88" s="134">
        <v>1</v>
      </c>
      <c r="AO88" s="134"/>
      <c r="AP88" s="372">
        <v>1</v>
      </c>
      <c r="AQ88" s="372"/>
      <c r="AR88" s="134">
        <f t="shared" si="22"/>
        <v>1</v>
      </c>
      <c r="AS88" s="134">
        <f t="shared" si="22"/>
        <v>0</v>
      </c>
      <c r="AT88" s="372">
        <v>1</v>
      </c>
      <c r="AU88" s="372"/>
      <c r="AV88" s="372"/>
      <c r="AW88" s="372">
        <v>1</v>
      </c>
      <c r="AX88" s="372"/>
      <c r="AY88" s="372"/>
      <c r="AZ88" s="372"/>
      <c r="BA88" s="372">
        <v>1</v>
      </c>
      <c r="BB88" s="134"/>
      <c r="BC88" s="134"/>
      <c r="BD88" s="134"/>
      <c r="BE88" s="134"/>
      <c r="BF88" s="134"/>
      <c r="BG88" s="134"/>
      <c r="BH88" s="134"/>
      <c r="BI88" s="134"/>
      <c r="BJ88" s="134"/>
      <c r="BK88" s="134"/>
      <c r="BL88" s="134">
        <v>1</v>
      </c>
    </row>
    <row r="89" spans="3:64" ht="20.100000000000001" customHeight="1">
      <c r="AD89" s="117"/>
      <c r="AE89" s="80"/>
      <c r="AF89" s="80"/>
      <c r="AG89" s="372" t="s">
        <v>2635</v>
      </c>
      <c r="AH89" s="134">
        <v>1</v>
      </c>
      <c r="AI89" s="372">
        <v>1</v>
      </c>
      <c r="AJ89" s="134">
        <v>1</v>
      </c>
      <c r="AK89" s="372">
        <v>1</v>
      </c>
      <c r="AL89" s="134"/>
      <c r="AM89" s="372"/>
      <c r="AN89" s="134">
        <v>1</v>
      </c>
      <c r="AO89" s="134">
        <v>2</v>
      </c>
      <c r="AP89" s="372">
        <v>2</v>
      </c>
      <c r="AQ89" s="372">
        <v>1</v>
      </c>
      <c r="AR89" s="134">
        <f t="shared" si="22"/>
        <v>1</v>
      </c>
      <c r="AS89" s="134">
        <f t="shared" si="22"/>
        <v>2</v>
      </c>
      <c r="AT89" s="372">
        <v>2</v>
      </c>
      <c r="AU89" s="372">
        <v>1</v>
      </c>
      <c r="AV89" s="372"/>
      <c r="AW89" s="372">
        <v>3</v>
      </c>
      <c r="AX89" s="372"/>
      <c r="AY89" s="372"/>
      <c r="AZ89" s="372"/>
      <c r="BA89" s="372">
        <v>3</v>
      </c>
      <c r="BB89" s="134"/>
      <c r="BC89" s="134"/>
      <c r="BD89" s="134"/>
      <c r="BE89" s="134"/>
      <c r="BF89" s="134"/>
      <c r="BG89" s="134"/>
      <c r="BH89" s="134"/>
      <c r="BI89" s="134"/>
      <c r="BJ89" s="134"/>
      <c r="BK89" s="134"/>
      <c r="BL89" s="134">
        <v>3</v>
      </c>
    </row>
    <row r="90" spans="3:64" ht="20.100000000000001" customHeight="1">
      <c r="AD90" s="117"/>
      <c r="AE90" s="80"/>
      <c r="AF90" s="80"/>
      <c r="AG90" s="372" t="s">
        <v>2636</v>
      </c>
      <c r="AH90" s="134">
        <v>1</v>
      </c>
      <c r="AI90" s="372">
        <v>1</v>
      </c>
      <c r="AJ90" s="134">
        <v>1</v>
      </c>
      <c r="AK90" s="372">
        <v>1</v>
      </c>
      <c r="AL90" s="134"/>
      <c r="AM90" s="372"/>
      <c r="AN90" s="134">
        <v>2</v>
      </c>
      <c r="AO90" s="134">
        <v>2</v>
      </c>
      <c r="AP90" s="372">
        <v>2</v>
      </c>
      <c r="AQ90" s="372">
        <v>2</v>
      </c>
      <c r="AR90" s="134">
        <f t="shared" si="22"/>
        <v>2</v>
      </c>
      <c r="AS90" s="134">
        <f t="shared" si="22"/>
        <v>2</v>
      </c>
      <c r="AT90" s="372">
        <v>2</v>
      </c>
      <c r="AU90" s="372">
        <v>2</v>
      </c>
      <c r="AV90" s="372"/>
      <c r="AW90" s="372">
        <v>4</v>
      </c>
      <c r="AX90" s="372"/>
      <c r="AY90" s="372"/>
      <c r="AZ90" s="372"/>
      <c r="BA90" s="372">
        <v>4</v>
      </c>
      <c r="BB90" s="134"/>
      <c r="BC90" s="134"/>
      <c r="BD90" s="134"/>
      <c r="BE90" s="134"/>
      <c r="BF90" s="134"/>
      <c r="BG90" s="134"/>
      <c r="BH90" s="134"/>
      <c r="BI90" s="134"/>
      <c r="BJ90" s="134"/>
      <c r="BK90" s="134"/>
      <c r="BL90" s="134">
        <v>4</v>
      </c>
    </row>
    <row r="91" spans="3:64" ht="20.100000000000001" customHeight="1">
      <c r="C91" s="71" t="str">
        <f>SETTING!$O$7</f>
        <v>BẢNG 1: TỔNG DỰ TOÁN</v>
      </c>
      <c r="D91" s="378"/>
      <c r="E91" s="378"/>
      <c r="F91" s="378"/>
      <c r="G91" s="378"/>
      <c r="H91" s="378"/>
      <c r="I91" s="378"/>
      <c r="J91" s="378"/>
      <c r="K91" s="378"/>
      <c r="AD91" s="117"/>
      <c r="AE91" s="80"/>
      <c r="AF91" s="80"/>
      <c r="AG91" s="372" t="s">
        <v>2637</v>
      </c>
      <c r="AH91" s="134">
        <v>1</v>
      </c>
      <c r="AI91" s="134">
        <v>1</v>
      </c>
      <c r="AJ91" s="134">
        <v>1</v>
      </c>
      <c r="AK91" s="134">
        <v>1</v>
      </c>
      <c r="AL91" s="134"/>
      <c r="AM91" s="134"/>
      <c r="AN91" s="134">
        <v>2</v>
      </c>
      <c r="AO91" s="134">
        <v>1</v>
      </c>
      <c r="AP91" s="134"/>
      <c r="AQ91" s="134">
        <v>2</v>
      </c>
      <c r="AR91" s="134">
        <f t="shared" si="22"/>
        <v>2</v>
      </c>
      <c r="AS91" s="134">
        <f t="shared" si="22"/>
        <v>1</v>
      </c>
      <c r="AT91" s="134"/>
      <c r="AU91" s="134">
        <v>2</v>
      </c>
      <c r="AV91" s="134"/>
      <c r="AW91" s="134">
        <v>2</v>
      </c>
      <c r="AX91" s="134"/>
      <c r="AY91" s="134">
        <v>1</v>
      </c>
      <c r="AZ91" s="134"/>
      <c r="BA91" s="134">
        <v>2</v>
      </c>
      <c r="BB91" s="134"/>
      <c r="BC91" s="134"/>
      <c r="BD91" s="134"/>
      <c r="BE91" s="134"/>
      <c r="BF91" s="134"/>
      <c r="BG91" s="134"/>
      <c r="BH91" s="134"/>
      <c r="BI91" s="134"/>
      <c r="BJ91" s="134">
        <v>1</v>
      </c>
      <c r="BK91" s="134"/>
      <c r="BL91" s="134">
        <v>2</v>
      </c>
    </row>
    <row r="92" spans="3:64" ht="20.100000000000001" customHeight="1">
      <c r="C92" s="71" t="str">
        <f>"CÔNG TRÌNH: "&amp;SETTING!$K$2</f>
        <v xml:space="preserve">CÔNG TRÌNH: ĐƯỜNG XUÂN BẮC  - BẢO QUANG. </v>
      </c>
      <c r="D92" s="378"/>
      <c r="E92" s="378"/>
      <c r="F92" s="378"/>
      <c r="G92" s="378"/>
      <c r="H92" s="378"/>
      <c r="I92" s="378"/>
      <c r="J92" s="378"/>
      <c r="K92" s="378"/>
      <c r="AD92" s="117"/>
      <c r="AE92" s="129">
        <v>6</v>
      </c>
      <c r="AF92" s="129" t="s">
        <v>3267</v>
      </c>
      <c r="AG92" s="130"/>
      <c r="AH92" s="133">
        <v>1</v>
      </c>
      <c r="AI92" s="133">
        <v>1</v>
      </c>
      <c r="AJ92" s="133">
        <v>1</v>
      </c>
      <c r="AK92" s="133">
        <v>1</v>
      </c>
      <c r="AL92" s="133">
        <v>1</v>
      </c>
      <c r="AM92" s="133"/>
      <c r="AN92" s="133">
        <v>1</v>
      </c>
      <c r="AO92" s="133">
        <v>1</v>
      </c>
      <c r="AP92" s="133">
        <v>1</v>
      </c>
      <c r="AQ92" s="133">
        <v>1</v>
      </c>
      <c r="AR92" s="133">
        <v>1</v>
      </c>
      <c r="AS92" s="133">
        <v>1</v>
      </c>
      <c r="AT92" s="133">
        <v>1</v>
      </c>
      <c r="AU92" s="133">
        <v>1</v>
      </c>
      <c r="AV92" s="133">
        <v>1</v>
      </c>
      <c r="AW92" s="133">
        <v>1</v>
      </c>
      <c r="AX92" s="133">
        <v>1</v>
      </c>
      <c r="AY92" s="133">
        <v>1</v>
      </c>
      <c r="AZ92" s="131"/>
      <c r="BA92" s="133"/>
      <c r="BB92" s="133">
        <v>1</v>
      </c>
      <c r="BC92" s="130"/>
      <c r="BD92" s="130"/>
      <c r="BE92" s="130"/>
      <c r="BF92" s="130"/>
      <c r="BG92" s="130"/>
      <c r="BH92" s="133">
        <v>1</v>
      </c>
      <c r="BI92" s="133">
        <v>1</v>
      </c>
      <c r="BJ92" s="133">
        <v>1</v>
      </c>
      <c r="BK92" s="133">
        <v>1</v>
      </c>
      <c r="BL92" s="133">
        <v>1</v>
      </c>
    </row>
    <row r="93" spans="3:64" ht="20.100000000000001" customHeight="1">
      <c r="C93" s="71" t="str">
        <f>"HẠNG MỤC: "&amp;SETTING!$K$3</f>
        <v>HẠNG MỤC: DI DỜI HỆ THỐNG TRỤ ĐIỆN.</v>
      </c>
      <c r="D93" s="378"/>
      <c r="E93" s="378"/>
      <c r="F93" s="378"/>
      <c r="G93" s="378"/>
      <c r="H93" s="378"/>
      <c r="I93" s="378"/>
      <c r="J93" s="378"/>
      <c r="K93" s="378"/>
      <c r="AD93" s="117"/>
      <c r="AE93" s="80"/>
      <c r="AF93" s="80"/>
      <c r="AG93" s="372" t="s">
        <v>2361</v>
      </c>
      <c r="AH93" s="134">
        <v>1</v>
      </c>
      <c r="AI93" s="134">
        <v>1</v>
      </c>
      <c r="AJ93" s="134">
        <v>1</v>
      </c>
      <c r="AK93" s="134">
        <v>1</v>
      </c>
      <c r="AL93" s="134">
        <v>1</v>
      </c>
      <c r="AM93" s="134"/>
      <c r="AN93" s="134"/>
      <c r="AO93" s="134"/>
      <c r="AP93" s="134"/>
      <c r="AQ93" s="134"/>
      <c r="AR93" s="134">
        <f>AN93</f>
        <v>0</v>
      </c>
      <c r="AS93" s="134">
        <f>AO93</f>
        <v>0</v>
      </c>
      <c r="AT93" s="134"/>
      <c r="AU93" s="134"/>
      <c r="AV93" s="134">
        <v>1</v>
      </c>
      <c r="AW93" s="134"/>
      <c r="AX93" s="134">
        <f>IF(BB81="X-1,66Đ",2,3)</f>
        <v>3</v>
      </c>
      <c r="AY93" s="134">
        <f>IF($BB$41="X-1,66Đ",1,0)</f>
        <v>0</v>
      </c>
      <c r="AZ93" s="115"/>
      <c r="BA93" s="134"/>
      <c r="BB93" s="134">
        <v>1</v>
      </c>
      <c r="BC93" s="372"/>
      <c r="BD93" s="372"/>
      <c r="BE93" s="372"/>
      <c r="BF93" s="372"/>
      <c r="BG93" s="372"/>
      <c r="BH93" s="134">
        <v>1</v>
      </c>
      <c r="BI93" s="134"/>
      <c r="BJ93" s="134">
        <v>1</v>
      </c>
      <c r="BK93" s="134"/>
      <c r="BL93" s="134"/>
    </row>
    <row r="94" spans="3:64" ht="47.25">
      <c r="C94" s="577" t="s">
        <v>2347</v>
      </c>
      <c r="D94" s="577" t="s">
        <v>2401</v>
      </c>
      <c r="E94" s="350" t="s">
        <v>2445</v>
      </c>
      <c r="F94" s="350" t="s">
        <v>3871</v>
      </c>
      <c r="G94" s="350" t="s">
        <v>3872</v>
      </c>
      <c r="H94" s="350" t="s">
        <v>3873</v>
      </c>
      <c r="I94" s="350" t="s">
        <v>3874</v>
      </c>
      <c r="J94" s="350" t="s">
        <v>3875</v>
      </c>
      <c r="K94" s="350" t="s">
        <v>3876</v>
      </c>
      <c r="AD94" s="117"/>
      <c r="AE94" s="80"/>
      <c r="AF94" s="80"/>
      <c r="AG94" s="372" t="s">
        <v>398</v>
      </c>
      <c r="AH94" s="134">
        <v>1</v>
      </c>
      <c r="AI94" s="134">
        <v>1</v>
      </c>
      <c r="AJ94" s="134">
        <v>1</v>
      </c>
      <c r="AK94" s="134">
        <v>1</v>
      </c>
      <c r="AL94" s="134"/>
      <c r="AM94" s="134"/>
      <c r="AN94" s="134">
        <v>1</v>
      </c>
      <c r="AO94" s="134"/>
      <c r="AP94" s="134">
        <v>1</v>
      </c>
      <c r="AQ94" s="134"/>
      <c r="AR94" s="134">
        <f t="shared" ref="AR94:AS101" si="23">AN94</f>
        <v>1</v>
      </c>
      <c r="AS94" s="134">
        <f t="shared" si="23"/>
        <v>0</v>
      </c>
      <c r="AT94" s="134">
        <v>1</v>
      </c>
      <c r="AU94" s="134"/>
      <c r="AV94" s="134">
        <v>1</v>
      </c>
      <c r="AW94" s="134"/>
      <c r="AX94" s="134"/>
      <c r="AY94" s="134"/>
      <c r="AZ94" s="115"/>
      <c r="BA94" s="134"/>
      <c r="BB94" s="134"/>
      <c r="BC94" s="372">
        <v>1</v>
      </c>
      <c r="BD94" s="372"/>
      <c r="BE94" s="372"/>
      <c r="BF94" s="372"/>
      <c r="BG94" s="372"/>
      <c r="BH94" s="134"/>
      <c r="BI94" s="134"/>
      <c r="BJ94" s="134"/>
      <c r="BK94" s="134">
        <v>1</v>
      </c>
      <c r="BL94" s="134"/>
    </row>
    <row r="95" spans="3:64" ht="20.100000000000001" customHeight="1">
      <c r="C95" s="351">
        <v>1</v>
      </c>
      <c r="D95" s="136" t="s">
        <v>2428</v>
      </c>
      <c r="E95" s="137"/>
      <c r="F95" s="137"/>
      <c r="G95" s="618"/>
      <c r="H95" s="618"/>
      <c r="I95" s="137"/>
      <c r="J95" s="619"/>
      <c r="K95" s="137"/>
      <c r="AD95" s="117"/>
      <c r="AE95" s="80"/>
      <c r="AF95" s="80"/>
      <c r="AG95" s="372" t="s">
        <v>2631</v>
      </c>
      <c r="AH95" s="134">
        <v>1</v>
      </c>
      <c r="AI95" s="134">
        <v>1</v>
      </c>
      <c r="AJ95" s="134">
        <v>1</v>
      </c>
      <c r="AK95" s="134">
        <v>1</v>
      </c>
      <c r="AL95" s="134"/>
      <c r="AM95" s="134"/>
      <c r="AN95" s="134">
        <v>1</v>
      </c>
      <c r="AO95" s="134"/>
      <c r="AP95" s="134">
        <v>1</v>
      </c>
      <c r="AQ95" s="134"/>
      <c r="AR95" s="134">
        <f t="shared" si="23"/>
        <v>1</v>
      </c>
      <c r="AS95" s="134">
        <f t="shared" si="23"/>
        <v>0</v>
      </c>
      <c r="AT95" s="134">
        <v>1</v>
      </c>
      <c r="AU95" s="134"/>
      <c r="AV95" s="134">
        <v>1</v>
      </c>
      <c r="AW95" s="134">
        <v>1</v>
      </c>
      <c r="AX95" s="134">
        <v>1</v>
      </c>
      <c r="AY95" s="134">
        <f>IF($BB$41="X-1,66Đ",1,0)</f>
        <v>0</v>
      </c>
      <c r="AZ95" s="115"/>
      <c r="BA95" s="134">
        <v>1</v>
      </c>
      <c r="BB95" s="134">
        <v>1</v>
      </c>
      <c r="BC95" s="372"/>
      <c r="BD95" s="372">
        <v>3</v>
      </c>
      <c r="BE95" s="372"/>
      <c r="BF95" s="372"/>
      <c r="BG95" s="372"/>
      <c r="BH95" s="134"/>
      <c r="BI95" s="134"/>
      <c r="BJ95" s="134">
        <v>1</v>
      </c>
      <c r="BK95" s="134"/>
      <c r="BL95" s="134"/>
    </row>
    <row r="96" spans="3:64" ht="20.100000000000001" customHeight="1">
      <c r="C96" s="352">
        <v>2</v>
      </c>
      <c r="D96" s="138" t="s">
        <v>2429</v>
      </c>
      <c r="E96" s="139"/>
      <c r="F96" s="139"/>
      <c r="G96" s="620"/>
      <c r="H96" s="620"/>
      <c r="I96" s="139"/>
      <c r="J96" s="621"/>
      <c r="K96" s="139"/>
      <c r="AD96" s="117"/>
      <c r="AE96" s="80"/>
      <c r="AF96" s="80"/>
      <c r="AG96" s="372" t="s">
        <v>2632</v>
      </c>
      <c r="AH96" s="134">
        <v>1</v>
      </c>
      <c r="AI96" s="134">
        <v>1</v>
      </c>
      <c r="AJ96" s="134">
        <v>1</v>
      </c>
      <c r="AK96" s="134">
        <v>1</v>
      </c>
      <c r="AL96" s="134"/>
      <c r="AM96" s="134"/>
      <c r="AN96" s="134">
        <v>1</v>
      </c>
      <c r="AO96" s="134"/>
      <c r="AP96" s="134">
        <v>1</v>
      </c>
      <c r="AQ96" s="134"/>
      <c r="AR96" s="134">
        <f t="shared" si="23"/>
        <v>1</v>
      </c>
      <c r="AS96" s="134">
        <f t="shared" si="23"/>
        <v>0</v>
      </c>
      <c r="AT96" s="134">
        <v>1</v>
      </c>
      <c r="AU96" s="134"/>
      <c r="AV96" s="134">
        <v>1</v>
      </c>
      <c r="AW96" s="134"/>
      <c r="AX96" s="134"/>
      <c r="AY96" s="134"/>
      <c r="AZ96" s="115"/>
      <c r="BA96" s="134">
        <v>1</v>
      </c>
      <c r="BB96" s="134"/>
      <c r="BC96" s="372"/>
      <c r="BD96" s="372">
        <v>3</v>
      </c>
      <c r="BE96" s="372"/>
      <c r="BF96" s="372"/>
      <c r="BG96" s="372"/>
      <c r="BH96" s="134"/>
      <c r="BI96" s="134"/>
      <c r="BJ96" s="134"/>
      <c r="BK96" s="134">
        <v>1</v>
      </c>
      <c r="BL96" s="134"/>
    </row>
    <row r="97" spans="3:64" ht="20.100000000000001" customHeight="1">
      <c r="C97" s="352">
        <v>3</v>
      </c>
      <c r="D97" s="138" t="s">
        <v>4904</v>
      </c>
      <c r="E97" s="139"/>
      <c r="F97" s="139"/>
      <c r="G97" s="620"/>
      <c r="H97" s="620"/>
      <c r="I97" s="139"/>
      <c r="J97" s="621"/>
      <c r="K97" s="139"/>
      <c r="AD97" s="117"/>
      <c r="AE97" s="80"/>
      <c r="AF97" s="80"/>
      <c r="AG97" s="372" t="s">
        <v>2633</v>
      </c>
      <c r="AH97" s="134">
        <v>1</v>
      </c>
      <c r="AI97" s="134">
        <v>1</v>
      </c>
      <c r="AJ97" s="134">
        <v>1</v>
      </c>
      <c r="AK97" s="134">
        <v>1</v>
      </c>
      <c r="AL97" s="134"/>
      <c r="AM97" s="134"/>
      <c r="AN97" s="134">
        <v>2</v>
      </c>
      <c r="AO97" s="134"/>
      <c r="AP97" s="134">
        <v>2</v>
      </c>
      <c r="AQ97" s="134"/>
      <c r="AR97" s="134">
        <f t="shared" si="23"/>
        <v>2</v>
      </c>
      <c r="AS97" s="134">
        <f t="shared" si="23"/>
        <v>0</v>
      </c>
      <c r="AT97" s="134">
        <v>2</v>
      </c>
      <c r="AU97" s="134"/>
      <c r="AV97" s="134"/>
      <c r="AW97" s="134">
        <v>2</v>
      </c>
      <c r="AX97" s="134">
        <v>3</v>
      </c>
      <c r="AY97" s="134">
        <f>IF($BB$41="X-1,66Đ",1,0)</f>
        <v>0</v>
      </c>
      <c r="AZ97" s="115"/>
      <c r="BA97" s="134">
        <v>2</v>
      </c>
      <c r="BB97" s="134"/>
      <c r="BC97" s="372"/>
      <c r="BD97" s="372">
        <v>6</v>
      </c>
      <c r="BE97" s="372"/>
      <c r="BF97" s="372"/>
      <c r="BG97" s="372"/>
      <c r="BH97" s="134"/>
      <c r="BI97" s="134"/>
      <c r="BJ97" s="134"/>
      <c r="BK97" s="134"/>
      <c r="BL97" s="134">
        <v>2</v>
      </c>
    </row>
    <row r="98" spans="3:64" ht="20.100000000000001" customHeight="1">
      <c r="C98" s="353" t="s">
        <v>2677</v>
      </c>
      <c r="D98" s="1064" t="s">
        <v>2430</v>
      </c>
      <c r="E98" s="354">
        <f>SUM(E95:E97)</f>
        <v>0</v>
      </c>
      <c r="F98" s="354">
        <f>SUM(F95:F97)</f>
        <v>0</v>
      </c>
      <c r="G98" s="354">
        <f t="shared" ref="G98:J98" si="24">SUM(G95:G97)</f>
        <v>0</v>
      </c>
      <c r="H98" s="354">
        <f t="shared" si="24"/>
        <v>0</v>
      </c>
      <c r="I98" s="354">
        <f t="shared" si="24"/>
        <v>0</v>
      </c>
      <c r="J98" s="354">
        <f t="shared" si="24"/>
        <v>0</v>
      </c>
      <c r="K98" s="622">
        <f>SUM(E98:J98)</f>
        <v>0</v>
      </c>
      <c r="AD98" s="117"/>
      <c r="AE98" s="80"/>
      <c r="AF98" s="80"/>
      <c r="AG98" s="372" t="s">
        <v>2634</v>
      </c>
      <c r="AH98" s="134">
        <v>1</v>
      </c>
      <c r="AI98" s="134">
        <v>1</v>
      </c>
      <c r="AJ98" s="134">
        <v>1</v>
      </c>
      <c r="AK98" s="134">
        <v>1</v>
      </c>
      <c r="AL98" s="134"/>
      <c r="AM98" s="134"/>
      <c r="AN98" s="134">
        <v>1</v>
      </c>
      <c r="AO98" s="134"/>
      <c r="AP98" s="134">
        <v>1</v>
      </c>
      <c r="AQ98" s="134"/>
      <c r="AR98" s="134">
        <f t="shared" si="23"/>
        <v>1</v>
      </c>
      <c r="AS98" s="134">
        <f t="shared" si="23"/>
        <v>0</v>
      </c>
      <c r="AT98" s="134">
        <v>1</v>
      </c>
      <c r="AU98" s="134"/>
      <c r="AV98" s="134"/>
      <c r="AW98" s="134">
        <v>1</v>
      </c>
      <c r="AX98" s="134"/>
      <c r="AY98" s="134"/>
      <c r="AZ98" s="115"/>
      <c r="BA98" s="134">
        <v>1</v>
      </c>
      <c r="BB98" s="134"/>
      <c r="BC98" s="372"/>
      <c r="BD98" s="372">
        <v>3</v>
      </c>
      <c r="BE98" s="372"/>
      <c r="BF98" s="372"/>
      <c r="BG98" s="372"/>
      <c r="BH98" s="134"/>
      <c r="BI98" s="134"/>
      <c r="BJ98" s="134"/>
      <c r="BK98" s="134"/>
      <c r="BL98" s="134">
        <v>1</v>
      </c>
    </row>
    <row r="99" spans="3:64" ht="20.100000000000001" customHeight="1">
      <c r="C99" s="181" t="e">
        <f ca="1">CONCATENATE("Bằng chữ: ",UPPER(LEFT((ReadNumToUnicode(K98)),1)),RIGHT(ReadNumToUnicode(K98),LEN(ReadNumToUnicode(K98))-1)," đồng chẵn")</f>
        <v>#NAME?</v>
      </c>
      <c r="D99" s="140"/>
      <c r="E99" s="140"/>
      <c r="G99" s="140"/>
      <c r="H99" s="140"/>
      <c r="I99" s="140"/>
      <c r="J99" s="140"/>
      <c r="K99" s="140"/>
      <c r="AD99" s="117"/>
      <c r="AE99" s="80"/>
      <c r="AF99" s="80"/>
      <c r="AG99" s="372" t="s">
        <v>2635</v>
      </c>
      <c r="AH99" s="134">
        <v>1</v>
      </c>
      <c r="AI99" s="134">
        <v>1</v>
      </c>
      <c r="AJ99" s="134">
        <v>1</v>
      </c>
      <c r="AK99" s="134">
        <v>1</v>
      </c>
      <c r="AL99" s="134"/>
      <c r="AM99" s="134"/>
      <c r="AN99" s="134">
        <v>1</v>
      </c>
      <c r="AO99" s="134">
        <v>2</v>
      </c>
      <c r="AP99" s="134">
        <v>2</v>
      </c>
      <c r="AQ99" s="134">
        <v>1</v>
      </c>
      <c r="AR99" s="134">
        <f t="shared" si="23"/>
        <v>1</v>
      </c>
      <c r="AS99" s="134">
        <f t="shared" si="23"/>
        <v>2</v>
      </c>
      <c r="AT99" s="134">
        <v>2</v>
      </c>
      <c r="AU99" s="134">
        <v>1</v>
      </c>
      <c r="AV99" s="134"/>
      <c r="AW99" s="134">
        <v>3</v>
      </c>
      <c r="AX99" s="134">
        <v>4</v>
      </c>
      <c r="AY99" s="134"/>
      <c r="AZ99" s="115"/>
      <c r="BA99" s="134">
        <v>3</v>
      </c>
      <c r="BB99" s="134"/>
      <c r="BC99" s="372"/>
      <c r="BD99" s="372">
        <v>9</v>
      </c>
      <c r="BE99" s="372"/>
      <c r="BF99" s="372"/>
      <c r="BG99" s="372"/>
      <c r="BH99" s="134"/>
      <c r="BI99" s="134"/>
      <c r="BJ99" s="134"/>
      <c r="BK99" s="134"/>
      <c r="BL99" s="134">
        <v>3</v>
      </c>
    </row>
    <row r="100" spans="3:64" ht="20.100000000000001" customHeight="1">
      <c r="C100" s="71" t="str">
        <f>R_SETTING!$A$31</f>
        <v>LẬP DỰ TOÁN</v>
      </c>
      <c r="D100" s="71"/>
      <c r="E100" s="71" t="str">
        <f>R_SETTING!$C$31</f>
        <v>KIỂM TRA</v>
      </c>
      <c r="F100" s="378"/>
      <c r="G100" s="378"/>
      <c r="H100" s="71"/>
      <c r="I100" s="71" t="str">
        <f>SETTING!$K$5</f>
        <v>CÔNG TY TNHH TRANG SONG ANH</v>
      </c>
      <c r="J100" s="378"/>
      <c r="K100" s="71"/>
      <c r="AD100" s="117"/>
      <c r="AE100" s="80"/>
      <c r="AF100" s="80"/>
      <c r="AG100" s="372" t="s">
        <v>2636</v>
      </c>
      <c r="AH100" s="134">
        <v>1</v>
      </c>
      <c r="AI100" s="134">
        <v>1</v>
      </c>
      <c r="AJ100" s="134">
        <v>1</v>
      </c>
      <c r="AK100" s="134">
        <v>1</v>
      </c>
      <c r="AL100" s="134"/>
      <c r="AM100" s="134"/>
      <c r="AN100" s="134">
        <v>2</v>
      </c>
      <c r="AO100" s="134">
        <v>2</v>
      </c>
      <c r="AP100" s="134">
        <v>2</v>
      </c>
      <c r="AQ100" s="134">
        <v>2</v>
      </c>
      <c r="AR100" s="134">
        <f t="shared" si="23"/>
        <v>2</v>
      </c>
      <c r="AS100" s="134">
        <f t="shared" si="23"/>
        <v>2</v>
      </c>
      <c r="AT100" s="134">
        <v>2</v>
      </c>
      <c r="AU100" s="134">
        <v>2</v>
      </c>
      <c r="AV100" s="134"/>
      <c r="AW100" s="134">
        <v>4</v>
      </c>
      <c r="AX100" s="134">
        <v>6</v>
      </c>
      <c r="AY100" s="134"/>
      <c r="AZ100" s="115"/>
      <c r="BA100" s="134">
        <v>4</v>
      </c>
      <c r="BB100" s="134"/>
      <c r="BC100" s="372"/>
      <c r="BD100" s="372">
        <v>12</v>
      </c>
      <c r="BE100" s="372"/>
      <c r="BF100" s="372"/>
      <c r="BG100" s="372"/>
      <c r="BH100" s="134"/>
      <c r="BI100" s="134"/>
      <c r="BJ100" s="134"/>
      <c r="BK100" s="134"/>
      <c r="BL100" s="134">
        <v>4</v>
      </c>
    </row>
    <row r="101" spans="3:64" ht="20.100000000000001" customHeight="1">
      <c r="C101" s="377"/>
      <c r="D101" s="377"/>
      <c r="E101" s="72"/>
      <c r="G101" s="374"/>
      <c r="H101" s="377"/>
      <c r="I101" s="71" t="s">
        <v>3870</v>
      </c>
      <c r="J101" s="378"/>
      <c r="K101" s="71"/>
      <c r="AD101" s="117"/>
      <c r="AE101" s="82"/>
      <c r="AF101" s="82"/>
      <c r="AG101" s="83" t="s">
        <v>2637</v>
      </c>
      <c r="AH101" s="134">
        <v>1</v>
      </c>
      <c r="AI101" s="134">
        <v>1</v>
      </c>
      <c r="AJ101" s="134">
        <v>1</v>
      </c>
      <c r="AK101" s="134">
        <v>1</v>
      </c>
      <c r="AL101" s="134"/>
      <c r="AM101" s="134"/>
      <c r="AN101" s="134">
        <v>2</v>
      </c>
      <c r="AO101" s="134">
        <v>1</v>
      </c>
      <c r="AP101" s="134"/>
      <c r="AQ101" s="134">
        <v>2</v>
      </c>
      <c r="AR101" s="134">
        <f t="shared" si="23"/>
        <v>2</v>
      </c>
      <c r="AS101" s="134">
        <f t="shared" si="23"/>
        <v>1</v>
      </c>
      <c r="AT101" s="134"/>
      <c r="AU101" s="134">
        <v>2</v>
      </c>
      <c r="AV101" s="134"/>
      <c r="AW101" s="134">
        <v>2</v>
      </c>
      <c r="AX101" s="134">
        <v>3</v>
      </c>
      <c r="AY101" s="134">
        <f>IF($BB$41="X-1,66Đ",1,0)</f>
        <v>0</v>
      </c>
      <c r="AZ101" s="116"/>
      <c r="BA101" s="134">
        <v>2</v>
      </c>
      <c r="BB101" s="134">
        <v>1</v>
      </c>
      <c r="BC101" s="372"/>
      <c r="BD101" s="372">
        <v>6</v>
      </c>
      <c r="BE101" s="83"/>
      <c r="BF101" s="83"/>
      <c r="BG101" s="83"/>
      <c r="BH101" s="134"/>
      <c r="BI101" s="134"/>
      <c r="BJ101" s="134">
        <v>1</v>
      </c>
      <c r="BK101" s="134"/>
      <c r="BL101" s="134">
        <v>2</v>
      </c>
    </row>
    <row r="102" spans="3:64" ht="20.100000000000001" customHeight="1">
      <c r="C102" s="377"/>
      <c r="D102" s="377"/>
      <c r="E102" s="72"/>
      <c r="G102" s="374"/>
      <c r="H102" s="377"/>
      <c r="I102" s="72"/>
      <c r="K102" s="377"/>
      <c r="AD102" s="117"/>
      <c r="AE102" s="82"/>
      <c r="AF102" s="82"/>
      <c r="AG102" s="83"/>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83"/>
      <c r="BC102" s="83"/>
      <c r="BD102" s="83"/>
      <c r="BE102" s="83"/>
      <c r="BF102" s="83"/>
      <c r="BG102" s="83"/>
      <c r="BH102" s="83"/>
      <c r="BI102" s="83"/>
      <c r="BJ102" s="83"/>
      <c r="BK102" s="83"/>
      <c r="BL102" s="83"/>
    </row>
    <row r="103" spans="3:64" ht="20.100000000000001" customHeight="1">
      <c r="C103" s="377"/>
      <c r="D103" s="377"/>
      <c r="E103" s="72"/>
      <c r="G103" s="374"/>
      <c r="H103" s="377"/>
      <c r="I103" s="72"/>
      <c r="K103" s="377"/>
      <c r="AD103" s="117"/>
      <c r="AE103" s="80"/>
      <c r="AF103" s="80"/>
      <c r="AG103" s="372"/>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372"/>
      <c r="BC103" s="372"/>
      <c r="BD103" s="372"/>
      <c r="BE103" s="372"/>
      <c r="BF103" s="372"/>
      <c r="BG103" s="372"/>
      <c r="BH103" s="372"/>
      <c r="BI103" s="372"/>
      <c r="BJ103" s="372"/>
      <c r="BK103" s="372"/>
      <c r="BL103" s="372"/>
    </row>
    <row r="104" spans="3:64" ht="20.100000000000001" customHeight="1">
      <c r="C104" s="71" t="str">
        <f>SETTING!$K$6</f>
        <v>NGUYỄN ĐỨC SƠN</v>
      </c>
      <c r="D104" s="71"/>
      <c r="E104" s="71" t="str">
        <f>SETTING!$K$7</f>
        <v>TRƯƠNG HỒNG CHINH</v>
      </c>
      <c r="F104" s="378"/>
      <c r="G104" s="378"/>
      <c r="H104" s="71"/>
      <c r="I104" s="71" t="str">
        <f>SETTING!$K$9</f>
        <v>TRẦN QUANG NINH</v>
      </c>
      <c r="J104" s="378"/>
      <c r="K104" s="71"/>
      <c r="AD104" s="117"/>
      <c r="AE104" s="80"/>
      <c r="AF104" s="80"/>
      <c r="AG104" s="372"/>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372"/>
      <c r="BC104" s="372"/>
      <c r="BD104" s="372"/>
      <c r="BE104" s="372"/>
      <c r="BF104" s="372"/>
      <c r="BG104" s="372"/>
      <c r="BH104" s="372"/>
      <c r="BI104" s="372"/>
      <c r="BJ104" s="372"/>
      <c r="BK104" s="372"/>
      <c r="BL104" s="372"/>
    </row>
    <row r="105" spans="3:64" ht="20.100000000000001" customHeight="1">
      <c r="AD105" s="117"/>
      <c r="AE105" s="82"/>
      <c r="AF105" s="82"/>
      <c r="AG105" s="83"/>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83"/>
      <c r="BC105" s="83"/>
      <c r="BD105" s="83"/>
      <c r="BE105" s="83"/>
      <c r="BF105" s="83"/>
      <c r="BG105" s="83"/>
      <c r="BH105" s="83"/>
      <c r="BI105" s="83"/>
      <c r="BJ105" s="83"/>
      <c r="BK105" s="83"/>
      <c r="BL105" s="83"/>
    </row>
    <row r="106" spans="3:64" ht="20.100000000000001" customHeight="1">
      <c r="AD106" s="117"/>
      <c r="AE106" s="82"/>
      <c r="AF106" s="82"/>
      <c r="AG106" s="83"/>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83"/>
      <c r="BC106" s="83"/>
      <c r="BD106" s="83"/>
      <c r="BE106" s="83"/>
      <c r="BF106" s="83"/>
      <c r="BG106" s="83"/>
      <c r="BH106" s="83"/>
      <c r="BI106" s="83"/>
      <c r="BJ106" s="83"/>
      <c r="BK106" s="83"/>
      <c r="BL106" s="83"/>
    </row>
    <row r="111" spans="3:64" ht="20.100000000000001" customHeight="1">
      <c r="C111" s="141"/>
      <c r="D111" s="378"/>
      <c r="E111" s="378"/>
      <c r="F111" s="378"/>
      <c r="G111" s="378"/>
      <c r="H111" s="378"/>
      <c r="I111" s="378"/>
    </row>
    <row r="112" spans="3:64" ht="20.100000000000001" customHeight="1">
      <c r="C112" s="141" t="str">
        <f ca="1">SETTING!$O$15</f>
        <v>BẢNG 4: TỔNG HỢP CHI PHÍ LẮP ĐẶT THIẾT BỊ</v>
      </c>
      <c r="D112" s="378"/>
      <c r="E112" s="378"/>
      <c r="F112" s="378"/>
      <c r="G112" s="378"/>
      <c r="H112" s="378"/>
      <c r="I112" s="378"/>
    </row>
    <row r="113" spans="3:9" ht="20.100000000000001" customHeight="1">
      <c r="C113" s="142"/>
      <c r="D113" s="142"/>
      <c r="E113" s="142"/>
      <c r="F113" s="623"/>
      <c r="G113" s="623"/>
      <c r="H113" s="623"/>
      <c r="I113" s="623"/>
    </row>
    <row r="114" spans="3:9" ht="20.100000000000001" customHeight="1">
      <c r="C114" s="1414" t="s">
        <v>2347</v>
      </c>
      <c r="D114" s="1414" t="s">
        <v>2360</v>
      </c>
      <c r="E114" s="578" t="s">
        <v>2605</v>
      </c>
      <c r="F114" s="1414" t="s">
        <v>2428</v>
      </c>
      <c r="G114" s="1414"/>
      <c r="H114" s="1414" t="s">
        <v>2429</v>
      </c>
      <c r="I114" s="1414"/>
    </row>
    <row r="115" spans="3:9" ht="20.100000000000001" customHeight="1">
      <c r="C115" s="1414"/>
      <c r="D115" s="1414"/>
      <c r="E115" s="578" t="s">
        <v>2606</v>
      </c>
      <c r="F115" s="578" t="s">
        <v>3877</v>
      </c>
      <c r="G115" s="578" t="s">
        <v>2348</v>
      </c>
      <c r="H115" s="578" t="s">
        <v>3877</v>
      </c>
      <c r="I115" s="578" t="s">
        <v>2348</v>
      </c>
    </row>
    <row r="116" spans="3:9" ht="20.100000000000001" customHeight="1">
      <c r="C116" s="144" t="s">
        <v>2361</v>
      </c>
      <c r="D116" s="143" t="s">
        <v>2362</v>
      </c>
      <c r="E116" s="144" t="s">
        <v>2363</v>
      </c>
      <c r="F116" s="624" t="s">
        <v>3878</v>
      </c>
      <c r="G116" s="625">
        <f>G117+G119+G121+G123</f>
        <v>0</v>
      </c>
      <c r="H116" s="624" t="s">
        <v>3878</v>
      </c>
      <c r="I116" s="626">
        <f>I117+I119+I121+I123</f>
        <v>0</v>
      </c>
    </row>
    <row r="117" spans="3:9" ht="20.100000000000001" customHeight="1">
      <c r="C117" s="375">
        <v>1</v>
      </c>
      <c r="D117" s="145" t="s">
        <v>2364</v>
      </c>
      <c r="E117" s="375" t="s">
        <v>2357</v>
      </c>
      <c r="F117" s="50" t="s">
        <v>2366</v>
      </c>
      <c r="G117" s="607">
        <f>G118</f>
        <v>0</v>
      </c>
      <c r="H117" s="50" t="s">
        <v>3879</v>
      </c>
      <c r="I117" s="607"/>
    </row>
    <row r="118" spans="3:9" ht="20.100000000000001" customHeight="1">
      <c r="C118" s="95"/>
      <c r="D118" s="96" t="s">
        <v>2607</v>
      </c>
      <c r="E118" s="95" t="s">
        <v>2366</v>
      </c>
      <c r="F118" s="627" t="s">
        <v>2369</v>
      </c>
      <c r="G118" s="628"/>
      <c r="H118" s="627" t="s">
        <v>2369</v>
      </c>
      <c r="I118" s="628"/>
    </row>
    <row r="119" spans="3:9" ht="20.100000000000001" customHeight="1">
      <c r="C119" s="375">
        <v>2</v>
      </c>
      <c r="D119" s="145" t="s">
        <v>2370</v>
      </c>
      <c r="E119" s="375" t="s">
        <v>2371</v>
      </c>
      <c r="F119" s="50" t="s">
        <v>2372</v>
      </c>
      <c r="G119" s="607">
        <f>G120</f>
        <v>0</v>
      </c>
      <c r="H119" s="50" t="s">
        <v>3880</v>
      </c>
      <c r="I119" s="607">
        <f>I120</f>
        <v>0</v>
      </c>
    </row>
    <row r="120" spans="3:9" ht="20.100000000000001" customHeight="1">
      <c r="C120" s="95"/>
      <c r="D120" s="96" t="s">
        <v>2608</v>
      </c>
      <c r="E120" s="95" t="s">
        <v>2372</v>
      </c>
      <c r="F120" s="627" t="str">
        <f>"NC x "&amp;HSNCTBA</f>
        <v>NC x 1</v>
      </c>
      <c r="G120" s="628"/>
      <c r="H120" s="627" t="str">
        <f>"NC x "&amp;HSNCDD</f>
        <v>NC x 1</v>
      </c>
      <c r="I120" s="628"/>
    </row>
    <row r="121" spans="3:9" ht="20.100000000000001" customHeight="1">
      <c r="C121" s="375">
        <v>3</v>
      </c>
      <c r="D121" s="145" t="s">
        <v>2374</v>
      </c>
      <c r="E121" s="375" t="s">
        <v>2375</v>
      </c>
      <c r="F121" s="50" t="s">
        <v>2376</v>
      </c>
      <c r="G121" s="607">
        <f>G122</f>
        <v>0</v>
      </c>
      <c r="H121" s="50" t="s">
        <v>2376</v>
      </c>
      <c r="I121" s="607">
        <f>I122</f>
        <v>0</v>
      </c>
    </row>
    <row r="122" spans="3:9" ht="20.100000000000001" customHeight="1">
      <c r="C122" s="95"/>
      <c r="D122" s="96" t="s">
        <v>2609</v>
      </c>
      <c r="E122" s="95" t="s">
        <v>2376</v>
      </c>
      <c r="F122" s="627" t="str">
        <f>"M x "&amp;HSMTCTBA</f>
        <v>M x 1</v>
      </c>
      <c r="G122" s="628"/>
      <c r="H122" s="627" t="str">
        <f>"M x "&amp;HSMTCTBA</f>
        <v>M x 1</v>
      </c>
      <c r="I122" s="628"/>
    </row>
    <row r="123" spans="3:9" ht="20.100000000000001" customHeight="1">
      <c r="C123" s="375">
        <v>4</v>
      </c>
      <c r="D123" s="382" t="s">
        <v>2377</v>
      </c>
      <c r="E123" s="375" t="s">
        <v>2378</v>
      </c>
      <c r="F123" s="629" t="s">
        <v>3881</v>
      </c>
      <c r="G123" s="630">
        <f>2%*(G117+G119+G121)</f>
        <v>0</v>
      </c>
      <c r="H123" s="629" t="s">
        <v>3881</v>
      </c>
      <c r="I123" s="607">
        <f>2%*(I117+I119+I121)</f>
        <v>0</v>
      </c>
    </row>
    <row r="124" spans="3:9" ht="20.100000000000001" customHeight="1">
      <c r="C124" s="384" t="s">
        <v>2379</v>
      </c>
      <c r="D124" s="383" t="s">
        <v>2393</v>
      </c>
      <c r="E124" s="384" t="s">
        <v>2375</v>
      </c>
      <c r="F124" s="631" t="s">
        <v>3882</v>
      </c>
      <c r="G124" s="632">
        <f>65%*G119</f>
        <v>0</v>
      </c>
      <c r="H124" s="631" t="s">
        <v>3882</v>
      </c>
      <c r="I124" s="632">
        <f>65%*I119</f>
        <v>0</v>
      </c>
    </row>
    <row r="125" spans="3:9" ht="20.100000000000001" customHeight="1">
      <c r="C125" s="384"/>
      <c r="D125" s="383" t="s">
        <v>2394</v>
      </c>
      <c r="E125" s="384" t="s">
        <v>2388</v>
      </c>
      <c r="F125" s="631" t="s">
        <v>3860</v>
      </c>
      <c r="G125" s="632">
        <f>G116+G124</f>
        <v>0</v>
      </c>
      <c r="H125" s="631" t="s">
        <v>3860</v>
      </c>
      <c r="I125" s="632">
        <f>I116+I124</f>
        <v>0</v>
      </c>
    </row>
    <row r="126" spans="3:9" ht="20.100000000000001" customHeight="1">
      <c r="C126" s="384" t="s">
        <v>2380</v>
      </c>
      <c r="D126" s="383" t="s">
        <v>2395</v>
      </c>
      <c r="E126" s="384" t="s">
        <v>2381</v>
      </c>
      <c r="F126" s="631" t="s">
        <v>3862</v>
      </c>
      <c r="G126" s="632">
        <f>G125*6%</f>
        <v>0</v>
      </c>
      <c r="H126" s="631" t="s">
        <v>3862</v>
      </c>
      <c r="I126" s="632">
        <f>I125*6%</f>
        <v>0</v>
      </c>
    </row>
    <row r="127" spans="3:9" ht="20.100000000000001" customHeight="1">
      <c r="C127" s="384"/>
      <c r="D127" s="383" t="s">
        <v>2678</v>
      </c>
      <c r="E127" s="384" t="s">
        <v>2383</v>
      </c>
      <c r="F127" s="631" t="s">
        <v>3863</v>
      </c>
      <c r="G127" s="632">
        <f>G126+G125</f>
        <v>0</v>
      </c>
      <c r="H127" s="631" t="s">
        <v>3863</v>
      </c>
      <c r="I127" s="632">
        <f>I126+I125</f>
        <v>0</v>
      </c>
    </row>
    <row r="128" spans="3:9" ht="20.100000000000001" customHeight="1">
      <c r="C128" s="384" t="s">
        <v>2384</v>
      </c>
      <c r="D128" s="383" t="s">
        <v>2396</v>
      </c>
      <c r="E128" s="384" t="s">
        <v>2385</v>
      </c>
      <c r="F128" s="631" t="s">
        <v>3864</v>
      </c>
      <c r="G128" s="632">
        <f>G127*10%</f>
        <v>0</v>
      </c>
      <c r="H128" s="631" t="s">
        <v>3864</v>
      </c>
      <c r="I128" s="632">
        <f>I127*10%</f>
        <v>0</v>
      </c>
    </row>
    <row r="129" spans="2:13" ht="20.100000000000001" customHeight="1">
      <c r="C129" s="393" t="s">
        <v>2399</v>
      </c>
      <c r="D129" s="400" t="s">
        <v>2610</v>
      </c>
      <c r="E129" s="393" t="s">
        <v>2386</v>
      </c>
      <c r="F129" s="633" t="s">
        <v>3865</v>
      </c>
      <c r="G129" s="634">
        <f>G127+G128</f>
        <v>0</v>
      </c>
      <c r="H129" s="633" t="s">
        <v>3865</v>
      </c>
      <c r="I129" s="634">
        <f>I127+I128</f>
        <v>0</v>
      </c>
    </row>
    <row r="131" spans="2:13" ht="20.100000000000001" customHeight="1">
      <c r="C131" s="381" t="str">
        <f ca="1">SETTING!$O$17</f>
        <v>BẢNG 4: KHỐI LƯỢNG CHI TIẾT THỬ NGHIỆM HIỆU CHỈNH</v>
      </c>
      <c r="D131" s="385"/>
      <c r="E131" s="386"/>
      <c r="F131" s="378"/>
      <c r="G131" s="378"/>
      <c r="H131" s="378"/>
      <c r="I131" s="378"/>
      <c r="J131" s="378"/>
      <c r="K131" s="378"/>
      <c r="L131" s="378"/>
    </row>
    <row r="132" spans="2:13" ht="20.100000000000001" customHeight="1">
      <c r="C132" s="790"/>
      <c r="D132" s="790"/>
      <c r="E132" s="790"/>
      <c r="F132" s="635"/>
      <c r="G132" s="359"/>
      <c r="H132" s="359"/>
      <c r="I132" s="359"/>
      <c r="J132" s="790"/>
      <c r="K132" s="790"/>
      <c r="L132" s="790"/>
    </row>
    <row r="133" spans="2:13" ht="20.100000000000001" customHeight="1">
      <c r="C133" s="797" t="s">
        <v>2695</v>
      </c>
      <c r="D133" s="799" t="s">
        <v>2599</v>
      </c>
      <c r="E133" s="799" t="s">
        <v>2352</v>
      </c>
      <c r="F133" s="800" t="s">
        <v>2694</v>
      </c>
      <c r="G133" s="794" t="s">
        <v>2141</v>
      </c>
      <c r="H133" s="795"/>
      <c r="I133" s="796"/>
      <c r="J133" s="794" t="s">
        <v>2348</v>
      </c>
      <c r="K133" s="795"/>
      <c r="L133" s="796"/>
    </row>
    <row r="134" spans="2:13" ht="20.100000000000001" customHeight="1">
      <c r="C134" s="798"/>
      <c r="D134" s="798"/>
      <c r="E134" s="798"/>
      <c r="F134" s="801"/>
      <c r="G134" s="663" t="s">
        <v>3883</v>
      </c>
      <c r="H134" s="663" t="s">
        <v>4</v>
      </c>
      <c r="I134" s="663" t="s">
        <v>3884</v>
      </c>
      <c r="J134" s="663" t="s">
        <v>3883</v>
      </c>
      <c r="K134" s="663" t="s">
        <v>4</v>
      </c>
      <c r="L134" s="663" t="s">
        <v>3884</v>
      </c>
    </row>
    <row r="135" spans="2:13" ht="20.100000000000001" customHeight="1">
      <c r="C135" s="412" t="s">
        <v>2701</v>
      </c>
      <c r="D135" s="394"/>
      <c r="E135" s="394"/>
      <c r="F135" s="636"/>
      <c r="G135" s="637"/>
      <c r="H135" s="637"/>
      <c r="I135" s="637"/>
      <c r="J135" s="637"/>
      <c r="K135" s="637"/>
      <c r="L135" s="638"/>
    </row>
    <row r="136" spans="2:13" ht="20.100000000000001" customHeight="1">
      <c r="B136" s="373" t="s">
        <v>4197</v>
      </c>
      <c r="C136" s="388" t="str">
        <f>VLOOKUP(B136,R_DG!$A$1310:$G$1370,2,0)</f>
        <v>EB.11040</v>
      </c>
      <c r="D136" s="399" t="str">
        <f>VLOOKUP(B136,R_DG!$A$1310:$G$1370,3,0)</f>
        <v>LBS SF6 3pha 24kV 630A 12kA + bộ truyền động</v>
      </c>
      <c r="E136" s="390" t="str">
        <f>VLOOKUP(B136,R_DG!$A$1310:$G$1370,4,0)</f>
        <v>cái</v>
      </c>
      <c r="F136" s="388">
        <f>SUMIF(KLVT!$A$5:$A$1429,RIGHT(B136,LEN(B136)-4),KLVT!$E$5:$E$1429)</f>
        <v>0</v>
      </c>
      <c r="G136" s="642">
        <f>VLOOKUP(B136,R_DG!$A$1310:$G$1370,5,0)</f>
        <v>0</v>
      </c>
      <c r="H136" s="642">
        <f>VLOOKUP(B136,R_DG!$A$1310:$G$1370,6,0)</f>
        <v>3012818.49</v>
      </c>
      <c r="I136" s="642">
        <f>VLOOKUP(B136,R_DG!$A$1310:$G$1370,7,0)</f>
        <v>142926.28672727273</v>
      </c>
      <c r="J136" s="639">
        <f t="shared" ref="J136:J152" si="25">F136*G136</f>
        <v>0</v>
      </c>
      <c r="K136" s="639">
        <f t="shared" ref="K136:K152" si="26">F136*H136</f>
        <v>0</v>
      </c>
      <c r="L136" s="639">
        <f t="shared" ref="L136:L152" si="27">F136*I136</f>
        <v>0</v>
      </c>
    </row>
    <row r="137" spans="2:13" ht="20.100000000000001" customHeight="1">
      <c r="B137" s="373" t="s">
        <v>4199</v>
      </c>
      <c r="C137" s="388" t="str">
        <f>VLOOKUP(B137,R_DG!$A$1310:$G$1370,2,0)</f>
        <v>EB.11040</v>
      </c>
      <c r="D137" s="399" t="str">
        <f>VLOOKUP(B137,R_DG!$A$1310:$G$1370,3,0)</f>
        <v>Recloser 24kV 630A</v>
      </c>
      <c r="E137" s="390" t="str">
        <f>VLOOKUP(B137,R_DG!$A$1310:$G$1370,4,0)</f>
        <v>cái</v>
      </c>
      <c r="F137" s="388">
        <f ca="1">SUMIF(KLVT!$A$5:$A$1429,RIGHT(B137,LEN(B137)-4),KLVT!$E$5:$E$1429)</f>
        <v>0</v>
      </c>
      <c r="G137" s="642">
        <f>VLOOKUP(B137,R_DG!$A$1310:$G$1370,5,0)</f>
        <v>0</v>
      </c>
      <c r="H137" s="642">
        <f>VLOOKUP(B137,R_DG!$A$1310:$G$1370,6,0)</f>
        <v>3012818.49</v>
      </c>
      <c r="I137" s="642">
        <f>VLOOKUP(B137,R_DG!$A$1310:$G$1370,7,0)</f>
        <v>142926.28672727273</v>
      </c>
      <c r="J137" s="639">
        <f t="shared" ca="1" si="25"/>
        <v>0</v>
      </c>
      <c r="K137" s="639">
        <f t="shared" ca="1" si="26"/>
        <v>0</v>
      </c>
      <c r="L137" s="639">
        <f t="shared" ca="1" si="27"/>
        <v>0</v>
      </c>
    </row>
    <row r="138" spans="2:13" ht="20.100000000000001" customHeight="1">
      <c r="B138" s="373" t="s">
        <v>4200</v>
      </c>
      <c r="C138" s="388" t="str">
        <f>VLOOKUP(B138,R_DG!$A$1310:$G$1370,2,0)</f>
        <v>EB.22040</v>
      </c>
      <c r="D138" s="399" t="str">
        <f>VLOOKUP(B138,R_DG!$A$1310:$G$1370,3,0)</f>
        <v xml:space="preserve">FCO 24KV - 100A </v>
      </c>
      <c r="E138" s="390" t="str">
        <f>VLOOKUP(B138,R_DG!$A$1310:$G$1370,4,0)</f>
        <v>cái</v>
      </c>
      <c r="F138" s="388">
        <f>SUMIF(KLVT!$A$5:$A$1429,RIGHT(B138,LEN(B138)-4),KLVT!$E$5:$E$1429)</f>
        <v>0</v>
      </c>
      <c r="G138" s="642">
        <f>VLOOKUP(B138,R_DG!$A$1310:$G$1370,5,0)</f>
        <v>0</v>
      </c>
      <c r="H138" s="642">
        <f>VLOOKUP(B138,R_DG!$A$1310:$G$1370,6,0)</f>
        <v>60717.18233333333</v>
      </c>
      <c r="I138" s="642">
        <f>VLOOKUP(B138,R_DG!$A$1310:$G$1370,7,0)</f>
        <v>1540.9118606060606</v>
      </c>
      <c r="J138" s="639">
        <f t="shared" si="25"/>
        <v>0</v>
      </c>
      <c r="K138" s="639">
        <f t="shared" si="26"/>
        <v>0</v>
      </c>
      <c r="L138" s="639">
        <f t="shared" si="27"/>
        <v>0</v>
      </c>
    </row>
    <row r="139" spans="2:13" ht="20.100000000000001" customHeight="1">
      <c r="B139" s="373" t="s">
        <v>4202</v>
      </c>
      <c r="C139" s="388" t="str">
        <f>VLOOKUP(B139,R_DG!$A$1310:$G$1370,2,0)</f>
        <v>EB.22040</v>
      </c>
      <c r="D139" s="399" t="str">
        <f>VLOOKUP(B139,R_DG!$A$1310:$G$1370,3,0)</f>
        <v xml:space="preserve">FCO 24KV - 200A </v>
      </c>
      <c r="E139" s="390" t="str">
        <f>VLOOKUP(B139,R_DG!$A$1310:$G$1370,4,0)</f>
        <v>cái</v>
      </c>
      <c r="F139" s="388">
        <f ca="1">SUMIF(KLVT!$A$5:$A$1429,RIGHT(B139,LEN(B139)-4),KLVT!$E$5:$E$1429)</f>
        <v>0</v>
      </c>
      <c r="G139" s="642">
        <f>VLOOKUP(B139,R_DG!$A$1310:$G$1370,5,0)</f>
        <v>0</v>
      </c>
      <c r="H139" s="642">
        <f>VLOOKUP(B139,R_DG!$A$1310:$G$1370,6,0)</f>
        <v>60717.18233333333</v>
      </c>
      <c r="I139" s="642">
        <f>VLOOKUP(B139,R_DG!$A$1310:$G$1370,7,0)</f>
        <v>1540.9118606060606</v>
      </c>
      <c r="J139" s="639">
        <f t="shared" ca="1" si="25"/>
        <v>0</v>
      </c>
      <c r="K139" s="639">
        <f t="shared" ca="1" si="26"/>
        <v>0</v>
      </c>
      <c r="L139" s="639">
        <f t="shared" ca="1" si="27"/>
        <v>0</v>
      </c>
    </row>
    <row r="140" spans="2:13" ht="20.100000000000001" customHeight="1">
      <c r="B140" s="373" t="s">
        <v>4203</v>
      </c>
      <c r="C140" s="388" t="str">
        <f>VLOOKUP(B140,R_DG!$A$1310:$G$1370,2,0)</f>
        <v>EC.11040</v>
      </c>
      <c r="D140" s="399" t="str">
        <f>VLOOKUP(B140,R_DG!$A$1310:$G$1370,3,0)</f>
        <v>LA 18kV 10kA</v>
      </c>
      <c r="E140" s="390" t="str">
        <f>VLOOKUP(B140,R_DG!$A$1310:$G$1370,4,0)</f>
        <v>cái</v>
      </c>
      <c r="F140" s="388">
        <f>SUMIF(KLVT!$A$5:$A$1429,RIGHT(B140,LEN(B140)-4),KLVT!$E$5:$E$1429)</f>
        <v>0</v>
      </c>
      <c r="G140" s="642">
        <f>VLOOKUP(B140,R_DG!$A$1310:$G$1370,5,0)</f>
        <v>0</v>
      </c>
      <c r="H140" s="642">
        <f>VLOOKUP(B140,R_DG!$A$1310:$G$1370,6,0)</f>
        <v>118809.81</v>
      </c>
      <c r="I140" s="642">
        <f>VLOOKUP(B140,R_DG!$A$1310:$G$1370,7,0)</f>
        <v>24706.128000000001</v>
      </c>
      <c r="J140" s="639">
        <f t="shared" si="25"/>
        <v>0</v>
      </c>
      <c r="K140" s="639">
        <f t="shared" si="26"/>
        <v>0</v>
      </c>
      <c r="L140" s="639">
        <f t="shared" si="27"/>
        <v>0</v>
      </c>
      <c r="M140" s="373">
        <f t="shared" ref="M140:M171" si="28">IF(SUM(J136:L136)&gt;0,1,0)</f>
        <v>0</v>
      </c>
    </row>
    <row r="141" spans="2:13" ht="20.100000000000001" customHeight="1">
      <c r="B141" s="373" t="s">
        <v>4204</v>
      </c>
      <c r="C141" s="388" t="str">
        <f>VLOOKUP(B141,R_DG!$A$1310:$G$1370,2,0)</f>
        <v>EB.41040</v>
      </c>
      <c r="D141" s="399" t="str">
        <f>VLOOKUP(B141,R_DG!$A$1310:$G$1370,3,0)</f>
        <v>Sứ treo Polyme 24kV</v>
      </c>
      <c r="E141" s="390" t="str">
        <f>VLOOKUP(B141,R_DG!$A$1310:$G$1370,4,0)</f>
        <v>cái</v>
      </c>
      <c r="F141" s="388">
        <f ca="1">SUMIF(KLVT!$A$5:$A$1429,RIGHT(B141,LEN(B141)-4),KLVT!$E$5:$E$1429)</f>
        <v>0</v>
      </c>
      <c r="G141" s="642">
        <f>VLOOKUP(B141,R_DG!$A$1310:$G$1370,5,0)</f>
        <v>0</v>
      </c>
      <c r="H141" s="642">
        <f>VLOOKUP(B141,R_DG!$A$1310:$G$1370,6,0)</f>
        <v>5500.99</v>
      </c>
      <c r="I141" s="642">
        <f>VLOOKUP(B141,R_DG!$A$1310:$G$1370,7,0)</f>
        <v>2015.248</v>
      </c>
      <c r="J141" s="639">
        <f t="shared" ca="1" si="25"/>
        <v>0</v>
      </c>
      <c r="K141" s="639">
        <f t="shared" ca="1" si="26"/>
        <v>0</v>
      </c>
      <c r="L141" s="639">
        <f t="shared" ca="1" si="27"/>
        <v>0</v>
      </c>
      <c r="M141" s="373">
        <f t="shared" ca="1" si="28"/>
        <v>0</v>
      </c>
    </row>
    <row r="142" spans="2:13" ht="20.100000000000001" customHeight="1">
      <c r="B142" s="373" t="s">
        <v>4206</v>
      </c>
      <c r="C142" s="388" t="str">
        <f>VLOOKUP(B142,R_DG!$A$1310:$G$1370,2,0)</f>
        <v>EB.41020</v>
      </c>
      <c r="D142" s="399" t="str">
        <f>VLOOKUP(B142,R_DG!$A$1310:$G$1370,3,0)</f>
        <v>Sứ đứng 24kV ĐR 540mm</v>
      </c>
      <c r="E142" s="390" t="str">
        <f>VLOOKUP(B142,R_DG!$A$1310:$G$1370,4,0)</f>
        <v>cái</v>
      </c>
      <c r="F142" s="388">
        <f ca="1">SUMIF(KLVT!$A$5:$A$1429,RIGHT(B142,LEN(B142)-4),KLVT!$E$5:$E$1429)</f>
        <v>0</v>
      </c>
      <c r="G142" s="642">
        <f>VLOOKUP(B142,R_DG!$A$1310:$G$1370,5,0)</f>
        <v>0</v>
      </c>
      <c r="H142" s="642">
        <f>VLOOKUP(B142,R_DG!$A$1310:$G$1370,6,0)</f>
        <v>10919.130000000001</v>
      </c>
      <c r="I142" s="642">
        <f>VLOOKUP(B142,R_DG!$A$1310:$G$1370,7,0)</f>
        <v>3875.7440000000001</v>
      </c>
      <c r="J142" s="639">
        <f t="shared" ca="1" si="25"/>
        <v>0</v>
      </c>
      <c r="K142" s="639">
        <f t="shared" ca="1" si="26"/>
        <v>0</v>
      </c>
      <c r="L142" s="639">
        <f t="shared" ca="1" si="27"/>
        <v>0</v>
      </c>
      <c r="M142" s="373">
        <f t="shared" si="28"/>
        <v>0</v>
      </c>
    </row>
    <row r="143" spans="2:13" ht="20.100000000000001" customHeight="1">
      <c r="B143" s="373" t="s">
        <v>4520</v>
      </c>
      <c r="C143" s="388" t="str">
        <f>VLOOKUP(B143,R_DG!$A$1310:$G$1370,2,0)</f>
        <v>EB.60040</v>
      </c>
      <c r="D143" s="399" t="str">
        <f>VLOOKUP(B143,R_DG!$A$1310:$G$1370,3,0)</f>
        <v>Cáp ABC4x120</v>
      </c>
      <c r="E143" s="390" t="str">
        <f>VLOOKUP(B143,R_DG!$A$1310:$G$1370,4,0)</f>
        <v>mẫu</v>
      </c>
      <c r="F143" s="388">
        <f ca="1">IF(SUMIF(KLVT!$A$5:$A$1429,RIGHT(B143,LEN(B143)-4),KLVT!$E$5:$E$1429)&gt;1,1,0)</f>
        <v>0</v>
      </c>
      <c r="G143" s="642">
        <f>VLOOKUP(B143,R_DG!$A$1310:$G$1370,5,0)</f>
        <v>0</v>
      </c>
      <c r="H143" s="642">
        <f>VLOOKUP(B143,R_DG!$A$1310:$G$1370,6,0)</f>
        <v>26726.2</v>
      </c>
      <c r="I143" s="642">
        <f>VLOOKUP(B143,R_DG!$A$1310:$G$1370,7,0)</f>
        <v>2071.84</v>
      </c>
      <c r="J143" s="639">
        <f t="shared" ca="1" si="25"/>
        <v>0</v>
      </c>
      <c r="K143" s="639">
        <f t="shared" ca="1" si="26"/>
        <v>0</v>
      </c>
      <c r="L143" s="639">
        <f t="shared" ca="1" si="27"/>
        <v>0</v>
      </c>
      <c r="M143" s="373">
        <f t="shared" ca="1" si="28"/>
        <v>0</v>
      </c>
    </row>
    <row r="144" spans="2:13" ht="20.100000000000001" customHeight="1">
      <c r="B144" s="373" t="s">
        <v>4686</v>
      </c>
      <c r="C144" s="388" t="str">
        <f>VLOOKUP(B144,R_DG!$A$1310:$G$1370,2,0)</f>
        <v>EB.60030</v>
      </c>
      <c r="D144" s="399" t="str">
        <f>VLOOKUP(B144,R_DG!$A$1310:$G$1370,3,0)</f>
        <v>Cáp CXV25</v>
      </c>
      <c r="E144" s="390" t="str">
        <f>VLOOKUP(B144,R_DG!$A$1310:$G$1370,4,0)</f>
        <v>mẫu</v>
      </c>
      <c r="F144" s="388">
        <f ca="1">IF(SUMIF(KLVT!$A$5:$A$1429,RIGHT(B144,LEN(B144)-4),KLVT!$E$5:$E$1429)&gt;1,1,0)</f>
        <v>0</v>
      </c>
      <c r="G144" s="642">
        <f>VLOOKUP(B144,R_DG!$A$1310:$G$1370,5,0)</f>
        <v>0</v>
      </c>
      <c r="H144" s="642">
        <f>VLOOKUP(B144,R_DG!$A$1310:$G$1370,6,0)</f>
        <v>26726.2</v>
      </c>
      <c r="I144" s="642">
        <f>VLOOKUP(B144,R_DG!$A$1310:$G$1370,7,0)</f>
        <v>2071.84</v>
      </c>
      <c r="J144" s="639">
        <f t="shared" ca="1" si="25"/>
        <v>0</v>
      </c>
      <c r="K144" s="639">
        <f t="shared" ca="1" si="26"/>
        <v>0</v>
      </c>
      <c r="L144" s="639">
        <f t="shared" ca="1" si="27"/>
        <v>0</v>
      </c>
      <c r="M144" s="373">
        <f t="shared" si="28"/>
        <v>0</v>
      </c>
    </row>
    <row r="145" spans="2:13" ht="20.100000000000001" customHeight="1">
      <c r="B145" s="373" t="s">
        <v>4210</v>
      </c>
      <c r="C145" s="388" t="str">
        <f>VLOOKUP(B145,R_DG!$A$1310:$G$1370,2,0)</f>
        <v>EB.60040</v>
      </c>
      <c r="D145" s="399" t="str">
        <f>VLOOKUP(B145,R_DG!$A$1310:$G$1370,3,0)</f>
        <v>Cáp AC95</v>
      </c>
      <c r="E145" s="390" t="str">
        <f>VLOOKUP(B145,R_DG!$A$1310:$G$1370,4,0)</f>
        <v>mẫu</v>
      </c>
      <c r="F145" s="388">
        <f ca="1">IF(SUMIF(KLVT!$A$5:$A$1429,RIGHT(B145,LEN(B145)-4),KLVT!$E$5:$E$1429)&gt;1,1,0)</f>
        <v>0</v>
      </c>
      <c r="G145" s="642">
        <f>VLOOKUP(B145,R_DG!$A$1310:$G$1370,5,0)</f>
        <v>0</v>
      </c>
      <c r="H145" s="642">
        <f>VLOOKUP(B145,R_DG!$A$1310:$G$1370,6,0)</f>
        <v>0</v>
      </c>
      <c r="I145" s="642">
        <f>VLOOKUP(B145,R_DG!$A$1310:$G$1370,7,0)</f>
        <v>0</v>
      </c>
      <c r="J145" s="639">
        <f t="shared" ca="1" si="25"/>
        <v>0</v>
      </c>
      <c r="K145" s="639">
        <f t="shared" ca="1" si="26"/>
        <v>0</v>
      </c>
      <c r="L145" s="639">
        <f t="shared" ca="1" si="27"/>
        <v>0</v>
      </c>
      <c r="M145" s="373">
        <f t="shared" ca="1" si="28"/>
        <v>0</v>
      </c>
    </row>
    <row r="146" spans="2:13" ht="20.100000000000001" customHeight="1">
      <c r="B146" s="373" t="s">
        <v>4211</v>
      </c>
      <c r="C146" s="388" t="str">
        <f>VLOOKUP(B146,R_DG!$A$1310:$G$1370,2,0)</f>
        <v>EB.60040</v>
      </c>
      <c r="D146" s="399" t="str">
        <f>VLOOKUP(B146,R_DG!$A$1310:$G$1370,3,0)</f>
        <v>Cáp ACXV50</v>
      </c>
      <c r="E146" s="390" t="str">
        <f>VLOOKUP(B146,R_DG!$A$1310:$G$1370,4,0)</f>
        <v>mẫu</v>
      </c>
      <c r="F146" s="388">
        <f ca="1">IF(SUMIF(KLVT!$A$5:$A$1429,RIGHT(B146,LEN(B146)-4),KLVT!$E$5:$E$1429)&gt;1,1,0)</f>
        <v>1</v>
      </c>
      <c r="G146" s="642">
        <f>VLOOKUP(B146,R_DG!$A$1310:$G$1370,5,0)</f>
        <v>0</v>
      </c>
      <c r="H146" s="642">
        <f>VLOOKUP(B146,R_DG!$A$1310:$G$1370,6,0)</f>
        <v>269465.7</v>
      </c>
      <c r="I146" s="642">
        <f>VLOOKUP(B146,R_DG!$A$1310:$G$1370,7,0)</f>
        <v>104921.152</v>
      </c>
      <c r="J146" s="639">
        <f t="shared" ca="1" si="25"/>
        <v>0</v>
      </c>
      <c r="K146" s="639">
        <f t="shared" ca="1" si="26"/>
        <v>269465.7</v>
      </c>
      <c r="L146" s="639">
        <f t="shared" ca="1" si="27"/>
        <v>104921.152</v>
      </c>
      <c r="M146" s="373">
        <f t="shared" ca="1" si="28"/>
        <v>0</v>
      </c>
    </row>
    <row r="147" spans="2:13" ht="20.100000000000001" customHeight="1">
      <c r="B147" s="373" t="s">
        <v>4212</v>
      </c>
      <c r="C147" s="388" t="str">
        <f>VLOOKUP(B147,R_DG!$A$1310:$G$1370,2,0)</f>
        <v>EB.60040</v>
      </c>
      <c r="D147" s="399" t="str">
        <f>VLOOKUP(B147,R_DG!$A$1310:$G$1370,3,0)</f>
        <v>Cáp ACXV70</v>
      </c>
      <c r="E147" s="390" t="str">
        <f>VLOOKUP(B147,R_DG!$A$1310:$G$1370,4,0)</f>
        <v>mẫu</v>
      </c>
      <c r="F147" s="388">
        <f ca="1">IF(SUMIF(KLVT!$A$5:$A$1429,RIGHT(B147,LEN(B147)-4),KLVT!$E$5:$E$1429)&gt;1,1,0)</f>
        <v>0</v>
      </c>
      <c r="G147" s="642">
        <f>VLOOKUP(B147,R_DG!$A$1310:$G$1370,5,0)</f>
        <v>0</v>
      </c>
      <c r="H147" s="642">
        <f>VLOOKUP(B147,R_DG!$A$1310:$G$1370,6,0)</f>
        <v>269465.7</v>
      </c>
      <c r="I147" s="642">
        <f>VLOOKUP(B147,R_DG!$A$1310:$G$1370,7,0)</f>
        <v>104921.152</v>
      </c>
      <c r="J147" s="639">
        <f t="shared" ca="1" si="25"/>
        <v>0</v>
      </c>
      <c r="K147" s="639">
        <f t="shared" ca="1" si="26"/>
        <v>0</v>
      </c>
      <c r="L147" s="639">
        <f t="shared" ca="1" si="27"/>
        <v>0</v>
      </c>
      <c r="M147" s="373">
        <f t="shared" ca="1" si="28"/>
        <v>0</v>
      </c>
    </row>
    <row r="148" spans="2:13" ht="20.100000000000001" customHeight="1">
      <c r="B148" s="373" t="s">
        <v>4213</v>
      </c>
      <c r="C148" s="388" t="str">
        <f>VLOOKUP(B148,R_DG!$A$1310:$G$1370,2,0)</f>
        <v>EB.60040</v>
      </c>
      <c r="D148" s="399" t="str">
        <f>VLOOKUP(B148,R_DG!$A$1310:$G$1370,3,0)</f>
        <v>Cáp ACXV95</v>
      </c>
      <c r="E148" s="390" t="str">
        <f>VLOOKUP(B148,R_DG!$A$1310:$G$1370,4,0)</f>
        <v>mẫu</v>
      </c>
      <c r="F148" s="388">
        <f ca="1">IF(SUMIF(KLVT!$A$5:$A$1429,RIGHT(B148,LEN(B148)-4),KLVT!$E$5:$E$1429)&gt;1,1,0)</f>
        <v>0</v>
      </c>
      <c r="G148" s="642">
        <f>VLOOKUP(B148,R_DG!$A$1310:$G$1370,5,0)</f>
        <v>0</v>
      </c>
      <c r="H148" s="642">
        <f>VLOOKUP(B148,R_DG!$A$1310:$G$1370,6,0)</f>
        <v>269465.7</v>
      </c>
      <c r="I148" s="642">
        <f>VLOOKUP(B148,R_DG!$A$1310:$G$1370,7,0)</f>
        <v>104921.152</v>
      </c>
      <c r="J148" s="639">
        <f t="shared" ca="1" si="25"/>
        <v>0</v>
      </c>
      <c r="K148" s="639">
        <f t="shared" ca="1" si="26"/>
        <v>0</v>
      </c>
      <c r="L148" s="639">
        <f t="shared" ca="1" si="27"/>
        <v>0</v>
      </c>
      <c r="M148" s="373">
        <f t="shared" ca="1" si="28"/>
        <v>0</v>
      </c>
    </row>
    <row r="149" spans="2:13" ht="20.100000000000001" customHeight="1">
      <c r="B149" s="226" t="s">
        <v>4214</v>
      </c>
      <c r="C149" s="388" t="str">
        <f>VLOOKUP(B149,R_DG!$A$1310:$G$1370,2,0)</f>
        <v>EB.60040</v>
      </c>
      <c r="D149" s="399" t="str">
        <f>VLOOKUP(B149,R_DG!$A$1310:$G$1370,3,0)</f>
        <v>Cáp ngầm C/DSTA/PVC 0,6kV - 4x120mm2</v>
      </c>
      <c r="E149" s="390" t="str">
        <f>VLOOKUP(B149,R_DG!$A$1310:$G$1370,4,0)</f>
        <v>mẫu</v>
      </c>
      <c r="F149" s="388">
        <f ca="1">IF(SUMIF(KLVT!$A$5:$A$1429,RIGHT(B149,LEN(B149)-4),KLVT!$E$5:$E$1429)&gt;1,1,0)</f>
        <v>0</v>
      </c>
      <c r="G149" s="642">
        <f>VLOOKUP(B149,R_DG!$A$1310:$G$1370,5,0)</f>
        <v>0</v>
      </c>
      <c r="H149" s="642">
        <f>VLOOKUP(B149,R_DG!$A$1310:$G$1370,6,0)</f>
        <v>269465.7</v>
      </c>
      <c r="I149" s="642">
        <f>VLOOKUP(B149,R_DG!$A$1310:$G$1370,7,0)</f>
        <v>104921.152</v>
      </c>
      <c r="J149" s="639">
        <f t="shared" ca="1" si="25"/>
        <v>0</v>
      </c>
      <c r="K149" s="639">
        <f t="shared" ca="1" si="26"/>
        <v>0</v>
      </c>
      <c r="L149" s="639">
        <f t="shared" ca="1" si="27"/>
        <v>0</v>
      </c>
      <c r="M149" s="373">
        <f t="shared" ca="1" si="28"/>
        <v>0</v>
      </c>
    </row>
    <row r="150" spans="2:13" ht="20.100000000000001" customHeight="1">
      <c r="B150" s="226" t="s">
        <v>4400</v>
      </c>
      <c r="C150" s="388" t="str">
        <f>VLOOKUP(B150,R_DG!$A$1310:$G$1370,2,0)</f>
        <v>EB.60040</v>
      </c>
      <c r="D150" s="399" t="str">
        <f>VLOOKUP(B150,R_DG!$A$1310:$G$1370,3,0)</f>
        <v>Cáp ABC4x120</v>
      </c>
      <c r="E150" s="390" t="str">
        <f>VLOOKUP(B150,R_DG!$A$1310:$G$1370,4,0)</f>
        <v>mẫu</v>
      </c>
      <c r="F150" s="388">
        <f ca="1">IF(SUMIF(KLVT!$A$5:$A$1429,RIGHT(B150,LEN(B150)-4),KLVT!$E$5:$E$1429)&gt;1,1,0)</f>
        <v>0</v>
      </c>
      <c r="G150" s="642">
        <f>VLOOKUP(B150,R_DG!$A$1310:$G$1370,5,0)</f>
        <v>0</v>
      </c>
      <c r="H150" s="642">
        <f>VLOOKUP(B150,R_DG!$A$1310:$G$1370,6,0)</f>
        <v>26726.2</v>
      </c>
      <c r="I150" s="642">
        <f>VLOOKUP(B150,R_DG!$A$1310:$G$1370,7,0)</f>
        <v>2071.84</v>
      </c>
      <c r="J150" s="639">
        <f t="shared" ca="1" si="25"/>
        <v>0</v>
      </c>
      <c r="K150" s="639">
        <f t="shared" ca="1" si="26"/>
        <v>0</v>
      </c>
      <c r="L150" s="639">
        <f t="shared" ca="1" si="27"/>
        <v>0</v>
      </c>
      <c r="M150" s="373">
        <f t="shared" ca="1" si="28"/>
        <v>1</v>
      </c>
    </row>
    <row r="151" spans="2:13" ht="20.100000000000001" customHeight="1">
      <c r="B151" s="226" t="s">
        <v>4215</v>
      </c>
      <c r="C151" s="388" t="str">
        <f>VLOOKUP(B151,R_DG!$A$1310:$G$1370,2,0)</f>
        <v>EB.60040</v>
      </c>
      <c r="D151" s="399" t="str">
        <f>VLOOKUP(B151,R_DG!$A$1310:$G$1370,3,0)</f>
        <v>Cáp ABC4x150</v>
      </c>
      <c r="E151" s="390" t="str">
        <f>VLOOKUP(B151,R_DG!$A$1310:$G$1370,4,0)</f>
        <v>mẫu</v>
      </c>
      <c r="F151" s="388">
        <f ca="1">IF(SUMIF(KLVT!$A$5:$A$1429,RIGHT(B151,LEN(B151)-4),KLVT!$E$5:$E$1429)&gt;1,1,0)</f>
        <v>0</v>
      </c>
      <c r="G151" s="642">
        <f>VLOOKUP(B151,R_DG!$A$1310:$G$1370,5,0)</f>
        <v>0</v>
      </c>
      <c r="H151" s="642">
        <f>VLOOKUP(B151,R_DG!$A$1310:$G$1370,6,0)</f>
        <v>26726.2</v>
      </c>
      <c r="I151" s="642">
        <f>VLOOKUP(B151,R_DG!$A$1310:$G$1370,7,0)</f>
        <v>2071.84</v>
      </c>
      <c r="J151" s="639">
        <f t="shared" ca="1" si="25"/>
        <v>0</v>
      </c>
      <c r="K151" s="639">
        <f t="shared" ca="1" si="26"/>
        <v>0</v>
      </c>
      <c r="L151" s="639">
        <f t="shared" ca="1" si="27"/>
        <v>0</v>
      </c>
      <c r="M151" s="373">
        <f t="shared" ca="1" si="28"/>
        <v>0</v>
      </c>
    </row>
    <row r="152" spans="2:13" ht="20.100000000000001" customHeight="1">
      <c r="B152" s="226" t="s">
        <v>4679</v>
      </c>
      <c r="C152" s="388" t="str">
        <f>VLOOKUP(B152,R_DG!$A$1310:$G$1370,2,0)</f>
        <v>EB.60040</v>
      </c>
      <c r="D152" s="399" t="str">
        <f>VLOOKUP(B152,R_DG!$A$1310:$G$1370,3,0)</f>
        <v>Cáp CVV4x4</v>
      </c>
      <c r="E152" s="390" t="str">
        <f>VLOOKUP(B152,R_DG!$A$1310:$G$1370,4,0)</f>
        <v>mẫu</v>
      </c>
      <c r="F152" s="388">
        <f ca="1">IF(SUMIF(KLVT!$A$5:$A$1429,RIGHT(B152,LEN(B152)-4),KLVT!$E$5:$E$1429)&gt;1,1,0)</f>
        <v>0</v>
      </c>
      <c r="G152" s="642">
        <f>VLOOKUP(B152,R_DG!$A$1310:$G$1370,5,0)</f>
        <v>0</v>
      </c>
      <c r="H152" s="642">
        <f>VLOOKUP(B152,R_DG!$A$1310:$G$1370,6,0)</f>
        <v>26726.2</v>
      </c>
      <c r="I152" s="642">
        <f>VLOOKUP(B152,R_DG!$A$1310:$G$1370,7,0)</f>
        <v>2071.84</v>
      </c>
      <c r="J152" s="639">
        <f t="shared" ca="1" si="25"/>
        <v>0</v>
      </c>
      <c r="K152" s="639">
        <f t="shared" ca="1" si="26"/>
        <v>0</v>
      </c>
      <c r="L152" s="639">
        <f t="shared" ca="1" si="27"/>
        <v>0</v>
      </c>
      <c r="M152" s="373">
        <f t="shared" ca="1" si="28"/>
        <v>0</v>
      </c>
    </row>
    <row r="153" spans="2:13" ht="20.100000000000001" customHeight="1">
      <c r="B153" s="373" t="s">
        <v>4216</v>
      </c>
      <c r="C153" s="388" t="str">
        <f>VLOOKUP(B153,R_DG!$A$1310:$G$1370,2,0)</f>
        <v>EC.22020</v>
      </c>
      <c r="D153" s="399" t="str">
        <f>VLOOKUP(B153,R_DG!$A$1310:$G$1370,3,0)</f>
        <v>Tiếp địa lặp lại trụ 7,5m</v>
      </c>
      <c r="E153" s="390" t="str">
        <f>VLOOKUP(B153,R_DG!$A$1310:$G$1370,4,0)</f>
        <v>vị trí</v>
      </c>
      <c r="F153" s="388">
        <f>SUMIF(KLVT!$A$5:$A$1429,RIGHT(B153,LEN(B153)-4),KLVT!$E$5:$E$1429)</f>
        <v>0</v>
      </c>
      <c r="G153" s="642">
        <f>VLOOKUP(B153,R_DG!$A$1310:$G$1370,5,0)</f>
        <v>0</v>
      </c>
      <c r="H153" s="642">
        <f>VLOOKUP(B153,R_DG!$A$1310:$G$1370,6,0)</f>
        <v>142942.9</v>
      </c>
      <c r="I153" s="642">
        <f>VLOOKUP(B153,R_DG!$A$1310:$G$1370,7,0)</f>
        <v>4037.4265454545462</v>
      </c>
      <c r="J153" s="639">
        <f>F153*G153</f>
        <v>0</v>
      </c>
      <c r="K153" s="639">
        <f>F153*H153</f>
        <v>0</v>
      </c>
      <c r="L153" s="639">
        <f>F153*I153</f>
        <v>0</v>
      </c>
      <c r="M153" s="373">
        <f t="shared" ca="1" si="28"/>
        <v>0</v>
      </c>
    </row>
    <row r="154" spans="2:13" ht="20.100000000000001" customHeight="1">
      <c r="B154" s="373" t="s">
        <v>4218</v>
      </c>
      <c r="C154" s="388" t="str">
        <f>VLOOKUP(B154,R_DG!$A$1310:$G$1370,2,0)</f>
        <v>EC.22020</v>
      </c>
      <c r="D154" s="399" t="str">
        <f>VLOOKUP(B154,R_DG!$A$1310:$G$1370,3,0)</f>
        <v>Tiếp địa lặp lại trụ 8,5m</v>
      </c>
      <c r="E154" s="390" t="str">
        <f>VLOOKUP(B154,R_DG!$A$1310:$G$1370,4,0)</f>
        <v>vị trí</v>
      </c>
      <c r="F154" s="388">
        <f>SUMIF(KLVT!$A$5:$A$1429,RIGHT(B154,LEN(B154)-4),KLVT!$E$5:$E$1429)</f>
        <v>0</v>
      </c>
      <c r="G154" s="642">
        <f>VLOOKUP(B154,R_DG!$A$1310:$G$1370,5,0)</f>
        <v>0</v>
      </c>
      <c r="H154" s="642">
        <f>VLOOKUP(B154,R_DG!$A$1310:$G$1370,6,0)</f>
        <v>142942.9</v>
      </c>
      <c r="I154" s="642">
        <f>VLOOKUP(B154,R_DG!$A$1310:$G$1370,7,0)</f>
        <v>4037.4265454545462</v>
      </c>
      <c r="J154" s="639">
        <f>F154*G154</f>
        <v>0</v>
      </c>
      <c r="K154" s="639">
        <f>F154*H154</f>
        <v>0</v>
      </c>
      <c r="L154" s="639">
        <f>F154*I154</f>
        <v>0</v>
      </c>
      <c r="M154" s="373">
        <f t="shared" ca="1" si="28"/>
        <v>0</v>
      </c>
    </row>
    <row r="155" spans="2:13" ht="20.100000000000001" customHeight="1">
      <c r="B155" s="373" t="s">
        <v>4219</v>
      </c>
      <c r="C155" s="388" t="str">
        <f>VLOOKUP(B155,R_DG!$A$1310:$G$1370,2,0)</f>
        <v>EC.22020</v>
      </c>
      <c r="D155" s="399" t="str">
        <f>VLOOKUP(B155,R_DG!$A$1310:$G$1370,3,0)</f>
        <v>Tiếp địa lặp lại trụ 8,5m cáp ABC</v>
      </c>
      <c r="E155" s="390" t="str">
        <f>VLOOKUP(B155,R_DG!$A$1310:$G$1370,4,0)</f>
        <v>vị trí</v>
      </c>
      <c r="F155" s="388">
        <f>SUMIF(KLVT!$A$5:$A$1429,RIGHT(B155,LEN(B155)-4),KLVT!$E$5:$E$1429)</f>
        <v>0</v>
      </c>
      <c r="G155" s="642">
        <f>VLOOKUP(B155,R_DG!$A$1310:$G$1370,5,0)</f>
        <v>0</v>
      </c>
      <c r="H155" s="642">
        <f>VLOOKUP(B155,R_DG!$A$1310:$G$1370,6,0)</f>
        <v>142942.9</v>
      </c>
      <c r="I155" s="642">
        <f>VLOOKUP(B155,R_DG!$A$1310:$G$1370,7,0)</f>
        <v>4037.4265454545462</v>
      </c>
      <c r="J155" s="639">
        <f>F155*G155</f>
        <v>0</v>
      </c>
      <c r="K155" s="639">
        <f>F155*H155</f>
        <v>0</v>
      </c>
      <c r="L155" s="639">
        <f>F155*I155</f>
        <v>0</v>
      </c>
      <c r="M155" s="373">
        <f t="shared" ca="1" si="28"/>
        <v>0</v>
      </c>
    </row>
    <row r="156" spans="2:13" ht="20.100000000000001" customHeight="1">
      <c r="B156" s="373" t="s">
        <v>4220</v>
      </c>
      <c r="C156" s="388" t="str">
        <f>VLOOKUP(B156,R_DG!$A$1310:$G$1370,2,0)</f>
        <v>EC.22020</v>
      </c>
      <c r="D156" s="399" t="str">
        <f>VLOOKUP(B156,R_DG!$A$1310:$G$1370,3,0)</f>
        <v>Tiếp địa lặp lại trụ 12m</v>
      </c>
      <c r="E156" s="390" t="str">
        <f>VLOOKUP(B156,R_DG!$A$1310:$G$1370,4,0)</f>
        <v>vị trí</v>
      </c>
      <c r="F156" s="388">
        <f>SUMIF(KLVT!$A$5:$A$1429,RIGHT(B156,LEN(B156)-4),KLVT!$E$5:$E$1429)</f>
        <v>0</v>
      </c>
      <c r="G156" s="642">
        <f>VLOOKUP(B156,R_DG!$A$1310:$G$1370,5,0)</f>
        <v>0</v>
      </c>
      <c r="H156" s="642">
        <f>VLOOKUP(B156,R_DG!$A$1310:$G$1370,6,0)</f>
        <v>142942.9</v>
      </c>
      <c r="I156" s="642">
        <f>VLOOKUP(B156,R_DG!$A$1310:$G$1370,7,0)</f>
        <v>4037.4265454545462</v>
      </c>
      <c r="J156" s="639">
        <f>F156*G156</f>
        <v>0</v>
      </c>
      <c r="K156" s="639">
        <f>F156*H156</f>
        <v>0</v>
      </c>
      <c r="L156" s="639">
        <f>F156*I156</f>
        <v>0</v>
      </c>
      <c r="M156" s="373">
        <f t="shared" ca="1" si="28"/>
        <v>0</v>
      </c>
    </row>
    <row r="157" spans="2:13" ht="20.100000000000001" customHeight="1">
      <c r="C157" s="396" t="s">
        <v>2696</v>
      </c>
      <c r="D157" s="663" t="s">
        <v>2602</v>
      </c>
      <c r="E157" s="395"/>
      <c r="F157" s="640"/>
      <c r="G157" s="396"/>
      <c r="H157" s="396"/>
      <c r="I157" s="396"/>
      <c r="J157" s="641">
        <f ca="1">SUM(J136:J156)</f>
        <v>0</v>
      </c>
      <c r="K157" s="641">
        <f ca="1">SUM(K136:K156)</f>
        <v>269465.7</v>
      </c>
      <c r="L157" s="641">
        <f ca="1">SUM(L136:L156)</f>
        <v>104921.152</v>
      </c>
      <c r="M157" s="373">
        <f t="shared" si="28"/>
        <v>0</v>
      </c>
    </row>
    <row r="158" spans="2:13" ht="20.100000000000001" customHeight="1">
      <c r="C158" s="412" t="s">
        <v>2702</v>
      </c>
      <c r="D158" s="394"/>
      <c r="E158" s="394"/>
      <c r="F158" s="636"/>
      <c r="G158" s="637"/>
      <c r="H158" s="637"/>
      <c r="I158" s="637"/>
      <c r="J158" s="637"/>
      <c r="K158" s="637"/>
      <c r="L158" s="638"/>
      <c r="M158" s="373">
        <f t="shared" si="28"/>
        <v>0</v>
      </c>
    </row>
    <row r="159" spans="2:13" ht="20.100000000000001" customHeight="1">
      <c r="B159" s="373" t="s">
        <v>4221</v>
      </c>
      <c r="C159" s="388" t="str">
        <f>VLOOKUP(B159,R_DG!$A$1310:$G$1370,2,0)</f>
        <v>RC.21040</v>
      </c>
      <c r="D159" s="399" t="str">
        <f>VLOOKUP(B159,R_DG!$A$1310:$G$1370,3,0)</f>
        <v>Tiếp địa TBA 1 pha</v>
      </c>
      <c r="E159" s="390" t="str">
        <f>VLOOKUP(B159,R_DG!$A$1310:$G$1370,4,0)</f>
        <v>vị trí</v>
      </c>
      <c r="F159" s="388">
        <f>SUMIF(KLVT!$A$5:$A$1429,RIGHT(B159,LEN(B159)-5),KLVT!$F$5:$F$1429)</f>
        <v>0</v>
      </c>
      <c r="G159" s="642">
        <f>VLOOKUP(B159,R_DG!$A$1310:$G$1370,5,0)</f>
        <v>0</v>
      </c>
      <c r="H159" s="642">
        <f>VLOOKUP(B159,R_DG!$A$1310:$G$1370,6,0)</f>
        <v>1134065.6000000001</v>
      </c>
      <c r="I159" s="642">
        <f>VLOOKUP(B159,R_DG!$A$1310:$G$1370,7,0)</f>
        <v>28371.105454545461</v>
      </c>
      <c r="J159" s="639">
        <f>F159*G159</f>
        <v>0</v>
      </c>
      <c r="K159" s="639">
        <f>F159*H159</f>
        <v>0</v>
      </c>
      <c r="L159" s="639">
        <f>F159*I159</f>
        <v>0</v>
      </c>
      <c r="M159" s="373">
        <f t="shared" si="28"/>
        <v>0</v>
      </c>
    </row>
    <row r="160" spans="2:13" ht="20.100000000000001" customHeight="1">
      <c r="B160" s="373" t="s">
        <v>4223</v>
      </c>
      <c r="C160" s="388" t="str">
        <f>VLOOKUP(B160,R_DG!$A$1310:$G$1370,2,0)</f>
        <v>RC.21040</v>
      </c>
      <c r="D160" s="399" t="str">
        <f>VLOOKUP(B160,R_DG!$A$1310:$G$1370,3,0)</f>
        <v>Tiếp địa TBA 3 pha</v>
      </c>
      <c r="E160" s="390" t="str">
        <f>VLOOKUP(B160,R_DG!$A$1310:$G$1370,4,0)</f>
        <v>vị trí</v>
      </c>
      <c r="F160" s="388">
        <f>SUMIF(KLVT!$A$5:$A$1429,RIGHT(B160,LEN(B160)-5),KLVT!$F$5:$F$1429)</f>
        <v>0</v>
      </c>
      <c r="G160" s="642">
        <f>VLOOKUP(B160,R_DG!$A$1310:$G$1370,5,0)</f>
        <v>0</v>
      </c>
      <c r="H160" s="642">
        <f>VLOOKUP(B160,R_DG!$A$1310:$G$1370,6,0)</f>
        <v>1134065.6000000001</v>
      </c>
      <c r="I160" s="642">
        <f>VLOOKUP(B160,R_DG!$A$1310:$G$1370,7,0)</f>
        <v>28371.105454545461</v>
      </c>
      <c r="J160" s="639">
        <f>F160*G160</f>
        <v>0</v>
      </c>
      <c r="K160" s="639">
        <f>F160*H160</f>
        <v>0</v>
      </c>
      <c r="L160" s="639">
        <f>F160*I160</f>
        <v>0</v>
      </c>
      <c r="M160" s="373">
        <f t="shared" si="28"/>
        <v>0</v>
      </c>
    </row>
    <row r="161" spans="2:13" ht="20.100000000000001" customHeight="1">
      <c r="B161" s="373" t="s">
        <v>4224</v>
      </c>
      <c r="C161" s="388" t="str">
        <f>VLOOKUP(B161,R_DG!$A$1310:$G$1370,2,0)</f>
        <v>EA.22110</v>
      </c>
      <c r="D161" s="399" t="str">
        <f>VLOOKUP(B161,R_DG!$A$1310:$G$1370,3,0)</f>
        <v>Máy biến áp 22/0,4kV- 1000kVA</v>
      </c>
      <c r="E161" s="390" t="str">
        <f>VLOOKUP(B161,R_DG!$A$1310:$G$1370,4,0)</f>
        <v>máy</v>
      </c>
      <c r="F161" s="388">
        <f ca="1">SUMIF(KLVT!$A$5:$A$1429,RIGHT(B161,LEN(B161)-5),KLVT!$F$5:$F$1429)</f>
        <v>0</v>
      </c>
      <c r="G161" s="642">
        <f>VLOOKUP(B161,R_DG!$A$1310:$G$1370,5,0)</f>
        <v>0</v>
      </c>
      <c r="H161" s="642">
        <f>VLOOKUP(B161,R_DG!$A$1310:$G$1370,6,0)</f>
        <v>2124251.44</v>
      </c>
      <c r="I161" s="642">
        <f>VLOOKUP(B161,R_DG!$A$1310:$G$1370,7,0)</f>
        <v>360324.22036363633</v>
      </c>
      <c r="J161" s="639">
        <f t="shared" ref="J161:J186" ca="1" si="29">F161*G161</f>
        <v>0</v>
      </c>
      <c r="K161" s="639">
        <f t="shared" ref="K161:K186" ca="1" si="30">F161*H161</f>
        <v>0</v>
      </c>
      <c r="L161" s="639">
        <f t="shared" ref="L161:L186" ca="1" si="31">F161*I161</f>
        <v>0</v>
      </c>
      <c r="M161" s="373">
        <f t="shared" ca="1" si="28"/>
        <v>1</v>
      </c>
    </row>
    <row r="162" spans="2:13" ht="20.100000000000001" customHeight="1">
      <c r="B162" s="373" t="s">
        <v>4226</v>
      </c>
      <c r="C162" s="388" t="str">
        <f>VLOOKUP(B162,R_DG!$A$1310:$G$1370,2,0)</f>
        <v>EA.22110</v>
      </c>
      <c r="D162" s="399" t="str">
        <f>VLOOKUP(B162,R_DG!$A$1310:$G$1370,3,0)</f>
        <v>Máy biến áp 22/0,4kV- 750kVA</v>
      </c>
      <c r="E162" s="390" t="str">
        <f>VLOOKUP(B162,R_DG!$A$1310:$G$1370,4,0)</f>
        <v>máy</v>
      </c>
      <c r="F162" s="388">
        <f ca="1">SUMIF(KLVT!$A$5:$A$1429,RIGHT(B162,LEN(B162)-5),KLVT!$F$5:$F$1429)</f>
        <v>0</v>
      </c>
      <c r="G162" s="642">
        <f>VLOOKUP(B162,R_DG!$A$1310:$G$1370,5,0)</f>
        <v>0</v>
      </c>
      <c r="H162" s="642">
        <f>VLOOKUP(B162,R_DG!$A$1310:$G$1370,6,0)</f>
        <v>2124251.44</v>
      </c>
      <c r="I162" s="642">
        <f>VLOOKUP(B162,R_DG!$A$1310:$G$1370,7,0)</f>
        <v>360324.22036363633</v>
      </c>
      <c r="J162" s="639">
        <f t="shared" ca="1" si="29"/>
        <v>0</v>
      </c>
      <c r="K162" s="639">
        <f t="shared" ca="1" si="30"/>
        <v>0</v>
      </c>
      <c r="L162" s="639">
        <f t="shared" ca="1" si="31"/>
        <v>0</v>
      </c>
      <c r="M162" s="373">
        <f t="shared" si="28"/>
        <v>0</v>
      </c>
    </row>
    <row r="163" spans="2:13" ht="20.100000000000001" customHeight="1">
      <c r="B163" s="373" t="s">
        <v>4227</v>
      </c>
      <c r="C163" s="388" t="str">
        <f>VLOOKUP(B163,R_DG!$A$1310:$G$1370,2,0)</f>
        <v>EA.22110</v>
      </c>
      <c r="D163" s="399" t="str">
        <f>VLOOKUP(B163,R_DG!$A$1310:$G$1370,3,0)</f>
        <v>Máy biến áp 22/0,4kV- 630kVA</v>
      </c>
      <c r="E163" s="390" t="str">
        <f>VLOOKUP(B163,R_DG!$A$1310:$G$1370,4,0)</f>
        <v>máy</v>
      </c>
      <c r="F163" s="388">
        <f ca="1">SUMIF(KLVT!$A$5:$A$1429,RIGHT(B163,LEN(B163)-5),KLVT!$F$5:$F$1429)</f>
        <v>0</v>
      </c>
      <c r="G163" s="642">
        <f>VLOOKUP(B163,R_DG!$A$1310:$G$1370,5,0)</f>
        <v>0</v>
      </c>
      <c r="H163" s="642">
        <f>VLOOKUP(B163,R_DG!$A$1310:$G$1370,6,0)</f>
        <v>2124251.44</v>
      </c>
      <c r="I163" s="642">
        <f>VLOOKUP(B163,R_DG!$A$1310:$G$1370,7,0)</f>
        <v>360324.22036363633</v>
      </c>
      <c r="J163" s="639">
        <f t="shared" ca="1" si="29"/>
        <v>0</v>
      </c>
      <c r="K163" s="639">
        <f t="shared" ca="1" si="30"/>
        <v>0</v>
      </c>
      <c r="L163" s="639">
        <f t="shared" ca="1" si="31"/>
        <v>0</v>
      </c>
      <c r="M163" s="373">
        <f t="shared" si="28"/>
        <v>0</v>
      </c>
    </row>
    <row r="164" spans="2:13" ht="20.100000000000001" customHeight="1">
      <c r="B164" s="373" t="s">
        <v>4228</v>
      </c>
      <c r="C164" s="388" t="str">
        <f>VLOOKUP(B164,R_DG!$A$1310:$G$1370,2,0)</f>
        <v>EA.22110</v>
      </c>
      <c r="D164" s="399" t="str">
        <f>VLOOKUP(B164,R_DG!$A$1310:$G$1370,3,0)</f>
        <v>Máy biến áp 22/0,4kV- 560kVA</v>
      </c>
      <c r="E164" s="390" t="str">
        <f>VLOOKUP(B164,R_DG!$A$1310:$G$1370,4,0)</f>
        <v>máy</v>
      </c>
      <c r="F164" s="388">
        <f ca="1">SUMIF(KLVT!$A$5:$A$1429,RIGHT(B164,LEN(B164)-5),KLVT!$F$5:$F$1429)</f>
        <v>0</v>
      </c>
      <c r="G164" s="642">
        <f>VLOOKUP(B164,R_DG!$A$1310:$G$1370,5,0)</f>
        <v>0</v>
      </c>
      <c r="H164" s="642">
        <f>VLOOKUP(B164,R_DG!$A$1310:$G$1370,6,0)</f>
        <v>2124251.44</v>
      </c>
      <c r="I164" s="642">
        <f>VLOOKUP(B164,R_DG!$A$1310:$G$1370,7,0)</f>
        <v>360324.22036363633</v>
      </c>
      <c r="J164" s="639">
        <f t="shared" ca="1" si="29"/>
        <v>0</v>
      </c>
      <c r="K164" s="639">
        <f t="shared" ca="1" si="30"/>
        <v>0</v>
      </c>
      <c r="L164" s="639">
        <f t="shared" ca="1" si="31"/>
        <v>0</v>
      </c>
      <c r="M164" s="373">
        <f t="shared" si="28"/>
        <v>0</v>
      </c>
    </row>
    <row r="165" spans="2:13" ht="20.100000000000001" customHeight="1">
      <c r="B165" s="373" t="s">
        <v>4229</v>
      </c>
      <c r="C165" s="388" t="str">
        <f>VLOOKUP(B165,R_DG!$A$1310:$G$1370,2,0)</f>
        <v>EA.22110</v>
      </c>
      <c r="D165" s="399" t="str">
        <f>VLOOKUP(B165,R_DG!$A$1310:$G$1370,3,0)</f>
        <v>Máy biến áp 22/0,4kV- 400kVA</v>
      </c>
      <c r="E165" s="390" t="str">
        <f>VLOOKUP(B165,R_DG!$A$1310:$G$1370,4,0)</f>
        <v>máy</v>
      </c>
      <c r="F165" s="388">
        <f ca="1">SUMIF(KLVT!$A$5:$A$1429,RIGHT(B165,LEN(B165)-5),KLVT!$F$5:$F$1429)</f>
        <v>0</v>
      </c>
      <c r="G165" s="642">
        <f>VLOOKUP(B165,R_DG!$A$1310:$G$1370,5,0)</f>
        <v>0</v>
      </c>
      <c r="H165" s="642">
        <f>VLOOKUP(B165,R_DG!$A$1310:$G$1370,6,0)</f>
        <v>2124251.44</v>
      </c>
      <c r="I165" s="642">
        <f>VLOOKUP(B165,R_DG!$A$1310:$G$1370,7,0)</f>
        <v>360324.22036363633</v>
      </c>
      <c r="J165" s="639">
        <f t="shared" ca="1" si="29"/>
        <v>0</v>
      </c>
      <c r="K165" s="639">
        <f t="shared" ca="1" si="30"/>
        <v>0</v>
      </c>
      <c r="L165" s="639">
        <f t="shared" ca="1" si="31"/>
        <v>0</v>
      </c>
      <c r="M165" s="373">
        <f t="shared" ca="1" si="28"/>
        <v>0</v>
      </c>
    </row>
    <row r="166" spans="2:13" ht="20.100000000000001" customHeight="1">
      <c r="B166" s="373" t="s">
        <v>4230</v>
      </c>
      <c r="C166" s="388" t="str">
        <f>VLOOKUP(B166,R_DG!$A$1310:$G$1370,2,0)</f>
        <v>EA.22110</v>
      </c>
      <c r="D166" s="399" t="str">
        <f>VLOOKUP(B166,R_DG!$A$1310:$G$1370,3,0)</f>
        <v>Máy biến áp 22/0,4kV- 320kVA</v>
      </c>
      <c r="E166" s="390" t="str">
        <f>VLOOKUP(B166,R_DG!$A$1310:$G$1370,4,0)</f>
        <v>máy</v>
      </c>
      <c r="F166" s="388">
        <f ca="1">SUMIF(KLVT!$A$5:$A$1429,RIGHT(B166,LEN(B166)-5),KLVT!$F$5:$F$1429)</f>
        <v>0</v>
      </c>
      <c r="G166" s="642">
        <f>VLOOKUP(B166,R_DG!$A$1310:$G$1370,5,0)</f>
        <v>0</v>
      </c>
      <c r="H166" s="642">
        <f>VLOOKUP(B166,R_DG!$A$1310:$G$1370,6,0)</f>
        <v>2124251.44</v>
      </c>
      <c r="I166" s="642">
        <f>VLOOKUP(B166,R_DG!$A$1310:$G$1370,7,0)</f>
        <v>360324.22036363633</v>
      </c>
      <c r="J166" s="639">
        <f t="shared" ca="1" si="29"/>
        <v>0</v>
      </c>
      <c r="K166" s="639">
        <f t="shared" ca="1" si="30"/>
        <v>0</v>
      </c>
      <c r="L166" s="639">
        <f t="shared" ca="1" si="31"/>
        <v>0</v>
      </c>
      <c r="M166" s="373">
        <f t="shared" ca="1" si="28"/>
        <v>0</v>
      </c>
    </row>
    <row r="167" spans="2:13" ht="20.100000000000001" customHeight="1">
      <c r="B167" s="373" t="s">
        <v>4231</v>
      </c>
      <c r="C167" s="388" t="str">
        <f>VLOOKUP(B167,R_DG!$A$1310:$G$1370,2,0)</f>
        <v>EA.22110</v>
      </c>
      <c r="D167" s="399" t="str">
        <f>VLOOKUP(B167,R_DG!$A$1310:$G$1370,3,0)</f>
        <v>Máy biến áp 22/0,4kV- 250kVA</v>
      </c>
      <c r="E167" s="390" t="str">
        <f>VLOOKUP(B167,R_DG!$A$1310:$G$1370,4,0)</f>
        <v>máy</v>
      </c>
      <c r="F167" s="388">
        <f ca="1">SUMIF(KLVT!$A$5:$A$1429,RIGHT(B167,LEN(B167)-5),KLVT!$F$5:$F$1429)</f>
        <v>0</v>
      </c>
      <c r="G167" s="642">
        <f>VLOOKUP(B167,R_DG!$A$1310:$G$1370,5,0)</f>
        <v>0</v>
      </c>
      <c r="H167" s="642">
        <f>VLOOKUP(B167,R_DG!$A$1310:$G$1370,6,0)</f>
        <v>2124251.44</v>
      </c>
      <c r="I167" s="642">
        <f>VLOOKUP(B167,R_DG!$A$1310:$G$1370,7,0)</f>
        <v>360324.22036363633</v>
      </c>
      <c r="J167" s="639">
        <f t="shared" ca="1" si="29"/>
        <v>0</v>
      </c>
      <c r="K167" s="639">
        <f t="shared" ca="1" si="30"/>
        <v>0</v>
      </c>
      <c r="L167" s="639">
        <f t="shared" ca="1" si="31"/>
        <v>0</v>
      </c>
      <c r="M167" s="373">
        <f t="shared" ca="1" si="28"/>
        <v>0</v>
      </c>
    </row>
    <row r="168" spans="2:13" ht="20.100000000000001" customHeight="1">
      <c r="B168" s="373" t="s">
        <v>4232</v>
      </c>
      <c r="C168" s="388" t="str">
        <f>VLOOKUP(B168,R_DG!$A$1310:$G$1370,2,0)</f>
        <v>EA.22110</v>
      </c>
      <c r="D168" s="399" t="str">
        <f>VLOOKUP(B168,R_DG!$A$1310:$G$1370,3,0)</f>
        <v>Máy biến áp 22/0,4kV  160kVA</v>
      </c>
      <c r="E168" s="390" t="str">
        <f>VLOOKUP(B168,R_DG!$A$1310:$G$1370,4,0)</f>
        <v>máy</v>
      </c>
      <c r="F168" s="388">
        <f ca="1">SUMIF(KLVT!$A$5:$A$1429,RIGHT(B168,LEN(B168)-5),KLVT!$F$5:$F$1429)</f>
        <v>0</v>
      </c>
      <c r="G168" s="642">
        <f>VLOOKUP(B168,R_DG!$A$1310:$G$1370,5,0)</f>
        <v>0</v>
      </c>
      <c r="H168" s="642">
        <f>VLOOKUP(B168,R_DG!$A$1310:$G$1370,6,0)</f>
        <v>2124251.44</v>
      </c>
      <c r="I168" s="642">
        <f>VLOOKUP(B168,R_DG!$A$1310:$G$1370,7,0)</f>
        <v>360324.22036363633</v>
      </c>
      <c r="J168" s="639">
        <f t="shared" ca="1" si="29"/>
        <v>0</v>
      </c>
      <c r="K168" s="639">
        <f t="shared" ca="1" si="30"/>
        <v>0</v>
      </c>
      <c r="L168" s="639">
        <f t="shared" ca="1" si="31"/>
        <v>0</v>
      </c>
      <c r="M168" s="373">
        <f t="shared" ca="1" si="28"/>
        <v>0</v>
      </c>
    </row>
    <row r="169" spans="2:13" ht="20.100000000000001" customHeight="1">
      <c r="B169" s="373" t="s">
        <v>4233</v>
      </c>
      <c r="C169" s="388" t="str">
        <f>VLOOKUP(B169,R_DG!$A$1310:$G$1370,2,0)</f>
        <v>EA.22130</v>
      </c>
      <c r="D169" s="399" t="str">
        <f>VLOOKUP(B169,R_DG!$A$1310:$G$1370,3,0)</f>
        <v>Máy biến áp 12,7/0,22-0,44kV  50kVA</v>
      </c>
      <c r="E169" s="390" t="str">
        <f>VLOOKUP(B169,R_DG!$A$1310:$G$1370,4,0)</f>
        <v>máy</v>
      </c>
      <c r="F169" s="388">
        <f ca="1">SUMIF(KLVT!$A$5:$A$1429,RIGHT(B169,LEN(B169)-5),KLVT!$F$5:$F$1429)</f>
        <v>0</v>
      </c>
      <c r="G169" s="642">
        <f>VLOOKUP(B169,R_DG!$A$1310:$G$1370,5,0)</f>
        <v>0</v>
      </c>
      <c r="H169" s="642">
        <f>VLOOKUP(B169,R_DG!$A$1310:$G$1370,6,0)</f>
        <v>1282235.68</v>
      </c>
      <c r="I169" s="642">
        <f>VLOOKUP(B169,R_DG!$A$1310:$G$1370,7,0)</f>
        <v>266420.15181818185</v>
      </c>
      <c r="J169" s="639">
        <f t="shared" ca="1" si="29"/>
        <v>0</v>
      </c>
      <c r="K169" s="639">
        <f t="shared" ca="1" si="30"/>
        <v>0</v>
      </c>
      <c r="L169" s="639">
        <f t="shared" ca="1" si="31"/>
        <v>0</v>
      </c>
      <c r="M169" s="373">
        <f t="shared" ca="1" si="28"/>
        <v>0</v>
      </c>
    </row>
    <row r="170" spans="2:13" ht="20.100000000000001" customHeight="1">
      <c r="B170" s="373" t="s">
        <v>4235</v>
      </c>
      <c r="C170" s="388" t="str">
        <f>VLOOKUP(B170,R_DG!$A$1310:$G$1370,2,0)</f>
        <v>EA.22130</v>
      </c>
      <c r="D170" s="399" t="str">
        <f>VLOOKUP(B170,R_DG!$A$1310:$G$1370,3,0)</f>
        <v>Máy biến áp 12,7/0,22-0,44kV  75kVA</v>
      </c>
      <c r="E170" s="390" t="str">
        <f>VLOOKUP(B170,R_DG!$A$1310:$G$1370,4,0)</f>
        <v>máy</v>
      </c>
      <c r="F170" s="388">
        <f ca="1">SUMIF(KLVT!$A$5:$A$1429,RIGHT(B170,LEN(B170)-5),KLVT!$F$5:$F$1429)</f>
        <v>0</v>
      </c>
      <c r="G170" s="642">
        <f>VLOOKUP(B170,R_DG!$A$1310:$G$1370,5,0)</f>
        <v>0</v>
      </c>
      <c r="H170" s="642">
        <f>VLOOKUP(B170,R_DG!$A$1310:$G$1370,6,0)</f>
        <v>1282235.68</v>
      </c>
      <c r="I170" s="642">
        <f>VLOOKUP(B170,R_DG!$A$1310:$G$1370,7,0)</f>
        <v>266420.15181818185</v>
      </c>
      <c r="J170" s="639">
        <f t="shared" ca="1" si="29"/>
        <v>0</v>
      </c>
      <c r="K170" s="639">
        <f t="shared" ca="1" si="30"/>
        <v>0</v>
      </c>
      <c r="L170" s="639">
        <f t="shared" ca="1" si="31"/>
        <v>0</v>
      </c>
      <c r="M170" s="373">
        <f t="shared" ca="1" si="28"/>
        <v>0</v>
      </c>
    </row>
    <row r="171" spans="2:13" ht="20.100000000000001" customHeight="1">
      <c r="B171" s="373" t="s">
        <v>4236</v>
      </c>
      <c r="C171" s="388" t="str">
        <f>VLOOKUP(B171,R_DG!$A$1310:$G$1370,2,0)</f>
        <v>EA.22130</v>
      </c>
      <c r="D171" s="399" t="str">
        <f>VLOOKUP(B171,R_DG!$A$1310:$G$1370,3,0)</f>
        <v>Máy biến áp 12,7/0,22-0,44kV  37,5kVA</v>
      </c>
      <c r="E171" s="390" t="str">
        <f>VLOOKUP(B171,R_DG!$A$1310:$G$1370,4,0)</f>
        <v>máy</v>
      </c>
      <c r="F171" s="388">
        <f ca="1">SUMIF(KLVT!$A$5:$A$1429,RIGHT(B171,LEN(B171)-5),KLVT!$F$5:$F$1429)</f>
        <v>0</v>
      </c>
      <c r="G171" s="642">
        <f>VLOOKUP(B171,R_DG!$A$1310:$G$1370,5,0)</f>
        <v>0</v>
      </c>
      <c r="H171" s="642">
        <f>VLOOKUP(B171,R_DG!$A$1310:$G$1370,6,0)</f>
        <v>1282235.68</v>
      </c>
      <c r="I171" s="642">
        <f>VLOOKUP(B171,R_DG!$A$1310:$G$1370,7,0)</f>
        <v>266420.15181818185</v>
      </c>
      <c r="J171" s="639">
        <f t="shared" ca="1" si="29"/>
        <v>0</v>
      </c>
      <c r="K171" s="639">
        <f t="shared" ca="1" si="30"/>
        <v>0</v>
      </c>
      <c r="L171" s="639">
        <f t="shared" ca="1" si="31"/>
        <v>0</v>
      </c>
      <c r="M171" s="373">
        <f t="shared" ca="1" si="28"/>
        <v>0</v>
      </c>
    </row>
    <row r="172" spans="2:13" ht="20.100000000000001" customHeight="1">
      <c r="B172" s="373" t="s">
        <v>4237</v>
      </c>
      <c r="C172" s="388" t="str">
        <f>VLOOKUP(B172,R_DG!$A$1310:$G$1370,2,0)</f>
        <v>EA.22130</v>
      </c>
      <c r="D172" s="399" t="str">
        <f>VLOOKUP(B172,R_DG!$A$1310:$G$1370,3,0)</f>
        <v>Máy biến áp 12,7/0,22-0,44kV  25kVA</v>
      </c>
      <c r="E172" s="390" t="str">
        <f>VLOOKUP(B172,R_DG!$A$1310:$G$1370,4,0)</f>
        <v>máy</v>
      </c>
      <c r="F172" s="388">
        <f ca="1">SUMIF(KLVT!$A$5:$A$1429,RIGHT(B172,LEN(B172)-5),KLVT!$F$5:$F$1429)</f>
        <v>0</v>
      </c>
      <c r="G172" s="642">
        <f>VLOOKUP(B172,R_DG!$A$1310:$G$1370,5,0)</f>
        <v>0</v>
      </c>
      <c r="H172" s="642">
        <f>VLOOKUP(B172,R_DG!$A$1310:$G$1370,6,0)</f>
        <v>1282235.68</v>
      </c>
      <c r="I172" s="642">
        <f>VLOOKUP(B172,R_DG!$A$1310:$G$1370,7,0)</f>
        <v>266420.15181818185</v>
      </c>
      <c r="J172" s="639">
        <f t="shared" ca="1" si="29"/>
        <v>0</v>
      </c>
      <c r="K172" s="639">
        <f t="shared" ca="1" si="30"/>
        <v>0</v>
      </c>
      <c r="L172" s="639">
        <f t="shared" ca="1" si="31"/>
        <v>0</v>
      </c>
      <c r="M172" s="373">
        <f t="shared" ref="M172:M191" ca="1" si="32">IF(SUM(J168:L168)&gt;0,1,0)</f>
        <v>0</v>
      </c>
    </row>
    <row r="173" spans="2:13" ht="20.100000000000001" customHeight="1">
      <c r="B173" s="373" t="s">
        <v>4238</v>
      </c>
      <c r="C173" s="388" t="str">
        <f>VLOOKUP(B173,R_DG!$A$1310:$G$1370,2,0)</f>
        <v>EA.22130</v>
      </c>
      <c r="D173" s="399" t="str">
        <f>VLOOKUP(B173,R_DG!$A$1310:$G$1370,3,0)</f>
        <v>Máy biến áp 12,7/0,22-0,44kV  15kVA</v>
      </c>
      <c r="E173" s="390" t="str">
        <f>VLOOKUP(B173,R_DG!$A$1310:$G$1370,4,0)</f>
        <v>máy</v>
      </c>
      <c r="F173" s="388">
        <f ca="1">SUMIF(KLVT!$A$5:$A$1429,RIGHT(B173,LEN(B173)-5),KLVT!$F$5:$F$1429)</f>
        <v>0</v>
      </c>
      <c r="G173" s="642">
        <f>VLOOKUP(B173,R_DG!$A$1310:$G$1370,5,0)</f>
        <v>0</v>
      </c>
      <c r="H173" s="642">
        <f>VLOOKUP(B173,R_DG!$A$1310:$G$1370,6,0)</f>
        <v>1282235.68</v>
      </c>
      <c r="I173" s="642">
        <f>VLOOKUP(B173,R_DG!$A$1310:$G$1370,7,0)</f>
        <v>266420.15181818185</v>
      </c>
      <c r="J173" s="639">
        <f t="shared" ca="1" si="29"/>
        <v>0</v>
      </c>
      <c r="K173" s="639">
        <f t="shared" ca="1" si="30"/>
        <v>0</v>
      </c>
      <c r="L173" s="639">
        <f t="shared" ca="1" si="31"/>
        <v>0</v>
      </c>
      <c r="M173" s="373">
        <f t="shared" ca="1" si="32"/>
        <v>0</v>
      </c>
    </row>
    <row r="174" spans="2:13" ht="20.100000000000001" customHeight="1">
      <c r="B174" s="373" t="s">
        <v>4239</v>
      </c>
      <c r="C174" s="388" t="str">
        <f>VLOOKUP(B174,R_DG!$A$1310:$G$1370,2,0)</f>
        <v>EB.60030</v>
      </c>
      <c r="D174" s="399" t="str">
        <f>VLOOKUP(B174,R_DG!$A$1310:$G$1370,3,0)</f>
        <v>Cáp đồng bọc CV70</v>
      </c>
      <c r="E174" s="390" t="str">
        <f>VLOOKUP(B174,R_DG!$A$1310:$G$1370,4,0)</f>
        <v>mẫu</v>
      </c>
      <c r="F174" s="388">
        <f ca="1">IF(SUMIF(KLVT!$A$5:$A$1429,RIGHT(B174,LEN(B174)-5),KLVT!$F$5:$F$1429)&gt;1,1,0)</f>
        <v>0</v>
      </c>
      <c r="G174" s="642">
        <f>VLOOKUP(B174,R_DG!$A$1310:$G$1370,5,0)</f>
        <v>0</v>
      </c>
      <c r="H174" s="642">
        <f>VLOOKUP(B174,R_DG!$A$1310:$G$1370,6,0)</f>
        <v>26726.2</v>
      </c>
      <c r="I174" s="642">
        <f>VLOOKUP(B174,R_DG!$A$1310:$G$1370,7,0)</f>
        <v>2071.84</v>
      </c>
      <c r="J174" s="639">
        <f t="shared" ca="1" si="29"/>
        <v>0</v>
      </c>
      <c r="K174" s="639">
        <f t="shared" ca="1" si="30"/>
        <v>0</v>
      </c>
      <c r="L174" s="639">
        <f t="shared" ca="1" si="31"/>
        <v>0</v>
      </c>
      <c r="M174" s="373">
        <f t="shared" ca="1" si="32"/>
        <v>0</v>
      </c>
    </row>
    <row r="175" spans="2:13" ht="20.100000000000001" customHeight="1">
      <c r="B175" s="373" t="s">
        <v>4241</v>
      </c>
      <c r="C175" s="388" t="str">
        <f>VLOOKUP(B175,R_DG!$A$1310:$G$1370,2,0)</f>
        <v>EB.60030</v>
      </c>
      <c r="D175" s="399" t="str">
        <f>VLOOKUP(B175,R_DG!$A$1310:$G$1370,3,0)</f>
        <v>Cáp đồng bọc CV50</v>
      </c>
      <c r="E175" s="390" t="str">
        <f>VLOOKUP(B175,R_DG!$A$1310:$G$1370,4,0)</f>
        <v>mẫu</v>
      </c>
      <c r="F175" s="388">
        <f ca="1">IF(SUMIF(KLVT!$A$5:$A$1429,RIGHT(B175,LEN(B175)-5),KLVT!$F$5:$F$1429)&gt;1,1,0)</f>
        <v>0</v>
      </c>
      <c r="G175" s="642">
        <f>VLOOKUP(B175,R_DG!$A$1310:$G$1370,5,0)</f>
        <v>0</v>
      </c>
      <c r="H175" s="642">
        <f>VLOOKUP(B175,R_DG!$A$1310:$G$1370,6,0)</f>
        <v>26726.2</v>
      </c>
      <c r="I175" s="642">
        <f>VLOOKUP(B175,R_DG!$A$1310:$G$1370,7,0)</f>
        <v>2071.84</v>
      </c>
      <c r="J175" s="639">
        <f t="shared" ca="1" si="29"/>
        <v>0</v>
      </c>
      <c r="K175" s="639">
        <f t="shared" ca="1" si="30"/>
        <v>0</v>
      </c>
      <c r="L175" s="639">
        <f t="shared" ca="1" si="31"/>
        <v>0</v>
      </c>
      <c r="M175" s="373">
        <f t="shared" ca="1" si="32"/>
        <v>0</v>
      </c>
    </row>
    <row r="176" spans="2:13" ht="20.100000000000001" customHeight="1">
      <c r="B176" s="373" t="s">
        <v>4242</v>
      </c>
      <c r="C176" s="388" t="str">
        <f>VLOOKUP(B176,R_DG!$A$1310:$G$1370,2,0)</f>
        <v>EB.60030</v>
      </c>
      <c r="D176" s="399" t="str">
        <f>VLOOKUP(B176,R_DG!$A$1310:$G$1370,3,0)</f>
        <v>Cáp đồng bọc CV70</v>
      </c>
      <c r="E176" s="390" t="str">
        <f>VLOOKUP(B176,R_DG!$A$1310:$G$1370,4,0)</f>
        <v>mẫu</v>
      </c>
      <c r="F176" s="388">
        <f ca="1">IF(SUMIF(KLVT!$A$5:$A$1429,RIGHT(B176,LEN(B176)-5),KLVT!$F$5:$F$1429)&gt;1,1,0)</f>
        <v>0</v>
      </c>
      <c r="G176" s="642">
        <f>VLOOKUP(B176,R_DG!$A$1310:$G$1370,5,0)</f>
        <v>0</v>
      </c>
      <c r="H176" s="642">
        <f>VLOOKUP(B176,R_DG!$A$1310:$G$1370,6,0)</f>
        <v>26726.2</v>
      </c>
      <c r="I176" s="642">
        <f>VLOOKUP(B176,R_DG!$A$1310:$G$1370,7,0)</f>
        <v>2071.84</v>
      </c>
      <c r="J176" s="639">
        <f t="shared" ca="1" si="29"/>
        <v>0</v>
      </c>
      <c r="K176" s="639">
        <f t="shared" ca="1" si="30"/>
        <v>0</v>
      </c>
      <c r="L176" s="639">
        <f t="shared" ca="1" si="31"/>
        <v>0</v>
      </c>
      <c r="M176" s="373">
        <f t="shared" ca="1" si="32"/>
        <v>0</v>
      </c>
    </row>
    <row r="177" spans="2:13" ht="20.100000000000001" customHeight="1">
      <c r="B177" s="373" t="s">
        <v>4243</v>
      </c>
      <c r="C177" s="388" t="str">
        <f>VLOOKUP(B177,R_DG!$A$1310:$G$1370,2,0)</f>
        <v>EB.60030</v>
      </c>
      <c r="D177" s="399" t="str">
        <f>VLOOKUP(B177,R_DG!$A$1310:$G$1370,3,0)</f>
        <v>Cáp đồng bọc CV95</v>
      </c>
      <c r="E177" s="390" t="str">
        <f>VLOOKUP(B177,R_DG!$A$1310:$G$1370,4,0)</f>
        <v>mẫu</v>
      </c>
      <c r="F177" s="388">
        <f ca="1">IF(SUMIF(KLVT!$A$5:$A$1429,RIGHT(B177,LEN(B177)-5),KLVT!$F$5:$F$1429)&gt;1,1,0)</f>
        <v>0</v>
      </c>
      <c r="G177" s="642">
        <f>VLOOKUP(B177,R_DG!$A$1310:$G$1370,5,0)</f>
        <v>0</v>
      </c>
      <c r="H177" s="642">
        <f>VLOOKUP(B177,R_DG!$A$1310:$G$1370,6,0)</f>
        <v>26726.2</v>
      </c>
      <c r="I177" s="642">
        <f>VLOOKUP(B177,R_DG!$A$1310:$G$1370,7,0)</f>
        <v>2071.84</v>
      </c>
      <c r="J177" s="639">
        <f t="shared" ca="1" si="29"/>
        <v>0</v>
      </c>
      <c r="K177" s="639">
        <f t="shared" ca="1" si="30"/>
        <v>0</v>
      </c>
      <c r="L177" s="639">
        <f t="shared" ca="1" si="31"/>
        <v>0</v>
      </c>
      <c r="M177" s="373">
        <f t="shared" ca="1" si="32"/>
        <v>0</v>
      </c>
    </row>
    <row r="178" spans="2:13" ht="20.100000000000001" customHeight="1">
      <c r="B178" s="373" t="s">
        <v>4244</v>
      </c>
      <c r="C178" s="388" t="str">
        <f>VLOOKUP(B178,R_DG!$A$1310:$G$1370,2,0)</f>
        <v>EB.60030</v>
      </c>
      <c r="D178" s="399" t="str">
        <f>VLOOKUP(B178,R_DG!$A$1310:$G$1370,3,0)</f>
        <v>Cáp đồng bọc CV120</v>
      </c>
      <c r="E178" s="390" t="str">
        <f>VLOOKUP(B178,R_DG!$A$1310:$G$1370,4,0)</f>
        <v>mẫu</v>
      </c>
      <c r="F178" s="388">
        <f ca="1">IF(SUMIF(KLVT!$A$5:$A$1429,RIGHT(B178,LEN(B178)-5),KLVT!$F$5:$F$1429)&gt;1,1,0)</f>
        <v>0</v>
      </c>
      <c r="G178" s="642">
        <f>VLOOKUP(B178,R_DG!$A$1310:$G$1370,5,0)</f>
        <v>0</v>
      </c>
      <c r="H178" s="642">
        <f>VLOOKUP(B178,R_DG!$A$1310:$G$1370,6,0)</f>
        <v>26726.2</v>
      </c>
      <c r="I178" s="642">
        <f>VLOOKUP(B178,R_DG!$A$1310:$G$1370,7,0)</f>
        <v>2071.84</v>
      </c>
      <c r="J178" s="639">
        <f t="shared" ca="1" si="29"/>
        <v>0</v>
      </c>
      <c r="K178" s="639">
        <f t="shared" ca="1" si="30"/>
        <v>0</v>
      </c>
      <c r="L178" s="639">
        <f t="shared" ca="1" si="31"/>
        <v>0</v>
      </c>
      <c r="M178" s="373">
        <f t="shared" ca="1" si="32"/>
        <v>0</v>
      </c>
    </row>
    <row r="179" spans="2:13" ht="20.100000000000001" customHeight="1">
      <c r="B179" s="373" t="s">
        <v>4245</v>
      </c>
      <c r="C179" s="388" t="str">
        <f>VLOOKUP(B179,R_DG!$A$1310:$G$1370,2,0)</f>
        <v>EB.60030</v>
      </c>
      <c r="D179" s="399" t="str">
        <f>VLOOKUP(B179,R_DG!$A$1310:$G$1370,3,0)</f>
        <v>Cáp đồng bọc CV150</v>
      </c>
      <c r="E179" s="390" t="str">
        <f>VLOOKUP(B179,R_DG!$A$1310:$G$1370,4,0)</f>
        <v>mẫu</v>
      </c>
      <c r="F179" s="388">
        <f ca="1">IF(SUMIF(KLVT!$A$5:$A$1429,RIGHT(B179,LEN(B179)-5),KLVT!$F$5:$F$1429)&gt;1,1,0)</f>
        <v>0</v>
      </c>
      <c r="G179" s="642">
        <f>VLOOKUP(B179,R_DG!$A$1310:$G$1370,5,0)</f>
        <v>0</v>
      </c>
      <c r="H179" s="642">
        <f>VLOOKUP(B179,R_DG!$A$1310:$G$1370,6,0)</f>
        <v>26726.2</v>
      </c>
      <c r="I179" s="642">
        <f>VLOOKUP(B179,R_DG!$A$1310:$G$1370,7,0)</f>
        <v>2071.84</v>
      </c>
      <c r="J179" s="639">
        <f t="shared" ca="1" si="29"/>
        <v>0</v>
      </c>
      <c r="K179" s="639">
        <f t="shared" ca="1" si="30"/>
        <v>0</v>
      </c>
      <c r="L179" s="639">
        <f t="shared" ca="1" si="31"/>
        <v>0</v>
      </c>
      <c r="M179" s="373">
        <f t="shared" ca="1" si="32"/>
        <v>0</v>
      </c>
    </row>
    <row r="180" spans="2:13" ht="20.100000000000001" customHeight="1">
      <c r="B180" s="373" t="s">
        <v>4246</v>
      </c>
      <c r="C180" s="388" t="str">
        <f>VLOOKUP(B180,R_DG!$A$1310:$G$1370,2,0)</f>
        <v>EB.60030</v>
      </c>
      <c r="D180" s="399" t="str">
        <f>VLOOKUP(B180,R_DG!$A$1310:$G$1370,3,0)</f>
        <v>Cáp đồng bọc CV185</v>
      </c>
      <c r="E180" s="390" t="str">
        <f>VLOOKUP(B180,R_DG!$A$1310:$G$1370,4,0)</f>
        <v>mẫu</v>
      </c>
      <c r="F180" s="388">
        <f ca="1">IF(SUMIF(KLVT!$A$5:$A$1429,RIGHT(B180,LEN(B180)-5),KLVT!$F$5:$F$1429)&gt;1,1,0)</f>
        <v>0</v>
      </c>
      <c r="G180" s="642">
        <f>VLOOKUP(B180,R_DG!$A$1310:$G$1370,5,0)</f>
        <v>0</v>
      </c>
      <c r="H180" s="642">
        <f>VLOOKUP(B180,R_DG!$A$1310:$G$1370,6,0)</f>
        <v>26726.2</v>
      </c>
      <c r="I180" s="642">
        <f>VLOOKUP(B180,R_DG!$A$1310:$G$1370,7,0)</f>
        <v>2071.84</v>
      </c>
      <c r="J180" s="639">
        <f t="shared" ca="1" si="29"/>
        <v>0</v>
      </c>
      <c r="K180" s="639">
        <f t="shared" ca="1" si="30"/>
        <v>0</v>
      </c>
      <c r="L180" s="639">
        <f t="shared" ca="1" si="31"/>
        <v>0</v>
      </c>
      <c r="M180" s="373">
        <f t="shared" ca="1" si="32"/>
        <v>0</v>
      </c>
    </row>
    <row r="181" spans="2:13" ht="20.100000000000001" customHeight="1">
      <c r="B181" s="373" t="s">
        <v>4247</v>
      </c>
      <c r="C181" s="388" t="str">
        <f>VLOOKUP(B181,R_DG!$A$1310:$G$1370,2,0)</f>
        <v>EB.60030</v>
      </c>
      <c r="D181" s="399" t="str">
        <f>VLOOKUP(B181,R_DG!$A$1310:$G$1370,3,0)</f>
        <v>Cáp đồng bọc CV200</v>
      </c>
      <c r="E181" s="390" t="str">
        <f>VLOOKUP(B181,R_DG!$A$1310:$G$1370,4,0)</f>
        <v>mẫu</v>
      </c>
      <c r="F181" s="388">
        <f ca="1">IF(SUMIF(KLVT!$A$5:$A$1429,RIGHT(B181,LEN(B181)-5),KLVT!$F$5:$F$1429)&gt;1,1,0)</f>
        <v>0</v>
      </c>
      <c r="G181" s="642">
        <f>VLOOKUP(B181,R_DG!$A$1310:$G$1370,5,0)</f>
        <v>0</v>
      </c>
      <c r="H181" s="642">
        <f>VLOOKUP(B181,R_DG!$A$1310:$G$1370,6,0)</f>
        <v>26726.2</v>
      </c>
      <c r="I181" s="642">
        <f>VLOOKUP(B181,R_DG!$A$1310:$G$1370,7,0)</f>
        <v>2071.84</v>
      </c>
      <c r="J181" s="639">
        <f t="shared" ca="1" si="29"/>
        <v>0</v>
      </c>
      <c r="K181" s="639">
        <f t="shared" ca="1" si="30"/>
        <v>0</v>
      </c>
      <c r="L181" s="639">
        <f t="shared" ca="1" si="31"/>
        <v>0</v>
      </c>
      <c r="M181" s="373">
        <f t="shared" ca="1" si="32"/>
        <v>0</v>
      </c>
    </row>
    <row r="182" spans="2:13" ht="20.100000000000001" customHeight="1">
      <c r="B182" s="373" t="s">
        <v>4686</v>
      </c>
      <c r="C182" s="388" t="str">
        <f>VLOOKUP(B182,R_DG!$A$1310:$G$1370,2,0)</f>
        <v>EB.60030</v>
      </c>
      <c r="D182" s="399" t="str">
        <f>VLOOKUP(B182,R_DG!$A$1310:$G$1370,3,0)</f>
        <v>Cáp CXV25</v>
      </c>
      <c r="E182" s="390" t="str">
        <f>VLOOKUP(B182,R_DG!$A$1310:$G$1370,4,0)</f>
        <v>mẫu</v>
      </c>
      <c r="F182" s="388">
        <f ca="1">IF(SUMIF(KLVT!$A$5:$A$1429,RIGHT(B182,LEN(B182)-4),KLVT!$F$5:$F$1429)&gt;1,1,0)</f>
        <v>0</v>
      </c>
      <c r="G182" s="642">
        <f>VLOOKUP(B182,R_DG!$A$1310:$G$1370,5,0)</f>
        <v>0</v>
      </c>
      <c r="H182" s="642">
        <f>VLOOKUP(B182,R_DG!$A$1310:$G$1370,6,0)</f>
        <v>26726.2</v>
      </c>
      <c r="I182" s="642">
        <f>VLOOKUP(B182,R_DG!$A$1310:$G$1370,7,0)</f>
        <v>2071.84</v>
      </c>
      <c r="J182" s="639">
        <f t="shared" ca="1" si="29"/>
        <v>0</v>
      </c>
      <c r="K182" s="639">
        <f t="shared" ca="1" si="30"/>
        <v>0</v>
      </c>
      <c r="L182" s="639">
        <f t="shared" ca="1" si="31"/>
        <v>0</v>
      </c>
      <c r="M182" s="373">
        <f t="shared" ca="1" si="32"/>
        <v>0</v>
      </c>
    </row>
    <row r="183" spans="2:13" ht="20.100000000000001" customHeight="1">
      <c r="B183" s="373" t="s">
        <v>4249</v>
      </c>
      <c r="C183" s="388" t="str">
        <f>VLOOKUP(B183,R_DG!$A$1310:$G$1370,2,0)</f>
        <v>EB.22040</v>
      </c>
      <c r="D183" s="399" t="str">
        <f>VLOOKUP(B183,R_DG!$A$1310:$G$1370,3,0)</f>
        <v>FCO 24kV - 100A</v>
      </c>
      <c r="E183" s="390" t="str">
        <f>VLOOKUP(B183,R_DG!$A$1310:$G$1370,4,0)</f>
        <v>cái</v>
      </c>
      <c r="F183" s="388">
        <f ca="1">SUMIF(KLVT!$A$5:$A$1429,RIGHT(B183,LEN(B183)-5),KLVT!$F$5:$F$1429)</f>
        <v>0</v>
      </c>
      <c r="G183" s="642">
        <f>VLOOKUP(B183,R_DG!$A$1310:$G$1370,5,0)</f>
        <v>0</v>
      </c>
      <c r="H183" s="642">
        <f>VLOOKUP(B183,R_DG!$A$1310:$G$1370,6,0)</f>
        <v>60717.18233333333</v>
      </c>
      <c r="I183" s="642">
        <f>VLOOKUP(B183,R_DG!$A$1310:$G$1370,7,0)</f>
        <v>1540.9118606060606</v>
      </c>
      <c r="J183" s="639">
        <f t="shared" ca="1" si="29"/>
        <v>0</v>
      </c>
      <c r="K183" s="639">
        <f t="shared" ca="1" si="30"/>
        <v>0</v>
      </c>
      <c r="L183" s="639">
        <f t="shared" ca="1" si="31"/>
        <v>0</v>
      </c>
      <c r="M183" s="373">
        <f t="shared" ca="1" si="32"/>
        <v>0</v>
      </c>
    </row>
    <row r="184" spans="2:13" ht="20.100000000000001" customHeight="1">
      <c r="B184" s="373" t="s">
        <v>4250</v>
      </c>
      <c r="C184" s="388" t="str">
        <f>VLOOKUP(B184,R_DG!$A$1310:$G$1370,2,0)</f>
        <v>EC.11040</v>
      </c>
      <c r="D184" s="399" t="str">
        <f>VLOOKUP(B184,R_DG!$A$1310:$G$1370,3,0)</f>
        <v>LA 18kV 10kA</v>
      </c>
      <c r="E184" s="390" t="str">
        <f>VLOOKUP(B184,R_DG!$A$1310:$G$1370,4,0)</f>
        <v>cái</v>
      </c>
      <c r="F184" s="388">
        <f ca="1">SUMIF(KLVT!$A$5:$A$1429,RIGHT(B184,LEN(B184)-5),KLVT!$F$5:$F$1429)</f>
        <v>0</v>
      </c>
      <c r="G184" s="642">
        <f>VLOOKUP(B184,R_DG!$A$1310:$G$1370,5,0)</f>
        <v>0</v>
      </c>
      <c r="H184" s="642">
        <f>VLOOKUP(B184,R_DG!$A$1310:$G$1370,6,0)</f>
        <v>118809.81</v>
      </c>
      <c r="I184" s="642">
        <f>VLOOKUP(B184,R_DG!$A$1310:$G$1370,7,0)</f>
        <v>24706.128000000001</v>
      </c>
      <c r="J184" s="639">
        <f t="shared" ca="1" si="29"/>
        <v>0</v>
      </c>
      <c r="K184" s="639">
        <f t="shared" ca="1" si="30"/>
        <v>0</v>
      </c>
      <c r="L184" s="639">
        <f t="shared" ca="1" si="31"/>
        <v>0</v>
      </c>
      <c r="M184" s="373">
        <f t="shared" ca="1" si="32"/>
        <v>0</v>
      </c>
    </row>
    <row r="185" spans="2:13" ht="20.100000000000001" customHeight="1">
      <c r="B185" s="373" t="s">
        <v>4251</v>
      </c>
      <c r="C185" s="388" t="str">
        <f>VLOOKUP(B185,R_DG!$A$1310:$G$1370,2,0)</f>
        <v>EB.72020</v>
      </c>
      <c r="D185" s="399" t="str">
        <f>VLOOKUP(B185,R_DG!$A$1310:$G$1370,3,0)</f>
        <v>MCCB 3 cực 400V-75A - 10KA</v>
      </c>
      <c r="E185" s="390" t="str">
        <f>VLOOKUP(B185,R_DG!$A$1310:$G$1370,4,0)</f>
        <v>cái</v>
      </c>
      <c r="F185" s="388">
        <f ca="1">SUMIF(KLVT!$A$5:$A$1429,RIGHT(B185,LEN(B185)-5),KLVT!$F$5:$F$1429)</f>
        <v>0</v>
      </c>
      <c r="G185" s="642">
        <f>VLOOKUP(B185,R_DG!$A$1310:$G$1370,5,0)</f>
        <v>0</v>
      </c>
      <c r="H185" s="642">
        <f>VLOOKUP(B185,R_DG!$A$1310:$G$1370,6,0)</f>
        <v>160191.5</v>
      </c>
      <c r="I185" s="642">
        <f>VLOOKUP(B185,R_DG!$A$1310:$G$1370,7,0)</f>
        <v>25652.196727272727</v>
      </c>
      <c r="J185" s="639">
        <f t="shared" ca="1" si="29"/>
        <v>0</v>
      </c>
      <c r="K185" s="639">
        <f t="shared" ca="1" si="30"/>
        <v>0</v>
      </c>
      <c r="L185" s="639">
        <f t="shared" ca="1" si="31"/>
        <v>0</v>
      </c>
      <c r="M185" s="373">
        <f t="shared" ca="1" si="32"/>
        <v>0</v>
      </c>
    </row>
    <row r="186" spans="2:13" ht="20.100000000000001" customHeight="1">
      <c r="B186" s="373" t="s">
        <v>4253</v>
      </c>
      <c r="C186" s="388" t="str">
        <f>VLOOKUP(B186,R_DG!$A$1310:$G$1370,2,0)</f>
        <v>EB.72020</v>
      </c>
      <c r="D186" s="399" t="str">
        <f>VLOOKUP(B186,R_DG!$A$1310:$G$1370,3,0)</f>
        <v>MCCB 3 cực 400V-80A - 10KA</v>
      </c>
      <c r="E186" s="390" t="str">
        <f>VLOOKUP(B186,R_DG!$A$1310:$G$1370,4,0)</f>
        <v>cái</v>
      </c>
      <c r="F186" s="388">
        <f ca="1">SUMIF(KLVT!$A$5:$A$1429,RIGHT(B186,LEN(B186)-5),KLVT!$F$5:$F$1429)</f>
        <v>0</v>
      </c>
      <c r="G186" s="642">
        <f>VLOOKUP(B186,R_DG!$A$1310:$G$1370,5,0)</f>
        <v>0</v>
      </c>
      <c r="H186" s="642">
        <f>VLOOKUP(B186,R_DG!$A$1310:$G$1370,6,0)</f>
        <v>160191.5</v>
      </c>
      <c r="I186" s="642">
        <f>VLOOKUP(B186,R_DG!$A$1310:$G$1370,7,0)</f>
        <v>25652.196727272727</v>
      </c>
      <c r="J186" s="639">
        <f t="shared" ca="1" si="29"/>
        <v>0</v>
      </c>
      <c r="K186" s="639">
        <f t="shared" ca="1" si="30"/>
        <v>0</v>
      </c>
      <c r="L186" s="639">
        <f t="shared" ca="1" si="31"/>
        <v>0</v>
      </c>
      <c r="M186" s="373">
        <f t="shared" ca="1" si="32"/>
        <v>0</v>
      </c>
    </row>
    <row r="187" spans="2:13" ht="20.100000000000001" customHeight="1">
      <c r="B187" s="373" t="s">
        <v>4254</v>
      </c>
      <c r="C187" s="388" t="str">
        <f>VLOOKUP(B187,R_DG!$A$1310:$G$1370,2,0)</f>
        <v>EB.72010</v>
      </c>
      <c r="D187" s="399" t="str">
        <f>VLOOKUP(B187,R_DG!$A$1310:$G$1370,3,0)</f>
        <v>MCCB 3 cực 400V -125A - 30KA</v>
      </c>
      <c r="E187" s="390" t="str">
        <f>VLOOKUP(B187,R_DG!$A$1310:$G$1370,4,0)</f>
        <v>cái</v>
      </c>
      <c r="F187" s="388">
        <f ca="1">SUMIF(KLVT!$A$5:$A$1429,RIGHT(B187,LEN(B187)-5),KLVT!$F$5:$F$1429)</f>
        <v>0</v>
      </c>
      <c r="G187" s="642">
        <f>VLOOKUP(B187,R_DG!$A$1310:$G$1370,5,0)</f>
        <v>0</v>
      </c>
      <c r="H187" s="642">
        <f>VLOOKUP(B187,R_DG!$A$1310:$G$1370,6,0)</f>
        <v>160191.5</v>
      </c>
      <c r="I187" s="642">
        <f>VLOOKUP(B187,R_DG!$A$1310:$G$1370,7,0)</f>
        <v>25652.196727272727</v>
      </c>
      <c r="J187" s="639"/>
      <c r="K187" s="639"/>
      <c r="L187" s="639"/>
      <c r="M187" s="373">
        <f t="shared" ca="1" si="32"/>
        <v>0</v>
      </c>
    </row>
    <row r="188" spans="2:13" ht="20.100000000000001" customHeight="1">
      <c r="B188" s="373" t="s">
        <v>4256</v>
      </c>
      <c r="C188" s="388" t="str">
        <f>VLOOKUP(B188,R_DG!$A$1310:$G$1370,2,0)</f>
        <v>EB.72010</v>
      </c>
      <c r="D188" s="399" t="str">
        <f>VLOOKUP(B188,R_DG!$A$1310:$G$1370,3,0)</f>
        <v>MCCB 3 cực 400V -200A - 35KA</v>
      </c>
      <c r="E188" s="390" t="str">
        <f>VLOOKUP(B188,R_DG!$A$1310:$G$1370,4,0)</f>
        <v>cái</v>
      </c>
      <c r="F188" s="388">
        <f ca="1">SUMIF(KLVT!$A$5:$A$1429,RIGHT(B188,LEN(B188)-5),KLVT!$F$5:$F$1429)</f>
        <v>0</v>
      </c>
      <c r="G188" s="642">
        <f>VLOOKUP(B188,R_DG!$A$1310:$G$1370,5,0)</f>
        <v>0</v>
      </c>
      <c r="H188" s="642">
        <f>VLOOKUP(B188,R_DG!$A$1310:$G$1370,6,0)</f>
        <v>160191.5</v>
      </c>
      <c r="I188" s="642">
        <f>VLOOKUP(B188,R_DG!$A$1310:$G$1370,7,0)</f>
        <v>25652.196727272727</v>
      </c>
      <c r="J188" s="639">
        <f t="shared" ref="J188:J194" ca="1" si="33">F188*G188</f>
        <v>0</v>
      </c>
      <c r="K188" s="639">
        <f t="shared" ref="K188:K194" ca="1" si="34">F188*H188</f>
        <v>0</v>
      </c>
      <c r="L188" s="639">
        <f t="shared" ref="L188:L194" ca="1" si="35">F188*I188</f>
        <v>0</v>
      </c>
      <c r="M188" s="373">
        <f t="shared" ca="1" si="32"/>
        <v>0</v>
      </c>
    </row>
    <row r="189" spans="2:13" ht="20.100000000000001" customHeight="1">
      <c r="B189" s="373" t="s">
        <v>4257</v>
      </c>
      <c r="C189" s="388" t="str">
        <f>VLOOKUP(B189,R_DG!$A$1310:$G$1370,2,0)</f>
        <v>EB.72010</v>
      </c>
      <c r="D189" s="399" t="str">
        <f>VLOOKUP(B189,R_DG!$A$1310:$G$1370,3,0)</f>
        <v xml:space="preserve">MCCB 3 cực 400V -250A - 35KA </v>
      </c>
      <c r="E189" s="390" t="str">
        <f>VLOOKUP(B189,R_DG!$A$1310:$G$1370,4,0)</f>
        <v>cái</v>
      </c>
      <c r="F189" s="388">
        <f ca="1">SUMIF(KLVT!$A$5:$A$1429,RIGHT(B189,LEN(B189)-5),KLVT!$F$5:$F$1429)</f>
        <v>0</v>
      </c>
      <c r="G189" s="642">
        <f>VLOOKUP(B189,R_DG!$A$1310:$G$1370,5,0)</f>
        <v>0</v>
      </c>
      <c r="H189" s="642">
        <f>VLOOKUP(B189,R_DG!$A$1310:$G$1370,6,0)</f>
        <v>160191.5</v>
      </c>
      <c r="I189" s="642">
        <f>VLOOKUP(B189,R_DG!$A$1310:$G$1370,7,0)</f>
        <v>25652.196727272727</v>
      </c>
      <c r="J189" s="639">
        <f t="shared" ca="1" si="33"/>
        <v>0</v>
      </c>
      <c r="K189" s="639">
        <f t="shared" ca="1" si="34"/>
        <v>0</v>
      </c>
      <c r="L189" s="639">
        <f t="shared" ca="1" si="35"/>
        <v>0</v>
      </c>
      <c r="M189" s="373">
        <f t="shared" ca="1" si="32"/>
        <v>0</v>
      </c>
    </row>
    <row r="190" spans="2:13" ht="20.100000000000001" customHeight="1">
      <c r="B190" s="373" t="s">
        <v>4258</v>
      </c>
      <c r="C190" s="388" t="str">
        <f>VLOOKUP(B190,R_DG!$A$1310:$G$1370,2,0)</f>
        <v>EB.71040</v>
      </c>
      <c r="D190" s="399" t="str">
        <f>VLOOKUP(B190,R_DG!$A$1310:$G$1370,3,0)</f>
        <v>MCCB 3 cực 400V -400A - 35KA</v>
      </c>
      <c r="E190" s="390" t="str">
        <f>VLOOKUP(B190,R_DG!$A$1310:$G$1370,4,0)</f>
        <v>cái</v>
      </c>
      <c r="F190" s="388">
        <f ca="1">SUMIF(KLVT!$A$5:$A$1429,RIGHT(B190,LEN(B190)-5),KLVT!$F$5:$F$1429)</f>
        <v>0</v>
      </c>
      <c r="G190" s="642">
        <f>VLOOKUP(B190,R_DG!$A$1310:$G$1370,5,0)</f>
        <v>0</v>
      </c>
      <c r="H190" s="642">
        <f>VLOOKUP(B190,R_DG!$A$1310:$G$1370,6,0)</f>
        <v>257287.3</v>
      </c>
      <c r="I190" s="642">
        <f>VLOOKUP(B190,R_DG!$A$1310:$G$1370,7,0)</f>
        <v>52373.686909090909</v>
      </c>
      <c r="J190" s="639">
        <f t="shared" ca="1" si="33"/>
        <v>0</v>
      </c>
      <c r="K190" s="639">
        <f t="shared" ca="1" si="34"/>
        <v>0</v>
      </c>
      <c r="L190" s="639">
        <f t="shared" ca="1" si="35"/>
        <v>0</v>
      </c>
      <c r="M190" s="373">
        <f t="shared" ca="1" si="32"/>
        <v>0</v>
      </c>
    </row>
    <row r="191" spans="2:13" ht="20.100000000000001" customHeight="1">
      <c r="B191" s="373" t="s">
        <v>4259</v>
      </c>
      <c r="C191" s="388" t="str">
        <f>VLOOKUP(B191,R_DG!$A$1310:$G$1370,2,0)</f>
        <v>EB.71030</v>
      </c>
      <c r="D191" s="399" t="str">
        <f>VLOOKUP(B191,R_DG!$A$1310:$G$1370,3,0)</f>
        <v>MCCB 3 cực 400V - 500A/35KA</v>
      </c>
      <c r="E191" s="390" t="str">
        <f>VLOOKUP(B191,R_DG!$A$1310:$G$1370,4,0)</f>
        <v>cái</v>
      </c>
      <c r="F191" s="388">
        <f ca="1">SUMIF(KLVT!$A$5:$A$1429,RIGHT(B191,LEN(B191)-5),KLVT!$F$5:$F$1429)</f>
        <v>0</v>
      </c>
      <c r="G191" s="642">
        <f>VLOOKUP(B191,R_DG!$A$1310:$G$1370,5,0)</f>
        <v>0</v>
      </c>
      <c r="H191" s="642">
        <f>VLOOKUP(B191,R_DG!$A$1310:$G$1370,6,0)</f>
        <v>322835.25</v>
      </c>
      <c r="I191" s="642">
        <f>VLOOKUP(B191,R_DG!$A$1310:$G$1370,7,0)</f>
        <v>65850.001272727284</v>
      </c>
      <c r="J191" s="639">
        <f t="shared" ca="1" si="33"/>
        <v>0</v>
      </c>
      <c r="K191" s="639">
        <f t="shared" ca="1" si="34"/>
        <v>0</v>
      </c>
      <c r="L191" s="639">
        <f t="shared" ca="1" si="35"/>
        <v>0</v>
      </c>
      <c r="M191" s="373">
        <f t="shared" si="32"/>
        <v>0</v>
      </c>
    </row>
    <row r="192" spans="2:13" ht="20.100000000000001" customHeight="1">
      <c r="B192" s="373" t="s">
        <v>4260</v>
      </c>
      <c r="C192" s="388" t="str">
        <f>VLOOKUP(B192,R_DG!$A$1310:$G$1370,2,0)</f>
        <v>EB.71030</v>
      </c>
      <c r="D192" s="399" t="str">
        <f>VLOOKUP(B192,R_DG!$A$1310:$G$1370,3,0)</f>
        <v>MCCB 3 cực 400V -630A - 35KA</v>
      </c>
      <c r="E192" s="390" t="str">
        <f>VLOOKUP(B192,R_DG!$A$1310:$G$1370,4,0)</f>
        <v>cái</v>
      </c>
      <c r="F192" s="388">
        <f ca="1">SUMIF(KLVT!$A$5:$A$1429,RIGHT(B192,LEN(B192)-5),KLVT!$F$5:$F$1429)</f>
        <v>0</v>
      </c>
      <c r="G192" s="642">
        <f>VLOOKUP(B192,R_DG!$A$1310:$G$1370,5,0)</f>
        <v>0</v>
      </c>
      <c r="H192" s="642">
        <f>VLOOKUP(B192,R_DG!$A$1310:$G$1370,6,0)</f>
        <v>322835.25</v>
      </c>
      <c r="I192" s="642">
        <f>VLOOKUP(B192,R_DG!$A$1310:$G$1370,7,0)</f>
        <v>65850.001272727284</v>
      </c>
      <c r="J192" s="639">
        <f t="shared" ca="1" si="33"/>
        <v>0</v>
      </c>
      <c r="K192" s="639">
        <f t="shared" ca="1" si="34"/>
        <v>0</v>
      </c>
      <c r="L192" s="639">
        <f t="shared" ca="1" si="35"/>
        <v>0</v>
      </c>
    </row>
    <row r="193" spans="2:12" ht="20.100000000000001" customHeight="1">
      <c r="B193" s="373" t="s">
        <v>4261</v>
      </c>
      <c r="C193" s="388" t="str">
        <f>VLOOKUP(B193,R_DG!$A$1310:$G$1370,2,0)</f>
        <v>EB.71020</v>
      </c>
      <c r="D193" s="399" t="str">
        <f>VLOOKUP(B193,R_DG!$A$1310:$G$1370,3,0)</f>
        <v>MCCB 3 cực 400V -1000A - 50KA</v>
      </c>
      <c r="E193" s="390" t="str">
        <f>VLOOKUP(B193,R_DG!$A$1310:$G$1370,4,0)</f>
        <v>cái</v>
      </c>
      <c r="F193" s="388">
        <f ca="1">SUMIF(KLVT!$A$5:$A$1429,RIGHT(B193,LEN(B193)-5),KLVT!$F$5:$F$1429)</f>
        <v>0</v>
      </c>
      <c r="G193" s="642">
        <f>VLOOKUP(B193,R_DG!$A$1310:$G$1370,5,0)</f>
        <v>0</v>
      </c>
      <c r="H193" s="642">
        <f>VLOOKUP(B193,R_DG!$A$1310:$G$1370,6,0)</f>
        <v>458752.8</v>
      </c>
      <c r="I193" s="642">
        <f>VLOOKUP(B193,R_DG!$A$1310:$G$1370,7,0)</f>
        <v>82022.069272727284</v>
      </c>
      <c r="J193" s="639">
        <f t="shared" ca="1" si="33"/>
        <v>0</v>
      </c>
      <c r="K193" s="639">
        <f t="shared" ca="1" si="34"/>
        <v>0</v>
      </c>
      <c r="L193" s="639">
        <f t="shared" ca="1" si="35"/>
        <v>0</v>
      </c>
    </row>
    <row r="194" spans="2:12" ht="20.100000000000001" customHeight="1">
      <c r="B194" s="373" t="s">
        <v>4263</v>
      </c>
      <c r="C194" s="388" t="str">
        <f>VLOOKUP(B194,R_DG!$A$1310:$G$1370,2,0)</f>
        <v>EB.71020</v>
      </c>
      <c r="D194" s="399" t="str">
        <f>VLOOKUP(B194,R_DG!$A$1310:$G$1370,3,0)</f>
        <v>MCCB 3 cực 400V -1250A - 85KA</v>
      </c>
      <c r="E194" s="390" t="str">
        <f>VLOOKUP(B194,R_DG!$A$1310:$G$1370,4,0)</f>
        <v>cái</v>
      </c>
      <c r="F194" s="388">
        <f ca="1">SUMIF(KLVT!$A$5:$A$1429,RIGHT(B194,LEN(B194)-5),KLVT!$F$5:$F$1429)</f>
        <v>0</v>
      </c>
      <c r="G194" s="642">
        <f>VLOOKUP(B194,R_DG!$A$1310:$G$1370,5,0)</f>
        <v>0</v>
      </c>
      <c r="H194" s="642">
        <f>VLOOKUP(B194,R_DG!$A$1310:$G$1370,6,0)</f>
        <v>458752.8</v>
      </c>
      <c r="I194" s="642">
        <f>VLOOKUP(B194,R_DG!$A$1310:$G$1370,7,0)</f>
        <v>82022.069272727284</v>
      </c>
      <c r="J194" s="639">
        <f t="shared" ca="1" si="33"/>
        <v>0</v>
      </c>
      <c r="K194" s="639">
        <f t="shared" ca="1" si="34"/>
        <v>0</v>
      </c>
      <c r="L194" s="639">
        <f t="shared" ca="1" si="35"/>
        <v>0</v>
      </c>
    </row>
    <row r="195" spans="2:12" ht="20.100000000000001" customHeight="1">
      <c r="C195" s="396" t="s">
        <v>2697</v>
      </c>
      <c r="D195" s="663" t="s">
        <v>2602</v>
      </c>
      <c r="E195" s="395"/>
      <c r="F195" s="640"/>
      <c r="G195" s="396"/>
      <c r="H195" s="396"/>
      <c r="I195" s="396"/>
      <c r="J195" s="641">
        <f t="shared" ref="J195:K195" ca="1" si="36">SUM(J159:J194)</f>
        <v>0</v>
      </c>
      <c r="K195" s="641">
        <f t="shared" ca="1" si="36"/>
        <v>0</v>
      </c>
      <c r="L195" s="641">
        <f ca="1">SUM(L159:L194)</f>
        <v>0</v>
      </c>
    </row>
    <row r="196" spans="2:12" ht="20.100000000000001" customHeight="1">
      <c r="C196" s="71" t="str">
        <f ca="1">SETTING!$O$16</f>
        <v>BẢNG 4: TỔNG HỢP CHI PHÍ THỬ NGHIỆM HIỆU CHỈNH</v>
      </c>
      <c r="D196" s="71"/>
      <c r="E196" s="71"/>
      <c r="F196" s="71"/>
      <c r="G196" s="71"/>
      <c r="H196" s="71"/>
      <c r="I196" s="71"/>
    </row>
    <row r="197" spans="2:12" ht="20.100000000000001" customHeight="1">
      <c r="C197" s="147"/>
      <c r="D197" s="147"/>
      <c r="E197" s="147"/>
      <c r="F197" s="643"/>
      <c r="G197" s="643"/>
      <c r="H197" s="643"/>
      <c r="I197" s="643"/>
    </row>
    <row r="198" spans="2:12" ht="20.100000000000001" customHeight="1">
      <c r="C198" s="1415" t="s">
        <v>2347</v>
      </c>
      <c r="D198" s="1415" t="s">
        <v>2360</v>
      </c>
      <c r="E198" s="579" t="s">
        <v>2605</v>
      </c>
      <c r="F198" s="1417" t="s">
        <v>2428</v>
      </c>
      <c r="G198" s="1418"/>
      <c r="H198" s="1417" t="s">
        <v>2429</v>
      </c>
      <c r="I198" s="1418"/>
    </row>
    <row r="199" spans="2:12" ht="20.100000000000001" customHeight="1">
      <c r="C199" s="1416"/>
      <c r="D199" s="1416"/>
      <c r="E199" s="580" t="s">
        <v>2606</v>
      </c>
      <c r="F199" s="391" t="s">
        <v>3877</v>
      </c>
      <c r="G199" s="391" t="s">
        <v>2348</v>
      </c>
      <c r="H199" s="391" t="s">
        <v>3877</v>
      </c>
      <c r="I199" s="391" t="s">
        <v>2348</v>
      </c>
    </row>
    <row r="200" spans="2:12" ht="20.100000000000001" customHeight="1">
      <c r="C200" s="384" t="s">
        <v>2361</v>
      </c>
      <c r="D200" s="148" t="s">
        <v>2362</v>
      </c>
      <c r="E200" s="384" t="s">
        <v>2363</v>
      </c>
      <c r="F200" s="624" t="s">
        <v>3878</v>
      </c>
      <c r="G200" s="632">
        <f>G201+G203+G205+G207</f>
        <v>0</v>
      </c>
      <c r="H200" s="624" t="s">
        <v>3878</v>
      </c>
      <c r="I200" s="632">
        <f>I201+I203+I205+I207</f>
        <v>0</v>
      </c>
    </row>
    <row r="201" spans="2:12" ht="20.100000000000001" customHeight="1">
      <c r="C201" s="376">
        <v>1</v>
      </c>
      <c r="D201" s="149" t="s">
        <v>2364</v>
      </c>
      <c r="E201" s="376" t="s">
        <v>2357</v>
      </c>
      <c r="F201" s="66" t="s">
        <v>2366</v>
      </c>
      <c r="G201" s="611">
        <f>G202</f>
        <v>0</v>
      </c>
      <c r="H201" s="66" t="s">
        <v>2366</v>
      </c>
      <c r="I201" s="611">
        <f>I202</f>
        <v>0</v>
      </c>
    </row>
    <row r="202" spans="2:12" ht="20.100000000000001" customHeight="1">
      <c r="C202" s="97"/>
      <c r="D202" s="121" t="s">
        <v>2611</v>
      </c>
      <c r="E202" s="97" t="s">
        <v>2366</v>
      </c>
      <c r="F202" s="644" t="s">
        <v>2369</v>
      </c>
      <c r="G202" s="645"/>
      <c r="H202" s="644" t="s">
        <v>2369</v>
      </c>
      <c r="I202" s="645"/>
    </row>
    <row r="203" spans="2:12" ht="20.100000000000001" customHeight="1">
      <c r="C203" s="376">
        <v>2</v>
      </c>
      <c r="D203" s="149" t="s">
        <v>2370</v>
      </c>
      <c r="E203" s="376" t="s">
        <v>2371</v>
      </c>
      <c r="F203" s="66" t="s">
        <v>3885</v>
      </c>
      <c r="G203" s="611">
        <f>G204</f>
        <v>0</v>
      </c>
      <c r="H203" s="66" t="s">
        <v>3885</v>
      </c>
      <c r="I203" s="611">
        <f>I204</f>
        <v>0</v>
      </c>
    </row>
    <row r="204" spans="2:12" ht="20.100000000000001" customHeight="1">
      <c r="C204" s="97"/>
      <c r="D204" s="121" t="s">
        <v>2612</v>
      </c>
      <c r="E204" s="97" t="s">
        <v>2372</v>
      </c>
      <c r="F204" s="644" t="str">
        <f>"NC x "&amp;HSNCTN</f>
        <v>NC x 1</v>
      </c>
      <c r="G204" s="645"/>
      <c r="H204" s="644" t="str">
        <f>"NC x "&amp;HSNCTN</f>
        <v>NC x 1</v>
      </c>
      <c r="I204" s="645"/>
    </row>
    <row r="205" spans="2:12" ht="20.100000000000001" customHeight="1">
      <c r="C205" s="376">
        <v>3</v>
      </c>
      <c r="D205" s="149" t="s">
        <v>2374</v>
      </c>
      <c r="E205" s="376" t="s">
        <v>2375</v>
      </c>
      <c r="F205" s="66" t="s">
        <v>2376</v>
      </c>
      <c r="G205" s="611">
        <f>G206</f>
        <v>0</v>
      </c>
      <c r="H205" s="66" t="s">
        <v>3886</v>
      </c>
      <c r="I205" s="611">
        <f>I206</f>
        <v>0</v>
      </c>
    </row>
    <row r="206" spans="2:12" ht="20.100000000000001" customHeight="1">
      <c r="C206" s="97"/>
      <c r="D206" s="121" t="s">
        <v>2613</v>
      </c>
      <c r="E206" s="97" t="s">
        <v>2376</v>
      </c>
      <c r="F206" s="644" t="str">
        <f>"M x "&amp;HSMTCTN</f>
        <v>M x 1</v>
      </c>
      <c r="G206" s="645"/>
      <c r="H206" s="644" t="str">
        <f>"M x "&amp;HSMTCTN</f>
        <v>M x 1</v>
      </c>
      <c r="I206" s="645"/>
    </row>
    <row r="207" spans="2:12" ht="20.100000000000001" customHeight="1">
      <c r="C207" s="376">
        <v>4</v>
      </c>
      <c r="D207" s="149" t="s">
        <v>2377</v>
      </c>
      <c r="E207" s="376" t="s">
        <v>2378</v>
      </c>
      <c r="F207" s="646" t="s">
        <v>3881</v>
      </c>
      <c r="G207" s="647">
        <f>2%*(G201+G203+G205)*0</f>
        <v>0</v>
      </c>
      <c r="H207" s="646" t="s">
        <v>3881</v>
      </c>
      <c r="I207" s="647">
        <f>2%*(I201+I203+I205)*0</f>
        <v>0</v>
      </c>
    </row>
    <row r="208" spans="2:12" ht="20.100000000000001" customHeight="1">
      <c r="C208" s="384" t="s">
        <v>2379</v>
      </c>
      <c r="D208" s="383" t="s">
        <v>2393</v>
      </c>
      <c r="E208" s="384" t="s">
        <v>2375</v>
      </c>
      <c r="F208" s="624" t="s">
        <v>3882</v>
      </c>
      <c r="G208" s="632">
        <f>65%*G203</f>
        <v>0</v>
      </c>
      <c r="H208" s="624" t="s">
        <v>3882</v>
      </c>
      <c r="I208" s="632">
        <f>65%*I203</f>
        <v>0</v>
      </c>
    </row>
    <row r="209" spans="3:14" ht="20.100000000000001" customHeight="1">
      <c r="C209" s="150"/>
      <c r="D209" s="151" t="s">
        <v>2700</v>
      </c>
      <c r="E209" s="150" t="s">
        <v>2388</v>
      </c>
      <c r="F209" s="648" t="s">
        <v>3860</v>
      </c>
      <c r="G209" s="649">
        <f>G200+G208</f>
        <v>0</v>
      </c>
      <c r="H209" s="648" t="s">
        <v>3860</v>
      </c>
      <c r="I209" s="649">
        <f>I200+I208</f>
        <v>0</v>
      </c>
    </row>
    <row r="210" spans="3:14" ht="20.100000000000001" customHeight="1">
      <c r="C210" s="384" t="s">
        <v>2380</v>
      </c>
      <c r="D210" s="383" t="s">
        <v>2395</v>
      </c>
      <c r="E210" s="384" t="s">
        <v>2381</v>
      </c>
      <c r="F210" s="624" t="s">
        <v>3862</v>
      </c>
      <c r="G210" s="632">
        <f>G209*6%</f>
        <v>0</v>
      </c>
      <c r="H210" s="624" t="s">
        <v>3862</v>
      </c>
      <c r="I210" s="632">
        <f>I209*6%</f>
        <v>0</v>
      </c>
    </row>
    <row r="211" spans="3:14" ht="20.100000000000001" customHeight="1">
      <c r="C211" s="152"/>
      <c r="D211" s="153" t="s">
        <v>2699</v>
      </c>
      <c r="E211" s="152" t="s">
        <v>2383</v>
      </c>
      <c r="F211" s="650" t="s">
        <v>3863</v>
      </c>
      <c r="G211" s="651">
        <f>G210+G209</f>
        <v>0</v>
      </c>
      <c r="H211" s="650" t="s">
        <v>3863</v>
      </c>
      <c r="I211" s="651">
        <f>I210+I209</f>
        <v>0</v>
      </c>
    </row>
    <row r="212" spans="3:14" ht="20.100000000000001" customHeight="1">
      <c r="C212" s="384" t="s">
        <v>2384</v>
      </c>
      <c r="D212" s="383" t="s">
        <v>2396</v>
      </c>
      <c r="E212" s="384" t="s">
        <v>2385</v>
      </c>
      <c r="F212" s="624" t="s">
        <v>3864</v>
      </c>
      <c r="G212" s="632">
        <f>G211*10%</f>
        <v>0</v>
      </c>
      <c r="H212" s="624" t="s">
        <v>3864</v>
      </c>
      <c r="I212" s="632">
        <f>I211*10%</f>
        <v>0</v>
      </c>
    </row>
    <row r="213" spans="3:14" ht="20.100000000000001" customHeight="1">
      <c r="C213" s="393" t="s">
        <v>2399</v>
      </c>
      <c r="D213" s="400" t="s">
        <v>2698</v>
      </c>
      <c r="E213" s="393" t="s">
        <v>2386</v>
      </c>
      <c r="F213" s="633" t="s">
        <v>3865</v>
      </c>
      <c r="G213" s="634">
        <f>G211+G212</f>
        <v>0</v>
      </c>
      <c r="H213" s="633" t="s">
        <v>3865</v>
      </c>
      <c r="I213" s="634">
        <f>I211+I212</f>
        <v>0</v>
      </c>
    </row>
    <row r="214" spans="3:14" ht="20.100000000000001" customHeight="1">
      <c r="C214" s="373"/>
      <c r="E214" s="373"/>
      <c r="F214" s="373"/>
    </row>
    <row r="218" spans="3:14" ht="20.100000000000001" customHeight="1">
      <c r="C218" s="71"/>
      <c r="D218" s="378"/>
      <c r="E218" s="378"/>
      <c r="H218" s="652" t="s">
        <v>3887</v>
      </c>
      <c r="I218" s="1455" t="s">
        <v>3888</v>
      </c>
      <c r="J218" s="1455" t="s">
        <v>3889</v>
      </c>
      <c r="K218" s="1455" t="s">
        <v>3890</v>
      </c>
      <c r="L218" s="1455" t="s">
        <v>3891</v>
      </c>
      <c r="M218" s="1455" t="s">
        <v>3892</v>
      </c>
      <c r="N218" s="1455" t="s">
        <v>2822</v>
      </c>
    </row>
    <row r="219" spans="3:14" ht="20.100000000000001" customHeight="1">
      <c r="C219" s="71" t="str">
        <f ca="1">SETTING!$O$21</f>
        <v>BẢNG 5: CHI PHÍ VẬN CHUYỂN ĐƯỜNG DÀI</v>
      </c>
      <c r="D219" s="378"/>
      <c r="E219" s="378"/>
      <c r="H219" s="653" t="s">
        <v>3893</v>
      </c>
      <c r="I219" s="1455"/>
      <c r="J219" s="1455"/>
      <c r="K219" s="1455"/>
      <c r="L219" s="1455"/>
      <c r="M219" s="1455"/>
      <c r="N219" s="1455"/>
    </row>
    <row r="220" spans="3:14" ht="20.100000000000001" customHeight="1">
      <c r="H220" s="654">
        <v>1</v>
      </c>
      <c r="I220" s="159">
        <v>6410</v>
      </c>
      <c r="J220" s="159">
        <v>7628</v>
      </c>
      <c r="K220" s="159">
        <v>11213</v>
      </c>
      <c r="L220" s="159">
        <v>16259</v>
      </c>
      <c r="M220" s="159">
        <v>23575</v>
      </c>
      <c r="N220" s="159">
        <v>28054</v>
      </c>
    </row>
    <row r="221" spans="3:14" ht="20.100000000000001" customHeight="1">
      <c r="C221" s="321" t="s">
        <v>2614</v>
      </c>
      <c r="D221" s="161" t="s">
        <v>2854</v>
      </c>
      <c r="E221" s="321" t="s">
        <v>2853</v>
      </c>
      <c r="H221" s="654">
        <v>2</v>
      </c>
      <c r="I221" s="159">
        <v>3548</v>
      </c>
      <c r="J221" s="159">
        <v>4223</v>
      </c>
      <c r="K221" s="159">
        <v>6207</v>
      </c>
      <c r="L221" s="159">
        <v>9001</v>
      </c>
      <c r="M221" s="159">
        <v>13051</v>
      </c>
      <c r="N221" s="159">
        <v>15530</v>
      </c>
    </row>
    <row r="222" spans="3:14" ht="20.100000000000001" customHeight="1">
      <c r="C222" s="355" t="s">
        <v>3416</v>
      </c>
      <c r="D222" s="163" t="s">
        <v>2615</v>
      </c>
      <c r="E222" s="355"/>
      <c r="H222" s="654">
        <v>3</v>
      </c>
      <c r="I222" s="159">
        <v>2553</v>
      </c>
      <c r="J222" s="159">
        <v>3038</v>
      </c>
      <c r="K222" s="159">
        <v>4465</v>
      </c>
      <c r="L222" s="159">
        <v>6475</v>
      </c>
      <c r="M222" s="159">
        <v>9388</v>
      </c>
      <c r="N222" s="159">
        <v>11172</v>
      </c>
    </row>
    <row r="223" spans="3:14" ht="20.100000000000001" customHeight="1">
      <c r="C223" s="372"/>
      <c r="D223" s="80" t="str">
        <f ca="1">CHUYENTRUDD&amp;" chuyến x 10 tấn x "&amp;E249&amp;"km x "&amp;VLOOKUP(E249,DMVCDD,RIGHT(C249,1)+1)&amp;" đ x 1,3 x 1,1"</f>
        <v>0 chuyến x 10 tấn x 140km x 498 đ x 1,3 x 1,1</v>
      </c>
      <c r="E223" s="333">
        <f ca="1">CHUYENTRUDD*10*E249*VLOOKUP(E249,DMVCDD,RIGHT(C249,1)+1)*1.3*1.1</f>
        <v>0</v>
      </c>
      <c r="F223" s="374" t="s">
        <v>3894</v>
      </c>
      <c r="G223" s="373" t="s">
        <v>3895</v>
      </c>
      <c r="H223" s="654">
        <v>4</v>
      </c>
      <c r="I223" s="159">
        <v>2089</v>
      </c>
      <c r="J223" s="159">
        <v>2486</v>
      </c>
      <c r="K223" s="159">
        <v>3654</v>
      </c>
      <c r="L223" s="159">
        <v>5298</v>
      </c>
      <c r="M223" s="159">
        <v>7683</v>
      </c>
      <c r="N223" s="159">
        <v>9143</v>
      </c>
    </row>
    <row r="224" spans="3:14" ht="20.100000000000001" customHeight="1">
      <c r="C224" s="355" t="s">
        <v>3417</v>
      </c>
      <c r="D224" s="163" t="s">
        <v>2616</v>
      </c>
      <c r="E224" s="355"/>
      <c r="F224" s="374" t="s">
        <v>3896</v>
      </c>
      <c r="H224" s="654">
        <v>5</v>
      </c>
      <c r="I224" s="159">
        <v>1830</v>
      </c>
      <c r="J224" s="159">
        <v>2178</v>
      </c>
      <c r="K224" s="159">
        <v>3202</v>
      </c>
      <c r="L224" s="159">
        <v>4643</v>
      </c>
      <c r="M224" s="159">
        <v>6732</v>
      </c>
      <c r="N224" s="159">
        <v>8010.9999999999991</v>
      </c>
    </row>
    <row r="225" spans="3:14" ht="20.100000000000001" customHeight="1">
      <c r="C225" s="372"/>
      <c r="D225" s="80" t="str">
        <f ca="1">CHUYENTRUDD&amp;" chuyến x 10 tấn x "&amp;E252&amp;"km x "&amp;VLOOKUP(E252,DMVCDD,RIGHT(C252,1)+1)&amp;" đ x 1,3 x 1,1"</f>
        <v>0 chuyến x 10 tấn x 20km x 1022 đ x 1,3 x 1,1</v>
      </c>
      <c r="E225" s="333">
        <f ca="1">CHUYENTRUDD*10*E252*VLOOKUP(E252,DMVCDD,RIGHT(C252,1)+1)*1.3*1.1</f>
        <v>0</v>
      </c>
      <c r="H225" s="654">
        <v>6</v>
      </c>
      <c r="I225" s="159">
        <v>1655</v>
      </c>
      <c r="J225" s="159">
        <v>1970</v>
      </c>
      <c r="K225" s="159">
        <v>2895</v>
      </c>
      <c r="L225" s="159">
        <v>4198</v>
      </c>
      <c r="M225" s="159">
        <v>6087</v>
      </c>
      <c r="N225" s="159">
        <v>7244</v>
      </c>
    </row>
    <row r="226" spans="3:14" ht="20.100000000000001" customHeight="1">
      <c r="C226" s="355" t="s">
        <v>3421</v>
      </c>
      <c r="D226" s="163" t="s">
        <v>2617</v>
      </c>
      <c r="E226" s="355"/>
      <c r="H226" s="654">
        <v>7</v>
      </c>
      <c r="I226" s="159">
        <v>1526</v>
      </c>
      <c r="J226" s="159">
        <v>1816</v>
      </c>
      <c r="K226" s="159">
        <v>2669</v>
      </c>
      <c r="L226" s="159">
        <v>3870</v>
      </c>
      <c r="M226" s="159">
        <v>5612</v>
      </c>
      <c r="N226" s="159">
        <v>6678</v>
      </c>
    </row>
    <row r="227" spans="3:14" ht="20.100000000000001" customHeight="1">
      <c r="C227" s="372"/>
      <c r="D227" s="80" t="str">
        <f ca="1">CHUYENPKDD&amp;" chuyến x 10 tấn x "&amp;E250&amp;"km x "&amp;VLOOKUP(E250,DMVCDD,RIGHT(C250,1)+1)&amp;" đ x 1,3 x 1,1"</f>
        <v>1 chuyến x 10 tấn x 140km x 498 đ x 1,3 x 1,1</v>
      </c>
      <c r="E227" s="333">
        <f ca="1">CHUYENPKDD*10*E250*VLOOKUP(E250,DMVCDD,RIGHT(C250,1)+1)*1.3*1.1</f>
        <v>996996.00000000012</v>
      </c>
      <c r="H227" s="654">
        <v>8</v>
      </c>
      <c r="I227" s="159">
        <v>1425</v>
      </c>
      <c r="J227" s="159">
        <v>1696</v>
      </c>
      <c r="K227" s="159">
        <v>2493</v>
      </c>
      <c r="L227" s="159">
        <v>3615</v>
      </c>
      <c r="M227" s="159">
        <v>5242</v>
      </c>
      <c r="N227" s="159">
        <v>6237</v>
      </c>
    </row>
    <row r="228" spans="3:14" ht="20.100000000000001" customHeight="1">
      <c r="C228" s="355" t="s">
        <v>3418</v>
      </c>
      <c r="D228" s="163" t="s">
        <v>2618</v>
      </c>
      <c r="E228" s="355"/>
      <c r="H228" s="654">
        <v>9</v>
      </c>
      <c r="I228" s="159">
        <v>1343</v>
      </c>
      <c r="J228" s="159">
        <v>1598</v>
      </c>
      <c r="K228" s="159">
        <v>2349</v>
      </c>
      <c r="L228" s="159">
        <v>3406</v>
      </c>
      <c r="M228" s="159">
        <v>4938</v>
      </c>
      <c r="N228" s="159">
        <v>5876</v>
      </c>
    </row>
    <row r="229" spans="3:14" ht="20.100000000000001" customHeight="1">
      <c r="C229" s="372"/>
      <c r="D229" s="80" t="str">
        <f ca="1">CHUYENPKDD&amp;" chuyến x 10 tấn x "&amp;E252&amp;"km x "&amp;VLOOKUP(E252,DMVCDD,RIGHT(C252,1)+1)&amp;" đ x 1,3 x 1,1"</f>
        <v>1 chuyến x 10 tấn x 20km x 1022 đ x 1,3 x 1,1</v>
      </c>
      <c r="E229" s="333">
        <f ca="1">CHUYENPKDD*10*E252*VLOOKUP(E252,DMVCDD,RIGHT(C252,1)+1)*1.3*1.1</f>
        <v>292292</v>
      </c>
      <c r="H229" s="654">
        <v>10</v>
      </c>
      <c r="I229" s="159">
        <v>1275</v>
      </c>
      <c r="J229" s="159">
        <v>1518</v>
      </c>
      <c r="K229" s="159">
        <v>2231</v>
      </c>
      <c r="L229" s="159">
        <v>3235</v>
      </c>
      <c r="M229" s="159">
        <v>4690</v>
      </c>
      <c r="N229" s="159">
        <v>5581</v>
      </c>
    </row>
    <row r="230" spans="3:14" ht="20.100000000000001" customHeight="1">
      <c r="C230" s="355" t="s">
        <v>3420</v>
      </c>
      <c r="D230" s="163" t="s">
        <v>2619</v>
      </c>
      <c r="E230" s="355"/>
      <c r="H230" s="654">
        <v>11</v>
      </c>
      <c r="I230" s="159">
        <v>1217</v>
      </c>
      <c r="J230" s="159">
        <v>1448</v>
      </c>
      <c r="K230" s="159">
        <v>2129</v>
      </c>
      <c r="L230" s="159">
        <v>3086</v>
      </c>
      <c r="M230" s="159">
        <v>4475</v>
      </c>
      <c r="N230" s="159">
        <v>5326</v>
      </c>
    </row>
    <row r="231" spans="3:14" ht="20.100000000000001" customHeight="1">
      <c r="C231" s="372"/>
      <c r="D231" s="80" t="str">
        <f ca="1">"2 lần x 0,05ca/tấn x "&amp;ROUND(KLPKDD/1000,1)&amp;"tấn x "&amp;TEXT(VLOOKUP("CAU5T",CAMAY,2,0),"#,###")&amp;" đồng/ca"</f>
        <v>2 lần x 0,05ca/tấn x 0,8tấn x 1502012,385 đồng/ca</v>
      </c>
      <c r="E231" s="333">
        <f ca="1">2*ROUND(KLPKDD/1000,1)*0.05*VLOOKUP("CAU5T",CAMAY,2,0)</f>
        <v>120160.99076923079</v>
      </c>
      <c r="H231" s="654">
        <v>12</v>
      </c>
      <c r="I231" s="159">
        <v>1163</v>
      </c>
      <c r="J231" s="159">
        <v>1384</v>
      </c>
      <c r="K231" s="159">
        <v>2033.9999999999998</v>
      </c>
      <c r="L231" s="159">
        <v>2950</v>
      </c>
      <c r="M231" s="159">
        <v>4277</v>
      </c>
      <c r="N231" s="159">
        <v>5090</v>
      </c>
    </row>
    <row r="232" spans="3:14" ht="20.100000000000001" customHeight="1">
      <c r="C232" s="355" t="s">
        <v>3419</v>
      </c>
      <c r="D232" s="163" t="s">
        <v>2620</v>
      </c>
      <c r="E232" s="355"/>
      <c r="H232" s="654">
        <v>13</v>
      </c>
      <c r="I232" s="159">
        <v>1108</v>
      </c>
      <c r="J232" s="159">
        <v>1318</v>
      </c>
      <c r="K232" s="159">
        <v>1938</v>
      </c>
      <c r="L232" s="159">
        <v>2810</v>
      </c>
      <c r="M232" s="159">
        <v>4075</v>
      </c>
      <c r="N232" s="159">
        <v>4849</v>
      </c>
    </row>
    <row r="233" spans="3:14" ht="20.100000000000001" customHeight="1">
      <c r="C233" s="372"/>
      <c r="D233" s="80" t="str">
        <f ca="1">"2 lần x 0,05ca/tấn x "&amp;ROUND(KLTRUDA/1000,1)&amp;"tấn x "&amp;TEXT(VLOOKUP("CAU10T",CAMAY,2,0),"#,###")&amp;" đồng/ca"&amp;" x 1,05"</f>
        <v>2 lần x 0,05ca/tấn x 0tấn x 2081520,87 đồng/ca x 1,05</v>
      </c>
      <c r="E233" s="333">
        <f ca="1">2*ROUND(KLTRUDA/1000,1)*0.05*VLOOKUP("CAU10T",CAMAY,2,0)*1.05</f>
        <v>0</v>
      </c>
      <c r="H233" s="654">
        <v>14</v>
      </c>
      <c r="I233" s="159">
        <v>1058</v>
      </c>
      <c r="J233" s="159">
        <v>1259</v>
      </c>
      <c r="K233" s="159">
        <v>1850</v>
      </c>
      <c r="L233" s="159">
        <v>2683</v>
      </c>
      <c r="M233" s="159">
        <v>3890</v>
      </c>
      <c r="N233" s="159">
        <v>4629</v>
      </c>
    </row>
    <row r="234" spans="3:14" ht="20.100000000000001" customHeight="1">
      <c r="C234" s="355" t="s">
        <v>3422</v>
      </c>
      <c r="D234" s="163" t="s">
        <v>2823</v>
      </c>
      <c r="E234" s="355"/>
      <c r="H234" s="654">
        <v>15</v>
      </c>
      <c r="I234" s="159">
        <v>1010.9999999999999</v>
      </c>
      <c r="J234" s="159">
        <v>1203</v>
      </c>
      <c r="K234" s="159">
        <v>1768</v>
      </c>
      <c r="L234" s="159">
        <v>2564</v>
      </c>
      <c r="M234" s="159">
        <v>3718</v>
      </c>
      <c r="N234" s="159">
        <v>4424</v>
      </c>
    </row>
    <row r="235" spans="3:14" ht="20.100000000000001" customHeight="1">
      <c r="C235" s="372"/>
      <c r="D235" s="80" t="str">
        <f ca="1">(CHUYENPKDD+CHUYENTRUDD)&amp;" chuyến x 25.000 đ/chuyến"</f>
        <v>1 chuyến x 25.000 đ/chuyến</v>
      </c>
      <c r="E235" s="333">
        <f ca="1">(CHUYENPKDD+CHUYENTRUDD)*25000</f>
        <v>25000</v>
      </c>
      <c r="H235" s="654">
        <v>16</v>
      </c>
      <c r="I235" s="159">
        <v>968</v>
      </c>
      <c r="J235" s="159">
        <v>1152</v>
      </c>
      <c r="K235" s="159">
        <v>1694</v>
      </c>
      <c r="L235" s="159">
        <v>2457</v>
      </c>
      <c r="M235" s="159">
        <v>3562</v>
      </c>
      <c r="N235" s="159">
        <v>4239</v>
      </c>
    </row>
    <row r="236" spans="3:14" ht="20.100000000000001" customHeight="1">
      <c r="C236" s="356" t="s">
        <v>2818</v>
      </c>
      <c r="D236" s="162" t="s">
        <v>2622</v>
      </c>
      <c r="E236" s="357">
        <f ca="1">SUM(E223:E235)</f>
        <v>1434448.9907692308</v>
      </c>
      <c r="H236" s="654">
        <v>17</v>
      </c>
      <c r="I236" s="159">
        <v>939</v>
      </c>
      <c r="J236" s="159">
        <v>1117</v>
      </c>
      <c r="K236" s="159">
        <v>1642</v>
      </c>
      <c r="L236" s="159">
        <v>2381</v>
      </c>
      <c r="M236" s="159">
        <v>3452</v>
      </c>
      <c r="N236" s="159">
        <v>4108</v>
      </c>
    </row>
    <row r="237" spans="3:14" ht="20.100000000000001" customHeight="1">
      <c r="C237" s="321" t="s">
        <v>2623</v>
      </c>
      <c r="D237" s="161" t="s">
        <v>2855</v>
      </c>
      <c r="E237" s="321" t="s">
        <v>2853</v>
      </c>
      <c r="H237" s="654">
        <v>18</v>
      </c>
      <c r="I237" s="159">
        <v>915</v>
      </c>
      <c r="J237" s="159">
        <v>1088</v>
      </c>
      <c r="K237" s="159">
        <v>1600</v>
      </c>
      <c r="L237" s="159">
        <v>2320</v>
      </c>
      <c r="M237" s="159">
        <v>3364</v>
      </c>
      <c r="N237" s="159">
        <v>4003</v>
      </c>
    </row>
    <row r="238" spans="3:14" ht="20.100000000000001" customHeight="1">
      <c r="C238" s="355" t="s">
        <v>3423</v>
      </c>
      <c r="D238" s="163" t="s">
        <v>2624</v>
      </c>
      <c r="E238" s="355"/>
      <c r="H238" s="654">
        <v>19</v>
      </c>
      <c r="I238" s="159">
        <v>888</v>
      </c>
      <c r="J238" s="159">
        <v>1057</v>
      </c>
      <c r="K238" s="159">
        <v>1554</v>
      </c>
      <c r="L238" s="159">
        <v>2253</v>
      </c>
      <c r="M238" s="159">
        <v>3266</v>
      </c>
      <c r="N238" s="159">
        <v>3887</v>
      </c>
    </row>
    <row r="239" spans="3:14" ht="20.100000000000001" customHeight="1">
      <c r="C239" s="372"/>
      <c r="D239" s="80" t="str">
        <f ca="1">CHUYENTBTBA&amp;" chuyến x 5 tấn x "&amp;E251&amp;"km x "&amp;VLOOKUP(E251,DMVCDD,RIGHT(C251,1)+1)&amp;" đ x 1,3 x 1,1"</f>
        <v>0 chuyến x 5 tấn x 140km x 498 đ x 1,3 x 1,1</v>
      </c>
      <c r="E239" s="333">
        <f ca="1">CHUYENTBTBA*5*E251*VLOOKUP(E251,DMVCDD,RIGHT(C251,1)+1)*1.3*1.1</f>
        <v>0</v>
      </c>
      <c r="H239" s="654">
        <v>20</v>
      </c>
      <c r="I239" s="159">
        <v>858</v>
      </c>
      <c r="J239" s="159">
        <v>1022</v>
      </c>
      <c r="K239" s="159">
        <v>1502</v>
      </c>
      <c r="L239" s="159">
        <v>2177</v>
      </c>
      <c r="M239" s="159">
        <v>3157</v>
      </c>
      <c r="N239" s="159">
        <v>3757</v>
      </c>
    </row>
    <row r="240" spans="3:14" ht="20.100000000000001" customHeight="1">
      <c r="C240" s="355" t="s">
        <v>3424</v>
      </c>
      <c r="D240" s="163" t="s">
        <v>2625</v>
      </c>
      <c r="E240" s="355"/>
      <c r="H240" s="654">
        <v>21</v>
      </c>
      <c r="I240" s="159">
        <v>824</v>
      </c>
      <c r="J240" s="159">
        <v>981</v>
      </c>
      <c r="K240" s="159">
        <v>1442</v>
      </c>
      <c r="L240" s="159">
        <v>2090</v>
      </c>
      <c r="M240" s="159">
        <v>3031</v>
      </c>
      <c r="N240" s="159">
        <v>3607</v>
      </c>
    </row>
    <row r="241" spans="3:14" ht="20.100000000000001" customHeight="1">
      <c r="C241" s="372"/>
      <c r="D241" s="80" t="str">
        <f ca="1">CHUYENTBTBA&amp;" chuyến x 5 tấn x "&amp;E252&amp;"km x "&amp;VLOOKUP(E252,DMVCDD,RIGHT(C252,1)+1)&amp;" đ x 1,3 x 1,1"</f>
        <v>0 chuyến x 5 tấn x 20km x 1022 đ x 1,3 x 1,1</v>
      </c>
      <c r="E241" s="333">
        <f ca="1">CHUYENTBTBA*5*E252*VLOOKUP(E252,DMVCDD,RIGHT(C252,1)+1)*1.3*1.1</f>
        <v>0</v>
      </c>
      <c r="H241" s="654">
        <v>22</v>
      </c>
      <c r="I241" s="159">
        <v>792</v>
      </c>
      <c r="J241" s="159">
        <v>943</v>
      </c>
      <c r="K241" s="159">
        <v>1386</v>
      </c>
      <c r="L241" s="159">
        <v>2009</v>
      </c>
      <c r="M241" s="159">
        <v>2913</v>
      </c>
      <c r="N241" s="159">
        <v>3467</v>
      </c>
    </row>
    <row r="242" spans="3:14" ht="20.100000000000001" customHeight="1">
      <c r="C242" s="355" t="s">
        <v>3425</v>
      </c>
      <c r="D242" s="163" t="s">
        <v>2824</v>
      </c>
      <c r="E242" s="355"/>
      <c r="H242" s="654">
        <v>23</v>
      </c>
      <c r="I242" s="159">
        <v>764</v>
      </c>
      <c r="J242" s="159">
        <v>909</v>
      </c>
      <c r="K242" s="159">
        <v>1336</v>
      </c>
      <c r="L242" s="159">
        <v>1937</v>
      </c>
      <c r="M242" s="159">
        <v>2808</v>
      </c>
      <c r="N242" s="159">
        <v>3342</v>
      </c>
    </row>
    <row r="243" spans="3:14" ht="20.100000000000001" customHeight="1">
      <c r="C243" s="372"/>
      <c r="D243" s="80" t="str">
        <f ca="1">"2 lần x 0,05ca/tấn x "&amp;ROUND(KLPKTBA/1000,1)&amp;"tấn x 576940 đ/ca x 1,05"</f>
        <v>2 lần x 0,05ca/tấn x 0tấn x 576940 đ/ca x 1,05</v>
      </c>
      <c r="E243" s="333">
        <f ca="1">2*ROUND(KLPKTBA/1000,1)*0.05*576940*1.05</f>
        <v>0</v>
      </c>
      <c r="H243" s="654">
        <v>24</v>
      </c>
      <c r="I243" s="159">
        <v>738</v>
      </c>
      <c r="J243" s="159">
        <v>879</v>
      </c>
      <c r="K243" s="159">
        <v>1291</v>
      </c>
      <c r="L243" s="159">
        <v>1873</v>
      </c>
      <c r="M243" s="159">
        <v>2715</v>
      </c>
      <c r="N243" s="159">
        <v>3231</v>
      </c>
    </row>
    <row r="244" spans="3:14" ht="20.100000000000001" customHeight="1">
      <c r="C244" s="355" t="s">
        <v>3426</v>
      </c>
      <c r="D244" s="163" t="s">
        <v>2621</v>
      </c>
      <c r="E244" s="355"/>
      <c r="H244" s="654">
        <v>25</v>
      </c>
      <c r="I244" s="159">
        <v>714</v>
      </c>
      <c r="J244" s="159">
        <v>850</v>
      </c>
      <c r="K244" s="159">
        <v>1250</v>
      </c>
      <c r="L244" s="159">
        <v>1812</v>
      </c>
      <c r="M244" s="159">
        <v>2627</v>
      </c>
      <c r="N244" s="159">
        <v>3127</v>
      </c>
    </row>
    <row r="245" spans="3:14" ht="20.100000000000001" customHeight="1">
      <c r="C245" s="372"/>
      <c r="D245" s="80" t="str">
        <f ca="1">CHUYENTBTBA&amp;" chuyến x 25.000 đ/chuyến"</f>
        <v>0 chuyến x 25.000 đ/chuyến</v>
      </c>
      <c r="E245" s="333">
        <f ca="1">CHUYENTBTBA*25000</f>
        <v>0</v>
      </c>
      <c r="H245" s="654">
        <v>26</v>
      </c>
      <c r="I245" s="159">
        <v>691</v>
      </c>
      <c r="J245" s="159">
        <v>823</v>
      </c>
      <c r="K245" s="159">
        <v>1209</v>
      </c>
      <c r="L245" s="159">
        <v>1754</v>
      </c>
      <c r="M245" s="159">
        <v>2543</v>
      </c>
      <c r="N245" s="159">
        <v>3026</v>
      </c>
    </row>
    <row r="246" spans="3:14" ht="20.100000000000001" customHeight="1">
      <c r="C246" s="356" t="s">
        <v>2819</v>
      </c>
      <c r="D246" s="162" t="s">
        <v>2825</v>
      </c>
      <c r="E246" s="357">
        <f ca="1">SUM(E239:E245)</f>
        <v>0</v>
      </c>
      <c r="H246" s="654">
        <v>27</v>
      </c>
      <c r="I246" s="159">
        <v>668</v>
      </c>
      <c r="J246" s="159">
        <v>796</v>
      </c>
      <c r="K246" s="159">
        <v>1169</v>
      </c>
      <c r="L246" s="159">
        <v>1696</v>
      </c>
      <c r="M246" s="159">
        <v>2459</v>
      </c>
      <c r="N246" s="159">
        <v>2926</v>
      </c>
    </row>
    <row r="247" spans="3:14" ht="20.100000000000001" customHeight="1">
      <c r="C247" s="321" t="s">
        <v>2677</v>
      </c>
      <c r="D247" s="161" t="s">
        <v>2826</v>
      </c>
      <c r="E247" s="358">
        <f ca="1">E246+E236</f>
        <v>1434448.9907692308</v>
      </c>
      <c r="H247" s="654">
        <v>28</v>
      </c>
      <c r="I247" s="159">
        <v>646</v>
      </c>
      <c r="J247" s="159">
        <v>768</v>
      </c>
      <c r="K247" s="159">
        <v>1129</v>
      </c>
      <c r="L247" s="159">
        <v>1638</v>
      </c>
      <c r="M247" s="159">
        <v>2374</v>
      </c>
      <c r="N247" s="159">
        <v>2826</v>
      </c>
    </row>
    <row r="248" spans="3:14" ht="20.100000000000001" customHeight="1">
      <c r="C248" s="160" t="s">
        <v>2821</v>
      </c>
      <c r="H248" s="654">
        <v>29</v>
      </c>
      <c r="I248" s="159">
        <v>624</v>
      </c>
      <c r="J248" s="159">
        <v>742</v>
      </c>
      <c r="K248" s="159">
        <v>1091</v>
      </c>
      <c r="L248" s="159">
        <v>1582</v>
      </c>
      <c r="M248" s="159">
        <v>2294</v>
      </c>
      <c r="N248" s="159">
        <v>2730</v>
      </c>
    </row>
    <row r="249" spans="3:14" ht="20.100000000000001" customHeight="1">
      <c r="C249" s="157" t="s">
        <v>2852</v>
      </c>
      <c r="D249" s="157" t="s">
        <v>2834</v>
      </c>
      <c r="E249" s="158">
        <v>140</v>
      </c>
      <c r="H249" s="654">
        <v>30</v>
      </c>
      <c r="I249" s="159">
        <v>604</v>
      </c>
      <c r="J249" s="159">
        <v>719</v>
      </c>
      <c r="K249" s="159">
        <v>1057</v>
      </c>
      <c r="L249" s="159">
        <v>1533</v>
      </c>
      <c r="M249" s="159">
        <v>2223</v>
      </c>
      <c r="N249" s="159">
        <v>2645</v>
      </c>
    </row>
    <row r="250" spans="3:14" ht="20.100000000000001" customHeight="1">
      <c r="C250" s="157" t="s">
        <v>2852</v>
      </c>
      <c r="D250" s="157" t="s">
        <v>2835</v>
      </c>
      <c r="E250" s="158">
        <v>140</v>
      </c>
      <c r="H250" s="654">
        <v>35</v>
      </c>
      <c r="I250" s="159">
        <v>592</v>
      </c>
      <c r="J250" s="159">
        <v>704</v>
      </c>
      <c r="K250" s="159">
        <v>1035</v>
      </c>
      <c r="L250" s="159">
        <v>1501</v>
      </c>
      <c r="M250" s="159">
        <v>2176</v>
      </c>
      <c r="N250" s="159">
        <v>2590</v>
      </c>
    </row>
    <row r="251" spans="3:14" ht="20.100000000000001" customHeight="1">
      <c r="C251" s="157" t="s">
        <v>2852</v>
      </c>
      <c r="D251" s="157" t="s">
        <v>2836</v>
      </c>
      <c r="E251" s="158">
        <v>140</v>
      </c>
      <c r="H251" s="654">
        <v>40</v>
      </c>
      <c r="I251" s="159">
        <v>576</v>
      </c>
      <c r="J251" s="159">
        <v>685</v>
      </c>
      <c r="K251" s="159">
        <v>1006.9999999999999</v>
      </c>
      <c r="L251" s="159">
        <v>1460</v>
      </c>
      <c r="M251" s="159">
        <v>2117</v>
      </c>
      <c r="N251" s="159">
        <v>2520</v>
      </c>
    </row>
    <row r="252" spans="3:14" ht="20.100000000000001" customHeight="1">
      <c r="C252" s="157" t="s">
        <v>2833</v>
      </c>
      <c r="D252" s="157" t="s">
        <v>2837</v>
      </c>
      <c r="E252" s="158">
        <v>20</v>
      </c>
      <c r="H252" s="654">
        <v>45</v>
      </c>
      <c r="I252" s="159">
        <v>570</v>
      </c>
      <c r="J252" s="159">
        <v>679</v>
      </c>
      <c r="K252" s="159">
        <v>998</v>
      </c>
      <c r="L252" s="159">
        <v>1447</v>
      </c>
      <c r="M252" s="159">
        <v>2098</v>
      </c>
      <c r="N252" s="159">
        <v>2497</v>
      </c>
    </row>
    <row r="253" spans="3:14" ht="20.100000000000001" customHeight="1">
      <c r="H253" s="654">
        <v>50</v>
      </c>
      <c r="I253" s="159">
        <v>564</v>
      </c>
      <c r="J253" s="159">
        <v>671</v>
      </c>
      <c r="K253" s="159">
        <v>986</v>
      </c>
      <c r="L253" s="159">
        <v>1430</v>
      </c>
      <c r="M253" s="159">
        <v>2073</v>
      </c>
      <c r="N253" s="159">
        <v>2467</v>
      </c>
    </row>
    <row r="254" spans="3:14" ht="20.100000000000001" customHeight="1">
      <c r="H254" s="654">
        <v>55</v>
      </c>
      <c r="I254" s="159">
        <v>536</v>
      </c>
      <c r="J254" s="159">
        <v>637</v>
      </c>
      <c r="K254" s="159">
        <v>937</v>
      </c>
      <c r="L254" s="159">
        <v>1359</v>
      </c>
      <c r="M254" s="159">
        <v>1970</v>
      </c>
      <c r="N254" s="159">
        <v>2345</v>
      </c>
    </row>
    <row r="255" spans="3:14" ht="20.100000000000001" customHeight="1">
      <c r="H255" s="654">
        <v>60</v>
      </c>
      <c r="I255" s="159">
        <v>527</v>
      </c>
      <c r="J255" s="159">
        <v>627</v>
      </c>
      <c r="K255" s="159">
        <v>921</v>
      </c>
      <c r="L255" s="159">
        <v>1336</v>
      </c>
      <c r="M255" s="159">
        <v>1937</v>
      </c>
      <c r="N255" s="159">
        <v>2305</v>
      </c>
    </row>
    <row r="256" spans="3:14" ht="20.100000000000001" customHeight="1">
      <c r="H256" s="654">
        <v>70</v>
      </c>
      <c r="I256" s="159">
        <v>518</v>
      </c>
      <c r="J256" s="159">
        <v>617</v>
      </c>
      <c r="K256" s="159">
        <v>907</v>
      </c>
      <c r="L256" s="159">
        <v>1315</v>
      </c>
      <c r="M256" s="159">
        <v>1907</v>
      </c>
      <c r="N256" s="159">
        <v>2269</v>
      </c>
    </row>
    <row r="257" spans="3:14" ht="20.100000000000001" customHeight="1">
      <c r="C257" s="71" t="e">
        <f ca="1">SETTING!$O$20</f>
        <v>#REF!</v>
      </c>
      <c r="D257" s="71"/>
      <c r="E257" s="71"/>
      <c r="H257" s="654">
        <v>80</v>
      </c>
      <c r="I257" s="159">
        <v>512</v>
      </c>
      <c r="J257" s="159">
        <v>609</v>
      </c>
      <c r="K257" s="159">
        <v>895</v>
      </c>
      <c r="L257" s="159">
        <v>1298</v>
      </c>
      <c r="M257" s="159">
        <v>1882</v>
      </c>
      <c r="N257" s="159">
        <v>2239</v>
      </c>
    </row>
    <row r="258" spans="3:14" ht="20.100000000000001" customHeight="1">
      <c r="D258" s="374"/>
      <c r="H258" s="654">
        <v>90</v>
      </c>
      <c r="I258" s="159">
        <v>506</v>
      </c>
      <c r="J258" s="159">
        <v>602</v>
      </c>
      <c r="K258" s="159">
        <v>885</v>
      </c>
      <c r="L258" s="159">
        <v>1283</v>
      </c>
      <c r="M258" s="159">
        <v>1861</v>
      </c>
      <c r="N258" s="159">
        <v>2214</v>
      </c>
    </row>
    <row r="259" spans="3:14" ht="20.100000000000001" customHeight="1">
      <c r="C259" s="380" t="s">
        <v>2626</v>
      </c>
      <c r="D259" s="371"/>
      <c r="H259" s="654">
        <v>100</v>
      </c>
      <c r="I259" s="159">
        <v>501</v>
      </c>
      <c r="J259" s="159">
        <v>597</v>
      </c>
      <c r="K259" s="159">
        <v>877</v>
      </c>
      <c r="L259" s="159">
        <v>1272</v>
      </c>
      <c r="M259" s="159">
        <v>1844</v>
      </c>
      <c r="N259" s="159">
        <v>2194</v>
      </c>
    </row>
    <row r="260" spans="3:14" ht="20.100000000000001" customHeight="1">
      <c r="C260" s="112" t="e">
        <f ca="1">"= "&amp;HSTVTK&amp;" % x (Gxd + Gtb) trước thuế x 1,1 "</f>
        <v>#REF!</v>
      </c>
      <c r="D260" s="371" t="s">
        <v>2627</v>
      </c>
      <c r="H260" s="654">
        <v>101</v>
      </c>
      <c r="I260" s="159">
        <v>498</v>
      </c>
      <c r="J260" s="159">
        <v>593</v>
      </c>
      <c r="K260" s="159">
        <v>871</v>
      </c>
      <c r="L260" s="159">
        <v>1263</v>
      </c>
      <c r="M260" s="159">
        <v>1831</v>
      </c>
      <c r="N260" s="159">
        <v>2179</v>
      </c>
    </row>
    <row r="261" spans="3:14" ht="20.100000000000001" customHeight="1">
      <c r="C261" s="373" t="e">
        <f ca="1">"= "&amp;HSTVTK&amp;"% x "&amp;TEXT(ROUND((th_gxdtt + th_gtbtt),0),"#,###")&amp;" đ x 1,1"</f>
        <v>#REF!</v>
      </c>
      <c r="D261" s="371" t="s">
        <v>2627</v>
      </c>
      <c r="E261" s="164" t="e">
        <f ca="1">HSTVTK%*ROUND((th_gxdtt + th_gtbtt),0)*1.1</f>
        <v>#REF!</v>
      </c>
    </row>
    <row r="262" spans="3:14" ht="20.100000000000001" customHeight="1">
      <c r="C262" s="373" t="s">
        <v>2628</v>
      </c>
      <c r="D262" s="371"/>
    </row>
    <row r="263" spans="3:14" ht="20.100000000000001" customHeight="1">
      <c r="C263" s="373" t="e">
        <f ca="1">"  + "&amp;HSTVTK&amp;"% là hệ số nội suy theo QĐ 79/QĐ - BXD"</f>
        <v>#REF!</v>
      </c>
      <c r="D263" s="371"/>
    </row>
    <row r="264" spans="3:14" ht="20.100000000000001" customHeight="1">
      <c r="C264" s="124" t="e">
        <f ca="1">"  + Vốn XD+TB trước thuế tạm tính   =  "&amp;TEXT(ROUND((th_gtbtt+th_gxdtt),0),"#,###")&amp;" VNĐ"</f>
        <v>#REF!</v>
      </c>
      <c r="D264" s="371"/>
    </row>
    <row r="265" spans="3:14" ht="20.100000000000001" customHeight="1">
      <c r="C265" s="373" t="s">
        <v>2827</v>
      </c>
      <c r="D265" s="371"/>
    </row>
    <row r="266" spans="3:14" ht="20.100000000000001" customHeight="1">
      <c r="C266" s="373" t="s">
        <v>2828</v>
      </c>
      <c r="D266" s="371"/>
    </row>
    <row r="267" spans="3:14" ht="20.100000000000001" customHeight="1">
      <c r="C267" s="373" t="s">
        <v>4943</v>
      </c>
      <c r="D267" s="371"/>
    </row>
    <row r="271" spans="3:14" ht="20.100000000000001" customHeight="1">
      <c r="C271" s="71"/>
      <c r="D271" s="378"/>
      <c r="E271" s="378"/>
      <c r="F271" s="378"/>
      <c r="G271" s="378"/>
      <c r="H271" s="378"/>
      <c r="I271" s="378"/>
      <c r="J271" s="378"/>
      <c r="K271" s="378"/>
      <c r="L271" s="378"/>
      <c r="M271" s="378"/>
    </row>
    <row r="272" spans="3:14" ht="20.100000000000001" customHeight="1">
      <c r="C272" s="71" t="e">
        <f>SETTING!$O$19</f>
        <v>#REF!</v>
      </c>
      <c r="D272" s="378"/>
      <c r="E272" s="378"/>
      <c r="F272" s="378"/>
      <c r="G272" s="378"/>
      <c r="H272" s="378"/>
      <c r="I272" s="378"/>
      <c r="J272" s="378"/>
      <c r="K272" s="378"/>
      <c r="L272" s="378"/>
      <c r="M272" s="378"/>
    </row>
    <row r="274" spans="3:13" ht="20.100000000000001" customHeight="1">
      <c r="C274" s="165" t="s">
        <v>1</v>
      </c>
      <c r="D274" s="165" t="s">
        <v>2712</v>
      </c>
      <c r="E274" s="165" t="s">
        <v>2713</v>
      </c>
      <c r="F274" s="575" t="s">
        <v>2714</v>
      </c>
      <c r="G274" s="165" t="s">
        <v>2715</v>
      </c>
      <c r="H274" s="1456" t="s">
        <v>2141</v>
      </c>
      <c r="I274" s="1456"/>
      <c r="J274" s="1456"/>
      <c r="K274" s="1456" t="s">
        <v>2348</v>
      </c>
      <c r="L274" s="1456"/>
      <c r="M274" s="1456"/>
    </row>
    <row r="275" spans="3:13" ht="20.100000000000001" customHeight="1">
      <c r="C275" s="154"/>
      <c r="D275" s="154"/>
      <c r="E275" s="154"/>
      <c r="F275" s="154"/>
      <c r="G275" s="154"/>
      <c r="H275" s="655" t="s">
        <v>3</v>
      </c>
      <c r="I275" s="655" t="s">
        <v>4</v>
      </c>
      <c r="J275" s="146" t="s">
        <v>5</v>
      </c>
      <c r="K275" s="655" t="s">
        <v>3</v>
      </c>
      <c r="L275" s="655" t="s">
        <v>4</v>
      </c>
      <c r="M275" s="655" t="s">
        <v>5</v>
      </c>
    </row>
    <row r="276" spans="3:13" ht="20.100000000000001" customHeight="1">
      <c r="C276" s="154" t="str">
        <f>"CO.01103-"&amp;SETTING!$D$5</f>
        <v>CO.01103-3</v>
      </c>
      <c r="D276" s="154" t="s">
        <v>2716</v>
      </c>
      <c r="E276" s="146" t="s">
        <v>2717</v>
      </c>
      <c r="F276" s="656">
        <f ca="1">SUMIF(maBK,"KC",tongBK1)/100</f>
        <v>40.965470000000003</v>
      </c>
      <c r="G276" s="656">
        <v>1</v>
      </c>
      <c r="H276" s="155">
        <v>33118</v>
      </c>
      <c r="I276" s="155">
        <f>VLOOKUP(C276,DONGIA,6,0)</f>
        <v>606310</v>
      </c>
      <c r="J276" s="155">
        <v>4324</v>
      </c>
      <c r="K276" s="657">
        <f ca="1">H276*F276</f>
        <v>1356694.4354600001</v>
      </c>
      <c r="L276" s="657">
        <f ca="1">I276*F276</f>
        <v>24837774.115700003</v>
      </c>
      <c r="M276" s="657">
        <f ca="1">J276*F276</f>
        <v>177134.69228000002</v>
      </c>
    </row>
    <row r="277" spans="3:13" ht="20.100000000000001" customHeight="1">
      <c r="C277" s="154" t="str">
        <f>"CO.01203-"&amp;SETTING!$D$5</f>
        <v>CO.01203-3</v>
      </c>
      <c r="D277" s="154" t="s">
        <v>2718</v>
      </c>
      <c r="E277" s="146" t="s">
        <v>2717</v>
      </c>
      <c r="F277" s="656">
        <f ca="1">0.5*F276</f>
        <v>20.482735000000002</v>
      </c>
      <c r="G277" s="656">
        <v>1</v>
      </c>
      <c r="H277" s="155">
        <v>44322</v>
      </c>
      <c r="I277" s="155">
        <f>VLOOKUP(C277,DONGIA,6,0)</f>
        <v>787992</v>
      </c>
      <c r="J277" s="155">
        <v>9220</v>
      </c>
      <c r="K277" s="657">
        <f ca="1">H277*F277</f>
        <v>907835.78067000012</v>
      </c>
      <c r="L277" s="657">
        <f ca="1">I277*F277</f>
        <v>16140231.318120001</v>
      </c>
      <c r="M277" s="657">
        <f ca="1">J277*F277</f>
        <v>188850.81670000002</v>
      </c>
    </row>
    <row r="278" spans="3:13" ht="20.100000000000001" customHeight="1">
      <c r="C278" s="166"/>
      <c r="D278" s="576" t="s">
        <v>2719</v>
      </c>
      <c r="E278" s="166"/>
      <c r="F278" s="166"/>
      <c r="G278" s="166"/>
      <c r="H278" s="166"/>
      <c r="I278" s="166"/>
      <c r="J278" s="166"/>
      <c r="K278" s="658">
        <f ca="1">K276+K277</f>
        <v>2264530.2161300001</v>
      </c>
      <c r="L278" s="658">
        <f t="shared" ref="L278:M278" ca="1" si="37">L276+L277</f>
        <v>40978005.433820002</v>
      </c>
      <c r="M278" s="658">
        <f t="shared" ca="1" si="37"/>
        <v>365985.50898000004</v>
      </c>
    </row>
    <row r="279" spans="3:13" ht="20.100000000000001" customHeight="1">
      <c r="C279" s="374" t="s">
        <v>4123</v>
      </c>
      <c r="G279" s="373" t="s">
        <v>4121</v>
      </c>
      <c r="H279" s="768">
        <v>33118</v>
      </c>
      <c r="I279" s="768">
        <v>712147</v>
      </c>
      <c r="J279" s="768">
        <v>4324</v>
      </c>
    </row>
    <row r="280" spans="3:13" ht="20.100000000000001" customHeight="1">
      <c r="G280" s="373" t="s">
        <v>4122</v>
      </c>
      <c r="H280" s="769">
        <f>H279*2/2.35</f>
        <v>28185.531914893614</v>
      </c>
      <c r="I280" s="769">
        <f t="shared" ref="I280:J280" si="38">I279*2/2.35</f>
        <v>606082.55319148931</v>
      </c>
      <c r="J280" s="769">
        <f t="shared" si="38"/>
        <v>3680</v>
      </c>
    </row>
    <row r="283" spans="3:13" ht="20.100000000000001" customHeight="1">
      <c r="C283" s="71"/>
      <c r="D283" s="378"/>
      <c r="E283" s="378"/>
      <c r="F283" s="378"/>
      <c r="G283" s="378"/>
    </row>
    <row r="284" spans="3:13" ht="20.100000000000001" customHeight="1">
      <c r="C284" s="177" t="e">
        <f>SETTING!$O$18</f>
        <v>#REF!</v>
      </c>
      <c r="D284" s="378"/>
      <c r="E284" s="378"/>
      <c r="F284" s="378"/>
      <c r="G284" s="378"/>
    </row>
    <row r="286" spans="3:13" ht="20.100000000000001" customHeight="1">
      <c r="C286" s="167" t="s">
        <v>2347</v>
      </c>
      <c r="D286" s="391" t="s">
        <v>2360</v>
      </c>
      <c r="E286" s="391" t="s">
        <v>2720</v>
      </c>
      <c r="F286" s="391" t="s">
        <v>3877</v>
      </c>
      <c r="G286" s="391" t="s">
        <v>2348</v>
      </c>
    </row>
    <row r="287" spans="3:13" ht="20.100000000000001" customHeight="1">
      <c r="C287" s="170" t="s">
        <v>2361</v>
      </c>
      <c r="D287" s="171" t="s">
        <v>2362</v>
      </c>
      <c r="E287" s="172" t="s">
        <v>3014</v>
      </c>
      <c r="F287" s="659" t="s">
        <v>3897</v>
      </c>
      <c r="G287" s="660">
        <f>G288+G290+G292</f>
        <v>0</v>
      </c>
    </row>
    <row r="288" spans="3:13" ht="20.100000000000001" customHeight="1">
      <c r="C288" s="173">
        <v>1</v>
      </c>
      <c r="D288" s="174" t="s">
        <v>2364</v>
      </c>
      <c r="E288" s="175" t="s">
        <v>3006</v>
      </c>
      <c r="F288" s="661" t="s">
        <v>3009</v>
      </c>
      <c r="G288" s="662">
        <f>SUM(G289:G289)</f>
        <v>0</v>
      </c>
    </row>
    <row r="289" spans="3:9" ht="20.100000000000001" customHeight="1">
      <c r="C289" s="387"/>
      <c r="D289" s="176" t="s">
        <v>2721</v>
      </c>
      <c r="E289" s="376" t="s">
        <v>3009</v>
      </c>
      <c r="F289" s="66" t="s">
        <v>3</v>
      </c>
      <c r="G289" s="609"/>
    </row>
    <row r="290" spans="3:9" ht="20.100000000000001" customHeight="1">
      <c r="C290" s="173">
        <v>2</v>
      </c>
      <c r="D290" s="174" t="s">
        <v>2370</v>
      </c>
      <c r="E290" s="175" t="s">
        <v>3007</v>
      </c>
      <c r="F290" s="661" t="s">
        <v>3010</v>
      </c>
      <c r="G290" s="662">
        <f>SUM(G291:G291)</f>
        <v>0</v>
      </c>
    </row>
    <row r="291" spans="3:9" ht="20.100000000000001" customHeight="1">
      <c r="C291" s="387"/>
      <c r="D291" s="176" t="s">
        <v>2722</v>
      </c>
      <c r="E291" s="376" t="s">
        <v>3010</v>
      </c>
      <c r="F291" s="66" t="str">
        <f>"NC x "&amp;HSNCKS</f>
        <v>NC x 1</v>
      </c>
      <c r="G291" s="609"/>
    </row>
    <row r="292" spans="3:9" ht="20.100000000000001" customHeight="1">
      <c r="C292" s="173">
        <v>3</v>
      </c>
      <c r="D292" s="174" t="s">
        <v>2374</v>
      </c>
      <c r="E292" s="175" t="s">
        <v>3008</v>
      </c>
      <c r="F292" s="661" t="s">
        <v>3011</v>
      </c>
      <c r="G292" s="662">
        <f>SUM(G293:G293)</f>
        <v>0</v>
      </c>
    </row>
    <row r="293" spans="3:9" ht="20.100000000000001" customHeight="1">
      <c r="C293" s="392"/>
      <c r="D293" s="382" t="s">
        <v>2723</v>
      </c>
      <c r="E293" s="375" t="s">
        <v>3011</v>
      </c>
      <c r="F293" s="50" t="str">
        <f>"M x "&amp;HSMTCKS</f>
        <v>M x 1</v>
      </c>
      <c r="G293" s="607"/>
    </row>
    <row r="294" spans="3:9" ht="20.100000000000001" customHeight="1">
      <c r="C294" s="168" t="s">
        <v>2379</v>
      </c>
      <c r="D294" s="383" t="s">
        <v>2724</v>
      </c>
      <c r="E294" s="384" t="s">
        <v>3012</v>
      </c>
      <c r="F294" s="631" t="s">
        <v>3898</v>
      </c>
      <c r="G294" s="632">
        <f>65%*G290</f>
        <v>0</v>
      </c>
    </row>
    <row r="295" spans="3:9" ht="20.100000000000001" customHeight="1">
      <c r="C295" s="168" t="s">
        <v>2380</v>
      </c>
      <c r="D295" s="383" t="s">
        <v>2725</v>
      </c>
      <c r="E295" s="384" t="s">
        <v>3004</v>
      </c>
      <c r="F295" s="631" t="s">
        <v>3899</v>
      </c>
      <c r="G295" s="632">
        <f>6%*(G287+G294)</f>
        <v>0</v>
      </c>
    </row>
    <row r="296" spans="3:9" ht="20.100000000000001" customHeight="1">
      <c r="C296" s="168" t="s">
        <v>2384</v>
      </c>
      <c r="D296" s="383" t="s">
        <v>2997</v>
      </c>
      <c r="E296" s="384" t="s">
        <v>2998</v>
      </c>
      <c r="F296" s="631" t="s">
        <v>3900</v>
      </c>
      <c r="G296" s="632">
        <f>2%*(G287+G294+G295)</f>
        <v>0</v>
      </c>
    </row>
    <row r="297" spans="3:9" ht="20.100000000000001" customHeight="1">
      <c r="C297" s="168" t="s">
        <v>2399</v>
      </c>
      <c r="D297" s="383" t="s">
        <v>2999</v>
      </c>
      <c r="E297" s="384" t="s">
        <v>3005</v>
      </c>
      <c r="F297" s="631" t="s">
        <v>3901</v>
      </c>
      <c r="G297" s="632">
        <f>3%*(G287+G294+G295)</f>
        <v>0</v>
      </c>
      <c r="I297" s="156"/>
    </row>
    <row r="298" spans="3:9" ht="20.100000000000001" customHeight="1">
      <c r="C298" s="168" t="s">
        <v>2727</v>
      </c>
      <c r="D298" s="383" t="s">
        <v>3000</v>
      </c>
      <c r="E298" s="384" t="s">
        <v>3013</v>
      </c>
      <c r="F298" s="631" t="s">
        <v>3902</v>
      </c>
      <c r="G298" s="632">
        <f>2.5%*(G287+G294+G295)</f>
        <v>0</v>
      </c>
    </row>
    <row r="299" spans="3:9" ht="20.100000000000001" customHeight="1">
      <c r="C299" s="168" t="s">
        <v>3017</v>
      </c>
      <c r="D299" s="383" t="s">
        <v>3001</v>
      </c>
      <c r="E299" s="384" t="s">
        <v>2726</v>
      </c>
      <c r="F299" s="631" t="s">
        <v>3903</v>
      </c>
      <c r="G299" s="632">
        <f>G287+G294+G295+G296+G297+G298</f>
        <v>0</v>
      </c>
    </row>
    <row r="300" spans="3:9" ht="20.100000000000001" customHeight="1">
      <c r="C300" s="168" t="s">
        <v>3018</v>
      </c>
      <c r="D300" s="383" t="s">
        <v>3002</v>
      </c>
      <c r="E300" s="384" t="s">
        <v>3015</v>
      </c>
      <c r="F300" s="631" t="s">
        <v>3904</v>
      </c>
      <c r="G300" s="632">
        <f>10%*G299</f>
        <v>0</v>
      </c>
    </row>
    <row r="301" spans="3:9" ht="20.100000000000001" customHeight="1">
      <c r="C301" s="168" t="s">
        <v>3019</v>
      </c>
      <c r="D301" s="383" t="s">
        <v>3003</v>
      </c>
      <c r="E301" s="384" t="s">
        <v>398</v>
      </c>
      <c r="F301" s="631" t="s">
        <v>3905</v>
      </c>
      <c r="G301" s="632">
        <f>G300+G299</f>
        <v>0</v>
      </c>
    </row>
    <row r="302" spans="3:9" ht="20.100000000000001" customHeight="1">
      <c r="C302" s="169" t="s">
        <v>3020</v>
      </c>
      <c r="D302" s="400" t="s">
        <v>2427</v>
      </c>
      <c r="E302" s="393" t="s">
        <v>3016</v>
      </c>
      <c r="F302" s="633" t="s">
        <v>3906</v>
      </c>
      <c r="G302" s="634">
        <f>10%*G301</f>
        <v>0</v>
      </c>
    </row>
    <row r="313" spans="3:6" ht="20.100000000000001" customHeight="1">
      <c r="C313" s="71" t="s">
        <v>2858</v>
      </c>
      <c r="D313" s="71"/>
    </row>
    <row r="314" spans="3:6" ht="20.100000000000001" customHeight="1">
      <c r="C314" s="373"/>
    </row>
    <row r="315" spans="3:6" ht="20.100000000000001" customHeight="1">
      <c r="C315" s="380" t="s">
        <v>2431</v>
      </c>
      <c r="D315" s="380" t="s">
        <v>2859</v>
      </c>
    </row>
    <row r="316" spans="3:6" ht="60.75" customHeight="1">
      <c r="C316" s="373" t="s">
        <v>2860</v>
      </c>
      <c r="D316" s="185" t="str">
        <f>"    Công trình: "&amp;SETTING!$K$2&amp;" do "&amp;SETTING!$K$5&amp;" thực hiện với quy mô như sau:"</f>
        <v xml:space="preserve">    Công trình: ĐƯỜNG XUÂN BẮC  - BẢO QUANG.  do CÔNG TY TNHH TRANG SONG ANH thực hiện với quy mô như sau:</v>
      </c>
    </row>
    <row r="317" spans="3:6" ht="20.100000000000001" customHeight="1">
      <c r="C317" s="192">
        <v>1.1000000000000001</v>
      </c>
      <c r="D317" s="191" t="s">
        <v>2861</v>
      </c>
    </row>
    <row r="318" spans="3:6" ht="20.100000000000001" customHeight="1">
      <c r="C318" s="184" t="s">
        <v>2866</v>
      </c>
      <c r="D318" s="397" t="str">
        <f ca="1">R_SETTING!$B$125&amp;": "&amp;R_SETTING!$C$125</f>
        <v>: 4096,547</v>
      </c>
      <c r="F318" s="373"/>
    </row>
    <row r="319" spans="3:6" ht="20.100000000000001" customHeight="1">
      <c r="C319" s="184" t="s">
        <v>2866</v>
      </c>
      <c r="D319" s="397"/>
      <c r="F319" s="373"/>
    </row>
    <row r="320" spans="3:6" ht="20.100000000000001" customHeight="1">
      <c r="C320" s="184" t="s">
        <v>2866</v>
      </c>
      <c r="D320" s="397"/>
      <c r="F320" s="373"/>
    </row>
    <row r="321" spans="3:6" ht="20.100000000000001" customHeight="1">
      <c r="C321" s="184" t="s">
        <v>2866</v>
      </c>
      <c r="D321" s="397"/>
      <c r="F321" s="373"/>
    </row>
    <row r="322" spans="3:6" ht="20.100000000000001" customHeight="1">
      <c r="C322" s="184" t="s">
        <v>2866</v>
      </c>
      <c r="D322" s="397"/>
      <c r="F322" s="373"/>
    </row>
    <row r="323" spans="3:6" ht="20.100000000000001" customHeight="1">
      <c r="C323" s="184" t="s">
        <v>2866</v>
      </c>
      <c r="D323" s="397"/>
      <c r="F323" s="373"/>
    </row>
    <row r="324" spans="3:6" ht="20.100000000000001" customHeight="1">
      <c r="C324" s="189">
        <v>1.2</v>
      </c>
      <c r="D324" s="191" t="s">
        <v>2862</v>
      </c>
    </row>
    <row r="325" spans="3:6" ht="20.100000000000001" customHeight="1">
      <c r="C325" s="184" t="s">
        <v>2866</v>
      </c>
      <c r="D325" s="112" t="str">
        <f>"Loại trạm: "&amp;R_SETTING!$B$112</f>
        <v xml:space="preserve">Loại trạm: x37,5kVA: 0 trạm </v>
      </c>
    </row>
    <row r="326" spans="3:6" ht="20.100000000000001" customHeight="1">
      <c r="C326" s="184" t="s">
        <v>2866</v>
      </c>
      <c r="D326" s="112" t="str">
        <f>"Loại trạm: "&amp;R_SETTING!$B$113</f>
        <v xml:space="preserve">Loại trạm: 1x50kVA: 01 trạm </v>
      </c>
    </row>
    <row r="327" spans="3:6" ht="20.100000000000001" customHeight="1">
      <c r="C327" s="184" t="s">
        <v>2866</v>
      </c>
      <c r="D327" s="112" t="str">
        <f>"Loại trạm: "&amp;R_SETTING!$B$114</f>
        <v xml:space="preserve">Loại trạm: x75kVA: 0 trạm </v>
      </c>
    </row>
    <row r="328" spans="3:6" ht="20.100000000000001" customHeight="1">
      <c r="C328" s="184" t="s">
        <v>2866</v>
      </c>
      <c r="D328" s="112" t="str">
        <f>"Loại trạm: "&amp;R_SETTING!$B$115</f>
        <v xml:space="preserve">Loại trạm: x100kVA: 0 trạm </v>
      </c>
    </row>
    <row r="329" spans="3:6" ht="20.100000000000001" customHeight="1">
      <c r="C329" s="184" t="s">
        <v>2866</v>
      </c>
      <c r="D329" s="112" t="str">
        <f>"Loại trạm: "&amp;R_SETTING!$B$116</f>
        <v xml:space="preserve">Loại trạm: x160kVA: 0 trạm </v>
      </c>
      <c r="F329" s="374">
        <f t="shared" ref="F329:F336" si="39">_xlfn.NUMBERVALUE(LEFT(RIGHT(D329,7),1))</f>
        <v>0</v>
      </c>
    </row>
    <row r="330" spans="3:6" ht="20.100000000000001" customHeight="1">
      <c r="C330" s="184" t="s">
        <v>2866</v>
      </c>
      <c r="D330" s="112" t="str">
        <f>"Loại trạm: "&amp;R_SETTING!$B$117</f>
        <v xml:space="preserve">Loại trạm: x250kVA: 0 trạm </v>
      </c>
      <c r="F330" s="374">
        <f t="shared" si="39"/>
        <v>0</v>
      </c>
    </row>
    <row r="331" spans="3:6" ht="20.100000000000001" customHeight="1">
      <c r="C331" s="184" t="s">
        <v>2866</v>
      </c>
      <c r="D331" s="112" t="str">
        <f>"Loại trạm: "&amp;R_SETTING!$B$118</f>
        <v xml:space="preserve">Loại trạm: x320kVA: 0 trạm </v>
      </c>
      <c r="F331" s="374">
        <f t="shared" si="39"/>
        <v>0</v>
      </c>
    </row>
    <row r="332" spans="3:6" ht="20.100000000000001" customHeight="1">
      <c r="C332" s="184" t="s">
        <v>2866</v>
      </c>
      <c r="D332" s="112" t="str">
        <f>"Loại trạm: "&amp;R_SETTING!$B$119</f>
        <v xml:space="preserve">Loại trạm: x400kVA: 0 trạm </v>
      </c>
      <c r="F332" s="374">
        <f t="shared" si="39"/>
        <v>0</v>
      </c>
    </row>
    <row r="333" spans="3:6" ht="20.100000000000001" customHeight="1">
      <c r="C333" s="184" t="s">
        <v>2866</v>
      </c>
      <c r="D333" s="112" t="str">
        <f>"Loại trạm: "&amp;R_SETTING!$B$120</f>
        <v xml:space="preserve">Loại trạm: x560kVA: 0 trạm </v>
      </c>
      <c r="F333" s="374">
        <f t="shared" si="39"/>
        <v>0</v>
      </c>
    </row>
    <row r="334" spans="3:6" ht="20.100000000000001" customHeight="1">
      <c r="C334" s="184" t="s">
        <v>2866</v>
      </c>
      <c r="D334" s="112" t="str">
        <f>"Loại trạm: "&amp;R_SETTING!$B$121</f>
        <v xml:space="preserve">Loại trạm: x630kVA: 0 trạm </v>
      </c>
      <c r="F334" s="374">
        <f t="shared" si="39"/>
        <v>0</v>
      </c>
    </row>
    <row r="335" spans="3:6" ht="20.100000000000001" customHeight="1">
      <c r="C335" s="184" t="s">
        <v>2866</v>
      </c>
      <c r="D335" s="112" t="str">
        <f>"Loại trạm: "&amp;R_SETTING!$B$122</f>
        <v xml:space="preserve">Loại trạm: x750kVA: 0 trạm </v>
      </c>
      <c r="F335" s="374">
        <f t="shared" si="39"/>
        <v>0</v>
      </c>
    </row>
    <row r="336" spans="3:6" ht="20.100000000000001" customHeight="1">
      <c r="C336" s="184" t="s">
        <v>2866</v>
      </c>
      <c r="D336" s="112" t="str">
        <f>"Loại trạm: "&amp;R_SETTING!$B$123</f>
        <v xml:space="preserve">Loại trạm: x1000kVA: 0 trạm </v>
      </c>
      <c r="F336" s="374">
        <f t="shared" si="39"/>
        <v>0</v>
      </c>
    </row>
    <row r="337" spans="3:6" ht="31.5">
      <c r="C337" s="47" t="s">
        <v>2433</v>
      </c>
      <c r="D337" s="188" t="s">
        <v>2863</v>
      </c>
    </row>
    <row r="338" spans="3:6" ht="78.75">
      <c r="C338" s="189" t="s">
        <v>2864</v>
      </c>
      <c r="D338" s="190" t="s">
        <v>2865</v>
      </c>
      <c r="E338" s="370"/>
    </row>
    <row r="339" spans="3:6" ht="141.75">
      <c r="C339" s="187" t="s">
        <v>2866</v>
      </c>
      <c r="D339" s="185" t="s">
        <v>2867</v>
      </c>
      <c r="E339" s="370"/>
    </row>
    <row r="340" spans="3:6" ht="110.25">
      <c r="C340" s="187" t="s">
        <v>2866</v>
      </c>
      <c r="D340" s="185" t="s">
        <v>2868</v>
      </c>
      <c r="E340" s="370"/>
    </row>
    <row r="341" spans="3:6" ht="299.25">
      <c r="C341" s="187" t="s">
        <v>2866</v>
      </c>
      <c r="D341" s="185" t="s">
        <v>2872</v>
      </c>
      <c r="E341" s="370"/>
    </row>
    <row r="342" spans="3:6" ht="78.75">
      <c r="C342" s="189" t="s">
        <v>2869</v>
      </c>
      <c r="D342" s="190" t="s">
        <v>2870</v>
      </c>
      <c r="E342" s="370"/>
    </row>
    <row r="343" spans="3:6" ht="94.5">
      <c r="C343" s="187" t="s">
        <v>2866</v>
      </c>
      <c r="D343" s="185" t="s">
        <v>2871</v>
      </c>
      <c r="E343" s="370"/>
    </row>
    <row r="344" spans="3:6" ht="39.75" customHeight="1">
      <c r="C344" s="187"/>
      <c r="D344" s="186" t="s">
        <v>4296</v>
      </c>
      <c r="E344" s="370"/>
      <c r="F344" s="806"/>
    </row>
    <row r="345" spans="3:6" ht="31.7" customHeight="1">
      <c r="C345" s="187"/>
      <c r="D345" s="186" t="s">
        <v>2881</v>
      </c>
      <c r="E345" s="370"/>
      <c r="F345" s="806"/>
    </row>
    <row r="346" spans="3:6" ht="173.25">
      <c r="C346" s="187"/>
      <c r="D346" s="186" t="s">
        <v>2990</v>
      </c>
      <c r="E346" s="370"/>
      <c r="F346" s="806"/>
    </row>
    <row r="347" spans="3:6" ht="247.5">
      <c r="C347" s="194" t="s">
        <v>2866</v>
      </c>
      <c r="D347" s="809" t="s">
        <v>4431</v>
      </c>
      <c r="E347" s="370"/>
      <c r="F347" s="806"/>
    </row>
    <row r="348" spans="3:6" ht="346.5">
      <c r="C348" s="194" t="s">
        <v>2866</v>
      </c>
      <c r="D348" s="809" t="s">
        <v>4430</v>
      </c>
      <c r="E348" s="370"/>
      <c r="F348" s="806"/>
    </row>
    <row r="349" spans="3:6" ht="409.5">
      <c r="C349" s="194" t="s">
        <v>2866</v>
      </c>
      <c r="D349" s="809" t="s">
        <v>4429</v>
      </c>
      <c r="E349" s="370"/>
      <c r="F349" s="806"/>
    </row>
    <row r="350" spans="3:6" ht="330">
      <c r="C350" s="194" t="s">
        <v>2866</v>
      </c>
      <c r="D350" s="809" t="s">
        <v>4428</v>
      </c>
      <c r="E350" s="370"/>
      <c r="F350" s="806"/>
    </row>
    <row r="351" spans="3:6" ht="379.5">
      <c r="C351" s="194" t="s">
        <v>2866</v>
      </c>
      <c r="D351" s="809" t="s">
        <v>4427</v>
      </c>
      <c r="E351" s="370"/>
      <c r="F351" s="806"/>
    </row>
    <row r="352" spans="3:6" ht="330">
      <c r="C352" s="194" t="s">
        <v>2866</v>
      </c>
      <c r="D352" s="809" t="s">
        <v>4426</v>
      </c>
      <c r="E352" s="370"/>
      <c r="F352" s="806"/>
    </row>
    <row r="353" spans="3:6" ht="247.5">
      <c r="C353" s="194" t="s">
        <v>2866</v>
      </c>
      <c r="D353" s="809" t="s">
        <v>4425</v>
      </c>
      <c r="E353" s="370"/>
      <c r="F353" s="806"/>
    </row>
    <row r="354" spans="3:6" ht="66.75" customHeight="1">
      <c r="C354" s="194" t="s">
        <v>2866</v>
      </c>
      <c r="D354" s="809" t="s">
        <v>4424</v>
      </c>
      <c r="E354" s="370"/>
      <c r="F354" s="806"/>
    </row>
    <row r="355" spans="3:6" ht="396">
      <c r="C355" s="194" t="s">
        <v>2866</v>
      </c>
      <c r="D355" s="809" t="s">
        <v>4423</v>
      </c>
      <c r="E355" s="370"/>
      <c r="F355" s="806"/>
    </row>
    <row r="356" spans="3:6" ht="409.5">
      <c r="C356" s="194" t="s">
        <v>2866</v>
      </c>
      <c r="D356" s="809" t="s">
        <v>4422</v>
      </c>
      <c r="E356" s="370"/>
      <c r="F356" s="806"/>
    </row>
    <row r="357" spans="3:6" ht="313.5">
      <c r="C357" s="194" t="s">
        <v>2866</v>
      </c>
      <c r="D357" s="809" t="s">
        <v>4421</v>
      </c>
      <c r="E357" s="370"/>
      <c r="F357" s="806"/>
    </row>
    <row r="358" spans="3:6" ht="409.5">
      <c r="C358" s="194" t="s">
        <v>2866</v>
      </c>
      <c r="D358" s="809" t="s">
        <v>4420</v>
      </c>
      <c r="E358" s="370"/>
      <c r="F358" s="806"/>
    </row>
    <row r="359" spans="3:6" ht="409.5">
      <c r="C359" s="187" t="s">
        <v>2866</v>
      </c>
      <c r="D359" s="829" t="s">
        <v>4728</v>
      </c>
      <c r="E359" s="370"/>
      <c r="F359" s="806"/>
    </row>
    <row r="360" spans="3:6" ht="378">
      <c r="C360" s="187" t="s">
        <v>2866</v>
      </c>
      <c r="D360" s="829" t="s">
        <v>4419</v>
      </c>
      <c r="E360" s="370"/>
      <c r="F360" s="807"/>
    </row>
    <row r="361" spans="3:6" ht="315">
      <c r="C361" s="187" t="s">
        <v>2866</v>
      </c>
      <c r="D361" s="829" t="s">
        <v>4687</v>
      </c>
      <c r="E361" s="370"/>
      <c r="F361" s="808"/>
    </row>
    <row r="362" spans="3:6" ht="409.5">
      <c r="C362" s="187" t="s">
        <v>2866</v>
      </c>
      <c r="D362" s="810" t="s">
        <v>4722</v>
      </c>
      <c r="E362" s="370"/>
    </row>
    <row r="363" spans="3:6" ht="409.5">
      <c r="C363" s="830" t="s">
        <v>2866</v>
      </c>
      <c r="D363" s="810" t="s">
        <v>4727</v>
      </c>
      <c r="E363" s="370"/>
    </row>
    <row r="364" spans="3:6" ht="20.100000000000001" customHeight="1">
      <c r="C364" s="187"/>
      <c r="D364" s="807"/>
      <c r="E364" s="370"/>
    </row>
    <row r="365" spans="3:6" ht="20.100000000000001" customHeight="1">
      <c r="C365" s="187"/>
      <c r="D365" s="807"/>
      <c r="E365" s="370"/>
    </row>
    <row r="366" spans="3:6" ht="20.100000000000001" customHeight="1">
      <c r="C366" s="187"/>
      <c r="D366" s="807"/>
      <c r="E366" s="370"/>
    </row>
    <row r="367" spans="3:6" ht="15.75">
      <c r="C367" s="74" t="str">
        <f>SETTING!$K$5</f>
        <v>CÔNG TY TNHH TRANG SONG ANH</v>
      </c>
      <c r="D367" s="5"/>
      <c r="E367" s="5"/>
    </row>
    <row r="368" spans="3:6" ht="15.75">
      <c r="C368" s="74" t="str">
        <f>SETTING!$K$8</f>
        <v>THIẾT KẾ BẢN VẼ THI CÔNG - DỰ TOÁN</v>
      </c>
      <c r="D368" s="5"/>
      <c r="E368" s="5"/>
    </row>
    <row r="369" spans="3:5" ht="15.75">
      <c r="C369" s="193"/>
      <c r="D369" s="74"/>
      <c r="E369" s="5"/>
    </row>
    <row r="370" spans="3:5" ht="15.75">
      <c r="C370" s="193"/>
      <c r="D370" s="147" t="s">
        <v>2874</v>
      </c>
      <c r="E370" s="5"/>
    </row>
    <row r="371" spans="3:5" ht="15.75">
      <c r="C371" s="193"/>
      <c r="D371" s="74"/>
      <c r="E371" s="5"/>
    </row>
    <row r="372" spans="3:5" ht="283.5">
      <c r="D372" s="199" t="str">
        <f>"Công trình: "&amp;SETTING!$K$2&amp;" được triển khai các bước lập "&amp;C368&amp;" trên các cơ sở:"</f>
        <v>Công trình: ĐƯỜNG XUÂN BẮC  - BẢO QUANG.  được triển khai các bước lập THIẾT KẾ BẢN VẼ THI CÔNG - DỰ TOÁN trên các cơ sở:</v>
      </c>
      <c r="E372" s="5"/>
    </row>
    <row r="373" spans="3:5" ht="409.5">
      <c r="C373" s="194"/>
      <c r="D373" s="195" t="str">
        <f>"    - Hợp đồng kinh tế giữa "&amp;SETTING!$K$4&amp;" và "&amp;SETTING!$K$5&amp;" về việc lập "&amp;C368&amp;"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E373" s="5"/>
    </row>
    <row r="374" spans="3:5" ht="189">
      <c r="C374" s="194"/>
      <c r="D374" s="196" t="str">
        <f>"    -Kết quả khảo sát tại công trường của "&amp;SETTING!$K$5</f>
        <v xml:space="preserve">    -Kết quả khảo sát tại công trường của CÔNG TY TNHH TRANG SONG ANH</v>
      </c>
      <c r="E374" s="5"/>
    </row>
    <row r="375" spans="3:5" ht="157.5">
      <c r="C375" s="193"/>
      <c r="D375" s="73" t="str">
        <f>"         "&amp;C368&amp;" được biên chế thành hai tập:"</f>
        <v xml:space="preserve">         THIẾT KẾ BẢN VẼ THI CÔNG - DỰ TOÁN được biên chế thành hai tập:</v>
      </c>
      <c r="E375" s="5"/>
    </row>
    <row r="376" spans="3:5" ht="94.5">
      <c r="C376" s="193"/>
      <c r="D376" s="73" t="s">
        <v>2875</v>
      </c>
      <c r="E376" s="5"/>
    </row>
    <row r="377" spans="3:5" ht="63">
      <c r="C377" s="193"/>
      <c r="D377" s="73" t="s">
        <v>2876</v>
      </c>
      <c r="E377" s="5"/>
    </row>
    <row r="378" spans="3:5" ht="47.25">
      <c r="C378" s="193"/>
      <c r="D378" s="197" t="s">
        <v>2880</v>
      </c>
      <c r="E378" s="5"/>
    </row>
    <row r="379" spans="3:5" ht="63">
      <c r="C379" s="193"/>
      <c r="D379" s="73" t="s">
        <v>2877</v>
      </c>
      <c r="E379" s="5"/>
    </row>
    <row r="380" spans="3:5" ht="47.25">
      <c r="C380" s="193"/>
      <c r="D380" s="73" t="s">
        <v>2878</v>
      </c>
      <c r="E380" s="5"/>
    </row>
    <row r="381" spans="3:5" ht="47.25">
      <c r="C381" s="193"/>
      <c r="D381" s="73" t="s">
        <v>2879</v>
      </c>
      <c r="E381" s="5"/>
    </row>
    <row r="382" spans="3:5" ht="15.75">
      <c r="C382" s="193"/>
      <c r="D382" s="191" t="s">
        <v>2432</v>
      </c>
      <c r="E382" s="5"/>
    </row>
    <row r="383" spans="3:5" ht="20.100000000000001" customHeight="1">
      <c r="C383" s="127"/>
      <c r="D383" s="198" t="str">
        <f>SETTING!$O$7</f>
        <v>BẢNG 1: TỔNG DỰ TOÁN</v>
      </c>
      <c r="E383" s="5">
        <f>SETTING!$N$7</f>
        <v>1</v>
      </c>
    </row>
    <row r="384" spans="3:5" ht="20.100000000000001" customHeight="1">
      <c r="C384" s="127"/>
      <c r="D384" s="198" t="str">
        <f>SETTING!$O$8</f>
        <v>BẢNG 2: TỔNG HỢP CHI PHÍ XÂY DỰNG, THIẾT BỊ, QUẢN LÝ DỰ ÁN, TƯ VẤN VÀ CHI PHÍ KHÁC</v>
      </c>
      <c r="E384" s="5">
        <f>SETTING!$N$8</f>
        <v>1</v>
      </c>
    </row>
    <row r="385" spans="3:5" ht="20.100000000000001" customHeight="1">
      <c r="C385" s="127"/>
      <c r="D385" s="198" t="str">
        <f>SETTING!$O$9</f>
        <v>BẢNG 3: DỰ TOÁN CHI PHÍ XÂY DỰNG CÔNG TRÌNH</v>
      </c>
      <c r="E385" s="5">
        <f>SETTING!$N$9</f>
        <v>1</v>
      </c>
    </row>
    <row r="386" spans="3:5" ht="20.100000000000001" customHeight="1">
      <c r="C386" s="127"/>
      <c r="D386" s="198" t="e">
        <f ca="1">SETTING!$O$10</f>
        <v>#REF!</v>
      </c>
      <c r="E386" s="5" t="e">
        <f ca="1">SETTING!$N$10</f>
        <v>#REF!</v>
      </c>
    </row>
    <row r="387" spans="3:5" ht="20.100000000000001" customHeight="1">
      <c r="C387" s="127"/>
      <c r="D387" s="198" t="e">
        <f ca="1">SETTING!$O$11</f>
        <v>#REF!</v>
      </c>
      <c r="E387" s="5" t="e">
        <f ca="1">SETTING!$N$11</f>
        <v>#REF!</v>
      </c>
    </row>
    <row r="388" spans="3:5" ht="20.100000000000001" customHeight="1">
      <c r="C388" s="127"/>
      <c r="D388" s="198" t="e">
        <f ca="1">SETTING!$O$12</f>
        <v>#REF!</v>
      </c>
      <c r="E388" s="5">
        <f>SETTING!$N$12</f>
        <v>0</v>
      </c>
    </row>
    <row r="389" spans="3:5" ht="20.100000000000001" customHeight="1">
      <c r="C389" s="127"/>
      <c r="D389" s="198" t="e">
        <f ca="1">SETTING!$O$13</f>
        <v>#REF!</v>
      </c>
      <c r="E389" s="5">
        <f>SETTING!$N$13</f>
        <v>0</v>
      </c>
    </row>
    <row r="390" spans="3:5" ht="20.100000000000001" customHeight="1">
      <c r="C390" s="127"/>
      <c r="D390" s="198" t="str">
        <f ca="1">SETTING!$O$14</f>
        <v>BẢNG 4: KHỐI LƯỢNG CHI TIẾT PHẦN CẢI TẠO</v>
      </c>
      <c r="E390" s="5">
        <f ca="1">SETTING!$N$14</f>
        <v>1</v>
      </c>
    </row>
    <row r="391" spans="3:5" ht="20.100000000000001" customHeight="1">
      <c r="C391" s="127"/>
      <c r="D391" s="198" t="str">
        <f ca="1">SETTING!$O$15</f>
        <v>BẢNG 4: TỔNG HỢP CHI PHÍ LẮP ĐẶT THIẾT BỊ</v>
      </c>
      <c r="E391" s="5">
        <f ca="1">SETTING!$N$15</f>
        <v>0</v>
      </c>
    </row>
    <row r="392" spans="3:5" ht="20.100000000000001" customHeight="1">
      <c r="C392" s="127"/>
      <c r="D392" s="198" t="str">
        <f ca="1">SETTING!$O$16</f>
        <v>BẢNG 4: TỔNG HỢP CHI PHÍ THỬ NGHIỆM HIỆU CHỈNH</v>
      </c>
      <c r="E392" s="5">
        <f ca="1">SETTING!$N$16</f>
        <v>0</v>
      </c>
    </row>
    <row r="393" spans="3:5" ht="20.100000000000001" customHeight="1">
      <c r="C393" s="127"/>
      <c r="D393" s="198" t="str">
        <f ca="1">SETTING!$O$17</f>
        <v>BẢNG 4: KHỐI LƯỢNG CHI TIẾT THỬ NGHIỆM HIỆU CHỈNH</v>
      </c>
      <c r="E393" s="5">
        <f ca="1">SETTING!$N$17</f>
        <v>0</v>
      </c>
    </row>
    <row r="394" spans="3:5" ht="20.100000000000001" customHeight="1">
      <c r="C394" s="127"/>
      <c r="D394" s="198" t="e">
        <f>SETTING!$O$18</f>
        <v>#REF!</v>
      </c>
      <c r="E394" s="5" t="e">
        <f>SETTING!$N$18</f>
        <v>#REF!</v>
      </c>
    </row>
    <row r="395" spans="3:5" ht="20.100000000000001" customHeight="1">
      <c r="C395" s="127"/>
      <c r="D395" s="198" t="e">
        <f>SETTING!$O$19</f>
        <v>#REF!</v>
      </c>
      <c r="E395" s="5" t="e">
        <f>SETTING!$N$19</f>
        <v>#REF!</v>
      </c>
    </row>
    <row r="396" spans="3:5" ht="20.100000000000001" customHeight="1">
      <c r="C396" s="127"/>
      <c r="D396" s="198" t="e">
        <f ca="1">SETTING!$O$20</f>
        <v>#REF!</v>
      </c>
      <c r="E396" s="5" t="e">
        <f ca="1">SETTING!$N$20</f>
        <v>#REF!</v>
      </c>
    </row>
    <row r="397" spans="3:5" ht="20.100000000000001" customHeight="1">
      <c r="C397" s="127"/>
      <c r="D397" s="198" t="str">
        <f ca="1">SETTING!$O$21</f>
        <v>BẢNG 5: CHI PHÍ VẬN CHUYỂN ĐƯỜNG DÀI</v>
      </c>
      <c r="E397" s="5">
        <f ca="1">SETTING!$N$21</f>
        <v>1</v>
      </c>
    </row>
    <row r="398" spans="3:5" ht="20.100000000000001" customHeight="1">
      <c r="C398" s="127"/>
      <c r="D398" s="198" t="str">
        <f ca="1">SETTING!$O$22</f>
        <v>BẢNG 6: KHỐI LƯỢNG VẬT TƯ CHÍNH</v>
      </c>
      <c r="E398" s="5">
        <f>SETTING!$N$22</f>
        <v>1</v>
      </c>
    </row>
    <row r="399" spans="3:5" ht="20.100000000000001" customHeight="1">
      <c r="D399" s="198" t="e">
        <f>SETTING!$O$23</f>
        <v>#REF!</v>
      </c>
      <c r="E399" s="5" t="e">
        <f>SETTING!$N$23</f>
        <v>#REF!</v>
      </c>
    </row>
    <row r="400" spans="3:5" ht="20.100000000000001" customHeight="1">
      <c r="D400" s="198" t="e">
        <f>SETTING!$O$24</f>
        <v>#REF!</v>
      </c>
      <c r="E400" s="5">
        <f>SETTING!$N$24</f>
        <v>0</v>
      </c>
    </row>
    <row r="401" spans="4:5" ht="20.100000000000001" customHeight="1">
      <c r="D401" s="198" t="str">
        <f ca="1">SETTING!$O$25</f>
        <v>BẢNG 7: PHÂN PHỐI VẬT TƯ, THIẾT BỊ ĐƯỜNG DÂY, TRẠM BIẾN ÁP</v>
      </c>
      <c r="E401" s="5">
        <f>SETTING!$N$25</f>
        <v>1</v>
      </c>
    </row>
    <row r="402" spans="4:5" ht="20.100000000000001" customHeight="1">
      <c r="D402" s="198">
        <f>SETTING!$O$26</f>
        <v>0</v>
      </c>
      <c r="E402" s="5">
        <f>SETTING!$N$26</f>
        <v>0</v>
      </c>
    </row>
    <row r="403" spans="4:5" ht="20.100000000000001" customHeight="1">
      <c r="D403" s="198">
        <f>SETTING!$O$27</f>
        <v>0</v>
      </c>
      <c r="E403" s="5">
        <f>SETTING!$N$27</f>
        <v>0</v>
      </c>
    </row>
    <row r="404" spans="4:5" ht="20.100000000000001" customHeight="1">
      <c r="D404" s="1086"/>
      <c r="E404" s="5"/>
    </row>
    <row r="405" spans="4:5" ht="20.100000000000001" customHeight="1">
      <c r="D405" s="1086"/>
      <c r="E405" s="5"/>
    </row>
    <row r="406" spans="4:5" ht="20.100000000000001" customHeight="1">
      <c r="D406" s="1086"/>
      <c r="E406" s="5"/>
    </row>
    <row r="407" spans="4:5" ht="20.100000000000001" customHeight="1">
      <c r="D407" s="1086"/>
      <c r="E407" s="5"/>
    </row>
    <row r="408" spans="4:5" ht="20.100000000000001" customHeight="1">
      <c r="D408" s="1086"/>
      <c r="E408" s="5"/>
    </row>
  </sheetData>
  <mergeCells count="27">
    <mergeCell ref="M218:M219"/>
    <mergeCell ref="N218:N219"/>
    <mergeCell ref="H274:J274"/>
    <mergeCell ref="K274:M274"/>
    <mergeCell ref="F198:G198"/>
    <mergeCell ref="H198:I198"/>
    <mergeCell ref="I218:I219"/>
    <mergeCell ref="J218:J219"/>
    <mergeCell ref="K218:K219"/>
    <mergeCell ref="L218:L219"/>
    <mergeCell ref="G3:I3"/>
    <mergeCell ref="J3:L3"/>
    <mergeCell ref="F34:F35"/>
    <mergeCell ref="I34:I35"/>
    <mergeCell ref="F114:G114"/>
    <mergeCell ref="H114:I114"/>
    <mergeCell ref="F3:F4"/>
    <mergeCell ref="C198:C199"/>
    <mergeCell ref="D198:D199"/>
    <mergeCell ref="E3:E4"/>
    <mergeCell ref="D3:D4"/>
    <mergeCell ref="C3:C4"/>
    <mergeCell ref="C34:C35"/>
    <mergeCell ref="D34:D35"/>
    <mergeCell ref="E34:E35"/>
    <mergeCell ref="C114:C115"/>
    <mergeCell ref="D114:D115"/>
  </mergeCells>
  <dataValidations disablePrompts="1" count="1">
    <dataValidation type="list" allowBlank="1" showInputMessage="1" showErrorMessage="1" errorTitle="Lỗi" error="Vui lòng nhập lại" sqref="B9">
      <formula1>$A$3:$A$11</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RQ44"/>
  <sheetViews>
    <sheetView showZeros="0" topLeftCell="KO1" zoomScale="85" zoomScaleNormal="85" workbookViewId="0">
      <selection activeCell="LG2" sqref="LG2"/>
    </sheetView>
  </sheetViews>
  <sheetFormatPr defaultColWidth="4.5703125" defaultRowHeight="15"/>
  <cols>
    <col min="2" max="174" width="4.5703125" style="3"/>
  </cols>
  <sheetData>
    <row r="1" spans="1:485" ht="80.25">
      <c r="A1" s="235" t="s">
        <v>295</v>
      </c>
      <c r="B1" s="235" t="s">
        <v>297</v>
      </c>
      <c r="C1" s="235" t="s">
        <v>299</v>
      </c>
      <c r="D1" s="235" t="s">
        <v>301</v>
      </c>
      <c r="E1" s="235" t="s">
        <v>303</v>
      </c>
      <c r="F1" s="235" t="s">
        <v>305</v>
      </c>
      <c r="G1" s="235" t="s">
        <v>307</v>
      </c>
      <c r="H1" s="235" t="s">
        <v>221</v>
      </c>
      <c r="I1" s="235" t="s">
        <v>2541</v>
      </c>
      <c r="J1" s="235" t="s">
        <v>2542</v>
      </c>
      <c r="K1" s="235" t="s">
        <v>2543</v>
      </c>
      <c r="L1" s="235" t="s">
        <v>2544</v>
      </c>
      <c r="M1" s="235" t="s">
        <v>2545</v>
      </c>
      <c r="N1" s="235" t="s">
        <v>2546</v>
      </c>
      <c r="O1" s="235" t="s">
        <v>201</v>
      </c>
      <c r="P1" s="235" t="s">
        <v>203</v>
      </c>
      <c r="Q1" s="235" t="s">
        <v>205</v>
      </c>
      <c r="R1" s="235" t="s">
        <v>207</v>
      </c>
      <c r="S1" s="235" t="s">
        <v>209</v>
      </c>
      <c r="T1" s="235" t="s">
        <v>211</v>
      </c>
      <c r="U1" s="235" t="s">
        <v>213</v>
      </c>
      <c r="V1" s="235" t="s">
        <v>3247</v>
      </c>
      <c r="W1" s="235" t="s">
        <v>3249</v>
      </c>
      <c r="X1" s="235" t="s">
        <v>3248</v>
      </c>
      <c r="Y1" s="235" t="s">
        <v>3245</v>
      </c>
      <c r="Z1" s="235" t="s">
        <v>320</v>
      </c>
      <c r="AA1" s="235" t="s">
        <v>323</v>
      </c>
      <c r="AB1" s="235" t="s">
        <v>327</v>
      </c>
      <c r="AC1" s="235" t="s">
        <v>329</v>
      </c>
      <c r="AD1" s="235" t="s">
        <v>325</v>
      </c>
      <c r="AE1" s="235" t="s">
        <v>2539</v>
      </c>
      <c r="AF1" s="235" t="s">
        <v>2540</v>
      </c>
      <c r="AG1" s="235" t="s">
        <v>3095</v>
      </c>
      <c r="AH1" s="235" t="s">
        <v>3096</v>
      </c>
      <c r="AI1" s="235" t="s">
        <v>3097</v>
      </c>
      <c r="AJ1" s="235" t="s">
        <v>3098</v>
      </c>
      <c r="AK1" s="235" t="s">
        <v>3099</v>
      </c>
      <c r="AL1" s="235" t="s">
        <v>3100</v>
      </c>
      <c r="AM1" s="235" t="s">
        <v>3101</v>
      </c>
      <c r="AN1" s="235" t="s">
        <v>365</v>
      </c>
      <c r="AO1" s="235" t="s">
        <v>367</v>
      </c>
      <c r="AP1" s="235" t="s">
        <v>369</v>
      </c>
      <c r="AQ1" s="235" t="s">
        <v>371</v>
      </c>
      <c r="AR1" s="235" t="s">
        <v>373</v>
      </c>
      <c r="AS1" s="235" t="s">
        <v>375</v>
      </c>
      <c r="AT1" s="235" t="s">
        <v>377</v>
      </c>
      <c r="AU1" s="235" t="s">
        <v>251</v>
      </c>
      <c r="AV1" s="235" t="s">
        <v>253</v>
      </c>
      <c r="AW1" s="235" t="s">
        <v>255</v>
      </c>
      <c r="AX1" s="235" t="s">
        <v>257</v>
      </c>
      <c r="AY1" s="235" t="s">
        <v>259</v>
      </c>
      <c r="AZ1" s="235" t="s">
        <v>261</v>
      </c>
      <c r="BA1" s="235" t="s">
        <v>263</v>
      </c>
      <c r="BB1" s="235" t="s">
        <v>247</v>
      </c>
      <c r="BC1" s="235" t="s">
        <v>4958</v>
      </c>
      <c r="BD1" s="235" t="s">
        <v>1865</v>
      </c>
      <c r="BE1" s="235" t="s">
        <v>1867</v>
      </c>
      <c r="BF1" s="235" t="s">
        <v>2213</v>
      </c>
      <c r="BG1" s="235" t="s">
        <v>2477</v>
      </c>
      <c r="BH1" s="235" t="s">
        <v>2476</v>
      </c>
      <c r="BI1" s="235" t="s">
        <v>2478</v>
      </c>
      <c r="BJ1" s="235" t="s">
        <v>2220</v>
      </c>
      <c r="BK1" s="235" t="s">
        <v>2221</v>
      </c>
      <c r="BL1" s="235" t="s">
        <v>2222</v>
      </c>
      <c r="BM1" s="235" t="s">
        <v>2554</v>
      </c>
      <c r="BN1" s="235" t="s">
        <v>2555</v>
      </c>
      <c r="BO1" s="235" t="s">
        <v>2224</v>
      </c>
      <c r="BP1" s="235" t="s">
        <v>2144</v>
      </c>
      <c r="BQ1" s="235" t="s">
        <v>2147</v>
      </c>
      <c r="BR1" s="235" t="s">
        <v>2547</v>
      </c>
      <c r="BS1" s="235" t="s">
        <v>2548</v>
      </c>
      <c r="BT1" s="235" t="s">
        <v>2154</v>
      </c>
      <c r="BU1" s="235" t="s">
        <v>2156</v>
      </c>
      <c r="BV1" s="235" t="s">
        <v>2339</v>
      </c>
      <c r="BW1" s="235" t="s">
        <v>2340</v>
      </c>
      <c r="BX1" s="235" t="s">
        <v>2161</v>
      </c>
      <c r="BY1" s="235" t="s">
        <v>2163</v>
      </c>
      <c r="BZ1" s="235" t="s">
        <v>2341</v>
      </c>
      <c r="CA1" s="235" t="s">
        <v>2549</v>
      </c>
      <c r="CB1" s="235" t="s">
        <v>876</v>
      </c>
      <c r="CC1" s="235" t="s">
        <v>2168</v>
      </c>
      <c r="CD1" s="235" t="s">
        <v>2560</v>
      </c>
      <c r="CE1" s="235" t="s">
        <v>2343</v>
      </c>
      <c r="CF1" s="235" t="s">
        <v>2344</v>
      </c>
      <c r="CG1" s="235" t="s">
        <v>2177</v>
      </c>
      <c r="CH1" s="235" t="s">
        <v>2179</v>
      </c>
      <c r="CI1" s="235" t="s">
        <v>2342</v>
      </c>
      <c r="CJ1" s="235" t="s">
        <v>2550</v>
      </c>
      <c r="CK1" s="235" t="s">
        <v>2551</v>
      </c>
      <c r="CL1" s="235" t="s">
        <v>2552</v>
      </c>
      <c r="CM1" s="235" t="s">
        <v>2553</v>
      </c>
      <c r="CN1" s="235" t="s">
        <v>3024</v>
      </c>
      <c r="CO1" s="235" t="s">
        <v>3027</v>
      </c>
      <c r="CP1" s="235" t="s">
        <v>3253</v>
      </c>
      <c r="CQ1" s="235" t="s">
        <v>2182</v>
      </c>
      <c r="CR1" s="235" t="s">
        <v>2186</v>
      </c>
      <c r="CS1" s="235" t="s">
        <v>2191</v>
      </c>
      <c r="CT1" s="235" t="s">
        <v>2193</v>
      </c>
      <c r="CU1" s="235" t="s">
        <v>2195</v>
      </c>
      <c r="CV1" s="235" t="s">
        <v>2198</v>
      </c>
      <c r="CW1" s="235" t="s">
        <v>2200</v>
      </c>
      <c r="CX1" s="235" t="s">
        <v>2202</v>
      </c>
      <c r="CY1" s="235" t="s">
        <v>2204</v>
      </c>
      <c r="CZ1" s="235" t="s">
        <v>2206</v>
      </c>
      <c r="DA1" s="235" t="s">
        <v>2566</v>
      </c>
      <c r="DB1" s="235" t="s">
        <v>2565</v>
      </c>
      <c r="DC1" s="235" t="s">
        <v>3769</v>
      </c>
      <c r="DD1" s="235" t="s">
        <v>2991</v>
      </c>
      <c r="DE1" s="235" t="s">
        <v>2226</v>
      </c>
      <c r="DF1" s="235" t="s">
        <v>2229</v>
      </c>
      <c r="DG1" s="235" t="s">
        <v>2233</v>
      </c>
      <c r="DH1" s="235" t="s">
        <v>2235</v>
      </c>
      <c r="DI1" s="235" t="s">
        <v>2238</v>
      </c>
      <c r="DJ1" s="235" t="s">
        <v>2241</v>
      </c>
      <c r="DK1" s="235" t="s">
        <v>2243</v>
      </c>
      <c r="DL1" s="235" t="s">
        <v>2245</v>
      </c>
      <c r="DM1" s="235" t="s">
        <v>2248</v>
      </c>
      <c r="DN1" s="235" t="s">
        <v>2250</v>
      </c>
      <c r="DO1" s="235" t="s">
        <v>2253</v>
      </c>
      <c r="DP1" s="235" t="s">
        <v>2255</v>
      </c>
      <c r="DQ1" s="235" t="s">
        <v>2258</v>
      </c>
      <c r="DR1" s="235" t="s">
        <v>2261</v>
      </c>
      <c r="DS1" s="235" t="s">
        <v>2263</v>
      </c>
      <c r="DT1" s="235" t="s">
        <v>2265</v>
      </c>
      <c r="DU1" s="235" t="s">
        <v>2267</v>
      </c>
      <c r="DV1" s="235" t="s">
        <v>2269</v>
      </c>
      <c r="DW1" s="235" t="s">
        <v>2271</v>
      </c>
      <c r="DX1" s="235" t="s">
        <v>2273</v>
      </c>
      <c r="DY1" s="235" t="s">
        <v>2572</v>
      </c>
      <c r="DZ1" s="235" t="s">
        <v>2575</v>
      </c>
      <c r="EA1" s="235" t="s">
        <v>2577</v>
      </c>
      <c r="EB1" s="235" t="s">
        <v>2579</v>
      </c>
      <c r="EC1" s="235" t="s">
        <v>2581</v>
      </c>
      <c r="ED1" s="235" t="s">
        <v>2583</v>
      </c>
      <c r="EE1" s="235" t="s">
        <v>2585</v>
      </c>
      <c r="EF1" s="235" t="s">
        <v>2587</v>
      </c>
      <c r="EG1" s="235" t="s">
        <v>2589</v>
      </c>
      <c r="EH1" s="235" t="s">
        <v>2275</v>
      </c>
      <c r="EI1" s="235" t="s">
        <v>2596</v>
      </c>
      <c r="EJ1" s="235" t="s">
        <v>2277</v>
      </c>
      <c r="EK1" s="235" t="s">
        <v>2280</v>
      </c>
      <c r="EL1" s="235" t="s">
        <v>2591</v>
      </c>
      <c r="EM1" s="235" t="s">
        <v>2592</v>
      </c>
      <c r="EN1" s="235" t="s">
        <v>2333</v>
      </c>
      <c r="EO1" s="235" t="s">
        <v>2283</v>
      </c>
      <c r="EP1" s="235" t="s">
        <v>2285</v>
      </c>
      <c r="EQ1" s="235" t="s">
        <v>2286</v>
      </c>
      <c r="ER1" s="235" t="s">
        <v>2287</v>
      </c>
      <c r="ES1" s="235" t="s">
        <v>2288</v>
      </c>
      <c r="ET1" s="235" t="s">
        <v>2291</v>
      </c>
      <c r="EU1" s="235" t="s">
        <v>2292</v>
      </c>
      <c r="EV1" s="235" t="s">
        <v>2593</v>
      </c>
      <c r="EW1" s="235" t="s">
        <v>2795</v>
      </c>
      <c r="EX1" s="235" t="s">
        <v>2797</v>
      </c>
      <c r="EY1" s="235" t="s">
        <v>3038</v>
      </c>
      <c r="EZ1" s="235" t="s">
        <v>4142</v>
      </c>
      <c r="FA1" s="235" t="s">
        <v>3035</v>
      </c>
      <c r="FB1" s="235" t="s">
        <v>3036</v>
      </c>
      <c r="FC1" s="235" t="s">
        <v>3037</v>
      </c>
      <c r="FD1" s="235" t="s">
        <v>3044</v>
      </c>
      <c r="FE1" s="235" t="s">
        <v>3045</v>
      </c>
      <c r="FF1" s="235" t="s">
        <v>3046</v>
      </c>
      <c r="FG1" s="235" t="s">
        <v>3057</v>
      </c>
      <c r="FH1" s="235" t="s">
        <v>3058</v>
      </c>
      <c r="FI1" s="235" t="s">
        <v>4956</v>
      </c>
      <c r="FJ1" s="235" t="s">
        <v>2294</v>
      </c>
      <c r="FK1" s="235" t="s">
        <v>2295</v>
      </c>
      <c r="FL1" s="235" t="s">
        <v>2296</v>
      </c>
      <c r="FM1" s="235" t="s">
        <v>2297</v>
      </c>
      <c r="FN1" s="235" t="s">
        <v>2298</v>
      </c>
      <c r="FO1" s="235" t="s">
        <v>2299</v>
      </c>
      <c r="FP1" s="235" t="s">
        <v>2300</v>
      </c>
      <c r="FQ1" s="235" t="s">
        <v>563</v>
      </c>
      <c r="FR1" s="235" t="s">
        <v>561</v>
      </c>
      <c r="FS1" s="235" t="s">
        <v>559</v>
      </c>
      <c r="FT1" s="235" t="s">
        <v>557</v>
      </c>
      <c r="FU1" s="235" t="s">
        <v>555</v>
      </c>
      <c r="FV1" s="235" t="s">
        <v>553</v>
      </c>
      <c r="FW1" s="235" t="s">
        <v>552</v>
      </c>
      <c r="FX1" s="235" t="s">
        <v>2301</v>
      </c>
      <c r="FY1" s="235" t="s">
        <v>2302</v>
      </c>
      <c r="FZ1" s="235" t="s">
        <v>2303</v>
      </c>
      <c r="GA1" s="235" t="s">
        <v>4834</v>
      </c>
      <c r="GB1" s="235" t="s">
        <v>4835</v>
      </c>
      <c r="GC1" s="235" t="s">
        <v>2208</v>
      </c>
      <c r="GD1" s="235" t="s">
        <v>2304</v>
      </c>
      <c r="GE1" s="235" t="s">
        <v>2305</v>
      </c>
      <c r="GF1" s="235" t="s">
        <v>2306</v>
      </c>
      <c r="GG1" s="235" t="s">
        <v>2307</v>
      </c>
      <c r="GH1" s="235" t="s">
        <v>2308</v>
      </c>
      <c r="GI1" s="235" t="s">
        <v>2308</v>
      </c>
      <c r="GJ1" s="235" t="s">
        <v>2309</v>
      </c>
      <c r="GK1" s="235" t="s">
        <v>2310</v>
      </c>
      <c r="GL1" s="235" t="s">
        <v>2311</v>
      </c>
      <c r="GM1" s="235" t="s">
        <v>2312</v>
      </c>
      <c r="GN1" s="235" t="s">
        <v>2313</v>
      </c>
      <c r="GO1" s="235" t="s">
        <v>518</v>
      </c>
      <c r="GP1" s="235" t="s">
        <v>523</v>
      </c>
      <c r="GQ1" s="235" t="s">
        <v>521</v>
      </c>
      <c r="GR1" s="235" t="s">
        <v>525</v>
      </c>
      <c r="GS1" s="235" t="s">
        <v>3031</v>
      </c>
      <c r="GT1" s="235" t="s">
        <v>155</v>
      </c>
      <c r="GU1" s="235" t="s">
        <v>157</v>
      </c>
      <c r="GV1" s="235" t="s">
        <v>159</v>
      </c>
      <c r="GW1" s="235" t="s">
        <v>604</v>
      </c>
      <c r="GX1" s="235" t="s">
        <v>606</v>
      </c>
      <c r="GY1" s="235" t="s">
        <v>608</v>
      </c>
      <c r="GZ1" s="235" t="s">
        <v>610</v>
      </c>
      <c r="HA1" s="235" t="s">
        <v>612</v>
      </c>
      <c r="HB1" s="235" t="s">
        <v>614</v>
      </c>
      <c r="HC1" s="235" t="s">
        <v>616</v>
      </c>
      <c r="HD1" s="235" t="s">
        <v>3021</v>
      </c>
      <c r="HE1" s="235" t="s">
        <v>386</v>
      </c>
      <c r="HF1" s="235" t="s">
        <v>2314</v>
      </c>
      <c r="HG1" s="235" t="s">
        <v>4839</v>
      </c>
      <c r="HH1" s="235" t="s">
        <v>4838</v>
      </c>
      <c r="HI1" s="235" t="s">
        <v>2071</v>
      </c>
      <c r="HJ1" s="235" t="s">
        <v>4132</v>
      </c>
      <c r="HK1" s="235" t="s">
        <v>4131</v>
      </c>
      <c r="HL1" s="235" t="s">
        <v>4837</v>
      </c>
      <c r="HM1" s="235" t="s">
        <v>2055</v>
      </c>
      <c r="HN1" s="235" t="s">
        <v>4836</v>
      </c>
      <c r="HO1" s="235" t="s">
        <v>472</v>
      </c>
      <c r="HP1" s="235" t="s">
        <v>473</v>
      </c>
      <c r="HQ1" s="235" t="s">
        <v>441</v>
      </c>
      <c r="HR1" s="235" t="s">
        <v>439</v>
      </c>
      <c r="HS1" s="235" t="s">
        <v>437</v>
      </c>
      <c r="HT1" s="235" t="s">
        <v>435</v>
      </c>
      <c r="HU1" s="235" t="s">
        <v>433</v>
      </c>
      <c r="HV1" s="235" t="s">
        <v>2800</v>
      </c>
      <c r="HW1" s="235" t="s">
        <v>463</v>
      </c>
      <c r="HX1" s="235" t="s">
        <v>461</v>
      </c>
      <c r="HY1" s="235" t="s">
        <v>459</v>
      </c>
      <c r="HZ1" s="235" t="s">
        <v>457</v>
      </c>
      <c r="IA1" s="235" t="s">
        <v>455</v>
      </c>
      <c r="IB1" s="235" t="s">
        <v>492</v>
      </c>
      <c r="IC1" s="235" t="s">
        <v>490</v>
      </c>
      <c r="ID1" s="235" t="s">
        <v>494</v>
      </c>
      <c r="IE1" s="235" t="s">
        <v>2799</v>
      </c>
      <c r="IF1" s="235" t="s">
        <v>2316</v>
      </c>
      <c r="IG1" s="235" t="s">
        <v>2317</v>
      </c>
      <c r="IH1" s="235" t="s">
        <v>2318</v>
      </c>
      <c r="II1" s="235" t="s">
        <v>2464</v>
      </c>
      <c r="IJ1" s="235" t="s">
        <v>4844</v>
      </c>
      <c r="IK1" s="235" t="s">
        <v>4845</v>
      </c>
      <c r="IL1" s="235" t="s">
        <v>2320</v>
      </c>
      <c r="IM1" s="235" t="s">
        <v>4846</v>
      </c>
      <c r="IN1" s="235" t="s">
        <v>4847</v>
      </c>
      <c r="IO1" s="235" t="s">
        <v>4848</v>
      </c>
      <c r="IP1" s="235" t="s">
        <v>4849</v>
      </c>
      <c r="IQ1" s="235" t="s">
        <v>4850</v>
      </c>
      <c r="IR1" s="235" t="s">
        <v>4851</v>
      </c>
      <c r="IS1" s="235" t="s">
        <v>2319</v>
      </c>
      <c r="IT1" s="235" t="s">
        <v>4853</v>
      </c>
      <c r="IU1" s="235" t="s">
        <v>4852</v>
      </c>
      <c r="IV1" s="235" t="s">
        <v>4854</v>
      </c>
      <c r="IW1" s="235" t="s">
        <v>4855</v>
      </c>
      <c r="IX1" s="235" t="s">
        <v>76</v>
      </c>
      <c r="IY1" s="235" t="s">
        <v>78</v>
      </c>
      <c r="IZ1" s="235" t="s">
        <v>82</v>
      </c>
      <c r="JA1" s="235" t="s">
        <v>84</v>
      </c>
      <c r="JB1" s="235" t="s">
        <v>86</v>
      </c>
      <c r="JC1" s="235" t="s">
        <v>88</v>
      </c>
      <c r="JD1" s="235" t="s">
        <v>90</v>
      </c>
      <c r="JE1" s="235" t="s">
        <v>92</v>
      </c>
      <c r="JF1" s="235" t="s">
        <v>94</v>
      </c>
      <c r="JG1" s="235" t="s">
        <v>4416</v>
      </c>
      <c r="JH1" s="235" t="s">
        <v>96</v>
      </c>
      <c r="JI1" s="235" t="s">
        <v>3444</v>
      </c>
      <c r="JJ1" s="235" t="s">
        <v>3450</v>
      </c>
      <c r="JK1" s="235" t="s">
        <v>4856</v>
      </c>
      <c r="JL1" s="235" t="s">
        <v>2231</v>
      </c>
      <c r="JM1" s="235" t="s">
        <v>2237</v>
      </c>
      <c r="JN1" s="235" t="s">
        <v>4858</v>
      </c>
      <c r="JO1" s="235" t="s">
        <v>110</v>
      </c>
      <c r="JP1" s="235" t="s">
        <v>3446</v>
      </c>
      <c r="JQ1" s="235" t="s">
        <v>2244</v>
      </c>
      <c r="JR1" s="235" t="s">
        <v>3449</v>
      </c>
      <c r="JS1" s="235" t="s">
        <v>4859</v>
      </c>
      <c r="JT1" s="235" t="s">
        <v>4857</v>
      </c>
      <c r="JU1" s="235" t="s">
        <v>2322</v>
      </c>
      <c r="JV1" s="235" t="s">
        <v>2323</v>
      </c>
      <c r="JW1" s="235" t="s">
        <v>2324</v>
      </c>
      <c r="JX1" s="235" t="s">
        <v>1460</v>
      </c>
      <c r="JY1" s="235" t="s">
        <v>2315</v>
      </c>
      <c r="JZ1" s="235" t="s">
        <v>338</v>
      </c>
      <c r="KA1" s="235" t="s">
        <v>331</v>
      </c>
      <c r="KB1" s="235" t="s">
        <v>4537</v>
      </c>
      <c r="KC1" s="235" t="s">
        <v>2463</v>
      </c>
      <c r="KD1" s="235" t="s">
        <v>4532</v>
      </c>
      <c r="KE1" s="235" t="s">
        <v>2184</v>
      </c>
      <c r="KF1" s="235" t="s">
        <v>792</v>
      </c>
      <c r="KG1" s="235" t="s">
        <v>789</v>
      </c>
      <c r="KH1" s="235" t="s">
        <v>787</v>
      </c>
      <c r="KI1" s="235" t="s">
        <v>785</v>
      </c>
      <c r="KJ1" s="235" t="s">
        <v>783</v>
      </c>
      <c r="KK1" s="235" t="s">
        <v>4861</v>
      </c>
      <c r="KL1" s="235" t="s">
        <v>4959</v>
      </c>
      <c r="KM1" s="235" t="s">
        <v>4865</v>
      </c>
      <c r="KN1" s="235" t="s">
        <v>4866</v>
      </c>
      <c r="KO1" s="235" t="s">
        <v>2793</v>
      </c>
      <c r="KP1" s="235" t="s">
        <v>2793</v>
      </c>
      <c r="KQ1" s="235" t="s">
        <v>2793</v>
      </c>
      <c r="KR1" s="235" t="s">
        <v>2793</v>
      </c>
      <c r="KS1" s="235" t="s">
        <v>2793</v>
      </c>
      <c r="KT1" s="235" t="s">
        <v>2793</v>
      </c>
      <c r="KU1" s="235" t="s">
        <v>2793</v>
      </c>
      <c r="KV1" s="235" t="s">
        <v>2793</v>
      </c>
      <c r="KW1" s="235" t="s">
        <v>2793</v>
      </c>
      <c r="KX1" s="235" t="s">
        <v>2793</v>
      </c>
      <c r="KY1" s="235" t="s">
        <v>2793</v>
      </c>
      <c r="KZ1" s="235" t="s">
        <v>2793</v>
      </c>
      <c r="LA1" s="235" t="s">
        <v>2793</v>
      </c>
      <c r="LB1" s="235" t="s">
        <v>2793</v>
      </c>
      <c r="LC1" s="235" t="s">
        <v>2793</v>
      </c>
      <c r="LD1" s="235" t="s">
        <v>2793</v>
      </c>
      <c r="LE1" s="235" t="s">
        <v>2793</v>
      </c>
      <c r="LF1" s="235" t="s">
        <v>1547</v>
      </c>
      <c r="LG1" s="235" t="s">
        <v>1548</v>
      </c>
      <c r="LH1" s="235" t="s">
        <v>1580</v>
      </c>
      <c r="LI1" s="235" t="s">
        <v>2681</v>
      </c>
      <c r="LJ1" s="235" t="s">
        <v>1567</v>
      </c>
      <c r="LK1" s="235" t="s">
        <v>2682</v>
      </c>
      <c r="LL1" s="235" t="s">
        <v>1684</v>
      </c>
      <c r="LM1" s="235" t="s">
        <v>1686</v>
      </c>
      <c r="LN1" s="235" t="s">
        <v>1688</v>
      </c>
      <c r="LO1" s="235" t="s">
        <v>1690</v>
      </c>
      <c r="LP1" s="235" t="s">
        <v>1692</v>
      </c>
      <c r="LQ1" s="235" t="s">
        <v>1694</v>
      </c>
      <c r="LR1" s="235" t="s">
        <v>2683</v>
      </c>
      <c r="LS1" s="235" t="s">
        <v>2684</v>
      </c>
      <c r="LT1" s="235" t="s">
        <v>2685</v>
      </c>
      <c r="LU1" s="235" t="s">
        <v>2686</v>
      </c>
      <c r="LV1" s="235" t="s">
        <v>2687</v>
      </c>
      <c r="LW1" s="235" t="s">
        <v>2688</v>
      </c>
      <c r="LX1" s="235" t="s">
        <v>2689</v>
      </c>
      <c r="LY1" s="235" t="s">
        <v>2690</v>
      </c>
      <c r="LZ1" s="235" t="s">
        <v>2691</v>
      </c>
      <c r="MA1" s="235" t="s">
        <v>2692</v>
      </c>
      <c r="MB1" s="235" t="s">
        <v>2693</v>
      </c>
      <c r="MC1" s="235" t="s">
        <v>3913</v>
      </c>
      <c r="MD1" s="235" t="s">
        <v>3914</v>
      </c>
      <c r="ME1" s="235" t="s">
        <v>3915</v>
      </c>
      <c r="MF1" s="235" t="s">
        <v>3916</v>
      </c>
      <c r="MG1" s="235" t="s">
        <v>3917</v>
      </c>
      <c r="MH1" s="235" t="s">
        <v>3918</v>
      </c>
      <c r="MI1" s="235" t="s">
        <v>3919</v>
      </c>
      <c r="MJ1" s="235" t="s">
        <v>3920</v>
      </c>
      <c r="MK1" s="235" t="s">
        <v>3921</v>
      </c>
      <c r="ML1" s="235" t="s">
        <v>3922</v>
      </c>
      <c r="MM1" s="235" t="s">
        <v>3923</v>
      </c>
      <c r="MN1" s="235" t="s">
        <v>3924</v>
      </c>
      <c r="MO1" s="235" t="s">
        <v>4145</v>
      </c>
      <c r="MP1" s="235" t="s">
        <v>3925</v>
      </c>
      <c r="MQ1" s="235" t="s">
        <v>4151</v>
      </c>
      <c r="MR1" s="235" t="s">
        <v>4149</v>
      </c>
      <c r="MS1" s="235" t="s">
        <v>4154</v>
      </c>
      <c r="MT1" s="235" t="s">
        <v>4155</v>
      </c>
      <c r="MU1" s="235" t="s">
        <v>4147</v>
      </c>
      <c r="MV1" s="235" t="s">
        <v>3926</v>
      </c>
      <c r="MW1" s="235" t="s">
        <v>3927</v>
      </c>
      <c r="MX1" s="235" t="s">
        <v>3928</v>
      </c>
      <c r="MY1" s="235" t="s">
        <v>3929</v>
      </c>
      <c r="MZ1" s="235" t="s">
        <v>3930</v>
      </c>
      <c r="NA1" s="235" t="s">
        <v>3931</v>
      </c>
      <c r="NB1" s="235" t="s">
        <v>3932</v>
      </c>
      <c r="NC1" s="235" t="s">
        <v>3933</v>
      </c>
      <c r="ND1" s="235" t="s">
        <v>3934</v>
      </c>
      <c r="NE1" s="235" t="s">
        <v>3935</v>
      </c>
      <c r="NF1" s="235" t="s">
        <v>3936</v>
      </c>
      <c r="NG1" s="235" t="s">
        <v>3937</v>
      </c>
      <c r="NH1" s="235" t="s">
        <v>3938</v>
      </c>
      <c r="NI1" s="235" t="s">
        <v>3939</v>
      </c>
      <c r="NJ1" s="235" t="s">
        <v>3940</v>
      </c>
      <c r="NK1" s="235" t="s">
        <v>3941</v>
      </c>
      <c r="NL1" s="235" t="s">
        <v>3942</v>
      </c>
      <c r="NM1" s="235" t="s">
        <v>3943</v>
      </c>
      <c r="NN1" s="235" t="s">
        <v>3944</v>
      </c>
      <c r="NO1" s="235" t="s">
        <v>4024</v>
      </c>
      <c r="NP1" s="235" t="s">
        <v>4025</v>
      </c>
      <c r="NQ1" s="235" t="s">
        <v>4026</v>
      </c>
      <c r="NR1" s="235" t="s">
        <v>4027</v>
      </c>
      <c r="NS1" s="235" t="s">
        <v>4028</v>
      </c>
      <c r="NT1" s="235" t="s">
        <v>4029</v>
      </c>
      <c r="NU1" s="235" t="s">
        <v>4030</v>
      </c>
      <c r="NV1" s="235" t="s">
        <v>4031</v>
      </c>
      <c r="NW1" s="235" t="s">
        <v>4713</v>
      </c>
      <c r="NX1" s="235" t="s">
        <v>4714</v>
      </c>
      <c r="NY1" s="235" t="s">
        <v>4715</v>
      </c>
      <c r="NZ1" s="235" t="s">
        <v>4032</v>
      </c>
      <c r="OA1" s="235" t="s">
        <v>4033</v>
      </c>
      <c r="OB1" s="235" t="s">
        <v>4034</v>
      </c>
      <c r="OC1" s="235" t="s">
        <v>4035</v>
      </c>
      <c r="OD1" s="235" t="s">
        <v>4036</v>
      </c>
      <c r="OE1" s="235" t="s">
        <v>4037</v>
      </c>
      <c r="OF1" s="235" t="s">
        <v>4038</v>
      </c>
      <c r="OG1" s="235" t="s">
        <v>4039</v>
      </c>
      <c r="OH1" s="235" t="s">
        <v>3945</v>
      </c>
      <c r="OI1" s="235" t="s">
        <v>3946</v>
      </c>
      <c r="OJ1" s="235" t="s">
        <v>3947</v>
      </c>
      <c r="OK1" s="235" t="s">
        <v>3948</v>
      </c>
      <c r="OL1" s="235" t="s">
        <v>3949</v>
      </c>
      <c r="OM1" s="235" t="s">
        <v>3950</v>
      </c>
      <c r="ON1" s="235" t="s">
        <v>3951</v>
      </c>
      <c r="OO1" s="235" t="s">
        <v>3952</v>
      </c>
      <c r="OP1" s="235" t="s">
        <v>2803</v>
      </c>
      <c r="OQ1" s="235" t="s">
        <v>3953</v>
      </c>
      <c r="OR1" s="235" t="s">
        <v>4157</v>
      </c>
      <c r="OS1" s="235" t="s">
        <v>3954</v>
      </c>
      <c r="OT1" s="235" t="s">
        <v>3955</v>
      </c>
      <c r="OU1" s="235" t="s">
        <v>3956</v>
      </c>
      <c r="OV1" s="235" t="s">
        <v>3957</v>
      </c>
      <c r="OW1" s="235" t="s">
        <v>3958</v>
      </c>
      <c r="OX1" s="235" t="s">
        <v>3959</v>
      </c>
      <c r="OY1" s="235" t="s">
        <v>3960</v>
      </c>
      <c r="OZ1" s="235" t="s">
        <v>3961</v>
      </c>
      <c r="PA1" s="235" t="s">
        <v>3962</v>
      </c>
      <c r="PB1" s="94" t="s">
        <v>3963</v>
      </c>
      <c r="PC1" s="94" t="s">
        <v>3964</v>
      </c>
      <c r="PD1" s="94" t="s">
        <v>3965</v>
      </c>
      <c r="PE1" s="94" t="s">
        <v>3966</v>
      </c>
      <c r="PF1" s="94" t="s">
        <v>3967</v>
      </c>
      <c r="PG1" s="94" t="s">
        <v>3968</v>
      </c>
      <c r="PH1" s="94" t="s">
        <v>3969</v>
      </c>
      <c r="PI1" s="94" t="s">
        <v>3970</v>
      </c>
      <c r="PJ1" s="94" t="s">
        <v>3971</v>
      </c>
      <c r="PK1" s="94" t="s">
        <v>3972</v>
      </c>
      <c r="PL1" s="94" t="s">
        <v>3973</v>
      </c>
      <c r="PM1" s="94" t="s">
        <v>3974</v>
      </c>
      <c r="PN1" s="94" t="s">
        <v>3975</v>
      </c>
      <c r="PO1" s="94" t="s">
        <v>3976</v>
      </c>
      <c r="PP1" s="94" t="s">
        <v>3977</v>
      </c>
      <c r="PQ1" s="94" t="s">
        <v>3978</v>
      </c>
      <c r="PR1" s="94" t="s">
        <v>3979</v>
      </c>
      <c r="PS1" s="94" t="s">
        <v>3980</v>
      </c>
      <c r="PT1" s="94" t="s">
        <v>3981</v>
      </c>
      <c r="PU1" s="94" t="s">
        <v>3982</v>
      </c>
      <c r="PV1" s="94" t="s">
        <v>3983</v>
      </c>
      <c r="PW1" s="94" t="s">
        <v>4735</v>
      </c>
      <c r="PX1" s="94" t="s">
        <v>3984</v>
      </c>
      <c r="PY1" s="94" t="s">
        <v>3985</v>
      </c>
      <c r="PZ1" s="94" t="s">
        <v>3986</v>
      </c>
      <c r="QA1" s="94" t="s">
        <v>3987</v>
      </c>
      <c r="QB1" s="94" t="s">
        <v>3988</v>
      </c>
      <c r="QC1" s="94" t="s">
        <v>3989</v>
      </c>
      <c r="QD1" s="94" t="s">
        <v>3990</v>
      </c>
      <c r="QE1" s="94" t="s">
        <v>3991</v>
      </c>
      <c r="QF1" s="94" t="s">
        <v>3992</v>
      </c>
      <c r="QG1" s="94" t="s">
        <v>3993</v>
      </c>
      <c r="QH1" s="94" t="s">
        <v>3994</v>
      </c>
      <c r="QI1" s="94" t="s">
        <v>3995</v>
      </c>
      <c r="QJ1" s="94" t="s">
        <v>3996</v>
      </c>
      <c r="QK1" s="94" t="s">
        <v>3997</v>
      </c>
      <c r="QL1" s="94" t="s">
        <v>3998</v>
      </c>
      <c r="QM1" s="94" t="s">
        <v>3999</v>
      </c>
      <c r="QN1" s="94" t="s">
        <v>4000</v>
      </c>
      <c r="QO1" s="94" t="s">
        <v>4001</v>
      </c>
      <c r="QP1" s="94" t="s">
        <v>4002</v>
      </c>
      <c r="QQ1" s="94" t="s">
        <v>4003</v>
      </c>
      <c r="QR1" s="94" t="s">
        <v>4004</v>
      </c>
      <c r="QS1" s="94" t="s">
        <v>4005</v>
      </c>
      <c r="QT1" s="94" t="s">
        <v>4006</v>
      </c>
      <c r="QU1" s="94" t="s">
        <v>4007</v>
      </c>
      <c r="QV1" s="94" t="s">
        <v>4008</v>
      </c>
      <c r="QW1" s="94" t="s">
        <v>4009</v>
      </c>
      <c r="QX1" s="94" t="s">
        <v>4010</v>
      </c>
      <c r="QY1" s="94" t="s">
        <v>4011</v>
      </c>
      <c r="QZ1" s="94" t="s">
        <v>4012</v>
      </c>
      <c r="RA1" s="94" t="s">
        <v>4013</v>
      </c>
      <c r="RB1" s="94" t="s">
        <v>4014</v>
      </c>
      <c r="RC1" s="94" t="s">
        <v>4015</v>
      </c>
      <c r="RD1" s="94" t="s">
        <v>4016</v>
      </c>
      <c r="RE1" s="94" t="s">
        <v>4017</v>
      </c>
      <c r="RF1" s="94" t="s">
        <v>4018</v>
      </c>
      <c r="RG1" s="94" t="s">
        <v>4019</v>
      </c>
      <c r="RH1" s="94" t="s">
        <v>4020</v>
      </c>
      <c r="RI1" s="94" t="s">
        <v>4021</v>
      </c>
      <c r="RJ1" s="94" t="s">
        <v>4022</v>
      </c>
      <c r="RK1" s="94" t="s">
        <v>4022</v>
      </c>
      <c r="RL1" s="94" t="s">
        <v>4022</v>
      </c>
      <c r="RM1" s="94"/>
      <c r="RN1" s="94"/>
      <c r="RO1" s="94"/>
      <c r="RP1" s="94"/>
      <c r="RQ1" s="94"/>
    </row>
    <row r="2" spans="1:485" ht="177.75" customHeight="1">
      <c r="A2" s="235" t="s">
        <v>296</v>
      </c>
      <c r="B2" s="235" t="s">
        <v>298</v>
      </c>
      <c r="C2" s="235" t="s">
        <v>300</v>
      </c>
      <c r="D2" s="235" t="s">
        <v>302</v>
      </c>
      <c r="E2" s="235" t="s">
        <v>304</v>
      </c>
      <c r="F2" s="235" t="s">
        <v>306</v>
      </c>
      <c r="G2" s="235" t="s">
        <v>308</v>
      </c>
      <c r="H2" s="235" t="s">
        <v>222</v>
      </c>
      <c r="I2" s="235" t="s">
        <v>2896</v>
      </c>
      <c r="J2" s="235" t="s">
        <v>2897</v>
      </c>
      <c r="K2" s="235" t="s">
        <v>2898</v>
      </c>
      <c r="L2" s="235" t="s">
        <v>2899</v>
      </c>
      <c r="M2" s="235" t="s">
        <v>2900</v>
      </c>
      <c r="N2" s="235" t="s">
        <v>2901</v>
      </c>
      <c r="O2" s="235" t="s">
        <v>202</v>
      </c>
      <c r="P2" s="235" t="s">
        <v>204</v>
      </c>
      <c r="Q2" s="235" t="s">
        <v>206</v>
      </c>
      <c r="R2" s="235" t="s">
        <v>208</v>
      </c>
      <c r="S2" s="235" t="s">
        <v>210</v>
      </c>
      <c r="T2" s="235" t="s">
        <v>212</v>
      </c>
      <c r="U2" s="235" t="s">
        <v>214</v>
      </c>
      <c r="V2" s="235" t="s">
        <v>3251</v>
      </c>
      <c r="W2" s="235" t="s">
        <v>3250</v>
      </c>
      <c r="X2" s="235" t="s">
        <v>3246</v>
      </c>
      <c r="Y2" s="235" t="s">
        <v>3244</v>
      </c>
      <c r="Z2" s="235" t="s">
        <v>321</v>
      </c>
      <c r="AA2" s="235" t="s">
        <v>324</v>
      </c>
      <c r="AB2" s="235" t="s">
        <v>328</v>
      </c>
      <c r="AC2" s="235" t="s">
        <v>330</v>
      </c>
      <c r="AD2" s="235" t="s">
        <v>326</v>
      </c>
      <c r="AE2" s="235" t="s">
        <v>2568</v>
      </c>
      <c r="AF2" s="235" t="s">
        <v>3053</v>
      </c>
      <c r="AG2" s="235" t="s">
        <v>310</v>
      </c>
      <c r="AH2" s="235" t="s">
        <v>311</v>
      </c>
      <c r="AI2" s="235" t="s">
        <v>312</v>
      </c>
      <c r="AJ2" s="235" t="s">
        <v>313</v>
      </c>
      <c r="AK2" s="235" t="s">
        <v>314</v>
      </c>
      <c r="AL2" s="235" t="s">
        <v>315</v>
      </c>
      <c r="AM2" s="235" t="s">
        <v>316</v>
      </c>
      <c r="AN2" s="235" t="s">
        <v>366</v>
      </c>
      <c r="AO2" s="235" t="s">
        <v>368</v>
      </c>
      <c r="AP2" s="235" t="s">
        <v>370</v>
      </c>
      <c r="AQ2" s="235" t="s">
        <v>372</v>
      </c>
      <c r="AR2" s="235" t="s">
        <v>374</v>
      </c>
      <c r="AS2" s="235" t="s">
        <v>376</v>
      </c>
      <c r="AT2" s="235" t="s">
        <v>378</v>
      </c>
      <c r="AU2" s="235" t="s">
        <v>252</v>
      </c>
      <c r="AV2" s="235" t="s">
        <v>254</v>
      </c>
      <c r="AW2" s="235" t="s">
        <v>256</v>
      </c>
      <c r="AX2" s="235" t="s">
        <v>258</v>
      </c>
      <c r="AY2" s="235" t="s">
        <v>260</v>
      </c>
      <c r="AZ2" s="235" t="s">
        <v>262</v>
      </c>
      <c r="BA2" s="235" t="s">
        <v>264</v>
      </c>
      <c r="BB2" s="235" t="s">
        <v>248</v>
      </c>
      <c r="BC2" s="235" t="s">
        <v>4716</v>
      </c>
      <c r="BD2" s="235" t="s">
        <v>1866</v>
      </c>
      <c r="BE2" s="235" t="s">
        <v>1868</v>
      </c>
      <c r="BF2" s="235" t="s">
        <v>2214</v>
      </c>
      <c r="BG2" s="235" t="s">
        <v>2217</v>
      </c>
      <c r="BH2" s="235" t="s">
        <v>2218</v>
      </c>
      <c r="BI2" s="235" t="s">
        <v>2219</v>
      </c>
      <c r="BJ2" s="235" t="s">
        <v>2889</v>
      </c>
      <c r="BK2" s="235" t="s">
        <v>2890</v>
      </c>
      <c r="BL2" s="235" t="s">
        <v>2223</v>
      </c>
      <c r="BM2" s="235" t="s">
        <v>2556</v>
      </c>
      <c r="BN2" s="235" t="s">
        <v>2557</v>
      </c>
      <c r="BO2" s="235" t="s">
        <v>2225</v>
      </c>
      <c r="BP2" s="235" t="s">
        <v>2145</v>
      </c>
      <c r="BQ2" s="235" t="s">
        <v>2148</v>
      </c>
      <c r="BR2" s="235" t="s">
        <v>2559</v>
      </c>
      <c r="BS2" s="235" t="s">
        <v>2558</v>
      </c>
      <c r="BT2" s="235" t="s">
        <v>2155</v>
      </c>
      <c r="BU2" s="235" t="s">
        <v>2157</v>
      </c>
      <c r="BV2" s="235" t="s">
        <v>2158</v>
      </c>
      <c r="BW2" s="235" t="s">
        <v>2160</v>
      </c>
      <c r="BX2" s="235" t="s">
        <v>2162</v>
      </c>
      <c r="BY2" s="235" t="s">
        <v>2164</v>
      </c>
      <c r="BZ2" s="235" t="s">
        <v>2338</v>
      </c>
      <c r="CA2" s="235" t="s">
        <v>2338</v>
      </c>
      <c r="CB2" s="235" t="s">
        <v>2167</v>
      </c>
      <c r="CC2" s="235" t="s">
        <v>2169</v>
      </c>
      <c r="CD2" s="235" t="s">
        <v>2171</v>
      </c>
      <c r="CE2" s="235" t="s">
        <v>2172</v>
      </c>
      <c r="CF2" s="235" t="s">
        <v>2176</v>
      </c>
      <c r="CG2" s="235" t="s">
        <v>2178</v>
      </c>
      <c r="CH2" s="235" t="s">
        <v>2180</v>
      </c>
      <c r="CI2" s="235" t="s">
        <v>2181</v>
      </c>
      <c r="CJ2" s="235" t="s">
        <v>2564</v>
      </c>
      <c r="CK2" s="235" t="s">
        <v>2563</v>
      </c>
      <c r="CL2" s="235" t="s">
        <v>2562</v>
      </c>
      <c r="CM2" s="235" t="s">
        <v>2561</v>
      </c>
      <c r="CN2" s="235" t="s">
        <v>3023</v>
      </c>
      <c r="CO2" s="235" t="s">
        <v>3026</v>
      </c>
      <c r="CP2" s="235" t="s">
        <v>3254</v>
      </c>
      <c r="CQ2" s="235" t="s">
        <v>2183</v>
      </c>
      <c r="CR2" s="235" t="s">
        <v>2187</v>
      </c>
      <c r="CS2" s="235" t="s">
        <v>2192</v>
      </c>
      <c r="CT2" s="235" t="s">
        <v>2194</v>
      </c>
      <c r="CU2" s="235" t="s">
        <v>2196</v>
      </c>
      <c r="CV2" s="235" t="s">
        <v>2199</v>
      </c>
      <c r="CW2" s="235" t="s">
        <v>2201</v>
      </c>
      <c r="CX2" s="235" t="s">
        <v>2203</v>
      </c>
      <c r="CY2" s="235" t="s">
        <v>2205</v>
      </c>
      <c r="CZ2" s="235" t="s">
        <v>2207</v>
      </c>
      <c r="DA2" s="235" t="s">
        <v>2914</v>
      </c>
      <c r="DB2" s="235" t="s">
        <v>2567</v>
      </c>
      <c r="DC2" s="235" t="s">
        <v>3770</v>
      </c>
      <c r="DD2" s="235" t="s">
        <v>2992</v>
      </c>
      <c r="DE2" s="235" t="s">
        <v>2227</v>
      </c>
      <c r="DF2" s="235" t="s">
        <v>2230</v>
      </c>
      <c r="DG2" s="235" t="s">
        <v>2234</v>
      </c>
      <c r="DH2" s="235" t="s">
        <v>2236</v>
      </c>
      <c r="DI2" s="235" t="s">
        <v>2239</v>
      </c>
      <c r="DJ2" s="235" t="s">
        <v>2242</v>
      </c>
      <c r="DK2" s="235" t="s">
        <v>4534</v>
      </c>
      <c r="DL2" s="235" t="s">
        <v>2246</v>
      </c>
      <c r="DM2" s="235" t="s">
        <v>2249</v>
      </c>
      <c r="DN2" s="235" t="s">
        <v>2251</v>
      </c>
      <c r="DO2" s="235" t="s">
        <v>2254</v>
      </c>
      <c r="DP2" s="235" t="s">
        <v>2256</v>
      </c>
      <c r="DQ2" s="235" t="s">
        <v>2259</v>
      </c>
      <c r="DR2" s="235" t="s">
        <v>2262</v>
      </c>
      <c r="DS2" s="235" t="s">
        <v>2264</v>
      </c>
      <c r="DT2" s="235" t="s">
        <v>2266</v>
      </c>
      <c r="DU2" s="235" t="s">
        <v>2268</v>
      </c>
      <c r="DV2" s="235" t="s">
        <v>2270</v>
      </c>
      <c r="DW2" s="235" t="s">
        <v>2272</v>
      </c>
      <c r="DX2" s="235" t="s">
        <v>2274</v>
      </c>
      <c r="DY2" s="235" t="s">
        <v>2573</v>
      </c>
      <c r="DZ2" s="235" t="s">
        <v>2574</v>
      </c>
      <c r="EA2" s="235" t="s">
        <v>2576</v>
      </c>
      <c r="EB2" s="235" t="s">
        <v>2578</v>
      </c>
      <c r="EC2" s="235" t="s">
        <v>2580</v>
      </c>
      <c r="ED2" s="235" t="s">
        <v>2582</v>
      </c>
      <c r="EE2" s="235" t="s">
        <v>2584</v>
      </c>
      <c r="EF2" s="235" t="s">
        <v>2586</v>
      </c>
      <c r="EG2" s="235" t="s">
        <v>2588</v>
      </c>
      <c r="EH2" s="235" t="s">
        <v>2276</v>
      </c>
      <c r="EI2" s="235" t="s">
        <v>2595</v>
      </c>
      <c r="EJ2" s="235" t="s">
        <v>2278</v>
      </c>
      <c r="EK2" s="235" t="s">
        <v>2281</v>
      </c>
      <c r="EL2" s="235" t="s">
        <v>2590</v>
      </c>
      <c r="EM2" s="235" t="s">
        <v>2597</v>
      </c>
      <c r="EN2" s="235" t="s">
        <v>2332</v>
      </c>
      <c r="EO2" s="235" t="s">
        <v>2334</v>
      </c>
      <c r="EP2" s="235" t="s">
        <v>2337</v>
      </c>
      <c r="EQ2" s="235" t="s">
        <v>2336</v>
      </c>
      <c r="ER2" s="235" t="s">
        <v>2335</v>
      </c>
      <c r="ES2" s="235" t="s">
        <v>2345</v>
      </c>
      <c r="ET2" s="235" t="s">
        <v>2346</v>
      </c>
      <c r="EU2" s="235" t="s">
        <v>4740</v>
      </c>
      <c r="EV2" s="235" t="s">
        <v>4741</v>
      </c>
      <c r="EW2" s="235" t="s">
        <v>2796</v>
      </c>
      <c r="EX2" s="235" t="s">
        <v>3061</v>
      </c>
      <c r="EY2" s="235" t="s">
        <v>4141</v>
      </c>
      <c r="EZ2" s="235" t="s">
        <v>4143</v>
      </c>
      <c r="FA2" s="235" t="s">
        <v>3043</v>
      </c>
      <c r="FB2" s="235" t="s">
        <v>3042</v>
      </c>
      <c r="FC2" s="235" t="s">
        <v>3041</v>
      </c>
      <c r="FD2" s="235" t="s">
        <v>3047</v>
      </c>
      <c r="FE2" s="235" t="s">
        <v>3048</v>
      </c>
      <c r="FF2" s="235" t="s">
        <v>3049</v>
      </c>
      <c r="FG2" s="235" t="s">
        <v>3059</v>
      </c>
      <c r="FH2" s="235" t="s">
        <v>3060</v>
      </c>
      <c r="FI2" s="235" t="s">
        <v>4957</v>
      </c>
      <c r="FJ2" s="235" t="s">
        <v>543</v>
      </c>
      <c r="FK2" s="235" t="s">
        <v>542</v>
      </c>
      <c r="FL2" s="235" t="s">
        <v>541</v>
      </c>
      <c r="FM2" s="235" t="s">
        <v>540</v>
      </c>
      <c r="FN2" s="235" t="s">
        <v>539</v>
      </c>
      <c r="FO2" s="235" t="s">
        <v>538</v>
      </c>
      <c r="FP2" s="235" t="s">
        <v>537</v>
      </c>
      <c r="FQ2" s="235" t="s">
        <v>564</v>
      </c>
      <c r="FR2" s="235" t="s">
        <v>562</v>
      </c>
      <c r="FS2" s="235" t="s">
        <v>560</v>
      </c>
      <c r="FT2" s="235" t="s">
        <v>558</v>
      </c>
      <c r="FU2" s="235" t="s">
        <v>556</v>
      </c>
      <c r="FV2" s="235" t="s">
        <v>554</v>
      </c>
      <c r="FW2" s="235" t="s">
        <v>4561</v>
      </c>
      <c r="FX2" s="235" t="s">
        <v>412</v>
      </c>
      <c r="FY2" s="235" t="s">
        <v>414</v>
      </c>
      <c r="FZ2" s="235" t="s">
        <v>416</v>
      </c>
      <c r="GA2" s="235" t="s">
        <v>418</v>
      </c>
      <c r="GB2" s="235" t="s">
        <v>420</v>
      </c>
      <c r="GC2" s="235" t="s">
        <v>501</v>
      </c>
      <c r="GD2" s="235" t="s">
        <v>503</v>
      </c>
      <c r="GE2" s="235" t="s">
        <v>509</v>
      </c>
      <c r="GF2" s="235" t="s">
        <v>511</v>
      </c>
      <c r="GG2" s="235" t="s">
        <v>513</v>
      </c>
      <c r="GH2" s="235" t="s">
        <v>1802</v>
      </c>
      <c r="GI2" s="235" t="s">
        <v>1802</v>
      </c>
      <c r="GJ2" s="235" t="s">
        <v>1803</v>
      </c>
      <c r="GK2" s="235" t="s">
        <v>1804</v>
      </c>
      <c r="GL2" s="235" t="s">
        <v>1805</v>
      </c>
      <c r="GM2" s="235" t="s">
        <v>1806</v>
      </c>
      <c r="GN2" s="235" t="s">
        <v>1808</v>
      </c>
      <c r="GO2" s="235" t="s">
        <v>520</v>
      </c>
      <c r="GP2" s="235" t="s">
        <v>524</v>
      </c>
      <c r="GQ2" s="235" t="s">
        <v>522</v>
      </c>
      <c r="GR2" s="235" t="s">
        <v>526</v>
      </c>
      <c r="GS2" s="235" t="s">
        <v>2996</v>
      </c>
      <c r="GT2" s="235" t="s">
        <v>156</v>
      </c>
      <c r="GU2" s="235" t="s">
        <v>158</v>
      </c>
      <c r="GV2" s="235" t="s">
        <v>160</v>
      </c>
      <c r="GW2" s="235" t="s">
        <v>605</v>
      </c>
      <c r="GX2" s="235" t="s">
        <v>607</v>
      </c>
      <c r="GY2" s="235" t="s">
        <v>609</v>
      </c>
      <c r="GZ2" s="235" t="s">
        <v>611</v>
      </c>
      <c r="HA2" s="235" t="s">
        <v>613</v>
      </c>
      <c r="HB2" s="235" t="s">
        <v>615</v>
      </c>
      <c r="HC2" s="235" t="s">
        <v>617</v>
      </c>
      <c r="HD2" s="235" t="s">
        <v>2995</v>
      </c>
      <c r="HE2" s="235" t="s">
        <v>387</v>
      </c>
      <c r="HF2" s="235" t="s">
        <v>34</v>
      </c>
      <c r="HG2" s="235" t="s">
        <v>4841</v>
      </c>
      <c r="HH2" s="235" t="s">
        <v>4842</v>
      </c>
      <c r="HI2" s="235" t="s">
        <v>2072</v>
      </c>
      <c r="HJ2" s="235" t="s">
        <v>4133</v>
      </c>
      <c r="HK2" s="235" t="s">
        <v>4134</v>
      </c>
      <c r="HL2" s="235" t="s">
        <v>4840</v>
      </c>
      <c r="HM2" s="235" t="s">
        <v>4136</v>
      </c>
      <c r="HN2" s="235" t="s">
        <v>4843</v>
      </c>
      <c r="HO2" s="235" t="s">
        <v>4288</v>
      </c>
      <c r="HP2" s="235" t="s">
        <v>4183</v>
      </c>
      <c r="HQ2" s="235" t="s">
        <v>442</v>
      </c>
      <c r="HR2" s="235" t="s">
        <v>440</v>
      </c>
      <c r="HS2" s="235" t="s">
        <v>438</v>
      </c>
      <c r="HT2" s="235" t="s">
        <v>436</v>
      </c>
      <c r="HU2" s="235" t="s">
        <v>434</v>
      </c>
      <c r="HV2" s="235" t="s">
        <v>443</v>
      </c>
      <c r="HW2" s="235" t="s">
        <v>464</v>
      </c>
      <c r="HX2" s="235" t="s">
        <v>462</v>
      </c>
      <c r="HY2" s="235" t="s">
        <v>460</v>
      </c>
      <c r="HZ2" s="235" t="s">
        <v>458</v>
      </c>
      <c r="IA2" s="235" t="s">
        <v>456</v>
      </c>
      <c r="IB2" s="235" t="s">
        <v>493</v>
      </c>
      <c r="IC2" s="235" t="s">
        <v>491</v>
      </c>
      <c r="ID2" s="235" t="s">
        <v>495</v>
      </c>
      <c r="IE2" s="235" t="s">
        <v>446</v>
      </c>
      <c r="IF2" s="235" t="s">
        <v>4161</v>
      </c>
      <c r="IG2" s="235" t="s">
        <v>4163</v>
      </c>
      <c r="IH2" s="235" t="s">
        <v>4164</v>
      </c>
      <c r="II2" s="235" t="s">
        <v>4539</v>
      </c>
      <c r="IJ2" s="235" t="s">
        <v>4540</v>
      </c>
      <c r="IK2" s="235" t="s">
        <v>1827</v>
      </c>
      <c r="IL2" s="235" t="s">
        <v>1829</v>
      </c>
      <c r="IM2" s="235" t="s">
        <v>1831</v>
      </c>
      <c r="IN2" s="235" t="s">
        <v>1833</v>
      </c>
      <c r="IO2" s="235" t="s">
        <v>1835</v>
      </c>
      <c r="IP2" s="235" t="s">
        <v>1841</v>
      </c>
      <c r="IQ2" s="235" t="s">
        <v>1905</v>
      </c>
      <c r="IR2" s="235" t="s">
        <v>1903</v>
      </c>
      <c r="IS2" s="235" t="s">
        <v>3229</v>
      </c>
      <c r="IT2" s="235" t="s">
        <v>3230</v>
      </c>
      <c r="IU2" s="235" t="s">
        <v>1941</v>
      </c>
      <c r="IV2" s="235" t="s">
        <v>1937</v>
      </c>
      <c r="IW2" s="235" t="s">
        <v>3302</v>
      </c>
      <c r="IX2" s="235" t="s">
        <v>77</v>
      </c>
      <c r="IY2" s="235" t="s">
        <v>79</v>
      </c>
      <c r="IZ2" s="235" t="s">
        <v>83</v>
      </c>
      <c r="JA2" s="235" t="s">
        <v>85</v>
      </c>
      <c r="JB2" s="235" t="s">
        <v>87</v>
      </c>
      <c r="JC2" s="235" t="s">
        <v>89</v>
      </c>
      <c r="JD2" s="235" t="s">
        <v>91</v>
      </c>
      <c r="JE2" s="235" t="s">
        <v>93</v>
      </c>
      <c r="JF2" s="235" t="s">
        <v>95</v>
      </c>
      <c r="JG2" s="235" t="s">
        <v>4417</v>
      </c>
      <c r="JH2" s="235" t="s">
        <v>97</v>
      </c>
      <c r="JI2" s="235" t="s">
        <v>3455</v>
      </c>
      <c r="JJ2" s="235" t="s">
        <v>3451</v>
      </c>
      <c r="JK2" s="235" t="s">
        <v>103</v>
      </c>
      <c r="JL2" s="235" t="s">
        <v>105</v>
      </c>
      <c r="JM2" s="235" t="s">
        <v>107</v>
      </c>
      <c r="JN2" s="235" t="s">
        <v>109</v>
      </c>
      <c r="JO2" s="235" t="s">
        <v>111</v>
      </c>
      <c r="JP2" s="235" t="s">
        <v>113</v>
      </c>
      <c r="JQ2" s="235" t="s">
        <v>115</v>
      </c>
      <c r="JR2" s="235" t="s">
        <v>119</v>
      </c>
      <c r="JS2" s="235" t="s">
        <v>3454</v>
      </c>
      <c r="JT2" s="235" t="s">
        <v>3052</v>
      </c>
      <c r="JU2" s="235" t="s">
        <v>147</v>
      </c>
      <c r="JV2" s="235" t="s">
        <v>149</v>
      </c>
      <c r="JW2" s="235" t="s">
        <v>4550</v>
      </c>
      <c r="JX2" s="235" t="s">
        <v>1461</v>
      </c>
      <c r="JY2" s="235" t="s">
        <v>342</v>
      </c>
      <c r="JZ2" s="235" t="s">
        <v>339</v>
      </c>
      <c r="KA2" s="235" t="s">
        <v>763</v>
      </c>
      <c r="KB2" s="235" t="s">
        <v>4527</v>
      </c>
      <c r="KC2" s="235" t="s">
        <v>3197</v>
      </c>
      <c r="KD2" s="235" t="s">
        <v>198</v>
      </c>
      <c r="KE2" s="236" t="s">
        <v>186</v>
      </c>
      <c r="KF2" s="235" t="s">
        <v>791</v>
      </c>
      <c r="KG2" s="235" t="s">
        <v>790</v>
      </c>
      <c r="KH2" s="235" t="s">
        <v>788</v>
      </c>
      <c r="KI2" s="235" t="s">
        <v>786</v>
      </c>
      <c r="KJ2" s="235" t="s">
        <v>784</v>
      </c>
      <c r="KK2" s="235" t="s">
        <v>4863</v>
      </c>
      <c r="KL2" s="235" t="s">
        <v>2849</v>
      </c>
      <c r="KM2" s="235" t="s">
        <v>4864</v>
      </c>
      <c r="KN2" s="235" t="s">
        <v>4867</v>
      </c>
      <c r="KO2" s="235">
        <v>0</v>
      </c>
      <c r="KP2" s="235">
        <v>0</v>
      </c>
      <c r="KQ2" s="235">
        <v>0</v>
      </c>
      <c r="KR2" s="235">
        <v>0</v>
      </c>
      <c r="KS2" s="235">
        <v>0</v>
      </c>
      <c r="KT2" s="235">
        <v>0</v>
      </c>
      <c r="KU2" s="235">
        <v>0</v>
      </c>
      <c r="KV2" s="235">
        <v>0</v>
      </c>
      <c r="KW2" s="235">
        <v>0</v>
      </c>
      <c r="KX2" s="235">
        <v>0</v>
      </c>
      <c r="KY2" s="235">
        <v>0</v>
      </c>
      <c r="KZ2" s="235">
        <v>0</v>
      </c>
      <c r="LA2" s="235">
        <v>0</v>
      </c>
      <c r="LB2" s="235">
        <v>0</v>
      </c>
      <c r="LC2" s="235">
        <v>0</v>
      </c>
      <c r="LD2" s="235">
        <v>0</v>
      </c>
      <c r="LE2" s="235">
        <v>0</v>
      </c>
      <c r="LF2" s="235" t="s">
        <v>1544</v>
      </c>
      <c r="LG2" s="235" t="s">
        <v>1546</v>
      </c>
      <c r="LH2" s="235" t="s">
        <v>4519</v>
      </c>
      <c r="LI2" s="235" t="s">
        <v>1573</v>
      </c>
      <c r="LJ2" s="235" t="s">
        <v>1568</v>
      </c>
      <c r="LK2" s="235" t="s">
        <v>1559</v>
      </c>
      <c r="LL2" s="235" t="s">
        <v>1685</v>
      </c>
      <c r="LM2" s="235" t="s">
        <v>1687</v>
      </c>
      <c r="LN2" s="235" t="s">
        <v>1689</v>
      </c>
      <c r="LO2" s="235" t="s">
        <v>1691</v>
      </c>
      <c r="LP2" s="235" t="s">
        <v>1693</v>
      </c>
      <c r="LQ2" s="235" t="s">
        <v>1695</v>
      </c>
      <c r="LR2" s="235" t="s">
        <v>1729</v>
      </c>
      <c r="LS2" s="235" t="s">
        <v>1732</v>
      </c>
      <c r="LT2" s="235" t="s">
        <v>1734</v>
      </c>
      <c r="LU2" s="235" t="s">
        <v>1736</v>
      </c>
      <c r="LV2" s="235" t="s">
        <v>1740</v>
      </c>
      <c r="LW2" s="235" t="s">
        <v>1742</v>
      </c>
      <c r="LX2" s="235" t="s">
        <v>1746</v>
      </c>
      <c r="LY2" s="235" t="s">
        <v>1748</v>
      </c>
      <c r="LZ2" s="235" t="s">
        <v>1754</v>
      </c>
      <c r="MA2" s="235" t="s">
        <v>1756</v>
      </c>
      <c r="MB2" s="235" t="s">
        <v>1758</v>
      </c>
      <c r="MC2" s="235" t="s">
        <v>2964</v>
      </c>
      <c r="MD2" s="235" t="s">
        <v>3489</v>
      </c>
      <c r="ME2" s="235" t="s">
        <v>3491</v>
      </c>
      <c r="MF2" s="235" t="s">
        <v>2962</v>
      </c>
      <c r="MG2" s="235" t="s">
        <v>2963</v>
      </c>
      <c r="MH2" s="235" t="s">
        <v>3514</v>
      </c>
      <c r="MI2" s="235" t="s">
        <v>3461</v>
      </c>
      <c r="MJ2" s="235" t="s">
        <v>3462</v>
      </c>
      <c r="MK2" s="235" t="s">
        <v>3463</v>
      </c>
      <c r="ML2" s="235" t="s">
        <v>3464</v>
      </c>
      <c r="MM2" s="235" t="s">
        <v>3465</v>
      </c>
      <c r="MN2" s="235" t="s">
        <v>3466</v>
      </c>
      <c r="MO2" s="235" t="s">
        <v>4144</v>
      </c>
      <c r="MP2" s="235" t="s">
        <v>4146</v>
      </c>
      <c r="MQ2" s="235" t="s">
        <v>4152</v>
      </c>
      <c r="MR2" s="235" t="s">
        <v>4150</v>
      </c>
      <c r="MS2" s="235" t="s">
        <v>4153</v>
      </c>
      <c r="MT2" s="235" t="s">
        <v>4156</v>
      </c>
      <c r="MU2" s="235" t="s">
        <v>4148</v>
      </c>
      <c r="MV2" s="235" t="s">
        <v>3474</v>
      </c>
      <c r="MW2" s="235" t="s">
        <v>3475</v>
      </c>
      <c r="MX2" s="235" t="s">
        <v>3476</v>
      </c>
      <c r="MY2" s="235" t="s">
        <v>3477</v>
      </c>
      <c r="MZ2" s="235" t="s">
        <v>3487</v>
      </c>
      <c r="NA2" s="235" t="s">
        <v>3488</v>
      </c>
      <c r="NB2" s="235" t="s">
        <v>3532</v>
      </c>
      <c r="NC2" s="235" t="s">
        <v>3532</v>
      </c>
      <c r="ND2" s="235" t="s">
        <v>3515</v>
      </c>
      <c r="NE2" s="235" t="s">
        <v>2975</v>
      </c>
      <c r="NF2" s="235" t="s">
        <v>2976</v>
      </c>
      <c r="NG2" s="235" t="s">
        <v>2977</v>
      </c>
      <c r="NH2" s="235" t="s">
        <v>2978</v>
      </c>
      <c r="NI2" s="235" t="s">
        <v>2979</v>
      </c>
      <c r="NJ2" s="235" t="s">
        <v>2980</v>
      </c>
      <c r="NK2" s="235" t="s">
        <v>2981</v>
      </c>
      <c r="NL2" s="235" t="s">
        <v>2982</v>
      </c>
      <c r="NM2" s="235" t="s">
        <v>2983</v>
      </c>
      <c r="NN2" s="235" t="s">
        <v>2984</v>
      </c>
      <c r="NO2" s="235" t="s">
        <v>2973</v>
      </c>
      <c r="NP2" s="235" t="s">
        <v>2749</v>
      </c>
      <c r="NQ2" s="235" t="s">
        <v>2974</v>
      </c>
      <c r="NR2" s="235" t="s">
        <v>2752</v>
      </c>
      <c r="NS2" s="235" t="s">
        <v>2753</v>
      </c>
      <c r="NT2" s="235" t="s">
        <v>2755</v>
      </c>
      <c r="NU2" s="235" t="s">
        <v>2756</v>
      </c>
      <c r="NV2" s="235" t="s">
        <v>4707</v>
      </c>
      <c r="NW2" s="235" t="s">
        <v>4708</v>
      </c>
      <c r="NX2" s="235" t="s">
        <v>4709</v>
      </c>
      <c r="NY2" s="235" t="s">
        <v>4710</v>
      </c>
      <c r="NZ2" s="235" t="s">
        <v>2758</v>
      </c>
      <c r="OA2" s="235" t="s">
        <v>3554</v>
      </c>
      <c r="OB2" s="235" t="s">
        <v>3531</v>
      </c>
      <c r="OC2" s="235" t="s">
        <v>2762</v>
      </c>
      <c r="OD2" s="235" t="s">
        <v>2763</v>
      </c>
      <c r="OE2" s="235" t="s">
        <v>2764</v>
      </c>
      <c r="OF2" s="235" t="s">
        <v>2766</v>
      </c>
      <c r="OG2" s="235" t="s">
        <v>2772</v>
      </c>
      <c r="OH2" s="235" t="s">
        <v>2931</v>
      </c>
      <c r="OI2" s="235" t="s">
        <v>2930</v>
      </c>
      <c r="OJ2" s="235" t="s">
        <v>2932</v>
      </c>
      <c r="OK2" s="235" t="s">
        <v>2933</v>
      </c>
      <c r="OL2" s="235" t="s">
        <v>2934</v>
      </c>
      <c r="OM2" s="235" t="s">
        <v>2935</v>
      </c>
      <c r="ON2" s="235" t="s">
        <v>2936</v>
      </c>
      <c r="OO2" s="235" t="s">
        <v>2985</v>
      </c>
      <c r="OP2" s="235" t="s">
        <v>2746</v>
      </c>
      <c r="OQ2" s="235" t="s">
        <v>2953</v>
      </c>
      <c r="OR2" s="235" t="s">
        <v>4158</v>
      </c>
      <c r="OS2" s="235" t="s">
        <v>2954</v>
      </c>
      <c r="OT2" s="235" t="s">
        <v>2955</v>
      </c>
      <c r="OU2" s="235" t="s">
        <v>2956</v>
      </c>
      <c r="OV2" s="235" t="s">
        <v>2957</v>
      </c>
      <c r="OW2" s="235" t="s">
        <v>2958</v>
      </c>
      <c r="OX2" s="235" t="s">
        <v>2959</v>
      </c>
      <c r="OY2" s="235" t="s">
        <v>2960</v>
      </c>
      <c r="OZ2" s="235" t="s">
        <v>2961</v>
      </c>
      <c r="PA2" s="235" t="s">
        <v>2965</v>
      </c>
      <c r="PB2" s="94" t="s">
        <v>2966</v>
      </c>
      <c r="PC2" s="94" t="s">
        <v>2967</v>
      </c>
      <c r="PD2" s="94" t="s">
        <v>2968</v>
      </c>
      <c r="PE2" s="94" t="s">
        <v>2969</v>
      </c>
      <c r="PF2" s="94" t="s">
        <v>2970</v>
      </c>
      <c r="PG2" s="94" t="s">
        <v>2971</v>
      </c>
      <c r="PH2" s="94" t="s">
        <v>3522</v>
      </c>
      <c r="PI2" s="94" t="s">
        <v>3523</v>
      </c>
      <c r="PJ2" s="94" t="s">
        <v>3524</v>
      </c>
      <c r="PK2" s="94" t="s">
        <v>3526</v>
      </c>
      <c r="PL2" s="94" t="s">
        <v>3527</v>
      </c>
      <c r="PM2" s="94" t="s">
        <v>3528</v>
      </c>
      <c r="PN2" s="94" t="s">
        <v>3529</v>
      </c>
      <c r="PO2" s="94" t="s">
        <v>2973</v>
      </c>
      <c r="PP2" s="94" t="s">
        <v>2749</v>
      </c>
      <c r="PQ2" s="94" t="s">
        <v>2974</v>
      </c>
      <c r="PR2" s="94" t="s">
        <v>2752</v>
      </c>
      <c r="PS2" s="94" t="s">
        <v>2753</v>
      </c>
      <c r="PT2" s="94" t="s">
        <v>2755</v>
      </c>
      <c r="PU2" s="94" t="s">
        <v>2756</v>
      </c>
      <c r="PV2" s="94" t="s">
        <v>3551</v>
      </c>
      <c r="PW2" s="94" t="s">
        <v>4736</v>
      </c>
      <c r="PX2" s="94" t="s">
        <v>2758</v>
      </c>
      <c r="PY2" s="94" t="s">
        <v>3554</v>
      </c>
      <c r="PZ2" s="94" t="s">
        <v>3531</v>
      </c>
      <c r="QA2" s="94" t="s">
        <v>2762</v>
      </c>
      <c r="QB2" s="94" t="s">
        <v>2763</v>
      </c>
      <c r="QC2" s="94" t="s">
        <v>2764</v>
      </c>
      <c r="QD2" s="94" t="s">
        <v>2766</v>
      </c>
      <c r="QE2" s="94" t="s">
        <v>2772</v>
      </c>
      <c r="QF2" s="94" t="s">
        <v>4688</v>
      </c>
      <c r="QG2" s="94" t="s">
        <v>4689</v>
      </c>
      <c r="QH2" s="94" t="s">
        <v>4692</v>
      </c>
      <c r="QI2" s="94" t="s">
        <v>4697</v>
      </c>
      <c r="QJ2" s="94" t="s">
        <v>4698</v>
      </c>
      <c r="QK2" s="94" t="s">
        <v>4701</v>
      </c>
      <c r="QL2" s="94" t="s">
        <v>4703</v>
      </c>
      <c r="QM2" s="94" t="s">
        <v>2985</v>
      </c>
      <c r="QN2" s="94" t="s">
        <v>2926</v>
      </c>
      <c r="QO2" s="94" t="s">
        <v>2927</v>
      </c>
      <c r="QP2" s="94" t="s">
        <v>2758</v>
      </c>
      <c r="QQ2" s="94" t="s">
        <v>2760</v>
      </c>
      <c r="QR2" s="94" t="s">
        <v>2775</v>
      </c>
      <c r="QS2" s="94" t="s">
        <v>2763</v>
      </c>
      <c r="QT2" s="94" t="s">
        <v>2764</v>
      </c>
      <c r="QU2" s="94" t="s">
        <v>2765</v>
      </c>
      <c r="QV2" s="94" t="s">
        <v>2776</v>
      </c>
      <c r="QW2" s="94" t="s">
        <v>2768</v>
      </c>
      <c r="QX2" s="94" t="s">
        <v>2769</v>
      </c>
      <c r="QY2" s="94" t="s">
        <v>2770</v>
      </c>
      <c r="QZ2" s="94" t="s">
        <v>2740</v>
      </c>
      <c r="RA2" s="94" t="s">
        <v>2741</v>
      </c>
      <c r="RB2" s="94" t="s">
        <v>2771</v>
      </c>
      <c r="RC2" s="94" t="s">
        <v>2777</v>
      </c>
      <c r="RD2" s="94" t="s">
        <v>2779</v>
      </c>
      <c r="RE2" s="94" t="s">
        <v>2099</v>
      </c>
      <c r="RF2" s="94" t="s">
        <v>2780</v>
      </c>
      <c r="RG2" s="94" t="s">
        <v>3516</v>
      </c>
      <c r="RH2" s="94" t="s">
        <v>2783</v>
      </c>
      <c r="RI2" s="94" t="s">
        <v>3517</v>
      </c>
      <c r="RJ2" s="94" t="s">
        <v>3518</v>
      </c>
      <c r="RK2" s="94" t="s">
        <v>3518</v>
      </c>
      <c r="RL2" s="94" t="s">
        <v>3518</v>
      </c>
      <c r="RM2" s="94"/>
      <c r="RN2" s="94"/>
      <c r="RO2" s="94"/>
      <c r="RP2" s="94"/>
      <c r="RQ2" s="94" t="s">
        <v>2728</v>
      </c>
    </row>
    <row r="3" spans="1:485" ht="39">
      <c r="A3" s="235" t="s">
        <v>182</v>
      </c>
      <c r="B3" s="235" t="s">
        <v>182</v>
      </c>
      <c r="C3" s="235" t="s">
        <v>182</v>
      </c>
      <c r="D3" s="235" t="s">
        <v>182</v>
      </c>
      <c r="E3" s="235" t="s">
        <v>182</v>
      </c>
      <c r="F3" s="235" t="s">
        <v>182</v>
      </c>
      <c r="G3" s="235" t="s">
        <v>182</v>
      </c>
      <c r="H3" s="235" t="s">
        <v>196</v>
      </c>
      <c r="I3" s="235" t="s">
        <v>196</v>
      </c>
      <c r="J3" s="235" t="s">
        <v>196</v>
      </c>
      <c r="K3" s="235" t="s">
        <v>196</v>
      </c>
      <c r="L3" s="235" t="s">
        <v>196</v>
      </c>
      <c r="M3" s="235" t="s">
        <v>196</v>
      </c>
      <c r="N3" s="235" t="s">
        <v>196</v>
      </c>
      <c r="O3" s="235" t="s">
        <v>196</v>
      </c>
      <c r="P3" s="235" t="s">
        <v>196</v>
      </c>
      <c r="Q3" s="235" t="s">
        <v>196</v>
      </c>
      <c r="R3" s="235" t="s">
        <v>196</v>
      </c>
      <c r="S3" s="235" t="s">
        <v>196</v>
      </c>
      <c r="T3" s="235" t="s">
        <v>196</v>
      </c>
      <c r="U3" s="235" t="s">
        <v>196</v>
      </c>
      <c r="V3" s="235" t="s">
        <v>196</v>
      </c>
      <c r="W3" s="235" t="s">
        <v>196</v>
      </c>
      <c r="X3" s="235" t="s">
        <v>196</v>
      </c>
      <c r="Y3" s="235" t="s">
        <v>196</v>
      </c>
      <c r="Z3" s="235" t="s">
        <v>196</v>
      </c>
      <c r="AA3" s="235" t="s">
        <v>196</v>
      </c>
      <c r="AB3" s="235" t="s">
        <v>196</v>
      </c>
      <c r="AC3" s="235" t="s">
        <v>196</v>
      </c>
      <c r="AD3" s="235" t="s">
        <v>196</v>
      </c>
      <c r="AE3" s="235" t="s">
        <v>196</v>
      </c>
      <c r="AF3" s="235" t="s">
        <v>196</v>
      </c>
      <c r="AG3" s="235" t="s">
        <v>196</v>
      </c>
      <c r="AH3" s="235" t="s">
        <v>196</v>
      </c>
      <c r="AI3" s="235" t="s">
        <v>196</v>
      </c>
      <c r="AJ3" s="235" t="s">
        <v>196</v>
      </c>
      <c r="AK3" s="235" t="s">
        <v>196</v>
      </c>
      <c r="AL3" s="235" t="s">
        <v>196</v>
      </c>
      <c r="AM3" s="235" t="s">
        <v>196</v>
      </c>
      <c r="AN3" s="235" t="s">
        <v>182</v>
      </c>
      <c r="AO3" s="235" t="s">
        <v>182</v>
      </c>
      <c r="AP3" s="235" t="s">
        <v>182</v>
      </c>
      <c r="AQ3" s="235" t="s">
        <v>182</v>
      </c>
      <c r="AR3" s="235" t="s">
        <v>182</v>
      </c>
      <c r="AS3" s="235" t="s">
        <v>182</v>
      </c>
      <c r="AT3" s="235" t="s">
        <v>182</v>
      </c>
      <c r="AU3" s="235" t="s">
        <v>196</v>
      </c>
      <c r="AV3" s="235" t="s">
        <v>196</v>
      </c>
      <c r="AW3" s="235" t="s">
        <v>196</v>
      </c>
      <c r="AX3" s="235" t="s">
        <v>196</v>
      </c>
      <c r="AY3" s="235" t="s">
        <v>196</v>
      </c>
      <c r="AZ3" s="235" t="s">
        <v>196</v>
      </c>
      <c r="BA3" s="235" t="s">
        <v>196</v>
      </c>
      <c r="BB3" s="235" t="s">
        <v>196</v>
      </c>
      <c r="BC3" s="235" t="s">
        <v>774</v>
      </c>
      <c r="BD3" s="235" t="s">
        <v>774</v>
      </c>
      <c r="BE3" s="235" t="s">
        <v>774</v>
      </c>
      <c r="BF3" s="235" t="s">
        <v>2215</v>
      </c>
      <c r="BG3" s="235" t="s">
        <v>2215</v>
      </c>
      <c r="BH3" s="235" t="s">
        <v>2215</v>
      </c>
      <c r="BI3" s="235" t="s">
        <v>2215</v>
      </c>
      <c r="BJ3" s="235" t="s">
        <v>2215</v>
      </c>
      <c r="BK3" s="235" t="s">
        <v>2215</v>
      </c>
      <c r="BL3" s="235" t="s">
        <v>2215</v>
      </c>
      <c r="BM3" s="235" t="s">
        <v>2215</v>
      </c>
      <c r="BN3" s="235" t="s">
        <v>2215</v>
      </c>
      <c r="BO3" s="235" t="s">
        <v>2215</v>
      </c>
      <c r="BP3" s="235" t="s">
        <v>2146</v>
      </c>
      <c r="BQ3" s="235" t="s">
        <v>2146</v>
      </c>
      <c r="BR3" s="235" t="s">
        <v>2146</v>
      </c>
      <c r="BS3" s="235" t="s">
        <v>2146</v>
      </c>
      <c r="BT3" s="235" t="s">
        <v>2146</v>
      </c>
      <c r="BU3" s="235" t="s">
        <v>2146</v>
      </c>
      <c r="BV3" s="235" t="s">
        <v>2146</v>
      </c>
      <c r="BW3" s="235" t="s">
        <v>2146</v>
      </c>
      <c r="BX3" s="235" t="s">
        <v>2146</v>
      </c>
      <c r="BY3" s="235" t="s">
        <v>2146</v>
      </c>
      <c r="BZ3" s="235" t="s">
        <v>2146</v>
      </c>
      <c r="CA3" s="235" t="s">
        <v>2146</v>
      </c>
      <c r="CB3" s="235" t="s">
        <v>2146</v>
      </c>
      <c r="CC3" s="235" t="s">
        <v>2146</v>
      </c>
      <c r="CD3" s="235" t="s">
        <v>2146</v>
      </c>
      <c r="CE3" s="235" t="s">
        <v>2146</v>
      </c>
      <c r="CF3" s="235" t="s">
        <v>2146</v>
      </c>
      <c r="CG3" s="235" t="s">
        <v>2146</v>
      </c>
      <c r="CH3" s="235" t="s">
        <v>2146</v>
      </c>
      <c r="CI3" s="235" t="s">
        <v>2146</v>
      </c>
      <c r="CJ3" s="235" t="s">
        <v>2146</v>
      </c>
      <c r="CK3" s="235" t="s">
        <v>2146</v>
      </c>
      <c r="CL3" s="235" t="s">
        <v>2146</v>
      </c>
      <c r="CM3" s="235" t="s">
        <v>2146</v>
      </c>
      <c r="CN3" s="235" t="s">
        <v>3025</v>
      </c>
      <c r="CO3" s="235" t="s">
        <v>3025</v>
      </c>
      <c r="CP3" s="235" t="s">
        <v>163</v>
      </c>
      <c r="CQ3" s="235" t="s">
        <v>163</v>
      </c>
      <c r="CR3" s="235" t="s">
        <v>163</v>
      </c>
      <c r="CS3" s="235" t="s">
        <v>163</v>
      </c>
      <c r="CT3" s="235" t="s">
        <v>163</v>
      </c>
      <c r="CU3" s="235" t="s">
        <v>163</v>
      </c>
      <c r="CV3" s="235" t="s">
        <v>163</v>
      </c>
      <c r="CW3" s="235" t="s">
        <v>163</v>
      </c>
      <c r="CX3" s="235" t="s">
        <v>163</v>
      </c>
      <c r="CY3" s="235" t="s">
        <v>163</v>
      </c>
      <c r="CZ3" s="235" t="s">
        <v>163</v>
      </c>
      <c r="DA3" s="235" t="s">
        <v>163</v>
      </c>
      <c r="DB3" s="235" t="s">
        <v>163</v>
      </c>
      <c r="DC3" s="235" t="s">
        <v>163</v>
      </c>
      <c r="DD3" s="235" t="s">
        <v>163</v>
      </c>
      <c r="DE3" s="235" t="s">
        <v>163</v>
      </c>
      <c r="DF3" s="235" t="s">
        <v>163</v>
      </c>
      <c r="DG3" s="235" t="s">
        <v>163</v>
      </c>
      <c r="DH3" s="235" t="s">
        <v>163</v>
      </c>
      <c r="DI3" s="235" t="s">
        <v>163</v>
      </c>
      <c r="DJ3" s="235" t="s">
        <v>163</v>
      </c>
      <c r="DK3" s="235" t="s">
        <v>163</v>
      </c>
      <c r="DL3" s="235" t="s">
        <v>163</v>
      </c>
      <c r="DM3" s="235" t="s">
        <v>163</v>
      </c>
      <c r="DN3" s="235" t="s">
        <v>163</v>
      </c>
      <c r="DO3" s="235" t="s">
        <v>163</v>
      </c>
      <c r="DP3" s="235" t="s">
        <v>163</v>
      </c>
      <c r="DQ3" s="235" t="s">
        <v>163</v>
      </c>
      <c r="DR3" s="235" t="s">
        <v>163</v>
      </c>
      <c r="DS3" s="235" t="s">
        <v>163</v>
      </c>
      <c r="DT3" s="235" t="s">
        <v>163</v>
      </c>
      <c r="DU3" s="235" t="s">
        <v>163</v>
      </c>
      <c r="DV3" s="235" t="s">
        <v>163</v>
      </c>
      <c r="DW3" s="235" t="s">
        <v>163</v>
      </c>
      <c r="DX3" s="235" t="s">
        <v>163</v>
      </c>
      <c r="DY3" s="235" t="s">
        <v>163</v>
      </c>
      <c r="DZ3" s="235" t="s">
        <v>163</v>
      </c>
      <c r="EA3" s="235" t="s">
        <v>163</v>
      </c>
      <c r="EB3" s="235" t="s">
        <v>163</v>
      </c>
      <c r="EC3" s="235" t="s">
        <v>163</v>
      </c>
      <c r="ED3" s="235" t="s">
        <v>163</v>
      </c>
      <c r="EE3" s="235" t="s">
        <v>163</v>
      </c>
      <c r="EF3" s="235" t="s">
        <v>163</v>
      </c>
      <c r="EG3" s="235" t="s">
        <v>163</v>
      </c>
      <c r="EH3" s="235" t="s">
        <v>163</v>
      </c>
      <c r="EI3" s="235" t="s">
        <v>163</v>
      </c>
      <c r="EJ3" s="235" t="s">
        <v>163</v>
      </c>
      <c r="EK3" s="235" t="s">
        <v>163</v>
      </c>
      <c r="EL3" s="235" t="s">
        <v>163</v>
      </c>
      <c r="EM3" s="235" t="s">
        <v>163</v>
      </c>
      <c r="EN3" s="235" t="s">
        <v>163</v>
      </c>
      <c r="EO3" s="235" t="s">
        <v>163</v>
      </c>
      <c r="EP3" s="235" t="s">
        <v>163</v>
      </c>
      <c r="EQ3" s="235" t="s">
        <v>163</v>
      </c>
      <c r="ER3" s="235" t="s">
        <v>163</v>
      </c>
      <c r="ES3" s="235" t="s">
        <v>163</v>
      </c>
      <c r="ET3" s="235" t="s">
        <v>163</v>
      </c>
      <c r="EU3" s="235" t="s">
        <v>163</v>
      </c>
      <c r="EV3" s="235" t="s">
        <v>163</v>
      </c>
      <c r="EW3" s="235" t="s">
        <v>163</v>
      </c>
      <c r="EX3" s="235" t="s">
        <v>163</v>
      </c>
      <c r="EY3" s="235" t="s">
        <v>163</v>
      </c>
      <c r="EZ3" s="235" t="s">
        <v>163</v>
      </c>
      <c r="FA3" s="235" t="s">
        <v>163</v>
      </c>
      <c r="FB3" s="235" t="s">
        <v>163</v>
      </c>
      <c r="FC3" s="235" t="s">
        <v>163</v>
      </c>
      <c r="FD3" s="235" t="s">
        <v>163</v>
      </c>
      <c r="FE3" s="235" t="s">
        <v>163</v>
      </c>
      <c r="FF3" s="235" t="s">
        <v>163</v>
      </c>
      <c r="FG3" s="235" t="s">
        <v>163</v>
      </c>
      <c r="FH3" s="235" t="s">
        <v>163</v>
      </c>
      <c r="FI3" s="235" t="s">
        <v>163</v>
      </c>
      <c r="FJ3" s="235" t="s">
        <v>9</v>
      </c>
      <c r="FK3" s="235" t="s">
        <v>9</v>
      </c>
      <c r="FL3" s="235" t="s">
        <v>9</v>
      </c>
      <c r="FM3" s="235" t="s">
        <v>9</v>
      </c>
      <c r="FN3" s="235" t="s">
        <v>9</v>
      </c>
      <c r="FO3" s="235" t="s">
        <v>9</v>
      </c>
      <c r="FP3" s="235" t="s">
        <v>9</v>
      </c>
      <c r="FQ3" s="235" t="s">
        <v>9</v>
      </c>
      <c r="FR3" s="235" t="s">
        <v>9</v>
      </c>
      <c r="FS3" s="235" t="s">
        <v>9</v>
      </c>
      <c r="FT3" s="235" t="s">
        <v>9</v>
      </c>
      <c r="FU3" s="235" t="s">
        <v>9</v>
      </c>
      <c r="FV3" s="235" t="s">
        <v>9</v>
      </c>
      <c r="FW3" s="235" t="s">
        <v>9</v>
      </c>
      <c r="FX3" s="235" t="s">
        <v>9</v>
      </c>
      <c r="FY3" s="235" t="s">
        <v>9</v>
      </c>
      <c r="FZ3" s="235" t="s">
        <v>9</v>
      </c>
      <c r="GA3" s="235" t="s">
        <v>9</v>
      </c>
      <c r="GB3" s="235" t="s">
        <v>9</v>
      </c>
      <c r="GC3" s="235" t="s">
        <v>9</v>
      </c>
      <c r="GD3" s="235" t="s">
        <v>9</v>
      </c>
      <c r="GE3" s="235" t="s">
        <v>9</v>
      </c>
      <c r="GF3" s="235" t="s">
        <v>9</v>
      </c>
      <c r="GG3" s="235" t="s">
        <v>9</v>
      </c>
      <c r="GH3" s="235" t="s">
        <v>9</v>
      </c>
      <c r="GI3" s="235" t="s">
        <v>9</v>
      </c>
      <c r="GJ3" s="235" t="s">
        <v>9</v>
      </c>
      <c r="GK3" s="235" t="s">
        <v>9</v>
      </c>
      <c r="GL3" s="235" t="s">
        <v>9</v>
      </c>
      <c r="GM3" s="235" t="s">
        <v>9</v>
      </c>
      <c r="GN3" s="235" t="s">
        <v>9</v>
      </c>
      <c r="GO3" s="235" t="s">
        <v>9</v>
      </c>
      <c r="GP3" s="235" t="s">
        <v>9</v>
      </c>
      <c r="GQ3" s="235" t="s">
        <v>9</v>
      </c>
      <c r="GR3" s="235" t="s">
        <v>9</v>
      </c>
      <c r="GS3" s="235" t="s">
        <v>9</v>
      </c>
      <c r="GT3" s="235" t="s">
        <v>37</v>
      </c>
      <c r="GU3" s="235" t="s">
        <v>9</v>
      </c>
      <c r="GV3" s="235" t="s">
        <v>9</v>
      </c>
      <c r="GW3" s="235" t="s">
        <v>9</v>
      </c>
      <c r="GX3" s="235" t="s">
        <v>9</v>
      </c>
      <c r="GY3" s="235" t="s">
        <v>9</v>
      </c>
      <c r="GZ3" s="235" t="s">
        <v>9</v>
      </c>
      <c r="HA3" s="235" t="s">
        <v>9</v>
      </c>
      <c r="HB3" s="235" t="s">
        <v>9</v>
      </c>
      <c r="HC3" s="235" t="s">
        <v>9</v>
      </c>
      <c r="HD3" s="235" t="s">
        <v>774</v>
      </c>
      <c r="HE3" s="235" t="s">
        <v>182</v>
      </c>
      <c r="HF3" s="235" t="s">
        <v>9</v>
      </c>
      <c r="HG3" s="235" t="s">
        <v>9</v>
      </c>
      <c r="HH3" s="235" t="s">
        <v>9</v>
      </c>
      <c r="HI3" s="235" t="s">
        <v>9</v>
      </c>
      <c r="HJ3" s="235" t="s">
        <v>9</v>
      </c>
      <c r="HK3" s="235" t="s">
        <v>9</v>
      </c>
      <c r="HL3" s="235" t="s">
        <v>9</v>
      </c>
      <c r="HM3" s="235" t="s">
        <v>9</v>
      </c>
      <c r="HN3" s="235" t="s">
        <v>9</v>
      </c>
      <c r="HO3" s="235" t="s">
        <v>9</v>
      </c>
      <c r="HP3" s="235" t="s">
        <v>9</v>
      </c>
      <c r="HQ3" s="235" t="s">
        <v>9</v>
      </c>
      <c r="HR3" s="235" t="s">
        <v>9</v>
      </c>
      <c r="HS3" s="235" t="s">
        <v>9</v>
      </c>
      <c r="HT3" s="235" t="s">
        <v>9</v>
      </c>
      <c r="HU3" s="235" t="s">
        <v>9</v>
      </c>
      <c r="HV3" s="235" t="s">
        <v>9</v>
      </c>
      <c r="HW3" s="235" t="s">
        <v>9</v>
      </c>
      <c r="HX3" s="235" t="s">
        <v>9</v>
      </c>
      <c r="HY3" s="235" t="s">
        <v>9</v>
      </c>
      <c r="HZ3" s="235" t="s">
        <v>9</v>
      </c>
      <c r="IA3" s="235" t="s">
        <v>9</v>
      </c>
      <c r="IB3" s="235" t="s">
        <v>9</v>
      </c>
      <c r="IC3" s="235" t="s">
        <v>9</v>
      </c>
      <c r="ID3" s="235" t="s">
        <v>9</v>
      </c>
      <c r="IE3" s="235" t="s">
        <v>9</v>
      </c>
      <c r="IF3" s="235" t="s">
        <v>37</v>
      </c>
      <c r="IG3" s="235" t="s">
        <v>37</v>
      </c>
      <c r="IH3" s="235" t="s">
        <v>37</v>
      </c>
      <c r="II3" s="235" t="s">
        <v>37</v>
      </c>
      <c r="IJ3" s="235" t="s">
        <v>37</v>
      </c>
      <c r="IK3" s="235" t="s">
        <v>9</v>
      </c>
      <c r="IL3" s="235" t="s">
        <v>9</v>
      </c>
      <c r="IM3" s="235" t="s">
        <v>9</v>
      </c>
      <c r="IN3" s="235" t="s">
        <v>9</v>
      </c>
      <c r="IO3" s="235" t="s">
        <v>9</v>
      </c>
      <c r="IP3" s="235" t="s">
        <v>9</v>
      </c>
      <c r="IQ3" s="235" t="s">
        <v>774</v>
      </c>
      <c r="IR3" s="235" t="s">
        <v>774</v>
      </c>
      <c r="IS3" s="235" t="s">
        <v>9</v>
      </c>
      <c r="IT3" s="235" t="s">
        <v>9</v>
      </c>
      <c r="IU3" s="235" t="s">
        <v>9</v>
      </c>
      <c r="IV3" s="235" t="s">
        <v>9</v>
      </c>
      <c r="IW3" s="235" t="s">
        <v>9</v>
      </c>
      <c r="IX3" s="235" t="s">
        <v>37</v>
      </c>
      <c r="IY3" s="235" t="s">
        <v>37</v>
      </c>
      <c r="IZ3" s="235" t="s">
        <v>37</v>
      </c>
      <c r="JA3" s="235" t="s">
        <v>37</v>
      </c>
      <c r="JB3" s="235" t="s">
        <v>37</v>
      </c>
      <c r="JC3" s="235" t="s">
        <v>37</v>
      </c>
      <c r="JD3" s="235" t="s">
        <v>37</v>
      </c>
      <c r="JE3" s="235" t="s">
        <v>37</v>
      </c>
      <c r="JF3" s="235" t="s">
        <v>37</v>
      </c>
      <c r="JG3" s="235" t="s">
        <v>37</v>
      </c>
      <c r="JH3" s="235" t="s">
        <v>37</v>
      </c>
      <c r="JI3" s="235" t="s">
        <v>37</v>
      </c>
      <c r="JJ3" s="235" t="s">
        <v>37</v>
      </c>
      <c r="JK3" s="235" t="s">
        <v>37</v>
      </c>
      <c r="JL3" s="235" t="s">
        <v>37</v>
      </c>
      <c r="JM3" s="235" t="s">
        <v>37</v>
      </c>
      <c r="JN3" s="235" t="s">
        <v>37</v>
      </c>
      <c r="JO3" s="235" t="s">
        <v>37</v>
      </c>
      <c r="JP3" s="235" t="s">
        <v>37</v>
      </c>
      <c r="JQ3" s="235" t="s">
        <v>37</v>
      </c>
      <c r="JR3" s="235" t="s">
        <v>37</v>
      </c>
      <c r="JS3" s="235" t="s">
        <v>37</v>
      </c>
      <c r="JT3" s="235" t="s">
        <v>37</v>
      </c>
      <c r="JU3" s="235" t="s">
        <v>37</v>
      </c>
      <c r="JV3" s="235" t="s">
        <v>37</v>
      </c>
      <c r="JW3" s="235" t="s">
        <v>394</v>
      </c>
      <c r="JX3" s="235" t="s">
        <v>9</v>
      </c>
      <c r="JY3" s="235" t="s">
        <v>196</v>
      </c>
      <c r="JZ3" s="235" t="s">
        <v>196</v>
      </c>
      <c r="KA3" s="235" t="s">
        <v>476</v>
      </c>
      <c r="KB3" s="235" t="s">
        <v>196</v>
      </c>
      <c r="KC3" s="235" t="s">
        <v>196</v>
      </c>
      <c r="KD3" s="235" t="s">
        <v>196</v>
      </c>
      <c r="KE3" s="235" t="s">
        <v>182</v>
      </c>
      <c r="KF3" s="235" t="s">
        <v>9</v>
      </c>
      <c r="KG3" s="235" t="s">
        <v>9</v>
      </c>
      <c r="KH3" s="235" t="s">
        <v>9</v>
      </c>
      <c r="KI3" s="235" t="s">
        <v>9</v>
      </c>
      <c r="KJ3" s="235" t="s">
        <v>9</v>
      </c>
      <c r="KK3" s="235" t="s">
        <v>9</v>
      </c>
      <c r="KL3" s="235" t="s">
        <v>9</v>
      </c>
      <c r="KM3" s="235" t="s">
        <v>9</v>
      </c>
      <c r="KN3" s="235" t="s">
        <v>9</v>
      </c>
      <c r="KO3" s="235">
        <v>0</v>
      </c>
      <c r="KP3" s="235">
        <v>0</v>
      </c>
      <c r="KQ3" s="235">
        <v>0</v>
      </c>
      <c r="KR3" s="235">
        <v>0</v>
      </c>
      <c r="KS3" s="235">
        <v>0</v>
      </c>
      <c r="KT3" s="235">
        <v>0</v>
      </c>
      <c r="KU3" s="235">
        <v>0</v>
      </c>
      <c r="KV3" s="235">
        <v>0</v>
      </c>
      <c r="KW3" s="235">
        <v>0</v>
      </c>
      <c r="KX3" s="235">
        <v>0</v>
      </c>
      <c r="KY3" s="235">
        <v>0</v>
      </c>
      <c r="KZ3" s="235">
        <v>0</v>
      </c>
      <c r="LA3" s="235">
        <v>0</v>
      </c>
      <c r="LB3" s="235">
        <v>0</v>
      </c>
      <c r="LC3" s="235">
        <v>0</v>
      </c>
      <c r="LD3" s="235">
        <v>0</v>
      </c>
      <c r="LE3" s="235">
        <v>0</v>
      </c>
      <c r="LF3" s="235" t="s">
        <v>9</v>
      </c>
      <c r="LG3" s="235" t="s">
        <v>9</v>
      </c>
      <c r="LH3" s="235" t="s">
        <v>9</v>
      </c>
      <c r="LI3" s="235" t="s">
        <v>37</v>
      </c>
      <c r="LJ3" s="235" t="s">
        <v>37</v>
      </c>
      <c r="LK3" s="235" t="s">
        <v>37</v>
      </c>
      <c r="LL3" s="235" t="s">
        <v>9</v>
      </c>
      <c r="LM3" s="235" t="s">
        <v>9</v>
      </c>
      <c r="LN3" s="235" t="s">
        <v>9</v>
      </c>
      <c r="LO3" s="235" t="s">
        <v>9</v>
      </c>
      <c r="LP3" s="235" t="s">
        <v>9</v>
      </c>
      <c r="LQ3" s="235" t="s">
        <v>9</v>
      </c>
      <c r="LR3" s="235" t="s">
        <v>2531</v>
      </c>
      <c r="LS3" s="235" t="s">
        <v>1730</v>
      </c>
      <c r="LT3" s="235" t="s">
        <v>1730</v>
      </c>
      <c r="LU3" s="235" t="s">
        <v>1730</v>
      </c>
      <c r="LV3" s="235" t="s">
        <v>1730</v>
      </c>
      <c r="LW3" s="235" t="s">
        <v>1730</v>
      </c>
      <c r="LX3" s="235" t="s">
        <v>1730</v>
      </c>
      <c r="LY3" s="235" t="s">
        <v>1730</v>
      </c>
      <c r="LZ3" s="235" t="s">
        <v>1730</v>
      </c>
      <c r="MA3" s="235" t="s">
        <v>1730</v>
      </c>
      <c r="MB3" s="235" t="s">
        <v>1730</v>
      </c>
      <c r="MC3" s="235" t="s">
        <v>9</v>
      </c>
      <c r="MD3" s="235" t="s">
        <v>9</v>
      </c>
      <c r="ME3" s="235" t="s">
        <v>37</v>
      </c>
      <c r="MF3" s="235" t="s">
        <v>163</v>
      </c>
      <c r="MG3" s="235" t="s">
        <v>37</v>
      </c>
      <c r="MH3" s="235" t="s">
        <v>1265</v>
      </c>
      <c r="MI3" s="235" t="s">
        <v>1265</v>
      </c>
      <c r="MJ3" s="235" t="s">
        <v>1265</v>
      </c>
      <c r="MK3" s="235" t="s">
        <v>1265</v>
      </c>
      <c r="ML3" s="235" t="s">
        <v>1265</v>
      </c>
      <c r="MM3" s="235" t="s">
        <v>1265</v>
      </c>
      <c r="MN3" s="235" t="s">
        <v>1265</v>
      </c>
      <c r="MO3" s="235" t="s">
        <v>1265</v>
      </c>
      <c r="MP3" s="235" t="s">
        <v>1265</v>
      </c>
      <c r="MQ3" s="235" t="s">
        <v>1265</v>
      </c>
      <c r="MR3" s="235" t="s">
        <v>1265</v>
      </c>
      <c r="MS3" s="235" t="s">
        <v>1265</v>
      </c>
      <c r="MT3" s="235" t="s">
        <v>1265</v>
      </c>
      <c r="MU3" s="235" t="s">
        <v>1265</v>
      </c>
      <c r="MV3" s="235" t="s">
        <v>1265</v>
      </c>
      <c r="MW3" s="235" t="s">
        <v>1265</v>
      </c>
      <c r="MX3" s="235" t="s">
        <v>1265</v>
      </c>
      <c r="MY3" s="235" t="s">
        <v>1265</v>
      </c>
      <c r="MZ3" s="235" t="s">
        <v>1265</v>
      </c>
      <c r="NA3" s="235" t="s">
        <v>1265</v>
      </c>
      <c r="NB3" s="235" t="s">
        <v>1265</v>
      </c>
      <c r="NC3" s="235" t="s">
        <v>1265</v>
      </c>
      <c r="ND3" s="235" t="s">
        <v>37</v>
      </c>
      <c r="NE3" s="235" t="s">
        <v>37</v>
      </c>
      <c r="NF3" s="235" t="s">
        <v>37</v>
      </c>
      <c r="NG3" s="235" t="s">
        <v>37</v>
      </c>
      <c r="NH3" s="235" t="s">
        <v>37</v>
      </c>
      <c r="NI3" s="235" t="s">
        <v>37</v>
      </c>
      <c r="NJ3" s="235" t="s">
        <v>37</v>
      </c>
      <c r="NK3" s="235" t="s">
        <v>37</v>
      </c>
      <c r="NL3" s="235" t="s">
        <v>37</v>
      </c>
      <c r="NM3" s="235" t="s">
        <v>37</v>
      </c>
      <c r="NN3" s="235" t="s">
        <v>37</v>
      </c>
      <c r="NO3" s="235" t="s">
        <v>9</v>
      </c>
      <c r="NP3" s="235" t="s">
        <v>9</v>
      </c>
      <c r="NQ3" s="235" t="s">
        <v>9</v>
      </c>
      <c r="NR3" s="235" t="s">
        <v>9</v>
      </c>
      <c r="NS3" s="235" t="s">
        <v>37</v>
      </c>
      <c r="NT3" s="235" t="s">
        <v>37</v>
      </c>
      <c r="NU3" s="235" t="s">
        <v>163</v>
      </c>
      <c r="NV3" s="235" t="s">
        <v>3553</v>
      </c>
      <c r="NW3" s="235" t="s">
        <v>3553</v>
      </c>
      <c r="NX3" s="235" t="s">
        <v>3553</v>
      </c>
      <c r="NY3" s="235" t="s">
        <v>3553</v>
      </c>
      <c r="NZ3" s="235" t="s">
        <v>3549</v>
      </c>
      <c r="OA3" s="235" t="s">
        <v>9</v>
      </c>
      <c r="OB3" s="235" t="s">
        <v>9</v>
      </c>
      <c r="OC3" s="235" t="s">
        <v>163</v>
      </c>
      <c r="OD3" s="235" t="s">
        <v>163</v>
      </c>
      <c r="OE3" s="235" t="s">
        <v>37</v>
      </c>
      <c r="OF3" s="235" t="s">
        <v>1265</v>
      </c>
      <c r="OG3" s="235" t="s">
        <v>37</v>
      </c>
      <c r="OH3" s="235" t="s">
        <v>2785</v>
      </c>
      <c r="OI3" s="235" t="s">
        <v>2785</v>
      </c>
      <c r="OJ3" s="235" t="s">
        <v>2785</v>
      </c>
      <c r="OK3" s="235" t="s">
        <v>2785</v>
      </c>
      <c r="OL3" s="235" t="s">
        <v>2785</v>
      </c>
      <c r="OM3" s="235" t="s">
        <v>2785</v>
      </c>
      <c r="ON3" s="235" t="s">
        <v>2785</v>
      </c>
      <c r="OO3" s="235" t="s">
        <v>2785</v>
      </c>
      <c r="OP3" s="235" t="s">
        <v>2785</v>
      </c>
      <c r="OQ3" s="235" t="s">
        <v>1480</v>
      </c>
      <c r="OR3" s="235" t="s">
        <v>1480</v>
      </c>
      <c r="OS3" s="235" t="s">
        <v>1480</v>
      </c>
      <c r="OT3" s="235" t="s">
        <v>1480</v>
      </c>
      <c r="OU3" s="235" t="s">
        <v>1480</v>
      </c>
      <c r="OV3" s="235" t="s">
        <v>1480</v>
      </c>
      <c r="OW3" s="235" t="s">
        <v>1480</v>
      </c>
      <c r="OX3" s="235" t="s">
        <v>1480</v>
      </c>
      <c r="OY3" s="235" t="s">
        <v>1480</v>
      </c>
      <c r="OZ3" s="235" t="s">
        <v>1480</v>
      </c>
      <c r="PA3" s="235" t="s">
        <v>774</v>
      </c>
      <c r="PB3" s="94" t="s">
        <v>774</v>
      </c>
      <c r="PC3" s="94" t="s">
        <v>774</v>
      </c>
      <c r="PD3" s="94" t="s">
        <v>774</v>
      </c>
      <c r="PE3" s="94" t="s">
        <v>774</v>
      </c>
      <c r="PF3" s="94" t="s">
        <v>774</v>
      </c>
      <c r="PG3" s="94" t="s">
        <v>774</v>
      </c>
      <c r="PH3" s="94" t="s">
        <v>9</v>
      </c>
      <c r="PI3" s="94" t="s">
        <v>9</v>
      </c>
      <c r="PJ3" s="94" t="s">
        <v>9</v>
      </c>
      <c r="PK3" s="94" t="s">
        <v>9</v>
      </c>
      <c r="PL3" s="94" t="s">
        <v>9</v>
      </c>
      <c r="PM3" s="94" t="s">
        <v>9</v>
      </c>
      <c r="PN3" s="94" t="s">
        <v>9</v>
      </c>
      <c r="PO3" s="94" t="s">
        <v>9</v>
      </c>
      <c r="PP3" s="94" t="s">
        <v>9</v>
      </c>
      <c r="PQ3" s="94" t="s">
        <v>9</v>
      </c>
      <c r="PR3" s="94" t="s">
        <v>9</v>
      </c>
      <c r="PS3" s="94" t="s">
        <v>37</v>
      </c>
      <c r="PT3" s="94" t="s">
        <v>37</v>
      </c>
      <c r="PU3" s="94" t="s">
        <v>163</v>
      </c>
      <c r="PV3" s="94" t="s">
        <v>3553</v>
      </c>
      <c r="PW3" s="94" t="s">
        <v>9</v>
      </c>
      <c r="PX3" s="94" t="s">
        <v>3549</v>
      </c>
      <c r="PY3" s="94" t="s">
        <v>9</v>
      </c>
      <c r="PZ3" s="94" t="s">
        <v>9</v>
      </c>
      <c r="QA3" s="94" t="s">
        <v>163</v>
      </c>
      <c r="QB3" s="94" t="s">
        <v>163</v>
      </c>
      <c r="QC3" s="94" t="s">
        <v>37</v>
      </c>
      <c r="QD3" s="94" t="s">
        <v>1265</v>
      </c>
      <c r="QE3" s="94" t="s">
        <v>37</v>
      </c>
      <c r="QF3" s="94" t="s">
        <v>4690</v>
      </c>
      <c r="QG3" s="94" t="s">
        <v>4694</v>
      </c>
      <c r="QH3" s="94" t="s">
        <v>37</v>
      </c>
      <c r="QI3" s="94" t="s">
        <v>774</v>
      </c>
      <c r="QJ3" s="94" t="s">
        <v>774</v>
      </c>
      <c r="QK3" s="94" t="s">
        <v>2785</v>
      </c>
      <c r="QL3" s="94" t="s">
        <v>2785</v>
      </c>
      <c r="QM3" s="94" t="s">
        <v>2785</v>
      </c>
      <c r="QN3" s="94" t="s">
        <v>400</v>
      </c>
      <c r="QO3" s="94" t="s">
        <v>400</v>
      </c>
      <c r="QP3" s="94" t="s">
        <v>37</v>
      </c>
      <c r="QQ3" s="94" t="s">
        <v>9</v>
      </c>
      <c r="QR3" s="94" t="s">
        <v>163</v>
      </c>
      <c r="QS3" s="94" t="s">
        <v>163</v>
      </c>
      <c r="QT3" s="94" t="s">
        <v>37</v>
      </c>
      <c r="QU3" s="94" t="s">
        <v>9</v>
      </c>
      <c r="QV3" s="94" t="s">
        <v>1265</v>
      </c>
      <c r="QW3" s="94" t="s">
        <v>1265</v>
      </c>
      <c r="QX3" s="94" t="s">
        <v>1265</v>
      </c>
      <c r="QY3" s="94" t="s">
        <v>1265</v>
      </c>
      <c r="QZ3" s="94" t="s">
        <v>1265</v>
      </c>
      <c r="RA3" s="94" t="s">
        <v>1265</v>
      </c>
      <c r="RB3" s="94" t="s">
        <v>1265</v>
      </c>
      <c r="RC3" s="94" t="s">
        <v>37</v>
      </c>
      <c r="RD3" s="94" t="s">
        <v>9</v>
      </c>
      <c r="RE3" s="94" t="s">
        <v>9</v>
      </c>
      <c r="RF3" s="94" t="s">
        <v>9</v>
      </c>
      <c r="RG3" s="94" t="s">
        <v>2717</v>
      </c>
      <c r="RH3" s="94" t="s">
        <v>9</v>
      </c>
      <c r="RI3" s="94" t="s">
        <v>2785</v>
      </c>
      <c r="RJ3" s="94" t="s">
        <v>37</v>
      </c>
      <c r="RK3" s="94" t="s">
        <v>37</v>
      </c>
      <c r="RL3" s="94" t="s">
        <v>37</v>
      </c>
      <c r="RM3" s="94"/>
      <c r="RN3" s="94"/>
      <c r="RO3" s="94"/>
      <c r="RP3" s="94"/>
      <c r="RQ3" s="94" t="s">
        <v>2352</v>
      </c>
    </row>
    <row r="4" spans="1:485">
      <c r="A4">
        <v>1</v>
      </c>
      <c r="B4"/>
      <c r="C4"/>
      <c r="D4"/>
      <c r="E4"/>
      <c r="F4"/>
      <c r="G4"/>
      <c r="H4">
        <v>1</v>
      </c>
      <c r="I4"/>
      <c r="J4"/>
      <c r="K4"/>
      <c r="L4"/>
      <c r="M4"/>
      <c r="N4"/>
      <c r="O4"/>
      <c r="P4"/>
      <c r="Q4"/>
      <c r="R4"/>
      <c r="S4"/>
      <c r="T4"/>
      <c r="U4"/>
      <c r="V4"/>
      <c r="W4"/>
      <c r="X4"/>
      <c r="Y4"/>
      <c r="Z4"/>
      <c r="AA4"/>
      <c r="AB4">
        <v>1</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v>1</v>
      </c>
      <c r="BU4"/>
      <c r="BV4">
        <v>1</v>
      </c>
      <c r="BW4">
        <v>1</v>
      </c>
      <c r="BX4"/>
      <c r="BY4"/>
      <c r="BZ4"/>
      <c r="CA4"/>
      <c r="CB4">
        <v>1</v>
      </c>
      <c r="CC4"/>
      <c r="CD4"/>
      <c r="CE4">
        <v>1</v>
      </c>
      <c r="CF4">
        <v>1</v>
      </c>
      <c r="CG4"/>
      <c r="CH4"/>
      <c r="CI4"/>
      <c r="CJ4"/>
      <c r="CK4"/>
      <c r="CL4"/>
      <c r="CM4"/>
      <c r="CN4"/>
      <c r="CO4"/>
      <c r="CP4"/>
      <c r="CQ4"/>
      <c r="CR4"/>
      <c r="CS4">
        <v>1</v>
      </c>
      <c r="CT4"/>
      <c r="CU4"/>
      <c r="CV4">
        <v>1</v>
      </c>
      <c r="CW4"/>
      <c r="CX4"/>
      <c r="CY4"/>
      <c r="CZ4"/>
      <c r="DA4"/>
      <c r="DB4"/>
      <c r="DC4"/>
      <c r="DD4"/>
      <c r="DE4"/>
      <c r="DF4"/>
      <c r="DG4"/>
      <c r="DH4"/>
      <c r="DI4"/>
      <c r="DJ4"/>
      <c r="DK4"/>
      <c r="DL4"/>
      <c r="DM4"/>
      <c r="DN4"/>
      <c r="DO4"/>
      <c r="DP4"/>
      <c r="DQ4"/>
      <c r="DR4"/>
      <c r="DS4"/>
      <c r="DT4"/>
      <c r="DU4"/>
      <c r="DV4"/>
      <c r="DW4">
        <v>1</v>
      </c>
      <c r="DX4">
        <v>1</v>
      </c>
      <c r="DY4"/>
      <c r="DZ4"/>
      <c r="EA4"/>
      <c r="EB4">
        <v>1</v>
      </c>
      <c r="EC4">
        <v>1</v>
      </c>
      <c r="ED4"/>
      <c r="EE4"/>
      <c r="EF4"/>
      <c r="EG4"/>
      <c r="EH4"/>
      <c r="EI4"/>
      <c r="EJ4">
        <v>1</v>
      </c>
      <c r="EK4">
        <v>1</v>
      </c>
      <c r="EL4">
        <v>1</v>
      </c>
      <c r="EM4">
        <v>1</v>
      </c>
      <c r="EN4"/>
      <c r="EO4"/>
      <c r="EP4"/>
      <c r="EQ4"/>
      <c r="ER4"/>
      <c r="ES4"/>
      <c r="ET4"/>
      <c r="EU4"/>
      <c r="EV4"/>
      <c r="EW4"/>
      <c r="EX4"/>
      <c r="EY4"/>
      <c r="EZ4"/>
      <c r="FA4"/>
      <c r="FB4"/>
      <c r="FC4"/>
      <c r="FD4"/>
      <c r="FE4"/>
      <c r="FF4"/>
      <c r="FG4"/>
      <c r="FH4"/>
      <c r="FI4">
        <v>1</v>
      </c>
      <c r="FJ4"/>
      <c r="FK4"/>
      <c r="FL4"/>
      <c r="FM4"/>
      <c r="FN4"/>
      <c r="FO4"/>
      <c r="FP4"/>
      <c r="FQ4"/>
      <c r="FR4"/>
      <c r="GC4">
        <v>1</v>
      </c>
      <c r="GW4">
        <v>1</v>
      </c>
      <c r="HD4">
        <v>1</v>
      </c>
      <c r="HK4">
        <v>1</v>
      </c>
      <c r="HX4">
        <v>1</v>
      </c>
      <c r="KL4">
        <v>1</v>
      </c>
      <c r="KN4">
        <v>1</v>
      </c>
      <c r="MC4">
        <v>1</v>
      </c>
      <c r="MD4">
        <v>1</v>
      </c>
      <c r="MF4">
        <v>1</v>
      </c>
      <c r="MG4">
        <v>1</v>
      </c>
      <c r="MH4">
        <v>1</v>
      </c>
      <c r="MV4">
        <v>1</v>
      </c>
      <c r="MZ4">
        <v>1</v>
      </c>
      <c r="ND4">
        <v>1</v>
      </c>
      <c r="NE4">
        <v>1</v>
      </c>
      <c r="NQ4">
        <v>1</v>
      </c>
      <c r="NV4">
        <v>1</v>
      </c>
      <c r="OA4">
        <v>1</v>
      </c>
      <c r="OC4">
        <v>1</v>
      </c>
      <c r="OG4">
        <v>1</v>
      </c>
      <c r="OI4">
        <v>1</v>
      </c>
      <c r="OJ4">
        <v>1</v>
      </c>
      <c r="OQ4">
        <v>1</v>
      </c>
      <c r="PC4">
        <v>1</v>
      </c>
      <c r="PD4">
        <v>1</v>
      </c>
      <c r="PE4">
        <v>1</v>
      </c>
      <c r="PK4">
        <v>1</v>
      </c>
      <c r="PO4">
        <v>1</v>
      </c>
      <c r="PQ4">
        <v>1</v>
      </c>
      <c r="PW4">
        <v>1</v>
      </c>
    </row>
    <row r="5" spans="1:485" ht="15.75">
      <c r="A5" s="40"/>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6"/>
    </row>
    <row r="6" spans="1:485" ht="15.75">
      <c r="A6" s="40"/>
    </row>
    <row r="7" spans="1:485" ht="15.75">
      <c r="A7" s="40"/>
    </row>
    <row r="8" spans="1:485" ht="15.75">
      <c r="A8" s="39"/>
    </row>
    <row r="9" spans="1:485" ht="15.75">
      <c r="A9" s="40"/>
    </row>
    <row r="10" spans="1:485" ht="15.75">
      <c r="A10" s="40"/>
    </row>
    <row r="11" spans="1:485" ht="15.75">
      <c r="A11" s="40"/>
    </row>
    <row r="12" spans="1:485" ht="15.75">
      <c r="A12" s="39"/>
    </row>
    <row r="13" spans="1:485" ht="15.75">
      <c r="A13" s="40"/>
    </row>
    <row r="14" spans="1:485" ht="15.75">
      <c r="A14" s="40"/>
    </row>
    <row r="15" spans="1:485" ht="15.75">
      <c r="A15" s="40"/>
    </row>
    <row r="16" spans="1:485" ht="15.75">
      <c r="A16" s="39"/>
    </row>
    <row r="17" spans="1:175" ht="15.75">
      <c r="A17" s="40"/>
    </row>
    <row r="18" spans="1:175" ht="15.75">
      <c r="A18" s="40"/>
    </row>
    <row r="19" spans="1:175" ht="15.75">
      <c r="A19" s="40"/>
    </row>
    <row r="20" spans="1:175" ht="15.75">
      <c r="A20" s="39"/>
    </row>
    <row r="21" spans="1:175" ht="15.75">
      <c r="A21" s="40"/>
    </row>
    <row r="22" spans="1:175" ht="15.75">
      <c r="A22" s="40"/>
    </row>
    <row r="23" spans="1:175" ht="15.75">
      <c r="A23" s="40"/>
    </row>
    <row r="24" spans="1:175" ht="15.75">
      <c r="A24" s="39"/>
    </row>
    <row r="25" spans="1:175" ht="15.75">
      <c r="A25" s="40"/>
    </row>
    <row r="26" spans="1:175" ht="15.75">
      <c r="A26" s="40"/>
    </row>
    <row r="27" spans="1:175" ht="15.75">
      <c r="A27" s="40"/>
    </row>
    <row r="28" spans="1:175" ht="15.75">
      <c r="A28" s="39"/>
    </row>
    <row r="29" spans="1:175" ht="15.75">
      <c r="A29" s="40"/>
    </row>
    <row r="30" spans="1:175" ht="15.75">
      <c r="A30" s="40"/>
    </row>
    <row r="31" spans="1:175" ht="15.75">
      <c r="A31" s="40"/>
    </row>
    <row r="32" spans="1:175" ht="15.75">
      <c r="A32" s="39"/>
      <c r="B32" s="4">
        <f t="shared" ref="B32:AG32" si="0">SUM(B5:B31)</f>
        <v>0</v>
      </c>
      <c r="C32" s="4">
        <f t="shared" si="0"/>
        <v>0</v>
      </c>
      <c r="D32" s="4">
        <f t="shared" si="0"/>
        <v>0</v>
      </c>
      <c r="E32" s="4">
        <f t="shared" si="0"/>
        <v>0</v>
      </c>
      <c r="F32" s="4">
        <f t="shared" si="0"/>
        <v>0</v>
      </c>
      <c r="G32" s="4">
        <f t="shared" si="0"/>
        <v>0</v>
      </c>
      <c r="H32" s="4">
        <f t="shared" si="0"/>
        <v>0</v>
      </c>
      <c r="I32" s="4">
        <f t="shared" si="0"/>
        <v>0</v>
      </c>
      <c r="J32" s="4">
        <f t="shared" si="0"/>
        <v>0</v>
      </c>
      <c r="K32" s="4">
        <f t="shared" si="0"/>
        <v>0</v>
      </c>
      <c r="L32" s="4">
        <f t="shared" si="0"/>
        <v>0</v>
      </c>
      <c r="M32" s="4">
        <f t="shared" si="0"/>
        <v>0</v>
      </c>
      <c r="N32" s="4">
        <f t="shared" si="0"/>
        <v>0</v>
      </c>
      <c r="O32" s="4">
        <f t="shared" si="0"/>
        <v>0</v>
      </c>
      <c r="P32" s="4">
        <f t="shared" si="0"/>
        <v>0</v>
      </c>
      <c r="Q32" s="4">
        <f t="shared" si="0"/>
        <v>0</v>
      </c>
      <c r="R32" s="4">
        <f t="shared" si="0"/>
        <v>0</v>
      </c>
      <c r="S32" s="4">
        <f t="shared" si="0"/>
        <v>0</v>
      </c>
      <c r="T32" s="4">
        <f t="shared" si="0"/>
        <v>0</v>
      </c>
      <c r="U32" s="4">
        <f t="shared" si="0"/>
        <v>0</v>
      </c>
      <c r="V32" s="4">
        <f t="shared" si="0"/>
        <v>0</v>
      </c>
      <c r="W32" s="4">
        <f t="shared" si="0"/>
        <v>0</v>
      </c>
      <c r="X32" s="4">
        <f t="shared" si="0"/>
        <v>0</v>
      </c>
      <c r="Y32" s="4">
        <f t="shared" si="0"/>
        <v>0</v>
      </c>
      <c r="Z32" s="4">
        <f t="shared" si="0"/>
        <v>0</v>
      </c>
      <c r="AA32" s="4">
        <f t="shared" si="0"/>
        <v>0</v>
      </c>
      <c r="AB32" s="4">
        <f t="shared" si="0"/>
        <v>0</v>
      </c>
      <c r="AC32" s="4">
        <f t="shared" si="0"/>
        <v>0</v>
      </c>
      <c r="AD32" s="4">
        <f t="shared" si="0"/>
        <v>0</v>
      </c>
      <c r="AE32" s="4">
        <f t="shared" si="0"/>
        <v>0</v>
      </c>
      <c r="AF32" s="4">
        <f t="shared" si="0"/>
        <v>0</v>
      </c>
      <c r="AG32" s="4">
        <f t="shared" si="0"/>
        <v>0</v>
      </c>
      <c r="AH32" s="4">
        <f t="shared" ref="AH32:BM32" si="1">SUM(AH5:AH31)</f>
        <v>0</v>
      </c>
      <c r="AI32" s="4">
        <f t="shared" si="1"/>
        <v>0</v>
      </c>
      <c r="AJ32" s="4">
        <f t="shared" si="1"/>
        <v>0</v>
      </c>
      <c r="AK32" s="4">
        <f t="shared" si="1"/>
        <v>0</v>
      </c>
      <c r="AL32" s="4">
        <f t="shared" si="1"/>
        <v>0</v>
      </c>
      <c r="AM32" s="4">
        <f t="shared" si="1"/>
        <v>0</v>
      </c>
      <c r="AN32" s="4">
        <f t="shared" si="1"/>
        <v>0</v>
      </c>
      <c r="AO32" s="4">
        <f t="shared" si="1"/>
        <v>0</v>
      </c>
      <c r="AP32" s="4">
        <f t="shared" si="1"/>
        <v>0</v>
      </c>
      <c r="AQ32" s="4">
        <f t="shared" si="1"/>
        <v>0</v>
      </c>
      <c r="AR32" s="4">
        <f t="shared" si="1"/>
        <v>0</v>
      </c>
      <c r="AS32" s="4">
        <f t="shared" si="1"/>
        <v>0</v>
      </c>
      <c r="AT32" s="4">
        <f t="shared" si="1"/>
        <v>0</v>
      </c>
      <c r="AU32" s="4">
        <f t="shared" si="1"/>
        <v>0</v>
      </c>
      <c r="AV32" s="4">
        <f t="shared" si="1"/>
        <v>0</v>
      </c>
      <c r="AW32" s="4">
        <f t="shared" si="1"/>
        <v>0</v>
      </c>
      <c r="AX32" s="4">
        <f t="shared" si="1"/>
        <v>0</v>
      </c>
      <c r="AY32" s="4">
        <f t="shared" si="1"/>
        <v>0</v>
      </c>
      <c r="AZ32" s="4">
        <f t="shared" si="1"/>
        <v>0</v>
      </c>
      <c r="BA32" s="4">
        <f t="shared" si="1"/>
        <v>0</v>
      </c>
      <c r="BB32" s="4">
        <f t="shared" si="1"/>
        <v>0</v>
      </c>
      <c r="BC32" s="4">
        <f t="shared" si="1"/>
        <v>0</v>
      </c>
      <c r="BD32" s="4">
        <f t="shared" si="1"/>
        <v>0</v>
      </c>
      <c r="BE32" s="4">
        <f t="shared" si="1"/>
        <v>0</v>
      </c>
      <c r="BF32" s="4">
        <f t="shared" si="1"/>
        <v>0</v>
      </c>
      <c r="BG32" s="4">
        <f t="shared" si="1"/>
        <v>0</v>
      </c>
      <c r="BH32" s="4">
        <f t="shared" si="1"/>
        <v>0</v>
      </c>
      <c r="BI32" s="4">
        <f t="shared" si="1"/>
        <v>0</v>
      </c>
      <c r="BJ32" s="4">
        <f t="shared" si="1"/>
        <v>0</v>
      </c>
      <c r="BK32" s="4">
        <f t="shared" si="1"/>
        <v>0</v>
      </c>
      <c r="BL32" s="4">
        <f t="shared" si="1"/>
        <v>0</v>
      </c>
      <c r="BM32" s="4">
        <f t="shared" si="1"/>
        <v>0</v>
      </c>
      <c r="BN32" s="4">
        <f t="shared" ref="BN32:CS32" si="2">SUM(BN5:BN31)</f>
        <v>0</v>
      </c>
      <c r="BO32" s="4">
        <f t="shared" si="2"/>
        <v>0</v>
      </c>
      <c r="BP32" s="4">
        <f t="shared" si="2"/>
        <v>0</v>
      </c>
      <c r="BQ32" s="4">
        <f t="shared" si="2"/>
        <v>0</v>
      </c>
      <c r="BR32" s="4">
        <f t="shared" si="2"/>
        <v>0</v>
      </c>
      <c r="BS32" s="4">
        <f t="shared" si="2"/>
        <v>0</v>
      </c>
      <c r="BT32" s="4">
        <f t="shared" si="2"/>
        <v>0</v>
      </c>
      <c r="BU32" s="4">
        <f t="shared" si="2"/>
        <v>0</v>
      </c>
      <c r="BV32" s="4">
        <f t="shared" si="2"/>
        <v>0</v>
      </c>
      <c r="BW32" s="4">
        <f t="shared" si="2"/>
        <v>0</v>
      </c>
      <c r="BX32" s="4">
        <f t="shared" si="2"/>
        <v>0</v>
      </c>
      <c r="BY32" s="4">
        <f t="shared" si="2"/>
        <v>0</v>
      </c>
      <c r="BZ32" s="4">
        <f t="shared" si="2"/>
        <v>0</v>
      </c>
      <c r="CA32" s="4">
        <f t="shared" si="2"/>
        <v>0</v>
      </c>
      <c r="CB32" s="4">
        <f t="shared" si="2"/>
        <v>0</v>
      </c>
      <c r="CC32" s="4">
        <f t="shared" si="2"/>
        <v>0</v>
      </c>
      <c r="CD32" s="4">
        <f t="shared" si="2"/>
        <v>0</v>
      </c>
      <c r="CE32" s="4">
        <f t="shared" si="2"/>
        <v>0</v>
      </c>
      <c r="CF32" s="4">
        <f t="shared" si="2"/>
        <v>0</v>
      </c>
      <c r="CG32" s="4">
        <f t="shared" si="2"/>
        <v>0</v>
      </c>
      <c r="CH32" s="4">
        <f t="shared" si="2"/>
        <v>0</v>
      </c>
      <c r="CI32" s="4">
        <f t="shared" si="2"/>
        <v>0</v>
      </c>
      <c r="CJ32" s="4">
        <f t="shared" si="2"/>
        <v>0</v>
      </c>
      <c r="CK32" s="4">
        <f t="shared" si="2"/>
        <v>0</v>
      </c>
      <c r="CL32" s="4">
        <f t="shared" si="2"/>
        <v>0</v>
      </c>
      <c r="CM32" s="4">
        <f t="shared" si="2"/>
        <v>0</v>
      </c>
      <c r="CN32" s="4">
        <f t="shared" si="2"/>
        <v>0</v>
      </c>
      <c r="CO32" s="4">
        <f t="shared" si="2"/>
        <v>0</v>
      </c>
      <c r="CP32" s="4">
        <f t="shared" si="2"/>
        <v>0</v>
      </c>
      <c r="CQ32" s="4">
        <f t="shared" si="2"/>
        <v>0</v>
      </c>
      <c r="CR32" s="4">
        <f t="shared" si="2"/>
        <v>0</v>
      </c>
      <c r="CS32" s="4">
        <f t="shared" si="2"/>
        <v>0</v>
      </c>
      <c r="CT32" s="4">
        <f t="shared" ref="CT32:DY32" si="3">SUM(CT5:CT31)</f>
        <v>0</v>
      </c>
      <c r="CU32" s="4">
        <f t="shared" si="3"/>
        <v>0</v>
      </c>
      <c r="CV32" s="4">
        <f t="shared" si="3"/>
        <v>0</v>
      </c>
      <c r="CW32" s="4">
        <f t="shared" si="3"/>
        <v>0</v>
      </c>
      <c r="CX32" s="4">
        <f t="shared" si="3"/>
        <v>0</v>
      </c>
      <c r="CY32" s="4">
        <f t="shared" si="3"/>
        <v>0</v>
      </c>
      <c r="CZ32" s="4">
        <f t="shared" si="3"/>
        <v>0</v>
      </c>
      <c r="DA32" s="4">
        <f t="shared" si="3"/>
        <v>0</v>
      </c>
      <c r="DB32" s="4">
        <f t="shared" si="3"/>
        <v>0</v>
      </c>
      <c r="DC32" s="4">
        <f t="shared" si="3"/>
        <v>0</v>
      </c>
      <c r="DD32" s="4">
        <f t="shared" si="3"/>
        <v>0</v>
      </c>
      <c r="DE32" s="4">
        <f t="shared" si="3"/>
        <v>0</v>
      </c>
      <c r="DF32" s="4">
        <f t="shared" si="3"/>
        <v>0</v>
      </c>
      <c r="DG32" s="4">
        <f t="shared" si="3"/>
        <v>0</v>
      </c>
      <c r="DH32" s="4">
        <f t="shared" si="3"/>
        <v>0</v>
      </c>
      <c r="DI32" s="4">
        <f t="shared" si="3"/>
        <v>0</v>
      </c>
      <c r="DJ32" s="4">
        <f t="shared" si="3"/>
        <v>0</v>
      </c>
      <c r="DK32" s="4">
        <f t="shared" si="3"/>
        <v>0</v>
      </c>
      <c r="DL32" s="4">
        <f t="shared" si="3"/>
        <v>0</v>
      </c>
      <c r="DM32" s="4">
        <f t="shared" si="3"/>
        <v>0</v>
      </c>
      <c r="DN32" s="4">
        <f t="shared" si="3"/>
        <v>0</v>
      </c>
      <c r="DO32" s="4">
        <f t="shared" si="3"/>
        <v>0</v>
      </c>
      <c r="DP32" s="4">
        <f t="shared" si="3"/>
        <v>0</v>
      </c>
      <c r="DQ32" s="4">
        <f t="shared" si="3"/>
        <v>0</v>
      </c>
      <c r="DR32" s="4">
        <f t="shared" si="3"/>
        <v>0</v>
      </c>
      <c r="DS32" s="4">
        <f t="shared" si="3"/>
        <v>0</v>
      </c>
      <c r="DT32" s="4">
        <f t="shared" si="3"/>
        <v>0</v>
      </c>
      <c r="DU32" s="4">
        <f t="shared" si="3"/>
        <v>0</v>
      </c>
      <c r="DV32" s="4">
        <f t="shared" si="3"/>
        <v>0</v>
      </c>
      <c r="DW32" s="4">
        <f t="shared" si="3"/>
        <v>0</v>
      </c>
      <c r="DX32" s="4">
        <f t="shared" si="3"/>
        <v>0</v>
      </c>
      <c r="DY32" s="4">
        <f t="shared" si="3"/>
        <v>0</v>
      </c>
      <c r="DZ32" s="4">
        <f t="shared" ref="DZ32:FE32" si="4">SUM(DZ5:DZ31)</f>
        <v>0</v>
      </c>
      <c r="EA32" s="4">
        <f t="shared" si="4"/>
        <v>0</v>
      </c>
      <c r="EB32" s="4">
        <f t="shared" si="4"/>
        <v>0</v>
      </c>
      <c r="EC32" s="4">
        <f t="shared" si="4"/>
        <v>0</v>
      </c>
      <c r="ED32" s="4">
        <f t="shared" si="4"/>
        <v>0</v>
      </c>
      <c r="EE32" s="4">
        <f t="shared" si="4"/>
        <v>0</v>
      </c>
      <c r="EF32" s="4">
        <f t="shared" si="4"/>
        <v>0</v>
      </c>
      <c r="EG32" s="4">
        <f t="shared" si="4"/>
        <v>0</v>
      </c>
      <c r="EH32" s="4">
        <f t="shared" si="4"/>
        <v>0</v>
      </c>
      <c r="EI32" s="4">
        <f t="shared" si="4"/>
        <v>0</v>
      </c>
      <c r="EJ32" s="4">
        <f t="shared" si="4"/>
        <v>0</v>
      </c>
      <c r="EK32" s="4">
        <f t="shared" si="4"/>
        <v>0</v>
      </c>
      <c r="EL32" s="4">
        <f t="shared" si="4"/>
        <v>0</v>
      </c>
      <c r="EM32" s="4">
        <f t="shared" si="4"/>
        <v>0</v>
      </c>
      <c r="EN32" s="4">
        <f t="shared" si="4"/>
        <v>0</v>
      </c>
      <c r="EO32" s="4">
        <f t="shared" si="4"/>
        <v>0</v>
      </c>
      <c r="EP32" s="4">
        <f t="shared" si="4"/>
        <v>0</v>
      </c>
      <c r="EQ32" s="4">
        <f t="shared" si="4"/>
        <v>0</v>
      </c>
      <c r="ER32" s="4">
        <f t="shared" si="4"/>
        <v>0</v>
      </c>
      <c r="ES32" s="4">
        <f t="shared" si="4"/>
        <v>0</v>
      </c>
      <c r="ET32" s="4">
        <f t="shared" si="4"/>
        <v>0</v>
      </c>
      <c r="EU32" s="4">
        <f t="shared" si="4"/>
        <v>0</v>
      </c>
      <c r="EV32" s="4">
        <f t="shared" si="4"/>
        <v>0</v>
      </c>
      <c r="EW32" s="4">
        <f t="shared" si="4"/>
        <v>0</v>
      </c>
      <c r="EX32" s="4">
        <f t="shared" si="4"/>
        <v>0</v>
      </c>
      <c r="EY32" s="4"/>
      <c r="EZ32" s="4"/>
      <c r="FA32" s="4">
        <f t="shared" si="4"/>
        <v>0</v>
      </c>
      <c r="FB32" s="4">
        <f t="shared" si="4"/>
        <v>0</v>
      </c>
      <c r="FC32" s="4">
        <f t="shared" si="4"/>
        <v>0</v>
      </c>
      <c r="FD32" s="4">
        <f t="shared" si="4"/>
        <v>0</v>
      </c>
      <c r="FE32" s="4">
        <f t="shared" si="4"/>
        <v>0</v>
      </c>
      <c r="FF32" s="4"/>
      <c r="FG32" s="4"/>
      <c r="FH32" s="4"/>
      <c r="FI32" s="4"/>
      <c r="FJ32" s="4"/>
      <c r="FK32" s="4"/>
      <c r="FL32" s="4"/>
      <c r="FM32" s="4"/>
      <c r="FN32" s="4"/>
      <c r="FO32" s="4"/>
      <c r="FP32" s="4"/>
      <c r="FQ32" s="4"/>
      <c r="FR32" s="4"/>
      <c r="FS32" s="4"/>
    </row>
    <row r="33" spans="1:1" ht="15.75">
      <c r="A33" s="40"/>
    </row>
    <row r="34" spans="1:1" ht="15.75">
      <c r="A34" s="40"/>
    </row>
    <row r="35" spans="1:1" ht="15.75">
      <c r="A35" s="40"/>
    </row>
    <row r="36" spans="1:1" ht="15.75">
      <c r="A36" s="39"/>
    </row>
    <row r="37" spans="1:1" ht="15.75">
      <c r="A37" s="40"/>
    </row>
    <row r="38" spans="1:1" ht="15.75">
      <c r="A38" s="40"/>
    </row>
    <row r="39" spans="1:1" ht="15.75">
      <c r="A39" s="40"/>
    </row>
    <row r="40" spans="1:1" ht="15.75">
      <c r="A40" s="39"/>
    </row>
    <row r="41" spans="1:1" ht="15.75">
      <c r="A41" s="40"/>
    </row>
    <row r="42" spans="1:1" ht="15.75">
      <c r="A42" s="40"/>
    </row>
    <row r="43" spans="1:1" ht="15.75">
      <c r="A43" s="40"/>
    </row>
    <row r="44" spans="1:1" ht="15.75">
      <c r="A44" s="39"/>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22" zoomScaleNormal="100" workbookViewId="0">
      <selection activeCell="B23" sqref="B23"/>
    </sheetView>
  </sheetViews>
  <sheetFormatPr defaultRowHeight="15"/>
  <cols>
    <col min="2" max="2" width="54.85546875" customWidth="1"/>
    <col min="3" max="3" width="17.28515625" customWidth="1"/>
    <col min="4" max="5" width="16.5703125" customWidth="1"/>
    <col min="6" max="6" width="18.42578125" customWidth="1"/>
    <col min="8" max="8" width="16.7109375" customWidth="1"/>
    <col min="9" max="9" width="14.28515625" customWidth="1"/>
    <col min="10" max="10" width="12.5703125" customWidth="1"/>
    <col min="11" max="11" width="17.85546875" customWidth="1"/>
  </cols>
  <sheetData>
    <row r="1" spans="1:6" s="370" customFormat="1" ht="15.75">
      <c r="A1" s="85"/>
      <c r="B1" s="1322"/>
      <c r="C1" s="85"/>
      <c r="D1" s="85"/>
      <c r="E1" s="1323"/>
      <c r="F1" s="1323"/>
    </row>
    <row r="2" spans="1:6" s="370" customFormat="1" ht="15.75">
      <c r="A2" s="1326" t="s">
        <v>2347</v>
      </c>
      <c r="B2" s="1327" t="s">
        <v>2356</v>
      </c>
      <c r="C2" s="1326" t="s">
        <v>2352</v>
      </c>
      <c r="D2" s="1326" t="s">
        <v>2806</v>
      </c>
      <c r="E2" s="1325" t="s">
        <v>2141</v>
      </c>
      <c r="F2" s="1325" t="s">
        <v>2348</v>
      </c>
    </row>
    <row r="3" spans="1:6" s="370" customFormat="1" ht="15.75">
      <c r="A3" s="85"/>
      <c r="B3" s="1322"/>
      <c r="C3" s="85"/>
      <c r="D3" s="85"/>
      <c r="E3" s="1323"/>
      <c r="F3" s="1323"/>
    </row>
    <row r="4" spans="1:6" s="370" customFormat="1" ht="18.75">
      <c r="A4" s="1334">
        <v>1</v>
      </c>
      <c r="B4" s="1335" t="s">
        <v>2155</v>
      </c>
      <c r="C4" s="1334" t="s">
        <v>2146</v>
      </c>
      <c r="D4" s="1334">
        <v>22</v>
      </c>
      <c r="E4" s="1328">
        <v>171650.6152</v>
      </c>
      <c r="F4" s="1328">
        <f>D4*E4</f>
        <v>3776313.5344000002</v>
      </c>
    </row>
    <row r="5" spans="1:6" s="370" customFormat="1" ht="18.75">
      <c r="A5" s="1334">
        <v>2</v>
      </c>
      <c r="B5" s="1335" t="s">
        <v>2160</v>
      </c>
      <c r="C5" s="1334" t="s">
        <v>2146</v>
      </c>
      <c r="D5" s="1334">
        <v>1</v>
      </c>
      <c r="E5" s="1328">
        <v>1742409.73386</v>
      </c>
      <c r="F5" s="1328">
        <f t="shared" ref="F5:F17" si="0">D5*E5</f>
        <v>1742409.73386</v>
      </c>
    </row>
    <row r="6" spans="1:6" s="370" customFormat="1" ht="18.75">
      <c r="A6" s="1334">
        <v>3</v>
      </c>
      <c r="B6" s="1335" t="s">
        <v>2167</v>
      </c>
      <c r="C6" s="1334" t="s">
        <v>2146</v>
      </c>
      <c r="D6" s="1334">
        <v>11</v>
      </c>
      <c r="E6" s="1328">
        <v>410000</v>
      </c>
      <c r="F6" s="1328">
        <f t="shared" si="0"/>
        <v>4510000</v>
      </c>
    </row>
    <row r="7" spans="1:6" s="370" customFormat="1" ht="18.75">
      <c r="A7" s="1334">
        <v>5</v>
      </c>
      <c r="B7" s="1335" t="s">
        <v>2176</v>
      </c>
      <c r="C7" s="1334" t="s">
        <v>2146</v>
      </c>
      <c r="D7" s="1334">
        <v>4</v>
      </c>
      <c r="E7" s="1328">
        <v>3184802.9242199999</v>
      </c>
      <c r="F7" s="1328">
        <f t="shared" si="0"/>
        <v>12739211.69688</v>
      </c>
    </row>
    <row r="8" spans="1:6" s="370" customFormat="1" ht="18.75">
      <c r="A8" s="1334">
        <v>6</v>
      </c>
      <c r="B8" s="1335" t="s">
        <v>2192</v>
      </c>
      <c r="C8" s="1334" t="s">
        <v>163</v>
      </c>
      <c r="D8" s="1334">
        <v>17</v>
      </c>
      <c r="E8" s="1328">
        <v>847449.39174400002</v>
      </c>
      <c r="F8" s="1328">
        <f t="shared" si="0"/>
        <v>14406639.659648001</v>
      </c>
    </row>
    <row r="9" spans="1:6" s="370" customFormat="1" ht="18.75">
      <c r="A9" s="1334">
        <v>7</v>
      </c>
      <c r="B9" s="1335" t="s">
        <v>2199</v>
      </c>
      <c r="C9" s="1334" t="s">
        <v>163</v>
      </c>
      <c r="D9" s="1334">
        <v>2</v>
      </c>
      <c r="E9" s="1328">
        <v>1550721.4289920002</v>
      </c>
      <c r="F9" s="1328">
        <f t="shared" si="0"/>
        <v>3101442.8579840004</v>
      </c>
    </row>
    <row r="10" spans="1:6" s="370" customFormat="1" ht="18.75">
      <c r="A10" s="1334">
        <v>8</v>
      </c>
      <c r="B10" s="1336" t="s">
        <v>5120</v>
      </c>
      <c r="C10" s="1329" t="s">
        <v>400</v>
      </c>
      <c r="D10" s="1334">
        <v>5</v>
      </c>
      <c r="E10" s="1328">
        <v>6660464.8869930068</v>
      </c>
      <c r="F10" s="1328">
        <f t="shared" si="0"/>
        <v>33302324.434965033</v>
      </c>
    </row>
    <row r="11" spans="1:6" s="370" customFormat="1" ht="18.75">
      <c r="A11" s="1334">
        <v>9</v>
      </c>
      <c r="B11" s="1335" t="s">
        <v>5121</v>
      </c>
      <c r="C11" s="1334" t="s">
        <v>400</v>
      </c>
      <c r="D11" s="1334">
        <v>2</v>
      </c>
      <c r="E11" s="1328">
        <v>3034045.4608951048</v>
      </c>
      <c r="F11" s="1328">
        <f t="shared" si="0"/>
        <v>6068090.9217902096</v>
      </c>
    </row>
    <row r="12" spans="1:6" s="370" customFormat="1" ht="18.75">
      <c r="A12" s="1334">
        <v>10</v>
      </c>
      <c r="B12" s="1335" t="s">
        <v>2234</v>
      </c>
      <c r="C12" s="1334" t="s">
        <v>163</v>
      </c>
      <c r="D12" s="1334">
        <v>1</v>
      </c>
      <c r="E12" s="1328">
        <v>932778.17619999987</v>
      </c>
      <c r="F12" s="1328">
        <f t="shared" si="0"/>
        <v>932778.17619999987</v>
      </c>
    </row>
    <row r="13" spans="1:6" s="370" customFormat="1" ht="18.75">
      <c r="A13" s="1334">
        <v>11</v>
      </c>
      <c r="B13" s="1335" t="s">
        <v>2236</v>
      </c>
      <c r="C13" s="1334" t="s">
        <v>163</v>
      </c>
      <c r="D13" s="1334">
        <v>3</v>
      </c>
      <c r="E13" s="1328">
        <v>1888956.3523999997</v>
      </c>
      <c r="F13" s="1328">
        <f t="shared" si="0"/>
        <v>5666869.0571999997</v>
      </c>
    </row>
    <row r="14" spans="1:6" s="370" customFormat="1" ht="18.75">
      <c r="A14" s="1334">
        <v>12</v>
      </c>
      <c r="B14" s="1335" t="s">
        <v>5122</v>
      </c>
      <c r="C14" s="1334" t="s">
        <v>163</v>
      </c>
      <c r="D14" s="1334">
        <v>15</v>
      </c>
      <c r="E14" s="1328">
        <v>290616.49199999997</v>
      </c>
      <c r="F14" s="1328">
        <f t="shared" si="0"/>
        <v>4359247.38</v>
      </c>
    </row>
    <row r="15" spans="1:6" s="370" customFormat="1" ht="37.5">
      <c r="A15" s="1334">
        <v>13</v>
      </c>
      <c r="B15" s="1337" t="s">
        <v>5123</v>
      </c>
      <c r="C15" s="1334" t="s">
        <v>774</v>
      </c>
      <c r="D15" s="1334">
        <v>50</v>
      </c>
      <c r="E15" s="1328">
        <v>162000</v>
      </c>
      <c r="F15" s="1328">
        <f t="shared" si="0"/>
        <v>8100000</v>
      </c>
    </row>
    <row r="16" spans="1:6" s="370" customFormat="1" ht="18.75">
      <c r="A16" s="1334">
        <v>14</v>
      </c>
      <c r="B16" s="1335" t="s">
        <v>2351</v>
      </c>
      <c r="C16" s="1334" t="s">
        <v>2282</v>
      </c>
      <c r="D16" s="1334">
        <v>1</v>
      </c>
      <c r="E16" s="1328">
        <v>59299847.068257004</v>
      </c>
      <c r="F16" s="1328">
        <f t="shared" si="0"/>
        <v>59299847.068257004</v>
      </c>
    </row>
    <row r="17" spans="1:6" s="370" customFormat="1" ht="18.75">
      <c r="A17" s="1334">
        <v>15</v>
      </c>
      <c r="B17" s="1335" t="s">
        <v>3102</v>
      </c>
      <c r="C17" s="1334" t="s">
        <v>2598</v>
      </c>
      <c r="D17" s="1334">
        <v>1</v>
      </c>
      <c r="E17" s="1328">
        <v>60530465.760000005</v>
      </c>
      <c r="F17" s="1328">
        <f t="shared" si="0"/>
        <v>60530465.760000005</v>
      </c>
    </row>
    <row r="18" spans="1:6" ht="18.75">
      <c r="A18" s="1338" t="s">
        <v>2361</v>
      </c>
      <c r="B18" s="1339" t="s">
        <v>2788</v>
      </c>
      <c r="C18" s="1329"/>
      <c r="D18" s="1331"/>
      <c r="E18" s="1340"/>
      <c r="F18" s="1341"/>
    </row>
    <row r="19" spans="1:6" ht="18.75">
      <c r="A19" s="1342">
        <v>1</v>
      </c>
      <c r="B19" s="1343" t="s">
        <v>2964</v>
      </c>
      <c r="C19" s="1344" t="s">
        <v>9</v>
      </c>
      <c r="D19" s="1345">
        <v>45</v>
      </c>
      <c r="E19" s="1346">
        <v>11479</v>
      </c>
      <c r="F19" s="1347">
        <f>D19*E19</f>
        <v>516555</v>
      </c>
    </row>
    <row r="20" spans="1:6" ht="18.75">
      <c r="A20" s="1342">
        <v>2</v>
      </c>
      <c r="B20" s="1343" t="s">
        <v>3489</v>
      </c>
      <c r="C20" s="1344" t="s">
        <v>9</v>
      </c>
      <c r="D20" s="1345">
        <v>69</v>
      </c>
      <c r="E20" s="1346">
        <v>30658</v>
      </c>
      <c r="F20" s="1347">
        <f t="shared" ref="F20:F28" si="1">D20*E20</f>
        <v>2115402</v>
      </c>
    </row>
    <row r="21" spans="1:6" ht="18.75">
      <c r="A21" s="1342">
        <v>3</v>
      </c>
      <c r="B21" s="1330" t="s">
        <v>3487</v>
      </c>
      <c r="C21" s="1329" t="s">
        <v>1265</v>
      </c>
      <c r="D21" s="1345">
        <v>0.216</v>
      </c>
      <c r="E21" s="1346">
        <v>14734000</v>
      </c>
      <c r="F21" s="1347">
        <f t="shared" si="1"/>
        <v>3182544</v>
      </c>
    </row>
    <row r="22" spans="1:6" ht="18.75">
      <c r="A22" s="1342">
        <v>4</v>
      </c>
      <c r="B22" s="1330" t="s">
        <v>2975</v>
      </c>
      <c r="C22" s="1329" t="s">
        <v>37</v>
      </c>
      <c r="D22" s="1345">
        <v>23</v>
      </c>
      <c r="E22" s="1346">
        <v>405000</v>
      </c>
      <c r="F22" s="1347">
        <f t="shared" si="1"/>
        <v>9315000</v>
      </c>
    </row>
    <row r="23" spans="1:6" ht="18.75">
      <c r="A23" s="1342">
        <v>5</v>
      </c>
      <c r="B23" s="1330" t="s">
        <v>2977</v>
      </c>
      <c r="C23" s="1329" t="s">
        <v>37</v>
      </c>
      <c r="D23" s="1345">
        <v>15</v>
      </c>
      <c r="E23" s="1346">
        <v>892000</v>
      </c>
      <c r="F23" s="1347">
        <f t="shared" si="1"/>
        <v>13380000</v>
      </c>
    </row>
    <row r="24" spans="1:6" ht="18.75">
      <c r="A24" s="1342">
        <v>6</v>
      </c>
      <c r="B24" s="1330" t="s">
        <v>2974</v>
      </c>
      <c r="C24" s="1329" t="s">
        <v>9</v>
      </c>
      <c r="D24" s="1345">
        <v>3</v>
      </c>
      <c r="E24" s="1346">
        <v>464519</v>
      </c>
      <c r="F24" s="1347">
        <f t="shared" si="1"/>
        <v>1393557</v>
      </c>
    </row>
    <row r="25" spans="1:6" ht="18.75">
      <c r="A25" s="1342">
        <v>7</v>
      </c>
      <c r="B25" s="1330" t="s">
        <v>4707</v>
      </c>
      <c r="C25" s="1329" t="s">
        <v>3553</v>
      </c>
      <c r="D25" s="1345">
        <v>106</v>
      </c>
      <c r="E25" s="1346">
        <v>142542</v>
      </c>
      <c r="F25" s="1347">
        <f t="shared" si="1"/>
        <v>15109452</v>
      </c>
    </row>
    <row r="26" spans="1:6" ht="18.75">
      <c r="A26" s="1342">
        <v>8</v>
      </c>
      <c r="B26" s="1348" t="s">
        <v>3554</v>
      </c>
      <c r="C26" s="1349" t="s">
        <v>9</v>
      </c>
      <c r="D26" s="1345">
        <v>106</v>
      </c>
      <c r="E26" s="1346">
        <v>365421</v>
      </c>
      <c r="F26" s="1347">
        <f t="shared" si="1"/>
        <v>38734626</v>
      </c>
    </row>
    <row r="27" spans="1:6" ht="18.75">
      <c r="A27" s="1342">
        <v>9</v>
      </c>
      <c r="B27" s="1350" t="s">
        <v>2930</v>
      </c>
      <c r="C27" s="1329" t="s">
        <v>2785</v>
      </c>
      <c r="D27" s="1345">
        <v>23</v>
      </c>
      <c r="E27" s="1346">
        <v>1839494</v>
      </c>
      <c r="F27" s="1347">
        <f t="shared" si="1"/>
        <v>42308362</v>
      </c>
    </row>
    <row r="28" spans="1:6" ht="18.75">
      <c r="A28" s="1342">
        <v>10</v>
      </c>
      <c r="B28" s="1350" t="s">
        <v>2932</v>
      </c>
      <c r="C28" s="1329" t="s">
        <v>2785</v>
      </c>
      <c r="D28" s="1345">
        <v>10</v>
      </c>
      <c r="E28" s="1346">
        <v>1969155</v>
      </c>
      <c r="F28" s="1347">
        <f t="shared" si="1"/>
        <v>19691550</v>
      </c>
    </row>
    <row r="29" spans="1:6" ht="18.75">
      <c r="A29" s="1338" t="s">
        <v>2379</v>
      </c>
      <c r="B29" s="1339" t="s">
        <v>3910</v>
      </c>
      <c r="C29" s="1329"/>
      <c r="D29" s="1331"/>
      <c r="E29" s="1346"/>
      <c r="F29" s="1351"/>
    </row>
    <row r="30" spans="1:6" ht="18.75">
      <c r="A30" s="1342">
        <v>11</v>
      </c>
      <c r="B30" s="1330" t="s">
        <v>2953</v>
      </c>
      <c r="C30" s="1329" t="s">
        <v>1480</v>
      </c>
      <c r="D30" s="1345">
        <v>3</v>
      </c>
      <c r="E30" s="1346">
        <v>1450000</v>
      </c>
      <c r="F30" s="1347">
        <f>D30*E30</f>
        <v>4350000</v>
      </c>
    </row>
    <row r="31" spans="1:6" ht="37.5">
      <c r="A31" s="1342">
        <v>12</v>
      </c>
      <c r="B31" s="1352" t="s">
        <v>2967</v>
      </c>
      <c r="C31" s="1329" t="s">
        <v>774</v>
      </c>
      <c r="D31" s="1345">
        <v>48</v>
      </c>
      <c r="E31" s="1346">
        <v>42500</v>
      </c>
      <c r="F31" s="1347">
        <f t="shared" ref="F31:F35" si="2">D31*E31</f>
        <v>2040000</v>
      </c>
    </row>
    <row r="32" spans="1:6" ht="37.5">
      <c r="A32" s="1342">
        <v>13</v>
      </c>
      <c r="B32" s="1352" t="s">
        <v>2968</v>
      </c>
      <c r="C32" s="1329" t="s">
        <v>774</v>
      </c>
      <c r="D32" s="1345">
        <v>30</v>
      </c>
      <c r="E32" s="1346">
        <f>E31</f>
        <v>42500</v>
      </c>
      <c r="F32" s="1347">
        <f t="shared" si="2"/>
        <v>1275000</v>
      </c>
    </row>
    <row r="33" spans="1:6" ht="18.75">
      <c r="A33" s="1342">
        <v>14</v>
      </c>
      <c r="B33" s="1330" t="s">
        <v>3526</v>
      </c>
      <c r="C33" s="1329" t="s">
        <v>9</v>
      </c>
      <c r="D33" s="1345">
        <v>1</v>
      </c>
      <c r="E33" s="1346">
        <v>2455000</v>
      </c>
      <c r="F33" s="1347">
        <f t="shared" si="2"/>
        <v>2455000</v>
      </c>
    </row>
    <row r="34" spans="1:6" ht="18.75">
      <c r="A34" s="1342">
        <v>15</v>
      </c>
      <c r="B34" s="1330" t="s">
        <v>2973</v>
      </c>
      <c r="C34" s="1329" t="s">
        <v>9</v>
      </c>
      <c r="D34" s="1345">
        <v>3</v>
      </c>
      <c r="E34" s="1346">
        <v>783000</v>
      </c>
      <c r="F34" s="1347">
        <f t="shared" si="2"/>
        <v>2349000</v>
      </c>
    </row>
    <row r="35" spans="1:6" ht="18.75">
      <c r="A35" s="1342">
        <v>16</v>
      </c>
      <c r="B35" s="1348" t="s">
        <v>4736</v>
      </c>
      <c r="C35" s="1349" t="s">
        <v>9</v>
      </c>
      <c r="D35" s="1345">
        <v>1</v>
      </c>
      <c r="E35" s="1346">
        <v>3092000</v>
      </c>
      <c r="F35" s="1347">
        <f t="shared" si="2"/>
        <v>3092000</v>
      </c>
    </row>
    <row r="36" spans="1:6" ht="18.75">
      <c r="A36" s="1329" t="s">
        <v>2677</v>
      </c>
      <c r="B36" s="1330"/>
      <c r="C36" s="1329"/>
      <c r="D36" s="1331"/>
      <c r="E36" s="1332"/>
      <c r="F36" s="1333"/>
    </row>
    <row r="37" spans="1:6" ht="19.5">
      <c r="A37" s="1353" t="s">
        <v>2787</v>
      </c>
      <c r="B37" s="1330"/>
      <c r="C37" s="1330"/>
      <c r="D37" s="1354"/>
      <c r="E37" s="1336"/>
      <c r="F37" s="1355"/>
    </row>
    <row r="38" spans="1:6" ht="18.75">
      <c r="A38" s="1342">
        <v>1</v>
      </c>
      <c r="B38" s="1350" t="s">
        <v>2947</v>
      </c>
      <c r="C38" s="1329" t="s">
        <v>2785</v>
      </c>
      <c r="D38" s="1345">
        <v>23</v>
      </c>
      <c r="E38" s="1346">
        <v>263000</v>
      </c>
      <c r="F38" s="1331">
        <f>D38*E38</f>
        <v>6049000</v>
      </c>
    </row>
    <row r="39" spans="1:6" ht="18.75">
      <c r="A39" s="1342">
        <v>2</v>
      </c>
      <c r="B39" s="1350" t="s">
        <v>2948</v>
      </c>
      <c r="C39" s="1329" t="s">
        <v>2785</v>
      </c>
      <c r="D39" s="1345">
        <v>10</v>
      </c>
      <c r="E39" s="1346">
        <v>375000</v>
      </c>
      <c r="F39" s="1331">
        <f t="shared" ref="F39:F43" si="3">D39*E39</f>
        <v>3750000</v>
      </c>
    </row>
    <row r="40" spans="1:6" ht="18.75">
      <c r="A40" s="1329" t="s">
        <v>2677</v>
      </c>
      <c r="B40" s="1330"/>
      <c r="C40" s="1329"/>
      <c r="D40" s="1331"/>
      <c r="E40" s="1332"/>
      <c r="F40" s="1331">
        <f t="shared" si="3"/>
        <v>0</v>
      </c>
    </row>
    <row r="41" spans="1:6" ht="18.75">
      <c r="A41" s="1338" t="s">
        <v>2379</v>
      </c>
      <c r="B41" s="1330"/>
      <c r="C41" s="1329"/>
      <c r="D41" s="1331"/>
      <c r="E41" s="1340"/>
      <c r="F41" s="1331">
        <f t="shared" si="3"/>
        <v>0</v>
      </c>
    </row>
    <row r="42" spans="1:6" ht="18.75">
      <c r="A42" s="1342">
        <v>3</v>
      </c>
      <c r="B42" s="1330" t="s">
        <v>2953</v>
      </c>
      <c r="C42" s="1329" t="s">
        <v>1480</v>
      </c>
      <c r="D42" s="1345">
        <v>3</v>
      </c>
      <c r="E42" s="1346">
        <v>2600000</v>
      </c>
      <c r="F42" s="1331">
        <f t="shared" si="3"/>
        <v>7800000</v>
      </c>
    </row>
    <row r="43" spans="1:6" ht="15.75">
      <c r="A43" s="1356" t="s">
        <v>2677</v>
      </c>
      <c r="B43" s="1321"/>
      <c r="C43" s="1356"/>
      <c r="D43" s="1357"/>
      <c r="E43" s="1358"/>
      <c r="F43" s="1357">
        <f t="shared" si="3"/>
        <v>0</v>
      </c>
    </row>
    <row r="44" spans="1:6" ht="18.75">
      <c r="A44" s="1359"/>
      <c r="B44" s="1359" t="s">
        <v>5158</v>
      </c>
      <c r="C44" s="1359"/>
      <c r="D44" s="1359"/>
      <c r="E44" s="1359"/>
      <c r="F44" s="1360">
        <f>SUM(F4:F42)</f>
        <v>397442688.28118426</v>
      </c>
    </row>
    <row r="45" spans="1:6" ht="18.75">
      <c r="A45" s="1359"/>
      <c r="B45" s="1359" t="s">
        <v>5159</v>
      </c>
      <c r="C45" s="1359"/>
      <c r="D45" s="1359"/>
      <c r="E45" s="1359"/>
      <c r="F45" s="1360">
        <f>F44/10</f>
        <v>39744268.828118429</v>
      </c>
    </row>
    <row r="46" spans="1:6" ht="18.75">
      <c r="A46" s="1359"/>
      <c r="B46" s="1359"/>
      <c r="C46" s="1359"/>
      <c r="D46" s="1359"/>
      <c r="E46" s="1359"/>
      <c r="F46" s="1360">
        <f>F44+F45</f>
        <v>437186957.1093027</v>
      </c>
    </row>
    <row r="47" spans="1:6">
      <c r="A47" s="1324"/>
      <c r="B47" s="1324"/>
      <c r="C47" s="1324"/>
      <c r="D47" s="1324"/>
      <c r="E47" s="1324"/>
      <c r="F47" s="1324"/>
    </row>
  </sheetData>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134</vt:i4>
      </vt:variant>
    </vt:vector>
  </HeadingPairs>
  <TitlesOfParts>
    <vt:vector size="160" baseType="lpstr">
      <vt:lpstr>TH (2)</vt:lpstr>
      <vt:lpstr>THXL (2)</vt:lpstr>
      <vt:lpstr>TMC</vt:lpstr>
      <vt:lpstr>TDT</vt:lpstr>
      <vt:lpstr>TH</vt:lpstr>
      <vt:lpstr>THXL</vt:lpstr>
      <vt:lpstr>GT</vt:lpstr>
      <vt:lpstr>CT-DD</vt:lpstr>
      <vt:lpstr>CT-TBA</vt:lpstr>
      <vt:lpstr>CT-CS</vt:lpstr>
      <vt:lpstr>CTHL</vt:lpstr>
      <vt:lpstr>TK</vt:lpstr>
      <vt:lpstr>CT-TL</vt:lpstr>
      <vt:lpstr>LDTB</vt:lpstr>
      <vt:lpstr>CPHC</vt:lpstr>
      <vt:lpstr>TNHC</vt:lpstr>
      <vt:lpstr>VCDD</vt:lpstr>
      <vt:lpstr>KLVT</vt:lpstr>
      <vt:lpstr>BKCS</vt:lpstr>
      <vt:lpstr>BK</vt:lpstr>
      <vt:lpstr>SETTING</vt:lpstr>
      <vt:lpstr>DG</vt:lpstr>
      <vt:lpstr>R_DG</vt:lpstr>
      <vt:lpstr>Sheet1</vt:lpstr>
      <vt:lpstr>Sheet2</vt:lpstr>
      <vt:lpstr>Sheet3</vt:lpstr>
      <vt:lpstr>BKDD</vt:lpstr>
      <vt:lpstr>BU</vt:lpstr>
      <vt:lpstr>CAMAY</vt:lpstr>
      <vt:lpstr>CAP</vt:lpstr>
      <vt:lpstr>CAPDAT</vt:lpstr>
      <vt:lpstr>CHUYENPKDD</vt:lpstr>
      <vt:lpstr>CHUYENTBTBA</vt:lpstr>
      <vt:lpstr>CHUYENTRUDD</vt:lpstr>
      <vt:lpstr>cttba_mtctb1_1</vt:lpstr>
      <vt:lpstr>cttba_mtcvt1_1</vt:lpstr>
      <vt:lpstr>cttba_nctb1_1</vt:lpstr>
      <vt:lpstr>cttba_ncvt1_1</vt:lpstr>
      <vt:lpstr>cttba_vltb1_1</vt:lpstr>
      <vt:lpstr>cttba_vlvt1_1</vt:lpstr>
      <vt:lpstr>cttba_yesno</vt:lpstr>
      <vt:lpstr>cttl_mtcdd1</vt:lpstr>
      <vt:lpstr>cttl_mtctba1</vt:lpstr>
      <vt:lpstr>cttl_ncdd1</vt:lpstr>
      <vt:lpstr>cttl_nctba1</vt:lpstr>
      <vt:lpstr>DMVCDD</vt:lpstr>
      <vt:lpstr>DONGIA</vt:lpstr>
      <vt:lpstr>FUSE</vt:lpstr>
      <vt:lpstr>gt_mtc1</vt:lpstr>
      <vt:lpstr>gt_mtcdd1</vt:lpstr>
      <vt:lpstr>gt_nc1</vt:lpstr>
      <vt:lpstr>gt_ncdd1</vt:lpstr>
      <vt:lpstr>gt_tbdd1</vt:lpstr>
      <vt:lpstr>gt_vl1</vt:lpstr>
      <vt:lpstr>HSGSLDTB</vt:lpstr>
      <vt:lpstr>HSGSTCXD</vt:lpstr>
      <vt:lpstr>HSHSDTTB</vt:lpstr>
      <vt:lpstr>HSHSDTXD</vt:lpstr>
      <vt:lpstr>HSMTCCS</vt:lpstr>
      <vt:lpstr>HSMTCDD</vt:lpstr>
      <vt:lpstr>HSMTCKS</vt:lpstr>
      <vt:lpstr>HSMTCTBA</vt:lpstr>
      <vt:lpstr>HSMTCTN</vt:lpstr>
      <vt:lpstr>HSNCCS</vt:lpstr>
      <vt:lpstr>HSNCDD</vt:lpstr>
      <vt:lpstr>HSNCKS</vt:lpstr>
      <vt:lpstr>HSNCTBA</vt:lpstr>
      <vt:lpstr>HSNCTN</vt:lpstr>
      <vt:lpstr>HSQLDA</vt:lpstr>
      <vt:lpstr>HSTTDT</vt:lpstr>
      <vt:lpstr>HSTTTK</vt:lpstr>
      <vt:lpstr>HSTVTK</vt:lpstr>
      <vt:lpstr>KLPKDD</vt:lpstr>
      <vt:lpstr>KLPKTBA</vt:lpstr>
      <vt:lpstr>KLTRUDA</vt:lpstr>
      <vt:lpstr>ldtb_ldtbdd1</vt:lpstr>
      <vt:lpstr>ldtb_ldtbtba1</vt:lpstr>
      <vt:lpstr>LINE</vt:lpstr>
      <vt:lpstr>LOAIMBA</vt:lpstr>
      <vt:lpstr>LOAITRU</vt:lpstr>
      <vt:lpstr>LOxCAP</vt:lpstr>
      <vt:lpstr>maBK</vt:lpstr>
      <vt:lpstr>MCCB</vt:lpstr>
      <vt:lpstr>mtctbDD1</vt:lpstr>
      <vt:lpstr>nctbDD1</vt:lpstr>
      <vt:lpstr>PHUKIENKHACRDD</vt:lpstr>
      <vt:lpstr>BK!Print_Area</vt:lpstr>
      <vt:lpstr>CPHC!Print_Area</vt:lpstr>
      <vt:lpstr>'CT-CS'!Print_Area</vt:lpstr>
      <vt:lpstr>'CT-DD'!Print_Area</vt:lpstr>
      <vt:lpstr>CTHL!Print_Area</vt:lpstr>
      <vt:lpstr>'CT-TBA'!Print_Area</vt:lpstr>
      <vt:lpstr>'CT-TL'!Print_Area</vt:lpstr>
      <vt:lpstr>DG!Print_Area</vt:lpstr>
      <vt:lpstr>GT!Print_Area</vt:lpstr>
      <vt:lpstr>KLVT!Print_Area</vt:lpstr>
      <vt:lpstr>LDTB!Print_Area</vt:lpstr>
      <vt:lpstr>R_TBA!Print_Area</vt:lpstr>
      <vt:lpstr>R_TL!Print_Area</vt:lpstr>
      <vt:lpstr>TDT!Print_Area</vt:lpstr>
      <vt:lpstr>TH!Print_Area</vt:lpstr>
      <vt:lpstr>'TH (2)'!Print_Area</vt:lpstr>
      <vt:lpstr>THXL!Print_Area</vt:lpstr>
      <vt:lpstr>'THXL (2)'!Print_Area</vt:lpstr>
      <vt:lpstr>TK!Print_Area</vt:lpstr>
      <vt:lpstr>TMC!Print_Area</vt:lpstr>
      <vt:lpstr>TNHC!Print_Area</vt:lpstr>
      <vt:lpstr>VCDD!Print_Area</vt:lpstr>
      <vt:lpstr>BK!Print_Titles</vt:lpstr>
      <vt:lpstr>'CT-CS'!Print_Titles</vt:lpstr>
      <vt:lpstr>'CT-DD'!Print_Titles</vt:lpstr>
      <vt:lpstr>'CT-TBA'!Print_Titles</vt:lpstr>
      <vt:lpstr>GT!Print_Titles</vt:lpstr>
      <vt:lpstr>KLVT!Print_Titles</vt:lpstr>
      <vt:lpstr>TDT!Print_Titles</vt:lpstr>
      <vt:lpstr>TH!Print_Titles</vt:lpstr>
      <vt:lpstr>'TH (2)'!Print_Titles</vt:lpstr>
      <vt:lpstr>THXL!Print_Titles</vt:lpstr>
      <vt:lpstr>'THXL (2)'!Print_Titles</vt:lpstr>
      <vt:lpstr>SODAY</vt:lpstr>
      <vt:lpstr>t_chitietthunghiem</vt:lpstr>
      <vt:lpstr>t_cpks</vt:lpstr>
      <vt:lpstr>t_ctks</vt:lpstr>
      <vt:lpstr>t_gt</vt:lpstr>
      <vt:lpstr>t_ldtb</vt:lpstr>
      <vt:lpstr>t_thcpk</vt:lpstr>
      <vt:lpstr>t_ththunghiem</vt:lpstr>
      <vt:lpstr>t_thuviendaydan</vt:lpstr>
      <vt:lpstr>t_thuvienduongday</vt:lpstr>
      <vt:lpstr>t_thuvienphukien</vt:lpstr>
      <vt:lpstr>t_thuvienthietbi</vt:lpstr>
      <vt:lpstr>t_thxl</vt:lpstr>
      <vt:lpstr>t_tk</vt:lpstr>
      <vt:lpstr>t_TMC</vt:lpstr>
      <vt:lpstr>t_TMDT</vt:lpstr>
      <vt:lpstr>t_tonghop</vt:lpstr>
      <vt:lpstr>t_vcdd</vt:lpstr>
      <vt:lpstr>TBA</vt:lpstr>
      <vt:lpstr>th_gtbtt</vt:lpstr>
      <vt:lpstr>th_gxdtt</vt:lpstr>
      <vt:lpstr>thxl_gxldd1</vt:lpstr>
      <vt:lpstr>thxl_gxltba1</vt:lpstr>
      <vt:lpstr>TI</vt:lpstr>
      <vt:lpstr>TIENLUONG</vt:lpstr>
      <vt:lpstr>tk</vt:lpstr>
      <vt:lpstr>TKLDA</vt:lpstr>
      <vt:lpstr>tnhc_gtdd1</vt:lpstr>
      <vt:lpstr>tnhc_gttba1</vt:lpstr>
      <vt:lpstr>tnhc_mtctndd1</vt:lpstr>
      <vt:lpstr>tnhc_mtctntba1</vt:lpstr>
      <vt:lpstr>tnhc_nctndd1</vt:lpstr>
      <vt:lpstr>tnhc_nctntba1</vt:lpstr>
      <vt:lpstr>tnhc_vltndd1</vt:lpstr>
      <vt:lpstr>tnhc_vltntba1</vt:lpstr>
      <vt:lpstr>tongBK1</vt:lpstr>
      <vt:lpstr>tongctvtdd1</vt:lpstr>
      <vt:lpstr>tongctvtpk1</vt:lpstr>
      <vt:lpstr>vcdd_gtvcdd1</vt:lpstr>
      <vt:lpstr>vcdd_gtvctba1</vt:lpstr>
      <vt:lpstr>vltbDD1</vt:lpstr>
    </vt:vector>
  </TitlesOfParts>
  <Manager>Nguyễn Anh Khoa</Manager>
  <Company>Personal LAB</Company>
  <LinksUpToDate>false</LinksUpToDate>
  <SharedDoc>false</SharedDoc>
  <HyperlinkBase>www.lab.com</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Electricity Business</dc:title>
  <dc:subject>Electricity</dc:subject>
  <dc:creator>Nguyễn Anh Khoa</dc:creator>
  <cp:keywords>VBA</cp:keywords>
  <dc:description>Not Complete</dc:description>
  <cp:lastModifiedBy>VuongLam</cp:lastModifiedBy>
  <cp:lastPrinted>2020-04-29T09:54:08Z</cp:lastPrinted>
  <dcterms:created xsi:type="dcterms:W3CDTF">2015-12-30T09:07:19Z</dcterms:created>
  <dcterms:modified xsi:type="dcterms:W3CDTF">2020-09-28T14:01:09Z</dcterms:modified>
  <cp:category>VBA</cp:category>
  <cp:contentStatus>2.2</cp:contentStatus>
</cp:coreProperties>
</file>